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1.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14" firstSheet="16" activeTab="33"/>
  </bookViews>
  <sheets>
    <sheet name="Инструкция" sheetId="1" r:id="rId2"/>
    <sheet name="Список листов" sheetId="2" r:id="rId3"/>
    <sheet name="Информация JSON" sheetId="3" state="hidden" r:id="rId4"/>
    <sheet name="Общие сведения" sheetId="4" r:id="rId5"/>
    <sheet name="Список территорий" sheetId="5" r:id="rId6"/>
    <sheet name="Список объектов" sheetId="6" r:id="rId7"/>
    <sheet name="Расчет УЕ" sheetId="7" r:id="rId8"/>
    <sheet name="Сценарии" sheetId="8" r:id="rId9"/>
    <sheet name="Сценарии (МСА)" sheetId="9" state="hidden" r:id="rId10"/>
    <sheet name="Баланс Пр" sheetId="10" r:id="rId11"/>
    <sheet name="Баланс Тр" sheetId="11" state="hidden" r:id="rId12"/>
    <sheet name="Топливо 4.4" sheetId="12" r:id="rId13"/>
    <sheet name="ЭнергоРесурсы" sheetId="13" r:id="rId14"/>
    <sheet name="Лист1" sheetId="14" state="hidden" r:id="rId15"/>
    <sheet name="ХВС, ТН" sheetId="15" r:id="rId16"/>
    <sheet name="Амортизация" sheetId="16" r:id="rId17"/>
    <sheet name="Аренда" sheetId="17" r:id="rId18"/>
    <sheet name="Покупка услуг" sheetId="18" r:id="rId19"/>
    <sheet name="ФОТ" sheetId="19" r:id="rId20"/>
    <sheet name="Налоги" sheetId="20" r:id="rId21"/>
    <sheet name="Экономия_корр" sheetId="21" r:id="rId22"/>
    <sheet name="Операционные (5.1)" sheetId="22" r:id="rId23"/>
    <sheet name="Операционные (5.2)" sheetId="23" r:id="rId24"/>
    <sheet name="Неподконтрольные (5.3)" sheetId="24" r:id="rId25"/>
    <sheet name="Ресурсы (5.4)" sheetId="25" r:id="rId26"/>
    <sheet name="Корр Факт" sheetId="26" r:id="rId27"/>
    <sheet name="Корр ИП" sheetId="27" state="hidden" r:id="rId28"/>
    <sheet name="Калькуляция (5.9)" sheetId="28" r:id="rId29"/>
    <sheet name="Калькуляция (4.6)" sheetId="29" state="hidden" r:id="rId30"/>
    <sheet name="Удельные расходы (МСА)" sheetId="30" state="hidden" r:id="rId31"/>
    <sheet name="Базовый уровень (МСА)" sheetId="31" state="hidden" r:id="rId32"/>
    <sheet name="Калькуляция (МСА)" sheetId="32" state="hidden" r:id="rId33"/>
    <sheet name="ИП источники" sheetId="33" r:id="rId34"/>
    <sheet name="ТМ" sheetId="34" r:id="rId35"/>
    <sheet name="ДПР" sheetId="35" r:id="rId36"/>
    <sheet name="Комментарии" sheetId="36" r:id="rId37"/>
    <sheet name="TEHSHEET" sheetId="37" state="hidden" r:id="rId38"/>
    <sheet name="REESTR_OBJECT" sheetId="38" state="hidden" r:id="rId39"/>
    <sheet name="REESTR_MO" sheetId="39" state="hidden" r:id="rId40"/>
    <sheet name="REESTR_ORG" sheetId="40" state="hidden" r:id="rId41"/>
    <sheet name="REESTR_TARIFF" sheetId="41" state="hidden" r:id="rId42"/>
    <sheet name="DICTIONARIES" sheetId="42" state="hidden" r:id="rId43"/>
    <sheet name="REESTR_SEP_DIV" sheetId="43" state="hidden" r:id="rId44"/>
    <sheet name="REESTR_DOP" sheetId="44" state="hidden" r:id="rId45"/>
  </sheets>
  <definedNames>
    <definedName name="Amortization_LOAD_1">Амортизация!$AE$25:$BV$225</definedName>
    <definedName name="Amortization_LOAD_2">Амортизация!$BW$24:$BW$225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Пр'!$AE$26:$BV$164</definedName>
    <definedName name="BalancePr_LOAD_VOTR">'Баланс Пр'!$AE$164:$BV$164</definedName>
    <definedName name="BalancePr_LOAD_VOTR_COM">'Баланс Пр'!$BW$164:$BW$164</definedName>
    <definedName name="BalancePr_LOAD_VS">'Баланс Пр'!$AE$26:$BV$82</definedName>
    <definedName name="BalancePr_LOAD_VS_COM">'Баланс Пр'!$BW$25:$BW$82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(5.9)'!$CR$24:$CT$139</definedName>
    <definedName name="Calculation59_pIns_comm">'Калькуляция (5.9)'!$AB$144</definedName>
    <definedName name="CalculationMSA_LOAD_2">'Калькуляция (МСА)'!$BS$24:$BU$81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(5.9)'!$AE$139</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ЭнергоРесурсы!$AF$25:$BW$112</definedName>
    <definedName name="EnergyResources_LOAD_2">ЭнергоРесурсы!$BX$24:$BX$112</definedName>
    <definedName name="EnergyResources_pIns_comm">ЭнергоРесурсы!$AC$117</definedName>
    <definedName name="fas_region_id">TEHSHEET!$D$6</definedName>
    <definedName name="FIRST_TIME_REG">'Общие сведения'!$AE$165</definedName>
    <definedName name="first_year">'Общие сведения'!$AE$25</definedName>
    <definedName name="flag_end_Amortization">Амортизация!$BX$231</definedName>
    <definedName name="flag_end_BalancePr">'Баланс Пр'!$BX$170</definedName>
    <definedName name="flag_end_BalanceTr">'Баланс Тр'!$BX$48</definedName>
    <definedName name="flag_end_BaseLevelMSA">'Базовый уровень (МСА)'!$AJ$81</definedName>
    <definedName name="flag_end_Calculation46">'Калькуляция (4.6)'!$AP$167</definedName>
    <definedName name="flag_end_Calculation59">'Калькуляция (5.9)'!$CU$145</definedName>
    <definedName name="flag_end_CalculationMSA">'Калькуляция (МСА)'!$BV$87</definedName>
    <definedName name="flag_end_Comments">Комментарии!$AC$36</definedName>
    <definedName name="flag_end_CorrFact">'Корр Факт'!$AV$122</definedName>
    <definedName name="flag_end_DPR">ДПР!$AL$136</definedName>
    <definedName name="flag_end_EnergyResources">ЭнергоРесурсы!$BY$118</definedName>
    <definedName name="flag_end_Fuel">'Топливо 4.4'!$FC$275</definedName>
    <definedName name="flag_end_GeneralInfo">'Общие сведения'!$AF$217</definedName>
    <definedName name="flag_end_HVSTN">'ХВС, ТН'!$BY$59</definedName>
    <definedName name="flag_end_IPSources">'ИП источники'!$BX$96</definedName>
    <definedName name="flag_end_ObjectList">'Список объектов'!$AI$35</definedName>
    <definedName name="flag_end_Operating51">'Операционные (5.1)'!$AP$81</definedName>
    <definedName name="flag_end_Operating52">'Операционные (5.2)'!$CU$51</definedName>
    <definedName name="flag_end_Rent">Аренда!$BX$57</definedName>
    <definedName name="flag_end_Resources">'Ресурсы (5.4)'!$CU$53</definedName>
    <definedName name="flag_end_SavingsCorr">Экономия_корр!$BT$49</definedName>
    <definedName name="flag_end_Scenarios">Сценарии!$BS$86</definedName>
    <definedName name="flag_end_ScenariosMSA">'Сценарии (МСА)'!$BT$42</definedName>
    <definedName name="flag_end_ServicePurchase">'Покупка услуг'!$BY$71</definedName>
    <definedName name="flag_end_SheetList">'Список листов'!$AE$55</definedName>
    <definedName name="flag_end_Taxes">Налоги!$BX$61</definedName>
    <definedName name="flag_end_TerritoryList">'Список территорий'!$AH$33</definedName>
    <definedName name="flag_end_TM">ТМ!$FX$126</definedName>
    <definedName name="flag_end_UECalculation">'Расчет УЕ'!$BU$67</definedName>
    <definedName name="flag_end_Uncontrolled">'Неподконтрольные (5.3)'!$CU$77</definedName>
    <definedName name="flag_end_UnitCostsMSA">'Удельные расходы (МСА)'!$AJ$61</definedName>
    <definedName name="flag_end_WageFund">ФОТ!$AL$86</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сведения'!$Y$168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VSTN_LOAD_1">'ХВС, ТН'!$AF$25:$BW$39</definedName>
    <definedName name="HVSTN_LOAD_2">'ХВС, ТН'!$BX$24:$BX$39</definedName>
    <definedName name="HVSTN_pIns_comm">'ХВС, ТН'!$AB$58</definedName>
    <definedName name="inn">'Общие сведения'!$AE$42</definedName>
    <definedName name="InsB_GeneralInfo_tariff">'Общие сведения'!$AD$202</definedName>
    <definedName name="InvestmentSources_is_one_block">'ИП источники'!$AD$24</definedName>
    <definedName name="isOrgDeclare">'Общие сведения'!$F$169</definedName>
    <definedName name="json_comms_Amortization">Амортизация!$AB$228:$BW$230</definedName>
    <definedName name="json_comms_BalancePr">'Баланс Пр'!$AB$167:$BW$169</definedName>
    <definedName name="json_comms_BalanceTr">'Баланс Тр'!$AB$45:$BW$47</definedName>
    <definedName name="json_comms_BaseLevelMSA">'Базовый уровень (МСА)'!$AB$78:$AI$80</definedName>
    <definedName name="json_comms_Calculation46">'Калькуляция (4.6)'!$AB$164:$AO$166</definedName>
    <definedName name="json_comms_Calculation59">'Калькуляция (5.9)'!$AB$142:$CT$144</definedName>
    <definedName name="json_comms_CalculationMSA">'Калькуляция (МСА)'!$AB$84:$BU$86</definedName>
    <definedName name="json_comms_Comments">Комментарии!$AB$24:$AB$35</definedName>
    <definedName name="json_comms_DPR">ДПР!$AB$133:$AK$135</definedName>
    <definedName name="json_comms_EnergyResources">ЭнергоРесурсы!$AB$115:$BX$117</definedName>
    <definedName name="json_comms_HVSTN">'ХВС, ТН'!$AB$56:$BX$58</definedName>
    <definedName name="json_comms_IPSources">'ИП источники'!$AB$93:$BW$95</definedName>
    <definedName name="json_comms_Operating51">'Операционные (5.1)'!$AB$78:$AO$80</definedName>
    <definedName name="json_comms_Operating52">'Операционные (5.2)'!$AB$48:$CT$50</definedName>
    <definedName name="json_comms_Rent">Аренда!$AB$54:$BW$56</definedName>
    <definedName name="json_comms_Resources">'Ресурсы (5.4)'!$AB$50:$CT$52</definedName>
    <definedName name="json_comms_SavingsCorr">Экономия_корр!$AB$46:$BS$48</definedName>
    <definedName name="json_comms_ServicePurchase">'Покупка услуг'!$AB$68:$BX$70</definedName>
    <definedName name="json_comms_Taxes">Налоги!$AB$58:$BW$60</definedName>
    <definedName name="json_comms_TM">ТМ!$AB$123:$BG$125</definedName>
    <definedName name="json_comms_Uncontrolled">'Неподконтрольные (5.3)'!$AB$74:$CT$76</definedName>
    <definedName name="json_comms_UnitCostsMSA">'Удельные расходы (МСА)'!$AB$58:$AI$60</definedName>
    <definedName name="json_comms_WageFund">ФОТ!$AB$83:$AK$85</definedName>
    <definedName name="json_preload_Amortization">Амортизация!$AE$28:$BW$225</definedName>
    <definedName name="json_preload_BalancePr">'Баланс Пр'!$AE$29:$BW$164</definedName>
    <definedName name="json_preload_BalanceTr">'Баланс Тр'!$AE$29:$BW$42</definedName>
    <definedName name="json_preload_BaseLevelMSA">'Базовый уровень (МСА)'!$AE$29:$AI$75</definedName>
    <definedName name="json_preload_Calculation46">'Калькуляция (4.6)'!$AE$28:$AO$161</definedName>
    <definedName name="json_preload_Calculation59">'Калькуляция (5.9)'!$AE$28:$CT$139</definedName>
    <definedName name="json_preload_CalculationMSA">'Калькуляция (МСА)'!$AE$28:$BU$81</definedName>
    <definedName name="json_preload_CorrFact">'Корр Факт'!$AF$29:$AT$122</definedName>
    <definedName name="json_preload_DPR">ДПР!$AC$30:$AJ$131</definedName>
    <definedName name="json_preload_EnergyResources">ЭнергоРесурсы!$AF$28:$BX$112</definedName>
    <definedName name="json_preload_Fuel">'Топливо 4.4'!$AH$29:$FB$275</definedName>
    <definedName name="json_preload_HVSTN">'ХВС, ТН'!$AF$28:$BX$53</definedName>
    <definedName name="json_preload_IPSources">'ИП источники'!$AE$51:$BW$90</definedName>
    <definedName name="json_preload_ObjectList">'Список объектов'!$AH$28:$AH$35</definedName>
    <definedName name="json_preload_Operating51">'Операционные (5.1)'!$AE$28:$AO$75</definedName>
    <definedName name="json_preload_Operating52">'Операционные (5.2)'!$AI$28:$CT$45</definedName>
    <definedName name="json_preload_Rent">Аренда!$AE$28:$BW$51</definedName>
    <definedName name="json_preload_Resources">'Ресурсы (5.4)'!$AE$28:$CT$47</definedName>
    <definedName name="json_preload_SavingsCorr">Экономия_корр!$AE$28:$BS$43</definedName>
    <definedName name="json_preload_Scenarios">Сценарии!$AE$30:$BR$86</definedName>
    <definedName name="json_preload_Scenarios_NDS_common">Сценарии!$AE$26:$BR$26</definedName>
    <definedName name="json_preload_ScenariosMSA">'Сценарии (МСА)'!$AF$30:$BS$42</definedName>
    <definedName name="json_preload_ServicePurchase">'Покупка услуг'!$AF$28:$BX$65</definedName>
    <definedName name="json_preload_Taxes">Налоги!$AE$28:$BW$55</definedName>
    <definedName name="json_preload_TerritoryList">'Список территорий'!$AF$27:$AG$33</definedName>
    <definedName name="json_preload_TM">ТМ!$AD$33:$FW$120</definedName>
    <definedName name="json_preload_UECalculation">'Расчет УЕ'!$AE$28:$BT$67</definedName>
    <definedName name="json_preload_Uncontrolled">'Неподконтрольные (5.3)'!$AE$28:$CT$71</definedName>
    <definedName name="json_preload_UnitCostsMSA">'Удельные расходы (МСА)'!$AE$28:$AI$55</definedName>
    <definedName name="json_preload_WageFund">ФОТ!$AE$28:$AK$80</definedName>
    <definedName name="kpp">'Общие сведения'!$AE$43</definedName>
    <definedName name="last_year">'Общие сведения'!$AG$26</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(5.1)'!$AE$25:$AK$75</definedName>
    <definedName name="Operating51_LOAD_2">'Операционные (5.1)'!$AM$24:$AO$75</definedName>
    <definedName name="Operating51_pIns_comm">'Операционные (5.1)'!$AB$80</definedName>
    <definedName name="Operating52_LOAD_1">'Операционные (5.2)'!$AE$25:$BW$45</definedName>
    <definedName name="Operating52_LOAD_2">'Операционные (5.2)'!$CR$24:$CT$45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id">TEHSHEET!$D$10</definedName>
    <definedName name="ORG_LEGAL_ADDRESS">'Общие сведения'!$AE$46</definedName>
    <definedName name="ORG_MAIL_ADDRESS">'Общие сведения'!$AE$47</definedName>
    <definedName name="ORG_PHONE">'Общие сведения'!$AE$48</definedName>
    <definedName name="org_reg_codes">Лист1!$A$12:$A$22</definedName>
    <definedName name="org_reg_values">Лист1!$B$12:$B$22</definedName>
    <definedName name="org_reg_мфдгуы">Лист1!$B$12:$B$18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f_codes">Лист1!$A$1:$A$9</definedName>
    <definedName name="pf_codes_values">Лист1!$B$1:$B$9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(5.9)'!$AB$139</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(5.1)'!$AB$75</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Сценарии!$AC$86</definedName>
    <definedName name="pIns_ScenariosMSA_tariff">'Сценарии (МСА)'!$AC$42</definedName>
    <definedName name="pIns_ServicePurchase_postav">'Покупка услуг'!$AC:$AC</definedName>
    <definedName name="pIns_ServicePurchase_tariff">'Покупка услуг'!$AB$65</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ФОТ!$AB$80</definedName>
    <definedName name="plat_nds">'Общие сведения'!$AE$58</definedName>
    <definedName name="REG_YEAR_LIST">TEHSHEET!$P$2:$P$3</definedName>
    <definedName name="REGION">TEHSHEET!$A$1:$A$90</definedName>
    <definedName name="region_id">'Общие сведения'!$AG$22</definedName>
    <definedName name="region_name">'Общие сведения'!$AE$22</definedName>
    <definedName name="Rent_LOAD_1">Аренда!$AE$25:$BV$51</definedName>
    <definedName name="Rent_LOAD_2">Аренда!$BW$24:$BW$51</definedName>
    <definedName name="Rent_pIns_comm">Аренда!$AB$56</definedName>
    <definedName name="Resources_LOAD_1">'Ресурсы (5.4)'!$AE$25:$BW$47</definedName>
    <definedName name="Resources_LOAD_2">'Ресурсы (5.4)'!$CR$24:$CT$47</definedName>
    <definedName name="Resources_pIns_comm">'Ресурсы (5.4)'!$AB$52</definedName>
    <definedName name="roiv">'Общие сведения'!$AB$31</definedName>
    <definedName name="rst_org_id">'Общие сведения'!$AG$33</definedName>
    <definedName name="SavingsCorr_LOAD_1">Экономия_корр!$AE$25:$BR$43</definedName>
    <definedName name="SavingsCorr_LOAD_2">Экономия_корр!$BS$24:$BS$43</definedName>
    <definedName name="SavingsCorr_pIns_comm">Экономия_корр!$AB$48</definedName>
    <definedName name="Scenarios_LOAD_1">Сценарии!$AG$25:$BR$87</definedName>
    <definedName name="Scenarios_LOAD_2">Сценарии!$AE$25:$AF$87</definedName>
    <definedName name="ScenariosMSA_LOAD_1">'Сценарии (МСА)'!$AH$25:$BS$43</definedName>
    <definedName name="ScenariosMSA_LOAD_2">'Сценарии (МСА)'!$AF$25:$AG$43</definedName>
    <definedName name="ServicePurchase_LOAD_1">'Покупка услуг'!$AF$25:$BW$65</definedName>
    <definedName name="ServicePurchase_LOAD_2">'Покупка услуг'!$BX$24:$BX$65</definedName>
    <definedName name="ServicePurchase_pIns_comm">'Покупка услуг'!$AB$70</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Налоги!$AE$25:$BV$55</definedName>
    <definedName name="Taxes_LOAD_2">Налоги!$BW$24:$BW$55</definedName>
    <definedName name="Taxes_pIns_comm">Налоги!$AB$60</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сведения'!$AG$24</definedName>
    <definedName name="Uncontrolled_LOAD_1">'Неподконтрольные (5.3)'!$AE$25:$BW$71</definedName>
    <definedName name="Uncontrolled_LOAD_2">'Неподконтрольные (5.3)'!$CR$24:$CT$71</definedName>
    <definedName name="Uncontrolled_pIns_comm">'Неподконтрольные (5.3)'!$AB$76</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ФОТ!$AE$25:$AJ$80</definedName>
    <definedName name="WageFund_LOAD_2">ФОТ!$AK$24:$AK$80</definedName>
    <definedName name="wsAmortization_preload">Амортизация!$AE$28:$AH$225</definedName>
    <definedName name="wsAmortization_preload_coms">Амортизация!$BW$28:$BW$225</definedName>
    <definedName name="wsBalancePr_preload">'Баланс Пр'!$AE$29:$AH$164</definedName>
    <definedName name="wsBalancePr_preload_coms">'Баланс Пр'!$BW$29:$BW$164</definedName>
    <definedName name="wsBalanceTr_preload">'Баланс Тр'!$AE$29:$AH$42</definedName>
    <definedName name="wsBalanceTr_preload_coms">'Баланс Тр'!$BW$29:$BW$42</definedName>
    <definedName name="wsBaseLevelMSA_preload">'Базовый уровень (МСА)'!$AE$25</definedName>
    <definedName name="wsBaseLevelMSA_preload_coms">'Базовый уровень (МСА)'!$AG$29:$AI$50</definedName>
    <definedName name="wsCalculation46_preload">'Калькуляция (4.6)'!$AE$28:$AI$161</definedName>
    <definedName name="wsCalculation46_preload_coms">'Калькуляция (4.6)'!$AM$28:$AO$161</definedName>
    <definedName name="wsCalculation59_preload">'Калькуляция (5.9)'!$AE$28:$AI$139</definedName>
    <definedName name="wsCalculation59_preload_coms">'Калькуляция (5.9)'!$CR$28:$CT$139</definedName>
    <definedName name="wsCalculationMSA_preload">'Калькуляция (МСА)'!$AE$24</definedName>
    <definedName name="wsCalculationMSA_preload_coms">'Калькуляция (МСА)'!$BS$28:$BU$81</definedName>
    <definedName name="wsCorrFact_preload">'Корр Факт'!$AD$29:$AG$122</definedName>
    <definedName name="wsDPR_preload">ДПР!$AC$30:$AJ$131</definedName>
    <definedName name="wsEnergyResources_preload">ЭнергоРесурсы!$AF$28:$AI$112</definedName>
    <definedName name="wsEnergyResources_preload_coms">ЭнергоРесурсы!$BX$28:$BX$112</definedName>
    <definedName name="wsFuel_preload">'Топливо 4.4'!$AH$29:$AK$275</definedName>
    <definedName name="wsFuel_preload_coms">'Топливо 4.4'!$FB$29:$FB$275</definedName>
    <definedName name="wsGeneralInfo_preload">'Общие сведения'!$AE$22:$AE$217</definedName>
    <definedName name="wsHVSTN_preload">'ХВС, ТН'!$AF$28:$AI$53</definedName>
    <definedName name="wsHVSTN_preload_coms">'ХВС, ТН'!$BX$28:$BX$53</definedName>
    <definedName name="wsIPSources_preload">'ИП источники'!$AE$51:$AH$90</definedName>
    <definedName name="wsIPSources_preload_coms">'ИП источники'!$BW$51:$BW$90</definedName>
    <definedName name="wsObjectList_preload">'Список объектов'!$AD$28:$AH$35</definedName>
    <definedName name="wsOperating51_preload">'Операционные (5.1)'!$AE$28:$AI$75</definedName>
    <definedName name="wsOperating51_preload_coms">'Операционные (5.1)'!$AM$28:$AO$75</definedName>
    <definedName name="wsOperating52_preload">'Операционные (5.2)'!$AI$28:$AI$45</definedName>
    <definedName name="wsOperating52_preload_coms">'Операционные (5.2)'!$CR$28:$CT$45</definedName>
    <definedName name="wsRent_preload">Аренда!$AE$28:$AH$51</definedName>
    <definedName name="wsRent_preload_coms">Аренда!$BW$28:$BW$51</definedName>
    <definedName name="wsResources_preload">'Ресурсы (5.4)'!$AE$25</definedName>
    <definedName name="wsResources_preload_coms">'Ресурсы (5.4)'!$CR$28:$CT$47</definedName>
    <definedName name="wsSavingsCorr_preload">Экономия_корр!$AE$25</definedName>
    <definedName name="wsSavingsCorr_preload_coms">Экономия_корр!$BS$28:$BS$43</definedName>
    <definedName name="wsScenarios_preload">Сценарии!$AE$25</definedName>
    <definedName name="wsScenariosMSA_preload">'Сценарии (МСА)'!$AF$25</definedName>
    <definedName name="wsServicePurchase_preload">'Покупка услуг'!$AE$28:$AI$65</definedName>
    <definedName name="wsServicePurchase_preload_coms">'Покупка услуг'!$BX$28:$BX$65</definedName>
    <definedName name="wsTaxes_preload">Налоги!$AE$28:$AH$55</definedName>
    <definedName name="wsTaxes_preload_coms">Налоги!$BW$28:$BW$55</definedName>
    <definedName name="wsTerritoryList_preload">'Список территорий'!$AF$27:$AG$33</definedName>
    <definedName name="wsTM_preload">ТМ!$AD$26</definedName>
    <definedName name="wsUECalculation_preload">'Расчет УЕ'!$AE$28:$AE$67</definedName>
    <definedName name="wsUECalculation_preload_coms">'Расчет УЕ'!$BT$28:$BT$67</definedName>
    <definedName name="wsUncontrolled_preload">'Неподконтрольные (5.3)'!$AE$28:$AI$71</definedName>
    <definedName name="wsUncontrolled_preload_coms">'Неподконтрольные (5.3)'!$CR$28:$CT$71</definedName>
    <definedName name="wsUnitCostsMSA_preload">'Удельные расходы (МСА)'!$AE$29:$AF$40</definedName>
    <definedName name="wsUnitCostsMSA_preload_coms">'Удельные расходы (МСА)'!$AG$29:$AI$40</definedName>
    <definedName name="wsWageFund_preload">ФОТ!$AE$28:$AH$80</definedName>
    <definedName name="wsWageFund_preload_coms">ФОТ!$AK$28:$AK$80</definedName>
    <definedName name="YEAR_LIST">TEHSHEET!$Q$2:$Q$20</definedName>
    <definedName name="year_list2">TEHSHEET!$Q$11:$Q$20</definedName>
    <definedName name="YES_NO">TEHSHEET!$G$2:$G$3</definedName>
    <definedName name="_xlnm._FilterDatabase" localSheetId="11">'Топливо 4.4'!$T$1:$AE$275</definedName>
  </definedNames>
  <calcPr calcId="0" iterate="0" iterateCount="100" iterateDelta="0.001"/>
</workbook>
</file>

<file path=xl/comments1.xml><?xml version="1.0" encoding="utf-8"?>
<comments xmlns="http://schemas.openxmlformats.org/spreadsheetml/2006/main">
  <authors>
    <author>Author</author>
  </authors>
  <commentLis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G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<sst xmlns="http://schemas.openxmlformats.org/spreadsheetml/2006/main" count="24070" uniqueCount="4640">
  <si>
    <t xml:space="preserve"> (требуется обновление)</t>
  </si>
  <si>
    <t>Код отчёта: EXPERT.TE.EIAS</t>
  </si>
  <si>
    <t>Версия отчёта: 2.0.1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</si>
  <si>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</si>
  <si>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</si>
  <si>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</si>
  <si>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</si>
  <si>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</si>
  <si>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</si>
  <si>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</si>
  <si>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</si>
  <si>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</si>
  <si>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</si>
  <si>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</si>
  <si>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</si>
  <si>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</si>
  <si>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</si>
  <si>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</si>
  <si>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</si>
  <si>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</si>
  <si>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</si>
  <si>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</si>
  <si>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</si>
  <si>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</si>
  <si>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</si>
  <si>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</si>
  <si>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</si>
  <si>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</si>
  <si>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</si>
  <si>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</si>
  <si>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</si>
  <si>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</si>
  <si>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</si>
  <si>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</si>
  <si>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</si>
  <si>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</si>
  <si>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</si>
  <si>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</si>
  <si>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</si>
  <si>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</si>
  <si>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</si>
  <si>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</si>
  <si>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</si>
  <si>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</si>
  <si>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</si>
  <si>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</si>
  <si>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</si>
  <si>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</si>
  <si>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</si>
  <si>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</si>
  <si>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</si>
  <si>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</si>
  <si>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</si>
  <si>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</si>
  <si>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</si>
  <si>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</si>
  <si>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</si>
  <si>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</si>
  <si>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</si>
  <si>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</si>
  <si>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</si>
  <si>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</si>
  <si>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</si>
  <si>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</si>
  <si>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</si>
  <si>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</si>
  <si>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</si>
  <si>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</si>
  <si>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</si>
  <si>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</si>
  <si>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</si>
  <si>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</si>
  <si>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</si>
  <si>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</si>
  <si>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</si>
  <si>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</si>
  <si>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</si>
  <si>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</si>
  <si>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</si>
  <si>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</si>
  <si>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</si>
  <si>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</si>
  <si>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</si>
  <si>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</si>
  <si>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</si>
  <si>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vis_1</t>
  </si>
  <si>
    <t>blok_1</t>
  </si>
  <si>
    <t>blok_2</t>
  </si>
  <si>
    <t>ren_1</t>
  </si>
  <si>
    <t>ren_2</t>
  </si>
  <si>
    <t>del_2</t>
  </si>
  <si>
    <t>dyn_1</t>
  </si>
  <si>
    <t>dyn_2</t>
  </si>
  <si>
    <t>del_1</t>
  </si>
  <si>
    <t>ИД.ТАРИФ_NAME</t>
  </si>
  <si>
    <t>uni_region_NAME</t>
  </si>
  <si>
    <t>uni_method_NAME</t>
  </si>
  <si>
    <t>uni_reg_period_base_NAME</t>
  </si>
  <si>
    <t>uni_org_info_NAME</t>
  </si>
  <si>
    <t>uni_tax_system_NAME</t>
  </si>
  <si>
    <t>uni_doc_info_NAME</t>
  </si>
  <si>
    <t>uni_invest_concess_NAME</t>
  </si>
  <si>
    <t>uni_tariff_decision_NAME</t>
  </si>
  <si>
    <t>uni_doc_npa_type_NAME</t>
  </si>
  <si>
    <t>uni_sphere_NAME</t>
  </si>
  <si>
    <t>uni_heat_energy_NAME</t>
  </si>
  <si>
    <t>uni_info_species_NAME</t>
  </si>
  <si>
    <t>uni_additional_differentiation_NAME</t>
  </si>
  <si>
    <t>uni_tariff_bid_NAME</t>
  </si>
  <si>
    <t>uni_year_NAME</t>
  </si>
  <si>
    <t>uni_inform_section_NAME</t>
  </si>
  <si>
    <t>user_dyn_block_NAME</t>
  </si>
  <si>
    <t>G_UNIT</t>
  </si>
  <si>
    <t>G_POK</t>
  </si>
  <si>
    <t>G_COMMENT</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</si>
  <si>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</si>
  <si>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</si>
  <si>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</si>
  <si>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</si>
  <si>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</si>
  <si>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</si>
  <si>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</si>
  <si>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</si>
  <si>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</si>
  <si>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</si>
  <si>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</si>
  <si>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"КК-ИНВЕСТ"</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</si>
  <si>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</si>
  <si>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</si>
  <si>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"КК-ИНВЕСТ"</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</si>
  <si>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</si>
  <si>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</si>
  <si>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Основной государственный регистрационный номер (ОГРН)</t>
  </si>
  <si>
    <t>1174205005413</t>
  </si>
  <si>
    <t>Идентификационный номер налогоплательщика (ИНН)</t>
  </si>
  <si>
    <t>1901133713</t>
  </si>
  <si>
    <t>Код причины постановки на учет (КПП)</t>
  </si>
  <si>
    <t>190101001</t>
  </si>
  <si>
    <t>Код по общероссийскому классификатору предприятию и организаций (ОКПО)</t>
  </si>
  <si>
    <t>09809016</t>
  </si>
  <si>
    <t>Организационно-правовая форма</t>
  </si>
  <si>
    <t>1 23 00 | Общества с ограниченной ответственностью</t>
  </si>
  <si>
    <t>Юридический адрес</t>
  </si>
  <si>
    <t>655004, Республика Хакасия, г. Абакан, ул. Некрасова, д. 31, стр.1, 3Н помещение14</t>
  </si>
  <si>
    <t>Фактический адрес</t>
  </si>
  <si>
    <t>650066,г. Кемерово, пр. Ленина, д. 61</t>
  </si>
  <si>
    <t>Телефон организации</t>
  </si>
  <si>
    <t>+78384272062</t>
  </si>
  <si>
    <t>Адрес электронной почты юридического лица (индивидуального предпринимателя)</t>
  </si>
  <si>
    <t>kkioffice@kkinvest.ru</t>
  </si>
  <si>
    <t>Фамилия, имя, отчество руководителя</t>
  </si>
  <si>
    <t>Бельков Вадим Витальевич</t>
  </si>
  <si>
    <t>Должность руководителя</t>
  </si>
  <si>
    <t>Директор</t>
  </si>
  <si>
    <t>Официальный сайт в информационно-телекоммуникационной сети «Интернет»</t>
  </si>
  <si>
    <t>kkinvest.ru</t>
  </si>
  <si>
    <t>Государственное и (или) муниципальное участие в юридическом лице</t>
  </si>
  <si>
    <t>Наличие</t>
  </si>
  <si>
    <t>нет</t>
  </si>
  <si>
    <t>Сведения о доле, %</t>
  </si>
  <si>
    <t>0%</t>
  </si>
  <si>
    <t>Преобладающий тип собственности в юридическом лице</t>
  </si>
  <si>
    <t>частная</t>
  </si>
  <si>
    <t>Наличие раздельного учёта затрат по регулируемым видам деятельности в сфере теплоснабжения</t>
  </si>
  <si>
    <t>Система налогообложения</t>
  </si>
  <si>
    <t>ОСНО</t>
  </si>
  <si>
    <t>Является ли плательщиком налога на добавленную стоимость (далее - НДС)</t>
  </si>
  <si>
    <t>да</t>
  </si>
  <si>
    <t>Является ли деятельность в сфере теплоснабжения профильным видом деятельности</t>
  </si>
  <si>
    <t xml:space="preserve">Наличие статуса единой теплоснабжающей организации (далее - ЕТО) </t>
  </si>
  <si>
    <t>Ссылка на загруженный в систему документ, подтверждающий статус ЕТО</t>
  </si>
  <si>
    <t>×</t>
  </si>
  <si>
    <t>URL-ссылка на документ, подтверждающий статус ЕТО</t>
  </si>
  <si>
    <t>Наличие программы в области энергосбережения и повышения энергетической эффективности</t>
  </si>
  <si>
    <t>Реквизиты решения</t>
  </si>
  <si>
    <t>Наименование</t>
  </si>
  <si>
    <t/>
  </si>
  <si>
    <t>430.0.21.</t>
  </si>
  <si>
    <t>СТР</t>
  </si>
  <si>
    <t>M11754</t>
  </si>
  <si>
    <t>Дополнительные сведения</t>
  </si>
  <si>
    <t>Вид</t>
  </si>
  <si>
    <t>M11625</t>
  </si>
  <si>
    <t>Номер (при наличии)</t>
  </si>
  <si>
    <t>M11626</t>
  </si>
  <si>
    <t>Дата принятия</t>
  </si>
  <si>
    <t>M11627</t>
  </si>
  <si>
    <t>URL-ссылка на документ</t>
  </si>
  <si>
    <t>M11066</t>
  </si>
  <si>
    <t>et_2</t>
  </si>
  <si>
    <t>{                  _x000D_
         funcDyn: 'msgone',_x000D_
         blok: '',_x000D_
         wsCross: '',_x000D_
         linkFormula: '',_x000D_
         levelDyn: ''_x000D_
}</t>
  </si>
  <si>
    <t>Добавить</t>
  </si>
  <si>
    <t>Наличие закона субъекта Российской Федерации по льготным тарифам</t>
  </si>
  <si>
    <t>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t>
  </si>
  <si>
    <t>430.0.25.</t>
  </si>
  <si>
    <t>Наименование программы, дорожой карты, проекта и (или) плана</t>
  </si>
  <si>
    <t>закон</t>
  </si>
  <si>
    <t>Вид решения, которым утверждена программа, дорожая карта, проект и (или) план</t>
  </si>
  <si>
    <t>69-оз</t>
  </si>
  <si>
    <t>Номер решения, которым утверждена программа, дорожая карта, проект и (или) план</t>
  </si>
  <si>
    <t>Дата принятия решения, которым утверждена программа, дорожая карта, проект и (или) план</t>
  </si>
  <si>
    <t>https://portal.eias.ru/Portal/DownloadPage.aspx?type=12&amp;guid=4c962a83-8b92-4503-9ba5-a0180547bc71</t>
  </si>
  <si>
    <t>290.0.11.</t>
  </si>
  <si>
    <t>389.0.14.</t>
  </si>
  <si>
    <t>M11100</t>
  </si>
  <si>
    <t>Статус (да / нет)</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</si>
  <si>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</si>
  <si>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</si>
  <si>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</si>
  <si>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</si>
  <si>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</si>
  <si>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</si>
  <si>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</si>
  <si>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389.0.16.</t>
  </si>
  <si>
    <t xml:space="preserve">    {_x000D_
      funcDyn: 'addIp',_x000D_
      blok: '',_x000D_
      wsCross: '',_x000D_
      linkFormula: '',_x000D_
      levelDyn: '',_x000D_
      addedValue: 'GeneralInfo_pIns6'_x000D_
    }_x000D_
    </t>
  </si>
  <si>
    <t>16.0.25.</t>
  </si>
  <si>
    <t>Номер</t>
  </si>
  <si>
    <t xml:space="preserve">    {_x000D_
      funcDyn: 'addIp',_x000D_
      blok: '',_x000D_
      wsCross: '',_x000D_
      linkFormula: '',_x000D_
      levelDyn: '',_x000D_
      addedValue: 'GeneralInfo_pIns7'_x000D_
    }_x000D_
    </t>
  </si>
  <si>
    <t>Иные сведения</t>
  </si>
  <si>
    <t>360.0.1.</t>
  </si>
  <si>
    <t>M10462</t>
  </si>
  <si>
    <t>Информация. Примечания. Комментарии</t>
  </si>
  <si>
    <t>Данные об ответственном исполнителе от организации</t>
  </si>
  <si>
    <t>Фамилия, имя, отчество исполнителя</t>
  </si>
  <si>
    <t>Сенчурина Елена Юрьевна</t>
  </si>
  <si>
    <t>M11602</t>
  </si>
  <si>
    <t>ФИО ответственного сотрудника</t>
  </si>
  <si>
    <t>Должность исполнителя</t>
  </si>
  <si>
    <t>экономист</t>
  </si>
  <si>
    <t>M11603</t>
  </si>
  <si>
    <t>Должность ответственного сотрудника</t>
  </si>
  <si>
    <t>Контактный телефон исполнителя</t>
  </si>
  <si>
    <t>8-913-288-96-17</t>
  </si>
  <si>
    <t>M11604</t>
  </si>
  <si>
    <t>Контактный телефон ответственного сотрудника</t>
  </si>
  <si>
    <t>Адрес электронной почты исполнителя</t>
  </si>
  <si>
    <t>seu@kkinvest.ru</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</si>
  <si>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</si>
  <si>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</si>
  <si>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</si>
  <si>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</si>
  <si>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</si>
  <si>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</si>
  <si>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</si>
  <si>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</si>
  <si>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</si>
  <si>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</si>
  <si>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</si>
  <si>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</si>
  <si>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</si>
  <si>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</si>
  <si>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</si>
  <si>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</si>
  <si>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</si>
  <si>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</si>
  <si>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360.0.2.</t>
  </si>
  <si>
    <t>2. Информация о рассмотрении дела об установлении тарифов</t>
  </si>
  <si>
    <t>Регулируется ли организация впервые</t>
  </si>
  <si>
    <t>24.21.0.</t>
  </si>
  <si>
    <t>Реквизиты решения, которым установлены действующие тарифы</t>
  </si>
  <si>
    <t>постановление</t>
  </si>
  <si>
    <t>24.2.0.</t>
  </si>
  <si>
    <t>481</t>
  </si>
  <si>
    <t>24.18.0.</t>
  </si>
  <si>
    <t>24.3.0.</t>
  </si>
  <si>
    <t>ТЭ.42.31656254.0001</t>
  </si>
  <si>
    <t>et_1</t>
  </si>
  <si>
    <t>Теплоснабжение</t>
  </si>
  <si>
    <t>16.0.27.</t>
  </si>
  <si>
    <t>M11607</t>
  </si>
  <si>
    <t>Виды тарифов</t>
  </si>
  <si>
    <t>Номер тарифа (идентификатор)</t>
  </si>
  <si>
    <t>M11606</t>
  </si>
  <si>
    <t>Номер тарифа</t>
  </si>
  <si>
    <t>Вид регулируемых цен (тарифов) в сфере теплоснабжения</t>
  </si>
  <si>
    <t>11.0.18.</t>
  </si>
  <si>
    <t>Вид теплоносителя</t>
  </si>
  <si>
    <t>148.0.0.</t>
  </si>
  <si>
    <t>M11611</t>
  </si>
  <si>
    <t>Тип тарифа</t>
  </si>
  <si>
    <t>M11571</t>
  </si>
  <si>
    <t>Вид тарифа (одноставочный/двухставочный)</t>
  </si>
  <si>
    <t>Вид(-ы) деятельности</t>
  </si>
  <si>
    <t>430.0.2.</t>
  </si>
  <si>
    <t>M11564</t>
  </si>
  <si>
    <t>Перечень видов деятельности</t>
  </si>
  <si>
    <t>Технологический процесс</t>
  </si>
  <si>
    <t>Ссылка на систему теплоснабжения</t>
  </si>
  <si>
    <t>448.0.2.</t>
  </si>
  <si>
    <t>Дополнительный признак дифференциации тарифа</t>
  </si>
  <si>
    <t>430.0.9.</t>
  </si>
  <si>
    <t>M11608</t>
  </si>
  <si>
    <t>Номер входящий</t>
  </si>
  <si>
    <t>215.0.0.</t>
  </si>
  <si>
    <t>M11609</t>
  </si>
  <si>
    <t>Дата регистрации</t>
  </si>
  <si>
    <t>M11610</t>
  </si>
  <si>
    <t>Дата начала действия тарифа</t>
  </si>
  <si>
    <t>M11612</t>
  </si>
  <si>
    <t>Метод регулирования, предложенный организацией</t>
  </si>
  <si>
    <t>324.7.0.</t>
  </si>
  <si>
    <t>M11802</t>
  </si>
  <si>
    <t>22.0.7.</t>
  </si>
  <si>
    <t>ЧСЛ</t>
  </si>
  <si>
    <t>M11226</t>
  </si>
  <si>
    <t>Год</t>
  </si>
  <si>
    <t>22.0.8.</t>
  </si>
  <si>
    <t>M11614</t>
  </si>
  <si>
    <t>1</t>
  </si>
  <si>
    <t>Тариф на тепловую энергию (мощность), поставляемую потребителям</t>
  </si>
  <si>
    <t>вода</t>
  </si>
  <si>
    <t>одноставочный</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</si>
  <si>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</si>
  <si>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Доп. признак не требуется</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</si>
  <si>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</si>
  <si>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</si>
  <si>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</si>
  <si>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</si>
  <si>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РЭК/16-КК-Инвест-2027 от 27.04.2026</t>
  </si>
  <si>
    <t>M11613</t>
  </si>
  <si>
    <t>ФИО уполномоченного по делу</t>
  </si>
  <si>
    <t>Ермак Наталья Валентиновна</t>
  </si>
  <si>
    <t>16.0.28.</t>
  </si>
  <si>
    <t>Должность уполномоченного по делу</t>
  </si>
  <si>
    <t>Начальник отдела  ценообразования в сфере 
газоснабжения и теплоэнергетики</t>
  </si>
  <si>
    <t>Контактный телефон уполномоченного по делу</t>
  </si>
  <si>
    <t>+7(384-2)-36-69-52</t>
  </si>
  <si>
    <t>e-mail уполномоченного по делу</t>
  </si>
  <si>
    <t>ermak-nv@recko.ako.ru</t>
  </si>
  <si>
    <t>Добавить строку</t>
  </si>
  <si>
    <t>Выбранный метод регулирования</t>
  </si>
  <si>
    <t>M10865</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</si>
  <si>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</si>
  <si>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360.0.25.</t>
  </si>
  <si>
    <t>Тариф корректируется только на период регулирования</t>
  </si>
  <si>
    <t>360.0.26.</t>
  </si>
  <si>
    <t>pok_js</t>
  </si>
  <si>
    <t>PJ_DYN</t>
  </si>
  <si>
    <t>PJ_NAME</t>
  </si>
  <si>
    <t>PJ_NAME_MO</t>
  </si>
  <si>
    <t>PJ_NAME_OKTMO</t>
  </si>
  <si>
    <t>dyn_add</t>
  </si>
  <si>
    <t>dyn_fill</t>
  </si>
  <si>
    <t>uni_mo_NAME</t>
  </si>
  <si>
    <t>uni_oktmo_NAME</t>
  </si>
  <si>
    <t>uni_mr_NAME</t>
  </si>
  <si>
    <t>MR_NAME</t>
  </si>
  <si>
    <t>MO_NAME</t>
  </si>
  <si>
    <t>OKTMO</t>
  </si>
  <si>
    <t>PJ_TERR</t>
  </si>
  <si>
    <t>dyn_names</t>
  </si>
  <si>
    <t>V_UNIT</t>
  </si>
  <si>
    <t>V_POK</t>
  </si>
  <si>
    <t>M10749</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</si>
  <si>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</si>
  <si>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</si>
  <si>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</si>
  <si>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</si>
  <si>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</si>
  <si>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</si>
  <si>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</si>
  <si>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</si>
  <si>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</si>
  <si>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</si>
  <si>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Кемеровский муниципальный округ</t>
  </si>
  <si>
    <t>32507000</t>
  </si>
  <si>
    <t>{                  _x000D_
         funcDyn: 'msg1',_x000D_
         blok: 'blok_1',_x000D_
         wsCross: 'Список объектов',_x000D_
         linkFormula: 'AB-AB',_x000D_
         levelDyn: ''_x000D_
}</t>
  </si>
  <si>
    <t>PJ_NAME_EXP</t>
  </si>
  <si>
    <t>PJ_NAME_DOC_TYPE</t>
  </si>
  <si>
    <t>PJ_NAME_DOC_NUM</t>
  </si>
  <si>
    <t>PJ_NAME_DOC_DATE</t>
  </si>
  <si>
    <t>uni_object_NAME</t>
  </si>
  <si>
    <t>roi_guid_NAME</t>
  </si>
  <si>
    <t>PJ_OBJ</t>
  </si>
  <si>
    <t>M11748</t>
  </si>
  <si>
    <t>M11592</t>
  </si>
  <si>
    <t>M11593</t>
  </si>
  <si>
    <t>M11594</t>
  </si>
  <si>
    <t>M11595</t>
  </si>
  <si>
    <t>V_COMMENT</t>
  </si>
  <si>
    <t>Основание эксплуатации</t>
  </si>
  <si>
    <t>Вид документа</t>
  </si>
  <si>
    <t>Номер документа</t>
  </si>
  <si>
    <t>Дата документа</t>
  </si>
  <si>
    <t>Срок действия</t>
  </si>
  <si>
    <t>Перечень объектов коммунальной инфраструктуры, эксплуатируемых организацией</t>
  </si>
  <si>
    <t>Объект коммунальной инфраструктуры</t>
  </si>
  <si>
    <t>Наименование объекта</t>
  </si>
  <si>
    <t>адрес</t>
  </si>
  <si>
    <t>P_OBJ_PROPS</t>
  </si>
  <si>
    <t>DYN_OBJ</t>
  </si>
  <si>
    <t>{                  _x000D_
         funcDyn: 'obj',_x000D_
         blok: '',_x000D_
         wsCross: '',_x000D_
         linkFormula: '',_x000D_
         levelDyn: ''_x000D_
}</t>
  </si>
  <si>
    <t>Добавить объект</t>
  </si>
  <si>
    <t>Котельная ЦО "Притомье"</t>
  </si>
  <si>
    <t>8f55f152-1963-42d0-a8a3-ce75838df31d</t>
  </si>
  <si>
    <t>с Березово, Кемеровская область - Кузбасс, Кемеровский муниципальный округ, с. Березово, территория Притомье, здание 3, Кемеровская область - Кузбасс, Кемеровский муниципальный округ, с. Березово, территория Притомье, здание 3</t>
  </si>
  <si>
    <t>Собственность</t>
  </si>
  <si>
    <t>Выписка из ЕГРН</t>
  </si>
  <si>
    <t>-</t>
  </si>
  <si>
    <t>{                  _x000D_
         funcDyn: 'msg1',_x000D_
         blok: 'blok_1',_x000D_
         wsCross: 'Расчет УЕ',_x000D_
         linkFormula: 'AB-AB',_x000D_
         levelDyn: ''_x000D_
}</t>
  </si>
  <si>
    <t>uni_activity_type_NAME</t>
  </si>
  <si>
    <t>uni_heat_object_NAME</t>
  </si>
  <si>
    <t>uni_length_calculating_method_NAME</t>
  </si>
  <si>
    <t>PJ_YEAR</t>
  </si>
  <si>
    <t>PJ_PF</t>
  </si>
  <si>
    <t>PJ_DOP</t>
  </si>
  <si>
    <t>uni_org_reg_NAME</t>
  </si>
  <si>
    <t>328.0.2.</t>
  </si>
  <si>
    <t>328.0.1.</t>
  </si>
  <si>
    <t>uni_pf_NAME</t>
  </si>
  <si>
    <t>36.0.7.</t>
  </si>
  <si>
    <t>36.0.3.</t>
  </si>
  <si>
    <t>Наименование показателя</t>
  </si>
  <si>
    <t>Единица измерения</t>
  </si>
  <si>
    <t>Комментарии</t>
  </si>
  <si>
    <t>Принято органом регулирования</t>
  </si>
  <si>
    <t>Предложение организации</t>
  </si>
  <si>
    <t>YE</t>
  </si>
  <si>
    <t>L3</t>
  </si>
  <si>
    <t>Количество условных единиц для производства</t>
  </si>
  <si>
    <t>УЕ</t>
  </si>
  <si>
    <t>P_PROD_UE_COUNT</t>
  </si>
  <si>
    <t>83.0.1.</t>
  </si>
  <si>
    <t>Количество, ед.</t>
  </si>
  <si>
    <t>M</t>
  </si>
  <si>
    <t>Установленная тепловая мощность</t>
  </si>
  <si>
    <t>Гкал/час</t>
  </si>
  <si>
    <t>P_HEAT_POWER</t>
  </si>
  <si>
    <t>M10496</t>
  </si>
  <si>
    <t>Установленная тепловая мощность, Гкал/час</t>
  </si>
  <si>
    <t>Yeп</t>
  </si>
  <si>
    <t>Количество условных единиц для передачи</t>
  </si>
  <si>
    <t>P_TRANSF_UE_COUNT</t>
  </si>
  <si>
    <t>83.0.2.</t>
  </si>
  <si>
    <t>Тепломагистраль</t>
  </si>
  <si>
    <t>P_HEAT_MAIN</t>
  </si>
  <si>
    <t>314.0.3.</t>
  </si>
  <si>
    <t>2.1.1</t>
  </si>
  <si>
    <t>Однотрубные</t>
  </si>
  <si>
    <t>P_SP</t>
  </si>
  <si>
    <t>238.0.1.</t>
  </si>
  <si>
    <t>Средний диаметр</t>
  </si>
  <si>
    <t>мм</t>
  </si>
  <si>
    <t>P_SP_AVER_DIAM</t>
  </si>
  <si>
    <t>M11829</t>
  </si>
  <si>
    <t>Средний диаметр трубопровода, мм</t>
  </si>
  <si>
    <t>Протяженность</t>
  </si>
  <si>
    <t>км</t>
  </si>
  <si>
    <t>P_SP_LENGTH</t>
  </si>
  <si>
    <t>360.0.3.</t>
  </si>
  <si>
    <t>M11181</t>
  </si>
  <si>
    <t>Протяжённость сетей в однотрубном исчислении, км.</t>
  </si>
  <si>
    <t>2.1.2</t>
  </si>
  <si>
    <t>Двухтрубные</t>
  </si>
  <si>
    <t>P_DP</t>
  </si>
  <si>
    <t>238.0.2.</t>
  </si>
  <si>
    <t>P_DP_AVER_DIAM</t>
  </si>
  <si>
    <t>P_DP_LENGTH</t>
  </si>
  <si>
    <t>M10762</t>
  </si>
  <si>
    <t>протяжённость сетей (в двухтрубном исчислении), км.</t>
  </si>
  <si>
    <t>2.1.3</t>
  </si>
  <si>
    <t>Трехтрубные</t>
  </si>
  <si>
    <t>P_TP</t>
  </si>
  <si>
    <t>238.0.3.</t>
  </si>
  <si>
    <t>P_TP_AVER_DIAM</t>
  </si>
  <si>
    <t>P_TP_LENGTH</t>
  </si>
  <si>
    <t>M10682</t>
  </si>
  <si>
    <t>Протяжённость сетей, км</t>
  </si>
  <si>
    <t>2.1.4</t>
  </si>
  <si>
    <t>Четырехтрубные</t>
  </si>
  <si>
    <t>P_FP</t>
  </si>
  <si>
    <t>238.0.4.</t>
  </si>
  <si>
    <t>P_FP_AVER_DIAM</t>
  </si>
  <si>
    <t>P_FP_LENGTH</t>
  </si>
  <si>
    <t>Тепловой узел на балансе организации, осуществляющей деятельность по передаче тепловой энергии, теплоносителя</t>
  </si>
  <si>
    <t>1 узел</t>
  </si>
  <si>
    <t>P_HEAT_UNIT</t>
  </si>
  <si>
    <t>314.0.4.</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</si>
  <si>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</si>
  <si>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</si>
  <si>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</si>
  <si>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314.0.5.</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</si>
  <si>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</si>
  <si>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</si>
  <si>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M11813</t>
  </si>
  <si>
    <t>Расчетная присоединительная тепловая мощность, Гкал/час</t>
  </si>
  <si>
    <t>{                  _x000D_
         funcDyn: 'msg1',_x000D_
         blok: 'blok_1',_x000D_
         wsCross: 'Сценарии',_x000D_
         linkFormula: 'AB-AB',_x000D_
         levelDyn: ''_x000D_
}</t>
  </si>
  <si>
    <t>uni_energy_source_water_NAME</t>
  </si>
  <si>
    <t>uni_gas_supply_NAME</t>
  </si>
  <si>
    <t>uni_tariff_class_NAME</t>
  </si>
  <si>
    <t>uni_fuel_transportation_account_NAME</t>
  </si>
  <si>
    <t>uni_fuel_type_NAME</t>
  </si>
  <si>
    <t>checkUnique</t>
  </si>
  <si>
    <t>Наименование параметра</t>
  </si>
  <si>
    <t>Ставка НДС</t>
  </si>
  <si>
    <t>%</t>
  </si>
  <si>
    <t>P_NDS_COMMON</t>
  </si>
  <si>
    <t>M11247</t>
  </si>
  <si>
    <t>Ставка НДС, %</t>
  </si>
  <si>
    <t>Индексы</t>
  </si>
  <si>
    <t>ИОР</t>
  </si>
  <si>
    <t>Индекс эффективности операционных расходов</t>
  </si>
  <si>
    <t>P_IND_1</t>
  </si>
  <si>
    <t>110.0.1.</t>
  </si>
  <si>
    <t>M11758</t>
  </si>
  <si>
    <t>Индекс эффективности операционных расходов, %</t>
  </si>
  <si>
    <t>Индекс эффективности операционных расходов для концессий (при наличии)</t>
  </si>
  <si>
    <t>P_IND_2</t>
  </si>
  <si>
    <t>DYN_INDEX</t>
  </si>
  <si>
    <t>110.0.11.</t>
  </si>
  <si>
    <t>{                  _x000D_
         funcDyn: 'msg',_x000D_
         blok: '',_x000D_
         wsCross: '',_x000D_
         linkFormula: '',_x000D_
         levelDyn: '1'_x000D_
}</t>
  </si>
  <si>
    <t>ИПЦ</t>
  </si>
  <si>
    <t>Индекс потребительских цен</t>
  </si>
  <si>
    <t>P_IND_CONS_PRICE</t>
  </si>
  <si>
    <t>M10621</t>
  </si>
  <si>
    <t>Индекс потребительских цен, %</t>
  </si>
  <si>
    <t>Индекс изменения цен на электроэнергию</t>
  </si>
  <si>
    <t>P_IND_PRICE_CNANGE</t>
  </si>
  <si>
    <t>129.0.1.</t>
  </si>
  <si>
    <t>M11245</t>
  </si>
  <si>
    <t>Индекс роста цен, %</t>
  </si>
  <si>
    <t>Индекс изменения размера платы граждан за коммунальные услуги</t>
  </si>
  <si>
    <t>P_IND_PAYMENT</t>
  </si>
  <si>
    <t>M10312</t>
  </si>
  <si>
    <t>Индекс изменения размера вносимой гражданами платы за коммунальные услуги в среднем по субъекту РФ, %</t>
  </si>
  <si>
    <t>Индекс изменения цен на природный газ</t>
  </si>
  <si>
    <t>P_IND_GAS</t>
  </si>
  <si>
    <t>268.0.3.</t>
  </si>
  <si>
    <t>Индекс изменения цен на снабженческо-сбытовую надбавку</t>
  </si>
  <si>
    <t>P_IND_SUPPLY</t>
  </si>
  <si>
    <t>352.0.46.</t>
  </si>
  <si>
    <t>Индекс изменения цен на транспортировку газа</t>
  </si>
  <si>
    <t>P_IND_GAS_TRANSP</t>
  </si>
  <si>
    <t>83.0.17.</t>
  </si>
  <si>
    <t>Расчетная теплота сгорания 1 куб.м. природного газа</t>
  </si>
  <si>
    <t>Ккал/м3</t>
  </si>
  <si>
    <t>P_IND_BURN_GAS</t>
  </si>
  <si>
    <t>M11814</t>
  </si>
  <si>
    <t>Расчетная теплота сгорания природного газа</t>
  </si>
  <si>
    <t>Оптовая цена на природный газ</t>
  </si>
  <si>
    <t>руб./тыс.м3</t>
  </si>
  <si>
    <t>P_IND_WHOLESALE</t>
  </si>
  <si>
    <t>M10449</t>
  </si>
  <si>
    <t>Регулируемая (расчётная) оптовая цена, без НДС, руб./тыс.куб.м.</t>
  </si>
  <si>
    <t>Теплота сгорания 1 кг условного топлива</t>
  </si>
  <si>
    <t>Ккал/кг</t>
  </si>
  <si>
    <t>P_IND_BURN_OTHER</t>
  </si>
  <si>
    <t>167.0.6.</t>
  </si>
  <si>
    <t>M11815</t>
  </si>
  <si>
    <t>Теплота сгорания условного топлива</t>
  </si>
  <si>
    <t>Индекс изменения цен на уголь</t>
  </si>
  <si>
    <t>P_IND_COAL_PRICE</t>
  </si>
  <si>
    <t>101.0.5.</t>
  </si>
  <si>
    <t>Индекс изменения цен на мазут</t>
  </si>
  <si>
    <t>P_IND_MAZUT_PRICE</t>
  </si>
  <si>
    <t>101.0.3.</t>
  </si>
  <si>
    <t>Индекс изменения цен на дизельное топливо</t>
  </si>
  <si>
    <t>P_IND_DIESEL_PRICE</t>
  </si>
  <si>
    <t>101.0.2.</t>
  </si>
  <si>
    <t xml:space="preserve">Индекс изменения цен на прочее топливо </t>
  </si>
  <si>
    <t>P_IND_OTHER_PRICE</t>
  </si>
  <si>
    <t>101.0.12.</t>
  </si>
  <si>
    <t>ИКА</t>
  </si>
  <si>
    <t>Индекс изменения количества активов</t>
  </si>
  <si>
    <t>P_IND_ACTIVE</t>
  </si>
  <si>
    <t>M11597</t>
  </si>
  <si>
    <t>Индекс изменения количества активов, %</t>
  </si>
  <si>
    <t>КЭ</t>
  </si>
  <si>
    <t xml:space="preserve">Коэффициент эластичности затрат по росту _x000D_
активов </t>
  </si>
  <si>
    <t>P_KOEF_ACTIVE</t>
  </si>
  <si>
    <t>M11816</t>
  </si>
  <si>
    <t>Коэффициент эластичности затрат по росту активов</t>
  </si>
  <si>
    <t>P_IND_3</t>
  </si>
  <si>
    <t>DYN_INDEX_2</t>
  </si>
  <si>
    <t>Добавить индекс</t>
  </si>
  <si>
    <t>Налоговые ставки</t>
  </si>
  <si>
    <t>СВФОТ</t>
  </si>
  <si>
    <t>Ставка страховых взносов с ФОТ</t>
  </si>
  <si>
    <t>P_TAX_FOT</t>
  </si>
  <si>
    <t>M11246</t>
  </si>
  <si>
    <t>Ставка страховых взносов с ФОТ, %</t>
  </si>
  <si>
    <t>Ставки налога на имущество</t>
  </si>
  <si>
    <t>P_TAX_PROPERTY</t>
  </si>
  <si>
    <t>M11253</t>
  </si>
  <si>
    <t>Ставки налога на имущество, %</t>
  </si>
  <si>
    <t>Ставка налога при УСН</t>
  </si>
  <si>
    <t>P_TAX_USN</t>
  </si>
  <si>
    <t>M11254</t>
  </si>
  <si>
    <t>Ставка налога при УСН, %</t>
  </si>
  <si>
    <t>Ставка налога на прибыль</t>
  </si>
  <si>
    <t>P_TAX_INCOME</t>
  </si>
  <si>
    <t>M10611</t>
  </si>
  <si>
    <t>Ставка налога на прибыль, %</t>
  </si>
  <si>
    <t>{                  _x000D_
         funcDyn: 'msg1',_x000D_
         blok: 'blok_1',_x000D_
         wsCross: 'Сценарии (МСА)',_x000D_
         linkFormula: 'AB-AB',_x000D_
         levelDyn: ''_x000D_
}</t>
  </si>
  <si>
    <t>uni_plan_delta_NAME</t>
  </si>
  <si>
    <t>uni_period_grow_NAME</t>
  </si>
  <si>
    <t>Пояснение</t>
  </si>
  <si>
    <r>
      <t>Индексы потребительских цен, определенные до начала долгосрочного периода и учтенные в расчете НВВ</t>
    </r>
    <r>
      <rPr>
        <charset val="204"/>
        <color theme="1"/>
        <family val="2"/>
        <rFont val="Tahoma"/>
        <sz val="9"/>
        <vertAlign val="superscript"/>
      </rPr>
      <t>Д</t>
    </r>
  </si>
  <si>
    <t>к предыдущему году</t>
  </si>
  <si>
    <t>P_IND_PRICE_LAST_YEAR</t>
  </si>
  <si>
    <t>366.0.4.</t>
  </si>
  <si>
    <t>22.0.10.</t>
  </si>
  <si>
    <t>нарастающим итогом</t>
  </si>
  <si>
    <t>P_IND_PRICE_TOTAL</t>
  </si>
  <si>
    <t>35.0.1.</t>
  </si>
  <si>
    <t>Уточненные индексы потребительских цен факт (прогноз)</t>
  </si>
  <si>
    <t>P_IND_PRICE_EXACT_LAST_YEAR</t>
  </si>
  <si>
    <t>36.0.4.</t>
  </si>
  <si>
    <t>P_IND_PRICE_EXACT_TOTAL</t>
  </si>
  <si>
    <t>Индекс эффективности расходов</t>
  </si>
  <si>
    <t>P_IND_EXPENSES</t>
  </si>
  <si>
    <t>M10620</t>
  </si>
  <si>
    <t>Индекс эффективности расходов, %</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</si>
  <si>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</si>
  <si>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</si>
  <si>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uni_fuel_for_NAME</t>
  </si>
  <si>
    <t>uni_heat_source_NAME</t>
  </si>
  <si>
    <t>uni_heat_carrier_NAME</t>
  </si>
  <si>
    <t>uni_heat_energy_output_NAME</t>
  </si>
  <si>
    <t>uni_consumer_type_NAME</t>
  </si>
  <si>
    <t>uni_user_destination_heat_energy_NAME</t>
  </si>
  <si>
    <t>36.0.1.</t>
  </si>
  <si>
    <t>M11578</t>
  </si>
  <si>
    <t>URL-ссылка на обосновывающие материалы</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</si>
  <si>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</si>
  <si>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</si>
  <si>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</si>
  <si>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</si>
  <si>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</si>
  <si>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</si>
  <si>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</si>
  <si>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266.0.1.</t>
  </si>
  <si>
    <t>M10498</t>
  </si>
  <si>
    <t>Выработка, Гкал</t>
  </si>
  <si>
    <t>ТЭЦ</t>
  </si>
  <si>
    <t>P_TOTAL_TEC</t>
  </si>
  <si>
    <t>297.0.5.</t>
  </si>
  <si>
    <t>теплоноситель - вода</t>
  </si>
  <si>
    <t>P_TOTAL_TEC_WATER</t>
  </si>
  <si>
    <t>148.0.1.</t>
  </si>
  <si>
    <t>теплоноситель - пар</t>
  </si>
  <si>
    <t>P_TOTAL_TEC_STEAM</t>
  </si>
  <si>
    <t>148.0.8.</t>
  </si>
  <si>
    <t>котельные</t>
  </si>
  <si>
    <t>P_TOTAL_BOIL</t>
  </si>
  <si>
    <t>297.0.3.</t>
  </si>
  <si>
    <t>P_TOTAL_BOIL_WATER</t>
  </si>
  <si>
    <t>P_TOTAL_BOIL_STEAM</t>
  </si>
  <si>
    <t>электробойлерные</t>
  </si>
  <si>
    <t>P_TOTAL_EL_BOIL</t>
  </si>
  <si>
    <t>297.0.6.</t>
  </si>
  <si>
    <t>Собственные нужды источника тепловой энергии</t>
  </si>
  <si>
    <t>P_SELF</t>
  </si>
  <si>
    <t>M10499</t>
  </si>
  <si>
    <t>Собственные нужды источника тепла, Гкал</t>
  </si>
  <si>
    <t>P_SELF_TEC</t>
  </si>
  <si>
    <t>P_SELF_TEC_WATER</t>
  </si>
  <si>
    <t>P_SELF_TEC_STEAM</t>
  </si>
  <si>
    <t>P_SELF_BOIL</t>
  </si>
  <si>
    <t>2.2.1</t>
  </si>
  <si>
    <t>P_SELF_BOIL_WATER</t>
  </si>
  <si>
    <t>2.2.2</t>
  </si>
  <si>
    <t>P_SELF_BOIL_STEAM</t>
  </si>
  <si>
    <t>P_SELF_EL_BOIL</t>
  </si>
  <si>
    <t>Отпуск тепловой энергии, поставляемой с коллекторов источника тепловой энергии, всего</t>
  </si>
  <si>
    <t>P_RELEASE_COLLECT</t>
  </si>
  <si>
    <t>90.0.9.</t>
  </si>
  <si>
    <t>M10505</t>
  </si>
  <si>
    <t>Отпуск тепловой энергии, Гкал</t>
  </si>
  <si>
    <t>P_RELEASE_COLLECT_TEC</t>
  </si>
  <si>
    <t>P_RELEASE_COLLECT_TEC_WATER</t>
  </si>
  <si>
    <t>P_RELEASE_COLLECT_TEC_STEAM</t>
  </si>
  <si>
    <t>P_RELEASE_COLLECT_BOIL</t>
  </si>
  <si>
    <t>P_RELEASE_COLLECT_BOIL_WATER</t>
  </si>
  <si>
    <t>P_RELEASE_COLLECT_BOIL_STEAM</t>
  </si>
  <si>
    <t>P_RELEASE_COLLECT_EL_BOIL</t>
  </si>
  <si>
    <t>Объем покупной тепловой энергии</t>
  </si>
  <si>
    <t>P_PURCHASED</t>
  </si>
  <si>
    <t>90.0.10.</t>
  </si>
  <si>
    <t>M10588</t>
  </si>
  <si>
    <t>Объём энергии, Гкал</t>
  </si>
  <si>
    <t>P_PURCHASED_WATER</t>
  </si>
  <si>
    <t>P_PURCHASED_STEAM</t>
  </si>
  <si>
    <t>Расход тепловой энергии на хозяйственные нужды</t>
  </si>
  <si>
    <t>P_HOZ</t>
  </si>
  <si>
    <t>33.0.10.</t>
  </si>
  <si>
    <t>Отпуск тепловой энергии с коллекторов</t>
  </si>
  <si>
    <t>P_COLLECT</t>
  </si>
  <si>
    <t>149.0.1.</t>
  </si>
  <si>
    <t>P_COLLECT_WATER</t>
  </si>
  <si>
    <t>На нужды предприятия</t>
  </si>
  <si>
    <t>P_COLLECT_WATER_SELF</t>
  </si>
  <si>
    <t>90.0.11.</t>
  </si>
  <si>
    <t>Полезный отпуск по группам потребителей, всего, в т.ч.:</t>
  </si>
  <si>
    <t>P_COLLECT_RELEASE_TOTAL</t>
  </si>
  <si>
    <t>90.0.12.</t>
  </si>
  <si>
    <t>Другие теплоснабжающие организации</t>
  </si>
  <si>
    <t>P_COLLECT_RELEASE_HEAT</t>
  </si>
  <si>
    <t>205.0.4.</t>
  </si>
  <si>
    <t>Финансируемые из бюджетов всех уровней</t>
  </si>
  <si>
    <t>P_COLLECT_RELEASE_BUDJET</t>
  </si>
  <si>
    <t>33.0.5.</t>
  </si>
  <si>
    <t>Население</t>
  </si>
  <si>
    <t>P_COLLECT_RELEASE_PEOPLE</t>
  </si>
  <si>
    <t>33.0.1.</t>
  </si>
  <si>
    <t>Прочие потребители</t>
  </si>
  <si>
    <t>P_COLLECT_RELEASE_OTHER</t>
  </si>
  <si>
    <t>33.0.6.</t>
  </si>
  <si>
    <t>В собственную сеть</t>
  </si>
  <si>
    <t>P_COLLECT_RELEASE_SELF</t>
  </si>
  <si>
    <t>33.0.8.</t>
  </si>
  <si>
    <t>P_COLLECT_STEAM</t>
  </si>
  <si>
    <t>Отпуск тепловой энергии в сеть</t>
  </si>
  <si>
    <t>P_RELEASE_HEAT_TOTAL</t>
  </si>
  <si>
    <t>149.0.2.</t>
  </si>
  <si>
    <t>P_RELEASE_HEAT_WATER</t>
  </si>
  <si>
    <t>P_RELEASE_HEAT_STEAM</t>
  </si>
  <si>
    <t>Потери тепловой энергии в сети теплоснабжающей организации</t>
  </si>
  <si>
    <t>P_LOSS_TOTAL</t>
  </si>
  <si>
    <t>M10501</t>
  </si>
  <si>
    <t>Потери в сетях, Гкал</t>
  </si>
  <si>
    <t>P_LOSS_WATER</t>
  </si>
  <si>
    <t>то же в % к отпуску в сеть</t>
  </si>
  <si>
    <t>P_LOSS_WATER_PERCENT</t>
  </si>
  <si>
    <t>M11817</t>
  </si>
  <si>
    <t>Потери в % к отпуску в сеть</t>
  </si>
  <si>
    <t>P_LOSS_STEAM</t>
  </si>
  <si>
    <t>P_LOSS_STEAM_PERCENT</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</si>
  <si>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</si>
  <si>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</si>
  <si>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</si>
  <si>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</si>
  <si>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</si>
  <si>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</si>
  <si>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</si>
  <si>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</si>
  <si>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</si>
  <si>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</si>
  <si>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</si>
  <si>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</si>
  <si>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</si>
  <si>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</si>
  <si>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</si>
  <si>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</si>
  <si>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</si>
  <si>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</si>
  <si>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</si>
  <si>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</si>
  <si>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</si>
  <si>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</si>
  <si>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</si>
  <si>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Суммарная договорная (заявленная) тепловая нагрузка потребителей тепловой энергии</t>
  </si>
  <si>
    <t>Гкал/ч</t>
  </si>
  <si>
    <t>P_LOAD_TOTAL</t>
  </si>
  <si>
    <t>M11341</t>
  </si>
  <si>
    <t>Тепловая нагрузка, Гкал/час</t>
  </si>
  <si>
    <t>P_LOAD_HEAT</t>
  </si>
  <si>
    <t>P_LOAD_BUDJET</t>
  </si>
  <si>
    <t>P_LOAD_PEOPLE</t>
  </si>
  <si>
    <t>P_LOAD_OTHER</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</si>
  <si>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</si>
  <si>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</si>
  <si>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M11818</t>
  </si>
  <si>
    <t>Коэффициент соотношения установленной мощности и заявленной нагрузки</t>
  </si>
  <si>
    <t>{                  _x000D_
         funcDyn: 'msg1',_x000D_
         blok: 'blok_1',_x000D_
         wsCross: 'Баланс Тр',_x000D_
         linkFormula: 'AB-AB',_x000D_
         levelDyn: ''_x000D_
}</t>
  </si>
  <si>
    <t>Комментарии и обоснования к разделу</t>
  </si>
  <si>
    <t>Добавить комментарий</t>
  </si>
  <si>
    <t>uni_heat_transport_type_NAME</t>
  </si>
  <si>
    <t>Принято тепловой энергии для передачи (транспортировки)</t>
  </si>
  <si>
    <t>P_RECIEVED_TOTAL</t>
  </si>
  <si>
    <t>M10503</t>
  </si>
  <si>
    <t>Принято тепловой энергии для передачи (транспортировки), Гкал</t>
  </si>
  <si>
    <t>Потери тепловой энергии в сети теплосетевой организации</t>
  </si>
  <si>
    <t>P_HEAT_LOSS</t>
  </si>
  <si>
    <t>277.0.1.</t>
  </si>
  <si>
    <t>M10504</t>
  </si>
  <si>
    <t>Потери, Гкал</t>
  </si>
  <si>
    <t xml:space="preserve">то же в % </t>
  </si>
  <si>
    <t>P_HEAT_LOSS_PERCENT</t>
  </si>
  <si>
    <t>Передано тепловой энергии, всего</t>
  </si>
  <si>
    <t>P_RELEASE_TOTAL</t>
  </si>
  <si>
    <t>Передано на нужды организации</t>
  </si>
  <si>
    <t>P_RELEASE_SELF</t>
  </si>
  <si>
    <t>33.0.12.</t>
  </si>
  <si>
    <t>P_RELEASE_HEAT</t>
  </si>
  <si>
    <t>{                  _x000D_
         funcDyn: 'msg1',_x000D_
         blok: 'blok_1',_x000D_
         wsCross: 'Топливо 4.4',_x000D_
         linkFormula: 'AB-AB',_x000D_
         levelDyn: ''_x000D_
}</t>
  </si>
  <si>
    <t>vis_a</t>
  </si>
  <si>
    <t>vis_b</t>
  </si>
  <si>
    <t>PJ_NAME_DOP</t>
  </si>
  <si>
    <t>uni_expense_type_NAME</t>
  </si>
  <si>
    <t>uni_enterprise_techno_need_NAME</t>
  </si>
  <si>
    <t>uni_transportation_type_NAME</t>
  </si>
  <si>
    <t>Показатель</t>
  </si>
  <si>
    <t>Описание показателя</t>
  </si>
  <si>
    <t>uni_period_NAME</t>
  </si>
  <si>
    <t>8.0.1.</t>
  </si>
  <si>
    <t>8.0.3.</t>
  </si>
  <si>
    <t>8.0.5.</t>
  </si>
  <si>
    <t>M11496</t>
  </si>
  <si>
    <t>URL- ссылка на отчёт и подтверждающие материалы</t>
  </si>
  <si>
    <t>N п/п</t>
  </si>
  <si>
    <t>Показатели</t>
  </si>
  <si>
    <t>1 полугодие</t>
  </si>
  <si>
    <t>2 полугодие</t>
  </si>
  <si>
    <t>Комби</t>
  </si>
  <si>
    <t>отпуск ЭЭ или ТЭ</t>
  </si>
  <si>
    <t>Выработка электроэнергии, всего</t>
  </si>
  <si>
    <t>тыс.кВтч</t>
  </si>
  <si>
    <t>P_EE_GEN</t>
  </si>
  <si>
    <t>M11190</t>
  </si>
  <si>
    <t>Объём электроэнергии, тыс.кВт*ч</t>
  </si>
  <si>
    <t>Расход электроэнергии на собственные нужды:</t>
  </si>
  <si>
    <t>P_EE_USE</t>
  </si>
  <si>
    <t>M10805</t>
  </si>
  <si>
    <t>Расход. Энергия, тыс.кВт*ч</t>
  </si>
  <si>
    <t>на производство электроэнергии</t>
  </si>
  <si>
    <t>P_EE_USE_PROD</t>
  </si>
  <si>
    <t>1.0.47.</t>
  </si>
  <si>
    <t>то же в % к выработке электроэнергии</t>
  </si>
  <si>
    <t>P_EE_USE_PROD_PERCENT</t>
  </si>
  <si>
    <t>M10532</t>
  </si>
  <si>
    <t>Доля, %</t>
  </si>
  <si>
    <t>на производство тепловой энергии</t>
  </si>
  <si>
    <t>P_EE_USE_HEAT</t>
  </si>
  <si>
    <t>1.0.46.</t>
  </si>
  <si>
    <t>то же в кВтч/Гкал</t>
  </si>
  <si>
    <t>кВтч/Гкал</t>
  </si>
  <si>
    <t>P_EE_USE_KWT_GKAL</t>
  </si>
  <si>
    <t>M11213</t>
  </si>
  <si>
    <t>Удельный расход электрической энергии на производство (передачу) тепловой энергии для потребителей, тыс. кВт.ч/Гкал</t>
  </si>
  <si>
    <t>Отпуск электроэнергии с шин</t>
  </si>
  <si>
    <t>P_EE_OUTPUT</t>
  </si>
  <si>
    <t>Расход электроэнергии на производственные и хозяйственные нужды</t>
  </si>
  <si>
    <t>P_EE_USE_HOZ</t>
  </si>
  <si>
    <t>159.0.2.</t>
  </si>
  <si>
    <t>M10543</t>
  </si>
  <si>
    <t>Расход, тыс.кВт*ч</t>
  </si>
  <si>
    <t>то же в % к отпуску с шин</t>
  </si>
  <si>
    <t>P_EE_USE_HOZ_PERCENT</t>
  </si>
  <si>
    <t>Расход электроэнергии на потери в трансформаторах</t>
  </si>
  <si>
    <t>P_EE_USE_LOSS</t>
  </si>
  <si>
    <t>159.0.4.</t>
  </si>
  <si>
    <t>P_EE_USE_LOSS_PERCENT</t>
  </si>
  <si>
    <t>Полезный отпуск электроэнергии в сеть</t>
  </si>
  <si>
    <t>P_EE_RELEASE</t>
  </si>
  <si>
    <t>205.0.9.</t>
  </si>
  <si>
    <t>M11819</t>
  </si>
  <si>
    <t>Отпуск электроэнергии, тыс.кВтч</t>
  </si>
  <si>
    <t>Отпуск тепловой энергии, поставляемой с коллекторов источника тепловой энергии</t>
  </si>
  <si>
    <t>P_HEAT_RELEASE_COLL</t>
  </si>
  <si>
    <t>129.0.2.</t>
  </si>
  <si>
    <t>Расход теплоэнергии на хозяйственные нужды:</t>
  </si>
  <si>
    <t>P_HEAT_USE_HOZ</t>
  </si>
  <si>
    <t>то же в % к отпуску теплоэнергии</t>
  </si>
  <si>
    <t>P_HEAT_USE_HOZ_PERCENT</t>
  </si>
  <si>
    <t>Отпуск тепловой энергии от источника тепловой энергии (полезный отпуск)</t>
  </si>
  <si>
    <t>P_HEAT_RELEASE</t>
  </si>
  <si>
    <t>314.0.1.</t>
  </si>
  <si>
    <t>P_EE_OUTPUT_10</t>
  </si>
  <si>
    <t>Нормативный удельный расход условного топлива на производство электроэнергии</t>
  </si>
  <si>
    <t>г/кВтч</t>
  </si>
  <si>
    <t>P_STANDART_FUEL_CONS_EE</t>
  </si>
  <si>
    <t>129.0.4.</t>
  </si>
  <si>
    <t>M10525</t>
  </si>
  <si>
    <t>Нормативный удельный расход топлива, кг у.т./Гкал</t>
  </si>
  <si>
    <t>Расход условного топлива на производство электроэнергии</t>
  </si>
  <si>
    <t>тут</t>
  </si>
  <si>
    <t>P_FUEL_CONS_EE</t>
  </si>
  <si>
    <t>M11137</t>
  </si>
  <si>
    <t>Удельный расход топлива на производство единицы тепловой энергии, т.у.т./Гкал</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</si>
  <si>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</si>
  <si>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</si>
  <si>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</si>
  <si>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</si>
  <si>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</si>
  <si>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</si>
  <si>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</si>
  <si>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M10540</t>
  </si>
  <si>
    <t>Расход, тут</t>
  </si>
  <si>
    <t>Расход т у.т., всего</t>
  </si>
  <si>
    <t>P_FUEL_UT</t>
  </si>
  <si>
    <t>Удельный вес расхода топлива на производство тепловой энергии (п.15/п.16)</t>
  </si>
  <si>
    <t>P_FUEL_MASS</t>
  </si>
  <si>
    <t>360.0.4.</t>
  </si>
  <si>
    <t>Расход условного топлива</t>
  </si>
  <si>
    <t>P_FUEL_UT_USE</t>
  </si>
  <si>
    <t>360.0.5.</t>
  </si>
  <si>
    <t>18.0</t>
  </si>
  <si>
    <t>P_FUEL_PROD</t>
  </si>
  <si>
    <t>P_FUEL_DYN</t>
  </si>
  <si>
    <t>DYN_FUEL</t>
  </si>
  <si>
    <t>Доля</t>
  </si>
  <si>
    <t>P_FUEL_PART</t>
  </si>
  <si>
    <t>19.0</t>
  </si>
  <si>
    <t>167.0.8.</t>
  </si>
  <si>
    <t>Переводной коэффициент</t>
  </si>
  <si>
    <t>P_CONVERS_KOEF</t>
  </si>
  <si>
    <t>167.0.9.</t>
  </si>
  <si>
    <t>20.0</t>
  </si>
  <si>
    <t>M10549</t>
  </si>
  <si>
    <t>Коэффициент</t>
  </si>
  <si>
    <t>Расход натурального топлива</t>
  </si>
  <si>
    <t>P_NAT_FUEL_CONS</t>
  </si>
  <si>
    <t>21.0</t>
  </si>
  <si>
    <t>167.0.1.</t>
  </si>
  <si>
    <t>M10804</t>
  </si>
  <si>
    <t>Расход натурального топлива, тнт</t>
  </si>
  <si>
    <t>Покупка</t>
  </si>
  <si>
    <t>Индекс роста цен натурального топлива</t>
  </si>
  <si>
    <t>P_NAT_FUEL_PRICE_IND</t>
  </si>
  <si>
    <t>22.0</t>
  </si>
  <si>
    <t>Цена натурального топлива</t>
  </si>
  <si>
    <t>P_NAT_FUEL_PRICE</t>
  </si>
  <si>
    <t>23.0</t>
  </si>
  <si>
    <t>M10556</t>
  </si>
  <si>
    <t>Цена за единицу, руб./ед.</t>
  </si>
  <si>
    <t>Стоимость натурального топлива</t>
  </si>
  <si>
    <t>тыс.руб.</t>
  </si>
  <si>
    <t>P_NAT_FUEL_SUM</t>
  </si>
  <si>
    <t>M10523</t>
  </si>
  <si>
    <t>Стоимость, тыс.руб.</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</si>
  <si>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</si>
  <si>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</si>
  <si>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</si>
  <si>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</si>
  <si>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</si>
  <si>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</si>
  <si>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</si>
  <si>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</si>
  <si>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169.0.2.</t>
  </si>
  <si>
    <t>26.0</t>
  </si>
  <si>
    <t>M11244</t>
  </si>
  <si>
    <t>Темп роста тарифа, %</t>
  </si>
  <si>
    <t>Тариф ж/д перевозки (для газа - тариф ГРО)</t>
  </si>
  <si>
    <t>P_RAIL_TRANSP_TARIFF</t>
  </si>
  <si>
    <t>27.0</t>
  </si>
  <si>
    <t>M11029</t>
  </si>
  <si>
    <t>Тариф, руб./ед.изм.</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</si>
  <si>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</si>
  <si>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</si>
  <si>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</si>
  <si>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</si>
  <si>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</si>
  <si>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</si>
  <si>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</si>
  <si>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</si>
  <si>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Индекс роста тарифа автомобильной перевозки (для газа - тарифа ССУ)</t>
  </si>
  <si>
    <t>P_IND_CAR_TRANSP</t>
  </si>
  <si>
    <t>169.0.1.</t>
  </si>
  <si>
    <t>30.0</t>
  </si>
  <si>
    <t>Тариф автомобильной перевозки (для газа - тариф ССУ)</t>
  </si>
  <si>
    <t>P_CAR_TRANSP_TARIFF</t>
  </si>
  <si>
    <t>31.0</t>
  </si>
  <si>
    <t>Стоимость автомобильной перевозки (для газа - ПССУ)</t>
  </si>
  <si>
    <t>P_CAR_TRANSP_SUM</t>
  </si>
  <si>
    <t>P_CAR_TRANSP_SUM_DOP</t>
  </si>
  <si>
    <t>32.0</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</si>
  <si>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</si>
  <si>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</si>
  <si>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</si>
  <si>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</si>
  <si>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Индекс роста тарифа - иные виды транспортировки (для газа - спецнадбавка)</t>
  </si>
  <si>
    <t>P_IND_OTHER_TRANSP</t>
  </si>
  <si>
    <t>169.0.3.</t>
  </si>
  <si>
    <t>34.0</t>
  </si>
  <si>
    <t>Тариф - иные виды транспортировки (для газа - спецнадбавка)</t>
  </si>
  <si>
    <t>P_OTHER_TRANSP_TARIFF</t>
  </si>
  <si>
    <t>35.0</t>
  </si>
  <si>
    <t>Стоимость - иные виды транспортировки (для газа - спецнадбавка)</t>
  </si>
  <si>
    <t>P_OTHER_TRANSP_SUM</t>
  </si>
  <si>
    <t>P_OTHER_TRANSP_SUM_DOP</t>
  </si>
  <si>
    <t>36.0</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</si>
  <si>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</si>
  <si>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</si>
  <si>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</si>
  <si>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</si>
  <si>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Стоимость - хранение</t>
  </si>
  <si>
    <t>P_STORAGE_SUM</t>
  </si>
  <si>
    <t>1.0.67.</t>
  </si>
  <si>
    <t>P_STORAGE_SUM_DOP</t>
  </si>
  <si>
    <t>38.0</t>
  </si>
  <si>
    <t>Стоимость - хранение на производство тепловой энергии по видам топлива</t>
  </si>
  <si>
    <t>P_STORAGE_SUM_BY_FUEL</t>
  </si>
  <si>
    <t>39.0</t>
  </si>
  <si>
    <t>Итого</t>
  </si>
  <si>
    <t>Стоимость натурального топлива с учетом перевозки</t>
  </si>
  <si>
    <t>P_NAT_FUEL_SUM_TOTAL</t>
  </si>
  <si>
    <t>167.0.3.</t>
  </si>
  <si>
    <t>P_HEAT_SUM_TOTAL</t>
  </si>
  <si>
    <t>40.0.1</t>
  </si>
  <si>
    <t>P_HEAT_WATER_TOTAL</t>
  </si>
  <si>
    <t>40.0.2</t>
  </si>
  <si>
    <t>P_HEAT_STEAM_TOTAL</t>
  </si>
  <si>
    <t>40.0</t>
  </si>
  <si>
    <t>P_FUEL_TOTAL</t>
  </si>
  <si>
    <t>Цена условного топлива с учетом перевозки</t>
  </si>
  <si>
    <t>руб./тут</t>
  </si>
  <si>
    <t>P_UT_PRICE_TOTAL</t>
  </si>
  <si>
    <t>167.0.7.</t>
  </si>
  <si>
    <t>P_UT_PRICE_TOTAL_DOP</t>
  </si>
  <si>
    <t>41.0</t>
  </si>
  <si>
    <t>Цена натурального топлива с учетом перевозки</t>
  </si>
  <si>
    <t>P_NAT_FUEL_PRICE_TOTAL</t>
  </si>
  <si>
    <t>42.0</t>
  </si>
  <si>
    <t>Топливная составляющая тарифа</t>
  </si>
  <si>
    <t>руб./Гкал</t>
  </si>
  <si>
    <t>P_FUEL_COMPON_TOTAL</t>
  </si>
  <si>
    <t>M11616</t>
  </si>
  <si>
    <t>Топливная составляющая, руб./Гкал</t>
  </si>
  <si>
    <t>18.1</t>
  </si>
  <si>
    <t>Уголь длиннопламенный</t>
  </si>
  <si>
    <t>19.1</t>
  </si>
  <si>
    <t>20.1</t>
  </si>
  <si>
    <t>21.1</t>
  </si>
  <si>
    <t>22.1</t>
  </si>
  <si>
    <t>23.1</t>
  </si>
  <si>
    <t>24.1</t>
  </si>
  <si>
    <t>25.1</t>
  </si>
  <si>
    <t>26.1</t>
  </si>
  <si>
    <t>27.1</t>
  </si>
  <si>
    <t>28.1</t>
  </si>
  <si>
    <t>29.1</t>
  </si>
  <si>
    <t>30.1</t>
  </si>
  <si>
    <t>31.1</t>
  </si>
  <si>
    <t>32.1</t>
  </si>
  <si>
    <t>33.1</t>
  </si>
  <si>
    <t>34.1</t>
  </si>
  <si>
    <t>35.1</t>
  </si>
  <si>
    <t>36.1</t>
  </si>
  <si>
    <t>37.1</t>
  </si>
  <si>
    <t>38.1</t>
  </si>
  <si>
    <t>39.1</t>
  </si>
  <si>
    <t>40.1</t>
  </si>
  <si>
    <t>41.1</t>
  </si>
  <si>
    <t>42.1</t>
  </si>
  <si>
    <t>{                  _x000D_
         funcDyn: 'msg1',_x000D_
         blok: 'blok_1',_x000D_
         wsCross: 'ЭнергоРесурсы',_x000D_
         linkFormula: 'AB-AB',_x000D_
         levelDyn: ''_x000D_
}</t>
  </si>
  <si>
    <t>uni_electroenergy_NAME</t>
  </si>
  <si>
    <t>uni_energy_power_NAME</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</si>
  <si>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</si>
  <si>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</si>
  <si>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</si>
  <si>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</si>
  <si>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</si>
  <si>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1.0.84.</t>
  </si>
  <si>
    <t>M10558</t>
  </si>
  <si>
    <t>Расходы, тыс.руб.</t>
  </si>
  <si>
    <t>Объём покупаемой электроэнергии всего</t>
  </si>
  <si>
    <t>P_EE_VOL_TOTAL</t>
  </si>
  <si>
    <t>M10518</t>
  </si>
  <si>
    <t>Объём энергии, тыс.кВт*ч</t>
  </si>
  <si>
    <t>Отпуск тепловой энергии</t>
  </si>
  <si>
    <t>M11017</t>
  </si>
  <si>
    <t>Объём отпуска ТЭ за отчётный месяц (год), Гкал</t>
  </si>
  <si>
    <t>Средний (расчетный) тариф</t>
  </si>
  <si>
    <t>руб./кВтч</t>
  </si>
  <si>
    <t>P_AVERAGE_TARIFF</t>
  </si>
  <si>
    <t>M10522</t>
  </si>
  <si>
    <t>Тариф на энергию, руб./кВт*ч</t>
  </si>
  <si>
    <t>Удельный расход электроэнергии</t>
  </si>
  <si>
    <t>Одноставочный тариф</t>
  </si>
  <si>
    <t>P_EE_MONEY</t>
  </si>
  <si>
    <t>DYN_SINGLE</t>
  </si>
  <si>
    <t>130.0.3.</t>
  </si>
  <si>
    <t>Цена ресурса</t>
  </si>
  <si>
    <t>руб/кВтч</t>
  </si>
  <si>
    <t>P_EE_PRICE</t>
  </si>
  <si>
    <t>M11820</t>
  </si>
  <si>
    <t>Стоимость электроэнергии, руб/кВтч</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</si>
  <si>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</si>
  <si>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</si>
  <si>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</si>
  <si>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</si>
  <si>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</si>
  <si>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</si>
  <si>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130.0.4.</t>
  </si>
  <si>
    <t>Расходы на электроэнергию</t>
  </si>
  <si>
    <t>106.0.1.</t>
  </si>
  <si>
    <t>Расходы на электрическую мощность</t>
  </si>
  <si>
    <t xml:space="preserve">тыс.руб. </t>
  </si>
  <si>
    <t>P_EE_POWER_MONEY</t>
  </si>
  <si>
    <t>106.0.2.</t>
  </si>
  <si>
    <t>Объём покупной мощности</t>
  </si>
  <si>
    <t>МВт в мес.</t>
  </si>
  <si>
    <t>P_EE_POWER_VOL</t>
  </si>
  <si>
    <t>M10517</t>
  </si>
  <si>
    <t>Объём мощности, МВт</t>
  </si>
  <si>
    <t>{                  _x000D_
         funcDyn: 'msg',_x000D_
         blok: '',_x000D_
         wsCross: '',_x000D_
         linkFormula: '',_x000D_
         levelDyn: 2_x000D_
}</t>
  </si>
  <si>
    <t xml:space="preserve">Добавить </t>
  </si>
  <si>
    <t>ИТОГО_ТЭ</t>
  </si>
  <si>
    <t>Расходы на покупную тепловую энергию</t>
  </si>
  <si>
    <t>1.0.43.</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</si>
  <si>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</si>
  <si>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</si>
  <si>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</si>
  <si>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</si>
  <si>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</si>
  <si>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</si>
  <si>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</si>
  <si>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</si>
  <si>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</si>
  <si>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M10546</t>
  </si>
  <si>
    <t>Тариф, руб/Гкал</t>
  </si>
  <si>
    <t>P_HEAT_MONEY</t>
  </si>
  <si>
    <t>DYN_ORG_SINGLE</t>
  </si>
  <si>
    <t>P_HEAT_MONEY_COMP</t>
  </si>
  <si>
    <t>P_HEAT_PRICE</t>
  </si>
  <si>
    <t>M10507</t>
  </si>
  <si>
    <t>Цена ТЭ, руб./Гкал</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</si>
  <si>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</si>
  <si>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</si>
  <si>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</si>
  <si>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</si>
  <si>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</si>
  <si>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</si>
  <si>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</si>
  <si>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</si>
  <si>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</si>
  <si>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</si>
  <si>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</si>
  <si>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</si>
  <si>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</si>
  <si>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СН2</t>
  </si>
  <si>
    <t>{                  _x000D_
         funcDyn: 'msg1',_x000D_
         blok: 'blok_1',_x000D_
         wsCross: 'ХВС, ТН',_x000D_
         linkFormula: 'AB-AB',_x000D_
         levelDyn: ''_x000D_
}</t>
  </si>
  <si>
    <t>{                  _x000D_
         funcDyn: 'msgone',_x000D_
         blok: '',_x000D_
         wsCross: '',_x000D_
         linkFormula: '',_x000D_
         levelDyn: 5_x000D_
}</t>
  </si>
  <si>
    <t>Ожидаемое за период по данным организации</t>
  </si>
  <si>
    <t>36.0.2.</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</si>
  <si>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</si>
  <si>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</si>
  <si>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</si>
  <si>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Предложения организации</t>
  </si>
  <si>
    <t>Отклонение, %</t>
  </si>
  <si>
    <t>328.0.4.</t>
  </si>
  <si>
    <t>Версия регулируемой организации</t>
  </si>
  <si>
    <t>Версия органа регулирования</t>
  </si>
  <si>
    <t>отклонение факта по данным организации к факту принятому органом регулирования</t>
  </si>
  <si>
    <t>№_x000D_
п/п</t>
  </si>
  <si>
    <t>ИТОГО_ХВС</t>
  </si>
  <si>
    <t>Расходы на холодную воду</t>
  </si>
  <si>
    <t>P_HVS_TOTAL</t>
  </si>
  <si>
    <t>1.0.86.</t>
  </si>
  <si>
    <t>P_HVS_MONEY</t>
  </si>
  <si>
    <t>DYN_ORG_HVS</t>
  </si>
  <si>
    <t>M10895</t>
  </si>
  <si>
    <t>Прочие расходы, тыс.руб.</t>
  </si>
  <si>
    <t>руб/куб.м</t>
  </si>
  <si>
    <t>P_HVS_PRICE</t>
  </si>
  <si>
    <t>M10537</t>
  </si>
  <si>
    <t>Цена, руб./куб.м</t>
  </si>
  <si>
    <t>Объём холодной воды (покупка)</t>
  </si>
  <si>
    <t>тыс.куб.м</t>
  </si>
  <si>
    <t>P_HVS_VOL</t>
  </si>
  <si>
    <t>M10698</t>
  </si>
  <si>
    <t>Объём, тыс.куб.м</t>
  </si>
  <si>
    <t>{                  _x000D_
         funcDyn: 'org',_x000D_
         blok: '',_x000D_
         wsCross: '',_x000D_
         linkFormula: '',_x000D_
         levelDyn: 1,_x000D_
         sphere: 'VS'_x000D_
}</t>
  </si>
  <si>
    <t>ИТОГО_ТН</t>
  </si>
  <si>
    <t>Расходы на теплоноситель</t>
  </si>
  <si>
    <t>P_TN_TOTAL</t>
  </si>
  <si>
    <t>1.0.88.</t>
  </si>
  <si>
    <t>P_TN_MONEY</t>
  </si>
  <si>
    <t>DYN_ORG_TN</t>
  </si>
  <si>
    <t>P_TN_PRICE</t>
  </si>
  <si>
    <t>Объём теплоносителя (покупка)</t>
  </si>
  <si>
    <t>P_TN_VOL</t>
  </si>
  <si>
    <t>M10534</t>
  </si>
  <si>
    <t>Объём, тыс.м3</t>
  </si>
  <si>
    <t>{                  _x000D_
         funcDyn: 'org',_x000D_
         blok: '',_x000D_
         wsCross: '',_x000D_
         linkFormula: '',_x000D_
         levelDyn: 2,_x000D_
         sphere: 'TNVS'_x000D_
}</t>
  </si>
  <si>
    <t>{                  _x000D_
         funcDyn: 'msg1',_x000D_
         blok: 'blok_1',_x000D_
         wsCross: 'Амортизация',_x000D_
         linkFormula: 'AB-AB',_x000D_
         levelDyn: ''_x000D_
}</t>
  </si>
  <si>
    <t>{                  _x000D_
         funcDyn: 'msgone',_x000D_
         blok: '',_x000D_
         wsCross: '',_x000D_
         linkFormula: '',_x000D_
         levelDyn: 3_x000D_
}</t>
  </si>
  <si>
    <t>uni_production_groups_NAME</t>
  </si>
  <si>
    <t>uni_machin_equip_NAME</t>
  </si>
  <si>
    <t>uni_stuff_materials_NAME</t>
  </si>
  <si>
    <t>uni_capital_investment_area_NAME</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</si>
  <si>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</si>
  <si>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</si>
  <si>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</si>
  <si>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M11257</t>
  </si>
  <si>
    <t>Первоначальная (восстановительная) стоимость на начало периода, тыс.руб.</t>
  </si>
  <si>
    <t>Здания</t>
  </si>
  <si>
    <t>тыс.руб</t>
  </si>
  <si>
    <t>P_FUNDS_INIT_BUILD</t>
  </si>
  <si>
    <t>336.0.1.</t>
  </si>
  <si>
    <t>Сооружения</t>
  </si>
  <si>
    <t>P_FUNDS_INIT_STRUCT</t>
  </si>
  <si>
    <t>336.0.6.</t>
  </si>
  <si>
    <t>Передаточные устройства</t>
  </si>
  <si>
    <t>P_FUNDS_INIT_TRANSF_DEV</t>
  </si>
  <si>
    <t>336.0.7.</t>
  </si>
  <si>
    <t>Машины и оборудование</t>
  </si>
  <si>
    <t>P_FUNDS_INIT_MACHINES</t>
  </si>
  <si>
    <t>336.0.3.</t>
  </si>
  <si>
    <t>1.4.1</t>
  </si>
  <si>
    <t>в т.ч. силовые машины</t>
  </si>
  <si>
    <t>P_FUNDS_INIT_MACHINES_POWER</t>
  </si>
  <si>
    <t>453.0.1.</t>
  </si>
  <si>
    <t>1.4.2</t>
  </si>
  <si>
    <t>рабочие машины</t>
  </si>
  <si>
    <t>P_FUNDS_INIT_MACHINES_WORK</t>
  </si>
  <si>
    <t>453.0.2.</t>
  </si>
  <si>
    <t>1.4.3</t>
  </si>
  <si>
    <t>приборы и лаборат. оборудование</t>
  </si>
  <si>
    <t>P_FUNDS_INIT_MACHINES_LAB</t>
  </si>
  <si>
    <t>453.0.3.</t>
  </si>
  <si>
    <t>1.4.4</t>
  </si>
  <si>
    <t>вычислительная техника</t>
  </si>
  <si>
    <t>P_FUNDS_INIT_MACHINES_EVM</t>
  </si>
  <si>
    <t>453.0.4.</t>
  </si>
  <si>
    <t>1.4.5</t>
  </si>
  <si>
    <t>прочие машины</t>
  </si>
  <si>
    <t>P_FUNDS_INIT_MACHINES_OTHER</t>
  </si>
  <si>
    <t>453.0.5.</t>
  </si>
  <si>
    <t>Транспортные средства</t>
  </si>
  <si>
    <t>P_FUNDS_INIT_TRANSPORT</t>
  </si>
  <si>
    <t>336.0.4.</t>
  </si>
  <si>
    <t>Инструмент</t>
  </si>
  <si>
    <t>P_FUNDS_INIT_INSTRUMENT</t>
  </si>
  <si>
    <t>115.0.10.</t>
  </si>
  <si>
    <t>Производственный инвентарь</t>
  </si>
  <si>
    <t>P_FUNDS_INIT_INV</t>
  </si>
  <si>
    <t>115.0.6.</t>
  </si>
  <si>
    <t>Прочие основные производственные фонды</t>
  </si>
  <si>
    <t>P_FUNDS_INITOTHER_FUNDS</t>
  </si>
  <si>
    <t>336.0.5.</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</si>
  <si>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</si>
  <si>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</si>
  <si>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M11792</t>
  </si>
  <si>
    <t>Переоценка стоимости основных фондов, тыс.руб.</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</si>
  <si>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</si>
  <si>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</si>
  <si>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</si>
  <si>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</si>
  <si>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</si>
  <si>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</si>
  <si>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</si>
  <si>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</si>
  <si>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</si>
  <si>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</si>
  <si>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</si>
  <si>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</si>
  <si>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</si>
  <si>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</si>
  <si>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</si>
  <si>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M11261</t>
  </si>
  <si>
    <t>Среднегодовая стоимость, тыс.руб.</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</si>
  <si>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</si>
  <si>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</si>
  <si>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</si>
  <si>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</si>
  <si>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</si>
  <si>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</si>
  <si>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</si>
  <si>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</si>
  <si>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</si>
  <si>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</si>
  <si>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</si>
  <si>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</si>
  <si>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</si>
  <si>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</si>
  <si>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</si>
  <si>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M11259</t>
  </si>
  <si>
    <t>Выбытие основных фондов, тыс.руб.</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</si>
  <si>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</si>
  <si>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</si>
  <si>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</si>
  <si>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</si>
  <si>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</si>
  <si>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</si>
  <si>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</si>
  <si>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</si>
  <si>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</si>
  <si>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</si>
  <si>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</si>
  <si>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</si>
  <si>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</si>
  <si>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</si>
  <si>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</si>
  <si>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M11793</t>
  </si>
  <si>
    <t>Среднегодовая стоимость основных производственных фондов, тыс.руб.</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</si>
  <si>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</si>
  <si>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</si>
  <si>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</si>
  <si>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</si>
  <si>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</si>
  <si>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</si>
  <si>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</si>
  <si>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</si>
  <si>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</si>
  <si>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</si>
  <si>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</si>
  <si>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</si>
  <si>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</si>
  <si>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360.0.6.</t>
  </si>
  <si>
    <t>Средняя норма амортизационных отчислений</t>
  </si>
  <si>
    <t>P_AMOR_AVER_TOTAL</t>
  </si>
  <si>
    <t>M11262</t>
  </si>
  <si>
    <t>Средняя норма амортизационных отчислений, %</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</si>
  <si>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</si>
  <si>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</si>
  <si>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</si>
  <si>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</si>
  <si>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</si>
  <si>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</si>
  <si>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</si>
  <si>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</si>
  <si>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</si>
  <si>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</si>
  <si>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</si>
  <si>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</si>
  <si>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</si>
  <si>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360.0.7.</t>
  </si>
  <si>
    <t>Амортиз</t>
  </si>
  <si>
    <t>Сумма амортизационных отчислений</t>
  </si>
  <si>
    <t>P_AMOR_SUM_TOTAL</t>
  </si>
  <si>
    <t>M11263</t>
  </si>
  <si>
    <t>Сумма амортизационных отчислений, тыс.руб.</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</si>
  <si>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</si>
  <si>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</si>
  <si>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</si>
  <si>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</si>
  <si>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</si>
  <si>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</si>
  <si>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</si>
  <si>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</si>
  <si>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</si>
  <si>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</si>
  <si>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</si>
  <si>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</si>
  <si>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</si>
  <si>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360.0.8.</t>
  </si>
  <si>
    <t>{                  _x000D_
         funcDyn: 'msg1',_x000D_
         blok: 'blok_1',_x000D_
         wsCross: 'Аренда',_x000D_
         linkFormula: 'AB-AB',_x000D_
         levelDyn: ''_x000D_
}</t>
  </si>
  <si>
    <t>uni_rent_leasing_concession_expense_NAME</t>
  </si>
  <si>
    <t>Единица измерений</t>
  </si>
  <si>
    <t>Аренда_итого</t>
  </si>
  <si>
    <t>P_RENT_CONC</t>
  </si>
  <si>
    <t>M10713</t>
  </si>
  <si>
    <t>Арендная плата, тыс.руб.</t>
  </si>
  <si>
    <t>Арендная плата имущества</t>
  </si>
  <si>
    <t>P_RENT_PROPERTY</t>
  </si>
  <si>
    <t>126.0.1.</t>
  </si>
  <si>
    <t>Аренда_непр</t>
  </si>
  <si>
    <t>1.1.1</t>
  </si>
  <si>
    <t>Непроизводственных объектов</t>
  </si>
  <si>
    <t>P_RENT_NON_PROD</t>
  </si>
  <si>
    <t>126.0.7.</t>
  </si>
  <si>
    <t>Аренда_пр</t>
  </si>
  <si>
    <t>1.1.2</t>
  </si>
  <si>
    <t>Производственных объектов</t>
  </si>
  <si>
    <t>P_RENT_PROD</t>
  </si>
  <si>
    <t>126.0.8.</t>
  </si>
  <si>
    <t>Концессия</t>
  </si>
  <si>
    <t>Концессионная плата</t>
  </si>
  <si>
    <t>P_CONC</t>
  </si>
  <si>
    <t>126.0.2.</t>
  </si>
  <si>
    <t>M10716</t>
  </si>
  <si>
    <t>Концессионная плата, тыс.руб.</t>
  </si>
  <si>
    <t>Лизинговые платежи</t>
  </si>
  <si>
    <t>P_LEASE</t>
  </si>
  <si>
    <t>126.0.3.</t>
  </si>
  <si>
    <t>M10717</t>
  </si>
  <si>
    <t>Лизинговый платеж, тыс.руб.</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</si>
  <si>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</si>
  <si>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</si>
  <si>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</si>
  <si>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</si>
  <si>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M10719</t>
  </si>
  <si>
    <t>лизинг непроизводственных объектов (без перехода права собственности на предмет лизинга к лизингополучателю)</t>
  </si>
  <si>
    <t>Лизинг_с</t>
  </si>
  <si>
    <t>1.3.2</t>
  </si>
  <si>
    <t>Лизинговый платеж (с переходом права собственности на предмет лизинга к лизингополучателю)</t>
  </si>
  <si>
    <t>P_LEASE_WITH_OWN</t>
  </si>
  <si>
    <t>M10720</t>
  </si>
  <si>
    <t>лизинг непроизводственных объектов  (с переходом права собственности на предмет лизинга к лизингополучателю)</t>
  </si>
  <si>
    <t xml:space="preserve">Аренда земельных участков </t>
  </si>
  <si>
    <t>P_RENT_LAND</t>
  </si>
  <si>
    <t>126.0.4.</t>
  </si>
  <si>
    <t>M11795</t>
  </si>
  <si>
    <t>Аренда земельных участков, тыс.руб.</t>
  </si>
  <si>
    <t>P_RENT_LAND_NON_PROD</t>
  </si>
  <si>
    <t>M10715</t>
  </si>
  <si>
    <t>аренда непроизводственных объектов</t>
  </si>
  <si>
    <t>P_RENT_LAND_PROD</t>
  </si>
  <si>
    <t>M10714</t>
  </si>
  <si>
    <t>аренда производственных объектов</t>
  </si>
  <si>
    <t>{                  _x000D_
         funcDyn: 'msg1',_x000D_
         blok: 'blok_1',_x000D_
         wsCross: 'Покупка услуг',_x000D_
         linkFormula: 'AB-AB',_x000D_
         levelDyn: ''_x000D_
}</t>
  </si>
  <si>
    <t>PJ_NAME_ED_IZM</t>
  </si>
  <si>
    <t>PJ_NAME_ED_PRICE</t>
  </si>
  <si>
    <t>* Относится к Неподконтрольным расходам</t>
  </si>
  <si>
    <t>Итого_пок_усл</t>
  </si>
  <si>
    <t>Услуги по передаче тепловой энергии</t>
  </si>
  <si>
    <t>1.0.36.</t>
  </si>
  <si>
    <t>DYN_ORG_TE</t>
  </si>
  <si>
    <t>Объём покупной услуги</t>
  </si>
  <si>
    <t>M10482</t>
  </si>
  <si>
    <t>Объём передаваемой ТЭ, Гкал</t>
  </si>
  <si>
    <t>{                  _x000D_
         funcDyn: 'org',_x000D_
         blok: '',_x000D_
         wsCross: '',_x000D_
         linkFormula: '',_x000D_
         levelDyn: 1,_x000D_
         sphere: 'TE'_x000D_
}</t>
  </si>
  <si>
    <t>Услуги по водоотведению</t>
  </si>
  <si>
    <t>P_VO_TOTAL</t>
  </si>
  <si>
    <t>1.0.87.</t>
  </si>
  <si>
    <t>P_VO_MONEY</t>
  </si>
  <si>
    <t>DYN_ORG_VO</t>
  </si>
  <si>
    <t>P_VO_PRICE</t>
  </si>
  <si>
    <t>P_VO_VOL</t>
  </si>
  <si>
    <t>{                  _x000D_
         funcDyn: 'org',_x000D_
         blok: '',_x000D_
         wsCross: '',_x000D_
         linkFormula: '',_x000D_
         levelDyn: 2,_x000D_
         sphere: 'VO'_x000D_
}</t>
  </si>
  <si>
    <t>Прочие услуги</t>
  </si>
  <si>
    <t>P_OTHER_TOTAL</t>
  </si>
  <si>
    <t>1.0.49.</t>
  </si>
  <si>
    <t>P_OTHER_MONEY</t>
  </si>
  <si>
    <t>DYN_OTHER</t>
  </si>
  <si>
    <t>P_OTHER_PRICE</t>
  </si>
  <si>
    <t>P_OTHER_VOL</t>
  </si>
  <si>
    <t>M10555</t>
  </si>
  <si>
    <t>Объём, ед.</t>
  </si>
  <si>
    <t>{                  _x000D_
         funcDyn: 'msg',_x000D_
         blok: '',_x000D_
         wsCross: '',_x000D_
         linkFormula: '',_x000D_
         levelDyn: 3_x000D_
}</t>
  </si>
  <si>
    <t>{                  _x000D_
         funcDyn: 'msg1',_x000D_
         blok: 'blok_1',_x000D_
         wsCross: 'ФОТ',_x000D_
         linkFormula: 'AB-AB',_x000D_
         levelDyn: ''_x000D_
}</t>
  </si>
  <si>
    <t>{                  _x000D_
         funcDyn: 'msgone',_x000D_
         blok: '',_x000D_
         wsCross: '',_x000D_
         linkFormula: '',_x000D_
         levelDyn: 4_x000D_
}</t>
  </si>
  <si>
    <t>M10380</t>
  </si>
  <si>
    <t>uni_oplatatruda_social_needs_expense_NAME</t>
  </si>
  <si>
    <t>uni_workshop_expense_NAME</t>
  </si>
  <si>
    <t>uni_org_staff_NAME</t>
  </si>
  <si>
    <t>ПП</t>
  </si>
  <si>
    <t>Расходы на оплату труда основного производственного персонала</t>
  </si>
  <si>
    <t>P_PROD_TOTAL</t>
  </si>
  <si>
    <t>132.0.1.</t>
  </si>
  <si>
    <t>113.0.7.</t>
  </si>
  <si>
    <t>M11788</t>
  </si>
  <si>
    <t>Расходы на оплату труда, тыс.руб.</t>
  </si>
  <si>
    <t>P_PROD_MONEY</t>
  </si>
  <si>
    <t>DYN_PROD</t>
  </si>
  <si>
    <t>M10872</t>
  </si>
  <si>
    <t>Оплата труда, тыс.руб.</t>
  </si>
  <si>
    <t>ЧИСЛ_ПП</t>
  </si>
  <si>
    <t>численность</t>
  </si>
  <si>
    <t>чел.</t>
  </si>
  <si>
    <t>P_PROD_PEOPLE</t>
  </si>
  <si>
    <t>M10891</t>
  </si>
  <si>
    <t>Численность, ед.</t>
  </si>
  <si>
    <t>среднемесячная заработная плата</t>
  </si>
  <si>
    <t>руб./мес.</t>
  </si>
  <si>
    <t>P_PROD_AVERAGE</t>
  </si>
  <si>
    <t>M11766</t>
  </si>
  <si>
    <t>Среднемесячная заработная плата, руб.</t>
  </si>
  <si>
    <t>РЕМ</t>
  </si>
  <si>
    <t>Расходы на оплату труда ремонтного персонала</t>
  </si>
  <si>
    <t>P_REPAIR_TOTAL</t>
  </si>
  <si>
    <t>132.0.3.</t>
  </si>
  <si>
    <t>113.0.3.</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</si>
  <si>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</si>
  <si>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</si>
  <si>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</si>
  <si>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</si>
  <si>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</si>
  <si>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</si>
  <si>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</si>
  <si>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</si>
  <si>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132.0.5.</t>
  </si>
  <si>
    <t>113.0.5.</t>
  </si>
  <si>
    <t>P_ADM_MONEY</t>
  </si>
  <si>
    <t>DYN_ADM</t>
  </si>
  <si>
    <t>ЧИСЛ_АУП</t>
  </si>
  <si>
    <t>P_ADM_PEOPLE</t>
  </si>
  <si>
    <t>P_ADM_AVERAGE</t>
  </si>
  <si>
    <t>ЦЕХ</t>
  </si>
  <si>
    <t>Расходы на оплату труда цехового персонала</t>
  </si>
  <si>
    <t>P_CEH_TOTAL</t>
  </si>
  <si>
    <t>134.0.1.</t>
  </si>
  <si>
    <t>113.0.4.</t>
  </si>
  <si>
    <t>P_CEH_MONEY</t>
  </si>
  <si>
    <t>DYN_CEH</t>
  </si>
  <si>
    <t>ЧИСЛ_ЦЕХ</t>
  </si>
  <si>
    <t>P_CEH_PEOPLE</t>
  </si>
  <si>
    <t>P_CEH_AVERAGE</t>
  </si>
  <si>
    <t>{                  _x000D_
         funcDyn: 'msg',_x000D_
         blok: '',_x000D_
         wsCross: '',_x000D_
         linkFormula: '',_x000D_
         levelDyn: 4_x000D_
}</t>
  </si>
  <si>
    <t>Машинист котельной</t>
  </si>
  <si>
    <t>{                  _x000D_
         funcDyn: 'msg1',_x000D_
         blok: 'blok_1',_x000D_
         wsCross: 'Налоги',_x000D_
         linkFormula: 'AB-AB',_x000D_
         levelDyn: ''_x000D_
}</t>
  </si>
  <si>
    <t>uni_must_pay_tax_feed_NAME</t>
  </si>
  <si>
    <t>Налоги и платежи, относимые на указанный вид деятельности</t>
  </si>
  <si>
    <t>P_TAX_TOTAL</t>
  </si>
  <si>
    <t>M11267</t>
  </si>
  <si>
    <t>Налоги и платежи относимые на регулируемый вид деятельности. тыс.руб.</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</si>
  <si>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</si>
  <si>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</si>
  <si>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</si>
  <si>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1.0.99.</t>
  </si>
  <si>
    <t>иные</t>
  </si>
  <si>
    <t>транспорт</t>
  </si>
  <si>
    <t>транспортный налог</t>
  </si>
  <si>
    <t>P_TAX_TRANSP</t>
  </si>
  <si>
    <t>179.0.2.</t>
  </si>
  <si>
    <t>страхование</t>
  </si>
  <si>
    <t>обязательное страхование</t>
  </si>
  <si>
    <t>P_TAX_INSUR</t>
  </si>
  <si>
    <t>1.0.104.</t>
  </si>
  <si>
    <t>налог при упрощенной системе налогообложения</t>
  </si>
  <si>
    <t>179.0.6.</t>
  </si>
  <si>
    <t>имущ</t>
  </si>
  <si>
    <t>налог на имущество</t>
  </si>
  <si>
    <t>179.0.7.</t>
  </si>
  <si>
    <t>зем</t>
  </si>
  <si>
    <t>земельный налог</t>
  </si>
  <si>
    <t>P_TAX_LAND</t>
  </si>
  <si>
    <t>179.0.8.</t>
  </si>
  <si>
    <t>налог_на_прибыль</t>
  </si>
  <si>
    <t>налог на прибыль</t>
  </si>
  <si>
    <t>179.0.9.</t>
  </si>
  <si>
    <t>водн</t>
  </si>
  <si>
    <t>водный налог</t>
  </si>
  <si>
    <t>P_TAX_WATER</t>
  </si>
  <si>
    <t>1.0.6.</t>
  </si>
  <si>
    <t>прочие расходы</t>
  </si>
  <si>
    <t>1.0.52.</t>
  </si>
  <si>
    <t>P_OTHER</t>
  </si>
  <si>
    <t>DYN_TAX</t>
  </si>
  <si>
    <t>{                  _x000D_
         funcDyn: 'msg1',_x000D_
         blok: 'blok_1',_x000D_
         wsCross: 'Экономия_корр',_x000D_
         linkFormula: 'AB-AB',_x000D_
         levelDyn: ''_x000D_
}</t>
  </si>
  <si>
    <t>{                  _x000D_
         funcDyn: 'msgone',_x000D_
         blok: '',_x000D_
         wsCross: '',_x000D_
         linkFormula: '',_x000D_
         levelDyn: 2_x000D_
}</t>
  </si>
  <si>
    <t>uni_own_resource_NAME</t>
  </si>
  <si>
    <t>uni_method_ecomony_NAME</t>
  </si>
  <si>
    <t>uni_expense_profit_NAME</t>
  </si>
  <si>
    <t>Экономия расходов, всего</t>
  </si>
  <si>
    <t>P_ECONOMY_TOTAL</t>
  </si>
  <si>
    <t>198.0.6.</t>
  </si>
  <si>
    <t>M10618</t>
  </si>
  <si>
    <t>Экономия расходов, тыс.руб.</t>
  </si>
  <si>
    <t>Экономия операционных расходов</t>
  </si>
  <si>
    <t>P_ECONOMY_OPER</t>
  </si>
  <si>
    <t>146.0.1.</t>
  </si>
  <si>
    <t>Экономия от снижения потребления топлива</t>
  </si>
  <si>
    <t>P_ECONOMY_FUEL_CUT</t>
  </si>
  <si>
    <t>146.0.5.</t>
  </si>
  <si>
    <t>Экономия от снижения потребления прочих энергетических ресурсов, холодной воды, теплоносителя</t>
  </si>
  <si>
    <t>P_ECONOMY_OTHER_CUT</t>
  </si>
  <si>
    <t>146.0.4.</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</si>
  <si>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</si>
  <si>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</si>
  <si>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</si>
  <si>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Кумулятивное значение индекса потребительских цен</t>
  </si>
  <si>
    <t>P_IND_CONS_PRICE_SUM</t>
  </si>
  <si>
    <t>M11274</t>
  </si>
  <si>
    <t>Кумулятивное значение индекса потребительских цен, %</t>
  </si>
  <si>
    <t>Экономия</t>
  </si>
  <si>
    <t>Экономия расходов с учетом ИПЦ</t>
  </si>
  <si>
    <t>P_ECONOMY_IPC</t>
  </si>
  <si>
    <t>M11275</t>
  </si>
  <si>
    <t>Экономия расходов с учётом ИПЦ, тыс.руб.</t>
  </si>
  <si>
    <t>{                  _x000D_
         funcDyn: 'msg1',_x000D_
         blok: 'blok_1',_x000D_
         wsCross: 'Операционные (5.1)',_x000D_
         linkFormula: 'AB-AB',_x000D_
         levelDyn: ''_x000D_
}</t>
  </si>
  <si>
    <t>uni_contract_job_expense_NAME</t>
  </si>
  <si>
    <t>uni_repair_expense_NAME</t>
  </si>
  <si>
    <t>uni_admin_expense_NAME</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</si>
  <si>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</si>
  <si>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</si>
  <si>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</si>
  <si>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</si>
  <si>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</si>
  <si>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</si>
  <si>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M10746</t>
  </si>
  <si>
    <t>Операционные расходы, тыс.руб.</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</si>
  <si>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</si>
  <si>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</si>
  <si>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1.0.109.</t>
  </si>
  <si>
    <t>Расходы на ремонт основных средств</t>
  </si>
  <si>
    <t>P_REPAIRS</t>
  </si>
  <si>
    <t>121.0.6.</t>
  </si>
  <si>
    <t>P_FOT</t>
  </si>
  <si>
    <t>1.0.15.</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</si>
  <si>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</si>
  <si>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</si>
  <si>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1.0.70.</t>
  </si>
  <si>
    <t>110.0.6.</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</si>
  <si>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</si>
  <si>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</si>
  <si>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</si>
  <si>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</si>
  <si>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151.0.1.</t>
  </si>
  <si>
    <t>Расходы на оплату вневедомственной охраны</t>
  </si>
  <si>
    <t>P_SEQUIRITY</t>
  </si>
  <si>
    <t>151.0.2.</t>
  </si>
  <si>
    <t>Расходы на оплату коммунальных услуг</t>
  </si>
  <si>
    <t>P_KOMM</t>
  </si>
  <si>
    <t>151.0.3.</t>
  </si>
  <si>
    <t>Расходы на оплату юридических, информационных, аудиторских и консультационных услуг</t>
  </si>
  <si>
    <t>P_LEGAL</t>
  </si>
  <si>
    <t>151.0.4.</t>
  </si>
  <si>
    <t>Расходы на оплату других работ и услуг</t>
  </si>
  <si>
    <t>P_OTHER_SERVICES</t>
  </si>
  <si>
    <t>151.0.12.</t>
  </si>
  <si>
    <t>Расходы на служебные командировки</t>
  </si>
  <si>
    <t>P_BUSINESS_TRIP</t>
  </si>
  <si>
    <t>122.0.4.</t>
  </si>
  <si>
    <t>Расходы на обучение персонала</t>
  </si>
  <si>
    <t>P_TRAINING</t>
  </si>
  <si>
    <t>122.0.5.</t>
  </si>
  <si>
    <t>Лизинговый платеж</t>
  </si>
  <si>
    <t>P_LEASE_PAYMENT</t>
  </si>
  <si>
    <t>Арендная плата (НЕ производственных объектов)</t>
  </si>
  <si>
    <t>126.0.6.</t>
  </si>
  <si>
    <t>Аренда непроизводственных объектов, тыс.руб.</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</si>
  <si>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</si>
  <si>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</si>
  <si>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</si>
  <si>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</si>
  <si>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</si>
  <si>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                  _x000D_
         funcDyn: 'msg1',_x000D_
         blok: 'blok_1',_x000D_
         wsCross: 'Операционные (5.2)',_x000D_
         linkFormula: 'AB-AB',_x000D_
         levelDyn: ''_x000D_
}</t>
  </si>
  <si>
    <t>uni_index_method_NAME</t>
  </si>
  <si>
    <t>M10441</t>
  </si>
  <si>
    <t>Обосновывающие материалы</t>
  </si>
  <si>
    <t>Индекс потребительских цен на расчетный период регулирования (ИПЦ)</t>
  </si>
  <si>
    <t>P_IPC</t>
  </si>
  <si>
    <t>22.0.0.</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</si>
  <si>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</si>
  <si>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</si>
  <si>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</si>
  <si>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</si>
  <si>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</si>
  <si>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</si>
  <si>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</si>
  <si>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</si>
  <si>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</si>
  <si>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t>1.0.80.</t>
  </si>
  <si>
    <r>
      <t>Коэффициент эластичности затрат по росту активов (К</t>
    </r>
    <r>
      <rPr>
        <charset val="204"/>
        <color rgb="FF22272F"/>
        <family val="2"/>
        <rFont val="Tahoma"/>
        <sz val="9"/>
        <vertAlign val="subscript"/>
      </rPr>
      <t xml:space="preserve"> эл</t>
    </r>
    <r>
      <rPr>
        <charset val="204"/>
        <color rgb="FF22272F"/>
        <family val="2"/>
        <rFont val="Tahoma"/>
        <sz val="9"/>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</si>
  <si>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</si>
  <si>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</si>
  <si>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</si>
  <si>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</si>
  <si>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</si>
  <si>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</si>
  <si>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</si>
  <si>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147.0.1.</t>
  </si>
  <si>
    <t>map_pok</t>
  </si>
  <si>
    <t>uni_distibution_expense_NAME</t>
  </si>
  <si>
    <t>uni_amortization_NAME</t>
  </si>
  <si>
    <t>НР</t>
  </si>
  <si>
    <t>Итого неподконтрольных расходов</t>
  </si>
  <si>
    <t>P_UNCON_TOTAL</t>
  </si>
  <si>
    <t>M10747</t>
  </si>
  <si>
    <t>Неподконтрольные расходы, тыс.руб.</t>
  </si>
  <si>
    <t>P_COMMS</t>
  </si>
  <si>
    <t>110.0.31.</t>
  </si>
  <si>
    <t>Арендная плата (производственных объектов)</t>
  </si>
  <si>
    <t>P_CONCES</t>
  </si>
  <si>
    <t>Расходы на уплату налогов, сборов и других обязательных платежей, в том числе:</t>
  </si>
  <si>
    <t>P_TAXES</t>
  </si>
  <si>
    <t>1.0.26.</t>
  </si>
  <si>
    <t>P_ECO</t>
  </si>
  <si>
    <t>M10722</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</si>
  <si>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</si>
  <si>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расходы на обязательное страхование</t>
  </si>
  <si>
    <t>P_INSURANCE</t>
  </si>
  <si>
    <t>M10723</t>
  </si>
  <si>
    <t>иные расходы</t>
  </si>
  <si>
    <t>Отчисления на социальные нужды</t>
  </si>
  <si>
    <t>P_SOCIAL</t>
  </si>
  <si>
    <t>1.0.85.</t>
  </si>
  <si>
    <t>M10696</t>
  </si>
  <si>
    <t>Отчисления на социальные нужды, тыс.руб.</t>
  </si>
  <si>
    <t>1.5.1</t>
  </si>
  <si>
    <t>доля от фонда оплаты труда</t>
  </si>
  <si>
    <t>P_FOL_PERCENT</t>
  </si>
  <si>
    <t>M10697</t>
  </si>
  <si>
    <t>Процент отчислений на социальные нужды, %</t>
  </si>
  <si>
    <t>Расходы по сомнительным долгам</t>
  </si>
  <si>
    <t>P_DEBTS</t>
  </si>
  <si>
    <t>124.0.10.</t>
  </si>
  <si>
    <t>Амортизация основных средств и нематериальных активов</t>
  </si>
  <si>
    <t>P_AMOR</t>
  </si>
  <si>
    <t>125.0.3.</t>
  </si>
  <si>
    <t>M10726</t>
  </si>
  <si>
    <t>Расходы на выплаты по договорам займа и кредитным договорам, включая проценты по ним</t>
  </si>
  <si>
    <t>P_CREDITS</t>
  </si>
  <si>
    <t>110.0.39.</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</si>
  <si>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</si>
  <si>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</si>
  <si>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110.0.40.</t>
  </si>
  <si>
    <t>ИТОГО</t>
  </si>
  <si>
    <t>Налог на прибыль</t>
  </si>
  <si>
    <t>1.0.91.</t>
  </si>
  <si>
    <t>M10731</t>
  </si>
  <si>
    <t>Налог на прибыль, тыс.руб.</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</si>
  <si>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</si>
  <si>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</si>
  <si>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</si>
  <si>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</si>
  <si>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1.0.89.</t>
  </si>
  <si>
    <t>P_FUELDYN</t>
  </si>
  <si>
    <t>P_UNCON_TOTAL_2</t>
  </si>
  <si>
    <t>M10732</t>
  </si>
  <si>
    <t>Итого расходы, тыс.руб.</t>
  </si>
  <si>
    <t>{                  _x000D_
         funcDyn: 'msg1',_x000D_
         blok: 'blok_1',_x000D_
         wsCross: 'Ресурсы (5.4)',_x000D_
         linkFormula: 'AB-AB',_x000D_
         levelDyn: ''_x000D_
}</t>
  </si>
  <si>
    <t>Итого расходов на приобретение ресурсов</t>
  </si>
  <si>
    <t>P_RES_TOTAL</t>
  </si>
  <si>
    <t>1.0.0.</t>
  </si>
  <si>
    <t>топливо</t>
  </si>
  <si>
    <t>Расходы на топливо</t>
  </si>
  <si>
    <t>1.0.66.</t>
  </si>
  <si>
    <t>P_EE</t>
  </si>
  <si>
    <t>P_TE</t>
  </si>
  <si>
    <t>P_TE_TS</t>
  </si>
  <si>
    <t>167.0.10.</t>
  </si>
  <si>
    <t>P_HVS</t>
  </si>
  <si>
    <t>P_TN</t>
  </si>
  <si>
    <t>ресурсы</t>
  </si>
  <si>
    <t>P_TOTAL_TS</t>
  </si>
  <si>
    <t>110.0.3.</t>
  </si>
  <si>
    <t>{                  _x000D_
         funcDyn: 'msg1',_x000D_
         blok: 'blok_1',_x000D_
         wsCross: 'Корр Факт',_x000D_
         linkFormula: 'AB-AB',_x000D_
         levelDyn: ''_x000D_
}</t>
  </si>
  <si>
    <t>uni_relative_period_NAME</t>
  </si>
  <si>
    <t>uni_tariff_steps_NAME</t>
  </si>
  <si>
    <t>uni_tariff_decision_inform_NAME</t>
  </si>
  <si>
    <t>uni_prd_data_NAME</t>
  </si>
  <si>
    <t>№</t>
  </si>
  <si>
    <t>Усл. Обозначения</t>
  </si>
  <si>
    <t>Ед. изм.</t>
  </si>
  <si>
    <t>∆НВВ k i-2</t>
  </si>
  <si>
    <t>тыс. руб.</t>
  </si>
  <si>
    <t>P_NVV_CORR_AMOUNT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</si>
  <si>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</si>
  <si>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</si>
  <si>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</si>
  <si>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charset val="204"/>
        <color theme="1"/>
        <family val="2"/>
        <rFont val="Tahoma"/>
        <sz val="9"/>
        <vertAlign val="superscript"/>
      </rPr>
      <t>ф</t>
    </r>
    <r>
      <rPr>
        <b/>
        <charset val="204"/>
        <color theme="1"/>
        <family val="2"/>
        <rFont val="Tahoma"/>
        <sz val="9"/>
        <vertAlign val="subscript"/>
      </rPr>
      <t>i-2</t>
    </r>
  </si>
  <si>
    <t>P_FACT_GAIN</t>
  </si>
  <si>
    <t>449.0.53.</t>
  </si>
  <si>
    <t>M10655</t>
  </si>
  <si>
    <t>Необходимая валовая выручка, тыс.руб.</t>
  </si>
  <si>
    <t>Базовый уровень операционных расходов, установленный на долгосрочный период регулирования</t>
  </si>
  <si>
    <r>
      <t>ОР</t>
    </r>
    <r>
      <rPr>
        <charset val="204"/>
        <color theme="1"/>
        <family val="2"/>
        <i/>
        <rFont val="Tahoma"/>
        <sz val="9"/>
        <vertAlign val="subscript"/>
      </rPr>
      <t>i0</t>
    </r>
  </si>
  <si>
    <t>P_BASE_EXPENSES</t>
  </si>
  <si>
    <t>M10744</t>
  </si>
  <si>
    <t>Базовый уровень расходов, связанных с осуществлением регулируемой деятельности</t>
  </si>
  <si>
    <t>Операционные расходы, определенные на i-й год исходя из фактических значений параметров расчета тарифов</t>
  </si>
  <si>
    <r>
      <t>ОР</t>
    </r>
    <r>
      <rPr>
        <b/>
        <charset val="204"/>
        <color theme="1"/>
        <family val="2"/>
        <rFont val="Tahoma"/>
        <sz val="9"/>
        <vertAlign val="superscript"/>
      </rPr>
      <t>ф</t>
    </r>
    <r>
      <rPr>
        <b/>
        <charset val="204"/>
        <color theme="1"/>
        <family val="2"/>
        <rFont val="Tahoma"/>
        <sz val="9"/>
        <vertAlign val="subscript"/>
      </rPr>
      <t>i-2</t>
    </r>
  </si>
  <si>
    <t>P_EXPENSES_I</t>
  </si>
  <si>
    <t>449.0.1.</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</si>
  <si>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</si>
  <si>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</si>
  <si>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</si>
  <si>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323.0.3.</t>
  </si>
  <si>
    <t>M10748</t>
  </si>
  <si>
    <t>Расходы на приобретение (производство) энергетических ресурсов, тыс.руб.</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</si>
  <si>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</si>
  <si>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</si>
  <si>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</si>
  <si>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</si>
  <si>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83.0.25.</t>
  </si>
  <si>
    <t>M10873</t>
  </si>
  <si>
    <t>Расходы на топливо и ГСМ, тыс.руб</t>
  </si>
  <si>
    <t>1.1.2.1.1</t>
  </si>
  <si>
    <t>НУР на топливо, примененный при расчете тарифа на отчетный год</t>
  </si>
  <si>
    <t>bi,k</t>
  </si>
  <si>
    <t>P_NYR</t>
  </si>
  <si>
    <t>17.0.5.</t>
  </si>
  <si>
    <t>26.0.6.</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</si>
  <si>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</si>
  <si>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</si>
  <si>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</si>
  <si>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</si>
  <si>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352.0.30.</t>
  </si>
  <si>
    <t>1.1.2.1.3</t>
  </si>
  <si>
    <t xml:space="preserve">Фактическая цена на прочее топливо </t>
  </si>
  <si>
    <r>
      <t>ЦT</t>
    </r>
    <r>
      <rPr>
        <charset val="204"/>
        <color theme="1"/>
        <family val="2"/>
        <rFont val="Tahoma"/>
        <sz val="9"/>
        <vertAlign val="superscript"/>
      </rPr>
      <t>ф(расч.)</t>
    </r>
    <r>
      <rPr>
        <charset val="204"/>
        <color theme="1"/>
        <family val="2"/>
        <rFont val="Tahoma"/>
        <sz val="9"/>
        <vertAlign val="subscript"/>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</si>
  <si>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</si>
  <si>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</si>
  <si>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</si>
  <si>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</si>
  <si>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</si>
  <si>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</si>
  <si>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</si>
  <si>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</si>
  <si>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</si>
  <si>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</si>
  <si>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</si>
  <si>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charset val="204"/>
        <color theme="1"/>
        <family val="2"/>
        <rFont val="Tahoma"/>
        <sz val="9"/>
        <vertAlign val="subscript"/>
      </rPr>
      <t>i,э/э</t>
    </r>
  </si>
  <si>
    <t>тыс.кВт.ч</t>
  </si>
  <si>
    <t>1.1.2.2.1.2</t>
  </si>
  <si>
    <t>фактический объем полезного отпуска соответствующего вида продукции (услуг) в i-м году</t>
  </si>
  <si>
    <r>
      <t>Q</t>
    </r>
    <r>
      <rPr>
        <charset val="204"/>
        <color theme="1"/>
        <family val="2"/>
        <rFont val="Tahoma"/>
        <sz val="9"/>
        <vertAlign val="superscript"/>
      </rPr>
      <t>ПОф</t>
    </r>
  </si>
  <si>
    <t>P_FACT_EE</t>
  </si>
  <si>
    <t>M10372</t>
  </si>
  <si>
    <t>Объём отпуска продукции (услуг), ед.изм.</t>
  </si>
  <si>
    <t>1.1.2.2.1.3</t>
  </si>
  <si>
    <t>объем полезного отпуска соответствующего вида продукции (услуг), учтенный при установлении тарифов на i-й год</t>
  </si>
  <si>
    <r>
      <t>Q</t>
    </r>
    <r>
      <rPr>
        <charset val="204"/>
        <color theme="1"/>
        <family val="2"/>
        <rFont val="Tahoma"/>
        <sz val="9"/>
        <vertAlign val="superscript"/>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</si>
  <si>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</si>
  <si>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</si>
  <si>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</si>
  <si>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charset val="204"/>
        <color theme="1"/>
        <family val="2"/>
        <rFont val="Tahoma"/>
        <sz val="9"/>
        <vertAlign val="superscript"/>
      </rPr>
      <t>ф(расч.)</t>
    </r>
    <r>
      <rPr>
        <charset val="204"/>
        <color theme="1"/>
        <family val="2"/>
        <rFont val="Tahoma"/>
        <sz val="9"/>
        <vertAlign val="subscript"/>
      </rPr>
      <t>i</t>
    </r>
  </si>
  <si>
    <t>P_FACT_PRICE_EE</t>
  </si>
  <si>
    <t>M10520</t>
  </si>
  <si>
    <t>Стоимость энергии, тыс.руб.</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</si>
  <si>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</si>
  <si>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</si>
  <si>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</si>
  <si>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</si>
  <si>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</si>
  <si>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charset val="204"/>
        <color theme="1"/>
        <family val="2"/>
        <rFont val="Tahoma"/>
        <sz val="9"/>
        <vertAlign val="subscript"/>
      </rPr>
      <t>i,в/с</t>
    </r>
  </si>
  <si>
    <t>тыс. куб. м.</t>
  </si>
  <si>
    <t>M10827</t>
  </si>
  <si>
    <t>Объём потребления холодной воды, куб.м.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</si>
  <si>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</si>
  <si>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</si>
  <si>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</si>
  <si>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</si>
  <si>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</si>
  <si>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</si>
  <si>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</si>
  <si>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</si>
  <si>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</si>
  <si>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</si>
  <si>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</si>
  <si>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</si>
  <si>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</si>
  <si>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charset val="204"/>
        <color theme="1"/>
        <family val="2"/>
        <rFont val="Tahoma"/>
        <sz val="9"/>
        <vertAlign val="subscript"/>
      </rPr>
      <t>i,т/э</t>
    </r>
  </si>
  <si>
    <t>M10506</t>
  </si>
  <si>
    <t>Объём ТЭ, тыс. Гкал</t>
  </si>
  <si>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</si>
  <si>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</si>
  <si>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</si>
  <si>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</si>
  <si>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</si>
  <si>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</si>
  <si>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</si>
  <si>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</si>
  <si>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</si>
  <si>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</si>
  <si>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</si>
  <si>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</si>
  <si>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</si>
  <si>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</si>
  <si>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</si>
  <si>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</si>
  <si>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</si>
  <si>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</si>
  <si>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</si>
  <si>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</si>
  <si>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</si>
  <si>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</si>
  <si>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110.0.2.</t>
  </si>
  <si>
    <t>нормативная_прибыль</t>
  </si>
  <si>
    <t>1.1.4</t>
  </si>
  <si>
    <t>Нормативная прибыль</t>
  </si>
  <si>
    <t>P_PROFIT_NORM</t>
  </si>
  <si>
    <t>M10612</t>
  </si>
  <si>
    <t>Нормативный уровень прибыли, тыс.руб.</t>
  </si>
  <si>
    <t>1.1.4.1</t>
  </si>
  <si>
    <t>то же в %</t>
  </si>
  <si>
    <t>P_PROFIT_NORM_PERCENT</t>
  </si>
  <si>
    <t>M10613</t>
  </si>
  <si>
    <t>Доля нормативного уровня прибыли, %</t>
  </si>
  <si>
    <t>РПП</t>
  </si>
  <si>
    <t>1.1.5</t>
  </si>
  <si>
    <t>Расчетная предпринимательская прибыль</t>
  </si>
  <si>
    <t>P_PROFIT</t>
  </si>
  <si>
    <t>M11281</t>
  </si>
  <si>
    <t>Расчетная предпринимательская прибыль, тыс.руб.</t>
  </si>
  <si>
    <t>1.1.6</t>
  </si>
  <si>
    <t>Результаты деятельности до перехода к регулированию цен (тарифов) на основе долгосрочных параметров регулирования</t>
  </si>
  <si>
    <t>P_REG</t>
  </si>
  <si>
    <t>M10736</t>
  </si>
  <si>
    <t>Результаты деятельности до перехода к регулированию цен (тарифов) на основе долгосрочных параметров регулирования, тыс.руб.</t>
  </si>
  <si>
    <t>1.1.7</t>
  </si>
  <si>
    <t>Корректировка необходимой валовой выручки по результатам предшествующих расчетных периодов регулирования</t>
  </si>
  <si>
    <t>P_CORR_GAIN</t>
  </si>
  <si>
    <t>M10623</t>
  </si>
  <si>
    <t>Корректировка НВВ, тыс.руб.</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</si>
  <si>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</si>
  <si>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</si>
  <si>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</si>
  <si>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M10742</t>
  </si>
  <si>
    <t>Корректировка НВВ в связи с изменением (неисполнением) инвестиционной программы, тыс.руб.</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</si>
  <si>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</si>
  <si>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</si>
  <si>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</si>
  <si>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449.0.55.</t>
  </si>
  <si>
    <t>M11472</t>
  </si>
  <si>
    <t>Корректировка НВВ с учетом степени КС или ИП, при недостижения плановых показателей надёжности и качества объектов теплоснабжения, тыс.руб.</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</si>
  <si>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</si>
  <si>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</si>
  <si>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</si>
  <si>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M10743</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</si>
  <si>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</si>
  <si>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</si>
  <si>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charset val="204"/>
        <color theme="1"/>
        <family val="2"/>
        <rFont val="Tahoma"/>
        <sz val="9"/>
        <vertAlign val="superscript"/>
      </rPr>
      <t>ф</t>
    </r>
    <r>
      <rPr>
        <charset val="204"/>
        <color theme="1"/>
        <family val="2"/>
        <rFont val="Tahoma"/>
        <sz val="9"/>
        <vertAlign val="subscript"/>
      </rPr>
      <t>i-2</t>
    </r>
  </si>
  <si>
    <t>P_GAIN</t>
  </si>
  <si>
    <t>M10039</t>
  </si>
  <si>
    <t>Выручка, тыс.руб.</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</si>
  <si>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</si>
  <si>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</si>
  <si>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</si>
  <si>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</si>
  <si>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</si>
  <si>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22.0.6.</t>
  </si>
  <si>
    <t>Корректировка НВВ, учтенная в тарифных решениях по годам в предыдущие периоды (из экспертного заключения прошлого года)</t>
  </si>
  <si>
    <t>P_CORR_NVV_PAST</t>
  </si>
  <si>
    <t>M11823</t>
  </si>
  <si>
    <t>Корректировка НВВ, учтённая ранее в тарифных решениях, тыс.руб</t>
  </si>
  <si>
    <t>Корр_факт</t>
  </si>
  <si>
    <t>Суммарная корректировка</t>
  </si>
  <si>
    <t>P_CORR_TOTAL</t>
  </si>
  <si>
    <t>M10630</t>
  </si>
  <si>
    <t>Суммарная корректировка НВВ, тыс.руб.</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</si>
  <si>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</si>
  <si>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</si>
  <si>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</si>
  <si>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</si>
  <si>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</si>
  <si>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</si>
  <si>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</si>
  <si>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</si>
  <si>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</si>
  <si>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</si>
  <si>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</si>
  <si>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</si>
  <si>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uni_invest_prog_source_NAME</t>
  </si>
  <si>
    <t>uni_units_NAME</t>
  </si>
  <si>
    <t>13.0.0.</t>
  </si>
  <si>
    <t>Объем собственных средств на реализацию инвестиционной программы, учтенный при установлении тарифов (собственные средства), в т.ч.</t>
  </si>
  <si>
    <t>18.0.7.</t>
  </si>
  <si>
    <t>M11749</t>
  </si>
  <si>
    <t>Объем собственных средств на реализацию инвестиционной программы, учтенный при установлении тарифов (собственные средства), тыс.руб.</t>
  </si>
  <si>
    <t>амортизация</t>
  </si>
  <si>
    <t>18.0.2.</t>
  </si>
  <si>
    <t>капитальные вложения (прибыль)</t>
  </si>
  <si>
    <t>18.0.16.</t>
  </si>
  <si>
    <t>заемные средства</t>
  </si>
  <si>
    <t>18.0.17.</t>
  </si>
  <si>
    <t>проценты по кредиту</t>
  </si>
  <si>
    <t>18.0.18.</t>
  </si>
  <si>
    <t>18.0.19.</t>
  </si>
  <si>
    <t>Плановый размер финансирования инвестиционной программы за счет всех источников финансирования, в т.ч.</t>
  </si>
  <si>
    <t>M11750</t>
  </si>
  <si>
    <t>Плановый размер финансирования инвестиционной программы за счет всех источников финансирования, тыс.руб.</t>
  </si>
  <si>
    <t xml:space="preserve">Плановый полезный отпуск </t>
  </si>
  <si>
    <t>тыс.Гкал</t>
  </si>
  <si>
    <t>M11094</t>
  </si>
  <si>
    <t>Полезный отпуск, 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</si>
  <si>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</si>
  <si>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</si>
  <si>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M11751</t>
  </si>
  <si>
    <t>Объем фактического исполнения инвестиционной программы по объектам по стоимости, определенной в инвестиционной программе, тыс.руб.</t>
  </si>
  <si>
    <t>Скорректированный плановый расчетный объем финансирования</t>
  </si>
  <si>
    <t>M11752</t>
  </si>
  <si>
    <t>Скорректированный плановый расчетный объем финансирования, тыс. руб.</t>
  </si>
  <si>
    <t>Корректировка НВВ по исполнению инвестиционной программы, в т.ч.</t>
  </si>
  <si>
    <t>M11753</t>
  </si>
  <si>
    <t>Корректировка НВВ по исполнению инвестиционной программы, тыс.руб.</t>
  </si>
  <si>
    <t>uni_tariff_account_capital_investment_NAME</t>
  </si>
  <si>
    <t>uni_n_v_v_NAME</t>
  </si>
  <si>
    <t>uni_invest_programm_NAME</t>
  </si>
  <si>
    <t>uni_tariff_component_NAME</t>
  </si>
  <si>
    <t>Расчет необходимой валовой выручки и тарифов методом индексации установленных тарифов</t>
  </si>
  <si>
    <t>P_CONTOL</t>
  </si>
  <si>
    <t>Неподконтрольные расходы</t>
  </si>
  <si>
    <t>P_UNCONTROL</t>
  </si>
  <si>
    <t>Расходы на приобретение (производство) энергетических ресурсов, холодной воды и теплоносителя</t>
  </si>
  <si>
    <t>P_RESOURSES</t>
  </si>
  <si>
    <t>Возврат инвестированного капитала</t>
  </si>
  <si>
    <t>P_INVEST_RETURN</t>
  </si>
  <si>
    <t>M11483</t>
  </si>
  <si>
    <t>Возврат инвестированного капитала, тыс.руб.</t>
  </si>
  <si>
    <t>Полная величина инвестированного капитала</t>
  </si>
  <si>
    <t>P_INVEST_FULL</t>
  </si>
  <si>
    <t>M10633</t>
  </si>
  <si>
    <t>Полная величина инвестированного капитала, тыс.руб.</t>
  </si>
  <si>
    <t>Срок возврата инвестированного капитала</t>
  </si>
  <si>
    <t>лет</t>
  </si>
  <si>
    <t>P_INVEST_YEARS</t>
  </si>
  <si>
    <t>M10634</t>
  </si>
  <si>
    <t>Срок возврата инвестированного капитала, лет</t>
  </si>
  <si>
    <t>Доход на инвестированный капитал</t>
  </si>
  <si>
    <t>P_INVEST_PROFIT</t>
  </si>
  <si>
    <t>M10635</t>
  </si>
  <si>
    <t>Доход на инвестированный капитал, тыс.руб.</t>
  </si>
  <si>
    <t>Первоначальный размер инвестированного капитала</t>
  </si>
  <si>
    <t>P_INVEST_START</t>
  </si>
  <si>
    <t>M10636</t>
  </si>
  <si>
    <t>Первоначальный размер инвестированного капитала, тыс.руб.</t>
  </si>
  <si>
    <t>Доходность первоначального размера инвестированного капитала</t>
  </si>
  <si>
    <t>P_INVEST_PROFIT_PERCENT</t>
  </si>
  <si>
    <t>360.0.9.</t>
  </si>
  <si>
    <t>M11488</t>
  </si>
  <si>
    <t>Доходность первоначального размера инвестированного капитала, тыс.руб.</t>
  </si>
  <si>
    <t>База инвестированного капитала</t>
  </si>
  <si>
    <t>P_INVEST_BASE</t>
  </si>
  <si>
    <t>360.0.10.</t>
  </si>
  <si>
    <t>M10638</t>
  </si>
  <si>
    <t>База инвестированного капитала, тыс.руб.</t>
  </si>
  <si>
    <t>Чистый оборотный капитал</t>
  </si>
  <si>
    <t>P_INVEST_CLEAN</t>
  </si>
  <si>
    <t>360.0.11.</t>
  </si>
  <si>
    <t>M10639</t>
  </si>
  <si>
    <t>Чистый оборотный капитал, тыс.руб.</t>
  </si>
  <si>
    <t>5.4.1</t>
  </si>
  <si>
    <t>Норматив чистого оборотного капитала</t>
  </si>
  <si>
    <t>P_INVEST_CLEAN_PERCENT</t>
  </si>
  <si>
    <t>360.0.12.</t>
  </si>
  <si>
    <t>M10640</t>
  </si>
  <si>
    <t>Норматив чистого оборотного капитала, %</t>
  </si>
  <si>
    <t>Норма доходности</t>
  </si>
  <si>
    <t>P_INVEST_NORM</t>
  </si>
  <si>
    <t>360.0.13.</t>
  </si>
  <si>
    <t>M11493</t>
  </si>
  <si>
    <t>Норма доходности, %</t>
  </si>
  <si>
    <t>5.5.1</t>
  </si>
  <si>
    <t>Норма доходности нового капитала</t>
  </si>
  <si>
    <t>P_INVEST_NORM_NEW</t>
  </si>
  <si>
    <t>360.0.14.</t>
  </si>
  <si>
    <t>M10642</t>
  </si>
  <si>
    <t>Норма доходности нового капитала, %</t>
  </si>
  <si>
    <t>5.5.2</t>
  </si>
  <si>
    <t>Норма доходности старого капитала</t>
  </si>
  <si>
    <t>P_INVEST_NORM_OLD</t>
  </si>
  <si>
    <t>360.0.15.</t>
  </si>
  <si>
    <t>M11495</t>
  </si>
  <si>
    <t>Норма доходности старого капитала, %</t>
  </si>
  <si>
    <t>360.0.16.</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</si>
  <si>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</si>
  <si>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</si>
  <si>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145.0.2.</t>
  </si>
  <si>
    <t>M10616</t>
  </si>
  <si>
    <t>Расходы на капитальные вложения, тыс.руб.</t>
  </si>
  <si>
    <t>Расходы на погашение и обслуживание заемных средств, привлекаемых на реализацию мероприятий инвестиционной программы</t>
  </si>
  <si>
    <t>P_CREDIT_INVEST</t>
  </si>
  <si>
    <t>360.0.17.</t>
  </si>
  <si>
    <t>M10608</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</si>
  <si>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</si>
  <si>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</si>
  <si>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</si>
  <si>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360.0.18.</t>
  </si>
  <si>
    <t>M10610</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</si>
  <si>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</si>
  <si>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Прочая нормативная прибыль</t>
  </si>
  <si>
    <t>P_PROFIT_NORM_ETC</t>
  </si>
  <si>
    <t>P_INCOME</t>
  </si>
  <si>
    <t>360.0.19.</t>
  </si>
  <si>
    <t>Доля расчётной предпринимательской прибыли, %</t>
  </si>
  <si>
    <t>P_INCOME_PERCENT</t>
  </si>
  <si>
    <t>360.0.20.</t>
  </si>
  <si>
    <t>M10607</t>
  </si>
  <si>
    <t>P_RESULTS</t>
  </si>
  <si>
    <t>360.0.21.</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</si>
  <si>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</si>
  <si>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</si>
  <si>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</si>
  <si>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337.0.3.</t>
  </si>
  <si>
    <t>M11585</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</si>
  <si>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</si>
  <si>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</si>
  <si>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M11583</t>
  </si>
  <si>
    <t>Корректировка НВВ в связи с изменением (неисполнением) инвестиционной программы</t>
  </si>
  <si>
    <t>P_CORR_NVV_INVEST</t>
  </si>
  <si>
    <t>229.0.7.</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</si>
  <si>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</si>
  <si>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</si>
  <si>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корректировки, тыс.руб.</t>
  </si>
  <si>
    <t>Прочие корректировки</t>
  </si>
  <si>
    <t>366.0.6.</t>
  </si>
  <si>
    <t>M11767</t>
  </si>
  <si>
    <t>{                  _x000D_
         funcDyn: 'msg',_x000D_
         blok: '',_x000D_
         wsCross: '',_x000D_
         linkFormula: '',_x000D_
         levelDyn: ''_x000D_
}</t>
  </si>
  <si>
    <t>Необходимая валовая выручка</t>
  </si>
  <si>
    <t>P_NEEDED_GAIN</t>
  </si>
  <si>
    <t>360.0.22.</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</si>
  <si>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</si>
  <si>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P_CORR_EXPENSES</t>
  </si>
  <si>
    <t>360.0.23.</t>
  </si>
  <si>
    <t>M11579</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</si>
  <si>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 тыс.руб.</t>
  </si>
  <si>
    <t>НВВ</t>
  </si>
  <si>
    <t>Итого НВВ для расчета тарифа (с корректировками)</t>
  </si>
  <si>
    <t>P_NVV_TOTAL</t>
  </si>
  <si>
    <t>360.0.24.</t>
  </si>
  <si>
    <t>M11580</t>
  </si>
  <si>
    <t>НВВ для расчета тарифа (с корректировками), тыс.руб.</t>
  </si>
  <si>
    <t>для двухставочного тарифа</t>
  </si>
  <si>
    <t>Топливная составляющая</t>
  </si>
  <si>
    <t>P_NVV_TS</t>
  </si>
  <si>
    <t>M11581</t>
  </si>
  <si>
    <t>Топливная составляющая НВВ, тыс.руб.</t>
  </si>
  <si>
    <t>НВВ без топливной составляющей</t>
  </si>
  <si>
    <t>P_NVV_NOT_TS</t>
  </si>
  <si>
    <t>M11582</t>
  </si>
  <si>
    <t>НВВ без топливной составляющей, тыс.руб.</t>
  </si>
  <si>
    <t>Полезный отпуск без разбивки по группам потребителей</t>
  </si>
  <si>
    <t>P_USEFULL</t>
  </si>
  <si>
    <t>360.0.27.</t>
  </si>
  <si>
    <t>M10502</t>
  </si>
  <si>
    <t>Полезный отпуск, Гкал</t>
  </si>
  <si>
    <t>объем.1</t>
  </si>
  <si>
    <t>I полугодие: объём реализации (в рамках 2026 г. - с 01.01 по 30.09)</t>
  </si>
  <si>
    <t>P_USEFULL_1_VOL</t>
  </si>
  <si>
    <t>35.0.2.</t>
  </si>
  <si>
    <t>тариф.1</t>
  </si>
  <si>
    <t>I полугодие: тариф (в рамках 2026 г. - с 01.01 по 30.09)</t>
  </si>
  <si>
    <t>P_USEFULL_1_TARIFF</t>
  </si>
  <si>
    <t>объем.2</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</si>
  <si>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</si>
  <si>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</si>
  <si>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</si>
  <si>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</si>
  <si>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</si>
  <si>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t>
  </si>
  <si>
    <t>P_USEFULL_GROW</t>
  </si>
  <si>
    <t>360.0.28.</t>
  </si>
  <si>
    <t>Средневзвешенный тариф</t>
  </si>
  <si>
    <t>P_USEFULL_AVERAGE</t>
  </si>
  <si>
    <t>360.0.29.</t>
  </si>
  <si>
    <t>M10552</t>
  </si>
  <si>
    <t>Средневзвешенный тариф, руб./Гкал</t>
  </si>
  <si>
    <t>Суммарная договорная нагрузка</t>
  </si>
  <si>
    <t>360.0.30.</t>
  </si>
  <si>
    <t>M10476</t>
  </si>
  <si>
    <t>Подключенная нагрузка, Гкал/час</t>
  </si>
  <si>
    <t>нагр.1</t>
  </si>
  <si>
    <t>I полугодие (в рамках 2026 г. - с 01.01 по 30.09)</t>
  </si>
  <si>
    <t>P_LOAD_1</t>
  </si>
  <si>
    <t>нагр.2</t>
  </si>
  <si>
    <t>II полугодие (в рамках 2026 г. - с 01.10 по 31.12)</t>
  </si>
  <si>
    <t>P_LOAD_2</t>
  </si>
  <si>
    <t>Ставка платы за тепловую энергию двухставочного тарифа</t>
  </si>
  <si>
    <t>P_RATE_TE</t>
  </si>
  <si>
    <t>360.0.31.</t>
  </si>
  <si>
    <t>ст_объем_1</t>
  </si>
  <si>
    <t>Ставка за объем с 01.01 по 30.06. (в рамках 2026 г. - с 01.01 по 30.09)</t>
  </si>
  <si>
    <t>P_RATE_TE_1</t>
  </si>
  <si>
    <t>M10796</t>
  </si>
  <si>
    <t>Двухставочный тариф. Ставка за тепловую энергию, руб./Гкал</t>
  </si>
  <si>
    <t>ст_объем_2</t>
  </si>
  <si>
    <t>Ставка за объем с 01.07 по 31.12 (в рамках 2026 г. - с 01.10 по 31.12)</t>
  </si>
  <si>
    <t>P_RATE_TE_2</t>
  </si>
  <si>
    <t>Темп роста ставки платы за тепловую энергию</t>
  </si>
  <si>
    <t>P_RATE_TE_GROW</t>
  </si>
  <si>
    <t>107.0.4.</t>
  </si>
  <si>
    <t>Ставка платы за содержание тепловой мощности двухставочного тарифа</t>
  </si>
  <si>
    <t>P_RATE_TM</t>
  </si>
  <si>
    <t>360.0.32.</t>
  </si>
  <si>
    <t>ст_мощн_1</t>
  </si>
  <si>
    <t>Ставка за мощность с 01.01 по 30.06. (в рамках 2026 г. - с 01.01 по 30.09)</t>
  </si>
  <si>
    <t>тыс.руб/Гкал/ч _x000D_
в мес.</t>
  </si>
  <si>
    <t>P_RATE_TM_1</t>
  </si>
  <si>
    <t>M11408</t>
  </si>
  <si>
    <t>Ставка за мощность двухставочного тарифа на тепловую энергию, тыс.руб./мес./Гкал/час</t>
  </si>
  <si>
    <t>ст_мощн_2</t>
  </si>
  <si>
    <t>Ставка за мощность с 01.07 по 31.12 (в рамках 2026 г. - с 01.10 по 31.12)</t>
  </si>
  <si>
    <t>P_RATE_TM_2</t>
  </si>
  <si>
    <t>Темп роста ставки платы за содержание тепловой мощности</t>
  </si>
  <si>
    <t>P_RATE_TM_GROW</t>
  </si>
  <si>
    <t>107.0.5.</t>
  </si>
  <si>
    <t>Справочно: размер компенсации за счет средств бюджетов бюджетной системы Российской Федерации (при наличии)</t>
  </si>
  <si>
    <t>P_BUDGET</t>
  </si>
  <si>
    <t>360.0.33.</t>
  </si>
  <si>
    <t>M11735</t>
  </si>
  <si>
    <t>Размер компенсации за счёт средств бюджетной системы, тыс.руб.</t>
  </si>
  <si>
    <t>{                  _x000D_
         funcDyn: 'msg1',_x000D_
         blok: 'blok_1',_x000D_
         wsCross: 'Калькуляция (4.6)',_x000D_
         linkFormula: 'AB-AB',_x000D_
         levelDyn: ''_x000D_
}</t>
  </si>
  <si>
    <t>mi_map_59</t>
  </si>
  <si>
    <t>mi_map_51</t>
  </si>
  <si>
    <t>mi_map_53</t>
  </si>
  <si>
    <t>uni_product_expense_NAME</t>
  </si>
  <si>
    <t>uni_invest_programm_activity_NAME</t>
  </si>
  <si>
    <t>uni_cash_flow_out_NAME</t>
  </si>
  <si>
    <t>uni_buh_bal_ind_NAME</t>
  </si>
  <si>
    <t>uni_invest_prog_capital_expense_NAME</t>
  </si>
  <si>
    <t>Расходы, связанные с производством и реализацией продукции (услуг) по регулируемым видам деятельности</t>
  </si>
  <si>
    <t>P_EXPENSES_PROD_TOTAL</t>
  </si>
  <si>
    <t>Расходы на приобретение сырья и материалов</t>
  </si>
  <si>
    <t>1.0.64.</t>
  </si>
  <si>
    <t>P_OTHER_ENERGY</t>
  </si>
  <si>
    <t>1.0.106.</t>
  </si>
  <si>
    <t>Электрическая энергия на технологические нужды</t>
  </si>
  <si>
    <t>P_EE_TEH</t>
  </si>
  <si>
    <t>1.0.82.</t>
  </si>
  <si>
    <t>Тепловая энергия на технологические нужды</t>
  </si>
  <si>
    <t>P_TE_TEH</t>
  </si>
  <si>
    <t>Оплата труда</t>
  </si>
  <si>
    <t>1.8.1</t>
  </si>
  <si>
    <t>% страховых взносов</t>
  </si>
  <si>
    <t>M11824</t>
  </si>
  <si>
    <t>Доля страховых взносов, %</t>
  </si>
  <si>
    <t>Ремонт основных средств, выполняемых подрядным способом</t>
  </si>
  <si>
    <t>P_REPAIR</t>
  </si>
  <si>
    <t>M10699</t>
  </si>
  <si>
    <t>Ремонт основных средств, выполняемый подрядным способом, тыс.руб.</t>
  </si>
  <si>
    <t>1.10</t>
  </si>
  <si>
    <t>Расходы на оплату услуг, оказываемых организациями, осуществляющими регулируемую деятельность</t>
  </si>
  <si>
    <t>P_ORG_REG</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</si>
  <si>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</si>
  <si>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</si>
  <si>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120.0.12.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</si>
  <si>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</si>
  <si>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</si>
  <si>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1.0.102.</t>
  </si>
  <si>
    <t>M10539</t>
  </si>
  <si>
    <t>Плата, тыс. руб.</t>
  </si>
  <si>
    <t>Арендная плата, концессионная плата, лизинговые платежи</t>
  </si>
  <si>
    <t>P_RENT</t>
  </si>
  <si>
    <t>110.0.26.</t>
  </si>
  <si>
    <t>P_BUSINES_TRIP</t>
  </si>
  <si>
    <t>Расходы на страхование производственных объектов, учитываемые при определении налоговой базы по налогу на прибыль</t>
  </si>
  <si>
    <t>P_INSURANCE_OBJECT</t>
  </si>
  <si>
    <t>122.0.6.</t>
  </si>
  <si>
    <t>Другие расходы, связанные с производством и (или) реализацией продукции, в том числе</t>
  </si>
  <si>
    <t>120.0.7.</t>
  </si>
  <si>
    <t>1.18.1</t>
  </si>
  <si>
    <t>налог на имущество организаций</t>
  </si>
  <si>
    <t>1.0.25.</t>
  </si>
  <si>
    <t>M10882</t>
  </si>
  <si>
    <t>Налоги, сборы и другие обязательные платежи (ОСАГО, транспортный налог и прочее), тыс.руб.</t>
  </si>
  <si>
    <t>1.18.2</t>
  </si>
  <si>
    <t>1.0.17.</t>
  </si>
  <si>
    <t>1.18.3</t>
  </si>
  <si>
    <t>P_TAX_TRANSPORT</t>
  </si>
  <si>
    <t>1.0.93.</t>
  </si>
  <si>
    <t>1.18.4</t>
  </si>
  <si>
    <t>1.18.5</t>
  </si>
  <si>
    <t>прочие налоги</t>
  </si>
  <si>
    <t>P_TAX_OTHER</t>
  </si>
  <si>
    <t>Внереализационные расходы</t>
  </si>
  <si>
    <t>P_NON_REALIZ</t>
  </si>
  <si>
    <t>1.0.108.</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</si>
  <si>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</si>
  <si>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</si>
  <si>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279.0.7.</t>
  </si>
  <si>
    <t>P_DEBT</t>
  </si>
  <si>
    <t>P_FUEL_CONSERV</t>
  </si>
  <si>
    <t>Другие обоснованные расходы, в том числе</t>
  </si>
  <si>
    <t>P_OTHER_EXPENSES</t>
  </si>
  <si>
    <t>110.0.42.</t>
  </si>
  <si>
    <t>2.4.1</t>
  </si>
  <si>
    <t>Расходы на услуги банков</t>
  </si>
  <si>
    <t>P_BANK</t>
  </si>
  <si>
    <t>1.0.96.</t>
  </si>
  <si>
    <t>2.4.2</t>
  </si>
  <si>
    <t>Расходы на обслуживание заемных средств</t>
  </si>
  <si>
    <t>P_CREDIT</t>
  </si>
  <si>
    <t>6.0.26.</t>
  </si>
  <si>
    <t>Расходы, не учитываемые в целях налогообложения (расходы, относимые на прибыль после налогообложения)</t>
  </si>
  <si>
    <t>P_PROFIT_EXPENSES</t>
  </si>
  <si>
    <t>1.0.60.</t>
  </si>
  <si>
    <t>расходы на капитальные вложения (инвестиции)</t>
  </si>
  <si>
    <t>P_INVEST</t>
  </si>
  <si>
    <t>110.0.21.</t>
  </si>
  <si>
    <t>денежные выплаты социального характера (по коллективному договору)</t>
  </si>
  <si>
    <t>P_SOCIAL_PAYMENT</t>
  </si>
  <si>
    <t>138.0.11.</t>
  </si>
  <si>
    <t>резервный фонд</t>
  </si>
  <si>
    <t>P_RESERVE</t>
  </si>
  <si>
    <t>2.0.48.</t>
  </si>
  <si>
    <t>P_OTHER_PROFIT</t>
  </si>
  <si>
    <t>110.0.32.</t>
  </si>
  <si>
    <t>Прибыль расчетная предпринимательская/_x000D_
финансовый результат</t>
  </si>
  <si>
    <t>Выпадающие доходы/экономия средств</t>
  </si>
  <si>
    <t>110.0.16.</t>
  </si>
  <si>
    <t>P_NEEDED_VAL</t>
  </si>
  <si>
    <t>110.0.36.</t>
  </si>
  <si>
    <t>P_CORR_EOR</t>
  </si>
  <si>
    <t>P_NVV</t>
  </si>
  <si>
    <t>110.0.43.</t>
  </si>
  <si>
    <t>P_NVV_FUEL</t>
  </si>
  <si>
    <t>P_NVV_NON_FUEL</t>
  </si>
  <si>
    <t>{                  _x000D_
         funcDyn: 'msg1',_x000D_
         blok: 'blok_1',_x000D_
         wsCross: 'Удельные расходы (МСА)',_x000D_
         linkFormula: 'AB-AB',_x000D_
         levelDyn: ''_x000D_
}</t>
  </si>
  <si>
    <t>uni_values_NAME</t>
  </si>
  <si>
    <t>uni_calculation_accounting_NAME</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</si>
  <si>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</si>
  <si>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</si>
  <si>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</si>
  <si>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</si>
  <si>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</si>
  <si>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</si>
  <si>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</si>
  <si>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</si>
  <si>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</si>
  <si>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</si>
  <si>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</si>
  <si>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</si>
  <si>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332.0.1.</t>
  </si>
  <si>
    <t>376.0.3.</t>
  </si>
  <si>
    <t>M11825</t>
  </si>
  <si>
    <t>Удельные расходы, тыс.руб./км</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</si>
  <si>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</si>
  <si>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</si>
  <si>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</si>
  <si>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</si>
  <si>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</si>
  <si>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</si>
  <si>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376.0.4.</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</si>
  <si>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</si>
  <si>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</si>
  <si>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</si>
  <si>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</si>
  <si>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</si>
  <si>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</si>
  <si>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</si>
  <si>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</si>
  <si>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M11826</t>
  </si>
  <si>
    <t>Отпуск тепловой энергии с коллекторов, тыс. Гкал</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</si>
  <si>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</si>
  <si>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</si>
  <si>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M11827</t>
  </si>
  <si>
    <t>Удельные расходы, руб/Гкал</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</si>
  <si>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</si>
  <si>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</si>
  <si>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</si>
  <si>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</si>
  <si>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</si>
  <si>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</si>
  <si>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uni_collectors_heat_network_NAME</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</si>
  <si>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</si>
  <si>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</si>
  <si>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</si>
  <si>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</si>
  <si>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</si>
  <si>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</si>
  <si>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112.0.0.</t>
  </si>
  <si>
    <t>величина удельных расходов организации, осуществляющей деятельность по передаче тепловой энергии</t>
  </si>
  <si>
    <t>P_UD_EXPENSES</t>
  </si>
  <si>
    <t>M10647</t>
  </si>
  <si>
    <t>Удельные текущие расходы, тыс.руб./усл. км</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</si>
  <si>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</si>
  <si>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</si>
  <si>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</si>
  <si>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</si>
  <si>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</si>
  <si>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</si>
  <si>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8.0.27.</t>
  </si>
  <si>
    <t>449.0.2.</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</si>
  <si>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</si>
  <si>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</si>
  <si>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</si>
  <si>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</si>
  <si>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</si>
  <si>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</si>
  <si>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</si>
  <si>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</si>
  <si>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</si>
  <si>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</si>
  <si>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</si>
  <si>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</si>
  <si>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</si>
  <si>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</si>
  <si>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</si>
  <si>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P_IND_MULT_PROD</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</si>
  <si>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</si>
  <si>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</si>
  <si>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</si>
  <si>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</si>
  <si>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</si>
  <si>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uni_techno_stages_warm_NAME</t>
  </si>
  <si>
    <t>uni_heat_energy_transportation_NAME</t>
  </si>
  <si>
    <t>Необходимая валовая выручка, всего</t>
  </si>
  <si>
    <t>P_SALES_TOTAL</t>
  </si>
  <si>
    <t>необходимая валовая выручка на передачу тепловой энергии, всего</t>
  </si>
  <si>
    <t>P_SALES_TE</t>
  </si>
  <si>
    <t>423.0.2.</t>
  </si>
  <si>
    <t>108.0.1.</t>
  </si>
  <si>
    <t>по собственным сетям, в том числе:</t>
  </si>
  <si>
    <t>P_SALES_SELF</t>
  </si>
  <si>
    <t>108.0.4.</t>
  </si>
  <si>
    <t>1.1.1.1</t>
  </si>
  <si>
    <t>определенная до начала долгосрочного периода регулирования</t>
  </si>
  <si>
    <t>P_SALES_BEFORE</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</si>
  <si>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</si>
  <si>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</si>
  <si>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</si>
  <si>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366.0.5.</t>
  </si>
  <si>
    <t>1.1.1.3</t>
  </si>
  <si>
    <t>прочие корректировки</t>
  </si>
  <si>
    <t>P_SALES_CORR_OTHER</t>
  </si>
  <si>
    <t>по сетям иных теплосетевых организаций</t>
  </si>
  <si>
    <t>P_SALES_OTHER_ORG</t>
  </si>
  <si>
    <t>108.0.5.</t>
  </si>
  <si>
    <t>необходимая валовая выручка на производство тепловой энергии в целом по организации</t>
  </si>
  <si>
    <t>P_SALES_PROD</t>
  </si>
  <si>
    <t>423.0.4.</t>
  </si>
  <si>
    <t>1.2.1</t>
  </si>
  <si>
    <t>P_SALES_PROD_BEFORE</t>
  </si>
  <si>
    <t>DYN_SALES</t>
  </si>
  <si>
    <t>1.2.2</t>
  </si>
  <si>
    <t>P_SALES_PROD_CORR</t>
  </si>
  <si>
    <t>DYN_CORR</t>
  </si>
  <si>
    <t>1.2.3</t>
  </si>
  <si>
    <t>P_SALES_PROD_CORR_OTHER</t>
  </si>
  <si>
    <t>DYN_CORR_OTHER</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</si>
  <si>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</si>
  <si>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</si>
  <si>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</si>
  <si>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</si>
  <si>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</si>
  <si>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</si>
  <si>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</si>
  <si>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</si>
  <si>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</si>
  <si>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</si>
  <si>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</si>
  <si>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uni_funding_source_NAME</t>
  </si>
  <si>
    <t>uni_budget_resource_NAME</t>
  </si>
  <si>
    <t>110.0.19.</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</si>
  <si>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</si>
  <si>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</si>
  <si>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</si>
  <si>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</si>
  <si>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18.0.3.</t>
  </si>
  <si>
    <t>M11828</t>
  </si>
  <si>
    <t>Собственные средства, тыс.руб.</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</si>
  <si>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</si>
  <si>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</si>
  <si>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</si>
  <si>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</si>
  <si>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419.0.1.</t>
  </si>
  <si>
    <t>Экономия расходов</t>
  </si>
  <si>
    <t xml:space="preserve">      достигнутая в результате реализации мероприятий инвестиционной программы</t>
  </si>
  <si>
    <t>P_ECONOMY_INVEST</t>
  </si>
  <si>
    <t>18.0.13.</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</si>
  <si>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</si>
  <si>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</si>
  <si>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419.0.7.</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</si>
  <si>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</si>
  <si>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</si>
  <si>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198.0.3.</t>
  </si>
  <si>
    <t>Расходы на уплату лизинговых платежей по договору финансовой аренды (лизинга)</t>
  </si>
  <si>
    <t>419.0.4.</t>
  </si>
  <si>
    <t>Иные собственные средства, за исключением средств, указанных в разделе 1</t>
  </si>
  <si>
    <t>198.0.4.</t>
  </si>
  <si>
    <t>Привлеченные средства</t>
  </si>
  <si>
    <t>P_OUTSIDE</t>
  </si>
  <si>
    <t>M11008</t>
  </si>
  <si>
    <t>Привлечённные средства, тыс.руб.</t>
  </si>
  <si>
    <t>Кредиты</t>
  </si>
  <si>
    <t>18.0.4.</t>
  </si>
  <si>
    <t>Займы</t>
  </si>
  <si>
    <t>P_LOANS</t>
  </si>
  <si>
    <t>Прочие привлеченные средства</t>
  </si>
  <si>
    <t>P_OTHER_OUTSIDE</t>
  </si>
  <si>
    <t>419.0.12.</t>
  </si>
  <si>
    <t>Бюджетное финансирование</t>
  </si>
  <si>
    <t>18.0.9.</t>
  </si>
  <si>
    <t>M10933</t>
  </si>
  <si>
    <t>Финансирование инвестиционной программы, тыс. руб.</t>
  </si>
  <si>
    <t>Федеральный бюджет</t>
  </si>
  <si>
    <t>P_FED_BUDGET</t>
  </si>
  <si>
    <t>142.0.1.</t>
  </si>
  <si>
    <t>Бюджет субъекта РФ</t>
  </si>
  <si>
    <t>P_SUB_BUDGET</t>
  </si>
  <si>
    <t>142.0.2.</t>
  </si>
  <si>
    <t>Бюджет муниципального образования</t>
  </si>
  <si>
    <t>P_MUN_BUDGET</t>
  </si>
  <si>
    <t>142.0.3.</t>
  </si>
  <si>
    <t>Прочие источники финансирования</t>
  </si>
  <si>
    <t>P_OTHER_SOURCES</t>
  </si>
  <si>
    <t>18.0.10.</t>
  </si>
  <si>
    <t>M11569</t>
  </si>
  <si>
    <t>Источник финансирования</t>
  </si>
  <si>
    <t>{                  _x000D_
         funcDyn: 'msg1',_x000D_
         blok: 'blok_1',_x000D_
         wsCross: 'ТМ',_x000D_
         linkFormula: 'AB-AB',_x000D_
         levelDyn: ''_x000D_
}</t>
  </si>
  <si>
    <t>uni_nds_accounting_NAME</t>
  </si>
  <si>
    <t>Утверждаемый тариф</t>
  </si>
  <si>
    <t>Дополнительные признаки дифференциации тарифов</t>
  </si>
  <si>
    <t>Одноставочный тариф:</t>
  </si>
  <si>
    <t>для прочих потребителей с 01.01 по 30.06 без НДС</t>
  </si>
  <si>
    <t>Тариф с 01.01 по 30.06 для прочих потребителей без НДС (в рамках 2026 г. - с 01.01 по 30.09)</t>
  </si>
  <si>
    <t>P__SINGLE_TARIFF_1_OTHER</t>
  </si>
  <si>
    <t>109.0.1.</t>
  </si>
  <si>
    <t>M10671</t>
  </si>
  <si>
    <t>Одноставочный тариф, руб./Гкал</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</si>
  <si>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</si>
  <si>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</si>
  <si>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</si>
  <si>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</si>
  <si>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Темп роста тарифов с 01.07 (в рамках 2026 г. - с 01.10)</t>
  </si>
  <si>
    <t>P__SINGLE_TARIFF_GROW_OTHER</t>
  </si>
  <si>
    <t>объем</t>
  </si>
  <si>
    <t>Объём реализации продукции с 01.01 по 31.12</t>
  </si>
  <si>
    <t>P__SINGLE_VOL_TOTAL_OTHER</t>
  </si>
  <si>
    <t>P__SINGLE_VOL_1_OTHER</t>
  </si>
  <si>
    <t>P__SINGLE_VOL_2_OTHER</t>
  </si>
  <si>
    <t>для населения с 01.01 по 30.06 с НДС</t>
  </si>
  <si>
    <t>Тариф с 01.01 по 30.06 для населения с НДС (в рамках 2026 г. - с 01.01 по 30.09)</t>
  </si>
  <si>
    <t>P__SINGLE_TARIFF_1_PEOPLE</t>
  </si>
  <si>
    <t>109.0.2.</t>
  </si>
  <si>
    <t>M11403</t>
  </si>
  <si>
    <t>Тариф на теплоноситель, руб./куб.м.</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</si>
  <si>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</si>
  <si>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</si>
  <si>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</si>
  <si>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</si>
  <si>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</si>
  <si>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</si>
  <si>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</si>
  <si>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</si>
  <si>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xml:space="preserve">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</si>
  <si>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</si>
  <si>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</si>
  <si>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</si>
  <si>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</si>
  <si>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</si>
  <si>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</si>
  <si>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{_x000D_
         funcDyn: 'msg',_x000D_
         blok: '',_x000D_
         wsCross: '',_x000D_
         linkFormula: '',_x000D_
         levelDyn: 1_x000D_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</si>
  <si>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</si>
  <si>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</si>
  <si>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</si>
  <si>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P__DOUBLE_TRANSF_1_OTHER</t>
  </si>
  <si>
    <t>M11804</t>
  </si>
  <si>
    <t>Перевод двухставочного тарифа в одноставочный тариф, руб./Гкал</t>
  </si>
  <si>
    <t>ставка платы за потребление 1 Гкал</t>
  </si>
  <si>
    <t>P__DOUBLE_RATE_1_OTHER</t>
  </si>
  <si>
    <t>объем потребления тепловой энергии</t>
  </si>
  <si>
    <t>P__DOUBLE_VOL_1_OTHER</t>
  </si>
  <si>
    <t>ставка платы за содержание системы теплоснабжения</t>
  </si>
  <si>
    <t>P__DOUBLE_RATE_MAINTAIN_1_OTHER</t>
  </si>
  <si>
    <t>M10797</t>
  </si>
  <si>
    <t>Двухставочный тариф. Ставка за содержание тепловой мощности, руб./Гкал*час в месяц</t>
  </si>
  <si>
    <t>величина присоединенной мощности</t>
  </si>
  <si>
    <t>P__DOUBLE_POWER_1_OTHER</t>
  </si>
  <si>
    <t>M11779</t>
  </si>
  <si>
    <t>Присоединённая мощность, Гкал/ч</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</si>
  <si>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</si>
  <si>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</si>
  <si>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</si>
  <si>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</si>
  <si>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</si>
  <si>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</si>
  <si>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P__DOUBLE_TRANSF_1_PEOPLE</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</si>
  <si>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</si>
  <si>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</si>
  <si>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</si>
  <si>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</si>
  <si>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</si>
  <si>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</si>
  <si>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</si>
  <si>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</si>
  <si>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</si>
  <si>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</si>
  <si>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P_BASE</t>
  </si>
  <si>
    <t>P_IND</t>
  </si>
  <si>
    <t>P_NORM</t>
  </si>
  <si>
    <t>P_FUEL_CONS</t>
  </si>
  <si>
    <t>P_LOSSES_RATIO</t>
  </si>
  <si>
    <t>P_LOSSES_PERCENT</t>
  </si>
  <si>
    <t>P_LOSSES</t>
  </si>
  <si>
    <t>P_PRICE_CHANGES</t>
  </si>
  <si>
    <t>uni_water_distribution_NAME</t>
  </si>
  <si>
    <t>96.0.6.</t>
  </si>
  <si>
    <t>M11138</t>
  </si>
  <si>
    <t>M11140</t>
  </si>
  <si>
    <t>M11271</t>
  </si>
  <si>
    <t>Операционные расходы, тыс.руб.</t>
  </si>
  <si>
    <t>Отношение величины технологических потерь к материальной характеристике тепловой сети, Гкал/кв.м</t>
  </si>
  <si>
    <t>Величина технологических потерь, Гкал/год</t>
  </si>
  <si>
    <t>Динамика изменения, %</t>
  </si>
  <si>
    <t>Базовый уровень операционных расходов (тыс. руб.)</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</si>
  <si>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</si>
  <si>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</si>
  <si>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</si>
  <si>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</si>
  <si>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</si>
  <si>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</si>
  <si>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</si>
  <si>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</si>
  <si>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</si>
  <si>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</si>
  <si>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</si>
  <si>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</si>
  <si>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</si>
  <si>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</si>
  <si>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</si>
  <si>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</si>
  <si>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</si>
  <si>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</si>
  <si>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</si>
  <si>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</si>
  <si>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</si>
  <si>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</si>
  <si>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</si>
  <si>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</si>
  <si>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</si>
  <si>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</si>
  <si>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</si>
  <si>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</si>
  <si>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</si>
  <si>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</si>
  <si>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</si>
  <si>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</si>
  <si>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</si>
  <si>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</si>
  <si>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</si>
  <si>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аренда</t>
  </si>
  <si>
    <t>Без разбивки</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</si>
  <si>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</si>
  <si>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</si>
  <si>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</si>
  <si>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</si>
  <si>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</si>
  <si>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</si>
  <si>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</si>
  <si>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</si>
  <si>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</si>
  <si>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</si>
  <si>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</si>
  <si>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</si>
  <si>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</si>
  <si>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</si>
  <si>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</si>
  <si>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</si>
  <si>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</si>
  <si>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</si>
  <si>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</si>
  <si>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концессионное соглашение</t>
  </si>
  <si>
    <t>ВН</t>
  </si>
  <si>
    <t>Газ природный - Газ лимитный - 3 группа</t>
  </si>
  <si>
    <t>Белгородская область</t>
  </si>
  <si>
    <t>RU31</t>
  </si>
  <si>
    <t>fas_region_id</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</si>
  <si>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</si>
  <si>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</si>
  <si>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</si>
  <si>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</si>
  <si>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</si>
  <si>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</si>
  <si>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</si>
  <si>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</si>
  <si>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</si>
  <si>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</si>
  <si>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</si>
  <si>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</si>
  <si>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</si>
  <si>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</si>
  <si>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</si>
  <si>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</si>
  <si>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</si>
  <si>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</si>
  <si>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</si>
  <si>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</si>
  <si>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</si>
  <si>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</si>
  <si>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</si>
  <si>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</si>
  <si>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</si>
  <si>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</si>
  <si>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</si>
  <si>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</si>
  <si>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</si>
  <si>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</si>
  <si>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</si>
  <si>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</si>
  <si>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</si>
  <si>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</si>
  <si>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</si>
  <si>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</si>
  <si>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org_id</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</si>
  <si>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</si>
  <si>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</si>
  <si>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</si>
  <si>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</si>
  <si>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</si>
  <si>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</si>
  <si>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</si>
  <si>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</si>
  <si>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</si>
  <si>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</si>
  <si>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</si>
  <si>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</si>
  <si>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</si>
  <si>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</si>
  <si>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</si>
  <si>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</si>
  <si>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</si>
  <si>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</si>
  <si>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</si>
  <si>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</si>
  <si>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</si>
  <si>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</si>
  <si>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</si>
  <si>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</si>
  <si>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</si>
  <si>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</si>
  <si>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</si>
  <si>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</si>
  <si>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</si>
  <si>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</si>
  <si>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</si>
  <si>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</si>
  <si>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</si>
  <si>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</si>
  <si>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</si>
  <si>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</si>
  <si>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</si>
  <si>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</si>
  <si>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</si>
  <si>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</si>
  <si>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</si>
  <si>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</si>
  <si>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</si>
  <si>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муниципальная</t>
  </si>
  <si>
    <t>Тарифы на услуги по передаче тепловой энергии, теплоносителя</t>
  </si>
  <si>
    <t>Газ природный - Газ сверхлимитный - 7 группа</t>
  </si>
  <si>
    <t>Еврейская автономная область</t>
  </si>
  <si>
    <t>RU79</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</si>
  <si>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</si>
  <si>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</si>
  <si>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</si>
  <si>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</si>
  <si>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</si>
  <si>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договор</t>
  </si>
  <si>
    <t>Газ доменный</t>
  </si>
  <si>
    <t>Запорожская область</t>
  </si>
  <si>
    <t>RU85</t>
  </si>
  <si>
    <t>TN_TYPE</t>
  </si>
  <si>
    <t>Территории</t>
  </si>
  <si>
    <t>свидетельство</t>
  </si>
  <si>
    <t>Газ коксовый</t>
  </si>
  <si>
    <t>Ивановская область</t>
  </si>
  <si>
    <t>RU37</t>
  </si>
  <si>
    <t>соглашение</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</si>
  <si>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</si>
  <si>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</si>
  <si>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</si>
  <si>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</si>
  <si>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</si>
  <si>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</si>
  <si>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</si>
  <si>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</si>
  <si>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</si>
  <si>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</si>
  <si>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</si>
  <si>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</si>
  <si>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</si>
  <si>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</si>
  <si>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</si>
  <si>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</si>
  <si>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</si>
  <si>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</si>
  <si>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приказ</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</si>
  <si>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</si>
  <si>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</si>
  <si>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</si>
  <si>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</si>
  <si>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</si>
  <si>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</si>
  <si>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</si>
  <si>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</si>
  <si>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</si>
  <si>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</si>
  <si>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</si>
  <si>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</si>
  <si>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государственный контракт</t>
  </si>
  <si>
    <t>Дизельное топливо - Е (межсезонное)</t>
  </si>
  <si>
    <t>Кировская область</t>
  </si>
  <si>
    <t>RU43</t>
  </si>
  <si>
    <t>передача тепловой энергии</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</si>
  <si>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</si>
  <si>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</si>
  <si>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</si>
  <si>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</si>
  <si>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</si>
  <si>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</si>
  <si>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</si>
  <si>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</si>
  <si>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</si>
  <si>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</si>
  <si>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</si>
  <si>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</si>
  <si>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</si>
  <si>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</si>
  <si>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</si>
  <si>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</si>
  <si>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</si>
  <si>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</si>
  <si>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</si>
  <si>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</si>
  <si>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</si>
  <si>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</si>
  <si>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</si>
  <si>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</si>
  <si>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</si>
  <si>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</si>
  <si>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</si>
  <si>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</si>
  <si>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</si>
  <si>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</si>
  <si>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</si>
  <si>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</si>
  <si>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</si>
  <si>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</si>
  <si>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</si>
  <si>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</si>
  <si>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</si>
  <si>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</si>
  <si>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Уголь бурый</t>
  </si>
  <si>
    <t>Магаданская область</t>
  </si>
  <si>
    <t>RU49</t>
  </si>
  <si>
    <t>документов нет вообще</t>
  </si>
  <si>
    <t>Уголь газовый</t>
  </si>
  <si>
    <t>Московская область</t>
  </si>
  <si>
    <t>RU50</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</si>
  <si>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</si>
  <si>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</si>
  <si>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</si>
  <si>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</si>
  <si>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</si>
  <si>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</si>
  <si>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</si>
  <si>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</si>
  <si>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</si>
  <si>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</si>
  <si>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</si>
  <si>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</si>
  <si>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</si>
  <si>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</si>
  <si>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</si>
  <si>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</si>
  <si>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</si>
  <si>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</si>
  <si>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</si>
  <si>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</si>
  <si>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</si>
  <si>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</si>
  <si>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</si>
  <si>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</si>
  <si>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</si>
  <si>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</si>
  <si>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</si>
  <si>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</si>
  <si>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</si>
  <si>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</si>
  <si>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</si>
  <si>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</si>
  <si>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</si>
  <si>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</si>
  <si>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</si>
  <si>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</si>
  <si>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</si>
  <si>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</si>
  <si>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</si>
  <si>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</si>
  <si>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</si>
  <si>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</si>
  <si>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</si>
  <si>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</si>
  <si>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</si>
  <si>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</si>
  <si>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</si>
  <si>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</si>
  <si>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</si>
  <si>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</si>
  <si>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</si>
  <si>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</si>
  <si>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</si>
  <si>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</si>
  <si>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</si>
  <si>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</si>
  <si>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</si>
  <si>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</si>
  <si>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</si>
  <si>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</si>
  <si>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</si>
  <si>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</si>
  <si>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</si>
  <si>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</si>
  <si>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</si>
  <si>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</si>
  <si>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</si>
  <si>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</si>
  <si>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</si>
  <si>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</si>
  <si>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</si>
  <si>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</si>
  <si>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</si>
  <si>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</si>
  <si>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</si>
  <si>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</si>
  <si>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</si>
  <si>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</si>
  <si>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</si>
  <si>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</si>
  <si>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</si>
  <si>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</si>
  <si>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</si>
  <si>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</si>
  <si>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</si>
  <si>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</si>
  <si>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</si>
  <si>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</si>
  <si>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</si>
  <si>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</si>
  <si>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</si>
  <si>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</si>
  <si>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</si>
  <si>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</si>
  <si>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</si>
  <si>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</si>
  <si>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</si>
  <si>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</si>
  <si>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</si>
  <si>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</si>
  <si>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</si>
  <si>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</si>
  <si>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</si>
  <si>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</si>
  <si>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</si>
  <si>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</si>
  <si>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</si>
  <si>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</si>
  <si>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</si>
  <si>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</si>
  <si>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</si>
  <si>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</si>
  <si>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</si>
  <si>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</si>
  <si>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</si>
  <si>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</si>
  <si>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</si>
  <si>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</si>
  <si>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</si>
  <si>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</si>
  <si>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</si>
  <si>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</si>
  <si>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</si>
  <si>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</si>
  <si>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</si>
  <si>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</si>
  <si>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</si>
  <si>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</si>
  <si>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</si>
  <si>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</si>
  <si>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</si>
  <si>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</si>
  <si>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</si>
  <si>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</si>
  <si>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</si>
  <si>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</si>
  <si>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</si>
  <si>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</si>
  <si>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</si>
  <si>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</si>
  <si>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</si>
  <si>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</si>
  <si>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</si>
  <si>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</si>
  <si>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</si>
  <si>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</si>
  <si>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</si>
  <si>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</si>
  <si>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</si>
  <si>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</si>
  <si>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</si>
  <si>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</si>
  <si>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</si>
  <si>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</si>
  <si>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</si>
  <si>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</si>
  <si>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</si>
  <si>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</si>
  <si>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</si>
  <si>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</si>
  <si>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</si>
  <si>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</si>
  <si>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</si>
  <si>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</si>
  <si>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</si>
  <si>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</si>
  <si>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</si>
  <si>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</si>
  <si>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</si>
  <si>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</si>
  <si>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</si>
  <si>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</si>
  <si>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</si>
  <si>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</si>
  <si>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</si>
  <si>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</si>
  <si>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</si>
  <si>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</si>
  <si>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</si>
  <si>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</si>
  <si>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</si>
  <si>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</si>
  <si>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</si>
  <si>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</si>
  <si>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</si>
  <si>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</si>
  <si>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</si>
  <si>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</si>
  <si>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</si>
  <si>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</si>
  <si>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</si>
  <si>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</si>
  <si>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</si>
  <si>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</si>
  <si>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</si>
  <si>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</si>
  <si>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</si>
  <si>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</si>
  <si>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</si>
  <si>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</si>
  <si>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</si>
  <si>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</si>
  <si>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</si>
  <si>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</si>
  <si>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</si>
  <si>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</si>
  <si>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</si>
  <si>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</si>
  <si>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</si>
  <si>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</si>
  <si>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</si>
  <si>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</si>
  <si>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</si>
  <si>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</si>
  <si>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</si>
  <si>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</si>
  <si>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</si>
  <si>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</si>
  <si>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</si>
  <si>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</si>
  <si>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</si>
  <si>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</si>
  <si>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</si>
  <si>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</si>
  <si>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</si>
  <si>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</si>
  <si>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</si>
  <si>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</si>
  <si>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entity_name</t>
  </si>
  <si>
    <t>scenario_id</t>
  </si>
  <si>
    <t>fil_id</t>
  </si>
  <si>
    <t>fil_name</t>
  </si>
  <si>
    <t>nomer2_id</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</si>
  <si>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</si>
  <si>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</si>
  <si>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</si>
  <si>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</si>
  <si>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</si>
  <si>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</si>
  <si>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</si>
  <si>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</si>
  <si>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</si>
  <si>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</si>
  <si>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</si>
  <si>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</si>
  <si>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</si>
  <si>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</si>
  <si>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</si>
  <si>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</si>
  <si>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</si>
  <si>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</si>
  <si>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</si>
  <si>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</si>
  <si>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</si>
  <si>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</si>
  <si>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</si>
  <si>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</si>
  <si>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</si>
  <si>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</si>
  <si>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</si>
  <si>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l_tr_sl_ic</t>
  </si>
  <si>
    <t>l_tr_sl_cl</t>
  </si>
  <si>
    <t>l_tr_sl_tp_count</t>
  </si>
  <si>
    <t>l_tr_net_type</t>
  </si>
  <si>
    <t>l_tr_sl_phc_count</t>
  </si>
  <si>
    <t>l_tr_sl_l_calc_method</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</si>
  <si>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</si>
  <si>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</si>
  <si>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</si>
  <si>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</si>
  <si>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</si>
  <si>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</si>
  <si>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</si>
  <si>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</si>
  <si>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</si>
  <si>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</si>
  <si>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</si>
  <si>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</si>
  <si>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</si>
  <si>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</si>
  <si>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</si>
  <si>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</si>
  <si>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</si>
  <si>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</si>
  <si>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</si>
  <si>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</si>
  <si>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</si>
  <si>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</si>
  <si>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</si>
  <si>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</si>
  <si>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</si>
  <si>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</si>
  <si>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</si>
  <si>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</si>
  <si>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</si>
  <si>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</si>
  <si>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</si>
  <si>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</si>
  <si>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</si>
  <si>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</si>
  <si>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</si>
  <si>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</si>
  <si>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</si>
  <si>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</si>
  <si>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</si>
  <si>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</si>
  <si>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</si>
  <si>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</si>
  <si>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</si>
  <si>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</si>
  <si>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</si>
  <si>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</si>
  <si>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</si>
  <si>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</si>
  <si>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</si>
  <si>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</si>
  <si>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</si>
  <si>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</si>
  <si>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l_exploit_doc_type</t>
  </si>
  <si>
    <t>l_exploit_doc_base</t>
  </si>
  <si>
    <t>l_exploit_doc_number</t>
  </si>
  <si>
    <t>id</t>
  </si>
  <si>
    <t>guid</t>
  </si>
  <si>
    <t>address</t>
  </si>
  <si>
    <t>ООО "КК-ИНВЕСТ"_ИНН:1901133713_КПП:190101001</t>
  </si>
  <si>
    <t>Не определено</t>
  </si>
  <si>
    <t>Тепловой источник с сетями</t>
  </si>
  <si>
    <t>с Березово</t>
  </si>
  <si>
    <t>32507000426</t>
  </si>
  <si>
    <t>Кемеровская область - Кузбасс</t>
  </si>
  <si>
    <t>Кемеровский муниципальный округ, с. Березово, территория Притомье, здание 3, Кемеровская область - Кузбасс, Кемеровский муниципальный округ, с. Березово, территория Притомье, здание 3</t>
  </si>
  <si>
    <t>3.3600000000</t>
  </si>
  <si>
    <t>1.2700000000</t>
  </si>
  <si>
    <t>закрытая</t>
  </si>
  <si>
    <t>[Уголь длиннопламенный]</t>
  </si>
  <si>
    <t>[213,2]</t>
  </si>
  <si>
    <t>[287,38]</t>
  </si>
  <si>
    <t>[нет]</t>
  </si>
  <si>
    <t>круглогодичный</t>
  </si>
  <si>
    <t>50</t>
  </si>
  <si>
    <t>3.36</t>
  </si>
  <si>
    <t>1.272</t>
  </si>
  <si>
    <t>магистральная</t>
  </si>
  <si>
    <t>четырёхтрубные и более сети</t>
  </si>
  <si>
    <t>двухтрубное исполнение</t>
  </si>
  <si>
    <t>0.135</t>
  </si>
  <si>
    <t>0.045</t>
  </si>
  <si>
    <t>0.09</t>
  </si>
  <si>
    <t>0</t>
  </si>
  <si>
    <t>эксплуатируется</t>
  </si>
  <si>
    <t>Частная собственность</t>
  </si>
  <si>
    <t>Собственное имущество</t>
  </si>
  <si>
    <t>db6ab56d-93a4-405a-8dd4-7a4706ff6730</t>
  </si>
  <si>
    <t>mrName</t>
  </si>
  <si>
    <t>moName</t>
  </si>
  <si>
    <t>oktmo</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</si>
  <si>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</si>
  <si>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</si>
  <si>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</si>
  <si>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</si>
  <si>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</si>
  <si>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</si>
  <si>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</si>
  <si>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</si>
  <si>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</si>
  <si>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</si>
  <si>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</si>
  <si>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</si>
  <si>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</si>
  <si>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</si>
  <si>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</si>
  <si>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</si>
  <si>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</si>
  <si>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</si>
  <si>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</si>
  <si>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</si>
  <si>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</si>
  <si>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</si>
  <si>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</si>
  <si>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</si>
  <si>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</si>
  <si>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</si>
  <si>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</si>
  <si>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</si>
  <si>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</si>
  <si>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</si>
  <si>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</si>
  <si>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</si>
  <si>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</si>
  <si>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</si>
  <si>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</si>
  <si>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</si>
  <si>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</si>
  <si>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</si>
  <si>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</si>
  <si>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</si>
  <si>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</si>
  <si>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</si>
  <si>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</si>
  <si>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</si>
  <si>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</si>
  <si>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</si>
  <si>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</si>
  <si>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</si>
  <si>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</si>
  <si>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</si>
  <si>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</si>
  <si>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</si>
  <si>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</si>
  <si>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</si>
  <si>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</si>
  <si>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</si>
  <si>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</si>
  <si>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</si>
  <si>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</si>
  <si>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</si>
  <si>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</si>
  <si>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</si>
  <si>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</si>
  <si>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</si>
  <si>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</si>
  <si>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</si>
  <si>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</si>
  <si>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</si>
  <si>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</si>
  <si>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</si>
  <si>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</si>
  <si>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</si>
  <si>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</si>
  <si>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</si>
  <si>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</si>
  <si>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</si>
  <si>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</si>
  <si>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</si>
  <si>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</si>
  <si>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</si>
  <si>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</si>
  <si>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</si>
  <si>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</si>
  <si>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</si>
  <si>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</si>
  <si>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</si>
  <si>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</si>
  <si>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</si>
  <si>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</si>
  <si>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</si>
  <si>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</si>
  <si>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</si>
  <si>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</si>
  <si>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</si>
  <si>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</si>
  <si>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</si>
  <si>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</si>
  <si>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</si>
  <si>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</si>
  <si>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</si>
  <si>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</si>
  <si>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</si>
  <si>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</si>
  <si>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</si>
  <si>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</si>
  <si>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</si>
  <si>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</si>
  <si>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</si>
  <si>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</si>
  <si>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</si>
  <si>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</si>
  <si>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</si>
  <si>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</si>
  <si>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</si>
  <si>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</si>
  <si>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</si>
  <si>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</si>
  <si>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</si>
  <si>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</si>
  <si>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</si>
  <si>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</si>
  <si>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</si>
  <si>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</si>
  <si>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</si>
  <si>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</si>
  <si>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</si>
  <si>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</si>
  <si>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</si>
  <si>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</si>
  <si>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</si>
  <si>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</si>
  <si>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</si>
  <si>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</si>
  <si>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</si>
  <si>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</si>
  <si>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</si>
  <si>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</si>
  <si>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</si>
  <si>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</si>
  <si>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</si>
  <si>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</si>
  <si>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</si>
  <si>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</si>
  <si>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</si>
  <si>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</si>
  <si>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</si>
  <si>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</si>
  <si>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</si>
  <si>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</si>
  <si>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</si>
  <si>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</si>
  <si>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</si>
  <si>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</si>
  <si>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</si>
  <si>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</si>
  <si>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</si>
  <si>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</si>
  <si>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</si>
  <si>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</si>
  <si>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</si>
  <si>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</si>
  <si>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</si>
  <si>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</si>
  <si>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</si>
  <si>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</si>
  <si>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</si>
  <si>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</si>
  <si>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</si>
  <si>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</si>
  <si>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</si>
  <si>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</si>
  <si>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</si>
  <si>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</si>
  <si>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</si>
  <si>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</si>
  <si>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</si>
  <si>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</si>
  <si>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</si>
  <si>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</si>
  <si>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</si>
  <si>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</si>
  <si>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</si>
  <si>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</si>
  <si>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</si>
  <si>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</si>
  <si>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</si>
  <si>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</si>
  <si>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</si>
  <si>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</si>
  <si>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</si>
  <si>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</si>
  <si>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</si>
  <si>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</si>
  <si>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директор</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</si>
  <si>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</si>
  <si>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</si>
  <si>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</si>
  <si>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</si>
  <si>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</si>
  <si>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</si>
  <si>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</si>
  <si>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</si>
  <si>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</si>
  <si>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</si>
  <si>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</si>
  <si>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</si>
  <si>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</si>
  <si>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</si>
  <si>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</si>
  <si>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</si>
  <si>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</si>
  <si>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</si>
  <si>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</si>
  <si>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</si>
  <si>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</si>
  <si>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</si>
  <si>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</si>
  <si>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</si>
  <si>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</si>
  <si>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</si>
  <si>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</si>
  <si>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</si>
  <si>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</si>
  <si>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</si>
  <si>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</si>
  <si>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</si>
  <si>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</si>
  <si>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</si>
  <si>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</si>
  <si>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</si>
  <si>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</si>
  <si>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</si>
  <si>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</si>
  <si>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</si>
  <si>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</si>
  <si>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</si>
  <si>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</si>
  <si>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</si>
  <si>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</si>
  <si>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</si>
  <si>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</si>
  <si>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</si>
  <si>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</si>
  <si>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</si>
  <si>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</si>
  <si>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</si>
  <si>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</si>
  <si>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</si>
  <si>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</si>
  <si>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</si>
  <si>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</si>
  <si>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</si>
  <si>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</si>
  <si>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</si>
  <si>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</si>
  <si>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</si>
  <si>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</si>
  <si>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</si>
  <si>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</si>
  <si>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+78384643449</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</si>
  <si>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</si>
  <si>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</si>
  <si>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</si>
  <si>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</si>
  <si>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</si>
  <si>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</si>
  <si>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</si>
  <si>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</si>
  <si>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</si>
  <si>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</si>
  <si>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</si>
  <si>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</si>
  <si>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</si>
  <si>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</si>
  <si>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</si>
  <si>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</si>
  <si>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</si>
  <si>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</si>
  <si>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</si>
  <si>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</si>
  <si>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</si>
  <si>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</si>
  <si>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</si>
  <si>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</si>
  <si>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</si>
  <si>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</si>
  <si>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</si>
  <si>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</si>
  <si>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</si>
  <si>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</si>
  <si>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</si>
  <si>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</si>
  <si>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</si>
  <si>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</si>
  <si>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</si>
  <si>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</si>
  <si>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</si>
  <si>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</si>
  <si>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</si>
  <si>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</si>
  <si>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</si>
  <si>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</si>
  <si>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</si>
  <si>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</si>
  <si>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</si>
  <si>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</si>
  <si>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</si>
  <si>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</si>
  <si>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</si>
  <si>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</si>
  <si>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</si>
  <si>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</si>
  <si>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</si>
  <si>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</si>
  <si>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</si>
  <si>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</si>
  <si>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</si>
  <si>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</si>
  <si>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</si>
  <si>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</si>
  <si>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</si>
  <si>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</si>
  <si>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</si>
  <si>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</si>
  <si>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</si>
  <si>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</si>
  <si>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</si>
  <si>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</si>
  <si>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</si>
  <si>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</si>
  <si>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</si>
  <si>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</si>
  <si>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</si>
  <si>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</si>
  <si>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</si>
  <si>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</si>
  <si>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</si>
  <si>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</si>
  <si>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</si>
  <si>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</si>
  <si>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</si>
  <si>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</si>
  <si>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</si>
  <si>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</si>
  <si>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</si>
  <si>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</si>
  <si>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</si>
  <si>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</si>
  <si>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</si>
  <si>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</si>
  <si>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</si>
  <si>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</si>
  <si>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</si>
  <si>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</si>
  <si>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</si>
  <si>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</si>
  <si>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</si>
  <si>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</si>
  <si>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</si>
  <si>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</si>
  <si>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</si>
  <si>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</si>
  <si>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</si>
  <si>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</si>
  <si>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</si>
  <si>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</si>
  <si>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</si>
  <si>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</si>
  <si>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</si>
  <si>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</si>
  <si>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</si>
  <si>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</si>
  <si>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</si>
  <si>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</si>
  <si>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</si>
  <si>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</si>
  <si>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</si>
  <si>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</si>
  <si>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</si>
  <si>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</si>
  <si>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</si>
  <si>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</si>
  <si>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</si>
  <si>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</si>
  <si>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</si>
  <si>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</si>
  <si>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</si>
  <si>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</si>
  <si>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</si>
  <si>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</si>
  <si>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</si>
  <si>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</si>
  <si>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</si>
  <si>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</si>
  <si>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</si>
  <si>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</si>
  <si>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</si>
  <si>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</si>
  <si>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</si>
  <si>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</si>
  <si>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</si>
  <si>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</si>
  <si>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</si>
  <si>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</si>
  <si>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</si>
  <si>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</si>
  <si>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</si>
  <si>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</si>
  <si>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</si>
  <si>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</si>
  <si>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</si>
  <si>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</si>
  <si>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</si>
  <si>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</si>
  <si>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</si>
  <si>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</si>
  <si>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</si>
  <si>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</si>
  <si>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</si>
  <si>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</si>
  <si>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</si>
  <si>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</si>
  <si>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</si>
  <si>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</si>
  <si>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</si>
  <si>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</si>
  <si>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</si>
  <si>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</si>
  <si>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</si>
  <si>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</si>
  <si>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</si>
  <si>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</si>
  <si>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</si>
  <si>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</si>
  <si>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</si>
  <si>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</si>
  <si>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</si>
  <si>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</si>
  <si>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</si>
  <si>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</si>
  <si>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</si>
  <si>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</si>
  <si>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</si>
  <si>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</si>
  <si>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</si>
  <si>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</si>
  <si>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</si>
  <si>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</si>
  <si>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</si>
  <si>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</si>
  <si>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</si>
  <si>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</si>
  <si>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</si>
  <si>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</si>
  <si>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</si>
  <si>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</si>
  <si>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</si>
  <si>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</si>
  <si>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</si>
  <si>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</si>
  <si>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</si>
  <si>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</si>
  <si>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</si>
  <si>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</si>
  <si>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</si>
  <si>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</si>
  <si>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</si>
  <si>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</si>
  <si>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</si>
  <si>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</si>
  <si>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</si>
  <si>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</si>
  <si>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</si>
  <si>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</si>
  <si>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</si>
  <si>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</si>
  <si>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</si>
  <si>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</si>
  <si>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</si>
  <si>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</si>
  <si>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</si>
  <si>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</si>
  <si>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</si>
  <si>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</si>
  <si>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</si>
  <si>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</si>
  <si>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</si>
  <si>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</si>
  <si>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</si>
  <si>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</si>
  <si>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</si>
  <si>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</si>
  <si>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</si>
  <si>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</si>
  <si>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</si>
  <si>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</si>
  <si>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</si>
  <si>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</si>
  <si>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</si>
  <si>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</si>
  <si>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</si>
  <si>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</si>
  <si>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</si>
  <si>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</si>
  <si>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</si>
  <si>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</si>
  <si>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</si>
  <si>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</si>
  <si>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</si>
  <si>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</si>
  <si>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</si>
  <si>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</si>
  <si>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</si>
  <si>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</si>
  <si>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</si>
  <si>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</si>
  <si>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</si>
  <si>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</si>
  <si>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</si>
  <si>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</si>
  <si>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</si>
  <si>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</si>
  <si>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</si>
  <si>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</si>
  <si>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</si>
  <si>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</si>
  <si>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</si>
  <si>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</si>
  <si>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</si>
  <si>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</si>
  <si>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</si>
  <si>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</si>
  <si>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</si>
  <si>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</si>
  <si>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</si>
  <si>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</si>
  <si>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</si>
  <si>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</si>
  <si>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</si>
  <si>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</si>
  <si>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</si>
  <si>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</si>
  <si>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</si>
  <si>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</si>
  <si>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</si>
  <si>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</si>
  <si>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</si>
  <si>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</si>
  <si>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</si>
  <si>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</si>
  <si>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</si>
  <si>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</si>
  <si>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</si>
  <si>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</si>
  <si>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</si>
  <si>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</si>
  <si>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</si>
  <si>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</si>
  <si>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</si>
  <si>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</si>
  <si>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</si>
  <si>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</si>
  <si>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</si>
  <si>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</si>
  <si>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</si>
  <si>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</si>
  <si>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</si>
  <si>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</si>
  <si>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</si>
  <si>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</si>
  <si>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</si>
  <si>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</si>
  <si>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</si>
  <si>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</si>
  <si>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</si>
  <si>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</si>
  <si>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</si>
  <si>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</si>
  <si>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</si>
  <si>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</si>
  <si>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</si>
  <si>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</si>
  <si>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</si>
  <si>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</si>
  <si>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</si>
  <si>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</si>
  <si>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</si>
  <si>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</si>
  <si>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</si>
  <si>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</si>
  <si>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</si>
  <si>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</si>
  <si>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</si>
  <si>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</si>
  <si>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</si>
  <si>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</si>
  <si>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</si>
  <si>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</si>
  <si>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</si>
  <si>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</si>
  <si>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</si>
  <si>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</si>
  <si>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</si>
  <si>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</si>
  <si>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</si>
  <si>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</si>
  <si>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</si>
  <si>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</si>
  <si>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</si>
  <si>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</si>
  <si>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</si>
  <si>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</si>
  <si>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</si>
  <si>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</si>
  <si>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</si>
  <si>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</si>
  <si>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</si>
  <si>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</si>
  <si>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</si>
  <si>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</si>
  <si>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</si>
  <si>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</si>
  <si>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</si>
  <si>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</si>
  <si>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</si>
  <si>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</si>
  <si>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</si>
  <si>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</si>
  <si>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</si>
  <si>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</si>
  <si>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</si>
  <si>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</si>
  <si>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</si>
  <si>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</si>
  <si>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</si>
  <si>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</si>
  <si>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</si>
  <si>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</si>
  <si>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</si>
  <si>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</si>
  <si>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</si>
  <si>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</si>
  <si>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</si>
  <si>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</si>
  <si>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</si>
  <si>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</si>
  <si>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</si>
  <si>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</si>
  <si>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</si>
  <si>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</si>
  <si>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</si>
  <si>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</si>
  <si>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</si>
  <si>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</si>
  <si>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</si>
  <si>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</si>
  <si>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</si>
  <si>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</si>
  <si>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</si>
  <si>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</si>
  <si>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</si>
  <si>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</si>
  <si>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</si>
  <si>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</si>
  <si>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</si>
  <si>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</si>
  <si>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</si>
  <si>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</si>
  <si>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</si>
  <si>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</si>
  <si>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</si>
  <si>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</si>
  <si>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</si>
  <si>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</si>
  <si>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</si>
  <si>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</si>
  <si>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</si>
  <si>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</si>
  <si>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</si>
  <si>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</si>
  <si>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</si>
  <si>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</si>
  <si>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</si>
  <si>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</si>
  <si>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</si>
  <si>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</si>
  <si>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</si>
  <si>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</si>
  <si>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</si>
  <si>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</si>
  <si>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</si>
  <si>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</si>
  <si>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</si>
  <si>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</si>
  <si>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</si>
  <si>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</si>
  <si>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</si>
  <si>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</si>
  <si>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</si>
  <si>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</si>
  <si>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</si>
  <si>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</si>
  <si>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</si>
  <si>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</si>
  <si>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</si>
  <si>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</si>
  <si>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</si>
  <si>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</si>
  <si>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</si>
  <si>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</si>
  <si>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</si>
  <si>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</si>
  <si>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</si>
  <si>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</si>
  <si>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</si>
  <si>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</si>
  <si>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</si>
  <si>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</si>
  <si>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</si>
  <si>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</si>
  <si>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</si>
  <si>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</si>
  <si>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</si>
  <si>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</si>
  <si>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</si>
  <si>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</si>
  <si>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</si>
  <si>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</si>
  <si>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</si>
  <si>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</si>
  <si>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</si>
  <si>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</si>
  <si>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</si>
  <si>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</si>
  <si>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</si>
  <si>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</si>
  <si>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</si>
  <si>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</si>
  <si>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</si>
  <si>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</si>
  <si>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</si>
  <si>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</si>
  <si>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</si>
  <si>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</si>
  <si>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</si>
  <si>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</si>
  <si>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</si>
  <si>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</si>
  <si>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</si>
  <si>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</si>
  <si>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</si>
  <si>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</si>
  <si>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</si>
  <si>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</si>
  <si>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</si>
  <si>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</si>
  <si>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</si>
  <si>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</si>
  <si>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</si>
  <si>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</si>
  <si>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</si>
  <si>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</si>
  <si>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</si>
  <si>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</si>
  <si>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</si>
  <si>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</si>
  <si>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</si>
  <si>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</si>
  <si>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</si>
  <si>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</si>
  <si>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</si>
  <si>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</si>
  <si>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</si>
  <si>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</si>
  <si>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</si>
  <si>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</si>
  <si>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</si>
  <si>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</si>
  <si>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</si>
  <si>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</si>
  <si>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</si>
  <si>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</si>
  <si>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</si>
  <si>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</si>
  <si>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</si>
  <si>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</si>
  <si>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</si>
  <si>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</si>
  <si>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</si>
  <si>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</si>
  <si>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</si>
  <si>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</si>
  <si>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</si>
  <si>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</si>
  <si>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</si>
  <si>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</si>
  <si>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</si>
  <si>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</si>
  <si>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</si>
  <si>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</si>
  <si>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</si>
  <si>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</si>
  <si>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</si>
  <si>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</si>
  <si>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</si>
  <si>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</si>
  <si>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</si>
  <si>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</si>
  <si>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</si>
  <si>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</si>
  <si>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</si>
  <si>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</si>
  <si>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</si>
  <si>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</si>
  <si>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</si>
  <si>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</si>
  <si>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</si>
  <si>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</si>
  <si>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</si>
  <si>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</si>
  <si>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</si>
  <si>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</si>
  <si>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</si>
  <si>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</si>
  <si>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</si>
  <si>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</si>
  <si>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</si>
  <si>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</si>
  <si>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</si>
  <si>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</si>
  <si>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</si>
  <si>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</si>
  <si>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</si>
  <si>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</si>
  <si>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</si>
  <si>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</si>
  <si>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</si>
  <si>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</si>
  <si>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</si>
  <si>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</si>
  <si>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</si>
  <si>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</si>
  <si>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</si>
  <si>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</si>
  <si>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</si>
  <si>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</si>
  <si>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</si>
  <si>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</si>
  <si>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</si>
  <si>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</si>
  <si>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</si>
  <si>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</si>
  <si>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</si>
  <si>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</si>
  <si>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</si>
  <si>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</si>
  <si>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</si>
  <si>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</si>
  <si>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</si>
  <si>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</si>
  <si>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</si>
  <si>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</si>
  <si>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</si>
  <si>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</si>
  <si>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</si>
  <si>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</si>
  <si>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</si>
  <si>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</si>
  <si>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</si>
  <si>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</si>
  <si>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</si>
  <si>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</si>
  <si>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</si>
  <si>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</si>
  <si>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</si>
  <si>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</si>
  <si>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</si>
  <si>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</si>
  <si>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</si>
  <si>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</si>
  <si>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</si>
  <si>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</si>
  <si>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</si>
  <si>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</si>
  <si>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</si>
  <si>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</si>
  <si>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</si>
  <si>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</si>
  <si>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</si>
  <si>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</si>
  <si>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</si>
  <si>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</si>
  <si>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</si>
  <si>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</si>
  <si>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</si>
  <si>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</si>
  <si>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</si>
  <si>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</si>
  <si>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</si>
  <si>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</si>
  <si>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</si>
  <si>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</si>
  <si>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</si>
  <si>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</si>
  <si>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</si>
  <si>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</si>
  <si>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</si>
  <si>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</si>
  <si>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</si>
  <si>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</si>
  <si>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</si>
  <si>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</si>
  <si>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</si>
  <si>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</si>
  <si>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</si>
  <si>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</si>
  <si>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</si>
  <si>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</si>
  <si>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</si>
  <si>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</si>
  <si>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</si>
  <si>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</si>
  <si>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</si>
  <si>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</si>
  <si>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</si>
  <si>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</si>
  <si>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</si>
  <si>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</si>
  <si>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</si>
  <si>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</si>
  <si>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</si>
  <si>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</si>
  <si>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</si>
  <si>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</si>
  <si>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</si>
  <si>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</si>
  <si>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</si>
  <si>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</si>
  <si>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</si>
  <si>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</si>
  <si>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</si>
  <si>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</si>
  <si>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</si>
  <si>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</si>
  <si>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</si>
  <si>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</si>
  <si>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</si>
  <si>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</si>
  <si>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</si>
  <si>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</si>
  <si>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</si>
  <si>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</si>
  <si>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</si>
  <si>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</si>
  <si>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</si>
  <si>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</si>
  <si>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</si>
  <si>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</si>
  <si>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</si>
  <si>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</si>
  <si>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</si>
  <si>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</si>
  <si>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</si>
  <si>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</si>
  <si>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</si>
  <si>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</si>
  <si>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</si>
  <si>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</si>
  <si>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</si>
  <si>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</si>
  <si>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</si>
  <si>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</si>
  <si>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</si>
  <si>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</si>
  <si>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</si>
  <si>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</si>
  <si>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</si>
  <si>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</si>
  <si>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</si>
  <si>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</si>
  <si>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</si>
  <si>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</si>
  <si>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</si>
  <si>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</si>
  <si>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</si>
  <si>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</si>
  <si>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</si>
  <si>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</si>
  <si>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</si>
  <si>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</si>
  <si>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</si>
  <si>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</si>
  <si>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</si>
  <si>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</si>
  <si>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</si>
  <si>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</si>
  <si>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</si>
  <si>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</si>
  <si>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</si>
  <si>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</si>
  <si>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</si>
  <si>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</si>
  <si>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</si>
  <si>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</si>
  <si>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</si>
  <si>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</si>
  <si>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</si>
  <si>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</si>
  <si>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</si>
  <si>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</si>
  <si>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</si>
  <si>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</si>
  <si>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</si>
  <si>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</si>
  <si>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</si>
  <si>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</si>
  <si>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</si>
  <si>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</si>
  <si>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</si>
  <si>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</si>
  <si>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</si>
  <si>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</si>
  <si>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</si>
  <si>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</si>
  <si>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</si>
  <si>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</si>
  <si>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</si>
  <si>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</si>
  <si>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</si>
  <si>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</si>
  <si>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</si>
  <si>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</si>
  <si>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</si>
  <si>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</si>
  <si>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</si>
  <si>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</si>
  <si>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</si>
  <si>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</si>
  <si>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</si>
  <si>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</si>
  <si>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</si>
  <si>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</si>
  <si>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</si>
  <si>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</si>
  <si>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</si>
  <si>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</si>
  <si>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</si>
  <si>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</si>
  <si>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</si>
  <si>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</si>
  <si>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</si>
  <si>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</si>
  <si>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</si>
  <si>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</si>
  <si>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</si>
  <si>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</si>
  <si>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</si>
  <si>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</si>
  <si>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</si>
  <si>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</si>
  <si>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</si>
  <si>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</si>
  <si>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</si>
  <si>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</si>
  <si>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</si>
  <si>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</si>
  <si>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</si>
  <si>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</si>
  <si>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</si>
  <si>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</si>
  <si>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</si>
  <si>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</si>
  <si>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</si>
  <si>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</si>
  <si>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</si>
  <si>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</si>
  <si>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</si>
  <si>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</si>
  <si>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</si>
  <si>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</si>
  <si>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</si>
  <si>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</si>
  <si>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</si>
  <si>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</si>
  <si>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</si>
  <si>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</si>
  <si>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</si>
  <si>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</si>
  <si>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</si>
  <si>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</si>
  <si>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</si>
  <si>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</si>
  <si>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</si>
  <si>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</si>
  <si>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</si>
  <si>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</si>
  <si>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</si>
  <si>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</si>
  <si>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</si>
  <si>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</si>
  <si>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</si>
  <si>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</si>
  <si>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</si>
  <si>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</si>
  <si>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</si>
  <si>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</si>
  <si>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</si>
  <si>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</si>
  <si>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</si>
  <si>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</si>
  <si>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</si>
  <si>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</si>
  <si>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</si>
  <si>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</si>
  <si>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</si>
  <si>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</si>
  <si>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</si>
  <si>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</si>
  <si>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</si>
  <si>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</si>
  <si>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</si>
  <si>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</si>
  <si>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</si>
  <si>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</si>
  <si>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</si>
  <si>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</si>
  <si>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</si>
  <si>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</si>
  <si>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</si>
  <si>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</si>
  <si>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</si>
  <si>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</si>
  <si>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</si>
  <si>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</si>
  <si>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</si>
  <si>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</si>
  <si>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</si>
  <si>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</si>
  <si>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</si>
  <si>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</si>
  <si>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</si>
  <si>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</si>
  <si>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</si>
  <si>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</si>
  <si>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</si>
  <si>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</si>
  <si>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</si>
  <si>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</si>
  <si>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</si>
  <si>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</si>
  <si>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</si>
  <si>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</si>
  <si>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</si>
  <si>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</si>
  <si>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</si>
  <si>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</si>
  <si>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</si>
  <si>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</si>
  <si>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</si>
  <si>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</si>
  <si>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</si>
  <si>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</si>
  <si>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</si>
  <si>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</si>
  <si>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</si>
  <si>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</si>
  <si>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</si>
  <si>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</si>
  <si>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</si>
  <si>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</si>
  <si>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</si>
  <si>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</si>
  <si>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</si>
  <si>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</si>
  <si>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</si>
  <si>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</si>
  <si>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</si>
  <si>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</si>
  <si>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</si>
  <si>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</si>
  <si>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</si>
  <si>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</si>
  <si>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</si>
  <si>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</si>
  <si>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</si>
  <si>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</si>
  <si>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</si>
  <si>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</si>
  <si>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</si>
  <si>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</si>
  <si>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</si>
  <si>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</si>
  <si>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</si>
  <si>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</si>
  <si>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</si>
  <si>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</si>
  <si>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</si>
  <si>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</si>
  <si>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</si>
  <si>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</si>
  <si>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</si>
  <si>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</si>
  <si>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</si>
  <si>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</si>
  <si>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</si>
  <si>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</si>
  <si>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</si>
  <si>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</si>
  <si>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</si>
  <si>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</si>
  <si>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</si>
  <si>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</si>
  <si>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</si>
  <si>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</si>
  <si>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</si>
  <si>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</si>
  <si>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</si>
  <si>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</si>
  <si>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</si>
  <si>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</si>
  <si>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</si>
  <si>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</si>
  <si>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</si>
  <si>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</si>
  <si>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</si>
  <si>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</si>
  <si>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</si>
  <si>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</si>
  <si>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</si>
  <si>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</si>
  <si>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</si>
  <si>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</si>
  <si>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</si>
  <si>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</si>
  <si>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</si>
  <si>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</si>
  <si>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</si>
  <si>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</si>
  <si>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</si>
  <si>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</si>
  <si>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</si>
  <si>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</si>
  <si>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</si>
  <si>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</si>
  <si>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</si>
  <si>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</si>
  <si>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</si>
  <si>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</si>
  <si>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</si>
  <si>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</si>
  <si>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</si>
  <si>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</si>
  <si>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</si>
  <si>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</si>
  <si>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</si>
  <si>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</si>
  <si>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</si>
  <si>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</si>
  <si>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</si>
  <si>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</si>
  <si>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</si>
  <si>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</si>
  <si>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</si>
  <si>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</si>
  <si>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</si>
  <si>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</si>
  <si>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</si>
  <si>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</si>
  <si>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</si>
  <si>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</si>
  <si>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</si>
  <si>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</si>
  <si>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</si>
  <si>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</si>
  <si>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</si>
  <si>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</si>
  <si>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</si>
  <si>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</si>
  <si>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</si>
  <si>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</si>
  <si>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</si>
  <si>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</si>
  <si>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</si>
  <si>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</si>
  <si>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</si>
  <si>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</si>
  <si>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</si>
  <si>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</si>
  <si>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</si>
  <si>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</si>
  <si>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</si>
  <si>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</si>
  <si>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</si>
  <si>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</si>
  <si>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</si>
  <si>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</si>
  <si>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</si>
  <si>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</si>
  <si>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</si>
  <si>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</si>
  <si>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</si>
  <si>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</si>
  <si>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</si>
  <si>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</si>
  <si>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</si>
  <si>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</si>
  <si>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</si>
  <si>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</si>
  <si>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</si>
  <si>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</si>
  <si>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</si>
  <si>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</si>
  <si>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</si>
  <si>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</si>
  <si>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</si>
  <si>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</si>
  <si>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</si>
  <si>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</si>
  <si>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</si>
  <si>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</si>
  <si>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</si>
  <si>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</si>
  <si>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</si>
  <si>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</si>
  <si>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</si>
  <si>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</si>
  <si>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</si>
  <si>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</si>
  <si>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</si>
  <si>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</si>
  <si>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</si>
  <si>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</si>
  <si>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</si>
  <si>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</si>
  <si>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</si>
  <si>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</si>
  <si>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</si>
  <si>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</si>
  <si>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</si>
  <si>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</si>
  <si>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</si>
  <si>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</si>
  <si>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</si>
  <si>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</si>
  <si>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</si>
  <si>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</si>
  <si>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</si>
  <si>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</si>
  <si>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</si>
  <si>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</si>
  <si>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</si>
  <si>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</si>
  <si>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</si>
  <si>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</si>
  <si>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</si>
  <si>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</si>
  <si>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</si>
  <si>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</si>
  <si>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</si>
  <si>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</si>
  <si>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</si>
  <si>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</si>
  <si>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</si>
  <si>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</si>
  <si>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</si>
  <si>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</si>
  <si>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</si>
  <si>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</si>
  <si>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</si>
  <si>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</si>
  <si>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</si>
  <si>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</si>
  <si>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</si>
  <si>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</si>
  <si>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</si>
  <si>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</si>
  <si>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</si>
  <si>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</si>
  <si>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</si>
  <si>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</si>
  <si>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</si>
  <si>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</si>
  <si>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</si>
  <si>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</si>
  <si>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</si>
  <si>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</si>
  <si>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</si>
  <si>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</si>
  <si>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</si>
  <si>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</si>
  <si>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</si>
  <si>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</si>
  <si>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</si>
  <si>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</si>
  <si>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</si>
  <si>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</si>
  <si>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</si>
  <si>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</si>
  <si>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</si>
  <si>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</si>
  <si>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</si>
  <si>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</si>
  <si>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</si>
  <si>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</si>
  <si>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</si>
  <si>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</si>
  <si>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</si>
  <si>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</si>
  <si>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</si>
  <si>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53 | Сельскохозяйственные артели (колхозы)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</si>
  <si>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</si>
  <si>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</si>
  <si>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</si>
  <si>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</si>
  <si>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</si>
  <si>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</si>
  <si>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</si>
  <si>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</si>
  <si>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</si>
  <si>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</si>
  <si>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</si>
  <si>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</si>
  <si>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</si>
  <si>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</si>
  <si>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</si>
  <si>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</si>
  <si>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</si>
  <si>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</si>
  <si>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</si>
  <si>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</si>
  <si>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</si>
  <si>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</si>
  <si>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</si>
  <si>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</si>
  <si>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</si>
  <si>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</si>
  <si>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</si>
  <si>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</si>
  <si>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</si>
  <si>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</si>
  <si>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</si>
  <si>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</si>
  <si>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</si>
  <si>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</si>
  <si>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</si>
  <si>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</si>
  <si>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</si>
  <si>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</si>
  <si>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</si>
  <si>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</si>
  <si>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</si>
  <si>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</si>
  <si>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</si>
  <si>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</si>
  <si>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</si>
  <si>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</si>
  <si>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</si>
  <si>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</si>
  <si>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</si>
  <si>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</si>
  <si>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</si>
  <si>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</si>
  <si>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</si>
  <si>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</si>
  <si>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</si>
  <si>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</si>
  <si>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</si>
  <si>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</si>
  <si>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</si>
  <si>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</si>
  <si>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</si>
  <si>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</si>
  <si>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</si>
  <si>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</si>
  <si>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</si>
  <si>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</si>
  <si>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</si>
  <si>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</si>
  <si>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</si>
  <si>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</si>
  <si>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</si>
  <si>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</si>
  <si>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</si>
  <si>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</si>
  <si>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</si>
  <si>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</si>
  <si>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</si>
  <si>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</si>
  <si>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</si>
  <si>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</si>
  <si>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name</t>
  </si>
  <si>
    <t>"Бачатский угольный разрез" - филиал АО "УК "Кузбассразрезуголь"</t>
  </si>
  <si>
    <t>Беловская ГРЭС</t>
  </si>
  <si>
    <t>Западно-Сибирская ТЭЦ</t>
  </si>
  <si>
    <t>Кемеровская ГРЭС</t>
  </si>
  <si>
    <t>Кемеровская ТЭЦ</t>
  </si>
  <si>
    <t>"Талдинский угольный разрез" - филиал АО "УК "Кузбассразрезуголь"</t>
  </si>
  <si>
    <t>Томь-Усинская ГРЭС</t>
  </si>
  <si>
    <t>dopName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</si>
</sst>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dd\.mm\.yyyy"/>
    <numFmt numFmtId="172" formatCode="#,##0.000"/>
    <numFmt numFmtId="173" formatCode=";;;"/>
    <numFmt numFmtId="174" formatCode="\f\i\le"/>
  </numFmts>
  <fonts count="7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theme="1"/>
      <name val="Tahoma"/>
    </font>
    <font>
      <u/>
      <sz val="9"/>
      <color rgb="FF000080"/>
      <name val="Tahoma"/>
    </font>
    <font>
      <sz val="9"/>
      <color rgb="FF22272F"/>
      <name val="Tahoma"/>
    </font>
    <font>
      <b/>
      <sz val="9"/>
      <color auto="1"/>
      <name val="Tahoma"/>
    </font>
    <font>
      <b/>
      <sz val="9"/>
      <color theme="1"/>
      <name val="Tahoma"/>
    </font>
    <font>
      <b/>
      <sz val="9"/>
      <color rgb="FF22272F"/>
      <name val="Tahoma"/>
    </font>
    <font>
      <sz val="11"/>
      <color rgb="FF000000"/>
      <name val="Tahoma"/>
    </font>
    <font>
      <sz val="11"/>
      <color rgb="FFFFFFFF"/>
      <name val="Tahoma"/>
    </font>
    <font>
      <b/>
      <sz val="9"/>
      <color rgb="FF000000"/>
      <name val="Tahoma"/>
    </font>
    <font>
      <sz val="10"/>
      <color auto="1"/>
      <name val="Tahoma"/>
    </font>
    <font>
      <b/>
      <sz val="10"/>
      <color auto="1"/>
      <name val="Tahoma"/>
    </font>
    <font>
      <u/>
      <sz val="10"/>
      <color rgb="FF000080"/>
      <name val="Tahoma"/>
    </font>
    <font>
      <sz val="16"/>
      <color theme="0"/>
      <name val="Tahoma"/>
    </font>
    <font>
      <sz val="8"/>
      <color auto="1"/>
      <name val="Tahoma"/>
    </font>
    <font>
      <sz val="16"/>
      <color auto="1"/>
      <name val="Tahoma"/>
    </font>
    <font>
      <b/>
      <sz val="16"/>
      <color auto="1"/>
      <name val="Tahoma"/>
    </font>
    <font>
      <sz val="16"/>
      <color rgb="FF0070C0"/>
      <name val="Tahoma"/>
    </font>
    <font>
      <b/>
      <sz val="16"/>
      <color rgb="FF0070C0"/>
      <name val="Tahoma"/>
    </font>
    <font>
      <sz val="20"/>
      <color rgb="FF0070C0"/>
      <name val="Tahoma"/>
    </font>
    <font>
      <b/>
      <sz val="9"/>
      <color rgb="FF333399"/>
      <name val="Tahoma"/>
    </font>
    <font>
      <sz val="8"/>
      <color rgb="FFFF0000"/>
      <name val="Tahoma"/>
    </font>
    <font>
      <sz val="12"/>
      <color rgb="FF0070C0"/>
      <name val="Tahoma"/>
    </font>
    <font>
      <sz val="9"/>
      <color theme="0"/>
      <name val="Tahoma"/>
    </font>
    <font>
      <b/>
      <u/>
      <sz val="9"/>
      <color rgb="FFFFFFFF"/>
      <name val="Tahoma"/>
    </font>
    <font>
      <sz val="9"/>
      <color rgb="FF000080"/>
      <name val="Tahoma"/>
    </font>
    <font>
      <sz val="9"/>
      <color theme="0" tint="-0.15"/>
      <name val="Tahoma"/>
    </font>
    <font>
      <b/>
      <sz val="9"/>
      <color theme="3"/>
      <name val="Tahoma"/>
    </font>
    <font>
      <sz val="11"/>
      <color rgb="FFBCBCBC"/>
      <name val="Tahoma"/>
    </font>
    <font>
      <b/>
      <sz val="9"/>
      <color theme="0"/>
      <name val="Tahoma"/>
    </font>
    <font>
      <sz val="11"/>
      <color theme="1"/>
      <name val="Tahoma"/>
    </font>
    <font>
      <b/>
      <sz val="8"/>
      <color auto="1"/>
      <name val="Tahoma"/>
    </font>
    <font>
      <sz val="8"/>
      <color rgb="FF7030A0"/>
      <name val="Tahoma"/>
    </font>
    <font>
      <b/>
      <u/>
      <sz val="9"/>
      <color theme="1"/>
      <name val="Tahoma"/>
    </font>
    <font>
      <sz val="8"/>
      <color theme="1"/>
      <name val="Tahoma"/>
    </font>
    <font>
      <b/>
      <sz val="8"/>
      <color theme="1"/>
      <name val="Tahoma"/>
    </font>
    <font>
      <sz val="9"/>
      <color theme="3"/>
      <name val="Tahoma"/>
    </font>
    <font>
      <sz val="9"/>
      <color theme="0" tint="-0.35"/>
      <name val="Tahoma"/>
    </font>
    <font>
      <i/>
      <sz val="9"/>
      <color auto="1"/>
      <name val="Tahoma"/>
    </font>
    <font>
      <i/>
      <sz val="9"/>
      <color theme="1"/>
      <name val="Tahoma"/>
    </font>
    <font>
      <i/>
      <sz val="9"/>
      <color theme="1" tint="0.5"/>
      <name val="Tahoma"/>
    </font>
    <font>
      <sz val="9"/>
      <color rgb="FFFF0000"/>
      <name val="Tahoma"/>
    </font>
    <font>
      <b/>
      <sz val="8"/>
      <color theme="4"/>
      <name val="Tahoma"/>
    </font>
    <font>
      <strike/>
      <sz val="9"/>
      <color rgb="FF000000"/>
      <name val="Tahoma"/>
    </font>
    <font>
      <strike/>
      <sz val="9"/>
      <color rgb="FFFF0000"/>
      <name val="Tahoma"/>
    </font>
    <font>
      <sz val="8"/>
      <color rgb="FFFFFFFF"/>
      <name val="Tahoma"/>
    </font>
    <font>
      <sz val="9"/>
      <color rgb="FFFFFFFF"/>
      <name val="Tahoma"/>
    </font>
    <font>
      <u/>
      <sz val="9"/>
      <color rgb="FF000000"/>
      <name val="Tahoma"/>
    </font>
    <font>
      <b/>
      <sz val="10"/>
      <color rgb="FF333399"/>
      <name val="Tahoma"/>
    </font>
    <font>
      <sz val="10"/>
      <color rgb="FF000000"/>
      <name val="Tahoma"/>
    </font>
    <font>
      <b/>
      <sz val="10"/>
      <color rgb="FF000000"/>
      <name val="Tahoma"/>
    </font>
    <font>
      <u/>
      <sz val="20"/>
      <color rgb="FF003366"/>
      <name val="Tahoma"/>
    </font>
    <font>
      <u/>
      <sz val="20"/>
      <color rgb="FF000000"/>
      <name val="Tahoma"/>
    </font>
    <font>
      <u/>
      <sz val="9"/>
      <color auto="1"/>
      <name val="Tahoma"/>
    </font>
    <font>
      <b/>
      <u/>
      <sz val="11"/>
      <color rgb="FF0000FF"/>
      <name val="Tahoma"/>
    </font>
    <font>
      <u/>
      <sz val="10"/>
      <color rgb="FF0000FF"/>
      <name val="Tahoma"/>
    </font>
    <font>
      <sz val="14"/>
      <color rgb="FFBCBCBC"/>
      <name val="Tahoma"/>
    </font>
    <font>
      <sz val="11"/>
      <color auto="1"/>
      <name val="Tahoma"/>
    </font>
    <font>
      <u/>
      <sz val="9"/>
      <color theme="10"/>
      <name val="Tahoma"/>
    </font>
  </fonts>
  <fills count="63">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C0"/>
      </patternFill>
    </fill>
    <fill>
      <patternFill patternType="solid">
        <fgColor rgb="FFE3FAFD"/>
      </patternFill>
    </fill>
    <fill>
      <patternFill patternType="solid">
        <fgColor theme="0"/>
      </patternFill>
    </fill>
    <fill>
      <patternFill patternType="solid">
        <fgColor rgb="FFF79646"/>
      </patternFill>
    </fill>
    <fill>
      <patternFill patternType="solid">
        <fgColor theme="0" tint="-0.15"/>
      </patternFill>
    </fill>
    <fill>
      <patternFill patternType="solid">
        <fgColor rgb="FFD7EAD3"/>
      </patternFill>
    </fill>
    <fill>
      <patternFill patternType="solid">
        <fgColor rgb="FFF0F075"/>
      </patternFill>
    </fill>
    <fill>
      <patternFill patternType="solid">
        <fgColor rgb="FFFF8080"/>
      </patternFill>
    </fill>
    <fill>
      <patternFill patternType="lightDown">
        <fgColor rgb="FFBCBCBC"/>
        <bgColor rgb="FFFF8080"/>
      </patternFill>
    </fill>
    <fill>
      <patternFill patternType="lightDown">
        <fgColor rgb="FFBCBCBC"/>
      </patternFill>
    </fill>
    <fill>
      <patternFill patternType="solid">
        <fgColor rgb="FFB7E4FF"/>
      </patternFill>
    </fill>
    <fill>
      <patternFill patternType="solid">
        <fgColor rgb="FFFFFFFF"/>
      </patternFill>
    </fill>
    <fill>
      <patternFill patternType="solid">
        <fgColor rgb="FF808080"/>
      </patternFill>
    </fill>
    <fill>
      <patternFill patternType="solid">
        <fgColor rgb="FFD8D8D8"/>
      </patternFill>
    </fill>
    <fill>
      <patternFill patternType="solid">
        <fgColor rgb="FF00B0F0"/>
      </patternFill>
    </fill>
    <fill>
      <patternFill patternType="solid">
        <fgColor rgb="FFECF1DE"/>
      </patternFill>
    </fill>
    <fill>
      <patternFill patternType="solid">
        <fgColor theme="0" tint="-0.25"/>
      </patternFill>
    </fill>
    <fill>
      <patternFill patternType="solid">
        <fgColor rgb="FF0066CC"/>
      </patternFill>
    </fill>
    <fill>
      <patternFill patternType="solid">
        <fgColor rgb="FFFFFF00"/>
      </patternFill>
    </fill>
    <fill>
      <patternFill patternType="solid">
        <fgColor rgb="FFBFBFBF"/>
      </patternFill>
    </fill>
    <fill>
      <patternFill patternType="solid">
        <fgColor rgb="FF92D050"/>
      </patternFill>
    </fill>
    <fill>
      <patternFill patternType="lightDown">
        <fgColor rgb="FFC0C0C0"/>
      </patternFill>
    </fill>
    <fill>
      <patternFill patternType="solid">
        <fgColor rgb="FFD3DBDB"/>
      </patternFill>
    </fill>
    <fill>
      <patternFill patternType="solid">
        <fgColor rgb="FFD9D9D9"/>
      </patternFill>
    </fill>
    <fill>
      <patternFill patternType="solid">
        <fgColor rgb="FFDAEEF3"/>
      </patternFill>
    </fill>
    <fill>
      <patternFill patternType="solid">
        <fgColor rgb="FFBCBCBC"/>
      </patternFill>
    </fill>
    <fill>
      <patternFill patternType="solid">
        <fgColor theme="0" tint="-0.05"/>
      </patternFill>
    </fill>
    <fill>
      <patternFill patternType="solid">
        <fgColor rgb="FFCCFFCC"/>
      </patternFill>
    </fill>
    <fill>
      <patternFill patternType="solid">
        <fgColor theme="2" tint="-0.1"/>
      </patternFill>
    </fill>
    <fill>
      <patternFill patternType="solid">
        <fgColor rgb="FFFFCC66"/>
      </patternFill>
    </fill>
  </fills>
  <borders count="8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style="thin">
        <color rgb="FFBCBCBC"/>
      </right>
      <top style="thin">
        <color rgb="FFBCBCBC"/>
      </top>
      <bottom style="thin">
        <color rgb="FFBCBCBC"/>
      </bottom>
    </border>
    <border>
      <left style="thin">
        <color rgb="FFBCBCBC"/>
      </left>
      <right style="thin">
        <color rgb="FFBCBCBC"/>
      </right>
      <top style="thin">
        <color rgb="FFBCBCBC"/>
      </top>
      <bottom/>
    </border>
    <border>
      <left/>
      <right style="thin">
        <color rgb="FFBCBCBC"/>
      </right>
      <top style="thin">
        <color rgb="FFBCBCBC"/>
      </top>
      <bottom style="thin">
        <color rgb="FFBCBCBC"/>
      </bottom>
    </border>
    <border>
      <left style="thin">
        <color theme="0" tint="-0.25"/>
      </left>
      <right style="thin">
        <color theme="0" tint="-0.25"/>
      </right>
      <top/>
      <bottom style="thin">
        <color theme="0" tint="-0.25"/>
      </bottom>
    </border>
    <border>
      <left style="thin">
        <color theme="0" tint="-0.25"/>
      </left>
      <right style="thin">
        <color theme="0" tint="-0.25"/>
      </right>
      <top/>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style="thin">
        <color theme="0" tint="-0.25"/>
      </bottom>
    </border>
    <border>
      <left style="thin">
        <color theme="0" tint="-0.35"/>
      </left>
      <right style="thin">
        <color theme="0" tint="-0.25"/>
      </right>
      <top style="thin">
        <color theme="0" tint="-0.35"/>
      </top>
      <bottom style="thin">
        <color theme="0" tint="-0.35"/>
      </bottom>
    </border>
    <border>
      <left/>
      <right style="thin">
        <color theme="0" tint="-0.25"/>
      </right>
      <top style="thin">
        <color theme="0" tint="-0.25"/>
      </top>
      <bottom/>
    </border>
    <border>
      <left/>
      <right style="thin">
        <color rgb="FFBCBCBC"/>
      </right>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style="thin">
        <color rgb="FFBCBCBC"/>
      </left>
      <right/>
      <top style="thin">
        <color rgb="FFBCBCBC"/>
      </top>
      <bottom style="thin">
        <color rgb="FFBCBCBC"/>
      </bottom>
    </border>
    <border>
      <left/>
      <right style="thin">
        <color theme="0" tint="-0.25"/>
      </right>
      <top/>
      <bottom style="thin">
        <color theme="0" tint="-0.25"/>
      </bottom>
    </border>
    <border>
      <left/>
      <right style="thin">
        <color theme="0" tint="-0.25"/>
      </right>
      <top style="thin">
        <color theme="0" tint="-0.25"/>
      </top>
      <bottom style="thin">
        <color theme="0" tint="-0.25"/>
      </bottom>
    </border>
    <border>
      <left/>
      <right/>
      <top style="thin">
        <color rgb="FF969696"/>
      </top>
      <bottom style="thin">
        <color rgb="FF969696"/>
      </bottom>
    </border>
    <border>
      <left style="thin">
        <color rgb="FFC0C0C0"/>
      </left>
      <right style="thin">
        <color rgb="FFC0C0C0"/>
      </right>
      <top style="thin">
        <color rgb="FFC0C0C0"/>
      </top>
      <bottom style="thin">
        <color rgb="FFC0C0C0"/>
      </bottom>
    </border>
    <border>
      <left style="thin">
        <color rgb="FFBCBCBC"/>
      </left>
      <right/>
      <top style="thin">
        <color rgb="FFBCBCBC"/>
      </top>
      <bottom/>
    </border>
    <border>
      <left/>
      <right style="thin">
        <color rgb="FFBCBCBC"/>
      </right>
      <top style="thin">
        <color rgb="FFBCBCBC"/>
      </top>
      <bottom/>
    </border>
    <border>
      <left style="thin">
        <color rgb="FFC0C0C0"/>
      </left>
      <right style="thin">
        <color rgb="FFC0C0C0"/>
      </right>
      <top style="thin">
        <color rgb="FFC0C0C0"/>
      </top>
      <bottom/>
    </border>
    <border>
      <left style="thin">
        <color rgb="FFC0C0C0"/>
      </left>
      <right style="thin">
        <color rgb="FFC0C0C0"/>
      </right>
      <top/>
      <bottom style="thin">
        <color rgb="FFC0C0C0"/>
      </bottom>
    </border>
    <border>
      <left style="thin">
        <color theme="0" tint="-0.35"/>
      </left>
      <right style="thin">
        <color theme="0" tint="-0.35"/>
      </right>
      <top style="thin">
        <color theme="0" tint="-0.35"/>
      </top>
      <bottom style="thin">
        <color theme="0" tint="-0.35"/>
      </bottom>
    </border>
    <border>
      <left style="thin">
        <color theme="0" tint="-0.35"/>
      </left>
      <right/>
      <top style="thin">
        <color theme="0" tint="-0.35"/>
      </top>
      <bottom style="thin">
        <color theme="0" tint="-0.35"/>
      </bottom>
    </border>
    <border>
      <left/>
      <right/>
      <top style="thin">
        <color rgb="FFD9D9D9"/>
      </top>
      <bottom style="thin">
        <color rgb="FFD9D9D9"/>
      </bottom>
    </border>
    <border>
      <left/>
      <right/>
      <top style="thin">
        <color rgb="FFBCBCBC"/>
      </top>
      <bottom style="thin">
        <color rgb="FFBCBCBC"/>
      </bottom>
    </border>
    <border>
      <left style="thin">
        <color theme="0" tint="-0.25"/>
      </left>
      <right/>
      <top style="thin">
        <color theme="0" tint="-0.25"/>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25"/>
      </left>
      <right style="thin">
        <color theme="0" tint="-0.35"/>
      </right>
      <top style="thin">
        <color theme="0" tint="-0.3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right style="thin">
        <color theme="0" tint="-0.35"/>
      </right>
      <top style="thin">
        <color theme="0" tint="-0.35"/>
      </top>
      <bottom style="thin">
        <color rgb="FFBCBCBC"/>
      </bottom>
    </border>
    <border>
      <left/>
      <right/>
      <top/>
      <bottom style="thin">
        <color rgb="FFBCBCBC"/>
      </bottom>
    </border>
    <border>
      <left style="thin">
        <color theme="0" tint="-0.25"/>
      </left>
      <right/>
      <top style="thin">
        <color theme="0" tint="-0.25"/>
      </top>
      <bottom/>
    </border>
    <border>
      <left style="thin">
        <color rgb="FFC0C0C0"/>
      </left>
      <right/>
      <top style="thin">
        <color rgb="FFC0C0C0"/>
      </top>
      <bottom style="thin">
        <color rgb="FFC0C0C0"/>
      </bottom>
    </border>
    <border>
      <left style="thin">
        <color rgb="FFBCBCBC"/>
      </left>
      <right/>
      <top/>
      <bottom style="thin">
        <color rgb="FFBCBCBC"/>
      </bottom>
    </border>
    <border>
      <left/>
      <right/>
      <top style="thin">
        <color theme="0" tint="-0.25"/>
      </top>
      <bottom style="thin">
        <color theme="0" tint="-0.25"/>
      </bottom>
    </border>
    <border>
      <left/>
      <right/>
      <top/>
      <bottom style="thin">
        <color rgb="FFD9D9D9"/>
      </bottom>
    </border>
    <border>
      <left/>
      <right style="thin">
        <color rgb="FFBCBCBC"/>
      </right>
      <top/>
      <bottom style="thin">
        <color theme="0" tint="-0.25"/>
      </bottom>
    </border>
    <border>
      <left/>
      <right/>
      <top/>
      <bottom style="thin">
        <color theme="0" tint="-0.25"/>
      </bottom>
    </border>
    <border>
      <left style="thin">
        <color rgb="FFBFBFBF"/>
      </left>
      <right/>
      <top style="thin">
        <color rgb="FFBFBFBF"/>
      </top>
      <bottom style="thin">
        <color rgb="FFBFBFBF"/>
      </bottom>
    </border>
    <border>
      <left/>
      <right/>
      <top style="thin">
        <color rgb="FFBFBFBF"/>
      </top>
      <bottom style="thin">
        <color rgb="FFBFBFBF"/>
      </bottom>
    </border>
    <border>
      <left/>
      <right style="thin">
        <color rgb="FFBFBFBF"/>
      </right>
      <top style="thin">
        <color rgb="FFBFBFBF"/>
      </top>
      <bottom style="thin">
        <color rgb="FFBFBFBF"/>
      </bottom>
    </border>
    <border>
      <left style="thin">
        <color rgb="FFBCBCBC"/>
      </left>
      <right style="thin">
        <color rgb="FFBCBCBC"/>
      </right>
      <top style="thin">
        <color rgb="FFBFBFBF"/>
      </top>
      <bottom style="thin">
        <color rgb="FFBCBCBC"/>
      </bottom>
    </border>
    <border>
      <left style="thin">
        <color rgb="FFBCBCBC"/>
      </left>
      <right/>
      <top style="thin">
        <color rgb="FFBFBFBF"/>
      </top>
      <bottom style="thin">
        <color rgb="FFBCBCBC"/>
      </bottom>
    </border>
    <border>
      <left style="thin">
        <color rgb="FFBCBCBC"/>
      </left>
      <right/>
      <top/>
      <bottom/>
    </border>
    <border>
      <left style="thin">
        <color rgb="FFBCBCBC"/>
      </left>
      <right style="thin">
        <color rgb="FFBCBCBC"/>
      </right>
      <top style="thin">
        <color rgb="FFD9D9D9"/>
      </top>
      <bottom style="thin">
        <color rgb="FFD9D9D9"/>
      </bottom>
    </border>
    <border>
      <left style="thin">
        <color rgb="FFC0C0C0"/>
      </left>
      <right/>
      <top style="thin">
        <color rgb="FFC0C0C0"/>
      </top>
      <bottom/>
    </border>
    <border>
      <left style="thin">
        <color theme="0" tint="-0.25"/>
      </left>
      <right/>
      <top/>
      <bottom/>
    </border>
    <border>
      <left style="thin">
        <color rgb="FFD9D9D9"/>
      </left>
      <right style="thin">
        <color rgb="FFD9D9D9"/>
      </right>
      <top style="thin">
        <color rgb="FFD9D9D9"/>
      </top>
      <bottom style="thin">
        <color rgb="FFD9D9D9"/>
      </bottom>
    </border>
    <border>
      <left style="thin">
        <color rgb="FFD9D9D9"/>
      </left>
      <right style="thin">
        <color rgb="FFD9D9D9"/>
      </right>
      <top style="thin">
        <color rgb="FFD9D9D9"/>
      </top>
      <bottom/>
    </border>
    <border>
      <left/>
      <right style="thin">
        <color rgb="FFC0C0C0"/>
      </right>
      <top style="thin">
        <color rgb="FFC0C0C0"/>
      </top>
      <bottom style="thin">
        <color rgb="FFC0C0C0"/>
      </bottom>
    </border>
    <border>
      <left style="thin">
        <color rgb="FFC0C0C0"/>
      </left>
      <right/>
      <top/>
      <bottom/>
    </border>
    <border>
      <left/>
      <right/>
      <top style="thin">
        <color rgb="FFC0C0C0"/>
      </top>
      <bottom/>
    </border>
    <border>
      <left style="thin">
        <color rgb="FFC0C0C0"/>
      </left>
      <right/>
      <top/>
      <bottom style="thin">
        <color rgb="FFC0C0C0"/>
      </bottom>
    </border>
    <border>
      <left/>
      <right/>
      <top/>
      <bottom style="thin">
        <color rgb="FFC0C0C0"/>
      </bottom>
    </border>
    <border>
      <left style="thin">
        <color rgb="FFC0C0C0"/>
      </left>
      <right style="thin">
        <color rgb="FFC0C0C0"/>
      </right>
      <top/>
      <bottom/>
    </border>
    <border>
      <left/>
      <right/>
      <top style="thin">
        <color rgb="FFC0C0C0"/>
      </top>
      <bottom style="thin">
        <color rgb="FFC0C0C0"/>
      </bottom>
    </border>
    <border>
      <left style="thin">
        <color rgb="FF000000"/>
      </left>
      <right style="thin">
        <color rgb="FF000000"/>
      </right>
      <top style="thin">
        <color rgb="FF000000"/>
      </top>
      <bottom style="thin">
        <color rgb="FF000000"/>
      </bottom>
    </border>
    <border>
      <left/>
      <right style="thin">
        <color theme="0" tint="-0.25"/>
      </right>
      <top/>
      <bottom/>
    </border>
    <border>
      <left/>
      <right style="thin">
        <color rgb="FFBCBCBC"/>
      </right>
      <top/>
      <bottom/>
    </border>
    <border>
      <left style="thin">
        <color theme="0" tint="-0.35"/>
      </left>
      <right/>
      <top style="thin">
        <color rgb="FFBCBCBC"/>
      </top>
      <bottom/>
    </border>
    <border>
      <left/>
      <right style="thin">
        <color theme="0" tint="-0.35"/>
      </right>
      <top style="thin">
        <color rgb="FFBCBCBC"/>
      </top>
      <bottom/>
    </border>
    <border>
      <left style="medium">
        <color rgb="FF000000"/>
      </left>
      <right style="medium">
        <color rgb="FF000000"/>
      </right>
      <top style="medium">
        <color rgb="FF000000"/>
      </top>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thin">
        <color theme="0" tint="-0.25"/>
      </left>
      <right/>
      <top style="thin">
        <color rgb="FFBCBCBC"/>
      </top>
      <bottom style="thin">
        <color theme="0" tint="-0.25"/>
      </bottom>
    </border>
    <border>
      <left/>
      <right style="thin">
        <color theme="0" tint="-0.25"/>
      </right>
      <top style="thin">
        <color rgb="FFBCBCBC"/>
      </top>
      <bottom style="thin">
        <color theme="0" tint="-0.25"/>
      </bottom>
    </border>
    <border>
      <left style="thin">
        <color theme="0" tint="-0.35"/>
      </left>
      <right style="thin">
        <color theme="0" tint="-0.35"/>
      </right>
      <top style="thin">
        <color theme="0" tint="-0.35"/>
      </top>
      <bottom/>
    </border>
  </borders>
  <cellStyleXfs count="171">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 fontId="19" fillId="33" borderId="10" applyFont="1" applyFill="1" applyBorder="1" applyNumberFormat="1">
      <alignment horizontal="right" vertical="center" wrapText="1"/>
    </xf>
    <xf numFmtId="4" fontId="19" fillId="33" borderId="11" applyFont="1" applyFill="1" applyBorder="1" applyNumberFormat="1">
      <alignment horizontal="right" vertical="center" wrapText="1"/>
    </xf>
    <xf numFmtId="4" fontId="19" fillId="33" borderId="12" applyFont="1" applyFill="1" applyBorder="1" applyNumberFormat="1">
      <alignment horizontal="right" vertical="center" wrapText="1"/>
    </xf>
    <xf numFmtId="4" fontId="19" fillId="33" borderId="13" applyFont="1" applyFill="1" applyBorder="1" applyNumberFormat="1">
      <alignment horizontal="right" vertical="center" wrapText="1"/>
    </xf>
    <xf numFmtId="4" fontId="19" fillId="33" borderId="14" applyFont="1" applyFill="1" applyBorder="1" applyNumberFormat="1">
      <alignment horizontal="right" vertical="center" wrapText="1"/>
    </xf>
    <xf numFmtId="4" fontId="19" fillId="33" borderId="15" applyFont="1" applyFill="1" applyBorder="1" applyNumberFormat="1">
      <alignment horizontal="right" vertical="center" wrapText="1"/>
    </xf>
    <xf numFmtId="4" fontId="19" fillId="33" borderId="16" applyFont="1" applyFill="1" applyBorder="1" applyNumberFormat="1">
      <alignment horizontal="right" vertical="center" wrapText="1"/>
    </xf>
    <xf numFmtId="0" fontId="19" fillId="34" borderId="10" applyFont="1" applyFill="1" applyBorder="1">
      <alignment horizontal="right" vertical="center" wrapText="1" indent="1"/>
    </xf>
    <xf numFmtId="0" fontId="20" fillId="34" borderId="10" applyFont="1" applyFill="1" applyBorder="1">
      <alignment horizontal="right" vertical="center" wrapText="1" indent="1"/>
    </xf>
    <xf numFmtId="49" fontId="20" fillId="34" borderId="17" applyFont="1" applyFill="1" applyBorder="1" applyNumberFormat="1">
      <alignment horizontal="left" vertical="center" wrapText="1" indent="1"/>
    </xf>
    <xf numFmtId="0" fontId="19" fillId="34" borderId="17" applyFont="1" applyFill="1" applyBorder="1">
      <alignment horizontal="left" vertical="center" wrapText="1" indent="1"/>
    </xf>
    <xf numFmtId="0" fontId="20" fillId="34" borderId="17" applyFont="1" applyFill="1" applyBorder="1">
      <alignment horizontal="left" vertical="center" wrapText="1" indent="1"/>
    </xf>
    <xf numFmtId="174" fontId="21" fillId="33" borderId="17" applyFont="1" applyFill="1" applyBorder="1" applyNumberFormat="1">
      <alignment horizontal="left" vertical="center" wrapText="1" indent="1"/>
    </xf>
    <xf numFmtId="0" fontId="19" fillId="33" borderId="17" applyFont="1" applyFill="1" applyBorder="1">
      <alignment horizontal="left" vertical="center" wrapText="1" indent="1"/>
    </xf>
    <xf numFmtId="171" fontId="20" fillId="33" borderId="17" applyFont="1" applyFill="1" applyBorder="1" applyNumberFormat="1">
      <alignment horizontal="left" vertical="center" wrapText="1" indent="1"/>
    </xf>
    <xf numFmtId="0" fontId="19" fillId="34" borderId="10" applyFont="1" applyFill="1" applyBorder="1">
      <alignment horizontal="left" vertical="center" wrapText="1" indent="1"/>
    </xf>
    <xf numFmtId="1" fontId="19" fillId="34" borderId="10" applyFont="1" applyFill="1" applyBorder="1" applyNumberFormat="1">
      <alignment horizontal="left" vertical="center" wrapText="1" indent="1"/>
    </xf>
    <xf numFmtId="1" fontId="19" fillId="34" borderId="11" applyFont="1" applyFill="1" applyBorder="1" applyNumberFormat="1">
      <alignment horizontal="left" vertical="center" wrapText="1" indent="1"/>
    </xf>
    <xf numFmtId="49" fontId="19" fillId="33" borderId="18" applyFont="1" applyFill="1" applyBorder="1" applyNumberFormat="1">
      <alignment horizontal="left" vertical="center" wrapText="1" indent="1"/>
    </xf>
    <xf numFmtId="174" fontId="19" fillId="33" borderId="18" applyFont="1" applyFill="1" applyBorder="1" applyNumberFormat="1">
      <alignment horizontal="left" vertical="center" wrapText="1" indent="1"/>
    </xf>
    <xf numFmtId="49" fontId="19" fillId="33" borderId="10" applyFont="1" applyFill="1" applyBorder="1" applyNumberFormat="1">
      <alignment horizontal="left" vertical="center" wrapText="1"/>
    </xf>
    <xf numFmtId="4" fontId="19" fillId="33" borderId="17" applyFont="1" applyFill="1" applyBorder="1" applyNumberFormat="1">
      <alignment horizontal="right" vertical="center"/>
    </xf>
    <xf numFmtId="174" fontId="19" fillId="33" borderId="10" applyFont="1" applyFill="1" applyBorder="1" applyNumberFormat="1">
      <alignment horizontal="left" vertical="center" wrapText="1"/>
    </xf>
    <xf numFmtId="4" fontId="19" fillId="33" borderId="19" applyFont="1" applyFill="1" applyBorder="1" applyNumberFormat="1">
      <alignment horizontal="right" vertical="center"/>
    </xf>
    <xf numFmtId="4" fontId="19" fillId="33" borderId="10" applyFont="1" applyFill="1" applyBorder="1" applyNumberFormat="1">
      <alignment horizontal="right" vertical="center"/>
    </xf>
    <xf numFmtId="4" fontId="19" fillId="33" borderId="11" applyFont="1" applyFill="1" applyBorder="1" applyNumberFormat="1">
      <alignment horizontal="right" vertical="center"/>
    </xf>
    <xf numFmtId="4" fontId="19" fillId="33" borderId="20" applyFont="1" applyFill="1" applyBorder="1" applyNumberFormat="1">
      <alignment horizontal="right" vertical="center"/>
    </xf>
    <xf numFmtId="4" fontId="19" fillId="33" borderId="12" applyFont="1" applyFill="1" applyBorder="1" applyNumberFormat="1">
      <alignment horizontal="right" vertical="center"/>
    </xf>
    <xf numFmtId="4" fontId="19" fillId="33" borderId="21" applyFont="1" applyFill="1" applyBorder="1" applyNumberFormat="1">
      <alignment horizontal="right" vertical="center"/>
    </xf>
    <xf numFmtId="4" fontId="20" fillId="33" borderId="17" applyFont="1" applyFill="1" applyBorder="1" applyNumberFormat="1">
      <alignment horizontal="right" vertical="center"/>
    </xf>
    <xf numFmtId="2" fontId="20" fillId="35" borderId="17" applyFont="1" applyFill="1" applyBorder="1" applyNumberFormat="1">
      <alignment horizontal="right" vertical="center"/>
    </xf>
    <xf numFmtId="49" fontId="20" fillId="34" borderId="22" applyFont="1" applyFill="1" applyBorder="1" applyNumberFormat="1">
      <alignment horizontal="left" vertical="center" wrapText="1"/>
    </xf>
    <xf numFmtId="2" fontId="20" fillId="33" borderId="22" applyFont="1" applyFill="1" applyBorder="1" applyNumberFormat="1">
      <alignment horizontal="right" vertical="center"/>
    </xf>
    <xf numFmtId="4" fontId="20" fillId="33" borderId="13" applyFont="1" applyFill="1" applyBorder="1" applyNumberFormat="1">
      <alignment horizontal="right" vertical="center"/>
    </xf>
    <xf numFmtId="2" fontId="20" fillId="33" borderId="17" applyFont="1" applyFill="1" applyBorder="1" applyNumberFormat="1">
      <alignment horizontal="right" vertical="center"/>
    </xf>
    <xf numFmtId="2" fontId="0" fillId="33" borderId="17" applyFont="1" applyFill="1" applyBorder="1" applyNumberFormat="1">
      <alignment horizontal="right" vertical="center"/>
    </xf>
    <xf numFmtId="174" fontId="20" fillId="33" borderId="17" applyFont="1" applyFill="1" applyBorder="1" applyNumberFormat="1">
      <alignment horizontal="left" vertical="center" wrapText="1"/>
    </xf>
    <xf numFmtId="174" fontId="20" fillId="33" borderId="22" applyFont="1" applyFill="1" applyBorder="1" applyNumberFormat="1">
      <alignment horizontal="left" vertical="center" wrapText="1"/>
    </xf>
    <xf numFmtId="174" fontId="20" fillId="33" borderId="10" applyFont="1" applyFill="1" applyBorder="1" applyNumberFormat="1">
      <alignment horizontal="left" vertical="center" wrapText="1"/>
    </xf>
    <xf numFmtId="174" fontId="20" fillId="33" borderId="13" applyFont="1" applyFill="1" applyBorder="1" applyNumberFormat="1">
      <alignment horizontal="left" vertical="center" wrapText="1"/>
    </xf>
    <xf numFmtId="4" fontId="19" fillId="33" borderId="17" applyFont="1" applyFill="1" applyBorder="1" applyNumberFormat="1">
      <alignment horizontal="right" vertical="center" wrapText="1"/>
    </xf>
    <xf numFmtId="4" fontId="19" fillId="33" borderId="12" applyFont="1" applyFill="1" applyBorder="1" applyNumberFormat="1">
      <alignment vertical="center"/>
    </xf>
    <xf numFmtId="4" fontId="19" fillId="33" borderId="10" applyFont="1" applyFill="1" applyBorder="1" applyNumberFormat="1">
      <alignment vertical="center"/>
    </xf>
    <xf numFmtId="49" fontId="22" fillId="33" borderId="12" applyFont="1" applyFill="1" applyBorder="1" applyNumberFormat="1">
      <alignment horizontal="left" vertical="center" wrapText="1" indent="1"/>
    </xf>
    <xf numFmtId="49" fontId="22" fillId="33" borderId="10" applyFont="1" applyFill="1" applyBorder="1" applyNumberFormat="1">
      <alignment horizontal="left" vertical="center" wrapText="1" indent="1"/>
    </xf>
    <xf numFmtId="9" fontId="19" fillId="33" borderId="12" applyFont="1" applyFill="1" applyBorder="1" applyNumberFormat="1">
      <alignment vertical="center"/>
    </xf>
    <xf numFmtId="0" fontId="20" fillId="0" borderId="17" applyFont="1" applyFill="0" applyBorder="1">
      <alignment horizontal="left" vertical="center" wrapText="1"/>
    </xf>
    <xf numFmtId="10" fontId="19" fillId="33" borderId="12" applyFont="1" applyFill="1" applyBorder="1" applyNumberFormat="1">
      <alignment vertical="center"/>
    </xf>
    <xf numFmtId="10" fontId="19" fillId="33" borderId="10" applyFont="1" applyFill="1" applyBorder="1" applyNumberFormat="1">
      <alignment vertical="center"/>
    </xf>
    <xf numFmtId="9" fontId="19" fillId="33" borderId="10" applyFont="1" applyFill="1" applyBorder="1" applyNumberFormat="1">
      <alignment vertical="center"/>
    </xf>
    <xf numFmtId="9" fontId="19" fillId="0" borderId="10" applyFont="1" applyFill="0" applyBorder="1" applyNumberFormat="1">
      <alignment vertical="center"/>
    </xf>
    <xf numFmtId="4" fontId="23" fillId="33" borderId="12" applyFont="1" applyFill="1" applyBorder="1" applyNumberFormat="1">
      <alignment vertical="center"/>
    </xf>
    <xf numFmtId="4" fontId="23" fillId="33" borderId="13" applyFont="1" applyFill="1" applyBorder="1" applyNumberFormat="1">
      <alignment horizontal="right" vertical="center"/>
    </xf>
    <xf numFmtId="4" fontId="20" fillId="33" borderId="10" applyFont="1" applyFill="1" applyBorder="1" applyNumberFormat="1">
      <alignment horizontal="right" vertical="center"/>
    </xf>
    <xf numFmtId="172" fontId="19" fillId="33" borderId="17" applyFont="1" applyFill="1" applyBorder="1" applyNumberFormat="1">
      <alignment horizontal="right" vertical="center"/>
    </xf>
    <xf numFmtId="49" fontId="19" fillId="34" borderId="17" applyFont="1" applyFill="1" applyBorder="1" applyNumberFormat="1">
      <alignment horizontal="left" vertical="center" wrapText="1"/>
    </xf>
    <xf numFmtId="49" fontId="19" fillId="33" borderId="17" applyFont="1" applyFill="1" applyBorder="1" applyNumberFormat="1">
      <alignment horizontal="left" vertical="center" wrapText="1"/>
    </xf>
    <xf numFmtId="4" fontId="19" fillId="33" borderId="22" applyFont="1" applyFill="1" applyBorder="1" applyNumberFormat="1">
      <alignment horizontal="right" vertical="center"/>
    </xf>
    <xf numFmtId="4" fontId="23" fillId="33" borderId="10" applyFont="1" applyFill="1" applyBorder="1" applyNumberFormat="1">
      <alignment horizontal="right" vertical="center"/>
    </xf>
    <xf numFmtId="49" fontId="19" fillId="33" borderId="23" applyFont="1" applyFill="1" applyBorder="1" applyNumberFormat="1">
      <alignment vertical="center" wrapText="1"/>
    </xf>
    <xf numFmtId="174" fontId="20" fillId="33" borderId="24" applyFont="1" applyFill="1" applyBorder="1" applyNumberFormat="1">
      <alignment horizontal="left" vertical="center" wrapText="1"/>
    </xf>
    <xf numFmtId="174" fontId="20" fillId="33" borderId="25" applyFont="1" applyFill="1" applyBorder="1" applyNumberFormat="1">
      <alignment horizontal="left" vertical="center" wrapText="1"/>
    </xf>
    <xf numFmtId="0" fontId="20" fillId="0" borderId="26" applyFont="1" applyFill="0" applyBorder="1">
      <alignment horizontal="left" vertical="center" wrapText="1"/>
    </xf>
    <xf numFmtId="49" fontId="19" fillId="33" borderId="10" applyFont="1" applyFill="1" applyBorder="1" applyNumberFormat="1">
      <alignment vertical="center" wrapText="1"/>
    </xf>
    <xf numFmtId="49" fontId="19" fillId="33" borderId="10" applyFont="1" applyFill="1" applyBorder="1" applyNumberFormat="1">
      <alignment horizontal="left" vertical="center" wrapText="1" indent="1"/>
    </xf>
    <xf numFmtId="0" fontId="6" fillId="0" borderId="0" applyFont="0" applyFill="0" applyBorder="0">
      <alignment vertical="top"/>
    </xf>
    <xf numFmtId="174" fontId="19" fillId="33" borderId="17" applyFont="1" applyFill="1" applyBorder="1" applyNumberFormat="1">
      <alignment horizontal="left" vertical="center" wrapText="1"/>
    </xf>
    <xf numFmtId="49" fontId="19" fillId="34" borderId="10" applyFont="1" applyFill="1" applyBorder="1" applyNumberFormat="1">
      <alignment horizontal="center" vertical="center"/>
    </xf>
    <xf numFmtId="49" fontId="19" fillId="34" borderId="10" applyFont="1" applyFill="1" applyBorder="1" applyNumberFormat="1">
      <alignment horizontal="left" vertical="center" wrapText="1" indent="1"/>
    </xf>
    <xf numFmtId="4" fontId="20" fillId="33" borderId="10" applyFont="1" applyFill="1" applyBorder="1" applyNumberFormat="1">
      <alignment horizontal="right" vertical="center" wrapText="1"/>
    </xf>
    <xf numFmtId="4" fontId="20" fillId="33" borderId="10" applyFont="1" applyFill="1" applyBorder="1" applyNumberFormat="1">
      <alignment horizontal="right"/>
    </xf>
    <xf numFmtId="4" fontId="0" fillId="33" borderId="10" applyFont="1" applyFill="1" applyBorder="1" applyNumberFormat="1">
      <alignment horizontal="right" vertical="center" wrapText="1"/>
    </xf>
    <xf numFmtId="172" fontId="0" fillId="33" borderId="10" applyFont="1" applyFill="1" applyBorder="1" applyNumberFormat="1">
      <alignment horizontal="right" vertical="center" wrapText="1"/>
    </xf>
    <xf numFmtId="4" fontId="24" fillId="33" borderId="10" applyFont="1" applyFill="1" applyBorder="1" applyNumberFormat="1">
      <alignment horizontal="right" vertical="center"/>
    </xf>
    <xf numFmtId="172" fontId="20" fillId="33" borderId="10" applyFont="1" applyFill="1" applyBorder="1" applyNumberFormat="1">
      <alignment horizontal="right" vertical="center"/>
    </xf>
    <xf numFmtId="49" fontId="19" fillId="34" borderId="11" applyFont="1" applyFill="1" applyBorder="1" applyNumberFormat="1">
      <alignment horizontal="left" vertical="center" wrapText="1" indent="1"/>
    </xf>
    <xf numFmtId="4" fontId="20" fillId="33" borderId="11" applyFont="1" applyFill="1" applyBorder="1" applyNumberFormat="1">
      <alignment horizontal="right" vertical="center"/>
    </xf>
    <xf numFmtId="4" fontId="20" fillId="33" borderId="21" applyFont="1" applyFill="1" applyBorder="1" applyNumberFormat="1">
      <alignment horizontal="right" vertical="center"/>
    </xf>
    <xf numFmtId="2" fontId="22" fillId="33" borderId="10" applyFont="1" applyFill="1" applyBorder="1" applyNumberFormat="1">
      <alignment vertical="center" wrapText="1"/>
    </xf>
    <xf numFmtId="2" fontId="22" fillId="33" borderId="11" applyFont="1" applyFill="1" applyBorder="1" applyNumberFormat="1">
      <alignment vertical="center" wrapText="1"/>
    </xf>
    <xf numFmtId="4" fontId="25" fillId="33" borderId="10" applyFont="1" applyFill="1" applyBorder="1" applyNumberFormat="1">
      <alignment vertical="center" wrapText="1"/>
    </xf>
    <xf numFmtId="4" fontId="24" fillId="33" borderId="12" applyFont="1" applyFill="1" applyBorder="1" applyNumberFormat="1">
      <alignment horizontal="right" vertical="center"/>
    </xf>
    <xf numFmtId="2" fontId="24" fillId="33" borderId="10" applyFont="1" applyFill="1" applyBorder="1" applyNumberFormat="1">
      <alignment horizontal="right" vertical="center"/>
    </xf>
    <xf numFmtId="4" fontId="20" fillId="35" borderId="10" applyFont="1" applyFill="1" applyBorder="1" applyNumberFormat="1">
      <alignment horizontal="right" vertical="center"/>
    </xf>
    <xf numFmtId="2" fontId="20" fillId="33" borderId="10" applyFont="1" applyFill="1" applyBorder="1" applyNumberFormat="1">
      <alignment horizontal="right" vertical="center"/>
    </xf>
    <xf numFmtId="4" fontId="22" fillId="33" borderId="10" applyFont="1" applyFill="1" applyBorder="1" applyNumberFormat="1">
      <alignment vertical="center" wrapText="1"/>
    </xf>
    <xf numFmtId="49" fontId="22" fillId="34" borderId="10" applyFont="1" applyFill="1" applyBorder="1" applyNumberFormat="1">
      <alignment horizontal="left" vertical="center" wrapText="1"/>
    </xf>
    <xf numFmtId="9" fontId="19" fillId="33" borderId="10" applyFont="1" applyFill="1" applyBorder="1" applyNumberFormat="1">
      <alignment horizontal="right" vertical="center" wrapText="1"/>
    </xf>
    <xf numFmtId="2" fontId="23" fillId="32" borderId="10" applyFont="1" applyFill="1" applyBorder="1" applyNumberFormat="1">
      <alignment horizontal="center" vertical="center" wrapText="1"/>
    </xf>
    <xf numFmtId="2" fontId="19" fillId="33" borderId="10" applyFont="1" applyFill="1" applyBorder="1" applyNumberFormat="1">
      <alignment horizontal="right" vertical="center" wrapText="1"/>
    </xf>
    <xf numFmtId="2" fontId="19" fillId="33" borderId="10" applyFont="1" applyFill="1" applyBorder="1" applyNumberFormat="1">
      <alignment horizontal="center" vertical="center" wrapText="1"/>
    </xf>
    <xf numFmtId="2" fontId="19" fillId="32" borderId="10" applyFont="1" applyFill="1" applyBorder="1" applyNumberFormat="1">
      <alignment horizontal="center" vertical="center" wrapText="1"/>
    </xf>
    <xf numFmtId="49" fontId="20" fillId="0" borderId="10" applyFont="1" applyFill="0" applyBorder="1" applyNumberFormat="1">
      <alignment horizontal="left" vertical="center" wrapText="1" indent="1"/>
    </xf>
    <xf numFmtId="49" fontId="20" fillId="0" borderId="10" applyFont="1" applyFill="0" applyBorder="1" applyNumberFormat="1">
      <alignment horizontal="left" vertical="center" wrapText="1" indent="2"/>
    </xf>
    <xf numFmtId="4" fontId="22" fillId="33" borderId="11" applyFont="1" applyFill="1" applyBorder="1" applyNumberFormat="1">
      <alignment vertical="center" wrapText="1"/>
    </xf>
    <xf numFmtId="174" fontId="20" fillId="33" borderId="23" applyFont="1" applyFill="1" applyBorder="1" applyNumberFormat="1">
      <alignment horizontal="left" vertical="center" wrapText="1"/>
    </xf>
    <xf numFmtId="174" fontId="20" fillId="33" borderId="27" applyFont="1" applyFill="1" applyBorder="1" applyNumberFormat="1">
      <alignment horizontal="left" vertical="center" wrapText="1"/>
    </xf>
    <xf numFmtId="4" fontId="22" fillId="0" borderId="23" applyFont="1" applyFill="0" applyBorder="1" applyNumberFormat="1">
      <alignment vertical="center" wrapText="1"/>
    </xf>
    <xf numFmtId="0" fontId="20" fillId="0" borderId="23" applyFont="1" applyFill="0" applyBorder="1">
      <alignment horizontal="left" vertical="center" wrapText="1"/>
    </xf>
    <xf numFmtId="0" fontId="20" fillId="0" borderId="27" applyFont="1" applyFill="0" applyBorder="1">
      <alignment horizontal="left" vertical="center" wrapText="1"/>
    </xf>
    <xf numFmtId="49" fontId="22" fillId="34" borderId="11" applyFont="1" applyFill="1" applyBorder="1" applyNumberFormat="1">
      <alignment vertical="center" wrapText="1"/>
    </xf>
    <xf numFmtId="4" fontId="22" fillId="33" borderId="28" applyFont="1" applyFill="1" applyBorder="1" applyNumberFormat="1">
      <alignment vertical="center" wrapText="1"/>
    </xf>
    <xf numFmtId="4" fontId="22" fillId="33" borderId="29" applyFont="1" applyFill="1" applyBorder="1" applyNumberFormat="1">
      <alignment vertical="center" wrapText="1"/>
    </xf>
    <xf numFmtId="174" fontId="20" fillId="33" borderId="11" applyFont="1" applyFill="1" applyBorder="1" applyNumberFormat="1">
      <alignment horizontal="left" vertical="center" wrapText="1"/>
    </xf>
    <xf numFmtId="174" fontId="20" fillId="33" borderId="28" applyFont="1" applyFill="1" applyBorder="1" applyNumberFormat="1">
      <alignment horizontal="left" vertical="center" wrapText="1"/>
    </xf>
    <xf numFmtId="174" fontId="20" fillId="33" borderId="30" applyFont="1" applyFill="1" applyBorder="1" applyNumberFormat="1">
      <alignment horizontal="left" vertical="center" wrapText="1"/>
    </xf>
    <xf numFmtId="174" fontId="20" fillId="33" borderId="16" applyFont="1" applyFill="1" applyBorder="1" applyNumberFormat="1">
      <alignment horizontal="left" vertical="center" wrapText="1"/>
    </xf>
    <xf numFmtId="174" fontId="20" fillId="33" borderId="31" applyFont="1" applyFill="1" applyBorder="1" applyNumberFormat="1">
      <alignment horizontal="left" vertical="center" wrapText="1"/>
    </xf>
    <xf numFmtId="4" fontId="22" fillId="33" borderId="21" applyFont="1" applyFill="1" applyBorder="1" applyNumberFormat="1">
      <alignment vertical="center" wrapText="1"/>
    </xf>
    <xf numFmtId="4" fontId="20" fillId="33" borderId="23" applyFont="1" applyFill="1" applyBorder="1" applyNumberFormat="1">
      <alignment horizontal="right" vertical="center"/>
    </xf>
    <xf numFmtId="4" fontId="20" fillId="33" borderId="12" applyFont="1" applyFill="1" applyBorder="1" applyNumberFormat="1">
      <alignment horizontal="right" vertical="center"/>
    </xf>
    <xf numFmtId="174" fontId="19" fillId="33" borderId="10" applyFont="1" applyFill="1" applyBorder="1" applyNumberFormat="1">
      <alignment horizontal="left" vertical="center"/>
    </xf>
    <xf numFmtId="10" fontId="19" fillId="33" borderId="10" applyFont="1" applyFill="1" applyBorder="1" applyNumberFormat="1">
      <alignment horizontal="right" vertical="center"/>
    </xf>
    <xf numFmtId="174" fontId="19" fillId="33" borderId="11" applyFont="1" applyFill="1" applyBorder="1" applyNumberFormat="1">
      <alignment horizontal="left" vertical="center"/>
    </xf>
    <xf numFmtId="174" fontId="19" fillId="33" borderId="11" applyFont="1" applyFill="1" applyBorder="1" applyNumberFormat="1">
      <alignment horizontal="left" vertical="center" wrapText="1"/>
    </xf>
    <xf numFmtId="0" fontId="19" fillId="34" borderId="12" applyFont="1" applyFill="1" applyBorder="1">
      <alignment horizontal="left" vertical="center" wrapText="1" indent="2"/>
    </xf>
    <xf numFmtId="4" fontId="19" fillId="33" borderId="29" applyFont="1" applyFill="1" applyBorder="1" applyNumberFormat="1">
      <alignment horizontal="right" vertical="center"/>
    </xf>
    <xf numFmtId="0" fontId="19" fillId="34" borderId="10" applyFont="1" applyFill="1" applyBorder="1">
      <alignment horizontal="left" vertical="center" wrapText="1" indent="3"/>
    </xf>
    <xf numFmtId="4" fontId="24" fillId="33" borderId="17" applyFont="1" applyFill="1" applyBorder="1" applyNumberFormat="1">
      <alignment horizontal="right" vertical="center"/>
    </xf>
    <xf numFmtId="172" fontId="20" fillId="33" borderId="17" applyFont="1" applyFill="1" applyBorder="1" applyNumberFormat="1">
      <alignment horizontal="right" vertical="center"/>
    </xf>
    <xf numFmtId="4" fontId="20" fillId="33" borderId="32" applyFont="1" applyFill="1" applyBorder="1" applyNumberFormat="1">
      <alignment horizontal="right" vertical="center"/>
    </xf>
    <xf numFmtId="2" fontId="20" fillId="33" borderId="32" applyFont="1" applyFill="1" applyBorder="1" applyNumberFormat="1">
      <alignment horizontal="right" vertical="center"/>
    </xf>
    <xf numFmtId="4" fontId="20" fillId="33" borderId="33" applyFont="1" applyFill="1" applyBorder="1" applyNumberFormat="1">
      <alignment horizontal="right" vertical="center"/>
    </xf>
    <xf numFmtId="4" fontId="20" fillId="33" borderId="27" applyFont="1" applyFill="1" applyBorder="1" applyNumberFormat="1">
      <alignment horizontal="right" vertical="center"/>
    </xf>
  </cellStyleXfs>
  <cellXfs count="243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 fontId="19" fillId="33" borderId="10" xfId="47" applyFont="1" applyFill="1" applyBorder="1" applyNumberFormat="1">
      <alignment horizontal="right" vertical="center" wrapText="1"/>
    </xf>
    <xf numFmtId="4" fontId="19" fillId="33" borderId="11" xfId="48" applyFont="1" applyFill="1" applyBorder="1" applyNumberFormat="1">
      <alignment horizontal="right" vertical="center" wrapText="1"/>
    </xf>
    <xf numFmtId="4" fontId="19" fillId="33" borderId="12" xfId="49" applyFont="1" applyFill="1" applyBorder="1" applyNumberFormat="1">
      <alignment horizontal="right" vertical="center" wrapText="1"/>
    </xf>
    <xf numFmtId="4" fontId="19" fillId="33" borderId="13" xfId="50" applyFont="1" applyFill="1" applyBorder="1" applyNumberFormat="1">
      <alignment horizontal="right" vertical="center" wrapText="1"/>
    </xf>
    <xf numFmtId="4" fontId="19" fillId="33" borderId="14" xfId="51" applyFont="1" applyFill="1" applyBorder="1" applyNumberFormat="1">
      <alignment horizontal="right" vertical="center" wrapText="1"/>
    </xf>
    <xf numFmtId="4" fontId="19" fillId="33" borderId="15" xfId="52" applyFont="1" applyFill="1" applyBorder="1" applyNumberFormat="1">
      <alignment horizontal="right" vertical="center" wrapText="1"/>
    </xf>
    <xf numFmtId="4" fontId="19" fillId="33" borderId="16" xfId="53" applyFont="1" applyFill="1" applyBorder="1" applyNumberFormat="1">
      <alignment horizontal="right" vertical="center" wrapText="1"/>
    </xf>
    <xf numFmtId="0" fontId="19" fillId="34" borderId="10" xfId="54" applyFont="1" applyFill="1" applyBorder="1">
      <alignment horizontal="right" vertical="center" wrapText="1" indent="1"/>
    </xf>
    <xf numFmtId="0" fontId="20" fillId="34" borderId="10" xfId="55" applyFont="1" applyFill="1" applyBorder="1">
      <alignment horizontal="right" vertical="center" wrapText="1" indent="1"/>
    </xf>
    <xf numFmtId="49" fontId="20" fillId="34" borderId="17" xfId="56" applyFont="1" applyFill="1" applyBorder="1" applyNumberFormat="1">
      <alignment horizontal="left" vertical="center" wrapText="1" indent="1"/>
    </xf>
    <xf numFmtId="0" fontId="19" fillId="34" borderId="17" xfId="57" applyFont="1" applyFill="1" applyBorder="1">
      <alignment horizontal="left" vertical="center" wrapText="1" indent="1"/>
    </xf>
    <xf numFmtId="0" fontId="20" fillId="34" borderId="17" xfId="58" applyFont="1" applyFill="1" applyBorder="1">
      <alignment horizontal="left" vertical="center" wrapText="1" indent="1"/>
    </xf>
    <xf numFmtId="174" fontId="21" fillId="33" borderId="17" xfId="59" applyFont="1" applyFill="1" applyBorder="1" applyNumberFormat="1">
      <alignment horizontal="left" vertical="center" wrapText="1" indent="1"/>
    </xf>
    <xf numFmtId="0" fontId="19" fillId="33" borderId="17" xfId="60" applyFont="1" applyFill="1" applyBorder="1">
      <alignment horizontal="left" vertical="center" wrapText="1" indent="1"/>
    </xf>
    <xf numFmtId="171" fontId="20" fillId="33" borderId="17" xfId="61" applyFont="1" applyFill="1" applyBorder="1" applyNumberFormat="1">
      <alignment horizontal="left" vertical="center" wrapText="1" indent="1"/>
    </xf>
    <xf numFmtId="0" fontId="19" fillId="34" borderId="10" xfId="62" applyFont="1" applyFill="1" applyBorder="1">
      <alignment horizontal="left" vertical="center" wrapText="1" indent="1"/>
    </xf>
    <xf numFmtId="1" fontId="19" fillId="34" borderId="10" xfId="63" applyFont="1" applyFill="1" applyBorder="1" applyNumberFormat="1">
      <alignment horizontal="left" vertical="center" wrapText="1" indent="1"/>
    </xf>
    <xf numFmtId="1" fontId="19" fillId="34" borderId="11" xfId="64" applyFont="1" applyFill="1" applyBorder="1" applyNumberFormat="1">
      <alignment horizontal="left" vertical="center" wrapText="1" indent="1"/>
    </xf>
    <xf numFmtId="49" fontId="19" fillId="33" borderId="18" xfId="65" applyFont="1" applyFill="1" applyBorder="1" applyNumberFormat="1">
      <alignment horizontal="left" vertical="center" wrapText="1" indent="1"/>
    </xf>
    <xf numFmtId="174" fontId="19" fillId="33" borderId="18" xfId="66" applyFont="1" applyFill="1" applyBorder="1" applyNumberFormat="1">
      <alignment horizontal="left" vertical="center" wrapText="1" indent="1"/>
    </xf>
    <xf numFmtId="49" fontId="19" fillId="33" borderId="10" xfId="67" applyFont="1" applyFill="1" applyBorder="1" applyNumberFormat="1">
      <alignment horizontal="left" vertical="center" wrapText="1"/>
    </xf>
    <xf numFmtId="4" fontId="19" fillId="33" borderId="17" xfId="68" applyFont="1" applyFill="1" applyBorder="1" applyNumberFormat="1">
      <alignment horizontal="right" vertical="center"/>
    </xf>
    <xf numFmtId="174" fontId="19" fillId="33" borderId="10" xfId="69" applyFont="1" applyFill="1" applyBorder="1" applyNumberFormat="1">
      <alignment horizontal="left" vertical="center" wrapText="1"/>
    </xf>
    <xf numFmtId="4" fontId="19" fillId="33" borderId="19" xfId="70" applyFont="1" applyFill="1" applyBorder="1" applyNumberFormat="1">
      <alignment horizontal="right" vertical="center"/>
    </xf>
    <xf numFmtId="4" fontId="19" fillId="33" borderId="10" xfId="71" applyFont="1" applyFill="1" applyBorder="1" applyNumberFormat="1">
      <alignment horizontal="right" vertical="center"/>
    </xf>
    <xf numFmtId="4" fontId="19" fillId="33" borderId="11" xfId="72" applyFont="1" applyFill="1" applyBorder="1" applyNumberFormat="1">
      <alignment horizontal="right" vertical="center"/>
    </xf>
    <xf numFmtId="4" fontId="19" fillId="33" borderId="20" xfId="73" applyFont="1" applyFill="1" applyBorder="1" applyNumberFormat="1">
      <alignment horizontal="right" vertical="center"/>
    </xf>
    <xf numFmtId="4" fontId="19" fillId="33" borderId="12" xfId="74" applyFont="1" applyFill="1" applyBorder="1" applyNumberFormat="1">
      <alignment horizontal="right" vertical="center"/>
    </xf>
    <xf numFmtId="4" fontId="19" fillId="33" borderId="21" xfId="75" applyFont="1" applyFill="1" applyBorder="1" applyNumberFormat="1">
      <alignment horizontal="right" vertical="center"/>
    </xf>
    <xf numFmtId="4" fontId="20" fillId="33" borderId="17" xfId="76" applyFont="1" applyFill="1" applyBorder="1" applyNumberFormat="1">
      <alignment horizontal="right" vertical="center"/>
    </xf>
    <xf numFmtId="2" fontId="20" fillId="35" borderId="17" xfId="77" applyFont="1" applyFill="1" applyBorder="1" applyNumberFormat="1">
      <alignment horizontal="right" vertical="center"/>
    </xf>
    <xf numFmtId="49" fontId="20" fillId="34" borderId="22" xfId="78" applyFont="1" applyFill="1" applyBorder="1" applyNumberFormat="1">
      <alignment horizontal="left" vertical="center" wrapText="1"/>
    </xf>
    <xf numFmtId="2" fontId="20" fillId="33" borderId="22" xfId="79" applyFont="1" applyFill="1" applyBorder="1" applyNumberFormat="1">
      <alignment horizontal="right" vertical="center"/>
    </xf>
    <xf numFmtId="4" fontId="20" fillId="33" borderId="13" xfId="80" applyFont="1" applyFill="1" applyBorder="1" applyNumberFormat="1">
      <alignment horizontal="right" vertical="center"/>
    </xf>
    <xf numFmtId="2" fontId="20" fillId="33" borderId="17" xfId="81" applyFont="1" applyFill="1" applyBorder="1" applyNumberFormat="1">
      <alignment horizontal="right" vertical="center"/>
    </xf>
    <xf numFmtId="2" fontId="0" fillId="33" borderId="17" xfId="82" applyFont="1" applyFill="1" applyBorder="1" applyNumberFormat="1">
      <alignment horizontal="right" vertical="center"/>
    </xf>
    <xf numFmtId="174" fontId="20" fillId="33" borderId="17" xfId="83" applyFont="1" applyFill="1" applyBorder="1" applyNumberFormat="1">
      <alignment horizontal="left" vertical="center" wrapText="1"/>
    </xf>
    <xf numFmtId="174" fontId="20" fillId="33" borderId="22" xfId="84" applyFont="1" applyFill="1" applyBorder="1" applyNumberFormat="1">
      <alignment horizontal="left" vertical="center" wrapText="1"/>
    </xf>
    <xf numFmtId="174" fontId="20" fillId="33" borderId="10" xfId="85" applyFont="1" applyFill="1" applyBorder="1" applyNumberFormat="1">
      <alignment horizontal="left" vertical="center" wrapText="1"/>
    </xf>
    <xf numFmtId="174" fontId="20" fillId="33" borderId="13" xfId="86" applyFont="1" applyFill="1" applyBorder="1" applyNumberFormat="1">
      <alignment horizontal="left" vertical="center" wrapText="1"/>
    </xf>
    <xf numFmtId="4" fontId="19" fillId="33" borderId="17" xfId="87" applyFont="1" applyFill="1" applyBorder="1" applyNumberFormat="1">
      <alignment horizontal="right" vertical="center" wrapText="1"/>
    </xf>
    <xf numFmtId="4" fontId="19" fillId="33" borderId="12" xfId="88" applyFont="1" applyFill="1" applyBorder="1" applyNumberFormat="1">
      <alignment vertical="center"/>
    </xf>
    <xf numFmtId="4" fontId="19" fillId="33" borderId="10" xfId="89" applyFont="1" applyFill="1" applyBorder="1" applyNumberFormat="1">
      <alignment vertical="center"/>
    </xf>
    <xf numFmtId="49" fontId="22" fillId="33" borderId="12" xfId="90" applyFont="1" applyFill="1" applyBorder="1" applyNumberFormat="1">
      <alignment horizontal="left" vertical="center" wrapText="1" indent="1"/>
    </xf>
    <xf numFmtId="49" fontId="22" fillId="33" borderId="10" xfId="91" applyFont="1" applyFill="1" applyBorder="1" applyNumberFormat="1">
      <alignment horizontal="left" vertical="center" wrapText="1" indent="1"/>
    </xf>
    <xf numFmtId="9" fontId="19" fillId="33" borderId="12" xfId="92" applyFont="1" applyFill="1" applyBorder="1" applyNumberFormat="1">
      <alignment vertical="center"/>
    </xf>
    <xf numFmtId="0" fontId="20" fillId="0" borderId="17" xfId="93" applyFont="1" applyBorder="1">
      <alignment horizontal="left" vertical="center" wrapText="1"/>
    </xf>
    <xf numFmtId="10" fontId="19" fillId="33" borderId="12" xfId="94" applyFont="1" applyFill="1" applyBorder="1" applyNumberFormat="1">
      <alignment vertical="center"/>
    </xf>
    <xf numFmtId="10" fontId="19" fillId="33" borderId="10" xfId="95" applyFont="1" applyFill="1" applyBorder="1" applyNumberFormat="1">
      <alignment vertical="center"/>
    </xf>
    <xf numFmtId="9" fontId="19" fillId="33" borderId="10" xfId="96" applyFont="1" applyFill="1" applyBorder="1" applyNumberFormat="1">
      <alignment vertical="center"/>
    </xf>
    <xf numFmtId="9" fontId="19" fillId="0" borderId="10" xfId="97" applyFont="1" applyBorder="1" applyNumberFormat="1">
      <alignment vertical="center"/>
    </xf>
    <xf numFmtId="4" fontId="23" fillId="33" borderId="12" xfId="98" applyFont="1" applyFill="1" applyBorder="1" applyNumberFormat="1">
      <alignment vertical="center"/>
    </xf>
    <xf numFmtId="4" fontId="23" fillId="33" borderId="13" xfId="99" applyFont="1" applyFill="1" applyBorder="1" applyNumberFormat="1">
      <alignment horizontal="right" vertical="center"/>
    </xf>
    <xf numFmtId="4" fontId="20" fillId="33" borderId="10" xfId="100" applyFont="1" applyFill="1" applyBorder="1" applyNumberFormat="1">
      <alignment horizontal="right" vertical="center"/>
    </xf>
    <xf numFmtId="172" fontId="19" fillId="33" borderId="17" xfId="101" applyFont="1" applyFill="1" applyBorder="1" applyNumberFormat="1">
      <alignment horizontal="right" vertical="center"/>
    </xf>
    <xf numFmtId="49" fontId="19" fillId="34" borderId="17" xfId="102" applyFont="1" applyFill="1" applyBorder="1" applyNumberFormat="1">
      <alignment horizontal="left" vertical="center" wrapText="1"/>
    </xf>
    <xf numFmtId="49" fontId="19" fillId="33" borderId="17" xfId="103" applyFont="1" applyFill="1" applyBorder="1" applyNumberFormat="1">
      <alignment horizontal="left" vertical="center" wrapText="1"/>
    </xf>
    <xf numFmtId="4" fontId="19" fillId="33" borderId="22" xfId="104" applyFont="1" applyFill="1" applyBorder="1" applyNumberFormat="1">
      <alignment horizontal="right" vertical="center"/>
    </xf>
    <xf numFmtId="4" fontId="23" fillId="33" borderId="10" xfId="105" applyFont="1" applyFill="1" applyBorder="1" applyNumberFormat="1">
      <alignment horizontal="right" vertical="center"/>
    </xf>
    <xf numFmtId="49" fontId="19" fillId="33" borderId="23" xfId="106" applyFont="1" applyFill="1" applyBorder="1" applyNumberFormat="1">
      <alignment vertical="center" wrapText="1"/>
    </xf>
    <xf numFmtId="174" fontId="20" fillId="33" borderId="24" xfId="107" applyFont="1" applyFill="1" applyBorder="1" applyNumberFormat="1">
      <alignment horizontal="left" vertical="center" wrapText="1"/>
    </xf>
    <xf numFmtId="174" fontId="20" fillId="33" borderId="25" xfId="108" applyFont="1" applyFill="1" applyBorder="1" applyNumberFormat="1">
      <alignment horizontal="left" vertical="center" wrapText="1"/>
    </xf>
    <xf numFmtId="0" fontId="20" fillId="0" borderId="26" xfId="109" applyFont="1" applyBorder="1">
      <alignment horizontal="left" vertical="center" wrapText="1"/>
    </xf>
    <xf numFmtId="49" fontId="19" fillId="33" borderId="10" xfId="110" applyFont="1" applyFill="1" applyBorder="1" applyNumberFormat="1">
      <alignment vertical="center" wrapText="1"/>
    </xf>
    <xf numFmtId="49" fontId="19" fillId="33" borderId="10" xfId="111" applyFont="1" applyFill="1" applyBorder="1" applyNumberFormat="1">
      <alignment horizontal="left" vertical="center" wrapText="1" indent="1"/>
    </xf>
    <xf numFmtId="0" fontId="6" fillId="0" borderId="0" xfId="112" applyFont="0">
      <alignment vertical="top"/>
    </xf>
    <xf numFmtId="174" fontId="19" fillId="33" borderId="17" xfId="113" applyFont="1" applyFill="1" applyBorder="1" applyNumberFormat="1">
      <alignment horizontal="left" vertical="center" wrapText="1"/>
    </xf>
    <xf numFmtId="49" fontId="19" fillId="34" borderId="10" xfId="114" applyFont="1" applyFill="1" applyBorder="1" applyNumberFormat="1">
      <alignment horizontal="center" vertical="center"/>
    </xf>
    <xf numFmtId="49" fontId="19" fillId="34" borderId="10" xfId="115" applyFont="1" applyFill="1" applyBorder="1" applyNumberFormat="1">
      <alignment horizontal="left" vertical="center" wrapText="1" indent="1"/>
    </xf>
    <xf numFmtId="4" fontId="20" fillId="33" borderId="10" xfId="116" applyFont="1" applyFill="1" applyBorder="1" applyNumberFormat="1">
      <alignment horizontal="right" vertical="center" wrapText="1"/>
    </xf>
    <xf numFmtId="4" fontId="20" fillId="33" borderId="10" xfId="117" applyFont="1" applyFill="1" applyBorder="1" applyNumberFormat="1">
      <alignment horizontal="right"/>
    </xf>
    <xf numFmtId="4" fontId="0" fillId="33" borderId="10" xfId="118" applyFont="1" applyFill="1" applyBorder="1" applyNumberFormat="1">
      <alignment horizontal="right" vertical="center" wrapText="1"/>
    </xf>
    <xf numFmtId="172" fontId="0" fillId="33" borderId="10" xfId="119" applyFont="1" applyFill="1" applyBorder="1" applyNumberFormat="1">
      <alignment horizontal="right" vertical="center" wrapText="1"/>
    </xf>
    <xf numFmtId="4" fontId="24" fillId="33" borderId="10" xfId="120" applyFont="1" applyFill="1" applyBorder="1" applyNumberFormat="1">
      <alignment horizontal="right" vertical="center"/>
    </xf>
    <xf numFmtId="172" fontId="20" fillId="33" borderId="10" xfId="121" applyFont="1" applyFill="1" applyBorder="1" applyNumberFormat="1">
      <alignment horizontal="right" vertical="center"/>
    </xf>
    <xf numFmtId="49" fontId="19" fillId="34" borderId="11" xfId="122" applyFont="1" applyFill="1" applyBorder="1" applyNumberFormat="1">
      <alignment horizontal="left" vertical="center" wrapText="1" indent="1"/>
    </xf>
    <xf numFmtId="4" fontId="20" fillId="33" borderId="11" xfId="123" applyFont="1" applyFill="1" applyBorder="1" applyNumberFormat="1">
      <alignment horizontal="right" vertical="center"/>
    </xf>
    <xf numFmtId="4" fontId="20" fillId="33" borderId="21" xfId="124" applyFont="1" applyFill="1" applyBorder="1" applyNumberFormat="1">
      <alignment horizontal="right" vertical="center"/>
    </xf>
    <xf numFmtId="2" fontId="22" fillId="33" borderId="10" xfId="125" applyFont="1" applyFill="1" applyBorder="1" applyNumberFormat="1">
      <alignment vertical="center" wrapText="1"/>
    </xf>
    <xf numFmtId="2" fontId="22" fillId="33" borderId="11" xfId="126" applyFont="1" applyFill="1" applyBorder="1" applyNumberFormat="1">
      <alignment vertical="center" wrapText="1"/>
    </xf>
    <xf numFmtId="4" fontId="25" fillId="33" borderId="10" xfId="127" applyFont="1" applyFill="1" applyBorder="1" applyNumberFormat="1">
      <alignment vertical="center" wrapText="1"/>
    </xf>
    <xf numFmtId="4" fontId="24" fillId="33" borderId="12" xfId="128" applyFont="1" applyFill="1" applyBorder="1" applyNumberFormat="1">
      <alignment horizontal="right" vertical="center"/>
    </xf>
    <xf numFmtId="2" fontId="24" fillId="33" borderId="10" xfId="129" applyFont="1" applyFill="1" applyBorder="1" applyNumberFormat="1">
      <alignment horizontal="right" vertical="center"/>
    </xf>
    <xf numFmtId="4" fontId="20" fillId="35" borderId="10" xfId="130" applyFont="1" applyFill="1" applyBorder="1" applyNumberFormat="1">
      <alignment horizontal="right" vertical="center"/>
    </xf>
    <xf numFmtId="2" fontId="20" fillId="33" borderId="10" xfId="131" applyFont="1" applyFill="1" applyBorder="1" applyNumberFormat="1">
      <alignment horizontal="right" vertical="center"/>
    </xf>
    <xf numFmtId="4" fontId="22" fillId="33" borderId="10" xfId="132" applyFont="1" applyFill="1" applyBorder="1" applyNumberFormat="1">
      <alignment vertical="center" wrapText="1"/>
    </xf>
    <xf numFmtId="49" fontId="22" fillId="34" borderId="10" xfId="133" applyFont="1" applyFill="1" applyBorder="1" applyNumberFormat="1">
      <alignment horizontal="left" vertical="center" wrapText="1"/>
    </xf>
    <xf numFmtId="9" fontId="19" fillId="33" borderId="10" xfId="134" applyFont="1" applyFill="1" applyBorder="1" applyNumberFormat="1">
      <alignment horizontal="right" vertical="center" wrapText="1"/>
    </xf>
    <xf numFmtId="2" fontId="23" fillId="32" borderId="10" xfId="135" applyFont="1" applyFill="1" applyBorder="1" applyNumberFormat="1">
      <alignment horizontal="center" vertical="center" wrapText="1"/>
    </xf>
    <xf numFmtId="2" fontId="19" fillId="33" borderId="10" xfId="136" applyFont="1" applyFill="1" applyBorder="1" applyNumberFormat="1">
      <alignment horizontal="right" vertical="center" wrapText="1"/>
    </xf>
    <xf numFmtId="2" fontId="19" fillId="33" borderId="10" xfId="137" applyFont="1" applyFill="1" applyBorder="1" applyNumberFormat="1">
      <alignment horizontal="center" vertical="center" wrapText="1"/>
    </xf>
    <xf numFmtId="2" fontId="19" fillId="32" borderId="10" xfId="138" applyFont="1" applyFill="1" applyBorder="1" applyNumberFormat="1">
      <alignment horizontal="center" vertical="center" wrapText="1"/>
    </xf>
    <xf numFmtId="49" fontId="20" fillId="0" borderId="10" xfId="139" applyFont="1" applyBorder="1" applyNumberFormat="1">
      <alignment horizontal="left" vertical="center" wrapText="1" indent="1"/>
    </xf>
    <xf numFmtId="49" fontId="20" fillId="0" borderId="10" xfId="140" applyFont="1" applyBorder="1" applyNumberFormat="1">
      <alignment horizontal="left" vertical="center" wrapText="1" indent="2"/>
    </xf>
    <xf numFmtId="4" fontId="22" fillId="33" borderId="11" xfId="141" applyFont="1" applyFill="1" applyBorder="1" applyNumberFormat="1">
      <alignment vertical="center" wrapText="1"/>
    </xf>
    <xf numFmtId="174" fontId="20" fillId="33" borderId="23" xfId="142" applyFont="1" applyFill="1" applyBorder="1" applyNumberFormat="1">
      <alignment horizontal="left" vertical="center" wrapText="1"/>
    </xf>
    <xf numFmtId="174" fontId="20" fillId="33" borderId="27" xfId="143" applyFont="1" applyFill="1" applyBorder="1" applyNumberFormat="1">
      <alignment horizontal="left" vertical="center" wrapText="1"/>
    </xf>
    <xf numFmtId="4" fontId="22" fillId="0" borderId="23" xfId="144" applyFont="1" applyBorder="1" applyNumberFormat="1">
      <alignment vertical="center" wrapText="1"/>
    </xf>
    <xf numFmtId="0" fontId="20" fillId="0" borderId="23" xfId="145" applyFont="1" applyBorder="1">
      <alignment horizontal="left" vertical="center" wrapText="1"/>
    </xf>
    <xf numFmtId="0" fontId="20" fillId="0" borderId="27" xfId="146" applyFont="1" applyBorder="1">
      <alignment horizontal="left" vertical="center" wrapText="1"/>
    </xf>
    <xf numFmtId="49" fontId="22" fillId="34" borderId="11" xfId="147" applyFont="1" applyFill="1" applyBorder="1" applyNumberFormat="1">
      <alignment vertical="center" wrapText="1"/>
    </xf>
    <xf numFmtId="4" fontId="22" fillId="33" borderId="28" xfId="148" applyFont="1" applyFill="1" applyBorder="1" applyNumberFormat="1">
      <alignment vertical="center" wrapText="1"/>
    </xf>
    <xf numFmtId="4" fontId="22" fillId="33" borderId="29" xfId="149" applyFont="1" applyFill="1" applyBorder="1" applyNumberFormat="1">
      <alignment vertical="center" wrapText="1"/>
    </xf>
    <xf numFmtId="174" fontId="20" fillId="33" borderId="11" xfId="150" applyFont="1" applyFill="1" applyBorder="1" applyNumberFormat="1">
      <alignment horizontal="left" vertical="center" wrapText="1"/>
    </xf>
    <xf numFmtId="174" fontId="20" fillId="33" borderId="28" xfId="151" applyFont="1" applyFill="1" applyBorder="1" applyNumberFormat="1">
      <alignment horizontal="left" vertical="center" wrapText="1"/>
    </xf>
    <xf numFmtId="174" fontId="20" fillId="33" borderId="30" xfId="152" applyFont="1" applyFill="1" applyBorder="1" applyNumberFormat="1">
      <alignment horizontal="left" vertical="center" wrapText="1"/>
    </xf>
    <xf numFmtId="174" fontId="20" fillId="33" borderId="16" xfId="153" applyFont="1" applyFill="1" applyBorder="1" applyNumberFormat="1">
      <alignment horizontal="left" vertical="center" wrapText="1"/>
    </xf>
    <xf numFmtId="174" fontId="20" fillId="33" borderId="31" xfId="154" applyFont="1" applyFill="1" applyBorder="1" applyNumberFormat="1">
      <alignment horizontal="left" vertical="center" wrapText="1"/>
    </xf>
    <xf numFmtId="4" fontId="22" fillId="33" borderId="21" xfId="155" applyFont="1" applyFill="1" applyBorder="1" applyNumberFormat="1">
      <alignment vertical="center" wrapText="1"/>
    </xf>
    <xf numFmtId="4" fontId="20" fillId="33" borderId="23" xfId="156" applyFont="1" applyFill="1" applyBorder="1" applyNumberFormat="1">
      <alignment horizontal="right" vertical="center"/>
    </xf>
    <xf numFmtId="4" fontId="20" fillId="33" borderId="12" xfId="157" applyFont="1" applyFill="1" applyBorder="1" applyNumberFormat="1">
      <alignment horizontal="right" vertical="center"/>
    </xf>
    <xf numFmtId="174" fontId="19" fillId="33" borderId="10" xfId="158" applyFont="1" applyFill="1" applyBorder="1" applyNumberFormat="1">
      <alignment horizontal="left" vertical="center"/>
    </xf>
    <xf numFmtId="10" fontId="19" fillId="33" borderId="10" xfId="159" applyFont="1" applyFill="1" applyBorder="1" applyNumberFormat="1">
      <alignment horizontal="right" vertical="center"/>
    </xf>
    <xf numFmtId="174" fontId="19" fillId="33" borderId="11" xfId="160" applyFont="1" applyFill="1" applyBorder="1" applyNumberFormat="1">
      <alignment horizontal="left" vertical="center"/>
    </xf>
    <xf numFmtId="174" fontId="19" fillId="33" borderId="11" xfId="161" applyFont="1" applyFill="1" applyBorder="1" applyNumberFormat="1">
      <alignment horizontal="left" vertical="center" wrapText="1"/>
    </xf>
    <xf numFmtId="0" fontId="19" fillId="34" borderId="12" xfId="162" applyFont="1" applyFill="1" applyBorder="1">
      <alignment horizontal="left" vertical="center" wrapText="1" indent="2"/>
    </xf>
    <xf numFmtId="4" fontId="19" fillId="33" borderId="29" xfId="163" applyFont="1" applyFill="1" applyBorder="1" applyNumberFormat="1">
      <alignment horizontal="right" vertical="center"/>
    </xf>
    <xf numFmtId="0" fontId="19" fillId="34" borderId="10" xfId="164" applyFont="1" applyFill="1" applyBorder="1">
      <alignment horizontal="left" vertical="center" wrapText="1" indent="3"/>
    </xf>
    <xf numFmtId="4" fontId="24" fillId="33" borderId="17" xfId="165" applyFont="1" applyFill="1" applyBorder="1" applyNumberFormat="1">
      <alignment horizontal="right" vertical="center"/>
    </xf>
    <xf numFmtId="172" fontId="20" fillId="33" borderId="17" xfId="166" applyFont="1" applyFill="1" applyBorder="1" applyNumberFormat="1">
      <alignment horizontal="right" vertical="center"/>
    </xf>
    <xf numFmtId="4" fontId="20" fillId="33" borderId="32" xfId="167" applyFont="1" applyFill="1" applyBorder="1" applyNumberFormat="1">
      <alignment horizontal="right" vertical="center"/>
    </xf>
    <xf numFmtId="2" fontId="20" fillId="33" borderId="32" xfId="168" applyFont="1" applyFill="1" applyBorder="1" applyNumberFormat="1">
      <alignment horizontal="right" vertical="center"/>
    </xf>
    <xf numFmtId="4" fontId="20" fillId="33" borderId="33" xfId="169" applyFont="1" applyFill="1" applyBorder="1" applyNumberFormat="1">
      <alignment horizontal="right" vertical="center"/>
    </xf>
    <xf numFmtId="4" fontId="20" fillId="33" borderId="27" xfId="170" applyFont="1" applyFill="1" applyBorder="1" applyNumberFormat="1">
      <alignment horizontal="right" vertical="center"/>
    </xf>
    <xf numFmtId="49" fontId="0" fillId="0" borderId="0" xfId="0" applyFont="1" applyNumberFormat="1">
      <alignment horizontal="center" vertical="center" wrapText="1"/>
    </xf>
    <xf numFmtId="49" fontId="26" fillId="0" borderId="0" xfId="0" applyFont="1" applyNumberFormat="1">
      <alignment wrapText="1"/>
    </xf>
    <xf numFmtId="49" fontId="27" fillId="0" borderId="0" xfId="0" applyFont="1" applyNumberFormat="1">
      <alignment wrapText="1"/>
    </xf>
    <xf numFmtId="0" fontId="28" fillId="0" borderId="0" xfId="0" applyFont="1">
      <alignment horizontal="center" vertical="center" wrapText="1"/>
    </xf>
    <xf numFmtId="0" fontId="0" fillId="0" borderId="0" xfId="0" applyFont="1">
      <alignment horizontal="center" vertical="center"/>
    </xf>
    <xf numFmtId="0" fontId="0" fillId="0" borderId="0" xfId="0" applyFont="1">
      <alignment horizontal="center" vertical="center" wrapText="1"/>
    </xf>
    <xf numFmtId="0" fontId="29" fillId="0" borderId="0" xfId="0" applyFont="1"/>
    <xf numFmtId="0" fontId="19" fillId="0" borderId="0" xfId="0" applyFont="1">
      <alignment horizontal="center" vertical="center"/>
    </xf>
    <xf numFmtId="0" fontId="0" fillId="36" borderId="0" xfId="0" applyFont="1" applyFill="1">
      <alignment horizontal="center" vertical="center"/>
    </xf>
    <xf numFmtId="0" fontId="0" fillId="37" borderId="0" xfId="0" applyFont="1" applyFill="1">
      <alignment horizontal="center" vertical="center"/>
    </xf>
    <xf numFmtId="0" fontId="19" fillId="0" borderId="0" xfId="0" applyFont="1">
      <alignment vertical="center"/>
    </xf>
    <xf numFmtId="0" fontId="19" fillId="0" borderId="0" xfId="0" applyFont="1">
      <alignment vertical="top"/>
    </xf>
    <xf numFmtId="0" fontId="19" fillId="0" borderId="0" xfId="0" applyFont="1"/>
    <xf numFmtId="0" fontId="30" fillId="0" borderId="34" xfId="0" applyFont="1" applyBorder="1">
      <alignment horizontal="left" vertical="center" indent="1"/>
    </xf>
    <xf numFmtId="0" fontId="29" fillId="0" borderId="34" xfId="0" applyFont="1" applyBorder="1"/>
    <xf numFmtId="0" fontId="29" fillId="0" borderId="0" xfId="0" applyFont="1">
      <alignment horizontal="left" vertical="center" indent="1"/>
    </xf>
    <xf numFmtId="0" fontId="31" fillId="4" borderId="10" xfId="0" applyFont="1" applyFill="1" applyBorder="1">
      <alignment horizontal="center" vertical="center"/>
    </xf>
    <xf numFmtId="0" fontId="29" fillId="4" borderId="10" xfId="0" applyFont="1" applyFill="1" applyBorder="1">
      <alignment vertical="center"/>
    </xf>
    <xf numFmtId="0" fontId="29" fillId="4" borderId="10" xfId="0" applyFont="1" applyFill="1" applyBorder="1">
      <alignment vertical="center" wrapText="1"/>
    </xf>
    <xf numFmtId="0" fontId="29" fillId="4" borderId="10" xfId="0" applyFont="1" applyFill="1" applyBorder="1" quotePrefix="1">
      <alignment vertical="center" wrapText="1"/>
    </xf>
    <xf numFmtId="49" fontId="19" fillId="0" borderId="0" xfId="0" applyFont="1" applyNumberFormat="1">
      <alignment vertical="top" wrapText="1"/>
    </xf>
    <xf numFmtId="0" fontId="0" fillId="25" borderId="0" xfId="0" applyFont="1" applyFill="1">
      <alignment horizontal="center" vertical="center"/>
    </xf>
    <xf numFmtId="0" fontId="0" fillId="0" borderId="0" xfId="0" applyFont="1">
      <alignment vertical="center"/>
    </xf>
    <xf numFmtId="0" fontId="0" fillId="37" borderId="0" xfId="0" applyFont="1" applyFill="1">
      <alignment vertical="center"/>
    </xf>
    <xf numFmtId="0" fontId="19" fillId="0" borderId="23" xfId="0" applyFont="1" applyBorder="1">
      <alignment horizontal="right" vertical="center" wrapText="1" indent="1"/>
    </xf>
    <xf numFmtId="0" fontId="19" fillId="0" borderId="35" xfId="0" applyFont="1" applyBorder="1">
      <alignment horizontal="right" vertical="center" wrapText="1" indent="1"/>
    </xf>
    <xf numFmtId="0" fontId="19" fillId="0" borderId="12" xfId="0" applyFont="1" applyBorder="1">
      <alignment horizontal="right" vertical="center" wrapText="1" indent="1"/>
    </xf>
    <xf numFmtId="0" fontId="19" fillId="38" borderId="10" xfId="0" applyFont="1" applyFill="1" applyBorder="1">
      <alignment horizontal="left" vertical="center" wrapText="1" indent="1"/>
    </xf>
    <xf numFmtId="0" fontId="32" fillId="0" borderId="0" xfId="0" applyFont="1">
      <alignment vertical="center"/>
    </xf>
    <xf numFmtId="0" fontId="33" fillId="0" borderId="0" xfId="0" applyFont="1">
      <alignment vertical="center"/>
    </xf>
    <xf numFmtId="0" fontId="19" fillId="34" borderId="10" xfId="0" applyFont="1" applyFill="1" applyBorder="1">
      <alignment horizontal="left" vertical="center" wrapText="1" indent="1"/>
      <protection locked="0"/>
    </xf>
    <xf numFmtId="1" fontId="19" fillId="38" borderId="10" xfId="0" applyFont="1" applyFill="1" applyBorder="1" applyNumberFormat="1">
      <alignment horizontal="left" vertical="center" wrapText="1" indent="1"/>
    </xf>
    <xf numFmtId="0" fontId="34" fillId="0" borderId="0" xfId="0" applyFont="1">
      <alignment vertical="center" wrapText="1"/>
    </xf>
    <xf numFmtId="1" fontId="19" fillId="34" borderId="10" xfId="0" applyFont="1" applyFill="1" applyBorder="1" applyNumberFormat="1">
      <alignment horizontal="left" vertical="center" wrapText="1" indent="1"/>
      <protection locked="0"/>
    </xf>
    <xf numFmtId="0" fontId="19" fillId="38" borderId="10" xfId="0" applyFont="1" applyFill="1" applyBorder="1">
      <alignment horizontal="left" vertical="center" wrapText="1" indent="1"/>
      <protection locked="0"/>
    </xf>
    <xf numFmtId="0" fontId="34" fillId="0" borderId="0" xfId="0" applyFont="1">
      <alignment vertical="center"/>
    </xf>
    <xf numFmtId="0" fontId="35" fillId="0" borderId="0" xfId="0" applyFont="1">
      <alignment vertical="center"/>
    </xf>
    <xf numFmtId="0" fontId="36" fillId="0" borderId="0" xfId="0" applyFont="1">
      <alignment vertical="center"/>
    </xf>
    <xf numFmtId="0" fontId="37" fillId="0" borderId="0" xfId="0" applyFont="1">
      <alignment vertical="center"/>
    </xf>
    <xf numFmtId="0" fontId="33" fillId="0" borderId="0" xfId="0" applyFont="1">
      <alignment horizontal="center" vertical="center"/>
    </xf>
    <xf numFmtId="0" fontId="36" fillId="0" borderId="0" xfId="0" applyFont="1">
      <alignment horizontal="left" vertical="center" wrapText="1"/>
    </xf>
    <xf numFmtId="0" fontId="19" fillId="0" borderId="17" xfId="0" applyFont="1" applyBorder="1">
      <alignment horizontal="right" vertical="center" wrapText="1" indent="1"/>
    </xf>
    <xf numFmtId="0" fontId="19" fillId="38" borderId="17" xfId="0" applyFont="1" applyFill="1" applyBorder="1">
      <alignment horizontal="left" vertical="center" wrapText="1" indent="1"/>
    </xf>
    <xf numFmtId="0" fontId="38" fillId="0" borderId="0" xfId="0" applyFont="1">
      <alignment vertical="center" wrapText="1"/>
    </xf>
    <xf numFmtId="0" fontId="19" fillId="39" borderId="17" xfId="0" applyFont="1" applyFill="1" applyBorder="1">
      <alignment horizontal="left" vertical="center" wrapText="1" indent="1"/>
    </xf>
    <xf numFmtId="0" fontId="36" fillId="0" borderId="0" xfId="0" applyFont="1">
      <alignment vertical="center" wrapText="1"/>
    </xf>
    <xf numFmtId="49" fontId="19" fillId="38" borderId="17" xfId="0" applyFont="1" applyFill="1" applyBorder="1" applyNumberFormat="1">
      <alignment horizontal="left" vertical="center" wrapText="1" indent="1"/>
    </xf>
    <xf numFmtId="49" fontId="20" fillId="38" borderId="17" xfId="0" applyFont="1" applyFill="1" applyBorder="1" applyNumberFormat="1">
      <alignment horizontal="left" vertical="center" wrapText="1" indent="1"/>
    </xf>
    <xf numFmtId="0" fontId="38" fillId="0" borderId="0" xfId="0" applyFont="1">
      <alignment vertical="center"/>
    </xf>
    <xf numFmtId="49" fontId="20" fillId="34" borderId="17" xfId="0" applyFont="1" applyFill="1" applyBorder="1" applyNumberFormat="1">
      <alignment horizontal="left" vertical="center" wrapText="1" indent="1"/>
      <protection locked="0"/>
    </xf>
    <xf numFmtId="49" fontId="21" fillId="40" borderId="17" xfId="0" applyFont="1" applyFill="1" applyBorder="1" applyNumberFormat="1">
      <alignment horizontal="left" vertical="center" wrapText="1" indent="1"/>
    </xf>
    <xf numFmtId="0" fontId="36" fillId="40" borderId="0" xfId="0" applyFont="1" applyFill="1">
      <alignment vertical="center"/>
    </xf>
    <xf numFmtId="0" fontId="19" fillId="40" borderId="0" xfId="0" applyFont="1" applyFill="1">
      <alignment vertical="top"/>
    </xf>
    <xf numFmtId="49" fontId="39" fillId="41" borderId="36" xfId="0" applyFont="1" applyFill="1" applyBorder="1" applyNumberFormat="1">
      <alignment horizontal="left" vertical="center" wrapText="1"/>
    </xf>
    <xf numFmtId="49" fontId="39" fillId="41" borderId="37" xfId="0" applyFont="1" applyFill="1" applyBorder="1" applyNumberFormat="1">
      <alignment horizontal="left" vertical="center" wrapText="1"/>
    </xf>
    <xf numFmtId="49" fontId="39" fillId="41" borderId="38" xfId="0" applyFont="1" applyFill="1" applyBorder="1" applyNumberFormat="1">
      <alignment horizontal="left" vertical="center" wrapText="1"/>
    </xf>
    <xf numFmtId="49" fontId="20" fillId="0" borderId="17" xfId="0" applyFont="1" applyBorder="1" applyNumberFormat="1">
      <alignment horizontal="left" vertical="center" wrapText="1" indent="1"/>
    </xf>
    <xf numFmtId="49" fontId="19" fillId="0" borderId="17" xfId="0" applyFont="1" applyBorder="1" applyNumberFormat="1">
      <alignment horizontal="left" vertical="center" wrapText="1" indent="1"/>
    </xf>
    <xf numFmtId="14" fontId="20" fillId="0" borderId="17" xfId="0" applyFont="1" applyBorder="1" applyNumberFormat="1">
      <alignment horizontal="left" vertical="center" wrapText="1" indent="1"/>
    </xf>
    <xf numFmtId="49" fontId="21" fillId="0" borderId="17" xfId="0" applyFont="1" applyBorder="1" applyNumberFormat="1">
      <alignment horizontal="left" vertical="center" wrapText="1" indent="1"/>
    </xf>
    <xf numFmtId="0" fontId="40" fillId="0" borderId="0" xfId="0" applyFont="1">
      <alignment vertical="center"/>
    </xf>
    <xf numFmtId="49" fontId="39" fillId="0" borderId="36" xfId="0" applyFont="1" applyBorder="1" applyNumberFormat="1">
      <alignment horizontal="left" vertical="center" wrapText="1"/>
    </xf>
    <xf numFmtId="49" fontId="39" fillId="0" borderId="37" xfId="0" applyFont="1" applyBorder="1" applyNumberFormat="1">
      <alignment horizontal="left" vertical="center" wrapText="1"/>
    </xf>
    <xf numFmtId="49" fontId="39" fillId="0" borderId="38" xfId="0" applyFont="1" applyBorder="1" applyNumberFormat="1">
      <alignment horizontal="left" vertical="center" wrapText="1"/>
    </xf>
    <xf numFmtId="49" fontId="19" fillId="33" borderId="17" xfId="0" applyFont="1" applyFill="1" applyBorder="1" applyNumberFormat="1">
      <alignment horizontal="left" vertical="center" wrapText="1" indent="1"/>
      <protection locked="0"/>
    </xf>
    <xf numFmtId="49" fontId="19" fillId="33" borderId="17" xfId="0" applyFont="1" applyFill="1" applyBorder="1" applyNumberFormat="1">
      <alignment horizontal="left" vertical="center" wrapText="1" indent="1"/>
      <protection locked="0"/>
    </xf>
    <xf numFmtId="171" fontId="20" fillId="33" borderId="17" xfId="0" applyFont="1" applyFill="1" applyBorder="1" applyNumberFormat="1">
      <alignment horizontal="left" vertical="center" wrapText="1" indent="1"/>
      <protection locked="0"/>
    </xf>
    <xf numFmtId="171" fontId="19" fillId="33" borderId="17" xfId="0" applyFont="1" applyFill="1" applyBorder="1" applyNumberFormat="1">
      <alignment horizontal="left" vertical="center" wrapText="1" indent="1"/>
      <protection locked="0"/>
    </xf>
    <xf numFmtId="0" fontId="19" fillId="0" borderId="0" xfId="0" applyFont="1">
      <alignment horizontal="center" vertical="center" wrapText="1"/>
    </xf>
    <xf numFmtId="49" fontId="39" fillId="42" borderId="36" xfId="0" applyFont="1" applyFill="1" applyBorder="1" applyNumberFormat="1">
      <alignment horizontal="left" vertical="center" wrapText="1"/>
    </xf>
    <xf numFmtId="49" fontId="39" fillId="42" borderId="37" xfId="0" applyFont="1" applyFill="1" applyBorder="1" applyNumberFormat="1">
      <alignment horizontal="left" vertical="center" wrapText="1"/>
    </xf>
    <xf numFmtId="49" fontId="39" fillId="42" borderId="38" xfId="0" applyFont="1" applyFill="1" applyBorder="1" applyNumberFormat="1">
      <alignment horizontal="left" vertical="center" wrapText="1" indent="1"/>
    </xf>
    <xf numFmtId="49" fontId="19" fillId="33" borderId="17" xfId="0" applyFont="1" applyFill="1" applyBorder="1" applyNumberFormat="1">
      <alignment horizontal="left" vertical="center" wrapText="1" indent="1"/>
    </xf>
    <xf numFmtId="49" fontId="19" fillId="34" borderId="17" xfId="0" applyFont="1" applyFill="1" applyBorder="1" applyNumberFormat="1">
      <alignment horizontal="left" vertical="center" wrapText="1" indent="1"/>
    </xf>
    <xf numFmtId="171" fontId="20" fillId="34" borderId="17" xfId="0" applyFont="1" applyFill="1" applyBorder="1" applyNumberFormat="1">
      <alignment horizontal="left" vertical="center" wrapText="1" indent="1"/>
    </xf>
    <xf numFmtId="49" fontId="19" fillId="34" borderId="17" xfId="0" applyFont="1" applyFill="1" applyBorder="1" applyNumberFormat="1">
      <alignment horizontal="left" vertical="center" wrapText="1" indent="1"/>
      <protection locked="0"/>
    </xf>
    <xf numFmtId="171" fontId="20" fillId="34" borderId="17" xfId="0" applyFont="1" applyFill="1" applyBorder="1" applyNumberFormat="1">
      <alignment horizontal="left" vertical="center" wrapText="1" indent="1"/>
      <protection locked="0"/>
    </xf>
    <xf numFmtId="171" fontId="20" fillId="34" borderId="17" xfId="0" applyFont="1" applyFill="1" applyBorder="1" applyNumberFormat="1">
      <alignment horizontal="left" vertical="center" wrapText="1" indent="2"/>
    </xf>
    <xf numFmtId="49" fontId="19" fillId="34" borderId="17" xfId="0" applyFont="1" applyFill="1" applyBorder="1" applyNumberFormat="1">
      <alignment horizontal="left" vertical="center" wrapText="1" indent="1"/>
      <protection locked="0"/>
    </xf>
    <xf numFmtId="0" fontId="19" fillId="0" borderId="0" xfId="0" applyFont="1">
      <alignment horizontal="left" vertical="center" wrapText="1"/>
    </xf>
    <xf numFmtId="0" fontId="23" fillId="0" borderId="0" xfId="0" applyFont="1">
      <alignment vertical="center" wrapText="1"/>
    </xf>
    <xf numFmtId="0" fontId="41" fillId="0" borderId="0" xfId="0" applyFont="1">
      <alignment vertical="center"/>
    </xf>
    <xf numFmtId="0" fontId="42" fillId="0" borderId="0" xfId="0" applyFont="1">
      <alignment vertical="center"/>
    </xf>
    <xf numFmtId="0" fontId="20" fillId="34" borderId="25" xfId="0" applyFont="1" applyFill="1" applyBorder="1">
      <alignment horizontal="left" vertical="center" wrapText="1" indent="1"/>
      <protection locked="0"/>
    </xf>
    <xf numFmtId="49" fontId="19" fillId="0" borderId="24" xfId="0" applyFont="1" applyBorder="1" applyNumberFormat="1">
      <alignment horizontal="right" vertical="center" wrapText="1" indent="1"/>
    </xf>
    <xf numFmtId="49" fontId="19" fillId="0" borderId="25" xfId="0" applyFont="1" applyBorder="1" applyNumberFormat="1">
      <alignment horizontal="right" vertical="center" wrapText="1" indent="1"/>
    </xf>
    <xf numFmtId="0" fontId="23" fillId="0" borderId="25" xfId="0" applyFont="1" applyBorder="1">
      <alignment horizontal="right" vertical="center" wrapText="1" indent="1"/>
    </xf>
    <xf numFmtId="0" fontId="24" fillId="0" borderId="17" xfId="0" applyFont="1" applyBorder="1">
      <alignment horizontal="left" vertical="center" wrapText="1" indent="1"/>
    </xf>
    <xf numFmtId="49" fontId="33" fillId="0" borderId="0" xfId="0" applyFont="1" applyNumberFormat="1">
      <alignment vertical="center"/>
    </xf>
    <xf numFmtId="0" fontId="23" fillId="0" borderId="17" xfId="0" applyFont="1" applyBorder="1">
      <alignment horizontal="right" vertical="center" wrapText="1" indent="1"/>
    </xf>
    <xf numFmtId="0" fontId="24" fillId="38" borderId="17" xfId="0" applyFont="1" applyFill="1" applyBorder="1">
      <alignment horizontal="left" vertical="center" wrapText="1" indent="1"/>
    </xf>
    <xf numFmtId="49" fontId="33" fillId="0" borderId="0" xfId="0" applyFont="1" applyNumberFormat="1">
      <alignment vertical="center" wrapText="1"/>
    </xf>
    <xf numFmtId="49" fontId="19" fillId="0" borderId="0" xfId="0" applyFont="1" applyNumberFormat="1">
      <alignment horizontal="center" vertical="center"/>
    </xf>
    <xf numFmtId="49" fontId="19" fillId="0" borderId="17" xfId="0" applyFont="1" applyBorder="1" applyNumberFormat="1">
      <alignment horizontal="right" vertical="center" wrapText="1" indent="1"/>
    </xf>
    <xf numFmtId="49" fontId="20" fillId="38" borderId="17" xfId="0" applyFont="1" applyFill="1" applyBorder="1" applyNumberFormat="1">
      <alignment horizontal="left" vertical="center" wrapText="1" indent="1"/>
    </xf>
    <xf numFmtId="0" fontId="19" fillId="34" borderId="17" xfId="0" applyFont="1" applyFill="1" applyBorder="1">
      <alignment horizontal="left" vertical="center" wrapText="1" indent="1"/>
      <protection locked="0"/>
    </xf>
    <xf numFmtId="0" fontId="20" fillId="34" borderId="17" xfId="0" applyFont="1" applyFill="1" applyBorder="1">
      <alignment horizontal="left" vertical="center" wrapText="1" indent="1"/>
      <protection locked="0"/>
    </xf>
    <xf numFmtId="49" fontId="20" fillId="43" borderId="17" xfId="0" applyFont="1" applyFill="1" applyBorder="1" applyNumberFormat="1">
      <alignment horizontal="left" vertical="center" wrapText="1" indent="1"/>
    </xf>
    <xf numFmtId="0" fontId="19" fillId="33" borderId="17" xfId="0" applyFont="1" applyFill="1" applyBorder="1">
      <alignment horizontal="left" vertical="center" wrapText="1" indent="1"/>
      <protection locked="0"/>
    </xf>
    <xf numFmtId="171" fontId="20" fillId="33" borderId="17" xfId="0" applyFont="1" applyFill="1" applyBorder="1" applyNumberFormat="1">
      <alignment horizontal="left" vertical="center" wrapText="1" indent="1"/>
      <protection locked="0"/>
    </xf>
    <xf numFmtId="49" fontId="19" fillId="34" borderId="17" xfId="0" applyFont="1" applyFill="1" applyBorder="1" applyNumberFormat="1">
      <alignment horizontal="right" vertical="center" wrapText="1" indent="1"/>
      <protection locked="0"/>
    </xf>
    <xf numFmtId="49" fontId="39" fillId="42" borderId="36" xfId="0" applyFont="1" applyFill="1" applyBorder="1" applyNumberFormat="1">
      <alignment horizontal="right" vertical="center" wrapText="1" indent="1"/>
    </xf>
    <xf numFmtId="49" fontId="39" fillId="42" borderId="38" xfId="0" applyFont="1" applyFill="1" applyBorder="1" applyNumberFormat="1">
      <alignment horizontal="left" vertical="center" wrapText="1"/>
    </xf>
    <xf numFmtId="0" fontId="20" fillId="38" borderId="17" xfId="0" applyFont="1" applyFill="1" applyBorder="1">
      <alignment horizontal="left" vertical="center" wrapText="1" indent="1"/>
    </xf>
    <xf numFmtId="0" fontId="19" fillId="38" borderId="17" xfId="0" applyFont="1" applyFill="1" applyBorder="1">
      <alignment horizontal="left" vertical="center" indent="1"/>
    </xf>
    <xf numFmtId="49" fontId="20" fillId="33" borderId="17" xfId="0" applyFont="1" applyFill="1" applyBorder="1" applyNumberFormat="1">
      <alignment horizontal="left" vertical="center" wrapText="1" indent="1"/>
      <protection locked="0"/>
    </xf>
    <xf numFmtId="0" fontId="20" fillId="0" borderId="0" xfId="0" applyFont="1">
      <alignment horizontal="center" vertical="center"/>
    </xf>
    <xf numFmtId="0" fontId="19" fillId="0" borderId="0" xfId="0" applyFont="1">
      <alignment horizontal="left" vertical="center"/>
    </xf>
    <xf numFmtId="0" fontId="20" fillId="0" borderId="0" xfId="0" applyFont="1">
      <alignment horizontal="center" vertical="center" wrapText="1"/>
    </xf>
    <xf numFmtId="0" fontId="0" fillId="0" borderId="0" xfId="0" applyFont="1">
      <alignment horizontal="left" vertical="center" wrapText="1"/>
    </xf>
    <xf numFmtId="0" fontId="0" fillId="37" borderId="0" xfId="0" applyFont="1" applyFill="1">
      <alignment horizontal="left" vertical="center" wrapText="1"/>
    </xf>
    <xf numFmtId="0" fontId="19" fillId="37" borderId="0" xfId="0" applyFont="1" applyFill="1">
      <alignment horizontal="left" vertical="center" wrapText="1"/>
    </xf>
    <xf numFmtId="0" fontId="20" fillId="37" borderId="0" xfId="0" applyFont="1" applyFill="1">
      <alignment horizontal="center" vertical="center" wrapText="1"/>
    </xf>
    <xf numFmtId="0" fontId="0" fillId="37" borderId="0" xfId="0" applyFont="1" applyFill="1">
      <alignment horizontal="center" vertical="center" wrapText="1"/>
    </xf>
    <xf numFmtId="0" fontId="20" fillId="0" borderId="0" xfId="0" applyFont="1">
      <alignment vertical="center" wrapText="1"/>
    </xf>
    <xf numFmtId="0" fontId="20" fillId="0" borderId="0" xfId="0" applyFont="1">
      <alignment vertical="center"/>
    </xf>
    <xf numFmtId="0" fontId="19" fillId="0" borderId="0" xfId="0" applyFont="1">
      <alignment vertical="center" wrapText="1"/>
    </xf>
    <xf numFmtId="0" fontId="29" fillId="0" borderId="0" xfId="0" applyFont="1">
      <alignment horizontal="right" vertical="center" wrapText="1"/>
    </xf>
    <xf numFmtId="49" fontId="19" fillId="0" borderId="0" xfId="0" applyFont="1" applyNumberFormat="1">
      <alignment vertical="center" wrapText="1"/>
    </xf>
    <xf numFmtId="49" fontId="23" fillId="0" borderId="0" xfId="0" applyFont="1" applyNumberFormat="1">
      <alignment vertical="center" wrapText="1"/>
    </xf>
    <xf numFmtId="49" fontId="19" fillId="0" borderId="0" xfId="0" applyFont="1" applyNumberFormat="1">
      <alignment horizontal="left" vertical="center" wrapText="1"/>
    </xf>
    <xf numFmtId="0" fontId="19" fillId="44" borderId="39" xfId="0" applyFont="1" applyFill="1" applyBorder="1">
      <alignment horizontal="center" vertical="center" wrapText="1"/>
    </xf>
    <xf numFmtId="0" fontId="19" fillId="44" borderId="40" xfId="0" applyFont="1" applyFill="1" applyBorder="1">
      <alignment horizontal="center" vertical="center" wrapText="1"/>
    </xf>
    <xf numFmtId="0" fontId="19" fillId="44" borderId="41" xfId="0" applyFont="1" applyFill="1" applyBorder="1">
      <alignment horizontal="center" vertical="center" wrapText="1"/>
    </xf>
    <xf numFmtId="0" fontId="19" fillId="44" borderId="42" xfId="0" applyFont="1" applyFill="1" applyBorder="1">
      <alignment horizontal="center" vertical="center" wrapText="1"/>
    </xf>
    <xf numFmtId="0" fontId="19" fillId="44" borderId="0" xfId="0" applyFont="1" applyFill="1">
      <alignment horizontal="center" vertical="center" wrapText="1"/>
    </xf>
    <xf numFmtId="0" fontId="43" fillId="0" borderId="0" xfId="0" applyFont="1">
      <alignment vertical="center" wrapText="1"/>
    </xf>
    <xf numFmtId="0" fontId="42" fillId="45" borderId="35" xfId="0" applyFont="1" applyFill="1" applyBorder="1">
      <alignment horizontal="left" vertical="center"/>
    </xf>
    <xf numFmtId="49" fontId="42" fillId="45" borderId="35" xfId="0" applyFont="1" applyFill="1" applyBorder="1" applyNumberFormat="1">
      <alignment horizontal="left" vertical="center" wrapText="1"/>
    </xf>
    <xf numFmtId="0" fontId="19" fillId="0" borderId="43" xfId="0" applyFont="1" applyBorder="1">
      <alignment horizontal="center" vertical="center" wrapText="1"/>
    </xf>
    <xf numFmtId="49" fontId="19" fillId="38" borderId="32" xfId="0" applyFont="1" applyFill="1" applyBorder="1" applyNumberFormat="1">
      <alignment horizontal="left" vertical="center" wrapText="1" indent="1"/>
    </xf>
    <xf numFmtId="49" fontId="19" fillId="33" borderId="18" xfId="0" applyFont="1" applyFill="1" applyBorder="1" applyNumberFormat="1">
      <alignment horizontal="left" vertical="center" wrapText="1" indent="1"/>
      <protection locked="0"/>
    </xf>
    <xf numFmtId="49" fontId="39" fillId="42" borderId="44" xfId="0" applyFont="1" applyFill="1" applyBorder="1" applyNumberFormat="1">
      <alignment horizontal="left" vertical="center" wrapText="1" indent="1"/>
    </xf>
    <xf numFmtId="49" fontId="39" fillId="42" borderId="45" xfId="0" applyFont="1" applyFill="1" applyBorder="1" applyNumberFormat="1">
      <alignment horizontal="left" vertical="center" indent="1"/>
    </xf>
    <xf numFmtId="49" fontId="39" fillId="42" borderId="45" xfId="0" applyFont="1" applyFill="1" applyBorder="1" applyNumberFormat="1">
      <alignment horizontal="left" vertical="center" wrapText="1" indent="1"/>
    </xf>
    <xf numFmtId="49" fontId="39" fillId="42" borderId="46" xfId="0" applyFont="1" applyFill="1" applyBorder="1" applyNumberFormat="1">
      <alignment horizontal="left" vertical="center" wrapText="1" indent="1"/>
    </xf>
    <xf numFmtId="49" fontId="19" fillId="0" borderId="0" xfId="0" applyFont="1" applyNumberFormat="1">
      <alignment vertical="center"/>
    </xf>
    <xf numFmtId="0" fontId="0" fillId="0" borderId="0" xfId="0" applyFont="1">
      <alignment vertical="center" wrapText="1"/>
    </xf>
    <xf numFmtId="0" fontId="0" fillId="4" borderId="0" xfId="0" applyFont="1" applyFill="1">
      <alignment horizontal="left" vertical="center"/>
    </xf>
    <xf numFmtId="0" fontId="0" fillId="4" borderId="0" xfId="0" applyFont="1" applyFill="1">
      <alignment horizontal="left" vertical="center" wrapText="1"/>
    </xf>
    <xf numFmtId="0" fontId="0" fillId="37" borderId="0" xfId="0" applyFont="1" applyFill="1">
      <alignment vertical="center" wrapText="1"/>
    </xf>
    <xf numFmtId="0" fontId="0" fillId="4" borderId="0" xfId="0" applyFont="1" applyFill="1">
      <alignment horizontal="center" vertical="center"/>
    </xf>
    <xf numFmtId="49" fontId="23" fillId="0" borderId="0" xfId="0" applyFont="1" applyNumberFormat="1">
      <alignment horizontal="center" vertical="center" wrapText="1" shrinkToFit="1"/>
    </xf>
    <xf numFmtId="0" fontId="19" fillId="35" borderId="10" xfId="0" applyFont="1" applyFill="1" applyBorder="1">
      <alignment horizontal="center" vertical="center" wrapText="1"/>
    </xf>
    <xf numFmtId="0" fontId="19" fillId="35" borderId="12" xfId="0" applyFont="1" applyFill="1" applyBorder="1">
      <alignment horizontal="center" vertical="center" wrapText="1"/>
    </xf>
    <xf numFmtId="0" fontId="19" fillId="35" borderId="0" xfId="0" applyFont="1" applyFill="1">
      <alignment horizontal="center" vertical="center" wrapText="1"/>
    </xf>
    <xf numFmtId="0" fontId="19" fillId="35" borderId="35" xfId="0" applyFont="1" applyFill="1" applyBorder="1">
      <alignment horizontal="center" vertical="center" wrapText="1"/>
    </xf>
    <xf numFmtId="0" fontId="20" fillId="0" borderId="0" xfId="0" applyFont="1"/>
    <xf numFmtId="0" fontId="42" fillId="45" borderId="47" xfId="0" applyFont="1" applyFill="1" applyBorder="1">
      <alignment horizontal="left" vertical="center"/>
    </xf>
    <xf numFmtId="0" fontId="19" fillId="0" borderId="10" xfId="0" applyFont="1" applyBorder="1">
      <alignment horizontal="center" vertical="center"/>
    </xf>
    <xf numFmtId="0" fontId="19" fillId="38" borderId="10" xfId="0" applyFont="1" applyFill="1" applyBorder="1">
      <alignment horizontal="left" vertical="center" wrapText="1"/>
    </xf>
    <xf numFmtId="49" fontId="19" fillId="38" borderId="10" xfId="0" applyFont="1" applyFill="1" applyBorder="1" applyNumberFormat="1">
      <alignment horizontal="left" vertical="center" wrapText="1" indent="1"/>
    </xf>
    <xf numFmtId="49" fontId="19" fillId="33" borderId="10" xfId="0" applyFont="1" applyFill="1" applyBorder="1" applyNumberFormat="1">
      <alignment horizontal="left" vertical="center" wrapText="1"/>
      <protection locked="0"/>
    </xf>
    <xf numFmtId="49" fontId="39" fillId="42" borderId="45" xfId="0" applyFont="1" applyFill="1" applyBorder="1" applyNumberFormat="1">
      <alignment vertical="center" wrapText="1"/>
    </xf>
    <xf numFmtId="49" fontId="39" fillId="42" borderId="48" xfId="0" applyFont="1" applyFill="1" applyBorder="1" applyNumberFormat="1">
      <alignment horizontal="left" vertical="center" wrapText="1" indent="1"/>
    </xf>
    <xf numFmtId="0" fontId="0" fillId="4" borderId="0" xfId="0" applyFont="1" applyFill="1">
      <alignment horizontal="center" vertical="center" wrapText="1"/>
    </xf>
    <xf numFmtId="49" fontId="19" fillId="0" borderId="10" xfId="0" applyFont="1" applyBorder="1" applyNumberFormat="1">
      <alignment horizontal="center" vertical="center" wrapText="1"/>
    </xf>
    <xf numFmtId="0" fontId="20" fillId="0" borderId="17" xfId="0" applyFont="1" applyBorder="1">
      <alignment horizontal="center" vertical="center" wrapText="1"/>
    </xf>
    <xf numFmtId="0" fontId="20" fillId="11" borderId="17" xfId="0" applyFont="1" applyFill="1" applyBorder="1">
      <alignment horizontal="center" vertical="center" wrapText="1"/>
    </xf>
    <xf numFmtId="0" fontId="20" fillId="0" borderId="22" xfId="0" applyFont="1" applyBorder="1">
      <alignment horizontal="center" vertical="center" wrapText="1"/>
    </xf>
    <xf numFmtId="0" fontId="20" fillId="11" borderId="15" xfId="0" applyFont="1" applyFill="1" applyBorder="1">
      <alignment horizontal="center" vertical="center" wrapText="1"/>
    </xf>
    <xf numFmtId="49" fontId="19" fillId="0" borderId="0" xfId="0" applyFont="1" applyNumberFormat="1">
      <alignment horizontal="center" vertical="center" wrapText="1"/>
    </xf>
    <xf numFmtId="49" fontId="19" fillId="0" borderId="49" xfId="0" applyFont="1" applyBorder="1" applyNumberFormat="1">
      <alignment horizontal="center" vertical="center" wrapText="1"/>
    </xf>
    <xf numFmtId="0" fontId="42" fillId="45" borderId="0" xfId="0" applyFont="1" applyFill="1">
      <alignment horizontal="left" vertical="center"/>
    </xf>
    <xf numFmtId="0" fontId="42" fillId="45" borderId="49" xfId="0" applyFont="1" applyFill="1" applyBorder="1">
      <alignment horizontal="left" vertical="center"/>
    </xf>
    <xf numFmtId="49" fontId="42" fillId="45" borderId="49" xfId="0" applyFont="1" applyFill="1" applyBorder="1" applyNumberFormat="1">
      <alignment horizontal="left" vertical="center" wrapText="1"/>
    </xf>
    <xf numFmtId="49" fontId="23" fillId="0" borderId="17" xfId="0" applyFont="1" applyBorder="1" applyNumberFormat="1">
      <alignment horizontal="center" vertical="center"/>
    </xf>
    <xf numFmtId="49" fontId="23" fillId="0" borderId="15" xfId="0" applyFont="1" applyBorder="1" applyNumberFormat="1">
      <alignment horizontal="left" vertical="center"/>
    </xf>
    <xf numFmtId="49" fontId="19" fillId="0" borderId="17" xfId="0" applyFont="1" applyBorder="1" applyNumberFormat="1">
      <alignment horizontal="center" vertical="center"/>
    </xf>
    <xf numFmtId="4" fontId="19" fillId="33" borderId="17" xfId="0" applyFont="1" applyFill="1" applyBorder="1" applyNumberFormat="1">
      <alignment horizontal="right" vertical="center"/>
      <protection locked="0"/>
    </xf>
    <xf numFmtId="49" fontId="19" fillId="0" borderId="15" xfId="0" applyFont="1" applyBorder="1" applyNumberFormat="1">
      <alignment horizontal="left" vertical="center" wrapText="1" indent="1"/>
    </xf>
    <xf numFmtId="49" fontId="23" fillId="0" borderId="17" xfId="0" applyFont="1" applyBorder="1" applyNumberFormat="1">
      <alignment horizontal="center" vertical="center" wrapText="1"/>
    </xf>
    <xf numFmtId="49" fontId="23" fillId="0" borderId="15" xfId="0" applyFont="1" applyBorder="1" applyNumberFormat="1">
      <alignment vertical="center"/>
    </xf>
    <xf numFmtId="49" fontId="19" fillId="0" borderId="22" xfId="0" applyFont="1" applyBorder="1" applyNumberFormat="1">
      <alignment horizontal="center" vertical="center" wrapText="1"/>
    </xf>
    <xf numFmtId="49" fontId="19" fillId="0" borderId="50" xfId="0" applyFont="1" applyBorder="1" applyNumberFormat="1">
      <alignment horizontal="left" vertical="center" indent="1"/>
    </xf>
    <xf numFmtId="4" fontId="19" fillId="38" borderId="17" xfId="0" applyFont="1" applyFill="1" applyBorder="1" applyNumberFormat="1">
      <alignment horizontal="right" vertical="center"/>
    </xf>
    <xf numFmtId="49" fontId="19" fillId="0" borderId="27" xfId="0" applyFont="1" applyBorder="1" applyNumberFormat="1">
      <alignment horizontal="center" vertical="center"/>
    </xf>
    <xf numFmtId="49" fontId="19" fillId="0" borderId="30" xfId="0" applyFont="1" applyBorder="1" applyNumberFormat="1">
      <alignment horizontal="left" vertical="center" wrapText="1" indent="2"/>
    </xf>
    <xf numFmtId="0" fontId="19" fillId="0" borderId="51" xfId="0" applyFont="1" applyBorder="1">
      <alignment horizontal="center" vertical="center"/>
    </xf>
    <xf numFmtId="49" fontId="19" fillId="0" borderId="10" xfId="0" applyFont="1" applyBorder="1" applyNumberFormat="1">
      <alignment horizontal="left" vertical="center" wrapText="1" indent="3"/>
    </xf>
    <xf numFmtId="4" fontId="19" fillId="33" borderId="19" xfId="0" applyFont="1" applyFill="1" applyBorder="1" applyNumberFormat="1">
      <alignment horizontal="right" vertical="center"/>
      <protection locked="0"/>
    </xf>
    <xf numFmtId="49" fontId="19" fillId="0" borderId="23" xfId="0" applyFont="1" applyBorder="1" applyNumberFormat="1">
      <alignment horizontal="center" vertical="center" wrapText="1"/>
    </xf>
    <xf numFmtId="4" fontId="19" fillId="33" borderId="10" xfId="0" applyFont="1" applyFill="1" applyBorder="1" applyNumberFormat="1">
      <alignment horizontal="right" vertical="center"/>
      <protection locked="0"/>
    </xf>
    <xf numFmtId="49" fontId="19" fillId="0" borderId="23" xfId="0" applyFont="1" applyBorder="1" applyNumberFormat="1">
      <alignment horizontal="center" vertical="center"/>
    </xf>
    <xf numFmtId="49" fontId="19" fillId="0" borderId="10" xfId="0" applyFont="1" applyBorder="1" applyNumberFormat="1">
      <alignment horizontal="left" vertical="center" wrapText="1" indent="2"/>
    </xf>
    <xf numFmtId="49" fontId="19" fillId="0" borderId="11" xfId="0" applyFont="1" applyBorder="1" applyNumberFormat="1">
      <alignment horizontal="center" vertical="center" wrapText="1"/>
    </xf>
    <xf numFmtId="4" fontId="19" fillId="33" borderId="11" xfId="0" applyFont="1" applyFill="1" applyBorder="1" applyNumberFormat="1">
      <alignment horizontal="right" vertical="center"/>
      <protection locked="0"/>
    </xf>
    <xf numFmtId="49" fontId="19" fillId="0" borderId="23" xfId="0" applyFont="1" applyBorder="1" applyNumberFormat="1">
      <alignment horizontal="left" vertical="center" wrapText="1" indent="3"/>
    </xf>
    <xf numFmtId="4" fontId="19" fillId="33" borderId="12" xfId="0" applyFont="1" applyFill="1" applyBorder="1" applyNumberFormat="1">
      <alignment horizontal="right" vertical="center"/>
      <protection locked="0"/>
    </xf>
    <xf numFmtId="49" fontId="19" fillId="0" borderId="10" xfId="0" applyFont="1" applyBorder="1" applyNumberFormat="1">
      <alignment horizontal="center" vertical="center"/>
    </xf>
    <xf numFmtId="49" fontId="19" fillId="0" borderId="23" xfId="0" applyFont="1" applyBorder="1" applyNumberFormat="1">
      <alignment horizontal="left" vertical="center" wrapText="1" indent="2"/>
    </xf>
    <xf numFmtId="4" fontId="19" fillId="33" borderId="25" xfId="0" applyFont="1" applyFill="1" applyBorder="1" applyNumberFormat="1">
      <alignment horizontal="right" vertical="center"/>
      <protection locked="0"/>
    </xf>
    <xf numFmtId="4" fontId="19" fillId="33" borderId="20" xfId="0" applyFont="1" applyFill="1" applyBorder="1" applyNumberFormat="1">
      <alignment horizontal="right" vertical="center"/>
      <protection locked="0"/>
    </xf>
    <xf numFmtId="49" fontId="19" fillId="0" borderId="16" xfId="0" applyFont="1" applyBorder="1" applyNumberFormat="1">
      <alignment horizontal="center" vertical="center" wrapText="1"/>
    </xf>
    <xf numFmtId="49" fontId="19" fillId="0" borderId="52" xfId="0" applyFont="1" applyBorder="1" applyNumberFormat="1">
      <alignment horizontal="left" vertical="center" wrapText="1" indent="1"/>
    </xf>
    <xf numFmtId="49" fontId="19" fillId="0" borderId="15" xfId="0" applyFont="1" applyBorder="1" applyNumberFormat="1">
      <alignment horizontal="center" vertical="center" wrapText="1"/>
    </xf>
    <xf numFmtId="49" fontId="19" fillId="0" borderId="23" xfId="0" applyFont="1" applyBorder="1" applyNumberFormat="1">
      <alignment horizontal="left" vertical="center" wrapText="1" indent="1"/>
    </xf>
    <xf numFmtId="49" fontId="19" fillId="0" borderId="10" xfId="0" applyFont="1" applyBorder="1" applyNumberFormat="1">
      <alignment horizontal="left" vertical="center" wrapText="1" indent="1"/>
    </xf>
    <xf numFmtId="49" fontId="19" fillId="0" borderId="13" xfId="0" applyFont="1" applyBorder="1" applyNumberFormat="1">
      <alignment horizontal="center" vertical="center" wrapText="1"/>
    </xf>
    <xf numFmtId="4" fontId="19" fillId="33" borderId="21" xfId="0" applyFont="1" applyFill="1" applyBorder="1" applyNumberFormat="1">
      <alignment horizontal="right" vertical="center"/>
      <protection locked="0"/>
    </xf>
    <xf numFmtId="0" fontId="0" fillId="0" borderId="0" xfId="0" applyFont="1">
      <alignment horizontal="left" vertical="center"/>
    </xf>
    <xf numFmtId="0" fontId="0" fillId="37" borderId="0" xfId="0" applyFont="1" applyFill="1">
      <alignment horizontal="left" vertical="center"/>
    </xf>
    <xf numFmtId="0" fontId="23" fillId="0" borderId="34" xfId="0" applyFont="1" applyBorder="1" quotePrefix="1">
      <alignment horizontal="left" vertical="center" indent="1"/>
    </xf>
    <xf numFmtId="0" fontId="24" fillId="0" borderId="34" xfId="0" applyFont="1" applyBorder="1">
      <alignment vertical="center"/>
    </xf>
    <xf numFmtId="0" fontId="24" fillId="0" borderId="34" xfId="0" applyFont="1" applyBorder="1"/>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20" fillId="0" borderId="0" xfId="0" applyFont="1">
      <alignment horizontal="center"/>
    </xf>
    <xf numFmtId="0" fontId="19" fillId="0" borderId="17" xfId="0" applyFont="1" applyBorder="1">
      <alignment horizontal="center" vertical="center" wrapText="1"/>
    </xf>
    <xf numFmtId="0" fontId="19" fillId="0" borderId="15" xfId="0" applyFont="1" applyBorder="1">
      <alignment horizontal="center" vertical="center" wrapText="1"/>
    </xf>
    <xf numFmtId="0" fontId="20" fillId="11" borderId="10" xfId="0" applyFont="1" applyFill="1" applyBorder="1">
      <alignment horizontal="center" vertical="center" wrapText="1"/>
    </xf>
    <xf numFmtId="0" fontId="20" fillId="11" borderId="23" xfId="0" applyFont="1" applyFill="1" applyBorder="1">
      <alignment horizontal="center" vertical="center" wrapText="1"/>
    </xf>
    <xf numFmtId="0" fontId="20" fillId="0" borderId="10" xfId="0" applyFont="1" applyBorder="1">
      <alignment horizontal="center" vertical="center" wrapText="1"/>
    </xf>
    <xf numFmtId="0" fontId="19" fillId="0" borderId="10" xfId="0" applyFont="1" applyBorder="1">
      <alignment horizontal="center" vertical="center" wrapText="1"/>
    </xf>
    <xf numFmtId="0" fontId="20" fillId="0" borderId="25" xfId="0" applyFont="1" applyBorder="1">
      <alignment vertical="center" wrapText="1"/>
    </xf>
    <xf numFmtId="0" fontId="20" fillId="0" borderId="17" xfId="0" applyFont="1" applyBorder="1">
      <alignment horizontal="center" vertical="center"/>
    </xf>
    <xf numFmtId="4" fontId="20" fillId="33" borderId="13" xfId="0" applyFont="1" applyFill="1" applyBorder="1" applyNumberFormat="1">
      <alignment horizontal="right" vertical="center"/>
      <protection locked="0"/>
    </xf>
    <xf numFmtId="0" fontId="20" fillId="0" borderId="0" xfId="0" applyFont="1">
      <alignment horizontal="left" vertical="center" wrapText="1"/>
    </xf>
    <xf numFmtId="49" fontId="44" fillId="37" borderId="15" xfId="0" applyFont="1" applyFill="1" applyBorder="1" applyNumberFormat="1">
      <alignment horizontal="left" vertical="center" indent="1"/>
    </xf>
    <xf numFmtId="49" fontId="19" fillId="37" borderId="53" xfId="0" applyFont="1" applyFill="1" applyBorder="1" applyNumberFormat="1">
      <alignment horizontal="left" vertical="center" indent="1"/>
    </xf>
    <xf numFmtId="49" fontId="44" fillId="37" borderId="53" xfId="0" applyFont="1" applyFill="1" applyBorder="1" applyNumberFormat="1">
      <alignment horizontal="left" vertical="center" indent="1"/>
    </xf>
    <xf numFmtId="0" fontId="45" fillId="37" borderId="53" xfId="0" applyFont="1" applyFill="1" applyBorder="1">
      <alignment horizontal="left" vertical="center" indent="1"/>
    </xf>
    <xf numFmtId="0" fontId="19" fillId="0" borderId="17" xfId="0" applyFont="1" applyBorder="1">
      <alignment horizontal="center" vertical="center"/>
    </xf>
    <xf numFmtId="0" fontId="20" fillId="35" borderId="17" xfId="0" applyFont="1" applyFill="1" applyBorder="1">
      <alignment horizontal="left" vertical="center" wrapText="1"/>
    </xf>
    <xf numFmtId="4" fontId="20" fillId="33" borderId="17" xfId="0" applyFont="1" applyFill="1" applyBorder="1" applyNumberFormat="1">
      <alignment horizontal="right" vertical="center"/>
      <protection locked="0"/>
    </xf>
    <xf numFmtId="49" fontId="19" fillId="35" borderId="17" xfId="0" applyFont="1" applyFill="1" applyBorder="1" applyNumberFormat="1">
      <alignment horizontal="center" vertical="center"/>
    </xf>
    <xf numFmtId="0" fontId="20" fillId="35" borderId="22" xfId="0" applyFont="1" applyFill="1" applyBorder="1">
      <alignment horizontal="left" vertical="center" wrapText="1"/>
    </xf>
    <xf numFmtId="0" fontId="20" fillId="35" borderId="17" xfId="0" applyFont="1" applyFill="1" applyBorder="1">
      <alignment horizontal="center" vertical="center"/>
    </xf>
    <xf numFmtId="2" fontId="20" fillId="35" borderId="17" xfId="0" applyFont="1" applyFill="1" applyBorder="1" applyNumberFormat="1">
      <alignment horizontal="right" vertical="center"/>
      <protection locked="0"/>
    </xf>
    <xf numFmtId="49" fontId="19" fillId="35" borderId="15" xfId="0" applyFont="1" applyFill="1" applyBorder="1" applyNumberFormat="1">
      <alignment horizontal="center" vertical="center"/>
    </xf>
    <xf numFmtId="49" fontId="19" fillId="0" borderId="50" xfId="0" applyFont="1" applyBorder="1" applyNumberFormat="1">
      <alignment horizontal="center" vertical="center"/>
    </xf>
    <xf numFmtId="0" fontId="20" fillId="35" borderId="22" xfId="0" applyFont="1" applyFill="1" applyBorder="1">
      <alignment horizontal="center" vertical="center"/>
    </xf>
    <xf numFmtId="2" fontId="20" fillId="33" borderId="22" xfId="0" applyFont="1" applyFill="1" applyBorder="1" applyNumberFormat="1">
      <alignment horizontal="right" vertical="center"/>
      <protection locked="0"/>
    </xf>
    <xf numFmtId="49" fontId="39" fillId="42" borderId="23" xfId="0" applyFont="1" applyFill="1" applyBorder="1" applyNumberFormat="1">
      <alignment horizontal="left" vertical="center" wrapText="1" indent="1"/>
    </xf>
    <xf numFmtId="49" fontId="46" fillId="42" borderId="35" xfId="0" applyFont="1" applyFill="1" applyBorder="1" applyNumberFormat="1">
      <alignment horizontal="left" vertical="center" wrapText="1" indent="1"/>
    </xf>
    <xf numFmtId="49" fontId="39" fillId="42" borderId="35" xfId="0" applyFont="1" applyFill="1" applyBorder="1" applyNumberFormat="1">
      <alignment horizontal="left" vertical="center" wrapText="1" indent="1"/>
    </xf>
    <xf numFmtId="49" fontId="39" fillId="42" borderId="12" xfId="0" applyFont="1" applyFill="1" applyBorder="1" applyNumberFormat="1">
      <alignment horizontal="left" vertical="center" wrapText="1" indent="1"/>
    </xf>
    <xf numFmtId="0" fontId="19" fillId="0" borderId="16" xfId="0" applyFont="1" applyBorder="1">
      <alignment horizontal="center" vertical="center"/>
    </xf>
    <xf numFmtId="0" fontId="20" fillId="0" borderId="14" xfId="0" applyFont="1" applyBorder="1">
      <alignment vertical="center" wrapText="1"/>
    </xf>
    <xf numFmtId="0" fontId="20" fillId="0" borderId="13" xfId="0" applyFont="1" applyBorder="1">
      <alignment horizontal="center" vertical="center"/>
    </xf>
    <xf numFmtId="0" fontId="19" fillId="0" borderId="15" xfId="0" applyFont="1" applyBorder="1">
      <alignment horizontal="center" vertical="center"/>
    </xf>
    <xf numFmtId="0" fontId="20" fillId="0" borderId="10" xfId="0" applyFont="1" applyBorder="1">
      <alignment horizontal="left" vertical="center" wrapText="1"/>
    </xf>
    <xf numFmtId="0" fontId="20" fillId="0" borderId="25" xfId="0" applyFont="1" applyBorder="1">
      <alignment horizontal="center" vertical="center"/>
    </xf>
    <xf numFmtId="0" fontId="20" fillId="0" borderId="10" xfId="0" applyFont="1" applyBorder="1">
      <alignment vertical="center" wrapText="1"/>
    </xf>
    <xf numFmtId="0" fontId="19" fillId="0" borderId="13" xfId="0" applyFont="1" applyBorder="1">
      <alignment vertical="center" wrapText="1"/>
    </xf>
    <xf numFmtId="0" fontId="19" fillId="0" borderId="17" xfId="0" applyFont="1" applyBorder="1">
      <alignment vertical="center" wrapText="1"/>
    </xf>
    <xf numFmtId="0" fontId="20" fillId="0" borderId="53" xfId="0" applyFont="1" applyBorder="1">
      <alignment horizontal="center" vertical="center"/>
    </xf>
    <xf numFmtId="172" fontId="44" fillId="37" borderId="53" xfId="0" applyFont="1" applyFill="1" applyBorder="1" applyNumberFormat="1">
      <alignment horizontal="left" vertical="center" indent="1"/>
    </xf>
    <xf numFmtId="0" fontId="20" fillId="0" borderId="17" xfId="0" applyFont="1" applyBorder="1">
      <alignment vertical="center" wrapText="1"/>
    </xf>
    <xf numFmtId="0" fontId="20" fillId="0" borderId="0" xfId="0" applyFont="1">
      <alignment wrapText="1"/>
    </xf>
    <xf numFmtId="0" fontId="19" fillId="11" borderId="17" xfId="0" applyFont="1" applyFill="1" applyBorder="1">
      <alignment horizontal="center" vertical="center" wrapText="1"/>
    </xf>
    <xf numFmtId="0" fontId="19" fillId="0" borderId="13" xfId="0" applyFont="1" applyBorder="1">
      <alignment horizontal="center" vertical="center" wrapText="1"/>
    </xf>
    <xf numFmtId="0" fontId="20" fillId="0" borderId="15" xfId="0" applyFont="1" applyBorder="1">
      <alignment horizontal="center" vertical="center" wrapText="1"/>
    </xf>
    <xf numFmtId="2" fontId="20" fillId="33" borderId="17" xfId="0" applyFont="1" applyFill="1" applyBorder="1" applyNumberFormat="1">
      <alignment horizontal="right" vertical="center"/>
      <protection locked="0"/>
    </xf>
    <xf numFmtId="2" fontId="20" fillId="33" borderId="13" xfId="0" applyFont="1" applyFill="1" applyBorder="1" applyNumberFormat="1">
      <alignment horizontal="right" vertical="center"/>
      <protection locked="0"/>
    </xf>
    <xf numFmtId="49" fontId="19" fillId="0" borderId="10" xfId="0" applyFont="1" applyBorder="1" applyNumberFormat="1">
      <alignment horizontal="left" vertical="center" wrapText="1"/>
    </xf>
    <xf numFmtId="2" fontId="20" fillId="0" borderId="17" xfId="0" applyFont="1" applyBorder="1" applyNumberFormat="1">
      <alignment horizontal="right" vertical="center"/>
    </xf>
    <xf numFmtId="2" fontId="0" fillId="33" borderId="17" xfId="0" applyFont="1" applyFill="1" applyBorder="1" applyNumberFormat="1">
      <alignment horizontal="right" vertical="center"/>
      <protection locked="0"/>
    </xf>
    <xf numFmtId="0" fontId="24" fillId="0" borderId="34" xfId="0" applyFont="1" applyBorder="1" quotePrefix="1">
      <alignment horizontal="left" vertical="center" indent="1"/>
    </xf>
    <xf numFmtId="0" fontId="24" fillId="0" borderId="34" xfId="0" applyFont="1" applyBorder="1">
      <alignment vertical="center" wrapText="1"/>
    </xf>
    <xf numFmtId="0" fontId="20" fillId="0" borderId="50" xfId="0" applyFont="1" applyBorder="1">
      <alignment horizontal="center" vertical="center" wrapText="1"/>
    </xf>
    <xf numFmtId="0" fontId="20" fillId="11" borderId="50" xfId="0" applyFont="1" applyFill="1" applyBorder="1">
      <alignment horizontal="center" vertical="center" wrapText="1"/>
    </xf>
    <xf numFmtId="0" fontId="20" fillId="0" borderId="47" xfId="0" applyFont="1" applyBorder="1">
      <alignment horizontal="center" vertical="center" wrapText="1"/>
    </xf>
    <xf numFmtId="0" fontId="42" fillId="45" borderId="47" xfId="0" applyFont="1" applyFill="1" applyBorder="1">
      <alignment horizontal="left" vertical="center" indent="1"/>
    </xf>
    <xf numFmtId="49" fontId="23" fillId="0" borderId="10" xfId="0" applyFont="1" applyBorder="1" applyNumberFormat="1">
      <alignment horizontal="center" vertical="center" wrapText="1"/>
    </xf>
    <xf numFmtId="49" fontId="23" fillId="0" borderId="10" xfId="0" applyFont="1" applyBorder="1" applyNumberFormat="1">
      <alignment horizontal="left" vertical="center" wrapText="1"/>
    </xf>
    <xf numFmtId="4" fontId="19" fillId="38" borderId="10" xfId="0" applyFont="1" applyFill="1" applyBorder="1" applyNumberFormat="1">
      <alignment horizontal="right" vertical="center" wrapText="1"/>
    </xf>
    <xf numFmtId="4" fontId="19" fillId="33" borderId="10" xfId="0" applyFont="1" applyFill="1" applyBorder="1" applyNumberFormat="1">
      <alignment horizontal="right" vertical="center" wrapText="1"/>
      <protection locked="0"/>
    </xf>
    <xf numFmtId="0" fontId="23" fillId="35" borderId="10" xfId="0" applyFont="1" applyFill="1" applyBorder="1">
      <alignment horizontal="left" vertical="center"/>
    </xf>
    <xf numFmtId="0" fontId="20" fillId="0" borderId="11" xfId="0" applyFont="1" applyBorder="1">
      <alignment horizontal="center" vertical="center" wrapText="1"/>
    </xf>
    <xf numFmtId="4" fontId="19" fillId="33" borderId="11"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protection locked="0"/>
    </xf>
    <xf numFmtId="4" fontId="19" fillId="38" borderId="12" xfId="0" applyFont="1" applyFill="1" applyBorder="1" applyNumberFormat="1">
      <alignment horizontal="right" vertical="center" wrapText="1"/>
    </xf>
    <xf numFmtId="0" fontId="20" fillId="0" borderId="54" xfId="0" applyFont="1" applyBorder="1">
      <alignment horizontal="center" vertical="center" wrapText="1"/>
    </xf>
    <xf numFmtId="49" fontId="19" fillId="0" borderId="16" xfId="0" applyFont="1" applyBorder="1" applyNumberFormat="1">
      <alignment horizontal="left" vertical="center" wrapText="1" indent="1"/>
    </xf>
    <xf numFmtId="49" fontId="23" fillId="0" borderId="15" xfId="0" applyFont="1" applyBorder="1" applyNumberFormat="1">
      <alignment horizontal="left" vertical="center" wrapText="1"/>
    </xf>
    <xf numFmtId="4" fontId="19" fillId="38" borderId="13" xfId="0" applyFont="1" applyFill="1" applyBorder="1" applyNumberFormat="1">
      <alignment horizontal="right" vertical="center" wrapText="1"/>
    </xf>
    <xf numFmtId="4" fontId="19" fillId="33" borderId="13" xfId="0" applyFont="1" applyFill="1" applyBorder="1" applyNumberFormat="1">
      <alignment horizontal="right" vertical="center" wrapText="1"/>
      <protection locked="0"/>
    </xf>
    <xf numFmtId="4" fontId="19" fillId="33" borderId="14" xfId="0" applyFont="1" applyFill="1" applyBorder="1" applyNumberFormat="1">
      <alignment horizontal="right" vertical="center" wrapText="1"/>
      <protection locked="0"/>
    </xf>
    <xf numFmtId="49" fontId="23" fillId="0" borderId="13" xfId="0" applyFont="1" applyBorder="1" applyNumberFormat="1">
      <alignment horizontal="center" vertical="center" wrapText="1"/>
    </xf>
    <xf numFmtId="49" fontId="23" fillId="0" borderId="16" xfId="0" applyFont="1" applyBorder="1" applyNumberFormat="1">
      <alignment horizontal="left" vertical="center" wrapText="1"/>
    </xf>
    <xf numFmtId="49" fontId="23" fillId="35" borderId="13" xfId="0" applyFont="1" applyFill="1" applyBorder="1" applyNumberFormat="1">
      <alignment horizontal="center" vertical="center" wrapText="1"/>
    </xf>
    <xf numFmtId="49" fontId="23" fillId="35" borderId="16" xfId="0" applyFont="1" applyFill="1" applyBorder="1" applyNumberFormat="1">
      <alignment horizontal="left" vertical="center" wrapText="1"/>
    </xf>
    <xf numFmtId="49" fontId="0" fillId="35" borderId="27" xfId="0" applyFont="1" applyFill="1" applyBorder="1" applyNumberFormat="1">
      <alignment horizontal="left" vertical="center" wrapText="1" indent="2"/>
    </xf>
    <xf numFmtId="49" fontId="19" fillId="0" borderId="27" xfId="0" applyFont="1" applyBorder="1" applyNumberFormat="1">
      <alignment horizontal="left" vertical="center" wrapText="1" indent="2"/>
    </xf>
    <xf numFmtId="0" fontId="19" fillId="0" borderId="25" xfId="0" applyFont="1" applyBorder="1">
      <alignment horizontal="left" vertical="center" wrapText="1" indent="3"/>
    </xf>
    <xf numFmtId="0" fontId="19" fillId="0" borderId="17" xfId="0" applyFont="1" applyBorder="1">
      <alignment horizontal="left" vertical="center" wrapText="1" indent="3"/>
    </xf>
    <xf numFmtId="49" fontId="19" fillId="0" borderId="16" xfId="0" applyFont="1" applyBorder="1" applyNumberFormat="1">
      <alignment horizontal="left" vertical="center" wrapText="1" indent="2"/>
    </xf>
    <xf numFmtId="49" fontId="19" fillId="0" borderId="15" xfId="0" applyFont="1" applyBorder="1" applyNumberFormat="1">
      <alignment horizontal="left" vertical="center" wrapText="1" indent="2"/>
    </xf>
    <xf numFmtId="10" fontId="19" fillId="38" borderId="10" xfId="0" applyFont="1" applyFill="1" applyBorder="1" applyNumberFormat="1">
      <alignment horizontal="right" vertical="center" wrapText="1"/>
    </xf>
    <xf numFmtId="10" fontId="19" fillId="38" borderId="13" xfId="0" applyFont="1" applyFill="1" applyBorder="1" applyNumberFormat="1">
      <alignment horizontal="right" vertical="center" wrapText="1"/>
    </xf>
    <xf numFmtId="49" fontId="23" fillId="35" borderId="17" xfId="0" applyFont="1" applyFill="1" applyBorder="1" applyNumberFormat="1">
      <alignment horizontal="center" vertical="center" wrapText="1"/>
    </xf>
    <xf numFmtId="4" fontId="19" fillId="33" borderId="15" xfId="0" applyFont="1" applyFill="1" applyBorder="1" applyNumberFormat="1">
      <alignment horizontal="right" vertical="center" wrapText="1"/>
      <protection locked="0"/>
    </xf>
    <xf numFmtId="4" fontId="19" fillId="33" borderId="16" xfId="0" applyFont="1" applyFill="1" applyBorder="1" applyNumberFormat="1">
      <alignment horizontal="right" vertical="center" wrapText="1"/>
      <protection locked="0"/>
    </xf>
    <xf numFmtId="49" fontId="19" fillId="35" borderId="17" xfId="0" applyFont="1" applyFill="1" applyBorder="1" applyNumberFormat="1">
      <alignment horizontal="center" vertical="center" wrapText="1"/>
    </xf>
    <xf numFmtId="49" fontId="19" fillId="0" borderId="17" xfId="0" applyFont="1" applyBorder="1" applyNumberFormat="1">
      <alignment horizontal="center" vertical="center" wrapText="1"/>
    </xf>
    <xf numFmtId="4" fontId="19" fillId="38" borderId="16" xfId="0" applyFont="1" applyFill="1" applyBorder="1" applyNumberFormat="1">
      <alignment horizontal="right" vertical="center" wrapText="1"/>
    </xf>
    <xf numFmtId="49" fontId="19" fillId="35" borderId="22" xfId="0" applyFont="1" applyFill="1" applyBorder="1" applyNumberFormat="1">
      <alignment horizontal="center" vertical="center" wrapText="1"/>
    </xf>
    <xf numFmtId="49" fontId="19" fillId="35" borderId="10" xfId="0" applyFont="1" applyFill="1" applyBorder="1" applyNumberFormat="1">
      <alignment horizontal="center" vertical="center" wrapText="1"/>
    </xf>
    <xf numFmtId="49" fontId="23" fillId="44" borderId="10" xfId="0" applyFont="1" applyFill="1" applyBorder="1" applyNumberFormat="1">
      <alignment horizontal="left" vertical="center" wrapText="1"/>
    </xf>
    <xf numFmtId="0" fontId="19" fillId="0" borderId="23" xfId="0" applyFont="1" applyBorder="1">
      <alignment horizontal="center" vertical="center" wrapText="1"/>
    </xf>
    <xf numFmtId="0" fontId="19" fillId="0" borderId="25" xfId="0" applyFont="1" applyBorder="1">
      <alignment horizontal="left" vertical="center" wrapText="1" indent="2"/>
    </xf>
    <xf numFmtId="0" fontId="19" fillId="0" borderId="17" xfId="0" applyFont="1" applyBorder="1">
      <alignment horizontal="left" vertical="center" wrapText="1" indent="2"/>
    </xf>
    <xf numFmtId="0" fontId="19" fillId="0" borderId="28" xfId="0" applyFont="1" applyBorder="1">
      <alignment horizontal="center" vertical="center" wrapText="1"/>
    </xf>
    <xf numFmtId="49" fontId="23" fillId="44" borderId="23" xfId="0" applyFont="1" applyFill="1" applyBorder="1" applyNumberFormat="1">
      <alignment horizontal="left" vertical="center" wrapText="1"/>
    </xf>
    <xf numFmtId="0" fontId="47" fillId="0" borderId="0" xfId="0" applyFont="1">
      <alignment horizontal="center" vertical="center" wrapText="1"/>
    </xf>
    <xf numFmtId="49" fontId="39" fillId="42" borderId="23" xfId="0" applyFont="1" applyFill="1" applyBorder="1" applyNumberFormat="1">
      <alignment horizontal="left" vertical="center" indent="1"/>
    </xf>
    <xf numFmtId="49" fontId="39" fillId="42" borderId="35" xfId="0" applyFont="1" applyFill="1" applyBorder="1" applyNumberFormat="1">
      <alignment horizontal="left" vertical="center" indent="1"/>
    </xf>
    <xf numFmtId="0" fontId="20" fillId="42" borderId="35" xfId="0" applyFont="1" applyFill="1" applyBorder="1">
      <alignment vertical="center" wrapText="1"/>
    </xf>
    <xf numFmtId="0" fontId="20" fillId="42" borderId="35" xfId="0" applyFont="1" applyFill="1" applyBorder="1">
      <alignment vertical="center"/>
    </xf>
    <xf numFmtId="0" fontId="20" fillId="42" borderId="12" xfId="0" applyFont="1" applyFill="1" applyBorder="1">
      <alignment vertical="center" wrapText="1"/>
    </xf>
    <xf numFmtId="0" fontId="0" fillId="4" borderId="0" xfId="0" applyFont="1" applyFill="1">
      <alignment vertical="center"/>
    </xf>
    <xf numFmtId="4" fontId="19" fillId="33" borderId="17" xfId="0" applyFont="1" applyFill="1" applyBorder="1" applyNumberFormat="1">
      <alignment horizontal="right" vertical="center" wrapText="1"/>
      <protection locked="0"/>
    </xf>
    <xf numFmtId="10" fontId="19" fillId="38" borderId="17" xfId="0" applyFont="1" applyFill="1" applyBorder="1" applyNumberFormat="1">
      <alignment horizontal="right" vertical="center" wrapText="1"/>
    </xf>
    <xf numFmtId="49" fontId="23" fillId="35" borderId="15" xfId="0" applyFont="1" applyFill="1" applyBorder="1" applyNumberFormat="1">
      <alignment horizontal="left" vertical="center" wrapText="1"/>
    </xf>
    <xf numFmtId="4" fontId="19" fillId="38" borderId="17" xfId="0" applyFont="1" applyFill="1" applyBorder="1" applyNumberFormat="1">
      <alignment horizontal="right" vertical="center" wrapText="1"/>
    </xf>
    <xf numFmtId="49" fontId="19" fillId="35" borderId="16" xfId="0" applyFont="1" applyFill="1" applyBorder="1" applyNumberFormat="1">
      <alignment horizontal="left" vertical="center" wrapText="1" indent="1"/>
    </xf>
    <xf numFmtId="0" fontId="0" fillId="4" borderId="0" xfId="0" applyFont="1" applyFill="1">
      <alignment horizontal="left" vertical="top"/>
    </xf>
    <xf numFmtId="0" fontId="20" fillId="0" borderId="34" xfId="0" applyFont="1" applyBorder="1">
      <alignment vertical="center" wrapText="1"/>
    </xf>
    <xf numFmtId="49" fontId="22" fillId="44" borderId="10" xfId="0" applyFont="1" applyFill="1" applyBorder="1" applyNumberFormat="1">
      <alignment horizontal="center" vertical="center" wrapText="1"/>
    </xf>
    <xf numFmtId="49" fontId="25" fillId="44" borderId="0" xfId="0" applyFont="1" applyFill="1" applyNumberFormat="1">
      <alignment horizontal="center" vertical="center" wrapText="1"/>
    </xf>
    <xf numFmtId="49" fontId="22" fillId="44" borderId="0" xfId="0" applyFont="1" applyFill="1" applyNumberFormat="1">
      <alignment horizontal="center" vertical="center" wrapText="1"/>
    </xf>
    <xf numFmtId="0" fontId="20" fillId="0" borderId="35" xfId="0" applyFont="1" applyBorder="1">
      <alignment horizontal="center" vertical="center" wrapText="1"/>
    </xf>
    <xf numFmtId="0" fontId="20" fillId="0" borderId="49" xfId="0" applyFont="1" applyBorder="1">
      <alignment horizontal="center" vertical="center" wrapText="1"/>
    </xf>
    <xf numFmtId="49" fontId="22" fillId="44" borderId="10" xfId="0" applyFont="1" applyFill="1" applyBorder="1" applyNumberFormat="1">
      <alignment horizontal="left" vertical="center" wrapText="1"/>
    </xf>
    <xf numFmtId="4" fontId="19" fillId="33" borderId="12" xfId="0" applyFont="1" applyFill="1" applyBorder="1" applyNumberFormat="1">
      <alignment vertical="center"/>
      <protection locked="0"/>
    </xf>
    <xf numFmtId="4" fontId="19" fillId="33" borderId="10" xfId="0" applyFont="1" applyFill="1" applyBorder="1" applyNumberFormat="1">
      <alignment vertical="center"/>
      <protection locked="0"/>
    </xf>
    <xf numFmtId="4" fontId="19" fillId="38" borderId="10" xfId="0" applyFont="1" applyFill="1" applyBorder="1" applyNumberFormat="1">
      <alignment vertical="center"/>
    </xf>
    <xf numFmtId="4" fontId="19" fillId="38" borderId="12" xfId="0" applyFont="1" applyFill="1" applyBorder="1" applyNumberFormat="1">
      <alignment vertical="center"/>
    </xf>
    <xf numFmtId="49" fontId="22" fillId="44" borderId="10" xfId="0" applyFont="1" applyFill="1" applyBorder="1" applyNumberFormat="1">
      <alignment horizontal="left" vertical="center" wrapText="1" indent="1"/>
    </xf>
    <xf numFmtId="49" fontId="22" fillId="44" borderId="10" xfId="0" applyFont="1" applyFill="1" applyBorder="1" applyNumberFormat="1">
      <alignment horizontal="left" vertical="center" wrapText="1" indent="2"/>
    </xf>
    <xf numFmtId="9" fontId="19" fillId="38" borderId="12" xfId="0" applyFont="1" applyFill="1" applyBorder="1" applyNumberFormat="1">
      <alignment vertical="center"/>
    </xf>
    <xf numFmtId="9" fontId="19" fillId="38" borderId="10" xfId="0" applyFont="1" applyFill="1" applyBorder="1" applyNumberFormat="1">
      <alignment vertical="center"/>
    </xf>
    <xf numFmtId="49" fontId="22" fillId="0" borderId="10" xfId="0" applyFont="1" applyBorder="1" applyNumberFormat="1">
      <alignment horizontal="left" vertical="center" wrapText="1"/>
    </xf>
    <xf numFmtId="49" fontId="22" fillId="0" borderId="12" xfId="0" applyFont="1" applyBorder="1" applyNumberFormat="1">
      <alignment horizontal="center" vertical="center" wrapText="1"/>
    </xf>
    <xf numFmtId="49" fontId="22" fillId="0" borderId="10" xfId="0" applyFont="1" applyBorder="1" applyNumberFormat="1">
      <alignment horizontal="center" vertical="center" wrapText="1"/>
    </xf>
    <xf numFmtId="49" fontId="22" fillId="33" borderId="12" xfId="0" applyFont="1" applyFill="1" applyBorder="1" applyNumberFormat="1">
      <alignment horizontal="left" vertical="center" wrapText="1" indent="1"/>
      <protection locked="0"/>
    </xf>
    <xf numFmtId="49" fontId="22" fillId="33" borderId="10" xfId="0" applyFont="1" applyFill="1" applyBorder="1" applyNumberFormat="1">
      <alignment horizontal="left" vertical="center" wrapText="1" indent="1"/>
      <protection locked="0"/>
    </xf>
    <xf numFmtId="49" fontId="39" fillId="42" borderId="53" xfId="0" applyFont="1" applyFill="1" applyBorder="1" applyNumberFormat="1">
      <alignment horizontal="left" vertical="center" wrapText="1" indent="1"/>
    </xf>
    <xf numFmtId="0" fontId="39" fillId="42" borderId="25" xfId="0" applyFont="1" applyFill="1" applyBorder="1">
      <alignment horizontal="left" vertical="center" wrapText="1" indent="1"/>
    </xf>
    <xf numFmtId="49" fontId="22" fillId="44" borderId="21" xfId="0" applyFont="1" applyFill="1" applyBorder="1" applyNumberFormat="1">
      <alignment horizontal="center" vertical="center" wrapText="1"/>
    </xf>
    <xf numFmtId="9" fontId="19" fillId="38" borderId="20" xfId="0" applyFont="1" applyFill="1" applyBorder="1" applyNumberFormat="1">
      <alignment vertical="center"/>
    </xf>
    <xf numFmtId="49" fontId="22" fillId="38" borderId="12" xfId="0" applyFont="1" applyFill="1" applyBorder="1" applyNumberFormat="1">
      <alignment horizontal="left" vertical="center" wrapText="1" indent="1"/>
    </xf>
    <xf numFmtId="49" fontId="22" fillId="38" borderId="10" xfId="0" applyFont="1" applyFill="1" applyBorder="1" applyNumberFormat="1">
      <alignment horizontal="left" vertical="center" wrapText="1" indent="1"/>
    </xf>
    <xf numFmtId="9" fontId="19" fillId="33" borderId="12" xfId="0" applyFont="1" applyFill="1" applyBorder="1" applyNumberFormat="1">
      <alignment vertical="center"/>
      <protection locked="0"/>
    </xf>
    <xf numFmtId="49" fontId="19" fillId="0" borderId="10" xfId="0" applyFont="1" applyBorder="1" applyNumberFormat="1">
      <alignment horizontal="center" vertical="center" textRotation="90"/>
    </xf>
    <xf numFmtId="49" fontId="22" fillId="0" borderId="12" xfId="0" applyFont="1" applyBorder="1" applyNumberFormat="1">
      <alignment horizontal="left" vertical="center" wrapText="1" indent="1"/>
    </xf>
    <xf numFmtId="49" fontId="22" fillId="0" borderId="10" xfId="0" applyFont="1" applyBorder="1" applyNumberFormat="1">
      <alignment horizontal="left" vertical="center" wrapText="1" indent="1"/>
    </xf>
    <xf numFmtId="9" fontId="19" fillId="0" borderId="12" xfId="0" applyFont="1" applyBorder="1" applyNumberFormat="1">
      <alignment vertical="center"/>
      <protection locked="0"/>
    </xf>
    <xf numFmtId="9" fontId="19" fillId="0" borderId="12" xfId="0" applyFont="1" applyBorder="1" applyNumberFormat="1">
      <alignment vertical="center"/>
    </xf>
    <xf numFmtId="0" fontId="20" fillId="0" borderId="17" xfId="0" applyFont="1" applyBorder="1">
      <alignment horizontal="left" vertical="center" wrapText="1"/>
      <protection locked="0"/>
    </xf>
    <xf numFmtId="49" fontId="22" fillId="35" borderId="10" xfId="0" applyFont="1" applyFill="1" applyBorder="1" applyNumberFormat="1">
      <alignment vertical="center" wrapText="1"/>
    </xf>
    <xf numFmtId="4" fontId="19" fillId="0" borderId="12" xfId="0" applyFont="1" applyBorder="1" applyNumberFormat="1">
      <alignment vertical="center"/>
    </xf>
    <xf numFmtId="4" fontId="19" fillId="0" borderId="10" xfId="0" applyFont="1" applyBorder="1" applyNumberFormat="1">
      <alignment vertical="center"/>
    </xf>
    <xf numFmtId="49" fontId="22" fillId="35" borderId="10" xfId="0" applyFont="1" applyFill="1" applyBorder="1" applyNumberFormat="1">
      <alignment horizontal="center" vertical="center" wrapText="1"/>
    </xf>
    <xf numFmtId="4" fontId="19" fillId="0" borderId="12" xfId="0" applyFont="1" applyBorder="1" applyNumberFormat="1">
      <alignment vertical="center"/>
      <protection locked="0"/>
    </xf>
    <xf numFmtId="4" fontId="19" fillId="0" borderId="10" xfId="0" applyFont="1" applyBorder="1" applyNumberFormat="1">
      <alignment vertical="center"/>
      <protection locked="0"/>
    </xf>
    <xf numFmtId="49" fontId="25" fillId="44" borderId="10" xfId="0" applyFont="1" applyFill="1" applyBorder="1" applyNumberFormat="1">
      <alignment horizontal="left" vertical="center" wrapText="1"/>
    </xf>
    <xf numFmtId="0" fontId="22" fillId="35" borderId="10" xfId="0" applyFont="1" applyFill="1" applyBorder="1">
      <alignment horizontal="center" vertical="center" wrapText="1"/>
    </xf>
    <xf numFmtId="10" fontId="19" fillId="33" borderId="12" xfId="0" applyFont="1" applyFill="1" applyBorder="1" applyNumberFormat="1">
      <alignment vertical="center"/>
      <protection locked="0"/>
    </xf>
    <xf numFmtId="10" fontId="19" fillId="33" borderId="10" xfId="0" applyFont="1" applyFill="1" applyBorder="1" applyNumberFormat="1">
      <alignment vertical="center"/>
      <protection locked="0"/>
    </xf>
    <xf numFmtId="10" fontId="19" fillId="0" borderId="10" xfId="0" applyFont="1" applyBorder="1" applyNumberFormat="1">
      <alignment vertical="center"/>
    </xf>
    <xf numFmtId="49" fontId="19" fillId="35" borderId="10" xfId="0" applyFont="1" applyFill="1" applyBorder="1" applyNumberFormat="1">
      <alignment vertical="center" wrapText="1"/>
    </xf>
    <xf numFmtId="9" fontId="19" fillId="33" borderId="10" xfId="0" applyFont="1" applyFill="1" applyBorder="1" applyNumberFormat="1">
      <alignment vertical="center"/>
      <protection locked="0"/>
    </xf>
    <xf numFmtId="9" fontId="19" fillId="0" borderId="10" xfId="0" applyFont="1" applyBorder="1" applyNumberFormat="1">
      <alignment vertical="center"/>
      <protection locked="0"/>
    </xf>
    <xf numFmtId="49" fontId="19" fillId="0" borderId="12" xfId="0" applyFont="1" applyBorder="1" applyNumberFormat="1">
      <alignment horizontal="left" vertical="center" wrapText="1" indent="1"/>
    </xf>
    <xf numFmtId="49" fontId="22" fillId="37" borderId="10" xfId="0" applyFont="1" applyFill="1" applyBorder="1" applyNumberFormat="1">
      <alignment horizontal="center" vertical="center" wrapText="1"/>
    </xf>
    <xf numFmtId="49" fontId="23" fillId="35" borderId="10" xfId="0" applyFont="1" applyFill="1" applyBorder="1" applyNumberFormat="1">
      <alignment horizontal="center" vertical="center" wrapText="1"/>
    </xf>
    <xf numFmtId="4" fontId="23" fillId="38" borderId="12" xfId="0" applyFont="1" applyFill="1" applyBorder="1" applyNumberFormat="1">
      <alignment vertical="center"/>
    </xf>
    <xf numFmtId="4" fontId="23" fillId="33" borderId="12" xfId="0" applyFont="1" applyFill="1" applyBorder="1" applyNumberFormat="1">
      <alignment vertical="center"/>
      <protection locked="0"/>
    </xf>
    <xf numFmtId="4" fontId="19" fillId="38" borderId="20" xfId="0" applyFont="1" applyFill="1" applyBorder="1" applyNumberFormat="1">
      <alignment vertical="center"/>
    </xf>
    <xf numFmtId="4" fontId="19" fillId="0" borderId="20" xfId="0" applyFont="1" applyBorder="1" applyNumberFormat="1">
      <alignment vertical="center"/>
    </xf>
    <xf numFmtId="4" fontId="19" fillId="0" borderId="21" xfId="0" applyFont="1" applyBorder="1" applyNumberFormat="1">
      <alignment vertical="center"/>
    </xf>
    <xf numFmtId="49" fontId="19" fillId="0" borderId="55" xfId="0" applyFont="1" applyBorder="1" applyNumberFormat="1">
      <alignment vertical="top"/>
    </xf>
    <xf numFmtId="0" fontId="0" fillId="37" borderId="0" xfId="0" applyFont="1" applyFill="1">
      <alignment horizontal="left" vertical="top"/>
    </xf>
    <xf numFmtId="49" fontId="24" fillId="0" borderId="34" xfId="0" applyFont="1" applyBorder="1" applyNumberFormat="1" quotePrefix="1">
      <alignment horizontal="left" vertical="center" indent="1"/>
    </xf>
    <xf numFmtId="49" fontId="24" fillId="0" borderId="34" xfId="0" applyFont="1" applyBorder="1" applyNumberFormat="1">
      <alignment vertical="center" wrapText="1"/>
    </xf>
    <xf numFmtId="49" fontId="24" fillId="0" borderId="56" xfId="0" applyFont="1" applyBorder="1" applyNumberFormat="1">
      <alignment horizontal="left" vertical="center" wrapText="1" indent="4"/>
    </xf>
    <xf numFmtId="49" fontId="24" fillId="0" borderId="0" xfId="0" applyFont="1" applyNumberFormat="1">
      <alignment horizontal="left" vertical="center" wrapText="1" indent="4"/>
    </xf>
    <xf numFmtId="0" fontId="19" fillId="44" borderId="17" xfId="0" applyFont="1" applyFill="1" applyBorder="1">
      <alignment horizontal="center" vertical="center" wrapText="1"/>
    </xf>
    <xf numFmtId="4" fontId="48" fillId="45" borderId="35" xfId="0" applyFont="1" applyFill="1" applyBorder="1" applyNumberFormat="1">
      <alignment horizontal="right" vertical="center"/>
    </xf>
    <xf numFmtId="49" fontId="42" fillId="45" borderId="47" xfId="0" applyFont="1" applyFill="1" applyBorder="1" applyNumberFormat="1">
      <alignment horizontal="left" vertical="center" wrapText="1"/>
    </xf>
    <xf numFmtId="49" fontId="23" fillId="0" borderId="10" xfId="0" applyFont="1" applyBorder="1" applyNumberFormat="1">
      <alignment horizontal="center" vertical="center"/>
    </xf>
    <xf numFmtId="0" fontId="23" fillId="0" borderId="10" xfId="0" applyFont="1" applyBorder="1">
      <alignment vertical="center" wrapText="1"/>
    </xf>
    <xf numFmtId="0" fontId="23" fillId="0" borderId="10" xfId="0" applyFont="1" applyBorder="1">
      <alignment horizontal="center" vertical="center"/>
    </xf>
    <xf numFmtId="4" fontId="23" fillId="38" borderId="13" xfId="0" applyFont="1" applyFill="1" applyBorder="1" applyNumberFormat="1">
      <alignment horizontal="right" vertical="center"/>
    </xf>
    <xf numFmtId="4" fontId="23" fillId="33" borderId="13" xfId="0" applyFont="1" applyFill="1" applyBorder="1" applyNumberFormat="1">
      <alignment horizontal="right" vertical="center"/>
      <protection locked="0"/>
    </xf>
    <xf numFmtId="49" fontId="19" fillId="44" borderId="17" xfId="0" applyFont="1" applyFill="1" applyBorder="1" applyNumberFormat="1">
      <alignment horizontal="center" vertical="center" wrapText="1"/>
    </xf>
    <xf numFmtId="0" fontId="19" fillId="0" borderId="17" xfId="0" applyFont="1" applyBorder="1">
      <alignment horizontal="left" vertical="center" wrapText="1" indent="1"/>
    </xf>
    <xf numFmtId="4" fontId="20" fillId="33" borderId="10" xfId="0" applyFont="1" applyFill="1" applyBorder="1" applyNumberFormat="1">
      <alignment horizontal="right" vertical="center"/>
      <protection locked="0"/>
    </xf>
    <xf numFmtId="172" fontId="19" fillId="38" borderId="17" xfId="0" applyFont="1" applyFill="1" applyBorder="1" applyNumberFormat="1">
      <alignment horizontal="right" vertical="center"/>
    </xf>
    <xf numFmtId="172" fontId="19" fillId="33" borderId="17" xfId="0" applyFont="1" applyFill="1" applyBorder="1" applyNumberFormat="1">
      <alignment horizontal="right" vertical="center"/>
      <protection locked="0"/>
    </xf>
    <xf numFmtId="49" fontId="45" fillId="37" borderId="23" xfId="0" applyFont="1" applyFill="1" applyBorder="1" applyNumberFormat="1">
      <alignment horizontal="center" vertical="center" wrapText="1"/>
    </xf>
    <xf numFmtId="4" fontId="19" fillId="37" borderId="0" xfId="0" applyFont="1" applyFill="1" applyNumberFormat="1">
      <alignment horizontal="right" vertical="center"/>
    </xf>
    <xf numFmtId="0" fontId="19" fillId="37" borderId="12" xfId="0" applyFont="1" applyFill="1" applyBorder="1">
      <alignment horizontal="left" vertical="center"/>
    </xf>
    <xf numFmtId="49" fontId="19" fillId="34" borderId="17" xfId="0" applyFont="1" applyFill="1" applyBorder="1" applyNumberFormat="1">
      <alignment horizontal="left" vertical="center" wrapText="1"/>
      <protection locked="0"/>
    </xf>
    <xf numFmtId="49" fontId="19" fillId="33" borderId="17" xfId="0" applyFont="1" applyFill="1" applyBorder="1" applyNumberFormat="1">
      <alignment horizontal="left" vertical="center" wrapText="1"/>
      <protection locked="0"/>
    </xf>
    <xf numFmtId="49" fontId="19" fillId="44" borderId="22" xfId="0" applyFont="1" applyFill="1" applyBorder="1" applyNumberFormat="1">
      <alignment horizontal="center" vertical="center" wrapText="1"/>
    </xf>
    <xf numFmtId="0" fontId="19" fillId="0" borderId="22" xfId="0" applyFont="1" applyBorder="1">
      <alignment horizontal="left" vertical="center" wrapText="1" indent="1"/>
    </xf>
    <xf numFmtId="4" fontId="19" fillId="33" borderId="22" xfId="0" applyFont="1" applyFill="1" applyBorder="1" applyNumberFormat="1">
      <alignment horizontal="right" vertical="center"/>
      <protection locked="0"/>
    </xf>
    <xf numFmtId="4" fontId="19" fillId="38" borderId="22" xfId="0" applyFont="1" applyFill="1" applyBorder="1" applyNumberFormat="1">
      <alignment horizontal="right" vertical="center"/>
    </xf>
    <xf numFmtId="49" fontId="39" fillId="42" borderId="57" xfId="0" applyFont="1" applyFill="1" applyBorder="1" applyNumberFormat="1">
      <alignment horizontal="left" vertical="center" wrapText="1" indent="1"/>
    </xf>
    <xf numFmtId="49" fontId="39" fillId="42" borderId="58" xfId="0" applyFont="1" applyFill="1" applyBorder="1" applyNumberFormat="1">
      <alignment horizontal="left" vertical="center" wrapText="1" indent="1"/>
    </xf>
    <xf numFmtId="0" fontId="39" fillId="42" borderId="59" xfId="0" applyFont="1" applyFill="1" applyBorder="1">
      <alignment horizontal="left" vertical="center" wrapText="1" indent="1"/>
    </xf>
    <xf numFmtId="49" fontId="45" fillId="37" borderId="52" xfId="0" applyFont="1" applyFill="1" applyBorder="1" applyNumberFormat="1">
      <alignment horizontal="center" vertical="center" wrapText="1"/>
    </xf>
    <xf numFmtId="0" fontId="19" fillId="37" borderId="20" xfId="0" applyFont="1" applyFill="1" applyBorder="1">
      <alignment horizontal="left" vertical="center"/>
    </xf>
    <xf numFmtId="0" fontId="19" fillId="0" borderId="22" xfId="0" applyFont="1" applyBorder="1">
      <alignment horizontal="left" vertical="center" wrapText="1" indent="2"/>
    </xf>
    <xf numFmtId="49" fontId="39" fillId="0" borderId="0" xfId="0" applyFont="1" applyNumberFormat="1">
      <alignment horizontal="left" vertical="center" wrapText="1" indent="1"/>
    </xf>
    <xf numFmtId="49" fontId="39" fillId="0" borderId="0" xfId="0" applyFont="1" applyNumberFormat="1">
      <alignment vertical="center" wrapText="1"/>
    </xf>
    <xf numFmtId="0" fontId="39" fillId="0" borderId="0" xfId="0" applyFont="1">
      <alignment horizontal="left" vertical="center" wrapText="1" indent="1"/>
    </xf>
    <xf numFmtId="0" fontId="33" fillId="0" borderId="0" xfId="0" applyFont="1"/>
    <xf numFmtId="49" fontId="23" fillId="0" borderId="60" xfId="0" applyFont="1" applyBorder="1" applyNumberFormat="1">
      <alignment horizontal="center" vertical="center"/>
    </xf>
    <xf numFmtId="0" fontId="23" fillId="0" borderId="60" xfId="0" applyFont="1" applyBorder="1">
      <alignment vertical="center" wrapText="1"/>
    </xf>
    <xf numFmtId="0" fontId="23" fillId="0" borderId="61" xfId="0" applyFont="1" applyBorder="1">
      <alignment vertical="center" wrapText="1"/>
    </xf>
    <xf numFmtId="0" fontId="23" fillId="0" borderId="61" xfId="0" applyFont="1" applyBorder="1">
      <alignment horizontal="center" vertical="center"/>
    </xf>
    <xf numFmtId="4" fontId="23" fillId="38" borderId="10" xfId="0" applyFont="1" applyFill="1" applyBorder="1" applyNumberFormat="1">
      <alignment horizontal="right" vertical="center"/>
    </xf>
    <xf numFmtId="4" fontId="23" fillId="33" borderId="10" xfId="0" applyFont="1" applyFill="1" applyBorder="1" applyNumberFormat="1">
      <alignment horizontal="right" vertical="center"/>
      <protection locked="0"/>
    </xf>
    <xf numFmtId="0" fontId="19" fillId="0" borderId="10" xfId="0" applyFont="1" applyBorder="1">
      <alignment horizontal="left" vertical="center" wrapText="1" indent="3"/>
    </xf>
    <xf numFmtId="0" fontId="19" fillId="0" borderId="23" xfId="0" applyFont="1" applyBorder="1">
      <alignment horizontal="left" vertical="center" wrapText="1" indent="3"/>
    </xf>
    <xf numFmtId="0" fontId="19" fillId="0" borderId="23" xfId="0" applyFont="1" applyBorder="1">
      <alignment horizontal="center" vertical="center"/>
    </xf>
    <xf numFmtId="4" fontId="19" fillId="38" borderId="21" xfId="0" applyFont="1" applyFill="1" applyBorder="1" applyNumberFormat="1">
      <alignment horizontal="right" vertical="center"/>
    </xf>
    <xf numFmtId="49" fontId="19" fillId="46" borderId="15" xfId="0" applyFont="1" applyFill="1" applyBorder="1" applyNumberFormat="1">
      <alignment horizontal="center" vertical="center" wrapText="1"/>
    </xf>
    <xf numFmtId="0" fontId="23" fillId="0" borderId="23" xfId="0" applyFont="1" applyBorder="1">
      <alignment vertical="center" wrapText="1"/>
    </xf>
    <xf numFmtId="0" fontId="23" fillId="0" borderId="23" xfId="0" applyFont="1" applyBorder="1">
      <alignment horizontal="center" vertical="center"/>
    </xf>
    <xf numFmtId="4" fontId="23" fillId="0" borderId="10" xfId="0" applyFont="1" applyBorder="1" applyNumberFormat="1">
      <alignment horizontal="right" vertical="center"/>
    </xf>
    <xf numFmtId="0" fontId="19" fillId="0" borderId="10" xfId="0" applyFont="1" applyBorder="1"/>
    <xf numFmtId="49" fontId="19" fillId="38" borderId="10" xfId="0" applyFont="1" applyFill="1" applyBorder="1" applyNumberFormat="1">
      <alignment horizontal="left" vertical="center" wrapText="1" indent="2"/>
    </xf>
    <xf numFmtId="0" fontId="33" fillId="0" borderId="0" xfId="0" applyFont="1">
      <alignment horizontal="left"/>
    </xf>
    <xf numFmtId="49" fontId="39" fillId="42" borderId="28" xfId="0" applyFont="1" applyFill="1" applyBorder="1" applyNumberFormat="1">
      <alignment horizontal="left" vertical="center" wrapText="1" indent="1"/>
    </xf>
    <xf numFmtId="49" fontId="39" fillId="42" borderId="47" xfId="0" applyFont="1" applyFill="1" applyBorder="1" applyNumberFormat="1">
      <alignment horizontal="left" vertical="center" wrapText="1" indent="1"/>
    </xf>
    <xf numFmtId="0" fontId="39" fillId="42" borderId="29" xfId="0" applyFont="1" applyFill="1" applyBorder="1">
      <alignment horizontal="left" vertical="center" wrapText="1" indent="1"/>
    </xf>
    <xf numFmtId="4" fontId="23" fillId="0" borderId="12" xfId="0" applyFont="1" applyBorder="1" applyNumberFormat="1">
      <alignment horizontal="right" vertical="center"/>
    </xf>
    <xf numFmtId="4" fontId="19" fillId="38" borderId="12" xfId="0" applyFont="1" applyFill="1" applyBorder="1" applyNumberFormat="1">
      <alignment horizontal="right" vertical="center"/>
    </xf>
    <xf numFmtId="49" fontId="19" fillId="44" borderId="10" xfId="0" applyFont="1" applyFill="1" applyBorder="1" applyNumberFormat="1">
      <alignment horizontal="center" vertical="center" wrapText="1"/>
    </xf>
    <xf numFmtId="0" fontId="19" fillId="0" borderId="10" xfId="0" applyFont="1" applyBorder="1">
      <alignment horizontal="left" vertical="center" wrapText="1" indent="4"/>
    </xf>
    <xf numFmtId="0" fontId="19" fillId="0" borderId="10" xfId="0" applyFont="1" applyBorder="1">
      <alignment horizontal="left" vertical="center" indent="4"/>
    </xf>
    <xf numFmtId="49" fontId="39" fillId="42" borderId="52" xfId="0" applyFont="1" applyFill="1" applyBorder="1" applyNumberFormat="1">
      <alignment horizontal="left" vertical="center" wrapText="1" indent="1"/>
    </xf>
    <xf numFmtId="49" fontId="39" fillId="42" borderId="49" xfId="0" applyFont="1" applyFill="1" applyBorder="1" applyNumberFormat="1">
      <alignment horizontal="left" vertical="center" wrapText="1" indent="1"/>
    </xf>
    <xf numFmtId="0" fontId="39" fillId="42" borderId="12" xfId="0" applyFont="1" applyFill="1" applyBorder="1">
      <alignment horizontal="left" vertical="center" wrapText="1" indent="1"/>
    </xf>
    <xf numFmtId="0" fontId="20" fillId="42" borderId="12" xfId="0" applyFont="1" applyFill="1" applyBorder="1">
      <alignment vertical="center"/>
    </xf>
    <xf numFmtId="0" fontId="49" fillId="0" borderId="34" xfId="0" applyFont="1" applyBorder="1">
      <alignment vertical="center"/>
    </xf>
    <xf numFmtId="0" fontId="49" fillId="0" borderId="34" xfId="0" applyFont="1" applyBorder="1"/>
    <xf numFmtId="0" fontId="50" fillId="0" borderId="0" xfId="0" applyFont="1"/>
    <xf numFmtId="0" fontId="50" fillId="0" borderId="0" xfId="0" applyFont="1">
      <alignment horizontal="left"/>
    </xf>
    <xf numFmtId="0" fontId="19" fillId="0" borderId="28" xfId="0" applyFont="1" applyBorder="1">
      <alignment horizontal="center" vertical="center"/>
    </xf>
    <xf numFmtId="0" fontId="20" fillId="0" borderId="10" xfId="0" applyFont="1" applyBorder="1"/>
    <xf numFmtId="0" fontId="20" fillId="0" borderId="23" xfId="0" applyFont="1" applyBorder="1"/>
    <xf numFmtId="0" fontId="20" fillId="0" borderId="35" xfId="0" applyFont="1" applyBorder="1"/>
    <xf numFmtId="0" fontId="20" fillId="0" borderId="12" xfId="0" applyFont="1" applyBorder="1"/>
    <xf numFmtId="0" fontId="42" fillId="45" borderId="23" xfId="0" applyFont="1" applyFill="1" applyBorder="1">
      <alignment horizontal="left" vertical="center"/>
    </xf>
    <xf numFmtId="0" fontId="42" fillId="45" borderId="12" xfId="0" applyFont="1" applyFill="1" applyBorder="1">
      <alignment horizontal="left" vertical="center"/>
    </xf>
    <xf numFmtId="49" fontId="19" fillId="33" borderId="10" xfId="0" applyFont="1" applyFill="1" applyBorder="1" applyNumberFormat="1">
      <alignment horizontal="left" vertical="center" wrapText="1" indent="1"/>
      <protection locked="0"/>
    </xf>
    <xf numFmtId="0" fontId="19" fillId="0" borderId="10" xfId="0" applyFont="1" applyBorder="1">
      <alignment horizontal="left" vertical="center" wrapText="1" indent="2"/>
    </xf>
    <xf numFmtId="4" fontId="19" fillId="38" borderId="10" xfId="0" applyFont="1" applyFill="1" applyBorder="1" applyNumberFormat="1">
      <alignment horizontal="right" vertical="center"/>
    </xf>
    <xf numFmtId="49" fontId="24" fillId="0" borderId="34" xfId="0" applyFont="1" applyBorder="1" applyNumberFormat="1">
      <alignment horizontal="center" vertical="center" wrapText="1"/>
    </xf>
    <xf numFmtId="0" fontId="19" fillId="0" borderId="35" xfId="0" applyFont="1" applyBorder="1">
      <alignment horizontal="center" vertical="center"/>
    </xf>
    <xf numFmtId="0" fontId="19" fillId="0" borderId="35" xfId="0" applyFont="1" applyBorder="1">
      <alignment horizontal="center" vertical="center" wrapText="1"/>
    </xf>
    <xf numFmtId="0" fontId="20" fillId="0" borderId="20" xfId="0" applyFont="1" applyBorder="1">
      <alignment horizontal="center" vertical="center" wrapText="1"/>
    </xf>
    <xf numFmtId="49" fontId="42" fillId="45" borderId="12" xfId="0" applyFont="1" applyFill="1" applyBorder="1" applyNumberFormat="1">
      <alignment horizontal="left" vertical="center" wrapText="1"/>
    </xf>
    <xf numFmtId="0" fontId="28" fillId="0" borderId="0" xfId="0" applyFont="1">
      <alignment horizontal="center" vertical="center"/>
    </xf>
    <xf numFmtId="0" fontId="23" fillId="0" borderId="0" xfId="0" applyFont="1"/>
    <xf numFmtId="49" fontId="20" fillId="0" borderId="17" xfId="0" applyFont="1" applyBorder="1" applyNumberFormat="1">
      <alignment horizontal="center" vertical="center"/>
    </xf>
    <xf numFmtId="49" fontId="0" fillId="0" borderId="17" xfId="0" applyFont="1" applyBorder="1" applyNumberFormat="1">
      <alignment horizontal="left" vertical="center" wrapText="1" indent="1"/>
    </xf>
    <xf numFmtId="49" fontId="0" fillId="0" borderId="17" xfId="0" applyFont="1" applyBorder="1" applyNumberFormat="1">
      <alignment horizontal="left" vertical="center" wrapText="1" indent="2"/>
    </xf>
    <xf numFmtId="49" fontId="19" fillId="0" borderId="17" xfId="0" applyFont="1" applyBorder="1" applyNumberFormat="1">
      <alignment horizontal="left" vertical="center" wrapText="1" indent="2"/>
    </xf>
    <xf numFmtId="4" fontId="19" fillId="0" borderId="0" xfId="0" applyFont="1" applyNumberFormat="1">
      <alignment horizontal="center" vertical="center"/>
    </xf>
    <xf numFmtId="0" fontId="49" fillId="0" borderId="34" xfId="0" applyFont="1" applyBorder="1">
      <alignment vertical="center" wrapText="1"/>
    </xf>
    <xf numFmtId="173" fontId="28" fillId="0" borderId="0" xfId="0" applyFont="1" applyNumberFormat="1">
      <alignment horizontal="left" vertical="center" wrapText="1"/>
    </xf>
    <xf numFmtId="0" fontId="20" fillId="0" borderId="12" xfId="0" applyFont="1" applyBorder="1">
      <alignment horizontal="center" vertical="center" wrapText="1"/>
    </xf>
    <xf numFmtId="49" fontId="23" fillId="0" borderId="11" xfId="0" applyFont="1" applyBorder="1" applyNumberFormat="1">
      <alignment horizontal="center" vertical="center"/>
    </xf>
    <xf numFmtId="0" fontId="23" fillId="0" borderId="11" xfId="0" applyFont="1" applyBorder="1">
      <alignment horizontal="left" vertical="center" wrapText="1"/>
    </xf>
    <xf numFmtId="0" fontId="23" fillId="44" borderId="22" xfId="0" applyFont="1" applyFill="1" applyBorder="1">
      <alignment horizontal="center" vertical="center" wrapText="1"/>
    </xf>
    <xf numFmtId="0" fontId="23" fillId="0" borderId="10" xfId="0" applyFont="1" applyBorder="1">
      <alignment horizontal="left" vertical="center" wrapText="1"/>
    </xf>
    <xf numFmtId="0" fontId="23" fillId="44" borderId="10" xfId="0" applyFont="1" applyFill="1" applyBorder="1">
      <alignment horizontal="center" vertical="center" wrapText="1"/>
    </xf>
    <xf numFmtId="0" fontId="19" fillId="0" borderId="10" xfId="0" applyFont="1" applyBorder="1">
      <alignment horizontal="left" vertical="center" wrapText="1" indent="1"/>
    </xf>
    <xf numFmtId="0" fontId="19" fillId="44" borderId="10" xfId="0" applyFont="1" applyFill="1" applyBorder="1">
      <alignment horizontal="center" vertical="center" wrapText="1"/>
    </xf>
    <xf numFmtId="0" fontId="0" fillId="4" borderId="0" xfId="0" applyFont="1" applyFill="1">
      <alignment vertical="top"/>
    </xf>
    <xf numFmtId="0" fontId="0" fillId="37" borderId="0" xfId="0" applyFont="1" applyFill="1">
      <alignment vertical="top"/>
    </xf>
    <xf numFmtId="0" fontId="51" fillId="0" borderId="0" xfId="0" applyFont="1"/>
    <xf numFmtId="49" fontId="19" fillId="34" borderId="10" xfId="0" applyFont="1" applyFill="1" applyBorder="1" applyNumberFormat="1">
      <alignment horizontal="center" vertical="center"/>
      <protection locked="0"/>
    </xf>
    <xf numFmtId="49" fontId="19" fillId="34" borderId="10" xfId="0" applyFont="1" applyFill="1" applyBorder="1" applyNumberFormat="1">
      <alignment horizontal="left" vertical="center" wrapText="1" indent="1"/>
      <protection locked="0"/>
    </xf>
    <xf numFmtId="49" fontId="24" fillId="0" borderId="34" xfId="0" applyFont="1" applyBorder="1" applyNumberFormat="1">
      <alignment horizontal="left" vertical="center" wrapText="1" indent="4"/>
    </xf>
    <xf numFmtId="49" fontId="24" fillId="0" borderId="0" xfId="0" applyFont="1" applyNumberFormat="1" quotePrefix="1">
      <alignment horizontal="left" vertical="center" wrapText="1" indent="4"/>
    </xf>
    <xf numFmtId="0" fontId="20" fillId="0" borderId="52" xfId="0" applyFont="1" applyBorder="1"/>
    <xf numFmtId="0" fontId="42" fillId="45" borderId="52" xfId="0" applyFont="1" applyFill="1" applyBorder="1">
      <alignment horizontal="left" vertical="center"/>
    </xf>
    <xf numFmtId="0" fontId="19" fillId="0" borderId="10" xfId="0" applyFont="1" applyBorder="1">
      <alignment vertical="center" wrapText="1"/>
    </xf>
    <xf numFmtId="4" fontId="20" fillId="33" borderId="10" xfId="0" applyFont="1" applyFill="1" applyBorder="1" applyNumberFormat="1">
      <alignment horizontal="right" vertical="center" wrapText="1"/>
      <protection locked="0"/>
    </xf>
    <xf numFmtId="0" fontId="20" fillId="0" borderId="10" xfId="0" applyFont="1" applyBorder="1">
      <alignment horizontal="center" vertical="center" wrapText="1"/>
      <protection locked="0"/>
    </xf>
    <xf numFmtId="49" fontId="24" fillId="0" borderId="34" xfId="0" applyFont="1" applyBorder="1" applyNumberFormat="1" quotePrefix="1">
      <alignment horizontal="left" vertical="center"/>
    </xf>
    <xf numFmtId="0" fontId="20" fillId="0" borderId="34" xfId="0" applyFont="1" applyBorder="1">
      <alignment vertical="center"/>
    </xf>
    <xf numFmtId="0" fontId="20" fillId="35" borderId="35" xfId="0" applyFont="1" applyFill="1" applyBorder="1">
      <alignment horizontal="center" vertical="center" wrapText="1"/>
    </xf>
    <xf numFmtId="0" fontId="23" fillId="0" borderId="10" xfId="0" applyFont="1" applyBorder="1">
      <alignment horizontal="center" vertical="center" wrapText="1"/>
    </xf>
    <xf numFmtId="4" fontId="24" fillId="38" borderId="10" xfId="0" applyFont="1" applyFill="1" applyBorder="1" applyNumberFormat="1">
      <alignment horizontal="right" vertical="center" wrapText="1"/>
    </xf>
    <xf numFmtId="4" fontId="20" fillId="33" borderId="10" xfId="0" applyFont="1" applyFill="1" applyBorder="1" applyNumberFormat="1">
      <alignment horizontal="right"/>
      <protection locked="0"/>
    </xf>
    <xf numFmtId="0" fontId="20" fillId="0" borderId="10" xfId="0" applyFont="1" applyBorder="1">
      <alignment horizontal="center" vertical="center"/>
    </xf>
    <xf numFmtId="49" fontId="39" fillId="42" borderId="23" xfId="0" applyFont="1" applyFill="1" applyBorder="1" applyNumberFormat="1">
      <alignment horizontal="left" vertical="center" wrapText="1"/>
    </xf>
    <xf numFmtId="0" fontId="52" fillId="0" borderId="0" xfId="0" applyFont="1">
      <alignment horizontal="left" vertical="top" wrapText="1"/>
    </xf>
    <xf numFmtId="0" fontId="20" fillId="35" borderId="49" xfId="0" applyFont="1" applyFill="1" applyBorder="1">
      <alignment horizontal="center" vertical="center" wrapText="1"/>
    </xf>
    <xf numFmtId="0" fontId="24" fillId="0" borderId="0" xfId="0" applyFont="1">
      <alignment vertical="center"/>
    </xf>
    <xf numFmtId="0" fontId="24" fillId="0" borderId="0" xfId="0" applyFont="1"/>
    <xf numFmtId="4" fontId="28" fillId="38" borderId="10" xfId="0" applyFont="1" applyFill="1" applyBorder="1" applyNumberFormat="1">
      <alignment horizontal="right" vertical="center" wrapText="1"/>
    </xf>
    <xf numFmtId="4" fontId="0" fillId="33" borderId="10" xfId="0" applyFont="1" applyFill="1" applyBorder="1" applyNumberFormat="1">
      <alignment horizontal="right" vertical="center" wrapText="1"/>
      <protection locked="0"/>
    </xf>
    <xf numFmtId="2" fontId="20" fillId="38" borderId="10" xfId="0" applyFont="1" applyFill="1" applyBorder="1" applyNumberFormat="1">
      <alignment horizontal="right" vertical="center" wrapText="1"/>
    </xf>
    <xf numFmtId="0" fontId="0" fillId="0" borderId="10" xfId="0" applyFont="1" applyBorder="1">
      <alignment horizontal="center" vertical="center" wrapText="1"/>
    </xf>
    <xf numFmtId="172" fontId="20" fillId="33" borderId="10" xfId="0" applyFont="1" applyFill="1" applyBorder="1" applyNumberFormat="1">
      <alignment horizontal="right" vertical="center" wrapText="1"/>
      <protection locked="0"/>
    </xf>
    <xf numFmtId="172" fontId="0" fillId="33" borderId="10" xfId="0" applyFont="1" applyFill="1" applyBorder="1" applyNumberFormat="1">
      <alignment horizontal="right" vertical="center" wrapText="1"/>
      <protection locked="0"/>
    </xf>
    <xf numFmtId="0" fontId="53" fillId="0" borderId="0" xfId="0" applyFont="1">
      <alignment horizontal="center" vertical="center"/>
    </xf>
    <xf numFmtId="0" fontId="53" fillId="0" borderId="0" xfId="0" applyFont="1">
      <alignment vertical="center"/>
    </xf>
    <xf numFmtId="0" fontId="53" fillId="0" borderId="0" xfId="0" applyFont="1">
      <alignment horizontal="center" vertical="center" wrapText="1"/>
    </xf>
    <xf numFmtId="0" fontId="53" fillId="0" borderId="0" xfId="0" applyFont="1">
      <alignment vertical="center" wrapText="1"/>
    </xf>
    <xf numFmtId="49" fontId="54" fillId="0" borderId="34" xfId="0" applyFont="1" applyBorder="1" applyNumberFormat="1">
      <alignment vertical="center"/>
    </xf>
    <xf numFmtId="49" fontId="54" fillId="0" borderId="0" xfId="0" applyFont="1" applyNumberFormat="1">
      <alignment horizontal="left" vertical="center" wrapText="1" indent="4"/>
    </xf>
    <xf numFmtId="0" fontId="53" fillId="0" borderId="10" xfId="0" applyFont="1" applyBorder="1">
      <alignment horizontal="center" vertical="center" wrapText="1"/>
    </xf>
    <xf numFmtId="0" fontId="53" fillId="11" borderId="10" xfId="0" applyFont="1" applyFill="1" applyBorder="1">
      <alignment horizontal="center" vertical="center" wrapText="1"/>
    </xf>
    <xf numFmtId="0" fontId="33" fillId="44" borderId="62" xfId="0" applyFont="1" applyFill="1" applyBorder="1">
      <alignment horizontal="center" vertical="center" wrapText="1"/>
    </xf>
    <xf numFmtId="0" fontId="33" fillId="44" borderId="0" xfId="0" applyFont="1" applyFill="1">
      <alignment horizontal="center" vertical="center" wrapText="1"/>
    </xf>
    <xf numFmtId="0" fontId="42" fillId="45" borderId="62" xfId="0" applyFont="1" applyFill="1" applyBorder="1">
      <alignment horizontal="left" vertical="center"/>
    </xf>
    <xf numFmtId="0" fontId="54" fillId="0" borderId="0" xfId="0" applyFont="1">
      <alignment horizontal="center" vertical="center" wrapText="1"/>
    </xf>
    <xf numFmtId="0" fontId="54" fillId="0" borderId="0" xfId="0" applyFont="1">
      <alignment vertical="center" wrapText="1"/>
    </xf>
    <xf numFmtId="4" fontId="24" fillId="33" borderId="10" xfId="0" applyFont="1" applyFill="1" applyBorder="1" applyNumberFormat="1">
      <alignment horizontal="right" vertical="center"/>
      <protection locked="0"/>
    </xf>
    <xf numFmtId="4" fontId="24" fillId="38" borderId="10" xfId="0" applyFont="1" applyFill="1" applyBorder="1" applyNumberFormat="1">
      <alignment horizontal="right" vertical="center"/>
    </xf>
    <xf numFmtId="172" fontId="20" fillId="33" borderId="10" xfId="0" applyFont="1" applyFill="1" applyBorder="1" applyNumberFormat="1">
      <alignment horizontal="right" vertical="center"/>
      <protection locked="0"/>
    </xf>
    <xf numFmtId="172" fontId="20" fillId="38" borderId="10" xfId="0" applyFont="1" applyFill="1" applyBorder="1" applyNumberFormat="1">
      <alignment horizontal="right" vertical="center"/>
    </xf>
    <xf numFmtId="4" fontId="20" fillId="38" borderId="10" xfId="0" applyFont="1" applyFill="1" applyBorder="1" applyNumberFormat="1">
      <alignment horizontal="right" vertical="center"/>
    </xf>
    <xf numFmtId="0" fontId="54" fillId="0" borderId="0" xfId="0" applyFont="1">
      <alignment vertical="center"/>
    </xf>
    <xf numFmtId="49" fontId="22" fillId="44" borderId="11" xfId="0" applyFont="1" applyFill="1" applyBorder="1" applyNumberFormat="1">
      <alignment horizontal="center" vertical="center" wrapText="1"/>
    </xf>
    <xf numFmtId="49" fontId="19" fillId="34" borderId="11" xfId="0" applyFont="1" applyFill="1" applyBorder="1" applyNumberFormat="1">
      <alignment horizontal="left" vertical="center" wrapText="1" indent="1"/>
      <protection locked="0"/>
    </xf>
    <xf numFmtId="4" fontId="20" fillId="33" borderId="11" xfId="0" applyFont="1" applyFill="1" applyBorder="1" applyNumberFormat="1">
      <alignment horizontal="right" vertical="center"/>
      <protection locked="0"/>
    </xf>
    <xf numFmtId="4" fontId="20" fillId="38" borderId="11" xfId="0" applyFont="1" applyFill="1" applyBorder="1" applyNumberFormat="1">
      <alignment horizontal="right" vertical="center"/>
    </xf>
    <xf numFmtId="49" fontId="22" fillId="42" borderId="23" xfId="0" applyFont="1" applyFill="1" applyBorder="1" applyNumberFormat="1">
      <alignment horizontal="center" vertical="center" wrapText="1"/>
    </xf>
    <xf numFmtId="49" fontId="19" fillId="42" borderId="35" xfId="0" applyFont="1" applyFill="1" applyBorder="1" applyNumberFormat="1">
      <alignment horizontal="center" vertical="center" wrapText="1"/>
    </xf>
    <xf numFmtId="4" fontId="20" fillId="42" borderId="35" xfId="0" applyFont="1" applyFill="1" applyBorder="1" applyNumberFormat="1">
      <alignment horizontal="right" vertical="center"/>
    </xf>
    <xf numFmtId="0" fontId="20" fillId="42" borderId="35" xfId="0" applyFont="1" applyFill="1" applyBorder="1">
      <alignment horizontal="right" vertical="center"/>
    </xf>
    <xf numFmtId="0" fontId="20" fillId="42" borderId="12" xfId="0" applyFont="1" applyFill="1" applyBorder="1">
      <alignment horizontal="right" vertical="center"/>
    </xf>
    <xf numFmtId="0" fontId="20" fillId="0" borderId="21" xfId="0" applyFont="1" applyBorder="1">
      <alignment horizontal="left" vertical="center" wrapText="1" indent="1"/>
    </xf>
    <xf numFmtId="4" fontId="20" fillId="38" borderId="21" xfId="0" applyFont="1" applyFill="1" applyBorder="1" applyNumberFormat="1">
      <alignment horizontal="right" vertical="center"/>
    </xf>
    <xf numFmtId="4" fontId="20" fillId="33" borderId="21" xfId="0" applyFont="1" applyFill="1" applyBorder="1" applyNumberFormat="1">
      <alignment horizontal="right" vertical="center"/>
      <protection locked="0"/>
    </xf>
    <xf numFmtId="49" fontId="55" fillId="44" borderId="11" xfId="0" applyFont="1" applyFill="1" applyBorder="1" applyNumberFormat="1">
      <alignment horizontal="left" vertical="center" wrapText="1" indent="1"/>
    </xf>
    <xf numFmtId="4" fontId="20" fillId="0" borderId="0" xfId="0" applyFont="1" applyNumberFormat="1">
      <alignment horizontal="right" vertical="center"/>
      <protection locked="0"/>
    </xf>
    <xf numFmtId="0" fontId="20" fillId="0" borderId="0" xfId="0" applyFont="1">
      <alignment horizontal="right" vertical="center"/>
      <protection locked="0"/>
    </xf>
    <xf numFmtId="4" fontId="20" fillId="42" borderId="34" xfId="0" applyFont="1" applyFill="1" applyBorder="1" applyNumberFormat="1">
      <alignment horizontal="right" vertical="center"/>
    </xf>
    <xf numFmtId="49" fontId="22" fillId="35" borderId="10" xfId="0" applyFont="1" applyFill="1" applyBorder="1" applyNumberFormat="1">
      <alignment horizontal="left" vertical="center" wrapText="1"/>
    </xf>
    <xf numFmtId="4" fontId="22" fillId="0" borderId="10" xfId="0" applyFont="1" applyBorder="1" applyNumberFormat="1">
      <alignment vertical="center" wrapText="1"/>
    </xf>
    <xf numFmtId="4" fontId="22" fillId="44" borderId="10" xfId="0" applyFont="1" applyFill="1" applyBorder="1" applyNumberFormat="1">
      <alignment vertical="center" wrapText="1"/>
    </xf>
    <xf numFmtId="2" fontId="22" fillId="33" borderId="10" xfId="0" applyFont="1" applyFill="1" applyBorder="1" applyNumberFormat="1">
      <alignment vertical="center" wrapText="1"/>
      <protection locked="0"/>
    </xf>
    <xf numFmtId="2" fontId="22" fillId="38" borderId="10" xfId="0" applyFont="1" applyFill="1" applyBorder="1" applyNumberFormat="1">
      <alignment vertical="center" wrapText="1"/>
    </xf>
    <xf numFmtId="2" fontId="22" fillId="44" borderId="10" xfId="0" applyFont="1" applyFill="1" applyBorder="1" applyNumberFormat="1">
      <alignment vertical="center" wrapText="1"/>
    </xf>
    <xf numFmtId="2" fontId="22" fillId="33" borderId="11" xfId="0" applyFont="1" applyFill="1" applyBorder="1" applyNumberFormat="1">
      <alignment vertical="center" wrapText="1"/>
      <protection locked="0"/>
    </xf>
    <xf numFmtId="4" fontId="22" fillId="44" borderId="23" xfId="0" applyFont="1" applyFill="1" applyBorder="1" applyNumberFormat="1">
      <alignment vertical="center" wrapText="1"/>
    </xf>
    <xf numFmtId="2" fontId="22" fillId="38" borderId="12" xfId="0" applyFont="1" applyFill="1" applyBorder="1" applyNumberFormat="1">
      <alignment vertical="center" wrapText="1"/>
    </xf>
    <xf numFmtId="4" fontId="22" fillId="0" borderId="11" xfId="0" applyFont="1" applyBorder="1" applyNumberFormat="1">
      <alignment vertical="center" wrapText="1"/>
    </xf>
    <xf numFmtId="4" fontId="22" fillId="44" borderId="11" xfId="0" applyFont="1" applyFill="1" applyBorder="1" applyNumberFormat="1">
      <alignment vertical="center" wrapText="1"/>
    </xf>
    <xf numFmtId="4" fontId="22" fillId="44" borderId="28" xfId="0" applyFont="1" applyFill="1" applyBorder="1" applyNumberFormat="1">
      <alignment vertical="center" wrapText="1"/>
    </xf>
    <xf numFmtId="2" fontId="22" fillId="44" borderId="11" xfId="0" applyFont="1" applyFill="1" applyBorder="1" applyNumberFormat="1">
      <alignment vertical="center" wrapText="1"/>
    </xf>
    <xf numFmtId="49" fontId="25" fillId="44" borderId="11" xfId="0" applyFont="1" applyFill="1" applyBorder="1" applyNumberFormat="1">
      <alignment horizontal="center" vertical="center" wrapText="1"/>
    </xf>
    <xf numFmtId="49" fontId="25" fillId="35" borderId="11" xfId="0" applyFont="1" applyFill="1" applyBorder="1" applyNumberFormat="1">
      <alignment horizontal="left" vertical="center" wrapText="1"/>
    </xf>
    <xf numFmtId="49" fontId="25" fillId="44" borderId="28" xfId="0" applyFont="1" applyFill="1" applyBorder="1" applyNumberFormat="1">
      <alignment horizontal="center" vertical="center" wrapText="1"/>
    </xf>
    <xf numFmtId="4" fontId="25" fillId="38" borderId="10" xfId="0" applyFont="1" applyFill="1" applyBorder="1" applyNumberFormat="1">
      <alignment vertical="center" wrapText="1"/>
    </xf>
    <xf numFmtId="4" fontId="25" fillId="38" borderId="23" xfId="0" applyFont="1" applyFill="1" applyBorder="1" applyNumberFormat="1">
      <alignment vertical="center" wrapText="1"/>
    </xf>
    <xf numFmtId="4" fontId="25" fillId="33" borderId="10" xfId="0" applyFont="1" applyFill="1" applyBorder="1" applyNumberFormat="1">
      <alignment vertical="center" wrapText="1"/>
      <protection locked="0"/>
    </xf>
    <xf numFmtId="4" fontId="24" fillId="33" borderId="12" xfId="0" applyFont="1" applyFill="1" applyBorder="1" applyNumberFormat="1">
      <alignment horizontal="right" vertical="center"/>
      <protection locked="0"/>
    </xf>
    <xf numFmtId="4" fontId="25" fillId="33" borderId="35" xfId="0" applyFont="1" applyFill="1" applyBorder="1" applyNumberFormat="1">
      <alignment vertical="center" wrapText="1"/>
      <protection locked="0"/>
    </xf>
    <xf numFmtId="2" fontId="24" fillId="0" borderId="10" xfId="0" applyFont="1" applyBorder="1" applyNumberFormat="1">
      <alignment horizontal="right" vertical="center"/>
    </xf>
    <xf numFmtId="2" fontId="24" fillId="33" borderId="10" xfId="0" applyFont="1" applyFill="1" applyBorder="1" applyNumberFormat="1">
      <alignment horizontal="right" vertical="center"/>
      <protection locked="0"/>
    </xf>
    <xf numFmtId="0" fontId="0" fillId="35" borderId="0" xfId="0" applyFont="1" applyFill="1">
      <alignment horizontal="center" vertical="center"/>
    </xf>
    <xf numFmtId="0" fontId="53" fillId="35" borderId="0" xfId="0" applyFont="1" applyFill="1">
      <alignment vertical="center"/>
    </xf>
    <xf numFmtId="49" fontId="19" fillId="35" borderId="10" xfId="0" applyFont="1" applyFill="1" applyBorder="1" applyNumberFormat="1">
      <alignment horizontal="center" vertical="center"/>
    </xf>
    <xf numFmtId="0" fontId="19" fillId="35" borderId="10" xfId="0" applyFont="1" applyFill="1" applyBorder="1">
      <alignment horizontal="left" vertical="center" wrapText="1" indent="1"/>
    </xf>
    <xf numFmtId="0" fontId="20" fillId="35" borderId="23" xfId="0" applyFont="1" applyFill="1" applyBorder="1">
      <alignment horizontal="center" vertical="center"/>
    </xf>
    <xf numFmtId="4" fontId="20" fillId="35" borderId="10" xfId="0" applyFont="1" applyFill="1" applyBorder="1" applyNumberFormat="1">
      <alignment horizontal="right" vertical="center"/>
      <protection locked="0"/>
    </xf>
    <xf numFmtId="4" fontId="20" fillId="35" borderId="23" xfId="0" applyFont="1" applyFill="1" applyBorder="1" applyNumberFormat="1">
      <alignment horizontal="right" vertical="center"/>
    </xf>
    <xf numFmtId="2" fontId="20" fillId="35" borderId="10" xfId="0" applyFont="1" applyFill="1" applyBorder="1" applyNumberFormat="1">
      <alignment horizontal="right" vertical="center"/>
      <protection locked="0"/>
    </xf>
    <xf numFmtId="2" fontId="20" fillId="33" borderId="10" xfId="0" applyFont="1" applyFill="1" applyBorder="1" applyNumberFormat="1">
      <alignment horizontal="right" vertical="center"/>
      <protection locked="0"/>
    </xf>
    <xf numFmtId="2" fontId="20" fillId="35" borderId="10" xfId="0" applyFont="1" applyFill="1" applyBorder="1" applyNumberFormat="1">
      <alignment horizontal="right" vertical="center"/>
    </xf>
    <xf numFmtId="4" fontId="22" fillId="38" borderId="10" xfId="0" applyFont="1" applyFill="1" applyBorder="1" applyNumberFormat="1">
      <alignment vertical="center" wrapText="1"/>
    </xf>
    <xf numFmtId="4" fontId="22" fillId="38" borderId="10" xfId="0" applyFont="1" applyFill="1" applyBorder="1" applyNumberFormat="1">
      <alignment vertical="center" wrapText="1"/>
    </xf>
    <xf numFmtId="4" fontId="20" fillId="38" borderId="10" xfId="0" applyFont="1" applyFill="1" applyBorder="1" applyNumberFormat="1">
      <alignment horizontal="right" vertical="center"/>
    </xf>
    <xf numFmtId="4" fontId="22" fillId="33" borderId="10" xfId="0" applyFont="1" applyFill="1" applyBorder="1" applyNumberFormat="1">
      <alignment vertical="center" wrapText="1"/>
      <protection locked="0"/>
    </xf>
    <xf numFmtId="49" fontId="22" fillId="34" borderId="10" xfId="0" applyFont="1" applyFill="1" applyBorder="1" applyNumberFormat="1">
      <alignment horizontal="left" vertical="center" wrapText="1"/>
      <protection locked="0"/>
    </xf>
    <xf numFmtId="49" fontId="25" fillId="44" borderId="10" xfId="0" applyFont="1" applyFill="1" applyBorder="1" applyNumberFormat="1">
      <alignment horizontal="center" vertical="center" wrapText="1"/>
    </xf>
    <xf numFmtId="4" fontId="25" fillId="38" borderId="10" xfId="0" applyFont="1" applyFill="1" applyBorder="1" applyNumberFormat="1">
      <alignment vertical="center" wrapText="1"/>
    </xf>
    <xf numFmtId="0" fontId="0" fillId="47" borderId="0" xfId="0" applyFont="1" applyFill="1">
      <alignment horizontal="center" vertical="center"/>
    </xf>
    <xf numFmtId="49" fontId="19" fillId="35" borderId="17" xfId="0" applyFont="1" applyFill="1" applyBorder="1" applyNumberFormat="1">
      <alignment horizontal="left" vertical="center" wrapText="1"/>
    </xf>
    <xf numFmtId="49" fontId="19" fillId="0" borderId="22" xfId="0" applyFont="1" applyBorder="1" applyNumberFormat="1">
      <alignment horizontal="center" vertical="center"/>
    </xf>
    <xf numFmtId="49" fontId="19" fillId="35" borderId="22" xfId="0" applyFont="1" applyFill="1" applyBorder="1" applyNumberFormat="1">
      <alignment horizontal="left" vertical="center" wrapText="1"/>
    </xf>
    <xf numFmtId="49" fontId="19" fillId="35" borderId="12" xfId="0" applyFont="1" applyFill="1" applyBorder="1" applyNumberFormat="1">
      <alignment horizontal="left" vertical="center" wrapText="1"/>
    </xf>
    <xf numFmtId="0" fontId="19" fillId="35" borderId="29" xfId="0" applyFont="1" applyFill="1" applyBorder="1">
      <alignment horizontal="left" vertical="center" wrapText="1" indent="2"/>
    </xf>
    <xf numFmtId="4" fontId="20" fillId="38" borderId="12" xfId="0" applyFont="1" applyFill="1" applyBorder="1" applyNumberFormat="1">
      <alignment horizontal="right" vertical="center"/>
    </xf>
    <xf numFmtId="49" fontId="19" fillId="35" borderId="10" xfId="0" applyFont="1" applyFill="1" applyBorder="1" applyNumberFormat="1">
      <alignment horizontal="left" vertical="center" wrapText="1"/>
    </xf>
    <xf numFmtId="4" fontId="20" fillId="38" borderId="29" xfId="0" applyFont="1" applyFill="1" applyBorder="1" applyNumberFormat="1">
      <alignment horizontal="right" vertical="center"/>
    </xf>
    <xf numFmtId="49" fontId="23" fillId="0" borderId="23" xfId="0" applyFont="1" applyBorder="1" applyNumberFormat="1">
      <alignment horizontal="center" vertical="center" wrapText="1"/>
    </xf>
    <xf numFmtId="4" fontId="24" fillId="38" borderId="29" xfId="0" applyFont="1" applyFill="1" applyBorder="1" applyNumberFormat="1">
      <alignment horizontal="right" vertical="center"/>
    </xf>
    <xf numFmtId="4" fontId="24" fillId="38" borderId="11" xfId="0" applyFont="1" applyFill="1" applyBorder="1" applyNumberFormat="1">
      <alignment horizontal="right" vertical="center"/>
    </xf>
    <xf numFmtId="49" fontId="19" fillId="0" borderId="0" xfId="0" applyFont="1" applyNumberFormat="1"/>
    <xf numFmtId="49" fontId="20" fillId="0" borderId="0" xfId="0" applyFont="1" applyNumberFormat="1">
      <alignment vertical="center"/>
    </xf>
    <xf numFmtId="49" fontId="20" fillId="0" borderId="0" xfId="0" applyFont="1" applyNumberFormat="1">
      <alignment horizontal="center" vertical="center" wrapText="1"/>
    </xf>
    <xf numFmtId="49" fontId="20" fillId="0" borderId="0" xfId="0" applyFont="1" applyNumberFormat="1"/>
    <xf numFmtId="0" fontId="23" fillId="11" borderId="10" xfId="0" applyFont="1" applyFill="1" applyBorder="1">
      <alignment horizontal="center" vertical="center" wrapText="1"/>
    </xf>
    <xf numFmtId="49" fontId="19" fillId="0" borderId="0" xfId="0" applyFont="1" applyNumberFormat="1">
      <alignment horizontal="left" vertical="top" wrapText="1"/>
    </xf>
    <xf numFmtId="0" fontId="19" fillId="11" borderId="10" xfId="0" applyFont="1" applyFill="1" applyBorder="1">
      <alignment horizontal="center" vertical="center" wrapText="1"/>
    </xf>
    <xf numFmtId="49" fontId="23" fillId="0" borderId="49" xfId="0" applyFont="1" applyBorder="1" applyNumberFormat="1">
      <alignment horizontal="center" vertical="center" wrapText="1"/>
    </xf>
    <xf numFmtId="49" fontId="19" fillId="0" borderId="10" xfId="0" applyFont="1" applyBorder="1" applyNumberFormat="1">
      <alignment vertical="center" wrapText="1"/>
    </xf>
    <xf numFmtId="49" fontId="24" fillId="0" borderId="10" xfId="0" applyFont="1" applyBorder="1" applyNumberFormat="1">
      <alignment horizontal="center" vertical="center" wrapText="1"/>
    </xf>
    <xf numFmtId="49" fontId="20" fillId="0" borderId="10" xfId="0" applyFont="1" applyBorder="1" applyNumberFormat="1">
      <alignment horizontal="center" vertical="center" wrapText="1"/>
    </xf>
    <xf numFmtId="49" fontId="24" fillId="0" borderId="0" xfId="0" applyFont="1" applyNumberFormat="1"/>
    <xf numFmtId="49" fontId="56" fillId="0" borderId="0" xfId="0" applyFont="1" applyNumberFormat="1">
      <alignment horizontal="left" vertical="center"/>
    </xf>
    <xf numFmtId="49" fontId="57" fillId="0" borderId="10" xfId="0" applyFont="1" applyBorder="1" applyNumberFormat="1">
      <alignment horizontal="left" vertical="center" wrapText="1" indent="3"/>
    </xf>
    <xf numFmtId="0" fontId="58" fillId="0" borderId="10" xfId="0" applyFont="1" applyBorder="1">
      <alignment horizontal="center" vertical="center" wrapText="1"/>
    </xf>
    <xf numFmtId="49" fontId="59" fillId="0" borderId="0" xfId="0" applyFont="1" applyNumberFormat="1" quotePrefix="1">
      <alignment vertical="center"/>
    </xf>
    <xf numFmtId="0" fontId="24" fillId="0" borderId="10" xfId="0" applyFont="1" applyBorder="1">
      <alignment horizontal="center" vertical="center" wrapText="1"/>
    </xf>
    <xf numFmtId="49" fontId="19" fillId="0" borderId="10" xfId="0" applyFont="1" applyBorder="1" applyNumberFormat="1">
      <alignment horizontal="left" vertical="center" wrapText="1" indent="4"/>
    </xf>
    <xf numFmtId="49" fontId="19" fillId="0" borderId="0" xfId="0" applyFont="1" applyNumberFormat="1">
      <alignment wrapText="1"/>
    </xf>
    <xf numFmtId="49" fontId="22" fillId="44" borderId="10" xfId="0" applyFont="1" applyFill="1" applyBorder="1" applyNumberFormat="1">
      <alignment horizontal="left" vertical="center" wrapText="1" indent="3"/>
    </xf>
    <xf numFmtId="9" fontId="19" fillId="33" borderId="10" xfId="0" applyFont="1" applyFill="1" applyBorder="1" applyNumberFormat="1">
      <alignment horizontal="right" vertical="center" wrapText="1"/>
      <protection locked="0"/>
    </xf>
    <xf numFmtId="49" fontId="19" fillId="0" borderId="10" xfId="0" applyFont="1" applyBorder="1" applyNumberFormat="1"/>
    <xf numFmtId="49" fontId="60" fillId="0" borderId="0" xfId="0" applyFont="1" applyNumberFormat="1">
      <alignment vertical="center"/>
    </xf>
    <xf numFmtId="2" fontId="47" fillId="0" borderId="10" xfId="0" applyFont="1" applyBorder="1" applyNumberFormat="1">
      <alignment horizontal="center" vertical="center" wrapText="1"/>
    </xf>
    <xf numFmtId="4" fontId="23" fillId="38" borderId="10" xfId="0" applyFont="1" applyFill="1" applyBorder="1" applyNumberFormat="1">
      <alignment horizontal="right" vertical="center" wrapText="1"/>
    </xf>
    <xf numFmtId="2" fontId="19" fillId="33" borderId="10" xfId="0" applyFont="1" applyFill="1" applyBorder="1" applyNumberFormat="1">
      <alignment horizontal="right" vertical="center" wrapText="1"/>
      <protection locked="0"/>
    </xf>
    <xf numFmtId="2" fontId="19" fillId="33" borderId="10" xfId="0" applyFont="1" applyFill="1" applyBorder="1" applyNumberFormat="1">
      <alignment horizontal="center" vertical="center" wrapText="1"/>
      <protection locked="0"/>
    </xf>
    <xf numFmtId="2" fontId="19" fillId="32" borderId="10" xfId="0" applyFont="1" applyFill="1" applyBorder="1" applyNumberFormat="1">
      <alignment horizontal="center" vertical="center" wrapText="1"/>
      <protection locked="0"/>
    </xf>
    <xf numFmtId="49" fontId="20" fillId="0" borderId="10" xfId="0" applyFont="1" applyBorder="1" applyNumberFormat="1">
      <alignment vertical="center" wrapText="1"/>
    </xf>
    <xf numFmtId="49" fontId="20" fillId="0" borderId="10" xfId="0" applyFont="1" applyBorder="1" applyNumberFormat="1">
      <alignment horizontal="center" vertical="center"/>
    </xf>
    <xf numFmtId="49" fontId="0" fillId="0" borderId="0" xfId="0" applyFont="1" applyNumberFormat="1">
      <alignment horizontal="center" vertical="center"/>
    </xf>
    <xf numFmtId="49" fontId="0" fillId="36" borderId="0" xfId="0" applyFont="1" applyFill="1" applyNumberFormat="1">
      <alignment horizontal="center" vertical="center"/>
    </xf>
    <xf numFmtId="49" fontId="19" fillId="0" borderId="0" xfId="0" applyFont="1" applyNumberFormat="1">
      <alignment horizontal="center"/>
    </xf>
    <xf numFmtId="49" fontId="19" fillId="11" borderId="10" xfId="0" applyFont="1" applyFill="1" applyBorder="1" applyNumberFormat="1">
      <alignment horizontal="center" vertical="center" wrapText="1"/>
    </xf>
    <xf numFmtId="49" fontId="20" fillId="0" borderId="0" xfId="0" applyFont="1" applyNumberFormat="1">
      <alignment horizontal="center" vertical="center"/>
    </xf>
    <xf numFmtId="49" fontId="20" fillId="0" borderId="21" xfId="0" applyFont="1" applyBorder="1" applyNumberFormat="1">
      <alignment horizontal="center" vertical="center"/>
    </xf>
    <xf numFmtId="49" fontId="20" fillId="0" borderId="21" xfId="0" applyFont="1" applyBorder="1" applyNumberFormat="1">
      <alignment horizontal="left" vertical="center" wrapText="1"/>
    </xf>
    <xf numFmtId="49" fontId="20" fillId="0" borderId="10" xfId="0" applyFont="1" applyBorder="1" applyNumberFormat="1">
      <alignment horizontal="left" vertical="center" indent="2"/>
    </xf>
    <xf numFmtId="49" fontId="20" fillId="0" borderId="10" xfId="0" applyFont="1" applyBorder="1" applyNumberFormat="1">
      <alignment horizontal="left" vertical="center" wrapText="1"/>
    </xf>
    <xf numFmtId="4" fontId="20" fillId="0" borderId="10" xfId="0" applyFont="1" applyBorder="1" applyNumberFormat="1">
      <alignment horizontal="right" vertical="center"/>
    </xf>
    <xf numFmtId="49" fontId="20" fillId="0" borderId="11" xfId="0" applyFont="1" applyBorder="1" applyNumberFormat="1">
      <alignment horizontal="center" vertical="center"/>
    </xf>
    <xf numFmtId="49" fontId="20" fillId="0" borderId="11" xfId="0" applyFont="1" applyBorder="1" applyNumberFormat="1">
      <alignment horizontal="left" vertical="center" indent="2"/>
    </xf>
    <xf numFmtId="4" fontId="20" fillId="38" borderId="17" xfId="0" applyFont="1" applyFill="1" applyBorder="1" applyNumberFormat="1">
      <alignment horizontal="right" vertical="center"/>
    </xf>
    <xf numFmtId="49" fontId="22" fillId="0" borderId="10" xfId="0" applyFont="1" applyBorder="1" applyNumberFormat="1">
      <alignment vertical="center" wrapText="1"/>
    </xf>
    <xf numFmtId="49" fontId="20" fillId="0" borderId="10" xfId="0" applyFont="1" applyBorder="1" applyNumberFormat="1">
      <alignment horizontal="center" vertical="center"/>
      <protection locked="0"/>
    </xf>
    <xf numFmtId="0" fontId="20" fillId="0" borderId="10" xfId="0" applyFont="1" applyBorder="1">
      <alignment horizontal="left" vertical="center" wrapText="1"/>
      <protection locked="0"/>
    </xf>
    <xf numFmtId="0" fontId="20" fillId="0" borderId="10" xfId="0" applyFont="1" applyBorder="1">
      <alignment horizontal="center" vertical="center"/>
      <protection locked="0"/>
    </xf>
    <xf numFmtId="0" fontId="20" fillId="0" borderId="10" xfId="0" applyFont="1" applyBorder="1">
      <alignment horizontal="left" vertical="center" wrapText="1" indent="1"/>
      <protection locked="0"/>
    </xf>
    <xf numFmtId="49" fontId="20" fillId="0" borderId="10" xfId="0" applyFont="1" applyBorder="1" applyNumberFormat="1">
      <alignment horizontal="left" vertical="center" wrapText="1" indent="1"/>
      <protection locked="0"/>
    </xf>
    <xf numFmtId="49" fontId="20" fillId="0" borderId="10" xfId="0" applyFont="1" applyBorder="1" applyNumberFormat="1">
      <alignment horizontal="left" vertical="center" wrapText="1" indent="2"/>
      <protection locked="0"/>
    </xf>
    <xf numFmtId="49" fontId="22" fillId="44" borderId="10" xfId="0" applyFont="1" applyFill="1" applyBorder="1" applyNumberFormat="1">
      <alignment vertical="center" wrapText="1"/>
    </xf>
    <xf numFmtId="49" fontId="19" fillId="44" borderId="10" xfId="0" applyFont="1" applyFill="1" applyBorder="1" applyNumberFormat="1">
      <alignment horizontal="left" vertical="center" wrapText="1"/>
    </xf>
    <xf numFmtId="49" fontId="22" fillId="44" borderId="11" xfId="0" applyFont="1" applyFill="1" applyBorder="1" applyNumberFormat="1">
      <alignment vertical="center" wrapText="1"/>
    </xf>
    <xf numFmtId="4" fontId="22" fillId="33" borderId="11" xfId="0" applyFont="1" applyFill="1" applyBorder="1" applyNumberFormat="1">
      <alignment vertical="center" wrapText="1"/>
      <protection locked="0"/>
    </xf>
    <xf numFmtId="49" fontId="19" fillId="0" borderId="50" xfId="0" applyFont="1" applyBorder="1" applyNumberFormat="1">
      <alignment horizontal="center" vertical="center" wrapText="1"/>
    </xf>
    <xf numFmtId="4" fontId="22" fillId="38" borderId="23" xfId="0" applyFont="1" applyFill="1" applyBorder="1" applyNumberFormat="1">
      <alignment vertical="center" wrapText="1"/>
    </xf>
    <xf numFmtId="4" fontId="22" fillId="38" borderId="12" xfId="0" applyFont="1" applyFill="1" applyBorder="1" applyNumberFormat="1">
      <alignment vertical="center" wrapText="1"/>
    </xf>
    <xf numFmtId="4" fontId="22" fillId="0" borderId="10" xfId="0" applyFont="1" applyBorder="1" applyNumberFormat="1">
      <alignment vertical="center" wrapText="1"/>
      <protection locked="0"/>
    </xf>
    <xf numFmtId="4" fontId="22" fillId="0" borderId="23" xfId="0" applyFont="1" applyBorder="1" applyNumberFormat="1">
      <alignment vertical="center" wrapText="1"/>
      <protection locked="0"/>
    </xf>
    <xf numFmtId="4" fontId="22" fillId="0" borderId="12" xfId="0" applyFont="1" applyBorder="1" applyNumberFormat="1">
      <alignment vertical="center" wrapText="1"/>
      <protection locked="0"/>
    </xf>
    <xf numFmtId="4" fontId="20" fillId="0" borderId="63" xfId="0" applyFont="1" applyBorder="1" applyNumberFormat="1">
      <alignment horizontal="right" vertical="center"/>
    </xf>
    <xf numFmtId="0" fontId="53" fillId="0" borderId="34" xfId="0" applyFont="1" applyBorder="1">
      <alignment vertical="center"/>
    </xf>
    <xf numFmtId="0" fontId="39" fillId="42" borderId="35" xfId="0" applyFont="1" applyFill="1" applyBorder="1">
      <alignment horizontal="left" vertical="center" wrapText="1" indent="1"/>
    </xf>
    <xf numFmtId="0" fontId="61" fillId="0" borderId="0" xfId="0" applyFont="1">
      <alignment vertical="center"/>
    </xf>
    <xf numFmtId="49" fontId="25" fillId="44" borderId="21" xfId="0" applyFont="1" applyFill="1" applyBorder="1" applyNumberFormat="1">
      <alignment horizontal="center" vertical="center" wrapText="1"/>
    </xf>
    <xf numFmtId="49" fontId="25" fillId="44" borderId="21" xfId="0" applyFont="1" applyFill="1" applyBorder="1" applyNumberFormat="1">
      <alignment vertical="center" wrapText="1"/>
    </xf>
    <xf numFmtId="49" fontId="23" fillId="0" borderId="16" xfId="0" applyFont="1" applyBorder="1" applyNumberFormat="1">
      <alignment horizontal="center" vertical="center" wrapText="1"/>
    </xf>
    <xf numFmtId="49" fontId="19" fillId="44" borderId="21" xfId="0" applyFont="1" applyFill="1" applyBorder="1" applyNumberFormat="1">
      <alignment vertical="center" wrapText="1"/>
    </xf>
    <xf numFmtId="4" fontId="22" fillId="33" borderId="21" xfId="0" applyFont="1" applyFill="1" applyBorder="1" applyNumberFormat="1">
      <alignment vertical="center" wrapText="1"/>
      <protection locked="0"/>
    </xf>
    <xf numFmtId="49" fontId="23" fillId="44" borderId="21" xfId="0" applyFont="1" applyFill="1" applyBorder="1" applyNumberFormat="1">
      <alignment vertical="center" wrapText="1"/>
    </xf>
    <xf numFmtId="4" fontId="22" fillId="38" borderId="21" xfId="0" applyFont="1" applyFill="1" applyBorder="1" applyNumberFormat="1">
      <alignment vertical="center" wrapText="1"/>
    </xf>
    <xf numFmtId="0" fontId="22" fillId="44" borderId="10" xfId="0" applyFont="1" applyFill="1" applyBorder="1">
      <alignment horizontal="center" vertical="center" wrapText="1"/>
    </xf>
    <xf numFmtId="49" fontId="19" fillId="0" borderId="21" xfId="0" applyFont="1" applyBorder="1" applyNumberFormat="1">
      <alignment horizontal="left" vertical="center" wrapText="1" indent="1"/>
    </xf>
    <xf numFmtId="49" fontId="24" fillId="0" borderId="10" xfId="0" applyFont="1" applyBorder="1" applyNumberFormat="1">
      <alignment horizontal="center" vertical="center"/>
    </xf>
    <xf numFmtId="0" fontId="24" fillId="0" borderId="10" xfId="0" applyFont="1" applyBorder="1">
      <alignment vertical="center" wrapText="1"/>
    </xf>
    <xf numFmtId="0" fontId="24" fillId="0" borderId="10" xfId="0" applyFont="1" applyBorder="1">
      <alignment horizontal="center" vertical="center"/>
    </xf>
    <xf numFmtId="4" fontId="20" fillId="0" borderId="21" xfId="0" applyFont="1" applyBorder="1" applyNumberFormat="1">
      <alignment horizontal="right" vertical="center"/>
    </xf>
    <xf numFmtId="0" fontId="20" fillId="0" borderId="10" xfId="0" applyFont="1" applyBorder="1">
      <alignment horizontal="left" vertical="center" wrapText="1" indent="1"/>
    </xf>
    <xf numFmtId="10" fontId="22" fillId="38" borderId="10" xfId="0" applyFont="1" applyFill="1" applyBorder="1" applyNumberFormat="1">
      <alignment vertical="center" wrapText="1"/>
    </xf>
    <xf numFmtId="49" fontId="23" fillId="0" borderId="52" xfId="0" applyFont="1" applyBorder="1" applyNumberFormat="1">
      <alignment horizontal="left" vertical="center" wrapText="1"/>
    </xf>
    <xf numFmtId="0" fontId="0" fillId="0" borderId="33" xfId="0" applyFont="1" applyBorder="1">
      <alignment horizontal="center" vertical="center" wrapText="1"/>
    </xf>
    <xf numFmtId="0" fontId="0" fillId="35" borderId="33" xfId="0" applyFont="1" applyFill="1" applyBorder="1">
      <alignment horizontal="center" vertical="center" wrapText="1"/>
    </xf>
    <xf numFmtId="49" fontId="23" fillId="35" borderId="10" xfId="0" applyFont="1" applyFill="1" applyBorder="1" applyNumberFormat="1">
      <alignment horizontal="left" vertical="center" wrapText="1"/>
    </xf>
    <xf numFmtId="49" fontId="23" fillId="35" borderId="49" xfId="0" applyFont="1" applyFill="1" applyBorder="1" applyNumberFormat="1">
      <alignment horizontal="center" vertical="center" wrapText="1"/>
    </xf>
    <xf numFmtId="10" fontId="22" fillId="38" borderId="11" xfId="0" applyFont="1" applyFill="1" applyBorder="1" applyNumberFormat="1">
      <alignment vertical="center" wrapText="1"/>
    </xf>
    <xf numFmtId="4" fontId="20" fillId="0" borderId="11" xfId="0" applyFont="1" applyBorder="1" applyNumberFormat="1">
      <alignment horizontal="right" vertical="center"/>
    </xf>
    <xf numFmtId="49" fontId="19" fillId="35" borderId="23" xfId="0" applyFont="1" applyFill="1" applyBorder="1" applyNumberFormat="1">
      <alignment horizontal="left" vertical="center" wrapText="1"/>
    </xf>
    <xf numFmtId="4" fontId="20" fillId="33" borderId="23" xfId="0" applyFont="1" applyFill="1" applyBorder="1" applyNumberFormat="1">
      <alignment horizontal="right" vertical="center"/>
      <protection locked="0"/>
    </xf>
    <xf numFmtId="4" fontId="20" fillId="33" borderId="12" xfId="0" applyFont="1" applyFill="1" applyBorder="1" applyNumberFormat="1">
      <alignment horizontal="right" vertical="center"/>
      <protection locked="0"/>
    </xf>
    <xf numFmtId="49" fontId="23" fillId="35" borderId="27" xfId="0" applyFont="1" applyFill="1" applyBorder="1" applyNumberFormat="1">
      <alignment horizontal="center" vertical="center"/>
    </xf>
    <xf numFmtId="49" fontId="23" fillId="35" borderId="27" xfId="0" applyFont="1" applyFill="1" applyBorder="1" applyNumberFormat="1">
      <alignment vertical="center" wrapText="1"/>
    </xf>
    <xf numFmtId="49" fontId="23" fillId="35" borderId="51" xfId="0" applyFont="1" applyFill="1" applyBorder="1" applyNumberFormat="1">
      <alignment horizontal="center" vertical="center"/>
    </xf>
    <xf numFmtId="49" fontId="19" fillId="0" borderId="27" xfId="0" applyFont="1" applyBorder="1" applyNumberFormat="1">
      <alignment horizontal="center" vertical="center" wrapText="1"/>
    </xf>
    <xf numFmtId="49" fontId="19" fillId="0" borderId="27" xfId="0" applyFont="1" applyBorder="1" applyNumberFormat="1">
      <alignment horizontal="left" vertical="center" wrapText="1" indent="1"/>
    </xf>
    <xf numFmtId="49" fontId="19" fillId="0" borderId="51" xfId="0" applyFont="1" applyBorder="1" applyNumberFormat="1">
      <alignment horizontal="center" vertical="center" wrapText="1"/>
    </xf>
    <xf numFmtId="49" fontId="19" fillId="0" borderId="30" xfId="0" applyFont="1" applyBorder="1" applyNumberFormat="1">
      <alignment horizontal="center" vertical="center" wrapText="1"/>
    </xf>
    <xf numFmtId="49" fontId="19" fillId="0" borderId="30" xfId="0" applyFont="1" applyBorder="1" applyNumberFormat="1">
      <alignment horizontal="left" vertical="center" wrapText="1" indent="1"/>
    </xf>
    <xf numFmtId="49" fontId="19" fillId="0" borderId="64" xfId="0" applyFont="1" applyBorder="1" applyNumberFormat="1">
      <alignment horizontal="center" vertical="center" wrapText="1"/>
    </xf>
    <xf numFmtId="49" fontId="19" fillId="35" borderId="10" xfId="0" applyFont="1" applyFill="1" applyBorder="1" applyNumberFormat="1">
      <alignment horizontal="left" vertical="center" wrapText="1" indent="1"/>
    </xf>
    <xf numFmtId="49" fontId="19" fillId="35" borderId="10" xfId="0" applyFont="1" applyFill="1" applyBorder="1" applyNumberFormat="1">
      <alignment vertical="center"/>
    </xf>
    <xf numFmtId="49" fontId="19" fillId="0" borderId="13"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22" xfId="0" applyFont="1" applyBorder="1" applyNumberFormat="1">
      <alignment horizontal="left" vertical="center" wrapText="1"/>
    </xf>
    <xf numFmtId="49" fontId="25" fillId="35" borderId="10" xfId="0" applyFont="1" applyFill="1" applyBorder="1" applyNumberFormat="1">
      <alignment horizontal="center" vertical="center" wrapText="1"/>
    </xf>
    <xf numFmtId="49" fontId="25" fillId="35" borderId="10" xfId="0" applyFont="1" applyFill="1" applyBorder="1" applyNumberFormat="1">
      <alignment vertical="center" wrapText="1"/>
    </xf>
    <xf numFmtId="49" fontId="23" fillId="0" borderId="65" xfId="0" applyFont="1" applyBorder="1" applyNumberFormat="1">
      <alignment horizontal="center" vertical="center" wrapText="1"/>
    </xf>
    <xf numFmtId="4" fontId="22" fillId="38" borderId="11" xfId="0" applyFont="1" applyFill="1" applyBorder="1" applyNumberFormat="1">
      <alignment vertical="center" wrapText="1"/>
    </xf>
    <xf numFmtId="4" fontId="22" fillId="0" borderId="12" xfId="0" applyFont="1" applyBorder="1" applyNumberFormat="1">
      <alignment vertical="center" wrapText="1"/>
    </xf>
    <xf numFmtId="0" fontId="19" fillId="0" borderId="10" xfId="0" applyFont="1" applyBorder="1">
      <alignment horizontal="left" vertical="center"/>
    </xf>
    <xf numFmtId="0" fontId="42" fillId="0" borderId="10" xfId="0" applyFont="1" applyBorder="1">
      <alignment horizontal="left" vertical="center"/>
    </xf>
    <xf numFmtId="10" fontId="19" fillId="33" borderId="10" xfId="0" applyFont="1" applyFill="1" applyBorder="1" applyNumberFormat="1">
      <alignment horizontal="right" vertical="center"/>
      <protection locked="0"/>
    </xf>
    <xf numFmtId="0" fontId="19" fillId="0" borderId="11" xfId="0" applyFont="1" applyBorder="1">
      <alignment horizontal="left" vertical="center" wrapText="1" indent="1"/>
    </xf>
    <xf numFmtId="0" fontId="19" fillId="0" borderId="11" xfId="0" applyFont="1" applyBorder="1">
      <alignment horizontal="center" vertical="center"/>
    </xf>
    <xf numFmtId="0" fontId="42" fillId="0" borderId="10" xfId="0" applyFont="1" applyBorder="1">
      <alignment horizontal="right" vertical="center"/>
    </xf>
    <xf numFmtId="49" fontId="19" fillId="0" borderId="11" xfId="0" applyFont="1" applyBorder="1" applyNumberFormat="1">
      <alignment horizontal="center" vertical="center"/>
    </xf>
    <xf numFmtId="0" fontId="19" fillId="0" borderId="10" xfId="0" applyFont="1" applyBorder="1">
      <alignment horizontal="right" vertical="center"/>
    </xf>
    <xf numFmtId="0" fontId="19" fillId="0" borderId="12" xfId="0" applyFont="1" applyBorder="1">
      <alignment horizontal="left" vertical="center" wrapText="1" indent="1"/>
    </xf>
    <xf numFmtId="0" fontId="19" fillId="34" borderId="12" xfId="0" applyFont="1" applyFill="1" applyBorder="1">
      <alignment horizontal="left" vertical="center" wrapText="1" indent="2"/>
      <protection locked="0"/>
    </xf>
    <xf numFmtId="0" fontId="19" fillId="0" borderId="29" xfId="0" applyFont="1" applyBorder="1">
      <alignment horizontal="left" vertical="center" wrapText="1" indent="1"/>
    </xf>
    <xf numFmtId="4" fontId="19" fillId="33" borderId="29" xfId="0" applyFont="1" applyFill="1" applyBorder="1" applyNumberFormat="1">
      <alignment horizontal="right" vertical="center"/>
      <protection locked="0"/>
    </xf>
    <xf numFmtId="49" fontId="19" fillId="0" borderId="11" xfId="0" applyFont="1" applyBorder="1" applyNumberFormat="1">
      <alignment horizontal="left" vertical="center" wrapText="1" indent="1"/>
    </xf>
    <xf numFmtId="49" fontId="19" fillId="0" borderId="24" xfId="0" applyFont="1" applyBorder="1" applyNumberFormat="1">
      <alignment horizontal="center" vertical="center" wrapText="1"/>
    </xf>
    <xf numFmtId="49" fontId="19" fillId="0" borderId="52" xfId="0" applyFont="1" applyBorder="1" applyNumberFormat="1">
      <alignment horizontal="center" vertical="center" wrapText="1"/>
    </xf>
    <xf numFmtId="0" fontId="19" fillId="34" borderId="10" xfId="0" applyFont="1" applyFill="1" applyBorder="1">
      <alignment horizontal="left" vertical="center" wrapText="1" indent="3"/>
      <protection locked="0"/>
    </xf>
    <xf numFmtId="49" fontId="19" fillId="0" borderId="28" xfId="0" applyFont="1" applyBorder="1" applyNumberFormat="1">
      <alignment horizontal="center" vertical="center" wrapText="1"/>
    </xf>
    <xf numFmtId="0" fontId="20" fillId="0" borderId="34" xfId="0" applyFont="1" applyBorder="1"/>
    <xf numFmtId="0" fontId="53" fillId="34" borderId="17" xfId="0" applyFont="1" applyFill="1" applyBorder="1">
      <alignment horizontal="left" vertical="center" wrapText="1" indent="1"/>
      <protection locked="0"/>
    </xf>
    <xf numFmtId="0" fontId="20" fillId="0" borderId="28" xfId="0" applyFont="1" applyBorder="1">
      <alignment horizontal="center" vertical="center" wrapText="1"/>
    </xf>
    <xf numFmtId="0" fontId="20" fillId="0" borderId="23" xfId="0" applyFont="1" applyBorder="1">
      <alignment horizontal="center" vertical="center" wrapText="1"/>
    </xf>
    <xf numFmtId="0" fontId="20" fillId="0" borderId="10" xfId="0" applyFont="1" applyBorder="1">
      <alignment horizontal="left" vertical="center" wrapText="1" indent="2"/>
    </xf>
    <xf numFmtId="0" fontId="0" fillId="48" borderId="0" xfId="0" applyFont="1" applyFill="1">
      <alignment horizontal="center" vertical="center"/>
    </xf>
    <xf numFmtId="0" fontId="19" fillId="0" borderId="0" xfId="0" applyFont="1">
      <alignment horizontal="left" vertical="center" indent="2"/>
    </xf>
    <xf numFmtId="49" fontId="24" fillId="0" borderId="34" xfId="0" applyFont="1" applyBorder="1" applyNumberFormat="1">
      <alignment horizontal="left" vertical="center" wrapText="1" indent="1"/>
    </xf>
    <xf numFmtId="49" fontId="24" fillId="49" borderId="15" xfId="0" applyFont="1" applyFill="1" applyBorder="1" applyNumberFormat="1">
      <alignment horizontal="left" vertical="center"/>
    </xf>
    <xf numFmtId="49" fontId="24" fillId="49" borderId="53" xfId="0" applyFont="1" applyFill="1" applyBorder="1" applyNumberFormat="1">
      <alignment horizontal="left" vertical="center" wrapText="1"/>
    </xf>
    <xf numFmtId="49" fontId="24" fillId="49" borderId="25" xfId="0" applyFont="1" applyFill="1" applyBorder="1" applyNumberFormat="1">
      <alignment horizontal="left" vertical="center" wrapText="1"/>
    </xf>
    <xf numFmtId="0" fontId="19" fillId="0" borderId="53" xfId="0" applyFont="1" applyBorder="1">
      <alignment horizontal="center" vertical="center" wrapText="1"/>
    </xf>
    <xf numFmtId="0" fontId="19" fillId="0" borderId="25" xfId="0" applyFont="1" applyBorder="1">
      <alignment horizontal="center" vertical="center" wrapText="1"/>
    </xf>
    <xf numFmtId="0" fontId="19" fillId="0" borderId="16" xfId="0" applyFont="1" applyBorder="1">
      <alignment horizontal="center" vertical="center" wrapText="1"/>
    </xf>
    <xf numFmtId="0" fontId="19" fillId="0" borderId="24" xfId="0" applyFont="1" applyBorder="1">
      <alignment horizontal="center" vertical="center" wrapText="1"/>
    </xf>
    <xf numFmtId="0" fontId="19" fillId="37" borderId="15" xfId="0" applyFont="1" applyFill="1" applyBorder="1">
      <alignment horizontal="left" vertical="center" wrapText="1"/>
    </xf>
    <xf numFmtId="0" fontId="19" fillId="37" borderId="53" xfId="0" applyFont="1" applyFill="1" applyBorder="1">
      <alignment horizontal="center" vertical="center"/>
    </xf>
    <xf numFmtId="0" fontId="19" fillId="37" borderId="53" xfId="0" applyFont="1" applyFill="1" applyBorder="1">
      <alignment horizontal="left" vertical="center" indent="1"/>
    </xf>
    <xf numFmtId="0" fontId="19" fillId="37" borderId="25" xfId="0" applyFont="1" applyFill="1" applyBorder="1">
      <alignment horizontal="left" vertical="center" indent="1"/>
    </xf>
    <xf numFmtId="0" fontId="23" fillId="0" borderId="17" xfId="0" applyFont="1" applyBorder="1">
      <alignment horizontal="left" vertical="center" wrapText="1"/>
    </xf>
    <xf numFmtId="0" fontId="23" fillId="0" borderId="17" xfId="0" applyFont="1" applyBorder="1">
      <alignment horizontal="center" vertical="center" wrapText="1"/>
    </xf>
    <xf numFmtId="4" fontId="24" fillId="33" borderId="17" xfId="0" applyFont="1" applyFill="1" applyBorder="1" applyNumberFormat="1">
      <alignment horizontal="right" vertical="center"/>
      <protection locked="0"/>
    </xf>
    <xf numFmtId="4" fontId="23" fillId="38" borderId="17" xfId="0" applyFont="1" applyFill="1" applyBorder="1" applyNumberFormat="1">
      <alignment vertical="center"/>
    </xf>
    <xf numFmtId="0" fontId="19" fillId="0" borderId="17" xfId="0" applyFont="1" applyBorder="1">
      <alignment horizontal="left" vertical="center" wrapText="1"/>
    </xf>
    <xf numFmtId="172" fontId="19" fillId="0" borderId="17" xfId="0" applyFont="1" applyBorder="1" applyNumberFormat="1">
      <alignment vertical="center"/>
    </xf>
    <xf numFmtId="4" fontId="19" fillId="38" borderId="17" xfId="0" applyFont="1" applyFill="1" applyBorder="1" applyNumberFormat="1">
      <alignment vertical="center"/>
    </xf>
    <xf numFmtId="172" fontId="20" fillId="33" borderId="17" xfId="0" applyFont="1" applyFill="1" applyBorder="1" applyNumberFormat="1">
      <alignment horizontal="right" vertical="center"/>
      <protection locked="0"/>
    </xf>
    <xf numFmtId="172" fontId="19" fillId="38" borderId="17" xfId="0" applyFont="1" applyFill="1" applyBorder="1" applyNumberFormat="1">
      <alignment vertical="center"/>
    </xf>
    <xf numFmtId="172" fontId="19" fillId="38" borderId="25" xfId="0" applyFont="1" applyFill="1" applyBorder="1" applyNumberFormat="1">
      <alignment vertical="center"/>
    </xf>
    <xf numFmtId="49" fontId="39" fillId="42" borderId="36" xfId="0" applyFont="1" applyFill="1" applyBorder="1" applyNumberFormat="1">
      <alignment horizontal="left" vertical="center" wrapText="1" indent="1"/>
    </xf>
    <xf numFmtId="49" fontId="39" fillId="42" borderId="37" xfId="0" applyFont="1" applyFill="1" applyBorder="1" applyNumberFormat="1">
      <alignment horizontal="left" vertical="center" wrapText="1" indent="1"/>
    </xf>
    <xf numFmtId="0" fontId="19" fillId="37" borderId="53" xfId="0" applyFont="1" applyFill="1" applyBorder="1">
      <alignment horizontal="left" vertical="center"/>
    </xf>
    <xf numFmtId="0" fontId="19" fillId="0" borderId="53" xfId="0" applyFont="1" applyBorder="1">
      <alignment horizontal="center" vertical="center"/>
    </xf>
    <xf numFmtId="0" fontId="19" fillId="0" borderId="53" xfId="0" applyFont="1" applyBorder="1">
      <alignment horizontal="left" vertical="center" indent="1"/>
    </xf>
    <xf numFmtId="0" fontId="19" fillId="0" borderId="25" xfId="0" applyFont="1" applyBorder="1">
      <alignment horizontal="left" vertical="center" indent="1"/>
    </xf>
    <xf numFmtId="0" fontId="0" fillId="48" borderId="0" xfId="0" applyFont="1" applyFill="1">
      <alignment horizontal="left" vertical="top"/>
    </xf>
    <xf numFmtId="0" fontId="62" fillId="0" borderId="0" xfId="0" applyFont="1">
      <alignment horizontal="center" vertical="center"/>
    </xf>
    <xf numFmtId="0" fontId="63" fillId="0" borderId="0" xfId="0" applyFont="1">
      <alignment vertical="center"/>
    </xf>
    <xf numFmtId="0" fontId="63" fillId="0" borderId="0" xfId="0" applyFont="1">
      <alignment vertical="center" wrapText="1"/>
    </xf>
    <xf numFmtId="0" fontId="20" fillId="0" borderId="52" xfId="0" applyFont="1" applyBorder="1">
      <alignment horizontal="center" vertical="center" wrapText="1"/>
    </xf>
    <xf numFmtId="0" fontId="20" fillId="0" borderId="33" xfId="0" applyFont="1" applyBorder="1">
      <alignment horizontal="center" vertical="center" wrapText="1"/>
    </xf>
    <xf numFmtId="4" fontId="20" fillId="33" borderId="32" xfId="0" applyFont="1" applyFill="1" applyBorder="1" applyNumberFormat="1">
      <alignment horizontal="right" vertical="center"/>
      <protection locked="0"/>
    </xf>
    <xf numFmtId="2" fontId="20" fillId="33" borderId="32" xfId="0" applyFont="1" applyFill="1" applyBorder="1" applyNumberFormat="1">
      <alignment horizontal="right" vertical="center"/>
      <protection locked="0"/>
    </xf>
    <xf numFmtId="0" fontId="19" fillId="44" borderId="0" xfId="0" applyFont="1" applyFill="1"/>
    <xf numFmtId="0" fontId="30" fillId="0" borderId="34" xfId="0" applyFont="1" applyBorder="1">
      <alignment horizontal="center" vertical="center"/>
    </xf>
    <xf numFmtId="49" fontId="19" fillId="33" borderId="66" xfId="0" applyFont="1" applyFill="1" applyBorder="1" applyNumberFormat="1">
      <alignment horizontal="left" vertical="center" wrapText="1"/>
      <protection locked="0"/>
    </xf>
    <xf numFmtId="49" fontId="19" fillId="33" borderId="67" xfId="0" applyFont="1" applyFill="1" applyBorder="1" applyNumberFormat="1">
      <alignment horizontal="left" vertical="center" wrapText="1"/>
      <protection locked="0"/>
    </xf>
    <xf numFmtId="49" fontId="39" fillId="42" borderId="10" xfId="0" applyFont="1" applyFill="1" applyBorder="1" applyNumberFormat="1">
      <alignment horizontal="left" vertical="center" indent="1"/>
    </xf>
    <xf numFmtId="0" fontId="53" fillId="0" borderId="0" xfId="0" applyFont="1"/>
    <xf numFmtId="49" fontId="64" fillId="50" borderId="0" xfId="0" applyFont="1" applyFill="1" applyNumberFormat="1">
      <alignment horizontal="center" vertical="center"/>
    </xf>
    <xf numFmtId="49" fontId="65" fillId="50" borderId="0" xfId="0" applyFont="1" applyFill="1" applyNumberFormat="1">
      <alignment horizontal="center" vertical="center"/>
    </xf>
    <xf numFmtId="0" fontId="33" fillId="51" borderId="0" xfId="0" applyFont="1" applyFill="1">
      <alignment horizontal="right" vertical="center"/>
    </xf>
    <xf numFmtId="49" fontId="33" fillId="51" borderId="0" xfId="0" applyFont="1" applyFill="1" applyNumberFormat="1">
      <alignment vertical="center" wrapText="1"/>
    </xf>
    <xf numFmtId="0" fontId="33" fillId="51" borderId="0" xfId="0" applyFont="1" applyFill="1">
      <alignment horizontal="center" vertical="center"/>
    </xf>
    <xf numFmtId="0" fontId="33" fillId="51" borderId="0" xfId="0" applyFont="1" applyFill="1">
      <alignment horizontal="left" vertical="center"/>
    </xf>
    <xf numFmtId="0" fontId="19" fillId="51" borderId="0" xfId="0" applyFont="1" applyFill="1">
      <alignment horizontal="left" vertical="center"/>
    </xf>
    <xf numFmtId="49" fontId="29" fillId="51" borderId="0" xfId="0" applyFont="1" applyFill="1" applyNumberFormat="1">
      <alignment vertical="top"/>
    </xf>
    <xf numFmtId="49" fontId="19" fillId="51" borderId="0" xfId="0" applyFont="1" applyFill="1" applyNumberFormat="1">
      <alignment vertical="top"/>
    </xf>
    <xf numFmtId="0" fontId="53" fillId="51" borderId="0" xfId="0" applyFont="1" applyFill="1"/>
    <xf numFmtId="0" fontId="19" fillId="51" borderId="0" xfId="0" applyFont="1" applyFill="1">
      <alignment horizontal="left" vertical="center" wrapText="1"/>
    </xf>
    <xf numFmtId="0" fontId="53" fillId="51" borderId="0" xfId="0" applyFont="1" applyFill="1">
      <alignment horizontal="right" vertical="center"/>
    </xf>
    <xf numFmtId="0" fontId="33" fillId="51" borderId="0" xfId="0" applyFont="1" applyFill="1">
      <alignment vertical="center"/>
    </xf>
    <xf numFmtId="49" fontId="53" fillId="0" borderId="0" xfId="0" applyFont="1" applyNumberFormat="1">
      <alignment vertical="center" wrapText="1"/>
    </xf>
    <xf numFmtId="0" fontId="33" fillId="51" borderId="0" xfId="0" applyFont="1" applyFill="1">
      <alignment vertical="center" wrapText="1"/>
    </xf>
    <xf numFmtId="49" fontId="33" fillId="0" borderId="0" xfId="0" applyFont="1" applyNumberFormat="1">
      <alignment vertical="top"/>
    </xf>
    <xf numFmtId="0" fontId="47" fillId="40" borderId="0" xfId="0" applyFont="1" applyFill="1">
      <alignment horizontal="center" vertical="center" wrapText="1"/>
    </xf>
    <xf numFmtId="49" fontId="47" fillId="0" borderId="0" xfId="0" applyFont="1" applyNumberFormat="1">
      <alignment horizontal="center" vertical="center" wrapText="1"/>
    </xf>
    <xf numFmtId="0" fontId="47" fillId="0" borderId="0" xfId="0" applyFont="1">
      <alignment horizontal="center" vertical="center"/>
    </xf>
    <xf numFmtId="0" fontId="47" fillId="0" borderId="0" xfId="0" applyFont="1">
      <alignment horizontal="right" vertical="center" wrapText="1" indent="1"/>
    </xf>
    <xf numFmtId="0" fontId="19" fillId="37" borderId="29" xfId="0" applyFont="1" applyFill="1" applyBorder="1">
      <alignment horizontal="left" vertical="center"/>
    </xf>
    <xf numFmtId="0" fontId="20" fillId="0" borderId="26" xfId="0" applyFont="1" applyBorder="1">
      <alignment horizontal="left" vertical="center" wrapText="1"/>
      <protection locked="0"/>
    </xf>
    <xf numFmtId="0" fontId="19" fillId="0" borderId="15" xfId="0" applyFont="1" applyBorder="1">
      <alignment horizontal="left" vertical="center" wrapText="1" indent="1"/>
    </xf>
    <xf numFmtId="0" fontId="19" fillId="0" borderId="12" xfId="0" applyFont="1" applyBorder="1">
      <alignment horizontal="center" vertical="center"/>
    </xf>
    <xf numFmtId="0" fontId="19" fillId="0" borderId="28" xfId="0" applyFont="1" applyBorder="1">
      <alignment horizontal="left" vertical="center" wrapText="1" indent="3"/>
    </xf>
    <xf numFmtId="0" fontId="19" fillId="0" borderId="27" xfId="0" applyFont="1" applyBorder="1">
      <alignment horizontal="left" vertical="center" wrapText="1" indent="1"/>
    </xf>
    <xf numFmtId="0" fontId="0" fillId="52" borderId="0" xfId="0" applyFont="1" applyFill="1">
      <alignment horizontal="center" vertical="center"/>
    </xf>
    <xf numFmtId="0" fontId="0" fillId="52" borderId="0" xfId="0" applyFont="1" applyFill="1">
      <alignment horizontal="center" vertical="center" wrapText="1"/>
    </xf>
    <xf numFmtId="0" fontId="62" fillId="52" borderId="0" xfId="0" applyFont="1" applyFill="1">
      <alignment horizontal="center" vertical="center"/>
    </xf>
    <xf numFmtId="0" fontId="0" fillId="0" borderId="0" xfId="0" applyFont="1">
      <alignment vertical="top"/>
    </xf>
    <xf numFmtId="0" fontId="0" fillId="0" borderId="0" xfId="0" applyFont="1"/>
    <xf numFmtId="0" fontId="0" fillId="40" borderId="0" xfId="0" applyFont="1" applyFill="1">
      <alignment horizontal="center" vertical="center"/>
    </xf>
    <xf numFmtId="0" fontId="0" fillId="40" borderId="0" xfId="0" applyFont="1" applyFill="1">
      <alignment horizontal="center" vertical="center" wrapText="1"/>
    </xf>
    <xf numFmtId="0" fontId="28" fillId="0" borderId="0" xfId="0" applyFont="1">
      <alignment vertical="center"/>
    </xf>
    <xf numFmtId="0" fontId="0" fillId="47" borderId="0" xfId="0" applyFont="1" applyFill="1">
      <alignment horizontal="center" vertical="center" wrapText="1"/>
    </xf>
    <xf numFmtId="0" fontId="66" fillId="0" borderId="0" xfId="0" applyFont="1">
      <alignment horizontal="center" vertical="center" wrapText="1"/>
    </xf>
    <xf numFmtId="0" fontId="0" fillId="4" borderId="0" xfId="0" applyFont="1" applyFill="1">
      <alignment horizontal="left"/>
    </xf>
    <xf numFmtId="0" fontId="0" fillId="37" borderId="0" xfId="0" applyFont="1" applyFill="1">
      <alignment horizontal="left"/>
    </xf>
    <xf numFmtId="0" fontId="0" fillId="4" borderId="0" xfId="0" applyFont="1" applyFill="1">
      <alignment vertical="center" wrapText="1"/>
    </xf>
    <xf numFmtId="0" fontId="0" fillId="53" borderId="0" xfId="0" applyFont="1" applyFill="1">
      <alignment horizontal="left" vertical="center"/>
    </xf>
    <xf numFmtId="0" fontId="0" fillId="12" borderId="0" xfId="0" applyFont="1" applyFill="1">
      <alignment horizontal="center" vertical="center" wrapText="1"/>
    </xf>
    <xf numFmtId="0" fontId="0" fillId="0" borderId="0" xfId="0" applyFont="1">
      <alignment horizontal="center" vertical="top" wrapText="1"/>
    </xf>
    <xf numFmtId="0" fontId="0" fillId="4" borderId="0" xfId="0" applyFont="1" applyFill="1"/>
    <xf numFmtId="0" fontId="0" fillId="44" borderId="0" xfId="0" applyFont="1" applyFill="1">
      <alignment vertical="center" wrapText="1"/>
    </xf>
    <xf numFmtId="0" fontId="0" fillId="0" borderId="0" xfId="0" applyFont="1">
      <alignment horizontal="left"/>
    </xf>
    <xf numFmtId="0" fontId="0" fillId="4" borderId="0" xfId="0" applyFont="1" applyFill="1">
      <alignment horizontal="left" vertical="top" wrapText="1"/>
    </xf>
    <xf numFmtId="0" fontId="0" fillId="37" borderId="0" xfId="0" applyFont="1" applyFill="1">
      <alignment horizontal="left" vertical="top" wrapText="1"/>
    </xf>
    <xf numFmtId="0" fontId="28" fillId="0" borderId="0" xfId="0" applyFont="1"/>
    <xf numFmtId="0" fontId="0" fillId="48" borderId="0" xfId="0" applyFont="1" applyFill="1">
      <alignment vertical="top"/>
    </xf>
    <xf numFmtId="0" fontId="0" fillId="46" borderId="0" xfId="0" applyFont="1" applyFill="1">
      <alignment vertical="top"/>
    </xf>
    <xf numFmtId="0" fontId="28" fillId="0" borderId="0" xfId="0" applyFont="1">
      <alignment vertical="center" wrapText="1"/>
    </xf>
    <xf numFmtId="0" fontId="28" fillId="4" borderId="0" xfId="0" applyFont="1" applyFill="1">
      <alignment horizontal="left" vertical="top" wrapText="1"/>
    </xf>
    <xf numFmtId="0" fontId="28" fillId="37" borderId="0" xfId="0" applyFont="1" applyFill="1">
      <alignment horizontal="left" vertical="top" wrapText="1"/>
    </xf>
    <xf numFmtId="0" fontId="28" fillId="4" borderId="0" xfId="0" applyFont="1" applyFill="1">
      <alignment horizontal="left" vertical="top"/>
    </xf>
    <xf numFmtId="0" fontId="28" fillId="37" borderId="0" xfId="0" applyFont="1" applyFill="1">
      <alignment horizontal="left" vertical="top"/>
    </xf>
    <xf numFmtId="0" fontId="0" fillId="35" borderId="0" xfId="0" applyFont="1" applyFill="1">
      <alignment vertical="center"/>
    </xf>
    <xf numFmtId="0" fontId="0" fillId="0" borderId="34" xfId="0" applyFont="1" applyBorder="1">
      <alignment vertical="center"/>
    </xf>
    <xf numFmtId="0" fontId="28" fillId="0" borderId="0" xfId="0" applyFont="1">
      <alignment horizontal="left" vertical="center"/>
    </xf>
    <xf numFmtId="0" fontId="0" fillId="4" borderId="0" xfId="0" applyFont="1" applyFill="1">
      <alignment horizontal="center" vertical="top"/>
    </xf>
    <xf numFmtId="0" fontId="0" fillId="37" borderId="0" xfId="0" applyFont="1" applyFill="1">
      <alignment horizontal="center" vertical="top"/>
    </xf>
    <xf numFmtId="0" fontId="0" fillId="4" borderId="0" xfId="0" applyFont="1" applyFill="1">
      <alignment horizontal="center"/>
    </xf>
    <xf numFmtId="0" fontId="62" fillId="0" borderId="0" xfId="0" applyFont="1">
      <alignment vertical="center"/>
    </xf>
    <xf numFmtId="0" fontId="62" fillId="4" borderId="0" xfId="0" applyFont="1" applyFill="1">
      <alignment horizontal="center" vertical="center"/>
    </xf>
    <xf numFmtId="49" fontId="19" fillId="37" borderId="15" xfId="0" applyFont="1" applyFill="1" applyBorder="1" applyNumberFormat="1">
      <alignment horizontal="center" vertical="center"/>
    </xf>
    <xf numFmtId="49" fontId="19" fillId="0" borderId="22" xfId="0" applyFont="1" applyBorder="1" applyNumberFormat="1">
      <alignment horizontal="right" vertical="center" wrapText="1" indent="1"/>
    </xf>
    <xf numFmtId="1" fontId="19" fillId="34" borderId="11" xfId="0" applyFont="1" applyFill="1" applyBorder="1" applyNumberFormat="1">
      <alignment horizontal="left" vertical="center" wrapText="1" indent="1"/>
      <protection locked="0"/>
    </xf>
    <xf numFmtId="49" fontId="19" fillId="0" borderId="13" xfId="0" applyFont="1" applyBorder="1" applyNumberFormat="1">
      <alignment horizontal="right" vertical="center" wrapText="1" indent="1"/>
    </xf>
    <xf numFmtId="49" fontId="19" fillId="33" borderId="13" xfId="0" applyFont="1" applyFill="1" applyBorder="1" applyNumberFormat="1">
      <alignment horizontal="left" vertical="center" wrapText="1" indent="1"/>
      <protection locked="0"/>
    </xf>
    <xf numFmtId="49" fontId="67" fillId="54" borderId="51" xfId="0" applyFont="1" applyFill="1" applyBorder="1" applyNumberFormat="1">
      <alignment horizontal="right" vertical="center" wrapText="1" indent="1"/>
    </xf>
    <xf numFmtId="49" fontId="39" fillId="54" borderId="68" xfId="0" applyFont="1" applyFill="1" applyBorder="1" applyNumberFormat="1">
      <alignment horizontal="left" vertical="center" wrapText="1" indent="1"/>
    </xf>
    <xf numFmtId="0" fontId="19" fillId="0" borderId="0" xfId="0" applyFont="1">
      <alignment vertical="top"/>
    </xf>
    <xf numFmtId="0" fontId="37" fillId="0" borderId="0" xfId="0" applyFont="1">
      <alignment horizontal="center" vertical="center"/>
    </xf>
    <xf numFmtId="0" fontId="20" fillId="25" borderId="0" xfId="0" applyFont="1" applyFill="1"/>
    <xf numFmtId="0" fontId="0" fillId="25" borderId="0" xfId="0" applyFont="1" applyFill="1">
      <alignment horizontal="center" vertical="center"/>
    </xf>
    <xf numFmtId="0" fontId="20" fillId="0" borderId="27" xfId="0" applyFont="1" applyBorder="1">
      <alignment horizontal="center" vertical="center" wrapText="1"/>
    </xf>
    <xf numFmtId="0" fontId="20" fillId="11" borderId="27" xfId="0" applyFont="1" applyFill="1" applyBorder="1">
      <alignment horizontal="center" vertical="center" wrapText="1"/>
    </xf>
    <xf numFmtId="49" fontId="0" fillId="0" borderId="0" xfId="0" applyFont="1" applyNumberFormat="1">
      <alignment horizontal="center" vertical="center" wrapText="1"/>
    </xf>
    <xf numFmtId="49" fontId="0" fillId="0" borderId="69" xfId="0" applyFont="1" applyBorder="1" applyNumberFormat="1">
      <alignment horizontal="center" vertical="center" wrapText="1"/>
    </xf>
    <xf numFmtId="49" fontId="26" fillId="0" borderId="0" xfId="0" applyFont="1" applyNumberFormat="1">
      <alignment horizontal="center" vertical="center" wrapText="1"/>
    </xf>
    <xf numFmtId="0" fontId="68" fillId="0" borderId="0" xfId="0" applyFont="1">
      <alignment horizontal="center" vertical="center"/>
    </xf>
    <xf numFmtId="0" fontId="69" fillId="0" borderId="64" xfId="0" applyFont="1" applyBorder="1">
      <alignment horizontal="left" vertical="center" wrapText="1"/>
    </xf>
    <xf numFmtId="0" fontId="69" fillId="0" borderId="70" xfId="0" applyFont="1" applyBorder="1">
      <alignment horizontal="center" vertical="center" wrapText="1"/>
    </xf>
    <xf numFmtId="0" fontId="69" fillId="0" borderId="70" xfId="0" applyFont="1" applyBorder="1">
      <alignment horizontal="left" vertical="center" wrapText="1"/>
    </xf>
    <xf numFmtId="0" fontId="26" fillId="0" borderId="70" xfId="0" applyFont="1" applyBorder="1">
      <alignment vertical="center" wrapText="1"/>
    </xf>
    <xf numFmtId="0" fontId="26" fillId="0" borderId="69" xfId="0" applyFont="1" applyBorder="1">
      <alignment wrapText="1"/>
    </xf>
    <xf numFmtId="0" fontId="26" fillId="0" borderId="0" xfId="0" applyFont="1"/>
    <xf numFmtId="0" fontId="69" fillId="0" borderId="69" xfId="0" applyFont="1" applyBorder="1">
      <alignment horizontal="left" vertical="center" wrapText="1"/>
    </xf>
    <xf numFmtId="0" fontId="69" fillId="0" borderId="0" xfId="0" applyFont="1">
      <alignment horizontal="center" vertical="center" wrapText="1"/>
    </xf>
    <xf numFmtId="0" fontId="69" fillId="0" borderId="0" xfId="0" applyFont="1"/>
    <xf numFmtId="0" fontId="69" fillId="0" borderId="0" xfId="0" applyFont="1">
      <alignment horizontal="left" vertical="center" wrapText="1"/>
    </xf>
    <xf numFmtId="0" fontId="26" fillId="0" borderId="0" xfId="0" applyFont="1">
      <alignment vertical="center" wrapText="1"/>
    </xf>
    <xf numFmtId="0" fontId="68" fillId="0" borderId="69" xfId="0" applyFont="1" applyBorder="1">
      <alignment wrapText="1"/>
    </xf>
    <xf numFmtId="0" fontId="0" fillId="33" borderId="64" xfId="0" applyFont="1" applyFill="1" applyBorder="1">
      <alignment horizontal="center" vertical="center" wrapText="1"/>
    </xf>
    <xf numFmtId="0" fontId="68" fillId="0" borderId="0" xfId="0" applyFont="1">
      <alignment wrapText="1"/>
    </xf>
    <xf numFmtId="0" fontId="0" fillId="55" borderId="64" xfId="0" applyFont="1" applyFill="1" applyBorder="1">
      <alignment horizontal="center" vertical="center" wrapText="1"/>
    </xf>
    <xf numFmtId="0" fontId="0" fillId="38" borderId="64" xfId="0" applyFont="1" applyFill="1" applyBorder="1">
      <alignment horizontal="center" vertical="center" wrapText="1"/>
    </xf>
    <xf numFmtId="0" fontId="0" fillId="34" borderId="64" xfId="0" applyFont="1" applyFill="1" applyBorder="1">
      <alignment horizontal="center" vertical="center" wrapText="1"/>
    </xf>
    <xf numFmtId="0" fontId="29" fillId="0" borderId="0" xfId="0" applyFont="1"/>
    <xf numFmtId="0" fontId="19" fillId="39" borderId="64" xfId="0" applyFont="1" applyFill="1" applyBorder="1">
      <alignment horizontal="center" vertical="center" wrapText="1"/>
    </xf>
    <xf numFmtId="0" fontId="26" fillId="0" borderId="0" xfId="0" applyFont="1">
      <alignment vertical="top" wrapText="1"/>
    </xf>
    <xf numFmtId="0" fontId="19" fillId="43" borderId="64" xfId="0" applyFont="1" applyFill="1" applyBorder="1">
      <alignment horizontal="center" vertical="center" wrapText="1"/>
    </xf>
    <xf numFmtId="0" fontId="68" fillId="0" borderId="0" xfId="0" applyFont="1"/>
    <xf numFmtId="0" fontId="26" fillId="0" borderId="71" xfId="0" applyFont="1" applyBorder="1">
      <alignment wrapText="1"/>
    </xf>
    <xf numFmtId="0" fontId="26" fillId="0" borderId="72" xfId="0" applyFont="1" applyBorder="1">
      <alignment horizontal="center" vertical="center" wrapText="1"/>
    </xf>
    <xf numFmtId="0" fontId="26" fillId="0" borderId="72" xfId="0" applyFont="1" applyBorder="1">
      <alignment wrapText="1"/>
    </xf>
    <xf numFmtId="0" fontId="26" fillId="0" borderId="72" xfId="0" applyFont="1" applyBorder="1">
      <alignment vertical="center" wrapText="1"/>
    </xf>
    <xf numFmtId="0" fontId="27" fillId="0" borderId="0" xfId="0" applyFont="1"/>
    <xf numFmtId="0" fontId="28" fillId="0" borderId="0" xfId="0" applyFont="1">
      <alignment horizontal="center" vertical="center" wrapText="1"/>
    </xf>
    <xf numFmtId="49" fontId="66" fillId="0" borderId="0" xfId="0" applyFont="1" applyNumberFormat="1">
      <alignment horizontal="center" vertical="center" wrapText="1"/>
    </xf>
    <xf numFmtId="49" fontId="70" fillId="0" borderId="0" xfId="0" applyFont="1" applyNumberFormat="1">
      <alignment wrapText="1"/>
    </xf>
    <xf numFmtId="0" fontId="30" fillId="0" borderId="0" xfId="0" applyFont="1">
      <alignment horizontal="left" vertical="center" wrapText="1"/>
    </xf>
    <xf numFmtId="49" fontId="71" fillId="0" borderId="0" xfId="0" applyFont="1" applyNumberFormat="1">
      <alignment horizontal="center" vertical="center" wrapText="1"/>
    </xf>
    <xf numFmtId="174" fontId="20" fillId="33" borderId="17" xfId="0" applyFont="1" applyFill="1" applyBorder="1" applyNumberFormat="1">
      <alignment horizontal="left" vertical="center" wrapText="1"/>
      <protection locked="0"/>
    </xf>
    <xf numFmtId="174" fontId="19" fillId="33" borderId="17" xfId="0" applyFont="1" applyFill="1" applyBorder="1" applyNumberFormat="1">
      <alignment horizontal="left" vertical="center" wrapText="1"/>
      <protection locked="0"/>
    </xf>
    <xf numFmtId="174" fontId="20" fillId="33" borderId="22" xfId="0" applyFont="1" applyFill="1" applyBorder="1" applyNumberFormat="1">
      <alignment horizontal="left" vertical="center" wrapText="1"/>
      <protection locked="0"/>
    </xf>
    <xf numFmtId="174" fontId="20" fillId="33" borderId="10" xfId="0" applyFont="1" applyFill="1" applyBorder="1" applyNumberFormat="1">
      <alignment horizontal="left" vertical="center" wrapText="1"/>
      <protection locked="0"/>
    </xf>
    <xf numFmtId="174" fontId="20" fillId="33" borderId="13" xfId="0" applyFont="1" applyFill="1" applyBorder="1" applyNumberFormat="1">
      <alignment horizontal="left" vertical="center" wrapText="1"/>
      <protection locked="0"/>
    </xf>
    <xf numFmtId="174" fontId="19" fillId="33" borderId="10" xfId="0" applyFont="1" applyFill="1" applyBorder="1" applyNumberFormat="1">
      <alignment horizontal="left" vertical="center"/>
      <protection locked="0"/>
    </xf>
    <xf numFmtId="174" fontId="19" fillId="33" borderId="11" xfId="0" applyFont="1" applyFill="1" applyBorder="1" applyNumberFormat="1">
      <alignment horizontal="left" vertical="center"/>
      <protection locked="0"/>
    </xf>
    <xf numFmtId="174" fontId="19" fillId="33" borderId="10" xfId="0" applyFont="1" applyFill="1" applyBorder="1" applyNumberFormat="1">
      <alignment horizontal="left" vertical="center" wrapText="1"/>
      <protection locked="0"/>
    </xf>
    <xf numFmtId="174" fontId="19" fillId="33" borderId="11" xfId="0" applyFont="1" applyFill="1" applyBorder="1" applyNumberFormat="1">
      <alignment horizontal="left" vertical="center" wrapText="1"/>
      <protection locked="0"/>
    </xf>
    <xf numFmtId="174" fontId="20" fillId="33" borderId="24" xfId="0" applyFont="1" applyFill="1" applyBorder="1" applyNumberFormat="1">
      <alignment horizontal="left" vertical="center" wrapText="1"/>
      <protection locked="0"/>
    </xf>
    <xf numFmtId="174" fontId="20" fillId="33" borderId="25" xfId="0" applyFont="1" applyFill="1" applyBorder="1" applyNumberFormat="1">
      <alignment horizontal="left" vertical="center" wrapText="1"/>
      <protection locked="0"/>
    </xf>
    <xf numFmtId="174" fontId="19" fillId="33" borderId="18" xfId="0" applyFont="1" applyFill="1" applyBorder="1" applyNumberFormat="1">
      <alignment horizontal="left" vertical="center" wrapText="1" indent="1"/>
      <protection locked="0"/>
    </xf>
    <xf numFmtId="174" fontId="21" fillId="33" borderId="17" xfId="0" applyFont="1" applyFill="1" applyBorder="1" applyNumberFormat="1">
      <alignment horizontal="left" vertical="center" wrapText="1" indent="1"/>
      <protection locked="0"/>
    </xf>
    <xf numFmtId="174" fontId="21" fillId="33" borderId="17" xfId="0" applyFont="1" applyFill="1" applyBorder="1" applyNumberFormat="1">
      <alignment horizontal="left" vertical="center" wrapText="1" indent="1"/>
      <protection locked="0"/>
    </xf>
    <xf numFmtId="174" fontId="72" fillId="33" borderId="17" xfId="0" applyFont="1" applyFill="1" applyBorder="1" applyNumberFormat="1">
      <alignment horizontal="left" vertical="center" wrapText="1" indent="1"/>
      <protection locked="0"/>
    </xf>
    <xf numFmtId="0" fontId="0" fillId="0" borderId="0" xfId="0" applyFont="1">
      <alignment horizontal="center" vertical="center"/>
    </xf>
    <xf numFmtId="0" fontId="0" fillId="37" borderId="0" xfId="0" applyFont="1" applyFill="1">
      <alignment horizontal="center" vertical="center"/>
    </xf>
    <xf numFmtId="0" fontId="0" fillId="0" borderId="27" xfId="0" applyFont="1" applyBorder="1">
      <alignment vertical="center"/>
    </xf>
    <xf numFmtId="0" fontId="19" fillId="0" borderId="73" xfId="0" applyFont="1" applyBorder="1">
      <alignment vertical="center"/>
    </xf>
    <xf numFmtId="0" fontId="19" fillId="0" borderId="27" xfId="0" applyFont="1" applyBorder="1">
      <alignment vertical="center"/>
    </xf>
    <xf numFmtId="0" fontId="19" fillId="0" borderId="30" xfId="0" applyFont="1" applyBorder="1">
      <alignment vertical="center"/>
    </xf>
    <xf numFmtId="0" fontId="0" fillId="0" borderId="27" xfId="0" applyFont="1" applyBorder="1">
      <alignment horizontal="center" vertical="center"/>
    </xf>
    <xf numFmtId="0" fontId="0" fillId="0" borderId="0" xfId="0" applyFont="1">
      <alignment horizontal="center" vertical="center" wrapText="1"/>
    </xf>
    <xf numFmtId="0" fontId="0" fillId="37" borderId="0" xfId="0" applyFont="1" applyFill="1">
      <alignment horizontal="center" vertical="center" wrapText="1"/>
    </xf>
    <xf numFmtId="0" fontId="1" fillId="0" borderId="0" xfId="0" applyFont="1"/>
    <xf numFmtId="49" fontId="0" fillId="0" borderId="27" xfId="0" applyFont="1" applyBorder="1" applyNumberFormat="1">
      <alignment vertical="top"/>
    </xf>
    <xf numFmtId="0" fontId="1" fillId="0" borderId="27" xfId="0" applyFont="1" applyBorder="1"/>
    <xf numFmtId="0" fontId="20" fillId="0" borderId="27" xfId="0" applyFont="1" applyBorder="1">
      <alignment vertical="center"/>
    </xf>
    <xf numFmtId="0" fontId="0" fillId="0" borderId="27" xfId="0" applyFont="1" applyBorder="1">
      <alignment vertical="center" wrapText="1"/>
    </xf>
    <xf numFmtId="0" fontId="1" fillId="0" borderId="27" xfId="0" applyFont="1" applyBorder="1">
      <alignment vertical="center"/>
    </xf>
    <xf numFmtId="0" fontId="19" fillId="4" borderId="0" xfId="0" applyFont="1" applyFill="1">
      <alignment horizontal="center" vertical="center"/>
    </xf>
    <xf numFmtId="0" fontId="1" fillId="0" borderId="0" xfId="0" applyFont="1">
      <alignment vertical="top"/>
    </xf>
    <xf numFmtId="0" fontId="20" fillId="0" borderId="27" xfId="0" applyFont="1" applyBorder="1">
      <alignment horizontal="left" vertical="top"/>
    </xf>
    <xf numFmtId="0" fontId="1" fillId="0" borderId="27" xfId="0" applyFont="1" applyBorder="1">
      <alignment vertical="top"/>
    </xf>
    <xf numFmtId="49" fontId="0" fillId="0" borderId="27" xfId="0" applyFont="1" applyBorder="1" applyNumberFormat="1">
      <alignment vertical="top"/>
    </xf>
    <xf numFmtId="0" fontId="53" fillId="0" borderId="27" xfId="0" applyFont="1" applyBorder="1">
      <alignment vertical="top"/>
    </xf>
    <xf numFmtId="0" fontId="20" fillId="51" borderId="27" xfId="0" applyFont="1" applyFill="1" applyBorder="1">
      <alignment horizontal="left" vertical="top"/>
    </xf>
    <xf numFmtId="0" fontId="0" fillId="0" borderId="27" xfId="0" applyFont="1" applyBorder="1">
      <alignment horizontal="center" vertical="center" wrapText="1"/>
    </xf>
    <xf numFmtId="49" fontId="26" fillId="0" borderId="0" xfId="0" applyFont="1" applyNumberFormat="1"/>
    <xf numFmtId="49" fontId="26" fillId="0" borderId="0" xfId="0" applyFont="1" applyNumberFormat="1"/>
    <xf numFmtId="49" fontId="26" fillId="0" borderId="0" xfId="0" applyFont="1" applyNumberFormat="1">
      <alignment horizontal="center" vertical="center"/>
    </xf>
    <xf numFmtId="49" fontId="26" fillId="0" borderId="0" xfId="0" applyFont="1" applyNumberFormat="1">
      <alignment vertical="center"/>
    </xf>
    <xf numFmtId="49" fontId="27" fillId="0" borderId="0" xfId="0" applyFont="1" applyNumberFormat="1"/>
    <xf numFmtId="49" fontId="23" fillId="0" borderId="0" xfId="0" applyFont="1" applyNumberFormat="1">
      <alignment vertical="top"/>
    </xf>
    <xf numFmtId="0" fontId="73" fillId="0" borderId="0" xfId="0" applyFont="1">
      <alignment horizontal="left"/>
    </xf>
    <xf numFmtId="49" fontId="0" fillId="0" borderId="0" xfId="0" applyFont="1" applyNumberFormat="1">
      <alignment horizontal="left" vertical="center"/>
    </xf>
    <xf numFmtId="49" fontId="26" fillId="0" borderId="0" xfId="0" applyFont="1" applyNumberFormat="1">
      <alignment horizontal="left"/>
    </xf>
    <xf numFmtId="49" fontId="0" fillId="0" borderId="0" xfId="0" applyFont="1" applyNumberFormat="1">
      <alignment horizontal="left" vertical="center"/>
    </xf>
    <xf numFmtId="0" fontId="26" fillId="0" borderId="0" xfId="0" applyFont="1">
      <alignment horizontal="left"/>
    </xf>
    <xf numFmtId="0" fontId="29" fillId="0" borderId="0" xfId="0" applyFont="1">
      <alignment horizontal="left"/>
    </xf>
    <xf numFmtId="0" fontId="19" fillId="0" borderId="0" xfId="0" applyFont="1">
      <alignment horizontal="left"/>
    </xf>
    <xf numFmtId="49" fontId="23" fillId="0" borderId="0" xfId="0" applyFont="1" applyNumberFormat="1">
      <alignment horizontal="left" vertical="top"/>
    </xf>
    <xf numFmtId="49" fontId="19" fillId="0" borderId="0" xfId="0" applyFont="1" applyNumberFormat="1">
      <alignment horizontal="left" vertical="top"/>
    </xf>
    <xf numFmtId="49" fontId="0" fillId="0" borderId="0" xfId="0" applyFont="1" applyNumberFormat="1">
      <alignment horizontal="left" vertical="top"/>
    </xf>
    <xf numFmtId="0" fontId="0" fillId="0" borderId="0" xfId="0" applyFont="1">
      <alignment horizontal="left" vertical="top"/>
    </xf>
    <xf numFmtId="0" fontId="0" fillId="35" borderId="0" xfId="0" applyFont="1" applyFill="1">
      <alignment horizontal="left" vertical="center"/>
    </xf>
    <xf numFmtId="49" fontId="19" fillId="0" borderId="0" xfId="0" applyFont="1" applyNumberFormat="1">
      <alignment horizontal="left" vertical="center"/>
    </xf>
    <xf numFmtId="0" fontId="20" fillId="0" borderId="0" xfId="0" applyFont="1">
      <alignment horizontal="left" vertical="center"/>
    </xf>
    <xf numFmtId="0" fontId="53" fillId="0" borderId="0" xfId="0" applyFont="1">
      <alignment horizontal="left"/>
    </xf>
    <xf numFmtId="0" fontId="20" fillId="0" borderId="0" xfId="0" applyFont="1">
      <alignment horizontal="left"/>
    </xf>
    <xf numFmtId="4" fontId="20" fillId="33" borderId="33" xfId="0" applyFont="1" applyFill="1" applyBorder="1" applyNumberFormat="1">
      <alignment horizontal="right" vertical="center"/>
      <protection locked="0"/>
    </xf>
    <xf numFmtId="0" fontId="63" fillId="0" borderId="0" xfId="0" applyFont="1">
      <alignment vertical="center"/>
    </xf>
    <xf numFmtId="49" fontId="63" fillId="0" borderId="0" xfId="0" applyFont="1" applyNumberFormat="1">
      <alignment horizontal="center" vertical="center" wrapText="1"/>
    </xf>
    <xf numFmtId="0" fontId="63" fillId="0" borderId="0" xfId="0" applyFont="1">
      <alignment horizontal="left" vertical="center"/>
    </xf>
    <xf numFmtId="49" fontId="19" fillId="0" borderId="27" xfId="0" applyFont="1" applyBorder="1" applyNumberFormat="1">
      <alignment horizontal="center" vertical="center" wrapText="1"/>
    </xf>
    <xf numFmtId="0" fontId="42" fillId="45" borderId="27" xfId="0" applyFont="1" applyFill="1" applyBorder="1">
      <alignment horizontal="left" vertical="center"/>
    </xf>
    <xf numFmtId="4" fontId="20" fillId="33" borderId="27" xfId="0" applyFont="1" applyFill="1" applyBorder="1" applyNumberFormat="1">
      <alignment horizontal="right" vertical="center"/>
      <protection locked="0"/>
    </xf>
    <xf numFmtId="0" fontId="20" fillId="54" borderId="74" xfId="0" applyFont="1" applyFill="1" applyBorder="1">
      <alignment vertical="center" wrapText="1"/>
    </xf>
    <xf numFmtId="0" fontId="63" fillId="54" borderId="68" xfId="0" applyFont="1" applyFill="1" applyBorder="1">
      <alignment vertical="center" wrapText="1"/>
    </xf>
    <xf numFmtId="174" fontId="20" fillId="33" borderId="23" xfId="0" applyFont="1" applyFill="1" applyBorder="1" applyNumberFormat="1">
      <alignment horizontal="left" vertical="center" wrapText="1"/>
      <protection locked="0"/>
    </xf>
    <xf numFmtId="0" fontId="20" fillId="0" borderId="23" xfId="0" applyFont="1" applyBorder="1">
      <alignment horizontal="left" vertical="center" wrapText="1"/>
      <protection locked="0"/>
    </xf>
    <xf numFmtId="174" fontId="20" fillId="33" borderId="16" xfId="0" applyFont="1" applyFill="1" applyBorder="1" applyNumberFormat="1">
      <alignment horizontal="left" vertical="center" wrapText="1"/>
      <protection locked="0"/>
    </xf>
    <xf numFmtId="0" fontId="53" fillId="0" borderId="0" xfId="0" applyFont="1">
      <alignment vertical="center"/>
    </xf>
    <xf numFmtId="0" fontId="0" fillId="0" borderId="0" xfId="0" applyFont="1">
      <alignment vertical="center"/>
    </xf>
    <xf numFmtId="0" fontId="0" fillId="4" borderId="0" xfId="0" applyFont="1" applyFill="1">
      <alignment horizontal="left" vertical="top"/>
    </xf>
    <xf numFmtId="0" fontId="0" fillId="37" borderId="0" xfId="0" applyFont="1" applyFill="1">
      <alignment horizontal="left" vertical="top"/>
    </xf>
    <xf numFmtId="0" fontId="0" fillId="0" borderId="0" xfId="0" applyFont="1">
      <alignment vertical="top"/>
    </xf>
    <xf numFmtId="174" fontId="20" fillId="33" borderId="31" xfId="0" applyFont="1" applyFill="1" applyBorder="1" applyNumberFormat="1">
      <alignment horizontal="left" vertical="center" wrapText="1"/>
      <protection locked="0"/>
    </xf>
    <xf numFmtId="174" fontId="20" fillId="33" borderId="27" xfId="0" applyFont="1" applyFill="1" applyBorder="1" applyNumberFormat="1">
      <alignment horizontal="left" vertical="center" wrapText="1"/>
      <protection locked="0"/>
    </xf>
    <xf numFmtId="0" fontId="20" fillId="0" borderId="27" xfId="0" applyFont="1" applyBorder="1">
      <alignment horizontal="left" vertical="center" wrapText="1"/>
      <protection locked="0"/>
    </xf>
    <xf numFmtId="49" fontId="22" fillId="34" borderId="11" xfId="0" applyFont="1" applyFill="1" applyBorder="1" applyNumberFormat="1">
      <alignment vertical="center" wrapText="1"/>
      <protection locked="0"/>
    </xf>
    <xf numFmtId="4" fontId="22" fillId="33" borderId="28" xfId="0" applyFont="1" applyFill="1" applyBorder="1" applyNumberFormat="1">
      <alignment vertical="center" wrapText="1"/>
      <protection locked="0"/>
    </xf>
    <xf numFmtId="4" fontId="22" fillId="33" borderId="29" xfId="0" applyFont="1" applyFill="1" applyBorder="1" applyNumberFormat="1">
      <alignment vertical="center" wrapText="1"/>
      <protection locked="0"/>
    </xf>
    <xf numFmtId="174" fontId="20" fillId="33" borderId="11" xfId="0" applyFont="1" applyFill="1" applyBorder="1" applyNumberFormat="1">
      <alignment horizontal="left" vertical="center" wrapText="1"/>
      <protection locked="0"/>
    </xf>
    <xf numFmtId="174" fontId="20" fillId="33" borderId="28" xfId="0" applyFont="1" applyFill="1" applyBorder="1" applyNumberFormat="1">
      <alignment horizontal="left" vertical="center" wrapText="1"/>
      <protection locked="0"/>
    </xf>
    <xf numFmtId="174" fontId="20" fillId="33" borderId="30" xfId="0" applyFont="1" applyFill="1" applyBorder="1" applyNumberFormat="1">
      <alignment horizontal="left" vertical="center" wrapText="1"/>
      <protection locked="0"/>
    </xf>
    <xf numFmtId="49" fontId="39" fillId="54" borderId="51" xfId="0" applyFont="1" applyFill="1" applyBorder="1" applyNumberFormat="1">
      <alignment horizontal="left" vertical="center" wrapText="1" indent="1"/>
    </xf>
    <xf numFmtId="49" fontId="46" fillId="54" borderId="74" xfId="0" applyFont="1" applyFill="1" applyBorder="1" applyNumberFormat="1">
      <alignment horizontal="left" vertical="center" wrapText="1" indent="1"/>
    </xf>
    <xf numFmtId="49" fontId="39" fillId="54" borderId="74" xfId="0" applyFont="1" applyFill="1" applyBorder="1" applyNumberFormat="1">
      <alignment horizontal="left" vertical="center" wrapText="1" indent="1"/>
    </xf>
    <xf numFmtId="0" fontId="39" fillId="54" borderId="74" xfId="0" applyFont="1" applyFill="1" applyBorder="1">
      <alignment horizontal="left" vertical="center" wrapText="1" indent="1"/>
    </xf>
    <xf numFmtId="0" fontId="39" fillId="54" borderId="68" xfId="0" applyFont="1" applyFill="1" applyBorder="1">
      <alignment horizontal="left" vertical="center" wrapText="1" indent="1"/>
    </xf>
    <xf numFmtId="0" fontId="0" fillId="4" borderId="0" xfId="0" applyFont="1" applyFill="1">
      <alignment horizontal="left" vertical="center"/>
    </xf>
    <xf numFmtId="0" fontId="0" fillId="4" borderId="0" xfId="0" applyFont="1" applyFill="1">
      <alignment horizontal="center" vertical="center"/>
    </xf>
    <xf numFmtId="0" fontId="19" fillId="4" borderId="0" xfId="0" applyFont="1" applyFill="1">
      <alignment horizontal="center" vertical="center"/>
    </xf>
    <xf numFmtId="0" fontId="0" fillId="4" borderId="0" xfId="0" applyFont="1" applyFill="1">
      <alignment horizontal="left"/>
    </xf>
    <xf numFmtId="0" fontId="0" fillId="56" borderId="0" xfId="0" applyFont="1" applyFill="1">
      <alignment vertical="top"/>
    </xf>
    <xf numFmtId="0" fontId="0" fillId="0" borderId="30" xfId="0" applyFont="1" applyBorder="1">
      <alignment horizontal="center" vertical="center" wrapText="1"/>
    </xf>
    <xf numFmtId="0" fontId="0" fillId="0" borderId="31" xfId="0" applyFont="1" applyBorder="1">
      <alignment horizontal="center" vertical="center" wrapText="1"/>
    </xf>
    <xf numFmtId="0" fontId="0" fillId="0" borderId="51" xfId="0" applyFont="1" applyBorder="1">
      <alignment horizontal="center" vertical="center" wrapText="1"/>
    </xf>
    <xf numFmtId="0" fontId="1" fillId="0" borderId="0" xfId="0" applyFont="1"/>
    <xf numFmtId="0" fontId="19" fillId="4" borderId="0" xfId="0" applyFont="1" applyFill="1">
      <alignment horizontal="center" vertical="center" wrapText="1"/>
    </xf>
    <xf numFmtId="0" fontId="1" fillId="0" borderId="27" xfId="0" applyFont="1" applyBorder="1"/>
    <xf numFmtId="0" fontId="20" fillId="4" borderId="0" xfId="0" applyFont="1" applyFill="1">
      <alignment horizontal="center" vertical="center"/>
    </xf>
    <xf numFmtId="0" fontId="20" fillId="0" borderId="27" xfId="0" applyFont="1" applyBorder="1">
      <alignment vertical="center" wrapText="1"/>
    </xf>
    <xf numFmtId="49" fontId="1" fillId="0" borderId="27" xfId="0" applyFont="1" applyBorder="1" applyNumberFormat="1"/>
    <xf numFmtId="0" fontId="20" fillId="57" borderId="0" xfId="0" applyFont="1" applyFill="1">
      <alignment horizontal="center" vertical="center"/>
    </xf>
    <xf numFmtId="0" fontId="20" fillId="0" borderId="51" xfId="0" applyFont="1" applyBorder="1"/>
    <xf numFmtId="49" fontId="0" fillId="0" borderId="0" xfId="0" applyFont="1" applyNumberFormat="1">
      <alignment vertical="center"/>
    </xf>
    <xf numFmtId="49" fontId="0" fillId="0" borderId="27" xfId="0" applyFont="1" applyBorder="1" applyNumberFormat="1">
      <alignment vertical="center"/>
    </xf>
    <xf numFmtId="0" fontId="45" fillId="0" borderId="27" xfId="0" applyFont="1" applyBorder="1">
      <alignment horizontal="left" vertical="center" wrapText="1"/>
    </xf>
    <xf numFmtId="0" fontId="20" fillId="0" borderId="27" xfId="0" applyFont="1" applyBorder="1">
      <alignment vertical="center"/>
    </xf>
    <xf numFmtId="49" fontId="0" fillId="0" borderId="27" xfId="0" applyFont="1" applyBorder="1" applyNumberFormat="1">
      <alignment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0" xfId="0" applyFont="1" applyNumberFormat="1">
      <alignment horizontal="center" vertical="top"/>
    </xf>
    <xf numFmtId="0" fontId="0" fillId="0" borderId="27" xfId="0" applyFont="1" applyBorder="1">
      <alignment horizontal="center" vertical="center"/>
    </xf>
    <xf numFmtId="49" fontId="19" fillId="33" borderId="23" xfId="0" applyFont="1" applyFill="1" applyBorder="1" applyNumberFormat="1">
      <alignment vertical="center" wrapText="1"/>
      <protection locked="0"/>
    </xf>
    <xf numFmtId="49" fontId="19" fillId="33" borderId="10" xfId="0" applyFont="1" applyFill="1" applyBorder="1" applyNumberFormat="1">
      <alignment vertical="center" wrapText="1"/>
      <protection locked="0"/>
    </xf>
    <xf numFmtId="49" fontId="20" fillId="34" borderId="22" xfId="0" applyFont="1" applyFill="1" applyBorder="1" applyNumberFormat="1">
      <alignment horizontal="left" vertical="center" wrapText="1"/>
      <protection locked="0"/>
    </xf>
    <xf numFmtId="4" fontId="19" fillId="33" borderId="10" xfId="0" applyFont="1" applyFill="1" applyBorder="1" applyNumberFormat="1">
      <alignment horizontal="right" vertical="center" wrapText="1"/>
      <protection locked="0"/>
    </xf>
    <xf numFmtId="49" fontId="0" fillId="0" borderId="0" xfId="0" applyFont="1" applyNumberFormat="1"/>
    <xf numFmtId="49" fontId="0" fillId="0" borderId="0" xfId="0" applyFont="1" applyNumberFormat="1"/>
    <xf numFmtId="0" fontId="1" fillId="0" borderId="0" xfId="0" applyFont="1"/>
    <xf numFmtId="0" fontId="20" fillId="0" borderId="75" xfId="0" applyFont="1" applyBorder="1"/>
    <xf numFmtId="49" fontId="0" fillId="0" borderId="75" xfId="0" applyFont="1" applyBorder="1" applyNumberFormat="1">
      <alignment vertical="top"/>
    </xf>
    <xf numFmtId="0" fontId="0" fillId="0" borderId="75" xfId="0" applyFont="1" applyBorder="1">
      <alignment horizontal="center" vertical="center"/>
    </xf>
    <xf numFmtId="0" fontId="0" fillId="0" borderId="75" xfId="0" applyFont="1" applyBorder="1">
      <alignment vertical="top"/>
    </xf>
    <xf numFmtId="49" fontId="0" fillId="0" borderId="75" xfId="0" applyFont="1" applyBorder="1" applyNumberFormat="1"/>
    <xf numFmtId="49" fontId="20" fillId="0" borderId="27" xfId="0" applyFont="1" applyBorder="1" applyNumberFormat="1">
      <alignment horizontal="left" vertical="top"/>
    </xf>
    <xf numFmtId="0" fontId="0" fillId="0" borderId="0" xfId="0" applyFont="1">
      <alignment vertical="top"/>
    </xf>
    <xf numFmtId="0" fontId="0" fillId="0" borderId="27" xfId="0" applyFont="1" applyBorder="1">
      <alignment vertical="top"/>
    </xf>
    <xf numFmtId="0" fontId="0" fillId="0" borderId="27" xfId="0" applyFont="1" applyBorder="1">
      <alignment vertical="top"/>
    </xf>
    <xf numFmtId="0" fontId="0" fillId="0" borderId="0" xfId="0" applyFont="1">
      <alignment horizontal="center" vertical="center"/>
    </xf>
    <xf numFmtId="0" fontId="0" fillId="0" borderId="0" xfId="0" applyFont="1">
      <alignment vertical="center"/>
    </xf>
    <xf numFmtId="0" fontId="1" fillId="0" borderId="0" xfId="0" applyFont="1"/>
    <xf numFmtId="0" fontId="53" fillId="4" borderId="0" xfId="0" applyFont="1" applyFill="1">
      <alignment horizontal="left" vertical="top"/>
    </xf>
    <xf numFmtId="0" fontId="20" fillId="4" borderId="0" xfId="0" applyFont="1" applyFill="1">
      <alignment horizontal="left" vertical="top"/>
    </xf>
    <xf numFmtId="0" fontId="0" fillId="0" borderId="27" xfId="0" applyFont="1" applyBorder="1">
      <alignment horizontal="center" vertical="center"/>
    </xf>
    <xf numFmtId="0" fontId="29" fillId="37" borderId="64" xfId="0" applyFont="1" applyFill="1" applyBorder="1">
      <alignment horizontal="right" vertical="center" wrapText="1" indent="1"/>
    </xf>
    <xf numFmtId="0" fontId="29" fillId="37" borderId="70" xfId="0" applyFont="1" applyFill="1" applyBorder="1">
      <alignment horizontal="right" vertical="center" wrapText="1" indent="1"/>
    </xf>
    <xf numFmtId="0" fontId="29" fillId="37" borderId="69" xfId="0" applyFont="1" applyFill="1" applyBorder="1">
      <alignment horizontal="right" vertical="center" wrapText="1" indent="1"/>
    </xf>
    <xf numFmtId="0" fontId="29" fillId="37" borderId="0" xfId="0" applyFont="1" applyFill="1">
      <alignment horizontal="right" vertical="center" wrapText="1" indent="1"/>
    </xf>
    <xf numFmtId="0" fontId="29" fillId="37" borderId="71" xfId="0" applyFont="1" applyFill="1" applyBorder="1">
      <alignment horizontal="right" vertical="center" wrapText="1" indent="1"/>
    </xf>
    <xf numFmtId="0" fontId="29" fillId="37" borderId="72" xfId="0" applyFont="1" applyFill="1" applyBorder="1">
      <alignment horizontal="right" vertical="center" wrapText="1" indent="1"/>
    </xf>
    <xf numFmtId="0" fontId="68" fillId="0" borderId="0" xfId="0" applyFont="1">
      <alignment vertical="top" wrapText="1"/>
    </xf>
    <xf numFmtId="0" fontId="68" fillId="0" borderId="0" xfId="0" applyFont="1">
      <alignment vertical="center" wrapText="1"/>
    </xf>
    <xf numFmtId="0" fontId="30" fillId="0" borderId="0" xfId="0" applyFont="1">
      <alignment vertical="center"/>
    </xf>
    <xf numFmtId="0" fontId="68" fillId="58" borderId="64" xfId="0" applyFont="1" applyFill="1" applyBorder="1">
      <alignment horizontal="center" vertical="center" wrapText="1"/>
    </xf>
    <xf numFmtId="0" fontId="68" fillId="58" borderId="70" xfId="0" applyFont="1" applyFill="1" applyBorder="1">
      <alignment horizontal="center" vertical="center" wrapText="1"/>
    </xf>
    <xf numFmtId="0" fontId="68" fillId="0" borderId="69" xfId="0" applyFont="1" applyBorder="1">
      <alignment vertical="center" wrapText="1"/>
    </xf>
    <xf numFmtId="0" fontId="68" fillId="0" borderId="69" xfId="0" applyFont="1" applyBorder="1">
      <alignment horizontal="left" vertical="center" wrapText="1"/>
    </xf>
    <xf numFmtId="0" fontId="68" fillId="0" borderId="0" xfId="0" applyFont="1">
      <alignment horizontal="left" vertical="center" wrapText="1"/>
    </xf>
    <xf numFmtId="0" fontId="26" fillId="0" borderId="0" xfId="0" applyFont="1">
      <alignment vertical="top" wrapText="1"/>
    </xf>
    <xf numFmtId="0" fontId="74" fillId="0" borderId="0" xfId="0" applyFont="1">
      <alignment vertical="center" wrapText="1"/>
    </xf>
    <xf numFmtId="0" fontId="19" fillId="0" borderId="17" xfId="0" applyFont="1" applyBorder="1">
      <alignment horizontal="right" vertical="center" wrapText="1" indent="1"/>
    </xf>
    <xf numFmtId="0" fontId="47" fillId="0" borderId="76" xfId="0" applyFont="1" applyBorder="1">
      <alignment horizontal="center" vertical="top" wrapText="1"/>
    </xf>
    <xf numFmtId="0" fontId="75" fillId="0" borderId="76" xfId="0" applyFont="1" applyBorder="1">
      <alignment horizontal="center" vertical="top" wrapText="1"/>
    </xf>
    <xf numFmtId="0" fontId="19" fillId="0" borderId="17" xfId="0" applyFont="1" applyBorder="1">
      <alignment horizontal="center" vertical="center" textRotation="90" wrapText="1"/>
    </xf>
    <xf numFmtId="0" fontId="33" fillId="0" borderId="17" xfId="0" applyFont="1" applyBorder="1">
      <alignment vertical="center" wrapText="1"/>
    </xf>
    <xf numFmtId="0" fontId="19" fillId="34" borderId="10" xfId="0" applyFont="1" applyFill="1" applyBorder="1">
      <alignment horizontal="right" vertical="center" wrapText="1" indent="1"/>
      <protection locked="0"/>
    </xf>
    <xf numFmtId="0" fontId="20" fillId="34" borderId="10" xfId="0" applyFont="1" applyFill="1" applyBorder="1">
      <alignment horizontal="right" vertical="center" wrapText="1" indent="1"/>
      <protection locked="0"/>
    </xf>
    <xf numFmtId="0" fontId="20" fillId="34" borderId="23" xfId="0" applyFont="1" applyFill="1" applyBorder="1">
      <alignment horizontal="right" vertical="center" wrapText="1" indent="1"/>
      <protection locked="0"/>
    </xf>
    <xf numFmtId="0" fontId="33" fillId="0" borderId="23" xfId="0" applyFont="1" applyBorder="1">
      <alignment horizontal="left" vertical="center" wrapText="1"/>
    </xf>
    <xf numFmtId="0" fontId="33" fillId="0" borderId="35" xfId="0" applyFont="1" applyBorder="1">
      <alignment horizontal="left" vertical="center" wrapText="1"/>
    </xf>
    <xf numFmtId="0" fontId="33" fillId="0" borderId="12" xfId="0" applyFont="1" applyBorder="1">
      <alignment horizontal="left" vertical="center" wrapText="1"/>
    </xf>
    <xf numFmtId="0" fontId="33" fillId="33" borderId="10" xfId="0" applyFont="1" applyFill="1" applyBorder="1">
      <alignment horizontal="left" vertical="center" wrapText="1"/>
      <protection locked="0"/>
    </xf>
    <xf numFmtId="0" fontId="19" fillId="0" borderId="62" xfId="0" applyFont="1" applyBorder="1">
      <alignment horizontal="center" vertical="center" wrapText="1"/>
    </xf>
    <xf numFmtId="0" fontId="19" fillId="0" borderId="77" xfId="0" applyFont="1" applyBorder="1">
      <alignment horizontal="center" vertical="center" wrapText="1"/>
    </xf>
    <xf numFmtId="0" fontId="19" fillId="0" borderId="52" xfId="0" applyFont="1" applyBorder="1">
      <alignment horizontal="center" vertical="center" wrapText="1"/>
    </xf>
    <xf numFmtId="0" fontId="19" fillId="0" borderId="20" xfId="0" applyFont="1" applyBorder="1">
      <alignment horizontal="center" vertical="center" wrapText="1"/>
    </xf>
    <xf numFmtId="49" fontId="19" fillId="0" borderId="10" xfId="0" applyFont="1" applyBorder="1" applyNumberFormat="1">
      <alignment horizontal="right" vertical="center" wrapText="1"/>
    </xf>
    <xf numFmtId="0" fontId="0" fillId="0" borderId="0" xfId="0" applyFont="1">
      <alignment horizontal="center" vertical="center"/>
    </xf>
    <xf numFmtId="49" fontId="23" fillId="59" borderId="17" xfId="0" applyFont="1" applyFill="1" applyBorder="1" applyNumberFormat="1">
      <alignment horizontal="left" vertical="center" wrapText="1" indent="4"/>
    </xf>
    <xf numFmtId="0" fontId="19" fillId="0" borderId="23" xfId="0" applyFont="1" applyBorder="1">
      <alignment horizontal="right" vertical="center" wrapText="1" indent="1"/>
    </xf>
    <xf numFmtId="0" fontId="19" fillId="0" borderId="35" xfId="0" applyFont="1" applyBorder="1">
      <alignment horizontal="right" vertical="center" wrapText="1" indent="1"/>
    </xf>
    <xf numFmtId="0" fontId="19" fillId="0" borderId="12" xfId="0" applyFont="1" applyBorder="1">
      <alignment horizontal="right" vertical="center" wrapText="1" indent="1"/>
    </xf>
    <xf numFmtId="49" fontId="24" fillId="59" borderId="17" xfId="0" applyFont="1" applyFill="1" applyBorder="1" applyNumberFormat="1">
      <alignment horizontal="center" vertical="center" wrapText="1"/>
    </xf>
    <xf numFmtId="0" fontId="23" fillId="34" borderId="17" xfId="0" applyFont="1" applyFill="1" applyBorder="1">
      <alignment horizontal="center" vertical="center"/>
      <protection locked="0"/>
    </xf>
    <xf numFmtId="0" fontId="23" fillId="43" borderId="17" xfId="0" applyFont="1" applyFill="1" applyBorder="1">
      <alignment horizontal="center" vertical="center" wrapText="1"/>
    </xf>
    <xf numFmtId="0" fontId="23" fillId="43" borderId="17" xfId="0" applyFont="1" applyFill="1" applyBorder="1">
      <alignment horizontal="center" vertical="center"/>
    </xf>
    <xf numFmtId="0" fontId="24" fillId="59" borderId="17" xfId="0" applyFont="1" applyFill="1" applyBorder="1">
      <alignment horizontal="center" vertical="center" wrapText="1"/>
    </xf>
    <xf numFmtId="0" fontId="23" fillId="59" borderId="17" xfId="0" applyFont="1" applyFill="1" applyBorder="1">
      <alignment horizontal="center" vertical="center" wrapText="1"/>
    </xf>
    <xf numFmtId="0" fontId="19" fillId="0" borderId="53" xfId="0" applyFont="1" applyBorder="1">
      <alignment vertical="center"/>
    </xf>
    <xf numFmtId="0" fontId="0" fillId="0" borderId="0" xfId="0" applyFont="1">
      <alignment horizontal="left" vertical="center" wrapText="1"/>
    </xf>
    <xf numFmtId="0" fontId="0" fillId="0" borderId="27" xfId="0" applyFont="1" applyBorder="1">
      <alignment horizontal="center" vertical="center"/>
    </xf>
    <xf numFmtId="49" fontId="47" fillId="0" borderId="65" xfId="0" applyFont="1" applyBorder="1" applyNumberFormat="1">
      <alignment horizontal="center" vertical="top" wrapText="1"/>
    </xf>
    <xf numFmtId="49" fontId="75" fillId="0" borderId="65" xfId="0" applyFont="1" applyBorder="1" applyNumberFormat="1">
      <alignment horizontal="center" vertical="top" wrapText="1"/>
    </xf>
    <xf numFmtId="0" fontId="19" fillId="0" borderId="15" xfId="0" applyFont="1" applyBorder="1">
      <alignment horizontal="right" vertical="center" wrapText="1" indent="1"/>
    </xf>
    <xf numFmtId="0" fontId="19" fillId="0" borderId="53" xfId="0" applyFont="1" applyBorder="1">
      <alignment horizontal="right" vertical="center" wrapText="1" indent="1"/>
    </xf>
    <xf numFmtId="0" fontId="19" fillId="0" borderId="25" xfId="0" applyFont="1" applyBorder="1">
      <alignment horizontal="right" vertical="center" wrapText="1" indent="1"/>
    </xf>
    <xf numFmtId="0" fontId="23" fillId="0" borderId="0" xfId="0" applyFont="1">
      <alignment vertical="center" wrapText="1"/>
    </xf>
    <xf numFmtId="0" fontId="19" fillId="0" borderId="65" xfId="0" applyFont="1" applyBorder="1">
      <alignment horizontal="right" vertical="center" wrapText="1" indent="1"/>
    </xf>
    <xf numFmtId="0" fontId="19" fillId="0" borderId="76" xfId="0" applyFont="1" applyBorder="1">
      <alignment horizontal="right" vertical="center" wrapText="1" indent="1"/>
    </xf>
    <xf numFmtId="0" fontId="19" fillId="0" borderId="16" xfId="0" applyFont="1" applyBorder="1">
      <alignment horizontal="right" vertical="center" wrapText="1" indent="1"/>
    </xf>
    <xf numFmtId="0" fontId="19" fillId="0" borderId="24" xfId="0" applyFont="1" applyBorder="1">
      <alignment horizontal="right" vertical="center" wrapText="1" indent="1"/>
    </xf>
    <xf numFmtId="0" fontId="33" fillId="0" borderId="10" xfId="0" applyFont="1" applyBorder="1">
      <alignment vertical="center" wrapText="1"/>
    </xf>
    <xf numFmtId="0" fontId="33" fillId="0" borderId="11" xfId="0" applyFont="1" applyBorder="1">
      <alignment vertical="center" wrapText="1"/>
    </xf>
    <xf numFmtId="0" fontId="24" fillId="59" borderId="22" xfId="0" applyFont="1" applyFill="1" applyBorder="1">
      <alignment horizontal="left" vertical="center" wrapText="1" indent="4"/>
    </xf>
    <xf numFmtId="0" fontId="24" fillId="59" borderId="17" xfId="0" applyFont="1" applyFill="1" applyBorder="1">
      <alignment horizontal="left" vertical="center" wrapText="1" indent="4"/>
    </xf>
    <xf numFmtId="0" fontId="33" fillId="0" borderId="22" xfId="0" applyFont="1" applyBorder="1">
      <alignment vertical="center" wrapText="1"/>
    </xf>
    <xf numFmtId="0" fontId="0" fillId="0" borderId="30" xfId="0" applyFont="1" applyBorder="1">
      <alignment horizontal="center" vertical="center"/>
    </xf>
    <xf numFmtId="0" fontId="0" fillId="0" borderId="73" xfId="0" applyFont="1" applyBorder="1">
      <alignment horizontal="center" vertical="center"/>
    </xf>
    <xf numFmtId="0" fontId="0" fillId="0" borderId="31" xfId="0" applyFont="1" applyBorder="1">
      <alignment horizontal="center" vertical="center"/>
    </xf>
    <xf numFmtId="0" fontId="19" fillId="40" borderId="17" xfId="0" applyFont="1" applyFill="1" applyBorder="1">
      <alignment horizontal="right" vertical="center" wrapText="1" indent="1"/>
    </xf>
    <xf numFmtId="0" fontId="23" fillId="0" borderId="34" xfId="0" applyFont="1" applyBorder="1" quotePrefix="1">
      <alignment horizontal="left" vertical="center" wrapText="1" indent="1"/>
    </xf>
    <xf numFmtId="0" fontId="23" fillId="0" borderId="34" xfId="0" applyFont="1" applyBorder="1">
      <alignment horizontal="left" vertical="center" wrapText="1" indent="1"/>
    </xf>
    <xf numFmtId="0" fontId="66" fillId="0" borderId="0" xfId="0" applyFont="1">
      <alignment horizontal="center" vertical="center" wrapText="1"/>
    </xf>
    <xf numFmtId="0" fontId="0" fillId="0" borderId="0" xfId="0" applyFont="1">
      <alignment horizontal="center" vertical="center" wrapText="1"/>
    </xf>
    <xf numFmtId="49" fontId="23" fillId="0" borderId="0" xfId="0" applyFont="1" applyNumberFormat="1">
      <alignment horizontal="center" vertical="center" wrapText="1" shrinkToFit="1"/>
    </xf>
    <xf numFmtId="0" fontId="20" fillId="0" borderId="22" xfId="0" applyFont="1" applyBorder="1">
      <alignment horizontal="center" vertical="center" wrapText="1"/>
    </xf>
    <xf numFmtId="0" fontId="20" fillId="0" borderId="13" xfId="0" applyFont="1" applyBorder="1">
      <alignment horizontal="center" vertical="center" wrapText="1"/>
    </xf>
    <xf numFmtId="49" fontId="19" fillId="0" borderId="10" xfId="0" applyFont="1" applyBorder="1" applyNumberFormat="1">
      <alignment horizontal="center" vertical="center" wrapText="1"/>
    </xf>
    <xf numFmtId="0" fontId="19" fillId="0" borderId="17" xfId="0" applyFont="1" applyBorder="1">
      <alignment horizontal="center" vertical="center" wrapText="1"/>
    </xf>
    <xf numFmtId="0" fontId="19" fillId="0" borderId="22" xfId="0" applyFont="1" applyBorder="1">
      <alignment horizontal="center" vertical="center" wrapText="1"/>
    </xf>
    <xf numFmtId="0" fontId="19" fillId="0" borderId="15" xfId="0" applyFont="1" applyBorder="1">
      <alignment horizontal="center" vertical="center" wrapText="1"/>
    </xf>
    <xf numFmtId="49" fontId="19" fillId="0" borderId="10" xfId="0" applyFont="1" applyBorder="1" applyNumberFormat="1">
      <alignment horizontal="left" vertical="center" wrapText="1"/>
    </xf>
    <xf numFmtId="0" fontId="19" fillId="0" borderId="13" xfId="0" applyFont="1" applyBorder="1">
      <alignment horizontal="center" vertical="center" wrapText="1"/>
    </xf>
    <xf numFmtId="0" fontId="24" fillId="49" borderId="17" xfId="0" applyFont="1" applyFill="1" applyBorder="1">
      <alignment vertical="center" wrapText="1"/>
    </xf>
    <xf numFmtId="0" fontId="20" fillId="0" borderId="17" xfId="0" applyFont="1" applyBorder="1">
      <alignment horizontal="center" vertical="center" wrapText="1"/>
    </xf>
    <xf numFmtId="0" fontId="20" fillId="0" borderId="10" xfId="0" applyFont="1" applyBorder="1">
      <alignment horizontal="center" vertical="center" wrapText="1"/>
    </xf>
    <xf numFmtId="0" fontId="19" fillId="44" borderId="24" xfId="0" applyFont="1" applyFill="1" applyBorder="1">
      <alignment horizontal="center" vertical="center" wrapText="1"/>
    </xf>
    <xf numFmtId="0" fontId="19" fillId="44" borderId="25" xfId="0" applyFont="1" applyFill="1" applyBorder="1">
      <alignment horizontal="center" vertical="center" wrapText="1"/>
    </xf>
    <xf numFmtId="49" fontId="39" fillId="42" borderId="23" xfId="0" applyFont="1" applyFill="1" applyBorder="1" applyNumberFormat="1">
      <alignment horizontal="left" vertical="center" indent="1"/>
    </xf>
    <xf numFmtId="49" fontId="39" fillId="42" borderId="35" xfId="0" applyFont="1" applyFill="1" applyBorder="1" applyNumberFormat="1">
      <alignment horizontal="left" vertical="center" indent="1"/>
    </xf>
    <xf numFmtId="0" fontId="19" fillId="0" borderId="32" xfId="0" applyFont="1" applyBorder="1">
      <alignment horizontal="center" vertical="center" wrapText="1"/>
    </xf>
    <xf numFmtId="0" fontId="20" fillId="0" borderId="32" xfId="0" applyFont="1" applyBorder="1">
      <alignment vertical="center"/>
    </xf>
    <xf numFmtId="0" fontId="19" fillId="33" borderId="78" xfId="0" applyFont="1" applyFill="1" applyBorder="1">
      <alignment horizontal="left" vertical="center" wrapText="1"/>
      <protection locked="0"/>
    </xf>
    <xf numFmtId="0" fontId="19" fillId="33" borderId="47" xfId="0" applyFont="1" applyFill="1" applyBorder="1">
      <alignment horizontal="left" vertical="center" wrapText="1"/>
      <protection locked="0"/>
    </xf>
    <xf numFmtId="174" fontId="19" fillId="33" borderId="79" xfId="0" applyFont="1" applyFill="1" applyBorder="1" applyNumberFormat="1">
      <alignment horizontal="left" vertical="center" wrapText="1"/>
      <protection locked="0"/>
    </xf>
    <xf numFmtId="49" fontId="19" fillId="5" borderId="80" xfId="0" applyFont="1" applyFill="1" applyBorder="1" applyNumberFormat="1">
      <alignment horizontal="center" vertical="center" textRotation="90"/>
    </xf>
    <xf numFmtId="49" fontId="19" fillId="5" borderId="81" xfId="0" applyFont="1" applyFill="1" applyBorder="1" applyNumberFormat="1">
      <alignment horizontal="center" vertical="center" textRotation="90"/>
    </xf>
    <xf numFmtId="49" fontId="19" fillId="5" borderId="82" xfId="0" applyFont="1" applyFill="1" applyBorder="1" applyNumberFormat="1">
      <alignment horizontal="center" vertical="center" textRotation="90"/>
    </xf>
    <xf numFmtId="49" fontId="19" fillId="6" borderId="80" xfId="0" applyFont="1" applyFill="1" applyBorder="1" applyNumberFormat="1">
      <alignment horizontal="center" vertical="center" textRotation="90"/>
    </xf>
    <xf numFmtId="49" fontId="19" fillId="6" borderId="81" xfId="0" applyFont="1" applyFill="1" applyBorder="1" applyNumberFormat="1">
      <alignment horizontal="center" vertical="center" textRotation="90"/>
    </xf>
    <xf numFmtId="49" fontId="19" fillId="6" borderId="82" xfId="0" applyFont="1" applyFill="1" applyBorder="1" applyNumberFormat="1">
      <alignment horizontal="center" vertical="center" textRotation="90"/>
    </xf>
    <xf numFmtId="49" fontId="19" fillId="7" borderId="80" xfId="0" applyFont="1" applyFill="1" applyBorder="1" applyNumberFormat="1">
      <alignment horizontal="center" vertical="center" textRotation="90"/>
    </xf>
    <xf numFmtId="49" fontId="19" fillId="7" borderId="81" xfId="0" applyFont="1" applyFill="1" applyBorder="1" applyNumberFormat="1">
      <alignment horizontal="center" vertical="center" textRotation="90"/>
    </xf>
    <xf numFmtId="49" fontId="19" fillId="7" borderId="82" xfId="0" applyFont="1" applyFill="1" applyBorder="1" applyNumberFormat="1">
      <alignment horizontal="center" vertical="center" textRotation="90"/>
    </xf>
    <xf numFmtId="49" fontId="19" fillId="60" borderId="80" xfId="0" applyFont="1" applyFill="1" applyBorder="1" applyNumberFormat="1">
      <alignment horizontal="center" vertical="center" textRotation="90"/>
    </xf>
    <xf numFmtId="49" fontId="19" fillId="60" borderId="81" xfId="0" applyFont="1" applyFill="1" applyBorder="1" applyNumberFormat="1">
      <alignment horizontal="center" vertical="center" textRotation="90"/>
    </xf>
    <xf numFmtId="49" fontId="19" fillId="60" borderId="82" xfId="0" applyFont="1" applyFill="1" applyBorder="1" applyNumberFormat="1">
      <alignment horizontal="center" vertical="center" textRotation="90"/>
    </xf>
    <xf numFmtId="49" fontId="19" fillId="0" borderId="12" xfId="0" applyFont="1" applyBorder="1" applyNumberFormat="1">
      <alignment horizontal="left" vertical="center" wrapText="1"/>
    </xf>
    <xf numFmtId="49" fontId="22" fillId="44" borderId="12" xfId="0" applyFont="1" applyFill="1" applyBorder="1" applyNumberFormat="1">
      <alignment horizontal="left" vertical="center" wrapText="1"/>
    </xf>
    <xf numFmtId="49" fontId="22" fillId="44" borderId="10" xfId="0" applyFont="1" applyFill="1" applyBorder="1" applyNumberFormat="1">
      <alignment horizontal="left" vertical="center" wrapText="1"/>
    </xf>
    <xf numFmtId="49" fontId="19" fillId="0" borderId="12" xfId="0" applyFont="1" applyBorder="1" applyNumberFormat="1">
      <alignment horizontal="left" vertical="center" wrapText="1" indent="1"/>
    </xf>
    <xf numFmtId="49" fontId="19" fillId="0" borderId="10" xfId="0" applyFont="1" applyBorder="1" applyNumberFormat="1">
      <alignment horizontal="left" vertical="center" wrapText="1" indent="1"/>
    </xf>
    <xf numFmtId="49" fontId="23" fillId="0" borderId="12" xfId="0" applyFont="1" applyBorder="1" applyNumberFormat="1">
      <alignment horizontal="left" vertical="center" wrapText="1"/>
    </xf>
    <xf numFmtId="49" fontId="23" fillId="0" borderId="10" xfId="0" applyFont="1" applyBorder="1" applyNumberFormat="1">
      <alignment horizontal="left" vertical="center" wrapText="1"/>
    </xf>
    <xf numFmtId="49" fontId="23" fillId="0" borderId="12" xfId="0" applyFont="1" applyBorder="1" applyNumberFormat="1">
      <alignment horizontal="left" vertical="center" wrapText="1" indent="1"/>
    </xf>
    <xf numFmtId="49" fontId="23" fillId="0" borderId="10" xfId="0" applyFont="1" applyBorder="1" applyNumberFormat="1">
      <alignment horizontal="left" vertical="center" wrapText="1" indent="1"/>
    </xf>
    <xf numFmtId="49" fontId="23" fillId="37" borderId="35" xfId="0" applyFont="1" applyFill="1" applyBorder="1" applyNumberFormat="1">
      <alignment horizontal="left" vertical="center" wrapText="1" indent="2"/>
    </xf>
    <xf numFmtId="49" fontId="23" fillId="37" borderId="12" xfId="0" applyFont="1" applyFill="1" applyBorder="1" applyNumberFormat="1">
      <alignment horizontal="left" vertical="center" wrapText="1" indent="2"/>
    </xf>
    <xf numFmtId="49" fontId="25" fillId="44" borderId="12" xfId="0" applyFont="1" applyFill="1" applyBorder="1" applyNumberFormat="1">
      <alignment horizontal="left" vertical="center" wrapText="1"/>
    </xf>
    <xf numFmtId="49" fontId="25" fillId="44" borderId="10" xfId="0" applyFont="1" applyFill="1" applyBorder="1" applyNumberFormat="1">
      <alignment horizontal="left" vertical="center" wrapText="1"/>
    </xf>
    <xf numFmtId="49" fontId="22" fillId="44" borderId="12" xfId="0" applyFont="1" applyFill="1" applyBorder="1" applyNumberFormat="1">
      <alignment horizontal="left" vertical="center" wrapText="1" indent="1"/>
    </xf>
    <xf numFmtId="49" fontId="22" fillId="44" borderId="10" xfId="0" applyFont="1" applyFill="1" applyBorder="1" applyNumberFormat="1">
      <alignment horizontal="left" vertical="center" wrapText="1" indent="1"/>
    </xf>
    <xf numFmtId="49" fontId="22" fillId="44" borderId="10" xfId="0" applyFont="1" applyFill="1" applyBorder="1" applyNumberFormat="1">
      <alignment horizontal="center" vertical="center" wrapText="1"/>
    </xf>
    <xf numFmtId="49" fontId="22" fillId="0" borderId="12" xfId="0" applyFont="1" applyBorder="1" applyNumberFormat="1">
      <alignment horizontal="left" vertical="center" wrapText="1"/>
    </xf>
    <xf numFmtId="49" fontId="22" fillId="0" borderId="10" xfId="0" applyFont="1" applyBorder="1" applyNumberFormat="1">
      <alignment horizontal="left" vertical="center" wrapText="1"/>
    </xf>
    <xf numFmtId="49" fontId="22" fillId="44" borderId="12" xfId="0" applyFont="1" applyFill="1" applyBorder="1" applyNumberFormat="1">
      <alignment horizontal="left" vertical="center" wrapText="1" indent="2"/>
    </xf>
    <xf numFmtId="49" fontId="22" fillId="44" borderId="10" xfId="0" applyFont="1" applyFill="1" applyBorder="1" applyNumberFormat="1">
      <alignment horizontal="left" vertical="center" wrapText="1" indent="2"/>
    </xf>
    <xf numFmtId="49" fontId="22" fillId="44" borderId="29" xfId="0" applyFont="1" applyFill="1" applyBorder="1" applyNumberFormat="1">
      <alignment horizontal="left" vertical="center" wrapText="1"/>
    </xf>
    <xf numFmtId="49" fontId="22" fillId="44" borderId="11" xfId="0" applyFont="1" applyFill="1" applyBorder="1" applyNumberFormat="1">
      <alignment horizontal="left" vertical="center" wrapText="1"/>
    </xf>
    <xf numFmtId="0" fontId="20" fillId="0" borderId="25" xfId="0" applyFont="1" applyBorder="1">
      <alignment horizontal="center" vertical="center" wrapText="1"/>
    </xf>
    <xf numFmtId="49" fontId="22" fillId="44" borderId="20" xfId="0" applyFont="1" applyFill="1" applyBorder="1" applyNumberFormat="1">
      <alignment horizontal="left" vertical="center" wrapText="1" indent="1"/>
    </xf>
    <xf numFmtId="49" fontId="22" fillId="44" borderId="21" xfId="0" applyFont="1" applyFill="1" applyBorder="1" applyNumberFormat="1">
      <alignment horizontal="left" vertical="center" wrapText="1" indent="1"/>
    </xf>
    <xf numFmtId="49" fontId="22" fillId="44" borderId="23" xfId="0" applyFont="1" applyFill="1" applyBorder="1" applyNumberFormat="1">
      <alignment horizontal="center" vertical="center" wrapText="1"/>
    </xf>
    <xf numFmtId="0" fontId="0" fillId="0" borderId="0" xfId="0" applyFont="1">
      <alignment horizontal="center" vertical="top"/>
    </xf>
    <xf numFmtId="49" fontId="19" fillId="61" borderId="80" xfId="0" applyFont="1" applyFill="1" applyBorder="1" applyNumberFormat="1">
      <alignment horizontal="center" vertical="center" textRotation="90"/>
    </xf>
    <xf numFmtId="49" fontId="19" fillId="61" borderId="81" xfId="0" applyFont="1" applyFill="1" applyBorder="1" applyNumberFormat="1">
      <alignment horizontal="center" vertical="center" textRotation="90"/>
    </xf>
    <xf numFmtId="49" fontId="22" fillId="44" borderId="20" xfId="0" applyFont="1" applyFill="1" applyBorder="1" applyNumberFormat="1">
      <alignment horizontal="left" vertical="center" wrapText="1"/>
    </xf>
    <xf numFmtId="49" fontId="22" fillId="44" borderId="21" xfId="0" applyFont="1" applyFill="1" applyBorder="1" applyNumberFormat="1">
      <alignment horizontal="left" vertical="center" wrapText="1"/>
    </xf>
    <xf numFmtId="49" fontId="19" fillId="62" borderId="80" xfId="0" applyFont="1" applyFill="1" applyBorder="1" applyNumberFormat="1">
      <alignment horizontal="center" vertical="center" textRotation="90"/>
    </xf>
    <xf numFmtId="49" fontId="19" fillId="62" borderId="81" xfId="0" applyFont="1" applyFill="1" applyBorder="1" applyNumberFormat="1">
      <alignment horizontal="center" vertical="center" textRotation="90"/>
    </xf>
    <xf numFmtId="49" fontId="19" fillId="62" borderId="82" xfId="0" applyFont="1" applyFill="1" applyBorder="1" applyNumberFormat="1">
      <alignment horizontal="center" vertical="center" textRotation="90"/>
    </xf>
    <xf numFmtId="0" fontId="0" fillId="44" borderId="0" xfId="0" applyFont="1" applyFill="1">
      <alignment vertical="center" wrapText="1"/>
    </xf>
    <xf numFmtId="0" fontId="19" fillId="0" borderId="10" xfId="0" applyFont="1" applyBorder="1">
      <alignment horizontal="center" vertical="center" wrapText="1"/>
    </xf>
    <xf numFmtId="0" fontId="49" fillId="0" borderId="10" xfId="0" applyFont="1" applyBorder="1">
      <alignment vertical="center"/>
    </xf>
    <xf numFmtId="49" fontId="19" fillId="33" borderId="21" xfId="0" applyFont="1" applyFill="1" applyBorder="1" applyNumberFormat="1">
      <alignment horizontal="left" vertical="top" wrapText="1"/>
      <protection locked="0"/>
    </xf>
    <xf numFmtId="49" fontId="76" fillId="33" borderId="21" xfId="0" applyFont="1" applyFill="1" applyBorder="1" applyNumberFormat="1">
      <alignment horizontal="left" vertical="top" wrapText="1"/>
      <protection locked="0"/>
    </xf>
    <xf numFmtId="174" fontId="76" fillId="33" borderId="21" xfId="0" applyFont="1" applyFill="1" applyBorder="1" applyNumberFormat="1">
      <alignment horizontal="left" vertical="top" wrapText="1"/>
      <protection locked="0"/>
    </xf>
    <xf numFmtId="0" fontId="19" fillId="44" borderId="17" xfId="0" applyFont="1" applyFill="1" applyBorder="1">
      <alignment horizontal="center" vertical="center" wrapText="1"/>
    </xf>
    <xf numFmtId="0" fontId="0" fillId="0" borderId="0" xfId="0" applyFont="1">
      <alignment vertical="center"/>
    </xf>
    <xf numFmtId="0" fontId="47" fillId="0" borderId="77" xfId="0" applyFont="1" applyBorder="1">
      <alignment horizontal="center" vertical="top" wrapText="1"/>
    </xf>
    <xf numFmtId="0" fontId="75" fillId="0" borderId="77" xfId="0" applyFont="1" applyBorder="1">
      <alignment horizontal="center" vertical="top" wrapText="1"/>
    </xf>
    <xf numFmtId="0" fontId="19" fillId="44" borderId="50" xfId="0" applyFont="1" applyFill="1" applyBorder="1">
      <alignment horizontal="center" vertical="center" wrapText="1"/>
    </xf>
    <xf numFmtId="0" fontId="19" fillId="44" borderId="19" xfId="0" applyFont="1" applyFill="1" applyBorder="1">
      <alignment horizontal="center" vertical="center" wrapText="1"/>
    </xf>
    <xf numFmtId="0" fontId="19" fillId="44" borderId="16" xfId="0" applyFont="1" applyFill="1" applyBorder="1">
      <alignment horizontal="center" vertical="center" wrapText="1"/>
    </xf>
    <xf numFmtId="0" fontId="20" fillId="0" borderId="10" xfId="0" applyFont="1" applyBorder="1"/>
    <xf numFmtId="0" fontId="19" fillId="0" borderId="28" xfId="0" applyFont="1" applyBorder="1">
      <alignment horizontal="center" vertical="center"/>
    </xf>
    <xf numFmtId="0" fontId="19" fillId="0" borderId="29" xfId="0" applyFont="1" applyBorder="1">
      <alignment horizontal="center" vertical="center"/>
    </xf>
    <xf numFmtId="0" fontId="19" fillId="0" borderId="52" xfId="0" applyFont="1" applyBorder="1">
      <alignment horizontal="center" vertical="center"/>
    </xf>
    <xf numFmtId="0" fontId="19" fillId="0" borderId="20" xfId="0" applyFont="1" applyBorder="1">
      <alignment horizontal="center" vertical="center"/>
    </xf>
    <xf numFmtId="0" fontId="23" fillId="0" borderId="0" xfId="0" applyFont="1">
      <alignment horizontal="center"/>
    </xf>
    <xf numFmtId="0" fontId="19" fillId="0" borderId="10" xfId="0" applyFont="1" applyBorder="1">
      <alignment horizontal="center" vertical="center"/>
    </xf>
    <xf numFmtId="0" fontId="20" fillId="0" borderId="11" xfId="0" applyFont="1" applyBorder="1">
      <alignment horizontal="center" vertical="center" wrapText="1"/>
    </xf>
    <xf numFmtId="0" fontId="20" fillId="0" borderId="21" xfId="0" applyFont="1" applyBorder="1">
      <alignment horizontal="center" vertical="center" wrapText="1"/>
    </xf>
    <xf numFmtId="0" fontId="20" fillId="35" borderId="10" xfId="0" applyFont="1" applyFill="1" applyBorder="1">
      <alignment horizontal="center" vertical="center" wrapText="1"/>
    </xf>
    <xf numFmtId="49" fontId="19" fillId="33" borderId="10" xfId="0" applyFont="1" applyFill="1" applyBorder="1" applyNumberFormat="1">
      <alignment horizontal="left" vertical="top" wrapText="1"/>
      <protection locked="0"/>
    </xf>
    <xf numFmtId="49" fontId="19" fillId="32" borderId="10" xfId="0" applyFont="1" applyFill="1" applyBorder="1" applyNumberFormat="1">
      <alignment horizontal="left" vertical="top" wrapText="1"/>
    </xf>
    <xf numFmtId="49" fontId="76" fillId="0" borderId="10" xfId="0" applyFont="1" applyBorder="1" applyNumberFormat="1">
      <alignment horizontal="left" vertical="top" wrapText="1"/>
    </xf>
    <xf numFmtId="0" fontId="53" fillId="0" borderId="10" xfId="0" applyFont="1" applyBorder="1">
      <alignment horizontal="center" vertical="center" wrapText="1"/>
    </xf>
    <xf numFmtId="0" fontId="33" fillId="44" borderId="10" xfId="0" applyFont="1" applyFill="1" applyBorder="1">
      <alignment horizontal="center" vertical="center" wrapText="1"/>
    </xf>
    <xf numFmtId="0" fontId="23" fillId="0" borderId="23" xfId="0" applyFont="1" applyBorder="1">
      <alignment horizontal="left" vertical="center" wrapText="1"/>
    </xf>
    <xf numFmtId="0" fontId="23" fillId="0" borderId="12" xfId="0" applyFont="1" applyBorder="1">
      <alignment horizontal="left" vertical="center" wrapText="1"/>
    </xf>
    <xf numFmtId="0" fontId="19" fillId="44" borderId="10" xfId="0" applyFont="1" applyFill="1" applyBorder="1">
      <alignment horizontal="center" vertical="center" wrapText="1"/>
    </xf>
    <xf numFmtId="49" fontId="19" fillId="0" borderId="11" xfId="0" applyFont="1" applyBorder="1" applyNumberFormat="1">
      <alignment horizontal="center" vertical="center" wrapText="1"/>
    </xf>
    <xf numFmtId="49" fontId="19" fillId="0" borderId="21" xfId="0" applyFont="1" applyBorder="1" applyNumberFormat="1">
      <alignment horizontal="center" vertical="center" wrapText="1"/>
    </xf>
    <xf numFmtId="49" fontId="23" fillId="0" borderId="11" xfId="0" applyFont="1" applyBorder="1" applyNumberFormat="1">
      <alignment horizontal="center" vertical="center" wrapText="1"/>
    </xf>
    <xf numFmtId="49" fontId="23" fillId="0" borderId="21" xfId="0" applyFont="1" applyBorder="1" applyNumberFormat="1">
      <alignment horizontal="center" vertical="center" wrapText="1"/>
    </xf>
    <xf numFmtId="49" fontId="23" fillId="0" borderId="10" xfId="0" applyFont="1" applyBorder="1" applyNumberFormat="1">
      <alignment horizontal="center" vertical="center" wrapText="1"/>
    </xf>
    <xf numFmtId="2" fontId="23" fillId="32" borderId="10" xfId="0" applyFont="1" applyFill="1" applyBorder="1" applyNumberFormat="1">
      <alignment horizontal="center" vertical="center" wrapText="1"/>
      <protection locked="0"/>
    </xf>
    <xf numFmtId="49" fontId="24" fillId="0" borderId="34" xfId="0" applyFont="1" applyBorder="1" applyNumberFormat="1" quotePrefix="1">
      <alignment horizontal="left" vertical="center" wrapText="1"/>
    </xf>
    <xf numFmtId="0" fontId="33" fillId="44" borderId="28" xfId="0" applyFont="1" applyFill="1" applyBorder="1">
      <alignment horizontal="center" vertical="center" wrapText="1"/>
    </xf>
    <xf numFmtId="0" fontId="33" fillId="44" borderId="52" xfId="0" applyFont="1" applyFill="1" applyBorder="1">
      <alignment horizontal="center" vertical="center" wrapText="1"/>
    </xf>
    <xf numFmtId="0" fontId="19" fillId="0" borderId="23" xfId="0" applyFont="1" applyBorder="1">
      <alignment horizontal="center" vertical="center" wrapText="1"/>
    </xf>
    <xf numFmtId="0" fontId="19" fillId="0" borderId="35" xfId="0" applyFont="1" applyBorder="1">
      <alignment horizontal="center" vertical="center" wrapText="1"/>
    </xf>
    <xf numFmtId="0" fontId="19" fillId="0" borderId="12" xfId="0" applyFont="1" applyBorder="1">
      <alignment horizontal="center" vertical="center" wrapText="1"/>
    </xf>
    <xf numFmtId="49" fontId="19" fillId="33" borderId="23" xfId="0" applyFont="1" applyFill="1" applyBorder="1" applyNumberFormat="1">
      <alignment horizontal="left" vertical="top" wrapText="1"/>
      <protection locked="0"/>
    </xf>
    <xf numFmtId="49" fontId="19" fillId="33" borderId="35" xfId="0" applyFont="1" applyFill="1" applyBorder="1" applyNumberFormat="1">
      <alignment horizontal="left" vertical="top" wrapText="1"/>
      <protection locked="0"/>
    </xf>
    <xf numFmtId="174" fontId="19" fillId="33" borderId="35" xfId="0" applyFont="1" applyFill="1" applyBorder="1" applyNumberFormat="1">
      <alignment horizontal="left" vertical="top" wrapText="1"/>
      <protection locked="0"/>
    </xf>
    <xf numFmtId="174" fontId="19" fillId="33" borderId="12" xfId="0" applyFont="1" applyFill="1" applyBorder="1" applyNumberFormat="1">
      <alignment horizontal="left" vertical="top" wrapText="1"/>
      <protection locked="0"/>
    </xf>
    <xf numFmtId="174" fontId="19" fillId="33" borderId="10" xfId="0" applyFont="1" applyFill="1" applyBorder="1" applyNumberFormat="1">
      <alignment horizontal="left" vertical="top" wrapText="1"/>
      <protection locked="0"/>
    </xf>
    <xf numFmtId="0" fontId="20" fillId="0" borderId="10" xfId="0" applyFont="1" applyBorder="1">
      <alignment vertical="center" wrapText="1"/>
    </xf>
    <xf numFmtId="0" fontId="23" fillId="38" borderId="15" xfId="0" applyFont="1" applyFill="1" applyBorder="1">
      <alignment horizontal="left" vertical="center" indent="1"/>
    </xf>
    <xf numFmtId="0" fontId="23" fillId="38" borderId="53" xfId="0" applyFont="1" applyFill="1" applyBorder="1">
      <alignment vertical="center" wrapText="1"/>
    </xf>
    <xf numFmtId="0" fontId="23" fillId="38" borderId="25" xfId="0" applyFont="1" applyFill="1" applyBorder="1">
      <alignment vertical="center" wrapText="1"/>
    </xf>
    <xf numFmtId="49" fontId="23" fillId="38" borderId="53" xfId="0" applyFont="1" applyFill="1" applyBorder="1" applyNumberFormat="1">
      <alignment vertical="center" wrapText="1"/>
    </xf>
    <xf numFmtId="49" fontId="23" fillId="38" borderId="25" xfId="0" applyFont="1" applyFill="1" applyBorder="1" applyNumberFormat="1">
      <alignment vertical="center" wrapText="1"/>
    </xf>
    <xf numFmtId="0" fontId="19" fillId="0" borderId="53" xfId="0" applyFont="1" applyBorder="1">
      <alignment horizontal="center" vertical="center" wrapText="1"/>
    </xf>
    <xf numFmtId="0" fontId="19" fillId="0" borderId="25" xfId="0" applyFont="1" applyBorder="1">
      <alignment horizontal="center" vertical="center" wrapText="1"/>
    </xf>
    <xf numFmtId="0" fontId="19" fillId="33" borderId="10" xfId="0" applyFont="1" applyFill="1" applyBorder="1">
      <alignment horizontal="left" vertical="center" wrapText="1"/>
      <protection locked="0"/>
    </xf>
    <xf numFmtId="0" fontId="19" fillId="0" borderId="83" xfId="0" applyFont="1" applyBorder="1">
      <alignment horizontal="right" vertical="center" wrapText="1"/>
    </xf>
    <xf numFmtId="0" fontId="19" fillId="0" borderId="84" xfId="0" applyFont="1" applyBorder="1">
      <alignment horizontal="right" vertical="center" wrapText="1"/>
    </xf>
    <xf numFmtId="49" fontId="19" fillId="33" borderId="85" xfId="0" applyFont="1" applyFill="1" applyBorder="1" applyNumberFormat="1">
      <alignment horizontal="left" vertical="center" wrapText="1"/>
      <protection locked="0"/>
    </xf>
    <xf numFmtId="49" fontId="39" fillId="54" borderId="51" xfId="0" applyFont="1" applyFill="1" applyBorder="1" applyNumberFormat="1">
      <alignment horizontal="left" vertical="center" indent="1"/>
    </xf>
    <xf numFmtId="49" fontId="39" fillId="54" borderId="74" xfId="0" applyFont="1" applyFill="1" applyBorder="1" applyNumberFormat="1">
      <alignment horizontal="left" vertical="center" indent="1"/>
    </xf>
    <xf numFmtId="49" fontId="19" fillId="33" borderId="32" xfId="0" applyFont="1" applyFill="1" applyBorder="1" applyNumberFormat="1">
      <alignment horizontal="left" vertical="center" wrapText="1"/>
      <protection locked="0"/>
    </xf>
    <xf numFmtId="49" fontId="19" fillId="0" borderId="27"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0" borderId="35" xfId="0" applyFont="1" applyBorder="1" applyNumberFormat="1">
      <alignment horizontal="center" vertical="center" wrapText="1"/>
    </xf>
    <xf numFmtId="0" fontId="0" fillId="37" borderId="0" xfId="0" applyFont="1" applyFill="1">
      <alignment horizontal="center" vertical="center"/>
    </xf>
    <xf numFmtId="1" fontId="19" fillId="34" borderId="10" xfId="0" applyFont="1" applyFill="1" applyBorder="1" applyNumberFormat="1">
      <alignment horizontal="left" vertical="center" wrapText="1" indent="1"/>
      <protection locked="0"/>
    </xf>
    <xf numFmtId="0" fontId="1" fillId="0" borderId="0" xfId="0" applyFont="1"/>
    <xf numFmtId="0" fontId="0" fillId="0" borderId="0" xfId="0" applyFont="1">
      <alignment horizontal="center" vertical="center" wrapText="1"/>
    </xf>
    <xf numFmtId="0" fontId="19" fillId="0" borderId="0" xfId="0" applyFont="1">
      <alignment horizontal="center" vertical="center" wrapText="1"/>
    </xf>
    <xf numFmtId="0" fontId="0" fillId="37" borderId="0" xfId="0" applyFont="1" applyFill="1">
      <alignment horizontal="center" vertical="center" wrapText="1"/>
    </xf>
    <xf numFmtId="0" fontId="19" fillId="0" borderId="0" xfId="0" applyFont="1">
      <alignment vertical="center" wrapText="1"/>
    </xf>
    <xf numFmtId="0" fontId="19" fillId="4" borderId="0" xfId="0" applyFont="1" applyFill="1">
      <alignment horizontal="center" vertical="center"/>
    </xf>
    <xf numFmtId="0" fontId="19" fillId="4" borderId="0" xfId="0" applyFont="1" applyFill="1">
      <alignment horizontal="center" vertical="center" wrapText="1"/>
    </xf>
    <xf numFmtId="0" fontId="20" fillId="0" borderId="0" xfId="0" applyFont="1"/>
    <xf numFmtId="0" fontId="1" fillId="0" borderId="27" xfId="0" applyFont="1" applyBorder="1"/>
    <xf numFmtId="49" fontId="0" fillId="37" borderId="0" xfId="0" applyFont="1" applyFill="1" applyNumberFormat="1">
      <alignment vertical="top"/>
    </xf>
    <xf numFmtId="49" fontId="0" fillId="4" borderId="0" xfId="0" applyFont="1" applyFill="1" applyNumberFormat="1">
      <alignment vertical="top"/>
    </xf>
    <xf numFmtId="49" fontId="0" fillId="35" borderId="0" xfId="0" applyFont="1" applyFill="1" applyNumberFormat="1">
      <alignment vertical="top"/>
    </xf>
    <xf numFmtId="49" fontId="0" fillId="48" borderId="0" xfId="0" applyFont="1" applyFill="1" applyNumberFormat="1">
      <alignment vertical="top"/>
    </xf>
    <xf numFmtId="49" fontId="0" fillId="0" borderId="34" xfId="0" applyFont="1" applyBorder="1" applyNumberFormat="1">
      <alignment vertical="top"/>
    </xf>
    <xf numFmtId="0" fontId="0" fillId="25" borderId="0" xfId="0" applyFont="1" applyFill="1">
      <alignment horizontal="center" vertical="center"/>
    </xf>
    <xf numFmtId="0" fontId="0" fillId="0" borderId="0" xfId="0" applyFont="1">
      <alignment horizontal="center" vertical="center"/>
    </xf>
    <xf numFmtId="0" fontId="31" fillId="4" borderId="10" xfId="0" applyFont="1" applyFill="1" applyBorder="1">
      <alignment horizontal="center" vertical="center"/>
    </xf>
    <xf numFmtId="0" fontId="29" fillId="4" borderId="10" xfId="0" applyFont="1" applyFill="1" applyBorder="1">
      <alignment vertical="center"/>
    </xf>
    <xf numFmtId="0" fontId="29" fillId="4" borderId="10" xfId="0" applyFont="1" applyFill="1" applyBorder="1">
      <alignment vertical="center" wrapText="1"/>
    </xf>
    <xf numFmtId="0" fontId="29" fillId="0" borderId="0" xfId="0" applyFont="1"/>
    <xf numFmtId="0" fontId="0" fillId="37" borderId="0" xfId="0" applyFont="1" applyFill="1">
      <alignment horizontal="center" vertical="center"/>
    </xf>
    <xf numFmtId="0" fontId="29" fillId="4" borderId="10" xfId="0" applyFont="1" applyFill="1" applyBorder="1" quotePrefix="1">
      <alignment vertical="center" wrapText="1"/>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1" fontId="19" fillId="38" borderId="10" xfId="0" applyFont="1" applyFill="1" applyBorder="1" applyNumberFormat="1">
      <alignment horizontal="left" vertical="center" wrapText="1" indent="1"/>
    </xf>
    <xf numFmtId="1" fontId="19" fillId="34" borderId="10" xfId="0" applyFont="1" applyFill="1" applyBorder="1" applyNumberFormat="1">
      <alignment horizontal="left" vertical="center" wrapText="1" indent="1"/>
      <protection locked="0"/>
    </xf>
    <xf numFmtId="0" fontId="19" fillId="0" borderId="17" xfId="0" applyFont="1" applyBorder="1">
      <alignment horizontal="right" vertical="center" wrapText="1" indent="1"/>
    </xf>
    <xf numFmtId="0" fontId="19" fillId="0" borderId="17" xfId="0" applyFont="1" applyBorder="1">
      <alignment horizontal="right" vertical="center" wrapText="1" indent="1"/>
    </xf>
    <xf numFmtId="49" fontId="20" fillId="38" borderId="17" xfId="0" applyFont="1" applyFill="1" applyBorder="1" applyNumberFormat="1">
      <alignment horizontal="left" vertical="center" wrapText="1" indent="1"/>
    </xf>
    <xf numFmtId="0" fontId="36" fillId="0" borderId="0" xfId="0" applyFont="1">
      <alignment vertical="center"/>
    </xf>
    <xf numFmtId="49" fontId="0" fillId="0" borderId="0" xfId="0" applyFont="1" applyNumberFormat="1">
      <alignment vertical="top"/>
    </xf>
    <xf numFmtId="49" fontId="0" fillId="0" borderId="0" xfId="0" applyFont="1" applyNumberFormat="1">
      <alignment vertical="top"/>
    </xf>
    <xf numFmtId="174" fontId="21" fillId="33" borderId="17" xfId="0" applyFont="1" applyFill="1" applyBorder="1" applyNumberFormat="1">
      <alignment horizontal="left" vertical="center" wrapText="1" indent="1"/>
    </xf>
    <xf numFmtId="0" fontId="0" fillId="0" borderId="27" xfId="0" applyFont="1" applyBorder="1">
      <alignment horizontal="center" vertical="center"/>
    </xf>
    <xf numFmtId="0" fontId="19" fillId="0" borderId="17" xfId="0" applyFont="1" applyBorder="1">
      <alignment horizontal="center" vertical="center" textRotation="90" wrapText="1"/>
    </xf>
    <xf numFmtId="49" fontId="19" fillId="33" borderId="17" xfId="0" applyFont="1" applyFill="1" applyBorder="1" applyNumberFormat="1">
      <alignment horizontal="left" vertical="center" wrapText="1" indent="1"/>
    </xf>
    <xf numFmtId="0" fontId="0" fillId="0" borderId="0" xfId="0" applyFont="1">
      <alignment vertical="top"/>
    </xf>
    <xf numFmtId="49" fontId="19" fillId="33" borderId="17" xfId="0" applyFont="1" applyFill="1" applyBorder="1" applyNumberFormat="1">
      <alignment horizontal="left" vertical="center" wrapText="1" indent="1"/>
    </xf>
    <xf numFmtId="49" fontId="0" fillId="0" borderId="0" xfId="0" applyFont="1" applyNumberFormat="1">
      <alignment vertical="top"/>
    </xf>
    <xf numFmtId="171" fontId="20" fillId="33" borderId="17" xfId="0" applyFont="1" applyFill="1" applyBorder="1" applyNumberFormat="1">
      <alignment horizontal="left" vertical="center" wrapText="1" indent="1"/>
    </xf>
    <xf numFmtId="0" fontId="0" fillId="0" borderId="30" xfId="0" applyFont="1" applyBorder="1">
      <alignment horizontal="center" vertical="center"/>
    </xf>
    <xf numFmtId="174" fontId="21" fillId="33" borderId="17" xfId="0" applyFont="1" applyFill="1" applyBorder="1" applyNumberFormat="1">
      <alignment horizontal="left" vertical="center" wrapText="1" indent="1"/>
    </xf>
    <xf numFmtId="0" fontId="0" fillId="47" borderId="0" xfId="0" applyFont="1" applyFill="1">
      <alignment horizontal="center" vertical="center"/>
    </xf>
    <xf numFmtId="0" fontId="47" fillId="0" borderId="76" xfId="0" applyFont="1" applyBorder="1">
      <alignment horizontal="center" vertical="top" wrapText="1"/>
    </xf>
    <xf numFmtId="0" fontId="0" fillId="0" borderId="73" xfId="0" applyFont="1" applyBorder="1">
      <alignment horizontal="center" vertical="center"/>
    </xf>
    <xf numFmtId="0" fontId="75" fillId="0" borderId="76" xfId="0" applyFont="1" applyBorder="1">
      <alignment horizontal="center" vertical="top" wrapText="1"/>
    </xf>
    <xf numFmtId="171" fontId="19" fillId="33" borderId="17" xfId="0" applyFont="1" applyFill="1" applyBorder="1" applyNumberFormat="1">
      <alignment horizontal="left" vertical="center" wrapText="1" indent="1"/>
    </xf>
    <xf numFmtId="0" fontId="0" fillId="0" borderId="31" xfId="0" applyFont="1" applyBorder="1">
      <alignment horizontal="center" vertical="center"/>
    </xf>
    <xf numFmtId="174" fontId="72" fillId="33" borderId="17" xfId="0" applyFont="1" applyFill="1" applyBorder="1" applyNumberFormat="1">
      <alignment horizontal="left" vertical="center" wrapText="1" indent="1"/>
    </xf>
    <xf numFmtId="0" fontId="0" fillId="0" borderId="0" xfId="0" applyFont="1">
      <alignment horizontal="center" vertical="center" wrapText="1"/>
    </xf>
    <xf numFmtId="49" fontId="39" fillId="42" borderId="36" xfId="0" applyFont="1" applyFill="1" applyBorder="1" applyNumberFormat="1">
      <alignment horizontal="left" vertical="center" wrapText="1"/>
    </xf>
    <xf numFmtId="49" fontId="39" fillId="42" borderId="37" xfId="0" applyFont="1" applyFill="1" applyBorder="1" applyNumberFormat="1">
      <alignment horizontal="left" vertical="center" wrapText="1"/>
    </xf>
    <xf numFmtId="49" fontId="39" fillId="42" borderId="38" xfId="0" applyFont="1" applyFill="1" applyBorder="1" applyNumberFormat="1">
      <alignment horizontal="left" vertical="center" wrapText="1" indent="1"/>
    </xf>
    <xf numFmtId="49" fontId="19" fillId="33" borderId="17" xfId="0" applyFont="1" applyFill="1" applyBorder="1" applyNumberFormat="1">
      <alignment horizontal="left" vertical="center" wrapText="1" indent="1"/>
      <protection locked="0"/>
    </xf>
    <xf numFmtId="0" fontId="1" fillId="0" borderId="27" xfId="0" applyFont="1" applyBorder="1"/>
    <xf numFmtId="0" fontId="20" fillId="0" borderId="27" xfId="0" applyFont="1" applyBorder="1">
      <alignment horizontal="left" vertical="top"/>
    </xf>
    <xf numFmtId="49" fontId="0" fillId="0" borderId="27" xfId="0" applyFont="1" applyBorder="1" applyNumberFormat="1">
      <alignment vertical="top"/>
    </xf>
    <xf numFmtId="171" fontId="20" fillId="33" borderId="17" xfId="0" applyFont="1" applyFill="1" applyBorder="1" applyNumberFormat="1">
      <alignment horizontal="left" vertical="center" wrapText="1" indent="1"/>
      <protection locked="0"/>
    </xf>
    <xf numFmtId="174" fontId="77" fillId="33" borderId="17" xfId="0" applyFont="1" applyFill="1" applyBorder="1" applyNumberFormat="1">
      <alignment horizontal="left" vertical="center" wrapText="1" indent="1"/>
      <protection locked="0"/>
    </xf>
    <xf numFmtId="49" fontId="20" fillId="0" borderId="27" xfId="0" applyFont="1" applyBorder="1" applyNumberFormat="1">
      <alignment horizontal="left" vertical="top"/>
    </xf>
    <xf numFmtId="0" fontId="0" fillId="0" borderId="27" xfId="0" applyFont="1" applyBorder="1">
      <alignment vertical="top"/>
    </xf>
    <xf numFmtId="49" fontId="19" fillId="33" borderId="17" xfId="0" applyFont="1" applyFill="1" applyBorder="1" applyNumberFormat="1">
      <alignment horizontal="left" vertical="center" wrapText="1" indent="1"/>
    </xf>
    <xf numFmtId="49" fontId="19" fillId="34" borderId="17" xfId="0" applyFont="1" applyFill="1" applyBorder="1" applyNumberFormat="1">
      <alignment horizontal="left" vertical="center" wrapText="1" indent="1"/>
    </xf>
    <xf numFmtId="171" fontId="20" fillId="34" borderId="17" xfId="0" applyFont="1" applyFill="1" applyBorder="1" applyNumberFormat="1">
      <alignment horizontal="left" vertical="center" wrapText="1" indent="1"/>
    </xf>
    <xf numFmtId="49" fontId="19" fillId="34" borderId="17" xfId="0" applyFont="1" applyFill="1" applyBorder="1" applyNumberFormat="1">
      <alignment horizontal="left" vertical="center" wrapText="1" indent="1"/>
    </xf>
    <xf numFmtId="171" fontId="20" fillId="34" borderId="17" xfId="0" applyFont="1" applyFill="1" applyBorder="1" applyNumberFormat="1">
      <alignment horizontal="left" vertical="center" wrapText="1" indent="1"/>
    </xf>
    <xf numFmtId="171" fontId="20" fillId="34" borderId="17" xfId="0" applyFont="1" applyFill="1" applyBorder="1" applyNumberFormat="1">
      <alignment horizontal="left" vertical="center" wrapText="1" indent="2"/>
    </xf>
    <xf numFmtId="49" fontId="77" fillId="34" borderId="17" xfId="0" applyFont="1" applyFill="1" applyBorder="1" applyNumberFormat="1">
      <alignment horizontal="left" vertical="center" wrapText="1" indent="1"/>
      <protection locked="0"/>
    </xf>
    <xf numFmtId="0" fontId="19" fillId="0" borderId="62" xfId="0" applyFont="1" applyBorder="1">
      <alignment horizontal="center" vertical="center" wrapText="1"/>
    </xf>
    <xf numFmtId="0" fontId="19" fillId="0" borderId="77" xfId="0" applyFont="1" applyBorder="1">
      <alignment horizontal="center" vertical="center" wrapText="1"/>
    </xf>
    <xf numFmtId="49" fontId="19" fillId="0" borderId="24" xfId="0" applyFont="1" applyBorder="1" applyNumberFormat="1">
      <alignment horizontal="right" vertical="center" wrapText="1" indent="1"/>
    </xf>
    <xf numFmtId="49" fontId="19" fillId="34" borderId="17" xfId="0" applyFont="1" applyFill="1" applyBorder="1" applyNumberFormat="1">
      <alignment horizontal="left" vertical="center" wrapText="1" indent="1"/>
      <protection locked="0"/>
    </xf>
    <xf numFmtId="0" fontId="0" fillId="0" borderId="0" xfId="0" applyFont="1">
      <alignment horizontal="left" vertical="center" wrapText="1"/>
    </xf>
    <xf numFmtId="0" fontId="0" fillId="0" borderId="0" xfId="0" applyFont="1">
      <alignment vertical="center" wrapText="1"/>
    </xf>
    <xf numFmtId="49" fontId="19" fillId="0" borderId="25" xfId="0" applyFont="1" applyBorder="1" applyNumberFormat="1">
      <alignment horizontal="right" vertical="center" wrapText="1" indent="1"/>
    </xf>
    <xf numFmtId="49" fontId="19" fillId="33" borderId="17" xfId="0" applyFont="1" applyFill="1" applyBorder="1" applyNumberFormat="1">
      <alignment horizontal="left" vertical="center" wrapText="1" indent="1"/>
      <protection locked="0"/>
    </xf>
    <xf numFmtId="0" fontId="19" fillId="0" borderId="52" xfId="0" applyFont="1" applyBorder="1">
      <alignment horizontal="center" vertical="center" wrapText="1"/>
    </xf>
    <xf numFmtId="0" fontId="19" fillId="0" borderId="20" xfId="0" applyFont="1" applyBorder="1">
      <alignment horizontal="center" vertical="center" wrapText="1"/>
    </xf>
    <xf numFmtId="171" fontId="20" fillId="34" borderId="17" xfId="0" applyFont="1" applyFill="1" applyBorder="1" applyNumberFormat="1">
      <alignment horizontal="left" vertical="center" wrapText="1" indent="1"/>
      <protection locked="0"/>
    </xf>
    <xf numFmtId="0" fontId="19" fillId="34" borderId="10" xfId="54" applyFont="1" applyFill="1" applyBorder="1">
      <alignment horizontal="right" vertical="center" wrapText="1" indent="1"/>
      <protection locked="0"/>
    </xf>
    <xf numFmtId="0" fontId="20" fillId="34" borderId="10" xfId="55" applyFont="1" applyFill="1" applyBorder="1">
      <alignment horizontal="right" vertical="center" wrapText="1" indent="1"/>
      <protection locked="0"/>
    </xf>
    <xf numFmtId="49" fontId="20" fillId="34" borderId="17" xfId="56" applyFont="1" applyFill="1" applyBorder="1" applyNumberFormat="1">
      <alignment horizontal="left" vertical="center" wrapText="1" indent="1"/>
      <protection locked="0"/>
    </xf>
    <xf numFmtId="0" fontId="19" fillId="34" borderId="17" xfId="57" applyFont="1" applyFill="1" applyBorder="1">
      <alignment horizontal="left" vertical="center" wrapText="1" indent="1"/>
      <protection locked="0"/>
    </xf>
    <xf numFmtId="0" fontId="20" fillId="34" borderId="17" xfId="58" applyFont="1" applyFill="1" applyBorder="1">
      <alignment horizontal="left" vertical="center" wrapText="1" indent="1"/>
      <protection locked="0"/>
    </xf>
    <xf numFmtId="174" fontId="21" fillId="33" borderId="17" xfId="59" applyFont="1" applyFill="1" applyBorder="1" applyNumberFormat="1">
      <alignment horizontal="left" vertical="center" wrapText="1" indent="1"/>
      <protection locked="0"/>
    </xf>
    <xf numFmtId="0" fontId="19" fillId="33" borderId="17" xfId="60" applyFont="1" applyFill="1" applyBorder="1">
      <alignment horizontal="left" vertical="center" wrapText="1" indent="1"/>
      <protection locked="0"/>
    </xf>
    <xf numFmtId="171" fontId="20" fillId="33" borderId="17" xfId="61" applyFont="1" applyFill="1" applyBorder="1" applyNumberFormat="1">
      <alignment horizontal="left" vertical="center" wrapText="1" indent="1"/>
      <protection locked="0"/>
    </xf>
    <xf numFmtId="171" fontId="20" fillId="34" borderId="17" xfId="0" applyFont="1" applyFill="1" applyBorder="1" applyNumberFormat="1">
      <alignment horizontal="left" vertical="center" wrapText="1" indent="1"/>
      <protection locked="0"/>
    </xf>
    <xf numFmtId="0" fontId="19" fillId="34" borderId="10" xfId="62" applyFont="1" applyFill="1" applyBorder="1">
      <alignment horizontal="left" vertical="center" wrapText="1" indent="1"/>
      <protection locked="0"/>
    </xf>
    <xf numFmtId="1" fontId="19" fillId="34" borderId="10" xfId="63" applyFont="1" applyFill="1" applyBorder="1" applyNumberFormat="1">
      <alignment horizontal="left" vertical="center" wrapText="1" indent="1"/>
      <protection locked="0"/>
    </xf>
    <xf numFmtId="1" fontId="19" fillId="34" borderId="11" xfId="64" applyFont="1" applyFill="1" applyBorder="1" applyNumberFormat="1">
      <alignment horizontal="left" vertical="center" wrapText="1" indent="1"/>
      <protection locked="0"/>
    </xf>
    <xf numFmtId="0" fontId="20" fillId="34" borderId="10" xfId="0" applyFont="1" applyFill="1" applyBorder="1">
      <alignment horizontal="right" vertical="center" wrapText="1" indent="1"/>
      <protection locked="0"/>
    </xf>
    <xf numFmtId="0" fontId="20" fillId="34" borderId="23" xfId="0" applyFont="1" applyFill="1" applyBorder="1">
      <alignment horizontal="right" vertical="center" wrapText="1" indent="1"/>
      <protection locked="0"/>
    </xf>
    <xf numFmtId="49" fontId="67" fillId="54" borderId="51" xfId="0" applyFont="1" applyFill="1" applyBorder="1" applyNumberFormat="1">
      <alignment horizontal="right" vertical="center" wrapText="1" indent="1"/>
    </xf>
    <xf numFmtId="49" fontId="39" fillId="54" borderId="68" xfId="0" applyFont="1" applyFill="1" applyBorder="1" applyNumberFormat="1">
      <alignment horizontal="left" vertical="center" wrapText="1" indent="1"/>
    </xf>
    <xf numFmtId="0" fontId="32" fillId="0" borderId="0" xfId="0" applyFont="1">
      <alignment vertical="center"/>
    </xf>
    <xf numFmtId="0" fontId="19" fillId="0" borderId="65" xfId="0" applyFont="1" applyBorder="1">
      <alignment horizontal="right" vertical="center" wrapText="1" indent="1"/>
    </xf>
    <xf numFmtId="0" fontId="19" fillId="0" borderId="76" xfId="0" applyFont="1" applyBorder="1">
      <alignment horizontal="right" vertical="center" wrapText="1" indent="1"/>
    </xf>
    <xf numFmtId="49" fontId="19" fillId="0" borderId="13" xfId="0" applyFont="1" applyBorder="1" applyNumberFormat="1">
      <alignment horizontal="right" vertical="center" wrapText="1" indent="1"/>
    </xf>
    <xf numFmtId="49" fontId="19" fillId="33" borderId="13" xfId="0" applyFont="1" applyFill="1" applyBorder="1" applyNumberFormat="1">
      <alignment horizontal="left" vertical="center" wrapText="1" indent="1"/>
      <protection locked="0"/>
    </xf>
    <xf numFmtId="49" fontId="19" fillId="0" borderId="17" xfId="0" applyFont="1" applyBorder="1" applyNumberFormat="1">
      <alignment horizontal="right" vertical="center" wrapText="1" indent="1"/>
    </xf>
    <xf numFmtId="0" fontId="0" fillId="0" borderId="27" xfId="0" applyFont="1" applyBorder="1">
      <alignment horizontal="center" vertical="center"/>
    </xf>
    <xf numFmtId="49" fontId="19" fillId="34" borderId="17" xfId="0" applyFont="1" applyFill="1" applyBorder="1" applyNumberFormat="1">
      <alignment horizontal="right" vertical="center" wrapText="1" indent="1"/>
    </xf>
    <xf numFmtId="49" fontId="47" fillId="0" borderId="0" xfId="0" applyFont="1" applyNumberFormat="1">
      <alignment horizontal="center" vertical="center" wrapText="1"/>
    </xf>
    <xf numFmtId="0" fontId="0" fillId="0" borderId="27" xfId="0" applyFont="1" applyBorder="1">
      <alignment vertical="top"/>
    </xf>
    <xf numFmtId="0" fontId="53" fillId="0" borderId="27" xfId="0" applyFont="1" applyBorder="1">
      <alignment vertical="top"/>
    </xf>
    <xf numFmtId="0" fontId="20" fillId="51" borderId="27" xfId="0" applyFont="1" applyFill="1" applyBorder="1">
      <alignment horizontal="left" vertical="top"/>
    </xf>
    <xf numFmtId="49" fontId="39" fillId="42" borderId="36" xfId="0" applyFont="1" applyFill="1" applyBorder="1" applyNumberFormat="1">
      <alignment horizontal="right" vertical="center" wrapText="1" indent="1"/>
    </xf>
    <xf numFmtId="49" fontId="39" fillId="42" borderId="38" xfId="0" applyFont="1" applyFill="1" applyBorder="1" applyNumberFormat="1">
      <alignment horizontal="left" vertical="center" wrapText="1"/>
    </xf>
    <xf numFmtId="0" fontId="20" fillId="38" borderId="17" xfId="0" applyFont="1" applyFill="1" applyBorder="1">
      <alignment horizontal="left" vertical="center" wrapText="1" indent="1"/>
    </xf>
    <xf numFmtId="0" fontId="19" fillId="38" borderId="17" xfId="0" applyFont="1" applyFill="1" applyBorder="1">
      <alignment horizontal="left" vertical="center" indent="1"/>
    </xf>
    <xf numFmtId="0" fontId="19" fillId="0" borderId="16" xfId="0" applyFont="1" applyBorder="1">
      <alignment horizontal="right" vertical="center" wrapText="1" indent="1"/>
    </xf>
    <xf numFmtId="0" fontId="19" fillId="0" borderId="24" xfId="0" applyFont="1" applyBorder="1">
      <alignment horizontal="right" vertical="center" wrapText="1" indent="1"/>
    </xf>
    <xf numFmtId="0" fontId="19" fillId="0" borderId="15" xfId="0" applyFont="1" applyBorder="1">
      <alignment horizontal="right" vertical="center" wrapText="1" indent="1"/>
    </xf>
    <xf numFmtId="0" fontId="19" fillId="0" borderId="53" xfId="0" applyFont="1" applyBorder="1">
      <alignment horizontal="right" vertical="center" wrapText="1" indent="1"/>
    </xf>
    <xf numFmtId="0" fontId="19" fillId="0" borderId="25" xfId="0" applyFont="1" applyBorder="1">
      <alignment horizontal="right" vertical="center" wrapText="1" indent="1"/>
    </xf>
    <xf numFmtId="49" fontId="20" fillId="34" borderId="17" xfId="0" applyFont="1" applyFill="1" applyBorder="1" applyNumberFormat="1">
      <alignment horizontal="left" vertical="center" wrapText="1" indent="1"/>
      <protection locked="0"/>
    </xf>
    <xf numFmtId="0" fontId="38" fillId="0" borderId="0" xfId="0" applyFont="1">
      <alignment vertical="center"/>
    </xf>
    <xf numFmtId="0" fontId="34" fillId="0" borderId="0" xfId="0" applyFont="1">
      <alignment vertical="center"/>
    </xf>
    <xf numFmtId="49" fontId="20" fillId="33" borderId="17" xfId="0" applyFont="1" applyFill="1" applyBorder="1" applyNumberFormat="1">
      <alignment horizontal="left" vertical="center" wrapText="1" indent="1"/>
      <protection locked="0"/>
    </xf>
    <xf numFmtId="49" fontId="19" fillId="33" borderId="18" xfId="65" applyFont="1" applyFill="1" applyBorder="1" applyNumberFormat="1">
      <alignment horizontal="left" vertical="center" wrapText="1" indent="1"/>
      <protection locked="0"/>
    </xf>
    <xf numFmtId="174" fontId="19" fillId="33" borderId="18" xfId="66" applyFont="1" applyFill="1" applyBorder="1" applyNumberFormat="1">
      <alignment horizontal="left" vertical="center" wrapText="1" indent="1"/>
      <protection locked="0"/>
    </xf>
    <xf numFmtId="49" fontId="19" fillId="33" borderId="10" xfId="67" applyFont="1" applyFill="1" applyBorder="1" applyNumberFormat="1">
      <alignment horizontal="left" vertical="center" wrapText="1"/>
      <protection locked="0"/>
    </xf>
    <xf numFmtId="0" fontId="0" fillId="36" borderId="0" xfId="0" applyFont="1" applyFill="1">
      <alignment horizontal="center" vertical="center"/>
    </xf>
    <xf numFmtId="0" fontId="0" fillId="37" borderId="0" xfId="0" applyFont="1" applyFill="1">
      <alignment horizontal="center" vertical="center" wrapText="1"/>
    </xf>
    <xf numFmtId="0" fontId="0" fillId="0" borderId="0" xfId="0" applyFont="1">
      <alignment vertical="center"/>
    </xf>
    <xf numFmtId="0" fontId="0" fillId="4" borderId="0" xfId="0" applyFont="1" applyFill="1">
      <alignment horizontal="center" vertical="center"/>
    </xf>
    <xf numFmtId="0" fontId="0" fillId="0" borderId="27" xfId="0" applyFont="1" applyBorder="1">
      <alignment horizontal="center" vertical="center" wrapText="1"/>
    </xf>
    <xf numFmtId="0" fontId="0" fillId="0" borderId="30" xfId="0" applyFont="1" applyBorder="1">
      <alignment horizontal="center" vertical="center" wrapText="1"/>
    </xf>
    <xf numFmtId="0" fontId="0" fillId="0" borderId="51" xfId="0" applyFont="1" applyBorder="1">
      <alignment horizontal="center" vertical="center" wrapText="1"/>
    </xf>
    <xf numFmtId="0" fontId="19" fillId="0" borderId="0" xfId="0" applyFont="1">
      <alignment vertical="center" wrapText="1"/>
    </xf>
    <xf numFmtId="0" fontId="23" fillId="0" borderId="34" xfId="0" applyFont="1" applyBorder="1">
      <alignment horizontal="left" vertical="center" wrapText="1" indent="1"/>
    </xf>
    <xf numFmtId="49" fontId="23" fillId="0" borderId="0" xfId="0" applyFont="1" applyNumberFormat="1">
      <alignment horizontal="center" vertical="center" wrapText="1" shrinkToFit="1"/>
    </xf>
    <xf numFmtId="49" fontId="23" fillId="0" borderId="0" xfId="0" applyFont="1" applyNumberFormat="1">
      <alignment horizontal="center" vertical="center" wrapText="1" shrinkToFit="1"/>
    </xf>
    <xf numFmtId="0" fontId="20" fillId="11" borderId="17" xfId="0" applyFont="1" applyFill="1" applyBorder="1">
      <alignment horizontal="center" vertical="center" wrapText="1"/>
    </xf>
    <xf numFmtId="0" fontId="20" fillId="0" borderId="17" xfId="0" applyFont="1" applyBorder="1">
      <alignment horizontal="center" vertical="center" wrapText="1"/>
    </xf>
    <xf numFmtId="0" fontId="20" fillId="11" borderId="15" xfId="0" applyFont="1" applyFill="1" applyBorder="1">
      <alignment horizontal="center" vertical="center" wrapText="1"/>
    </xf>
    <xf numFmtId="0" fontId="20" fillId="0" borderId="0" xfId="0" applyFont="1">
      <alignment horizontal="center" vertical="center" wrapText="1"/>
    </xf>
    <xf numFmtId="4" fontId="19" fillId="33" borderId="17" xfId="68" applyFont="1" applyFill="1" applyBorder="1" applyNumberFormat="1">
      <alignment horizontal="right" vertical="center"/>
      <protection locked="0"/>
    </xf>
    <xf numFmtId="4" fontId="19" fillId="33" borderId="17" xfId="0" applyFont="1" applyFill="1" applyBorder="1" applyNumberFormat="1">
      <alignment horizontal="right" vertical="center"/>
      <protection locked="0"/>
    </xf>
    <xf numFmtId="174" fontId="19" fillId="33" borderId="10" xfId="69" applyFont="1" applyFill="1" applyBorder="1" applyNumberFormat="1">
      <alignment horizontal="left" vertical="center" wrapText="1"/>
      <protection locked="0"/>
    </xf>
    <xf numFmtId="4" fontId="19" fillId="33" borderId="19" xfId="70" applyFont="1" applyFill="1" applyBorder="1" applyNumberFormat="1">
      <alignment horizontal="right" vertical="center"/>
      <protection locked="0"/>
    </xf>
    <xf numFmtId="4" fontId="19" fillId="33" borderId="19" xfId="0" applyFont="1" applyFill="1" applyBorder="1" applyNumberFormat="1">
      <alignment horizontal="right" vertical="center"/>
      <protection locked="0"/>
    </xf>
    <xf numFmtId="4" fontId="19" fillId="33" borderId="10" xfId="71" applyFont="1" applyFill="1" applyBorder="1" applyNumberFormat="1">
      <alignment horizontal="right" vertical="center"/>
      <protection locked="0"/>
    </xf>
    <xf numFmtId="4" fontId="19" fillId="33" borderId="10" xfId="0" applyFont="1" applyFill="1" applyBorder="1" applyNumberFormat="1">
      <alignment horizontal="right" vertical="center"/>
      <protection locked="0"/>
    </xf>
    <xf numFmtId="4" fontId="19" fillId="33" borderId="11" xfId="72" applyFont="1" applyFill="1" applyBorder="1" applyNumberFormat="1">
      <alignment horizontal="right" vertical="center"/>
      <protection locked="0"/>
    </xf>
    <xf numFmtId="4" fontId="19" fillId="33" borderId="12" xfId="0" applyFont="1" applyFill="1" applyBorder="1" applyNumberFormat="1">
      <alignment horizontal="right" vertical="center"/>
      <protection locked="0"/>
    </xf>
    <xf numFmtId="4" fontId="19" fillId="33" borderId="25" xfId="0" applyFont="1" applyFill="1" applyBorder="1" applyNumberFormat="1">
      <alignment horizontal="right" vertical="center"/>
      <protection locked="0"/>
    </xf>
    <xf numFmtId="4" fontId="19" fillId="33" borderId="20" xfId="0" applyFont="1" applyFill="1" applyBorder="1" applyNumberFormat="1">
      <alignment horizontal="right" vertical="center"/>
      <protection locked="0"/>
    </xf>
    <xf numFmtId="4" fontId="19" fillId="33" borderId="20" xfId="73" applyFont="1" applyFill="1" applyBorder="1" applyNumberFormat="1">
      <alignment horizontal="right" vertical="center"/>
      <protection locked="0"/>
    </xf>
    <xf numFmtId="4" fontId="19" fillId="33" borderId="12" xfId="74" applyFont="1" applyFill="1" applyBorder="1" applyNumberFormat="1">
      <alignment horizontal="right" vertical="center"/>
      <protection locked="0"/>
    </xf>
    <xf numFmtId="4" fontId="19" fillId="33" borderId="21" xfId="75" applyFont="1" applyFill="1" applyBorder="1" applyNumberFormat="1">
      <alignment horizontal="right" vertical="center"/>
      <protection locked="0"/>
    </xf>
    <xf numFmtId="49" fontId="19" fillId="0" borderId="0" xfId="0" applyFont="1" applyNumberFormat="1">
      <alignment vertical="center" wrapText="1"/>
    </xf>
    <xf numFmtId="0" fontId="0" fillId="0" borderId="31" xfId="0" applyFont="1" applyBorder="1">
      <alignment horizontal="center" vertical="center" wrapText="1"/>
    </xf>
    <xf numFmtId="0" fontId="24" fillId="0" borderId="34" xfId="0" applyFont="1" applyBorder="1"/>
    <xf numFmtId="0" fontId="20" fillId="0" borderId="0" xfId="0" applyFont="1">
      <alignment horizontal="center"/>
    </xf>
    <xf numFmtId="0" fontId="20" fillId="11" borderId="23" xfId="0" applyFont="1" applyFill="1" applyBorder="1">
      <alignment horizontal="center" vertical="center" wrapText="1"/>
    </xf>
    <xf numFmtId="0" fontId="20" fillId="11" borderId="10" xfId="0" applyFont="1" applyFill="1" applyBorder="1">
      <alignment horizontal="center" vertical="center" wrapText="1"/>
    </xf>
    <xf numFmtId="0" fontId="20" fillId="0" borderId="10" xfId="0" applyFont="1" applyBorder="1">
      <alignment horizontal="center" vertical="center" wrapText="1"/>
    </xf>
    <xf numFmtId="4" fontId="20" fillId="33" borderId="13" xfId="0" applyFont="1" applyFill="1" applyBorder="1" applyNumberFormat="1">
      <alignment horizontal="right" vertical="center"/>
    </xf>
    <xf numFmtId="4" fontId="20" fillId="33" borderId="13" xfId="0" applyFont="1" applyFill="1" applyBorder="1" applyNumberFormat="1">
      <alignment horizontal="right" vertical="center"/>
      <protection locked="0"/>
    </xf>
    <xf numFmtId="4" fontId="20" fillId="33" borderId="17" xfId="76" applyFont="1" applyFill="1" applyBorder="1" applyNumberFormat="1">
      <alignment horizontal="right" vertical="center"/>
      <protection locked="0"/>
    </xf>
    <xf numFmtId="4" fontId="20" fillId="33" borderId="17" xfId="0" applyFont="1" applyFill="1" applyBorder="1" applyNumberFormat="1">
      <alignment horizontal="right" vertical="center"/>
      <protection locked="0"/>
    </xf>
    <xf numFmtId="4" fontId="20" fillId="33" borderId="13" xfId="80" applyFont="1" applyFill="1" applyBorder="1" applyNumberFormat="1">
      <alignment horizontal="right" vertical="center"/>
      <protection locked="0"/>
    </xf>
    <xf numFmtId="0" fontId="0" fillId="4" borderId="0" xfId="0" applyFont="1" applyFill="1">
      <alignment horizontal="center" vertical="center"/>
    </xf>
    <xf numFmtId="0" fontId="19" fillId="11" borderId="17" xfId="0" applyFont="1" applyFill="1" applyBorder="1">
      <alignment horizontal="center" vertical="center" wrapText="1"/>
    </xf>
    <xf numFmtId="0" fontId="20" fillId="0" borderId="15" xfId="0" applyFont="1" applyBorder="1">
      <alignment horizontal="center" vertical="center" wrapText="1"/>
    </xf>
    <xf numFmtId="0" fontId="20" fillId="0" borderId="27" xfId="0" applyFont="1" applyBorder="1">
      <alignment horizontal="center" vertical="center" wrapText="1"/>
    </xf>
    <xf numFmtId="2" fontId="20" fillId="33" borderId="17" xfId="0" applyFont="1" applyFill="1" applyBorder="1" applyNumberFormat="1">
      <alignment horizontal="right" vertical="center"/>
      <protection locked="0"/>
    </xf>
    <xf numFmtId="2" fontId="20" fillId="33" borderId="17" xfId="0" applyFont="1" applyFill="1" applyBorder="1" applyNumberFormat="1">
      <alignment horizontal="right" vertical="center"/>
    </xf>
    <xf numFmtId="2" fontId="20" fillId="33" borderId="13" xfId="0" applyFont="1" applyFill="1" applyBorder="1" applyNumberFormat="1">
      <alignment horizontal="right" vertical="center"/>
    </xf>
    <xf numFmtId="2" fontId="20" fillId="33" borderId="17" xfId="81" applyFont="1" applyFill="1" applyBorder="1" applyNumberFormat="1">
      <alignment horizontal="right" vertical="center"/>
      <protection locked="0"/>
    </xf>
    <xf numFmtId="2" fontId="0" fillId="33" borderId="17" xfId="0" applyFont="1" applyFill="1" applyBorder="1" applyNumberFormat="1">
      <alignment horizontal="right" vertical="center"/>
      <protection locked="0"/>
    </xf>
    <xf numFmtId="2" fontId="0" fillId="33" borderId="17" xfId="82" applyFont="1" applyFill="1" applyBorder="1" applyNumberFormat="1">
      <alignment horizontal="right" vertical="center"/>
      <protection locked="0"/>
    </xf>
    <xf numFmtId="0" fontId="24" fillId="0" borderId="34" xfId="0" applyFont="1" applyBorder="1">
      <alignment vertical="center" wrapText="1"/>
    </xf>
    <xf numFmtId="0" fontId="24" fillId="49" borderId="17" xfId="0" applyFont="1" applyFill="1" applyBorder="1">
      <alignment vertical="center" wrapText="1"/>
    </xf>
    <xf numFmtId="174" fontId="20" fillId="33" borderId="17" xfId="83" applyFont="1" applyFill="1" applyBorder="1" applyNumberFormat="1">
      <alignment horizontal="left" vertical="center" wrapText="1"/>
      <protection locked="0"/>
    </xf>
    <xf numFmtId="4" fontId="19" fillId="33" borderId="10" xfId="47" applyFont="1" applyFill="1" applyBorder="1" applyNumberFormat="1">
      <alignment horizontal="right" vertical="center" wrapText="1"/>
      <protection locked="0"/>
    </xf>
    <xf numFmtId="4" fontId="19" fillId="33" borderId="10" xfId="0" applyFont="1" applyFill="1" applyBorder="1" applyNumberFormat="1">
      <alignment horizontal="right" vertical="center" wrapText="1"/>
      <protection locked="0"/>
    </xf>
    <xf numFmtId="4" fontId="19" fillId="33" borderId="12" xfId="49"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protection locked="0"/>
    </xf>
    <xf numFmtId="4" fontId="19" fillId="33" borderId="13" xfId="50" applyFont="1" applyFill="1" applyBorder="1" applyNumberFormat="1">
      <alignment horizontal="right" vertical="center" wrapText="1"/>
      <protection locked="0"/>
    </xf>
    <xf numFmtId="4" fontId="19" fillId="33" borderId="13" xfId="0" applyFont="1" applyFill="1" applyBorder="1" applyNumberFormat="1">
      <alignment horizontal="right" vertical="center" wrapText="1"/>
      <protection locked="0"/>
    </xf>
    <xf numFmtId="4" fontId="19" fillId="33" borderId="14" xfId="51" applyFont="1" applyFill="1" applyBorder="1" applyNumberFormat="1">
      <alignment horizontal="right" vertical="center" wrapText="1"/>
      <protection locked="0"/>
    </xf>
    <xf numFmtId="4" fontId="19" fillId="33" borderId="14" xfId="0" applyFont="1" applyFill="1" applyBorder="1" applyNumberFormat="1">
      <alignment horizontal="right" vertical="center" wrapText="1"/>
      <protection locked="0"/>
    </xf>
    <xf numFmtId="174" fontId="20" fillId="33" borderId="22" xfId="84" applyFont="1" applyFill="1" applyBorder="1" applyNumberFormat="1">
      <alignment horizontal="left" vertical="center" wrapText="1"/>
      <protection locked="0"/>
    </xf>
    <xf numFmtId="174" fontId="20" fillId="33" borderId="10" xfId="85" applyFont="1" applyFill="1" applyBorder="1" applyNumberFormat="1">
      <alignment horizontal="left" vertical="center" wrapText="1"/>
      <protection locked="0"/>
    </xf>
    <xf numFmtId="174" fontId="20" fillId="33" borderId="13" xfId="86" applyFont="1" applyFill="1" applyBorder="1" applyNumberFormat="1">
      <alignment horizontal="left" vertical="center" wrapText="1"/>
      <protection locked="0"/>
    </xf>
    <xf numFmtId="4" fontId="19" fillId="33" borderId="15" xfId="52" applyFont="1" applyFill="1" applyBorder="1" applyNumberFormat="1">
      <alignment horizontal="right" vertical="center" wrapText="1"/>
      <protection locked="0"/>
    </xf>
    <xf numFmtId="4" fontId="19" fillId="33" borderId="15" xfId="0" applyFont="1" applyFill="1" applyBorder="1" applyNumberFormat="1">
      <alignment horizontal="right" vertical="center" wrapText="1"/>
      <protection locked="0"/>
    </xf>
    <xf numFmtId="4" fontId="19" fillId="33" borderId="16" xfId="53" applyFont="1" applyFill="1" applyBorder="1" applyNumberFormat="1">
      <alignment horizontal="right" vertical="center" wrapText="1"/>
      <protection locked="0"/>
    </xf>
    <xf numFmtId="4" fontId="19" fillId="33" borderId="16" xfId="0" applyFont="1" applyFill="1" applyBorder="1" applyNumberFormat="1">
      <alignment horizontal="right" vertical="center" wrapText="1"/>
      <protection locked="0"/>
    </xf>
    <xf numFmtId="0" fontId="20" fillId="0" borderId="32" xfId="0" applyFont="1" applyBorder="1">
      <alignment vertical="center"/>
    </xf>
    <xf numFmtId="0" fontId="19" fillId="33" borderId="47" xfId="0" applyFont="1" applyFill="1" applyBorder="1">
      <alignment horizontal="left" vertical="center" wrapText="1"/>
      <protection locked="0"/>
    </xf>
    <xf numFmtId="0" fontId="19" fillId="33" borderId="47" xfId="0" applyFont="1" applyFill="1" applyBorder="1">
      <alignment horizontal="left" vertical="center" wrapText="1"/>
    </xf>
    <xf numFmtId="0" fontId="47" fillId="0" borderId="0" xfId="0" applyFont="1">
      <alignment horizontal="center" vertical="center" wrapText="1"/>
    </xf>
    <xf numFmtId="0" fontId="19" fillId="33" borderId="78" xfId="0" applyFont="1" applyFill="1" applyBorder="1">
      <alignment horizontal="left" vertical="center" wrapText="1"/>
    </xf>
    <xf numFmtId="174" fontId="19" fillId="33" borderId="79" xfId="0" applyFont="1" applyFill="1" applyBorder="1" applyNumberFormat="1">
      <alignment horizontal="left" vertical="center" wrapText="1"/>
    </xf>
    <xf numFmtId="0" fontId="20" fillId="42" borderId="35" xfId="0" applyFont="1" applyFill="1" applyBorder="1">
      <alignment vertical="center"/>
    </xf>
    <xf numFmtId="0" fontId="0" fillId="0" borderId="27" xfId="0" applyFont="1" applyBorder="1">
      <alignment horizontal="center" vertical="center"/>
    </xf>
    <xf numFmtId="0" fontId="0" fillId="0" borderId="27" xfId="0" applyFont="1" applyBorder="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0" xfId="0" applyFont="1" applyNumberFormat="1">
      <alignment horizontal="center" vertical="top"/>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49" fontId="0" fillId="0" borderId="27" xfId="0" applyFont="1" applyBorder="1" applyNumberFormat="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0" fillId="0" borderId="27" xfId="0" applyFont="1" applyBorder="1">
      <alignment horizontal="center" vertical="center"/>
    </xf>
    <xf numFmtId="0" fontId="19" fillId="0" borderId="0" xfId="0" applyFont="1">
      <alignment vertical="top"/>
    </xf>
    <xf numFmtId="0" fontId="20" fillId="0" borderId="34" xfId="0" applyFont="1" applyBorder="1">
      <alignment vertical="center" wrapText="1"/>
    </xf>
    <xf numFmtId="0" fontId="19" fillId="0" borderId="0" xfId="0" applyFont="1">
      <alignment vertical="center"/>
    </xf>
    <xf numFmtId="0" fontId="20" fillId="11" borderId="27" xfId="0" applyFont="1" applyFill="1" applyBorder="1">
      <alignment horizontal="center" vertical="center" wrapText="1"/>
    </xf>
    <xf numFmtId="0" fontId="20" fillId="0" borderId="49" xfId="0" applyFont="1" applyBorder="1">
      <alignment horizontal="center" vertical="center" wrapText="1"/>
    </xf>
    <xf numFmtId="4" fontId="19" fillId="33" borderId="12" xfId="88" applyFont="1" applyFill="1" applyBorder="1" applyNumberFormat="1">
      <alignment vertical="center"/>
      <protection locked="0"/>
    </xf>
    <xf numFmtId="4" fontId="19" fillId="33" borderId="10" xfId="89" applyFont="1" applyFill="1" applyBorder="1" applyNumberFormat="1">
      <alignment vertical="center"/>
      <protection locked="0"/>
    </xf>
    <xf numFmtId="4" fontId="19" fillId="33" borderId="12" xfId="0" applyFont="1" applyFill="1" applyBorder="1" applyNumberFormat="1">
      <alignment vertical="center"/>
      <protection locked="0"/>
    </xf>
    <xf numFmtId="4" fontId="19" fillId="33" borderId="10" xfId="0" applyFont="1" applyFill="1" applyBorder="1" applyNumberFormat="1">
      <alignment vertical="center"/>
      <protection locked="0"/>
    </xf>
    <xf numFmtId="49" fontId="22" fillId="33" borderId="12" xfId="90" applyFont="1" applyFill="1" applyBorder="1" applyNumberFormat="1">
      <alignment horizontal="left" vertical="center" wrapText="1" indent="1"/>
      <protection locked="0"/>
    </xf>
    <xf numFmtId="49" fontId="22" fillId="33" borderId="10" xfId="91" applyFont="1" applyFill="1" applyBorder="1" applyNumberFormat="1">
      <alignment horizontal="left" vertical="center" wrapText="1" indent="1"/>
      <protection locked="0"/>
    </xf>
    <xf numFmtId="9" fontId="19" fillId="33" borderId="12" xfId="92" applyFont="1" applyFill="1" applyBorder="1" applyNumberFormat="1">
      <alignment vertical="center"/>
      <protection locked="0"/>
    </xf>
    <xf numFmtId="9" fontId="19" fillId="33" borderId="12" xfId="0" applyFont="1" applyFill="1" applyBorder="1" applyNumberFormat="1">
      <alignment vertical="center"/>
      <protection locked="0"/>
    </xf>
    <xf numFmtId="10" fontId="19" fillId="33" borderId="12" xfId="94" applyFont="1" applyFill="1" applyBorder="1" applyNumberFormat="1">
      <alignment vertical="center"/>
      <protection locked="0"/>
    </xf>
    <xf numFmtId="10" fontId="19" fillId="33" borderId="10" xfId="95" applyFont="1" applyFill="1" applyBorder="1" applyNumberFormat="1">
      <alignment vertical="center"/>
      <protection locked="0"/>
    </xf>
    <xf numFmtId="10" fontId="19" fillId="33" borderId="10" xfId="0" applyFont="1" applyFill="1" applyBorder="1" applyNumberFormat="1">
      <alignment vertical="center"/>
      <protection locked="0"/>
    </xf>
    <xf numFmtId="9" fontId="19" fillId="33" borderId="10" xfId="96" applyFont="1" applyFill="1" applyBorder="1" applyNumberFormat="1">
      <alignment vertical="center"/>
      <protection locked="0"/>
    </xf>
    <xf numFmtId="9" fontId="19" fillId="33" borderId="10" xfId="0" applyFont="1" applyFill="1" applyBorder="1" applyNumberFormat="1">
      <alignment vertical="center"/>
      <protection locked="0"/>
    </xf>
    <xf numFmtId="4" fontId="23" fillId="33" borderId="12" xfId="98" applyFont="1" applyFill="1" applyBorder="1" applyNumberFormat="1">
      <alignment vertical="center"/>
      <protection locked="0"/>
    </xf>
    <xf numFmtId="4" fontId="23" fillId="33" borderId="12" xfId="0" applyFont="1" applyFill="1" applyBorder="1" applyNumberFormat="1">
      <alignment vertical="center"/>
      <protection locked="0"/>
    </xf>
    <xf numFmtId="0" fontId="19" fillId="0" borderId="0" xfId="0" applyFont="1">
      <alignment horizontal="left" vertical="center"/>
    </xf>
    <xf numFmtId="49" fontId="24" fillId="0" borderId="34" xfId="0" applyFont="1" applyBorder="1" applyNumberFormat="1">
      <alignment vertical="center" wrapText="1"/>
    </xf>
    <xf numFmtId="49" fontId="24" fillId="0" borderId="56" xfId="0" applyFont="1" applyBorder="1" applyNumberFormat="1">
      <alignment horizontal="left" vertical="center" wrapText="1" indent="4"/>
    </xf>
    <xf numFmtId="0" fontId="19" fillId="44" borderId="19" xfId="0" applyFont="1" applyFill="1" applyBorder="1">
      <alignment horizontal="center" vertical="center" wrapText="1"/>
    </xf>
    <xf numFmtId="0" fontId="19" fillId="44" borderId="24" xfId="0" applyFont="1" applyFill="1" applyBorder="1">
      <alignment horizontal="center" vertical="center" wrapText="1"/>
    </xf>
    <xf numFmtId="0" fontId="19" fillId="44" borderId="0" xfId="0" applyFont="1" applyFill="1">
      <alignment horizontal="center" vertical="center" wrapText="1"/>
    </xf>
    <xf numFmtId="49" fontId="19" fillId="33" borderId="17" xfId="103" applyFont="1" applyFill="1" applyBorder="1" applyNumberFormat="1">
      <alignment horizontal="left" vertical="center" wrapText="1"/>
      <protection locked="0"/>
    </xf>
    <xf numFmtId="49" fontId="19" fillId="33" borderId="23" xfId="106" applyFont="1" applyFill="1" applyBorder="1" applyNumberFormat="1">
      <alignment vertical="center" wrapText="1"/>
      <protection locked="0"/>
    </xf>
    <xf numFmtId="49" fontId="19" fillId="33" borderId="10" xfId="110" applyFont="1" applyFill="1" applyBorder="1" applyNumberFormat="1">
      <alignment vertical="center" wrapText="1"/>
      <protection locked="0"/>
    </xf>
    <xf numFmtId="4" fontId="23" fillId="33" borderId="13" xfId="99" applyFont="1" applyFill="1" applyBorder="1" applyNumberFormat="1">
      <alignment horizontal="right" vertical="center"/>
      <protection locked="0"/>
    </xf>
    <xf numFmtId="4" fontId="20" fillId="33" borderId="10" xfId="100" applyFont="1" applyFill="1" applyBorder="1" applyNumberFormat="1">
      <alignment horizontal="right" vertical="center"/>
      <protection locked="0"/>
    </xf>
    <xf numFmtId="4" fontId="20" fillId="33" borderId="10" xfId="0" applyFont="1" applyFill="1" applyBorder="1" applyNumberFormat="1">
      <alignment horizontal="right" vertical="center"/>
      <protection locked="0"/>
    </xf>
    <xf numFmtId="172" fontId="19" fillId="33" borderId="17" xfId="101" applyFont="1" applyFill="1" applyBorder="1" applyNumberFormat="1">
      <alignment horizontal="right" vertical="center"/>
      <protection locked="0"/>
    </xf>
    <xf numFmtId="49" fontId="19" fillId="34" borderId="17" xfId="102" applyFont="1" applyFill="1" applyBorder="1" applyNumberFormat="1">
      <alignment horizontal="left" vertical="center" wrapText="1"/>
      <protection locked="0"/>
    </xf>
    <xf numFmtId="4" fontId="19" fillId="33" borderId="22" xfId="104" applyFont="1" applyFill="1" applyBorder="1" applyNumberFormat="1">
      <alignment horizontal="right" vertical="center"/>
      <protection locked="0"/>
    </xf>
    <xf numFmtId="4" fontId="19" fillId="33" borderId="22" xfId="0" applyFont="1" applyFill="1" applyBorder="1" applyNumberFormat="1">
      <alignment horizontal="right" vertical="center"/>
      <protection locked="0"/>
    </xf>
    <xf numFmtId="4" fontId="23" fillId="33" borderId="10" xfId="105" applyFont="1" applyFill="1" applyBorder="1" applyNumberFormat="1">
      <alignment horizontal="right" vertical="center"/>
      <protection locked="0"/>
    </xf>
    <xf numFmtId="0" fontId="20" fillId="0" borderId="0" xfId="0" applyFont="1">
      <alignment vertical="center"/>
    </xf>
    <xf numFmtId="0" fontId="19" fillId="0" borderId="10" xfId="0" applyFont="1" applyBorder="1">
      <alignment horizontal="center" vertical="center" wrapText="1"/>
    </xf>
    <xf numFmtId="0" fontId="49" fillId="0" borderId="10" xfId="0" applyFont="1" applyBorder="1">
      <alignment vertical="center"/>
    </xf>
    <xf numFmtId="49" fontId="19" fillId="33" borderId="21" xfId="0" applyFont="1" applyFill="1" applyBorder="1" applyNumberFormat="1">
      <alignment horizontal="left" vertical="top" wrapText="1"/>
      <protection locked="0"/>
    </xf>
    <xf numFmtId="49" fontId="76" fillId="33" borderId="21" xfId="0" applyFont="1" applyFill="1" applyBorder="1" applyNumberFormat="1">
      <alignment horizontal="left" vertical="top" wrapText="1"/>
      <protection locked="0"/>
    </xf>
    <xf numFmtId="49" fontId="76" fillId="33" borderId="21" xfId="0" applyFont="1" applyFill="1" applyBorder="1" applyNumberFormat="1">
      <alignment horizontal="left" vertical="top" wrapText="1"/>
    </xf>
    <xf numFmtId="49" fontId="19" fillId="33" borderId="21" xfId="0" applyFont="1" applyFill="1" applyBorder="1" applyNumberFormat="1">
      <alignment horizontal="left" vertical="top" wrapText="1"/>
    </xf>
    <xf numFmtId="174" fontId="76" fillId="33" borderId="21" xfId="0" applyFont="1" applyFill="1" applyBorder="1" applyNumberFormat="1">
      <alignment horizontal="left" vertical="top" wrapText="1"/>
    </xf>
    <xf numFmtId="49" fontId="39" fillId="42" borderId="35" xfId="0" applyFont="1" applyFill="1" applyBorder="1" applyNumberFormat="1">
      <alignment horizontal="left" vertical="center" indent="1"/>
    </xf>
    <xf numFmtId="0" fontId="0" fillId="0" borderId="27" xfId="0" applyFont="1" applyBorder="1">
      <alignment horizontal="center" vertical="center"/>
    </xf>
    <xf numFmtId="0" fontId="33" fillId="0" borderId="0" xfId="0" applyFont="1"/>
    <xf numFmtId="0" fontId="49" fillId="0" borderId="34" xfId="0" applyFont="1" applyBorder="1">
      <alignment vertical="center"/>
    </xf>
    <xf numFmtId="0" fontId="50" fillId="0" borderId="0" xfId="0" applyFont="1">
      <alignment horizontal="left"/>
    </xf>
    <xf numFmtId="0" fontId="33" fillId="0" borderId="0" xfId="0" applyFont="1">
      <alignment horizontal="left"/>
    </xf>
    <xf numFmtId="0" fontId="19" fillId="0" borderId="29" xfId="0" applyFont="1" applyBorder="1">
      <alignment horizontal="center" vertical="center"/>
    </xf>
    <xf numFmtId="0" fontId="19" fillId="0" borderId="20" xfId="0" applyFont="1" applyBorder="1">
      <alignment horizontal="center" vertical="center"/>
    </xf>
    <xf numFmtId="0" fontId="20" fillId="0" borderId="35" xfId="0" applyFont="1" applyBorder="1"/>
    <xf numFmtId="0" fontId="0" fillId="0" borderId="0" xfId="0" applyFont="1">
      <alignment horizontal="left" vertical="center"/>
    </xf>
    <xf numFmtId="0" fontId="0" fillId="4" borderId="0" xfId="0" applyFont="1" applyFill="1">
      <alignment horizontal="left" vertical="top"/>
    </xf>
    <xf numFmtId="0" fontId="0" fillId="37" borderId="0" xfId="0" applyFont="1" applyFill="1">
      <alignment horizontal="left" vertical="top"/>
    </xf>
    <xf numFmtId="0" fontId="23" fillId="0" borderId="0" xfId="0" applyFont="1">
      <alignment horizontal="center"/>
    </xf>
    <xf numFmtId="49" fontId="0" fillId="0" borderId="0" xfId="112" applyFont="1" applyNumberFormat="1">
      <alignment vertical="top"/>
    </xf>
    <xf numFmtId="4" fontId="23" fillId="33" borderId="10" xfId="0" applyFont="1" applyFill="1" applyBorder="1" applyNumberFormat="1">
      <alignment horizontal="right" vertical="center"/>
      <protection locked="0"/>
    </xf>
    <xf numFmtId="4" fontId="19" fillId="33" borderId="17" xfId="87" applyFont="1" applyFill="1" applyBorder="1" applyNumberFormat="1">
      <alignment horizontal="right" vertical="center" wrapText="1"/>
      <protection locked="0"/>
    </xf>
    <xf numFmtId="4" fontId="19" fillId="33" borderId="17" xfId="0" applyFont="1" applyFill="1" applyBorder="1" applyNumberFormat="1">
      <alignment horizontal="right" vertical="center" wrapText="1"/>
      <protection locked="0"/>
    </xf>
    <xf numFmtId="49" fontId="0" fillId="0" borderId="0" xfId="112" applyFont="1" applyNumberFormat="1">
      <alignment vertical="top"/>
    </xf>
    <xf numFmtId="174" fontId="19" fillId="33" borderId="17" xfId="113" applyFont="1" applyFill="1" applyBorder="1" applyNumberFormat="1">
      <alignment horizontal="left" vertical="center" wrapText="1"/>
      <protection locked="0"/>
    </xf>
    <xf numFmtId="0" fontId="19" fillId="0" borderId="0" xfId="0" applyFont="1"/>
    <xf numFmtId="4" fontId="19" fillId="0" borderId="0" xfId="0" applyFont="1" applyNumberFormat="1">
      <alignment horizontal="center" vertical="center"/>
    </xf>
    <xf numFmtId="0" fontId="49" fillId="0" borderId="34" xfId="0" applyFont="1" applyBorder="1">
      <alignment vertical="center" wrapText="1"/>
    </xf>
    <xf numFmtId="0" fontId="20" fillId="0" borderId="0" xfId="0" applyFont="1"/>
    <xf numFmtId="0" fontId="0" fillId="4" borderId="0" xfId="0" applyFont="1" applyFill="1">
      <alignment vertical="top"/>
    </xf>
    <xf numFmtId="0" fontId="0" fillId="56" borderId="0" xfId="0" applyFont="1" applyFill="1">
      <alignment vertical="top"/>
    </xf>
    <xf numFmtId="0" fontId="0" fillId="37" borderId="0" xfId="0" applyFont="1" applyFill="1">
      <alignment vertical="top"/>
    </xf>
    <xf numFmtId="49" fontId="24" fillId="0" borderId="34" xfId="0" applyFont="1" applyBorder="1" applyNumberFormat="1">
      <alignment horizontal="left" vertical="center" wrapText="1" indent="4"/>
    </xf>
    <xf numFmtId="49" fontId="24" fillId="0" borderId="0" xfId="0" applyFont="1" applyNumberFormat="1">
      <alignment horizontal="left" vertical="center" wrapText="1" indent="4"/>
    </xf>
    <xf numFmtId="4" fontId="20" fillId="33" borderId="10" xfId="116" applyFont="1" applyFill="1" applyBorder="1" applyNumberFormat="1">
      <alignment horizontal="right" vertical="center" wrapText="1"/>
      <protection locked="0"/>
    </xf>
    <xf numFmtId="4" fontId="20" fillId="33" borderId="10" xfId="0" applyFont="1" applyFill="1" applyBorder="1" applyNumberFormat="1">
      <alignment horizontal="right" vertical="center" wrapText="1"/>
      <protection locked="0"/>
    </xf>
    <xf numFmtId="0" fontId="20" fillId="0" borderId="34" xfId="0" applyFont="1" applyBorder="1">
      <alignment vertical="center"/>
    </xf>
    <xf numFmtId="4" fontId="20" fillId="33" borderId="10" xfId="117" applyFont="1" applyFill="1" applyBorder="1" applyNumberFormat="1">
      <alignment horizontal="right"/>
      <protection locked="0"/>
    </xf>
    <xf numFmtId="4" fontId="20" fillId="33" borderId="10" xfId="0" applyFont="1" applyFill="1" applyBorder="1" applyNumberFormat="1">
      <alignment horizontal="right"/>
      <protection locked="0"/>
    </xf>
    <xf numFmtId="0" fontId="52" fillId="0" borderId="0" xfId="0" applyFont="1">
      <alignment horizontal="left" vertical="top" wrapText="1"/>
    </xf>
    <xf numFmtId="4" fontId="0" fillId="33" borderId="10" xfId="118" applyFont="1" applyFill="1" applyBorder="1" applyNumberFormat="1">
      <alignment horizontal="right" vertical="center" wrapText="1"/>
      <protection locked="0"/>
    </xf>
    <xf numFmtId="172" fontId="20" fillId="33" borderId="10" xfId="0" applyFont="1" applyFill="1" applyBorder="1" applyNumberFormat="1">
      <alignment horizontal="right" vertical="center" wrapText="1"/>
      <protection locked="0"/>
    </xf>
    <xf numFmtId="172" fontId="0" fillId="33" borderId="10" xfId="119" applyFont="1" applyFill="1" applyBorder="1" applyNumberFormat="1">
      <alignment horizontal="right" vertical="center" wrapText="1"/>
      <protection locked="0"/>
    </xf>
    <xf numFmtId="49" fontId="19" fillId="32" borderId="10" xfId="0" applyFont="1" applyFill="1" applyBorder="1" applyNumberFormat="1">
      <alignment horizontal="left" vertical="top" wrapText="1"/>
    </xf>
    <xf numFmtId="49" fontId="76" fillId="0" borderId="10" xfId="0" applyFont="1" applyBorder="1" applyNumberFormat="1">
      <alignment horizontal="left" vertical="top" wrapText="1"/>
    </xf>
    <xf numFmtId="49" fontId="19" fillId="33" borderId="10" xfId="0" applyFont="1" applyFill="1" applyBorder="1" applyNumberFormat="1">
      <alignment horizontal="left" vertical="top" wrapText="1"/>
    </xf>
    <xf numFmtId="0" fontId="20" fillId="42" borderId="35" xfId="0" applyFont="1" applyFill="1" applyBorder="1">
      <alignment vertical="center" wrapText="1"/>
    </xf>
    <xf numFmtId="4" fontId="24" fillId="33" borderId="10" xfId="120" applyFont="1" applyFill="1" applyBorder="1" applyNumberFormat="1">
      <alignment horizontal="right" vertical="center"/>
      <protection locked="0"/>
    </xf>
    <xf numFmtId="172" fontId="20" fillId="33" borderId="10" xfId="121" applyFont="1" applyFill="1" applyBorder="1" applyNumberFormat="1">
      <alignment horizontal="right" vertical="center"/>
      <protection locked="0"/>
    </xf>
    <xf numFmtId="4" fontId="20" fillId="33" borderId="21" xfId="124" applyFont="1" applyFill="1" applyBorder="1" applyNumberFormat="1">
      <alignment horizontal="right" vertical="center"/>
      <protection locked="0"/>
    </xf>
    <xf numFmtId="0" fontId="53" fillId="0" borderId="0" xfId="0" applyFont="1">
      <alignment vertical="center"/>
    </xf>
    <xf numFmtId="49" fontId="54" fillId="0" borderId="34" xfId="0" applyFont="1" applyBorder="1" applyNumberFormat="1">
      <alignment vertical="center"/>
    </xf>
    <xf numFmtId="49" fontId="54" fillId="0" borderId="0" xfId="0" applyFont="1" applyNumberFormat="1">
      <alignment horizontal="left" vertical="center" wrapText="1" indent="4"/>
    </xf>
    <xf numFmtId="0" fontId="53" fillId="0" borderId="10" xfId="0" applyFont="1" applyBorder="1">
      <alignment horizontal="center" vertical="center" wrapText="1"/>
    </xf>
    <xf numFmtId="0" fontId="53" fillId="0" borderId="0" xfId="0" applyFont="1">
      <alignment horizontal="center" vertical="center" wrapText="1"/>
    </xf>
    <xf numFmtId="2" fontId="22" fillId="33" borderId="10" xfId="125" applyFont="1" applyFill="1" applyBorder="1" applyNumberFormat="1">
      <alignment vertical="center" wrapText="1"/>
      <protection locked="0"/>
    </xf>
    <xf numFmtId="2" fontId="22" fillId="33" borderId="10" xfId="0" applyFont="1" applyFill="1" applyBorder="1" applyNumberFormat="1">
      <alignment vertical="center" wrapText="1"/>
      <protection locked="0"/>
    </xf>
    <xf numFmtId="2" fontId="22" fillId="33" borderId="11" xfId="126" applyFont="1" applyFill="1" applyBorder="1" applyNumberFormat="1">
      <alignment vertical="center" wrapText="1"/>
      <protection locked="0"/>
    </xf>
    <xf numFmtId="2" fontId="22" fillId="33" borderId="11" xfId="0" applyFont="1" applyFill="1" applyBorder="1" applyNumberFormat="1">
      <alignment vertical="center" wrapText="1"/>
      <protection locked="0"/>
    </xf>
    <xf numFmtId="4" fontId="25" fillId="33" borderId="10" xfId="127" applyFont="1" applyFill="1" applyBorder="1" applyNumberFormat="1">
      <alignment vertical="center" wrapText="1"/>
      <protection locked="0"/>
    </xf>
    <xf numFmtId="4" fontId="25" fillId="33" borderId="10" xfId="0" applyFont="1" applyFill="1" applyBorder="1" applyNumberFormat="1">
      <alignment vertical="center" wrapText="1"/>
      <protection locked="0"/>
    </xf>
    <xf numFmtId="4" fontId="24" fillId="33" borderId="12" xfId="128" applyFont="1" applyFill="1" applyBorder="1" applyNumberFormat="1">
      <alignment horizontal="right" vertical="center"/>
      <protection locked="0"/>
    </xf>
    <xf numFmtId="4" fontId="25" fillId="33" borderId="35" xfId="0" applyFont="1" applyFill="1" applyBorder="1" applyNumberFormat="1">
      <alignment vertical="center" wrapText="1"/>
      <protection locked="0"/>
    </xf>
    <xf numFmtId="2" fontId="24" fillId="33" borderId="10" xfId="129" applyFont="1" applyFill="1" applyBorder="1" applyNumberFormat="1">
      <alignment horizontal="right" vertical="center"/>
      <protection locked="0"/>
    </xf>
    <xf numFmtId="0" fontId="0" fillId="44" borderId="0" xfId="0" applyFont="1" applyFill="1">
      <alignment vertical="center"/>
    </xf>
    <xf numFmtId="2" fontId="20" fillId="33" borderId="10" xfId="0" applyFont="1" applyFill="1" applyBorder="1" applyNumberFormat="1">
      <alignment horizontal="right" vertical="center"/>
      <protection locked="0"/>
    </xf>
    <xf numFmtId="2" fontId="20" fillId="33" borderId="10" xfId="131" applyFont="1" applyFill="1" applyBorder="1" applyNumberFormat="1">
      <alignment horizontal="right" vertical="center"/>
      <protection locked="0"/>
    </xf>
    <xf numFmtId="4" fontId="22" fillId="33" borderId="10" xfId="132" applyFont="1" applyFill="1" applyBorder="1" applyNumberFormat="1">
      <alignment vertical="center" wrapText="1"/>
      <protection locked="0"/>
    </xf>
    <xf numFmtId="4" fontId="22" fillId="33" borderId="10" xfId="0" applyFont="1" applyFill="1" applyBorder="1" applyNumberFormat="1">
      <alignment vertical="center" wrapText="1"/>
      <protection locked="0"/>
    </xf>
    <xf numFmtId="49" fontId="20" fillId="0" borderId="0" xfId="0" applyFont="1" applyNumberFormat="1"/>
    <xf numFmtId="49" fontId="19" fillId="0" borderId="0" xfId="0" applyFont="1" applyNumberFormat="1">
      <alignment horizontal="left" vertical="top" wrapText="1"/>
    </xf>
    <xf numFmtId="9" fontId="19" fillId="33" borderId="10" xfId="134" applyFont="1" applyFill="1" applyBorder="1" applyNumberFormat="1">
      <alignment horizontal="right" vertical="center" wrapText="1"/>
      <protection locked="0"/>
    </xf>
    <xf numFmtId="2" fontId="19" fillId="33" borderId="10" xfId="0" applyFont="1" applyFill="1" applyBorder="1" applyNumberFormat="1">
      <alignment horizontal="right" vertical="center" wrapText="1"/>
      <protection locked="0"/>
    </xf>
    <xf numFmtId="2" fontId="19" fillId="33" borderId="10" xfId="136" applyFont="1" applyFill="1" applyBorder="1" applyNumberFormat="1">
      <alignment horizontal="right" vertical="center" wrapText="1"/>
      <protection locked="0"/>
    </xf>
    <xf numFmtId="2" fontId="19" fillId="33" borderId="10" xfId="0" applyFont="1" applyFill="1" applyBorder="1" applyNumberFormat="1">
      <alignment horizontal="center" vertical="center" wrapText="1"/>
      <protection locked="0"/>
    </xf>
    <xf numFmtId="2" fontId="19" fillId="33" borderId="10" xfId="137" applyFont="1" applyFill="1" applyBorder="1" applyNumberFormat="1">
      <alignment horizontal="center" vertical="center" wrapText="1"/>
      <protection locked="0"/>
    </xf>
    <xf numFmtId="4" fontId="22" fillId="33" borderId="11" xfId="141" applyFont="1" applyFill="1" applyBorder="1" applyNumberFormat="1">
      <alignment vertical="center" wrapText="1"/>
      <protection locked="0"/>
    </xf>
    <xf numFmtId="174" fontId="20" fillId="33" borderId="23" xfId="142" applyFont="1" applyFill="1" applyBorder="1" applyNumberFormat="1">
      <alignment horizontal="left" vertical="center" wrapText="1"/>
      <protection locked="0"/>
    </xf>
    <xf numFmtId="174" fontId="20" fillId="33" borderId="27" xfId="143" applyFont="1" applyFill="1" applyBorder="1" applyNumberFormat="1">
      <alignment horizontal="left" vertical="center" wrapText="1"/>
      <protection locked="0"/>
    </xf>
    <xf numFmtId="174" fontId="20" fillId="33" borderId="16" xfId="153" applyFont="1" applyFill="1" applyBorder="1" applyNumberFormat="1">
      <alignment horizontal="left" vertical="center" wrapText="1"/>
      <protection locked="0"/>
    </xf>
    <xf numFmtId="174" fontId="20" fillId="33" borderId="31" xfId="154" applyFont="1" applyFill="1" applyBorder="1" applyNumberFormat="1">
      <alignment horizontal="left" vertical="center" wrapText="1"/>
      <protection locked="0"/>
    </xf>
    <xf numFmtId="4" fontId="22" fillId="33" borderId="21" xfId="155" applyFont="1" applyFill="1" applyBorder="1" applyNumberFormat="1">
      <alignment vertical="center" wrapText="1"/>
      <protection locked="0"/>
    </xf>
    <xf numFmtId="4" fontId="22" fillId="33" borderId="21" xfId="0" applyFont="1" applyFill="1" applyBorder="1" applyNumberFormat="1">
      <alignment vertical="center" wrapText="1"/>
      <protection locked="0"/>
    </xf>
    <xf numFmtId="4" fontId="20" fillId="33" borderId="23" xfId="156" applyFont="1" applyFill="1" applyBorder="1" applyNumberFormat="1">
      <alignment horizontal="right" vertical="center"/>
      <protection locked="0"/>
    </xf>
    <xf numFmtId="4" fontId="20" fillId="33" borderId="12" xfId="157" applyFont="1" applyFill="1" applyBorder="1" applyNumberFormat="1">
      <alignment horizontal="right" vertical="center"/>
      <protection locked="0"/>
    </xf>
    <xf numFmtId="4" fontId="20" fillId="33" borderId="12" xfId="0" applyFont="1" applyFill="1" applyBorder="1" applyNumberFormat="1">
      <alignment horizontal="right" vertical="center"/>
      <protection locked="0"/>
    </xf>
    <xf numFmtId="0" fontId="53" fillId="0" borderId="10" xfId="0" applyFont="1" applyBorder="1">
      <alignment horizontal="center" vertical="center" wrapText="1"/>
    </xf>
    <xf numFmtId="0" fontId="47" fillId="0" borderId="0" xfId="0" applyFont="1">
      <alignment horizontal="right" vertical="center" wrapText="1" indent="1"/>
    </xf>
    <xf numFmtId="174" fontId="19" fillId="33" borderId="10" xfId="158" applyFont="1" applyFill="1" applyBorder="1" applyNumberFormat="1">
      <alignment horizontal="left" vertical="center"/>
      <protection locked="0"/>
    </xf>
    <xf numFmtId="10" fontId="19" fillId="33" borderId="10" xfId="159" applyFont="1" applyFill="1" applyBorder="1" applyNumberFormat="1">
      <alignment horizontal="right" vertical="center"/>
      <protection locked="0"/>
    </xf>
    <xf numFmtId="174" fontId="19" fillId="33" borderId="11" xfId="160" applyFont="1" applyFill="1" applyBorder="1" applyNumberFormat="1">
      <alignment horizontal="left" vertical="center"/>
      <protection locked="0"/>
    </xf>
    <xf numFmtId="174" fontId="19" fillId="33" borderId="11" xfId="161" applyFont="1" applyFill="1" applyBorder="1" applyNumberFormat="1">
      <alignment horizontal="left" vertical="center" wrapText="1"/>
      <protection locked="0"/>
    </xf>
    <xf numFmtId="49" fontId="19" fillId="33" borderId="23" xfId="0" applyFont="1" applyFill="1" applyBorder="1" applyNumberFormat="1">
      <alignment horizontal="left" vertical="top" wrapText="1"/>
    </xf>
    <xf numFmtId="49" fontId="19" fillId="33" borderId="35" xfId="0" applyFont="1" applyFill="1" applyBorder="1" applyNumberFormat="1">
      <alignment horizontal="left" vertical="top" wrapText="1"/>
    </xf>
    <xf numFmtId="174" fontId="19" fillId="33" borderId="35" xfId="0" applyFont="1" applyFill="1" applyBorder="1" applyNumberFormat="1">
      <alignment horizontal="left" vertical="top" wrapText="1"/>
    </xf>
    <xf numFmtId="174" fontId="19" fillId="33" borderId="12" xfId="0" applyFont="1" applyFill="1" applyBorder="1" applyNumberFormat="1">
      <alignment horizontal="left" vertical="top" wrapText="1"/>
    </xf>
    <xf numFmtId="4" fontId="19" fillId="33" borderId="29" xfId="163" applyFont="1" applyFill="1" applyBorder="1" applyNumberFormat="1">
      <alignment horizontal="right" vertical="center"/>
      <protection locked="0"/>
    </xf>
    <xf numFmtId="0" fontId="20" fillId="0" borderId="22" xfId="0" applyFont="1" applyBorder="1">
      <alignment horizontal="center" vertical="center" wrapText="1"/>
    </xf>
    <xf numFmtId="4" fontId="20" fillId="33" borderId="11" xfId="0" applyFont="1" applyFill="1" applyBorder="1" applyNumberFormat="1">
      <alignment horizontal="right" vertical="center"/>
      <protection locked="0"/>
    </xf>
    <xf numFmtId="4" fontId="20" fillId="33" borderId="11" xfId="123" applyFont="1" applyFill="1" applyBorder="1" applyNumberFormat="1">
      <alignment horizontal="right" vertical="center"/>
      <protection locked="0"/>
    </xf>
    <xf numFmtId="0" fontId="20" fillId="0" borderId="34" xfId="0" applyFont="1" applyBorder="1"/>
    <xf numFmtId="0" fontId="20" fillId="25" borderId="0" xfId="0" applyFont="1" applyFill="1"/>
    <xf numFmtId="0" fontId="42" fillId="45" borderId="62" xfId="0" applyFont="1" applyFill="1" applyBorder="1">
      <alignment horizontal="left" vertical="center"/>
    </xf>
    <xf numFmtId="0" fontId="42" fillId="45" borderId="0" xfId="0" applyFont="1" applyFill="1">
      <alignment horizontal="left" vertical="center"/>
    </xf>
    <xf numFmtId="0" fontId="42" fillId="45" borderId="49" xfId="0" applyFont="1" applyFill="1" applyBorder="1">
      <alignment horizontal="left" vertical="center"/>
    </xf>
    <xf numFmtId="0" fontId="28" fillId="0" borderId="0" xfId="0" applyFont="1">
      <alignment horizontal="left" vertical="center"/>
    </xf>
    <xf numFmtId="0" fontId="28" fillId="0" borderId="0" xfId="0" applyFont="1">
      <alignment horizontal="center" vertical="center"/>
    </xf>
    <xf numFmtId="0" fontId="28" fillId="0" borderId="0" xfId="0" applyFont="1">
      <alignment vertical="center"/>
    </xf>
    <xf numFmtId="0" fontId="24" fillId="0" borderId="0" xfId="0" applyFont="1"/>
    <xf numFmtId="49" fontId="24" fillId="0" borderId="10" xfId="0" applyFont="1" applyBorder="1" applyNumberFormat="1">
      <alignment horizontal="center" vertical="center"/>
    </xf>
    <xf numFmtId="0" fontId="24" fillId="0" borderId="10" xfId="0" applyFont="1" applyBorder="1">
      <alignment vertical="center" wrapText="1"/>
    </xf>
    <xf numFmtId="0" fontId="24" fillId="0" borderId="10" xfId="0" applyFont="1" applyBorder="1">
      <alignment horizontal="center" vertical="center"/>
    </xf>
    <xf numFmtId="4" fontId="24" fillId="38" borderId="10" xfId="0" applyFont="1" applyFill="1" applyBorder="1" applyNumberFormat="1">
      <alignment horizontal="right" vertical="center"/>
    </xf>
    <xf numFmtId="174" fontId="20" fillId="33" borderId="17" xfId="0" applyFont="1" applyFill="1" applyBorder="1" applyNumberFormat="1">
      <alignment horizontal="left" vertical="center" wrapText="1"/>
    </xf>
    <xf numFmtId="0" fontId="20" fillId="0" borderId="10" xfId="0" applyFont="1" applyBorder="1">
      <alignment horizontal="left" vertical="center" wrapText="1" indent="1"/>
    </xf>
    <xf numFmtId="0" fontId="20" fillId="0" borderId="10" xfId="0" applyFont="1" applyBorder="1">
      <alignment horizontal="center" vertical="center"/>
    </xf>
    <xf numFmtId="4" fontId="20" fillId="38" borderId="10" xfId="0" applyFont="1" applyFill="1" applyBorder="1" applyNumberFormat="1">
      <alignment horizontal="right" vertical="center"/>
    </xf>
    <xf numFmtId="49" fontId="20" fillId="0" borderId="10" xfId="0" applyFont="1" applyBorder="1" applyNumberFormat="1">
      <alignment horizontal="center" vertical="center"/>
    </xf>
    <xf numFmtId="4" fontId="20" fillId="33" borderId="10" xfId="0" applyFont="1" applyFill="1" applyBorder="1" applyNumberFormat="1">
      <alignment horizontal="right" vertical="center"/>
    </xf>
    <xf numFmtId="0" fontId="20" fillId="0" borderId="10" xfId="0" applyFont="1" applyBorder="1">
      <alignment horizontal="left" vertical="center" wrapText="1" indent="2"/>
    </xf>
    <xf numFmtId="0" fontId="20" fillId="0" borderId="10" xfId="0" applyFont="1" applyBorder="1"/>
    <xf numFmtId="49" fontId="19" fillId="33" borderId="10" xfId="0" applyFont="1" applyFill="1" applyBorder="1" applyNumberFormat="1">
      <alignment horizontal="left" vertical="top" wrapText="1"/>
      <protection locked="0"/>
    </xf>
    <xf numFmtId="174" fontId="19" fillId="33" borderId="10" xfId="0" applyFont="1" applyFill="1" applyBorder="1" applyNumberFormat="1">
      <alignment horizontal="left" vertical="top" wrapText="1"/>
    </xf>
    <xf numFmtId="49" fontId="24" fillId="0" borderId="34" xfId="0" applyFont="1" applyBorder="1" applyNumberFormat="1">
      <alignment horizontal="left" vertical="center" wrapText="1" indent="1"/>
    </xf>
    <xf numFmtId="49" fontId="24" fillId="49" borderId="53" xfId="0" applyFont="1" applyFill="1" applyBorder="1" applyNumberFormat="1">
      <alignment horizontal="left" vertical="center" wrapText="1"/>
    </xf>
    <xf numFmtId="49" fontId="24" fillId="49" borderId="25" xfId="0" applyFont="1" applyFill="1" applyBorder="1" applyNumberFormat="1">
      <alignment horizontal="left" vertical="center" wrapText="1"/>
    </xf>
    <xf numFmtId="0" fontId="19" fillId="0" borderId="15" xfId="0" applyFont="1" applyBorder="1">
      <alignment horizontal="center" vertical="center" wrapText="1"/>
    </xf>
    <xf numFmtId="0" fontId="19" fillId="0" borderId="53" xfId="0" applyFont="1" applyBorder="1">
      <alignment horizontal="center" vertical="center" wrapText="1"/>
    </xf>
    <xf numFmtId="0" fontId="19" fillId="0" borderId="25" xfId="0" applyFont="1" applyBorder="1">
      <alignment horizontal="center" vertical="center" wrapText="1"/>
    </xf>
    <xf numFmtId="0" fontId="19" fillId="0" borderId="17" xfId="0" applyFont="1" applyBorder="1">
      <alignment horizontal="center" vertical="center" wrapText="1"/>
    </xf>
    <xf numFmtId="0" fontId="19" fillId="0" borderId="53" xfId="0" applyFont="1" applyBorder="1">
      <alignment horizontal="center" vertical="center" wrapText="1"/>
    </xf>
    <xf numFmtId="0" fontId="19" fillId="0" borderId="25" xfId="0" applyFont="1" applyBorder="1">
      <alignment horizontal="center" vertical="center" wrapText="1"/>
    </xf>
    <xf numFmtId="4" fontId="24" fillId="33" borderId="17" xfId="165" applyFont="1" applyFill="1" applyBorder="1" applyNumberFormat="1">
      <alignment horizontal="right" vertical="center"/>
      <protection locked="0"/>
    </xf>
    <xf numFmtId="172" fontId="20" fillId="33" borderId="17" xfId="166" applyFont="1" applyFill="1" applyBorder="1" applyNumberFormat="1">
      <alignment horizontal="right" vertical="center"/>
      <protection locked="0"/>
    </xf>
    <xf numFmtId="0" fontId="19" fillId="33" borderId="10" xfId="0" applyFont="1" applyFill="1" applyBorder="1">
      <alignment horizontal="left" vertical="center" wrapText="1"/>
    </xf>
    <xf numFmtId="0" fontId="20" fillId="42" borderId="12" xfId="0" applyFont="1" applyFill="1" applyBorder="1">
      <alignment vertical="center" wrapText="1"/>
    </xf>
    <xf numFmtId="4" fontId="20" fillId="33" borderId="32" xfId="167" applyFont="1" applyFill="1" applyBorder="1" applyNumberFormat="1">
      <alignment horizontal="right" vertical="center"/>
      <protection locked="0"/>
    </xf>
    <xf numFmtId="2" fontId="20" fillId="33" borderId="32" xfId="168" applyFont="1" applyFill="1" applyBorder="1" applyNumberFormat="1">
      <alignment horizontal="right" vertical="center"/>
      <protection locked="0"/>
    </xf>
    <xf numFmtId="4" fontId="20" fillId="33" borderId="33" xfId="169" applyFont="1" applyFill="1" applyBorder="1" applyNumberFormat="1">
      <alignment horizontal="right" vertical="center"/>
      <protection locked="0"/>
    </xf>
    <xf numFmtId="4" fontId="20" fillId="33" borderId="27" xfId="170" applyFont="1" applyFill="1" applyBorder="1" applyNumberFormat="1">
      <alignment horizontal="right" vertical="center"/>
      <protection locked="0"/>
    </xf>
    <xf numFmtId="49" fontId="19" fillId="33" borderId="85" xfId="0" applyFont="1" applyFill="1" applyBorder="1" applyNumberFormat="1">
      <alignment horizontal="left" vertical="center" wrapText="1"/>
    </xf>
    <xf numFmtId="49" fontId="19" fillId="33" borderId="67" xfId="0" applyFont="1" applyFill="1" applyBorder="1" applyNumberFormat="1">
      <alignment horizontal="left" vertical="center" wrapText="1"/>
    </xf>
  </cellXfs>
  <cellStyles count="171">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28" xfId="47"/>
    <cellStyle name="s29" xfId="48"/>
    <cellStyle name="s30" xfId="49"/>
    <cellStyle name="s31" xfId="50"/>
    <cellStyle name="s32" xfId="51"/>
    <cellStyle name="s35" xfId="52"/>
    <cellStyle name="s36" xfId="53"/>
    <cellStyle name="s1" xfId="54"/>
    <cellStyle name="s2" xfId="55"/>
    <cellStyle name="s3" xfId="56"/>
    <cellStyle name="s4" xfId="57"/>
    <cellStyle name="s5" xfId="58"/>
    <cellStyle name="s6" xfId="59"/>
    <cellStyle name="s7" xfId="60"/>
    <cellStyle name="s8" xfId="61"/>
    <cellStyle name="s9" xfId="62"/>
    <cellStyle name="s10" xfId="63"/>
    <cellStyle name="s11" xfId="64"/>
    <cellStyle name="s12" xfId="65"/>
    <cellStyle name="s13" xfId="66"/>
    <cellStyle name="s14" xfId="67"/>
    <cellStyle name="s15" xfId="68"/>
    <cellStyle name="s16" xfId="69"/>
    <cellStyle name="s17" xfId="70"/>
    <cellStyle name="s18" xfId="71"/>
    <cellStyle name="s19" xfId="72"/>
    <cellStyle name="s20" xfId="73"/>
    <cellStyle name="s21" xfId="74"/>
    <cellStyle name="s22" xfId="75"/>
    <cellStyle name="s23" xfId="76"/>
    <cellStyle name="s24" xfId="77"/>
    <cellStyle name="s25" xfId="78"/>
    <cellStyle name="s26" xfId="79"/>
    <cellStyle name="s27" xfId="80"/>
    <cellStyle name="s33" xfId="81"/>
    <cellStyle name="s34"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 name="s96" xfId="142"/>
    <cellStyle name="s97" xfId="143"/>
    <cellStyle name="s98" xfId="144"/>
    <cellStyle name="s99" xfId="145"/>
    <cellStyle name="s100" xfId="146"/>
    <cellStyle name="s101" xfId="147"/>
    <cellStyle name="s102" xfId="148"/>
    <cellStyle name="s103" xfId="149"/>
    <cellStyle name="s104" xfId="150"/>
    <cellStyle name="s105" xfId="151"/>
    <cellStyle name="s106" xfId="152"/>
    <cellStyle name="s107" xfId="153"/>
    <cellStyle name="s108" xfId="154"/>
    <cellStyle name="s109" xfId="155"/>
    <cellStyle name="s110" xfId="156"/>
    <cellStyle name="s111" xfId="157"/>
    <cellStyle name="s112" xfId="158"/>
    <cellStyle name="s113" xfId="159"/>
    <cellStyle name="s114" xfId="160"/>
    <cellStyle name="s115" xfId="161"/>
    <cellStyle name="s116" xfId="162"/>
    <cellStyle name="s117" xfId="163"/>
    <cellStyle name="s118" xfId="164"/>
    <cellStyle name="s119" xfId="165"/>
    <cellStyle name="s120" xfId="166"/>
    <cellStyle name="s121" xfId="167"/>
    <cellStyle name="s122" xfId="168"/>
    <cellStyle name="s123" xfId="169"/>
    <cellStyle name="s124" xfId="170"/>
  </cellStyles>
  <dxfs count="8">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sharedStrings" Target="sharedStrings.xml"/><Relationship Id="rId47" Type="http://schemas.openxmlformats.org/officeDocument/2006/relationships/theme" Target="theme/theme1.xml"/><Relationship Id="rId48"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portal.eias.ru/Portal/DownloadPage.aspx?type=12&amp;guid=4c962a83-8b92-4503-9ba5-a0180547bc71" TargetMode="External"/><Relationship Id="rId4" Type="http://schemas.openxmlformats.org/officeDocument/2006/relationships/hyperlink" Target="mailto:seu@kkinvest.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259328-A742-7512-78B6-5DB537304B08}" mc:Ignorable="x14ac xr xr2 xr3">
  <sheetPr>
    <tabColor theme="0" tint="-0.05"/>
  </sheetPr>
  <dimension ref="A1:AA17"/>
  <sheetViews>
    <sheetView topLeftCell="A4" showGridLines="0" showRowColHeaders="0" workbookViewId="0">
      <selection activeCell="A1" sqref="A1"/>
    </sheetView>
  </sheetViews>
  <sheetFormatPr defaultColWidth="10.421875" customHeight="1" defaultRowHeight="12.600000000000001"/>
  <cols>
    <col min="1" max="1" style="1101" width="5.140625" customWidth="1"/>
    <col min="2" max="2" style="1548" width="8.57421875" customWidth="1"/>
    <col min="3" max="3" style="183" width="15.57421875" customWidth="1"/>
    <col min="4" max="4" style="1036" width="6.00390625" customWidth="1"/>
    <col min="5" max="5" style="1018" width="6.00390625" customWidth="1"/>
    <col min="6" max="25" style="1036" width="6.00390625" customWidth="1"/>
    <col min="26" max="27" style="183" width="10.421875"/>
  </cols>
  <sheetData>
    <row customHeight="1" ht="15.75">
      <c r="A1" s="1095"/>
      <c r="B1" s="795"/>
      <c r="C1" s="1089"/>
      <c r="D1" s="1090"/>
      <c r="E1" s="1091"/>
      <c r="F1" s="1090"/>
      <c r="G1" s="1090"/>
      <c r="H1" s="1090"/>
      <c r="I1" s="1090"/>
      <c r="J1" s="1090"/>
      <c r="K1" s="1090"/>
      <c r="L1" s="1090"/>
      <c r="M1" s="1090"/>
      <c r="N1" s="1090"/>
      <c r="O1" s="1090"/>
      <c r="P1" s="1090"/>
      <c r="Q1" s="1090"/>
      <c r="R1" s="1090"/>
      <c r="S1" s="1090"/>
      <c r="T1" s="1090"/>
      <c r="U1" s="1090"/>
      <c r="V1" s="1090"/>
      <c r="W1" s="1090"/>
      <c r="X1" s="1090"/>
      <c r="Y1" s="1092"/>
      <c r="Z1" s="1089"/>
      <c r="AA1" s="1093" t="s">
        <v>0</v>
      </c>
    </row>
    <row s="1548" customFormat="1" customHeight="1" ht="17.25">
      <c r="A2" s="1096"/>
      <c r="B2" s="1523" t="s">
        <v>1</v>
      </c>
      <c r="C2" s="1523"/>
      <c r="D2" s="1523"/>
      <c r="E2" s="1523"/>
      <c r="F2" s="1523"/>
      <c r="G2" s="1523"/>
      <c r="H2" s="1523"/>
      <c r="I2" s="1523"/>
      <c r="J2" s="1523"/>
      <c r="K2" s="1523"/>
      <c r="L2" s="1523"/>
      <c r="M2" s="1523"/>
      <c r="N2" s="1523"/>
      <c r="O2" s="1523"/>
      <c r="P2" s="1523"/>
      <c r="Q2" s="1046"/>
      <c r="R2" s="1046"/>
      <c r="S2" s="1046"/>
      <c r="T2" s="1046"/>
      <c r="U2" s="1046"/>
      <c r="V2" s="1047"/>
      <c r="W2" s="1046"/>
      <c r="X2" s="1046"/>
      <c r="Y2" s="1015"/>
      <c r="Z2" s="171"/>
      <c r="AA2" s="171"/>
    </row>
    <row customHeight="1" ht="15.75">
      <c r="A3" s="1097"/>
      <c r="B3" s="1523" t="s">
        <v>2</v>
      </c>
      <c r="C3" s="1523"/>
      <c r="D3" s="1523"/>
      <c r="E3" s="1523"/>
      <c r="F3" s="1523"/>
      <c r="G3" s="1523"/>
      <c r="H3" s="1523"/>
      <c r="I3" s="1523"/>
      <c r="J3" s="1523"/>
      <c r="K3" s="1523"/>
      <c r="L3" s="1523"/>
      <c r="M3" s="1523"/>
      <c r="N3" s="1523"/>
      <c r="O3" s="1523"/>
      <c r="P3" s="1523"/>
      <c r="Q3" s="1048"/>
      <c r="R3" s="1048"/>
      <c r="S3" s="1049"/>
      <c r="T3" s="1049"/>
      <c r="U3" s="1049"/>
      <c r="V3" s="1048"/>
      <c r="W3" s="1048"/>
      <c r="X3" s="1048"/>
      <c r="Y3" s="1048"/>
      <c r="Z3" s="172"/>
      <c r="AA3" s="173"/>
    </row>
    <row customHeight="1" ht="16.5">
      <c r="A4" s="1097"/>
      <c r="B4" s="176"/>
      <c r="C4" s="172"/>
      <c r="D4" s="1048"/>
      <c r="E4" s="1050"/>
      <c r="F4" s="1048"/>
      <c r="G4" s="1048"/>
      <c r="H4" s="1048"/>
      <c r="I4" s="1048"/>
      <c r="J4" s="1048"/>
      <c r="K4" s="1048"/>
      <c r="L4" s="1048"/>
      <c r="M4" s="1048"/>
      <c r="N4" s="1048"/>
      <c r="O4" s="1048"/>
      <c r="P4" s="1048"/>
      <c r="Q4" s="1048"/>
      <c r="R4" s="1048"/>
      <c r="S4" s="1048"/>
      <c r="T4" s="1048"/>
      <c r="U4" s="1048"/>
      <c r="V4" s="1048"/>
      <c r="W4" s="1048"/>
      <c r="X4" s="1048"/>
      <c r="Y4" s="1048"/>
      <c r="Z4" s="172"/>
      <c r="AA4" s="173"/>
    </row>
    <row s="1018" customFormat="1" customHeight="1" ht="22.5">
      <c r="A5" s="1098"/>
      <c r="B5" s="1524"/>
      <c r="C5" s="1525"/>
      <c r="D5" s="1525"/>
      <c r="E5" s="1525"/>
      <c r="F5" s="1525"/>
      <c r="G5" s="1525"/>
      <c r="H5" s="1525"/>
      <c r="I5" s="1525"/>
      <c r="J5" s="1525"/>
      <c r="K5" s="1525"/>
      <c r="L5" s="1525"/>
      <c r="M5" s="1525"/>
      <c r="N5" s="1525"/>
      <c r="O5" s="1525"/>
      <c r="P5" s="1525"/>
      <c r="Q5" s="1525"/>
      <c r="R5" s="1525"/>
      <c r="S5" s="1525"/>
      <c r="T5" s="1525"/>
      <c r="U5" s="1525"/>
      <c r="V5" s="1525"/>
      <c r="W5" s="1525"/>
      <c r="X5" s="1525"/>
      <c r="Y5" s="1525"/>
      <c r="Z5" s="1016"/>
      <c r="AA5" s="1017"/>
    </row>
    <row customHeight="1" ht="13.5">
      <c r="A6" s="1099"/>
      <c r="B6" s="1515" t="s">
        <v>3</v>
      </c>
      <c r="C6" s="1516"/>
      <c r="D6" s="1019"/>
      <c r="E6" s="1020"/>
      <c r="F6" s="1021"/>
      <c r="G6" s="1021"/>
      <c r="H6" s="1021"/>
      <c r="I6" s="1021"/>
      <c r="J6" s="1021"/>
      <c r="K6" s="1021"/>
      <c r="L6" s="1021"/>
      <c r="M6" s="1021"/>
      <c r="N6" s="1021"/>
      <c r="O6" s="1021"/>
      <c r="P6" s="1021"/>
      <c r="Q6" s="1021"/>
      <c r="R6" s="1021"/>
      <c r="S6" s="1021"/>
      <c r="T6" s="1021"/>
      <c r="U6" s="1021"/>
      <c r="V6" s="1021"/>
      <c r="W6" s="1021"/>
      <c r="X6" s="1021"/>
      <c r="Y6" s="1022"/>
      <c r="Z6" s="1023"/>
      <c r="AA6" s="1024"/>
    </row>
    <row customHeight="1" ht="13.5">
      <c r="A7" s="1099"/>
      <c r="B7" s="1517"/>
      <c r="C7" s="1518"/>
      <c r="D7" s="1025"/>
      <c r="E7" s="1026"/>
      <c r="F7" s="1027"/>
      <c r="G7" s="1027"/>
      <c r="H7" s="1027"/>
      <c r="I7" s="1027"/>
      <c r="J7" s="1027"/>
      <c r="K7" s="1027"/>
      <c r="L7" s="1027"/>
      <c r="M7" s="1027"/>
      <c r="N7" s="1027"/>
      <c r="O7" s="1028"/>
      <c r="P7" s="1027"/>
      <c r="Q7" s="1027"/>
      <c r="R7" s="1027"/>
      <c r="S7" s="1027"/>
      <c r="T7" s="1027"/>
      <c r="U7" s="1027"/>
      <c r="V7" s="1027"/>
      <c r="W7" s="1027"/>
      <c r="X7" s="1027"/>
      <c r="Y7" s="1029"/>
      <c r="Z7" s="1023"/>
      <c r="AA7" s="1024"/>
    </row>
    <row customHeight="1" ht="13.5">
      <c r="A8" s="1099"/>
      <c r="B8" s="1517"/>
      <c r="C8" s="1518"/>
      <c r="D8" s="1030"/>
      <c r="E8" s="1031" t="s">
        <v>4</v>
      </c>
      <c r="F8" s="1526" t="s">
        <v>5</v>
      </c>
      <c r="G8" s="1522"/>
      <c r="H8" s="1522"/>
      <c r="I8" s="1522"/>
      <c r="J8" s="1522"/>
      <c r="K8" s="1522"/>
      <c r="L8" s="1522"/>
      <c r="M8" s="1522"/>
      <c r="N8" s="1032"/>
      <c r="O8" s="1033" t="s">
        <v>4</v>
      </c>
      <c r="P8" s="1527" t="s">
        <v>6</v>
      </c>
      <c r="Q8" s="1528"/>
      <c r="R8" s="1528"/>
      <c r="S8" s="1528"/>
      <c r="T8" s="1528"/>
      <c r="U8" s="1528"/>
      <c r="V8" s="1528"/>
      <c r="W8" s="1528"/>
      <c r="X8" s="1528"/>
      <c r="Y8" s="1029"/>
      <c r="Z8" s="1023"/>
      <c r="AA8" s="1024"/>
    </row>
    <row customHeight="1" ht="13.5">
      <c r="A9" s="1099"/>
      <c r="B9" s="1517"/>
      <c r="C9" s="1518"/>
      <c r="D9" s="1030"/>
      <c r="E9" s="1034" t="s">
        <v>4</v>
      </c>
      <c r="F9" s="1526" t="s">
        <v>7</v>
      </c>
      <c r="G9" s="1522"/>
      <c r="H9" s="1522"/>
      <c r="I9" s="1522"/>
      <c r="J9" s="1522"/>
      <c r="K9" s="1522"/>
      <c r="L9" s="1522"/>
      <c r="M9" s="1522"/>
      <c r="N9" s="1032"/>
      <c r="O9" s="1035" t="s">
        <v>4</v>
      </c>
      <c r="P9" s="1527" t="s">
        <v>8</v>
      </c>
      <c r="Q9" s="1528"/>
      <c r="R9" s="1528"/>
      <c r="S9" s="1528"/>
      <c r="T9" s="1528"/>
      <c r="U9" s="1528"/>
      <c r="V9" s="1528"/>
      <c r="W9" s="1528"/>
      <c r="X9" s="1528"/>
      <c r="Y9" s="1029"/>
      <c r="Z9" s="1023"/>
      <c r="AA9" s="1024"/>
    </row>
    <row customHeight="1" ht="13.5">
      <c r="A10" s="1100"/>
      <c r="B10" s="1517"/>
      <c r="C10" s="1518"/>
      <c r="D10" s="1025"/>
      <c r="E10" s="1037" t="s">
        <v>4</v>
      </c>
      <c r="F10" s="1527" t="s">
        <v>9</v>
      </c>
      <c r="G10" s="1529"/>
      <c r="H10" s="1529"/>
      <c r="I10" s="1529"/>
      <c r="J10" s="1529"/>
      <c r="K10" s="1529"/>
      <c r="L10" s="1529"/>
      <c r="M10" s="1529"/>
      <c r="N10" s="1529"/>
      <c r="O10" s="1039" t="s">
        <v>4</v>
      </c>
      <c r="P10" s="1527" t="s">
        <v>10</v>
      </c>
      <c r="Q10" s="1529"/>
      <c r="R10" s="1529"/>
      <c r="S10" s="1529"/>
      <c r="T10" s="1529"/>
      <c r="U10" s="1529"/>
      <c r="V10" s="1529"/>
      <c r="W10" s="1529"/>
      <c r="X10" s="1529"/>
      <c r="Y10" s="1038"/>
      <c r="Z10" s="1023"/>
      <c r="AA10" s="1038"/>
    </row>
    <row customHeight="1" ht="30">
      <c r="A11" s="1099"/>
      <c r="B11" s="1517"/>
      <c r="C11" s="1518"/>
      <c r="D11" s="1025"/>
      <c r="E11" s="1020"/>
      <c r="F11" s="1027"/>
      <c r="G11" s="1027"/>
      <c r="H11" s="1027"/>
      <c r="I11" s="1027"/>
      <c r="J11" s="1027"/>
      <c r="K11" s="1027"/>
      <c r="L11" s="1027"/>
      <c r="M11" s="1027"/>
      <c r="N11" s="1027"/>
      <c r="O11" s="1021"/>
      <c r="P11" s="1027"/>
      <c r="Q11" s="1027"/>
      <c r="R11" s="1027"/>
      <c r="S11" s="1027"/>
      <c r="T11" s="1027"/>
      <c r="U11" s="1027"/>
      <c r="V11" s="1027"/>
      <c r="W11" s="1027"/>
      <c r="X11" s="1027"/>
      <c r="Y11" s="1029"/>
      <c r="Z11" s="1023"/>
      <c r="AA11" s="1024"/>
    </row>
    <row customHeight="1" ht="19.5">
      <c r="A12" s="1099"/>
      <c r="B12" s="1515" t="s">
        <v>11</v>
      </c>
      <c r="C12" s="1516"/>
      <c r="D12" s="1030"/>
      <c r="E12" s="1018"/>
      <c r="F12" s="1040"/>
      <c r="G12" s="1040"/>
      <c r="H12" s="1040"/>
      <c r="I12" s="1040"/>
      <c r="J12" s="1040"/>
      <c r="K12" s="1040"/>
      <c r="L12" s="1040"/>
      <c r="M12" s="1040"/>
      <c r="N12" s="1040"/>
      <c r="O12" s="1040"/>
      <c r="P12" s="1040"/>
      <c r="Q12" s="1040"/>
      <c r="R12" s="1040"/>
      <c r="S12" s="1040"/>
      <c r="T12" s="1040"/>
      <c r="U12" s="1040"/>
      <c r="V12" s="1040"/>
      <c r="W12" s="1040"/>
      <c r="X12" s="1040"/>
      <c r="Y12" s="1029"/>
      <c r="Z12" s="1023"/>
      <c r="AA12" s="1024"/>
    </row>
    <row customHeight="1" ht="37.5">
      <c r="A13" s="1100"/>
      <c r="B13" s="1517"/>
      <c r="C13" s="1518"/>
      <c r="D13" s="1030"/>
      <c r="E13" s="1522" t="s">
        <v>12</v>
      </c>
      <c r="F13" s="1522"/>
      <c r="G13" s="1522"/>
      <c r="H13" s="1522"/>
      <c r="I13" s="1522"/>
      <c r="J13" s="1522"/>
      <c r="K13" s="1522"/>
      <c r="L13" s="1522"/>
      <c r="M13" s="1522"/>
      <c r="N13" s="1522"/>
      <c r="O13" s="1522"/>
      <c r="P13" s="1522"/>
      <c r="Q13" s="1522"/>
      <c r="R13" s="1522"/>
      <c r="S13" s="1522"/>
      <c r="T13" s="1522"/>
      <c r="U13" s="1522"/>
      <c r="V13" s="1522"/>
      <c r="W13" s="1522"/>
      <c r="X13" s="1522"/>
      <c r="Y13" s="1029"/>
      <c r="Z13" s="1023"/>
      <c r="AA13" s="1036"/>
    </row>
    <row customHeight="1" ht="37.5">
      <c r="A14" s="1099"/>
      <c r="B14" s="1517"/>
      <c r="C14" s="1518"/>
      <c r="D14" s="1030"/>
      <c r="E14" s="1530" t="s">
        <v>13</v>
      </c>
      <c r="F14" s="1522"/>
      <c r="G14" s="1522"/>
      <c r="H14" s="1522"/>
      <c r="I14" s="1522"/>
      <c r="J14" s="1522"/>
      <c r="K14" s="1522"/>
      <c r="L14" s="1522"/>
      <c r="M14" s="1522"/>
      <c r="N14" s="1522"/>
      <c r="O14" s="1522"/>
      <c r="P14" s="1522"/>
      <c r="Q14" s="1522"/>
      <c r="R14" s="1522"/>
      <c r="S14" s="1522"/>
      <c r="T14" s="1522"/>
      <c r="U14" s="1522"/>
      <c r="V14" s="1522"/>
      <c r="W14" s="1522"/>
      <c r="X14" s="1522"/>
      <c r="Y14" s="1029"/>
      <c r="Z14" s="1023"/>
      <c r="AA14" s="1024"/>
    </row>
    <row customHeight="1" ht="13.5">
      <c r="A15" s="1099"/>
      <c r="B15" s="1515" t="s">
        <v>14</v>
      </c>
      <c r="C15" s="1516"/>
      <c r="D15" s="1025"/>
      <c r="E15" s="1018"/>
      <c r="F15" s="1040"/>
      <c r="G15" s="1040"/>
      <c r="H15" s="1040"/>
      <c r="I15" s="1040"/>
      <c r="J15" s="1040"/>
      <c r="K15" s="1040"/>
      <c r="L15" s="1040"/>
      <c r="M15" s="1040"/>
      <c r="N15" s="1040"/>
      <c r="O15" s="1040"/>
      <c r="P15" s="1040"/>
      <c r="Q15" s="1040"/>
      <c r="R15" s="1040"/>
      <c r="S15" s="1040"/>
      <c r="T15" s="1040"/>
      <c r="U15" s="1040"/>
      <c r="V15" s="1040"/>
      <c r="W15" s="1040"/>
      <c r="X15" s="1040"/>
      <c r="Y15" s="1029"/>
      <c r="Z15" s="1023"/>
      <c r="AA15" s="1024"/>
    </row>
    <row customHeight="1" ht="65.25">
      <c r="A16" s="1099"/>
      <c r="B16" s="1517"/>
      <c r="C16" s="1518"/>
      <c r="D16" s="1030"/>
      <c r="E16" s="1521" t="s">
        <v>15</v>
      </c>
      <c r="F16" s="1521"/>
      <c r="G16" s="1521"/>
      <c r="H16" s="1521"/>
      <c r="I16" s="1521"/>
      <c r="J16" s="1521"/>
      <c r="K16" s="1521"/>
      <c r="L16" s="1521"/>
      <c r="M16" s="1521"/>
      <c r="N16" s="1521"/>
      <c r="O16" s="1521"/>
      <c r="P16" s="1521"/>
      <c r="Q16" s="1521"/>
      <c r="R16" s="1521"/>
      <c r="S16" s="1521"/>
      <c r="T16" s="1521"/>
      <c r="U16" s="1521"/>
      <c r="V16" s="1521"/>
      <c r="W16" s="1521"/>
      <c r="X16" s="1521"/>
      <c r="Y16" s="1029"/>
      <c r="Z16" s="1023"/>
      <c r="AA16" s="1024"/>
    </row>
    <row customHeight="1" ht="16.5">
      <c r="A17" s="1099"/>
      <c r="B17" s="1519"/>
      <c r="C17" s="1520"/>
      <c r="D17" s="1041"/>
      <c r="E17" s="1042"/>
      <c r="F17" s="1043"/>
      <c r="G17" s="1043"/>
      <c r="H17" s="1043"/>
      <c r="I17" s="1043"/>
      <c r="J17" s="1043"/>
      <c r="K17" s="1043"/>
      <c r="L17" s="1043"/>
      <c r="M17" s="1043"/>
      <c r="N17" s="1043"/>
      <c r="O17" s="1043"/>
      <c r="P17" s="1043"/>
      <c r="Q17" s="1043"/>
      <c r="R17" s="1043"/>
      <c r="S17" s="1043"/>
      <c r="T17" s="1043"/>
      <c r="U17" s="1043"/>
      <c r="V17" s="1043"/>
      <c r="W17" s="1043"/>
      <c r="X17" s="1043"/>
      <c r="Y17" s="1044"/>
      <c r="Z17" s="1023"/>
      <c r="AA17" s="1045"/>
    </row>
  </sheetData>
  <sheetProtection insertRows="0" deleteColumns="0" deleteRows="0" sort="0" autoFilter="0" insertColumns="1"/>
  <mergeCells count="15">
    <mergeCell ref="B15:C17"/>
    <mergeCell ref="E16:X16"/>
    <mergeCell ref="E13:X13"/>
    <mergeCell ref="B2:P2"/>
    <mergeCell ref="B3:P3"/>
    <mergeCell ref="B5:Y5"/>
    <mergeCell ref="B6:C11"/>
    <mergeCell ref="F8:M8"/>
    <mergeCell ref="P8:X8"/>
    <mergeCell ref="P10:X10"/>
    <mergeCell ref="F10:N10"/>
    <mergeCell ref="F9:M9"/>
    <mergeCell ref="P9:X9"/>
    <mergeCell ref="B12:C14"/>
    <mergeCell ref="E14:X14"/>
  </mergeCells>
  <hyperlinks>
    <hyperlink ref="E14:X14" r:id="rId1" tooltip="Перейти на портал поддержки" xr:uid="{8278BABE-13B8-B3FC-F10E-576DD5C6B75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EB7A83-1A08-8A88-5053-43A79256AD98}" mc:Ignorable="x14ac xr xr2 xr3">
  <sheetPr>
    <tabColor theme="0" tint="-0.05"/>
  </sheetPr>
  <dimension ref="A1:AG55"/>
  <sheetViews>
    <sheetView topLeftCell="AA21" showGridLines="0" workbookViewId="0">
      <selection activeCell="AA21" sqref="AA21"/>
    </sheetView>
  </sheetViews>
  <sheetFormatPr defaultColWidth="9.140625" customHeight="1" defaultRowHeight="12.75"/>
  <cols>
    <col min="1" max="1" style="371" width="3.57421875" hidden="1" customWidth="1"/>
    <col min="2" max="2" style="1548" width="8.140625" hidden="1" customWidth="1"/>
    <col min="3" max="4" style="1548" width="3.57421875" hidden="1" customWidth="1"/>
    <col min="5" max="5" style="1718" width="3.8515625" hidden="1" customWidth="1"/>
    <col min="6" max="26" style="1548" width="3.57421875" hidden="1" customWidth="1"/>
    <col min="27" max="27" style="183" width="3.00390625" customWidth="1"/>
    <col min="28" max="28" style="183" width="11.00390625" customWidth="1"/>
    <col min="29" max="29" style="183" width="32.00390625" customWidth="1"/>
    <col min="30" max="30" style="183" width="116.00390625" customWidth="1"/>
    <col min="31" max="31" style="183" width="3.00390625" customWidth="1"/>
    <col min="32" max="32" style="969" width="9.140625" hidden="1"/>
    <col min="33" max="33" style="1659" width="18.7109375" hidden="1" customWidth="1"/>
  </cols>
  <sheetData>
    <row s="1548" customFormat="1" customHeight="1" ht="11.25" hidden="1">
      <c r="A1" s="371"/>
    </row>
    <row s="1548" customFormat="1" customHeight="1" ht="11.25" hidden="1">
      <c r="A2" s="371"/>
      <c r="B2" s="179" t="s">
        <v>16</v>
      </c>
    </row>
    <row s="1548" customFormat="1" customHeight="1" ht="11.25" hidden="1">
      <c r="A3" s="371"/>
    </row>
    <row s="1548" customFormat="1" customHeight="1" ht="11.25" hidden="1">
      <c r="A4" s="371"/>
    </row>
    <row s="1718" customFormat="1" customHeight="1" ht="11.25" hidden="1">
      <c r="A5" s="371"/>
      <c r="B5" s="175"/>
      <c r="C5" s="175"/>
      <c r="D5" s="175"/>
      <c r="E5" s="180" t="s">
        <v>17</v>
      </c>
      <c r="AA5" s="180">
        <v>3</v>
      </c>
      <c r="AB5" s="180">
        <v>11</v>
      </c>
      <c r="AC5" s="180">
        <v>32</v>
      </c>
      <c r="AD5" s="180">
        <v>116</v>
      </c>
      <c r="AE5" s="180">
        <v>3</v>
      </c>
    </row>
    <row s="1548" customFormat="1" customHeight="1" ht="11.25" hidden="1">
      <c r="A6" s="371"/>
      <c r="E6" s="180"/>
    </row>
    <row s="1659" customFormat="1" customHeight="1" ht="11.25" hidden="1">
      <c r="A7" s="371"/>
      <c r="B7" s="175"/>
      <c r="C7" s="175"/>
      <c r="D7" s="175"/>
      <c r="E7" s="180"/>
    </row>
    <row s="1659" customFormat="1" customHeight="1" ht="11.25" hidden="1">
      <c r="A8" s="371"/>
      <c r="B8" s="175"/>
      <c r="C8" s="175"/>
      <c r="D8" s="175"/>
      <c r="E8" s="180"/>
    </row>
    <row s="1548" customFormat="1" customHeight="1" ht="11.25" hidden="1">
      <c r="A9" s="371"/>
      <c r="E9" s="180"/>
    </row>
    <row s="1548" customFormat="1" customHeight="1" ht="11.25" hidden="1">
      <c r="A10" s="371"/>
      <c r="E10" s="180"/>
    </row>
    <row s="1548" customFormat="1" customHeight="1" ht="11.25" hidden="1">
      <c r="A11" s="371"/>
      <c r="E11" s="180"/>
    </row>
    <row s="1548" customFormat="1" customHeight="1" ht="11.25" hidden="1">
      <c r="A12" s="371"/>
      <c r="E12" s="180"/>
    </row>
    <row s="1548" customFormat="1" customHeight="1" ht="11.25" hidden="1">
      <c r="A13" s="371"/>
      <c r="E13" s="180"/>
    </row>
    <row s="1548" customFormat="1" customHeight="1" ht="11.25" hidden="1">
      <c r="A14" s="371"/>
      <c r="E14" s="180"/>
    </row>
    <row s="1548" customFormat="1" customHeight="1" ht="11.25" hidden="1">
      <c r="A15" s="371"/>
      <c r="E15" s="180"/>
    </row>
    <row s="1548" customFormat="1" customHeight="1" ht="11.25" hidden="1">
      <c r="A16" s="371"/>
      <c r="E16" s="180"/>
    </row>
    <row s="1548" customFormat="1" customHeight="1" ht="11.25" hidden="1">
      <c r="A17" s="371"/>
      <c r="E17" s="180"/>
    </row>
    <row s="1548" customFormat="1" customHeight="1" ht="11.25" hidden="1">
      <c r="A18" s="371"/>
      <c r="E18" s="180"/>
    </row>
    <row s="1548" customFormat="1" customHeight="1" ht="11.25" hidden="1">
      <c r="A19" s="371"/>
      <c r="E19" s="180"/>
    </row>
    <row s="1548" customFormat="1" customHeight="1" ht="11.25" hidden="1">
      <c r="A20" s="371"/>
      <c r="E20" s="180"/>
    </row>
    <row s="969" customFormat="1" customHeight="1" ht="12.675000000000002">
      <c r="A21" s="371"/>
      <c r="B21" s="175"/>
      <c r="C21" s="175"/>
      <c r="D21" s="175"/>
      <c r="E21" s="180">
        <v>13</v>
      </c>
      <c r="F21" s="175"/>
      <c r="G21" s="175"/>
      <c r="H21" s="175"/>
      <c r="I21" s="175"/>
      <c r="J21" s="175"/>
      <c r="K21" s="175"/>
      <c r="L21" s="175"/>
      <c r="M21" s="175"/>
      <c r="N21" s="175"/>
      <c r="O21" s="175"/>
      <c r="P21" s="175"/>
      <c r="Q21" s="175"/>
      <c r="R21" s="175"/>
      <c r="S21" s="175"/>
      <c r="T21" s="175"/>
      <c r="U21" s="175"/>
      <c r="V21" s="175"/>
      <c r="W21" s="175"/>
      <c r="X21" s="175"/>
      <c r="Y21" s="175"/>
      <c r="Z21" s="175"/>
      <c r="AA21" s="182"/>
      <c r="AB21" s="183"/>
      <c r="AC21" s="183"/>
      <c r="AD21" s="183"/>
      <c r="AE21" s="183"/>
      <c r="AG21" s="193"/>
    </row>
    <row customHeight="1" ht="24.375">
      <c r="E22" s="180">
        <v>25</v>
      </c>
      <c r="AB22" s="184" t="s">
        <v>18</v>
      </c>
      <c r="AC22" s="185"/>
      <c r="AD22" s="185"/>
      <c r="AE22" s="177"/>
    </row>
    <row customHeight="1" ht="15.600000000000001">
      <c r="E23" s="180">
        <v>16</v>
      </c>
      <c r="AB23" s="186" t="s">
        <v>19</v>
      </c>
      <c r="AC23" s="177"/>
      <c r="AD23" s="177"/>
      <c r="AE23" s="177"/>
    </row>
    <row customHeight="1" ht="34.125">
      <c r="B24" s="192" t="b">
        <v>1</v>
      </c>
      <c r="E24" s="180">
        <v>35</v>
      </c>
      <c r="H24" s="175">
        <v>2</v>
      </c>
      <c r="AB24" s="187" t="s">
        <v>20</v>
      </c>
      <c r="AC24" s="188" t="s">
        <v>21</v>
      </c>
      <c r="AD24" s="189" t="s">
        <v>22</v>
      </c>
      <c r="AE24" s="177"/>
    </row>
    <row customHeight="1" ht="37.05">
      <c r="B25" s="192" t="b">
        <v>1</v>
      </c>
      <c r="E25" s="180">
        <v>38</v>
      </c>
      <c r="H25" s="175">
        <f>IF(B24,H24+1,H24)</f>
        <v>3</v>
      </c>
      <c r="AB25" s="187" t="s">
        <v>20</v>
      </c>
      <c r="AC25" s="188" t="s">
        <v>23</v>
      </c>
      <c r="AD25" s="189" t="s">
        <v>24</v>
      </c>
      <c r="AE25" s="177"/>
    </row>
    <row customHeight="1" ht="27.299999999999997">
      <c r="B26" s="192" t="b">
        <v>1</v>
      </c>
      <c r="E26" s="180">
        <v>28</v>
      </c>
      <c r="H26" s="175">
        <f>IF(B25,H25+1,H25)</f>
        <v>4</v>
      </c>
      <c r="AB26" s="187" t="s">
        <v>20</v>
      </c>
      <c r="AC26" s="188" t="s">
        <v>25</v>
      </c>
      <c r="AD26" s="189" t="s">
        <v>26</v>
      </c>
      <c r="AE26" s="177"/>
    </row>
    <row customHeight="1" ht="27.299999999999997">
      <c r="B27" s="192">
        <f>AND(NOT(method_reg="Метод экономически обоснованных расходов"),NOT(method_reg="Метод сравнения аналогов"))</f>
        <v>1</v>
      </c>
      <c r="E27" s="180">
        <v>28</v>
      </c>
      <c r="H27" s="175">
        <f>IF(B26,H26+1,H26)</f>
        <v>5</v>
      </c>
      <c r="AB27" s="187" t="s">
        <v>20</v>
      </c>
      <c r="AC27" s="188" t="s">
        <v>27</v>
      </c>
      <c r="AD27" s="189" t="s">
        <v>28</v>
      </c>
      <c r="AE27" s="177"/>
    </row>
    <row customHeight="1" ht="27.299999999999997">
      <c r="B28" s="192">
        <f>NOT(method_reg="Метод сравнения аналогов")</f>
        <v>1</v>
      </c>
      <c r="E28" s="180">
        <v>28</v>
      </c>
      <c r="H28" s="175">
        <f>IF(B27,H27+1,H27)</f>
        <v>6</v>
      </c>
      <c r="AB28" s="187" t="s">
        <v>20</v>
      </c>
      <c r="AC28" s="188" t="s">
        <v>29</v>
      </c>
      <c r="AD28" s="189" t="s">
        <v>30</v>
      </c>
      <c r="AE28" s="177"/>
    </row>
    <row customHeight="1" ht="27.75" hidden="1">
      <c r="A29" s="371"/>
      <c r="B29" s="192">
        <f>(method_reg="Метод сравнения аналогов")</f>
        <v>0</v>
      </c>
      <c r="C29" s="1548"/>
      <c r="D29" s="1548"/>
      <c r="E29" s="1718"/>
      <c r="F29" s="1548"/>
      <c r="G29" s="1548"/>
      <c r="H29" s="175">
        <f>IF(B28,H28+1,H28)</f>
        <v>7</v>
      </c>
      <c r="I29" s="1548"/>
      <c r="J29" s="1548"/>
      <c r="K29" s="1548"/>
      <c r="L29" s="1548"/>
      <c r="M29" s="1548"/>
      <c r="N29" s="1548"/>
      <c r="O29" s="1548"/>
      <c r="P29" s="1548"/>
      <c r="Q29" s="1548"/>
      <c r="R29" s="1548"/>
      <c r="S29" s="1548"/>
      <c r="T29" s="1548"/>
      <c r="U29" s="1548"/>
      <c r="V29" s="1548"/>
      <c r="W29" s="1548"/>
      <c r="X29" s="1548"/>
      <c r="Y29" s="1548"/>
      <c r="Z29" s="1548"/>
      <c r="AA29" s="183"/>
      <c r="AB29" s="187" t="s">
        <v>31</v>
      </c>
      <c r="AC29" s="188" t="s">
        <v>32</v>
      </c>
      <c r="AD29" s="189" t="s">
        <v>30</v>
      </c>
      <c r="AE29" s="177"/>
      <c r="AF29" s="969"/>
      <c r="AG29" s="1659"/>
    </row>
    <row customHeight="1" ht="27.299999999999997">
      <c r="A30" s="371"/>
      <c r="B30" s="192" cm="1" t="str">
        <f t="array" ref="B30:B30">'Баланс Пр'!$A$1</f>
        <v>true</v>
      </c>
      <c r="C30" s="1548"/>
      <c r="D30" s="1548"/>
      <c r="E30" s="180">
        <v>28</v>
      </c>
      <c r="F30" s="1548"/>
      <c r="G30" s="1548"/>
      <c r="H30" s="175" cm="1" t="str">
        <f t="array" ref="H30:H30">IF(B29,H29+1,H29)</f>
        <v>7</v>
      </c>
      <c r="I30" s="1548"/>
      <c r="J30" s="1548"/>
      <c r="K30" s="1548"/>
      <c r="L30" s="1548"/>
      <c r="M30" s="1548"/>
      <c r="N30" s="1548"/>
      <c r="O30" s="1548"/>
      <c r="P30" s="1548"/>
      <c r="Q30" s="1548"/>
      <c r="R30" s="1548"/>
      <c r="S30" s="1548"/>
      <c r="T30" s="1548"/>
      <c r="U30" s="1548"/>
      <c r="V30" s="1548"/>
      <c r="W30" s="1548"/>
      <c r="X30" s="1548"/>
      <c r="Y30" s="1548"/>
      <c r="Z30" s="1548"/>
      <c r="AA30" s="183"/>
      <c r="AB30" s="187" t="s">
        <v>20</v>
      </c>
      <c r="AC30" s="188" t="s">
        <v>33</v>
      </c>
      <c r="AD30" s="190" t="s">
        <v>34</v>
      </c>
      <c r="AE30" s="177"/>
      <c r="AF30" s="969"/>
      <c r="AG30" s="1659"/>
    </row>
    <row customHeight="1" ht="27.299999999999997" hidden="1">
      <c r="A31" s="371"/>
      <c r="B31" s="192" cm="1" t="str">
        <f t="array" ref="B31:B31">'Баланс Тр'!$A$1</f>
        <v>false</v>
      </c>
      <c r="C31" s="1548"/>
      <c r="D31" s="1548"/>
      <c r="E31" s="180">
        <v>28</v>
      </c>
      <c r="F31" s="1548"/>
      <c r="G31" s="1548"/>
      <c r="H31" s="175">
        <f>IF(B30,H30+1,H30)</f>
        <v>8</v>
      </c>
      <c r="I31" s="1548"/>
      <c r="J31" s="1548"/>
      <c r="K31" s="1548"/>
      <c r="L31" s="1548"/>
      <c r="M31" s="1548"/>
      <c r="N31" s="1548"/>
      <c r="O31" s="1548"/>
      <c r="P31" s="1548"/>
      <c r="Q31" s="1548"/>
      <c r="R31" s="1548"/>
      <c r="S31" s="1548"/>
      <c r="T31" s="1548"/>
      <c r="U31" s="1548"/>
      <c r="V31" s="1548"/>
      <c r="W31" s="1548"/>
      <c r="X31" s="1548"/>
      <c r="Y31" s="1548"/>
      <c r="Z31" s="1548"/>
      <c r="AA31" s="183"/>
      <c r="AB31" s="187" t="s">
        <v>31</v>
      </c>
      <c r="AC31" s="188" t="s">
        <v>35</v>
      </c>
      <c r="AD31" s="189" t="s">
        <v>36</v>
      </c>
      <c r="AE31" s="177"/>
      <c r="AF31" s="969"/>
      <c r="AG31" s="1659"/>
    </row>
    <row customHeight="1" ht="27.299999999999997">
      <c r="B32" s="192">
        <f>NOT(method_reg="Метод сравнения аналогов")</f>
        <v>1</v>
      </c>
      <c r="E32" s="180">
        <v>28</v>
      </c>
      <c r="H32" s="175" cm="1" t="str">
        <f t="array" ref="H32:H32">IF(B31,H31+1,H31)</f>
        <v>8</v>
      </c>
      <c r="AB32" s="187" t="s">
        <v>20</v>
      </c>
      <c r="AC32" s="188" t="s">
        <v>37</v>
      </c>
      <c r="AD32" s="188" t="s">
        <v>38</v>
      </c>
      <c r="AE32" s="177"/>
    </row>
    <row customHeight="1" ht="27.299999999999997">
      <c r="B33" s="192">
        <f>NOT(method_reg="Метод сравнения аналогов")</f>
        <v>1</v>
      </c>
      <c r="E33" s="180">
        <v>28</v>
      </c>
      <c r="H33" s="175">
        <f>IF(B32,H32+1,H32)</f>
        <v>9</v>
      </c>
      <c r="AB33" s="187" t="s">
        <v>20</v>
      </c>
      <c r="AC33" s="188" t="s">
        <v>39</v>
      </c>
      <c r="AD33" s="189" t="s">
        <v>40</v>
      </c>
      <c r="AE33" s="177"/>
    </row>
    <row customHeight="1" ht="27.299999999999997">
      <c r="B34" s="192">
        <f>NOT(method_reg="Метод сравнения аналогов")</f>
        <v>1</v>
      </c>
      <c r="E34" s="180">
        <v>28</v>
      </c>
      <c r="H34" s="175">
        <f>IF(B33,H33+1,H33)</f>
        <v>10</v>
      </c>
      <c r="AB34" s="187" t="s">
        <v>20</v>
      </c>
      <c r="AC34" s="188" t="s">
        <v>41</v>
      </c>
      <c r="AD34" s="189" t="s">
        <v>42</v>
      </c>
      <c r="AE34" s="177"/>
    </row>
    <row customHeight="1" ht="27.299999999999997">
      <c r="B35" s="192">
        <f>NOT(method_reg="Метод сравнения аналогов")</f>
        <v>1</v>
      </c>
      <c r="E35" s="180">
        <v>28</v>
      </c>
      <c r="H35" s="175">
        <f>IF(B34,H34+1,H34)</f>
        <v>11</v>
      </c>
      <c r="AB35" s="187" t="s">
        <v>20</v>
      </c>
      <c r="AC35" s="188" t="s">
        <v>43</v>
      </c>
      <c r="AD35" s="189" t="s">
        <v>44</v>
      </c>
      <c r="AE35" s="177"/>
    </row>
    <row customHeight="1" ht="27.299999999999997">
      <c r="B36" s="192">
        <f>NOT(method_reg="Метод сравнения аналогов")</f>
        <v>1</v>
      </c>
      <c r="E36" s="180">
        <v>28</v>
      </c>
      <c r="H36" s="175">
        <f>IF(B35,H35+1,H35)</f>
        <v>12</v>
      </c>
      <c r="AB36" s="187" t="s">
        <v>20</v>
      </c>
      <c r="AC36" s="188" t="s">
        <v>45</v>
      </c>
      <c r="AD36" s="188" t="s">
        <v>46</v>
      </c>
      <c r="AE36" s="177"/>
    </row>
    <row customHeight="1" ht="27.299999999999997">
      <c r="B37" s="192">
        <f>NOT(method_reg="Метод сравнения аналогов")</f>
        <v>1</v>
      </c>
      <c r="E37" s="180">
        <v>28</v>
      </c>
      <c r="H37" s="175">
        <f>IF(B36,H36+1,H36)</f>
        <v>13</v>
      </c>
      <c r="AB37" s="187" t="s">
        <v>20</v>
      </c>
      <c r="AC37" s="188" t="s">
        <v>47</v>
      </c>
      <c r="AD37" s="188" t="s">
        <v>48</v>
      </c>
      <c r="AE37" s="177"/>
    </row>
    <row customHeight="1" ht="27.299999999999997">
      <c r="B38" s="192">
        <f>NOT(method_reg="Метод сравнения аналогов")</f>
        <v>1</v>
      </c>
      <c r="E38" s="180">
        <v>28</v>
      </c>
      <c r="H38" s="175">
        <f>IF(B37,H37+1,H37)</f>
        <v>14</v>
      </c>
      <c r="AB38" s="187" t="s">
        <v>20</v>
      </c>
      <c r="AC38" s="188" t="s">
        <v>49</v>
      </c>
      <c r="AD38" s="190" t="s">
        <v>50</v>
      </c>
      <c r="AE38" s="177"/>
    </row>
    <row customHeight="1" ht="27.299999999999997">
      <c r="B39" s="192">
        <f>NOT(method_reg="Метод сравнения аналогов")</f>
        <v>1</v>
      </c>
      <c r="E39" s="180">
        <v>28</v>
      </c>
      <c r="H39" s="175">
        <f>IF(B38,H38+1,H38)</f>
        <v>15</v>
      </c>
      <c r="AB39" s="187" t="s">
        <v>20</v>
      </c>
      <c r="AC39" s="188" t="s">
        <v>51</v>
      </c>
      <c r="AD39" s="188" t="s">
        <v>52</v>
      </c>
      <c r="AE39" s="177"/>
    </row>
    <row customHeight="1" ht="28.275000000000002">
      <c r="B40" s="192">
        <f>NOT(method_reg="Метод сравнения аналогов")</f>
        <v>1</v>
      </c>
      <c r="E40" s="180">
        <v>29</v>
      </c>
      <c r="H40" s="175">
        <f>IF(B39,H39+1,H39)</f>
        <v>16</v>
      </c>
      <c r="AB40" s="187" t="s">
        <v>20</v>
      </c>
      <c r="AC40" s="188" t="s">
        <v>53</v>
      </c>
      <c r="AD40" s="189" t="s">
        <v>54</v>
      </c>
      <c r="AE40" s="177"/>
    </row>
    <row customHeight="1" ht="27.299999999999997">
      <c r="A41" s="371"/>
      <c r="B41" s="192">
        <f>OR(method_reg="Метод индексации",method_reg="Метод обеспечения доходности инвестированного капитала")</f>
        <v>1</v>
      </c>
      <c r="C41" s="1548"/>
      <c r="D41" s="1548"/>
      <c r="E41" s="180">
        <v>28</v>
      </c>
      <c r="F41" s="1548"/>
      <c r="G41" s="1548"/>
      <c r="H41" s="175">
        <f>IF(B40,H40+1,H40)</f>
        <v>17</v>
      </c>
      <c r="I41" s="1548"/>
      <c r="J41" s="1548"/>
      <c r="K41" s="1548"/>
      <c r="L41" s="1548"/>
      <c r="M41" s="1548"/>
      <c r="N41" s="1548"/>
      <c r="O41" s="1548"/>
      <c r="P41" s="1548"/>
      <c r="Q41" s="1548"/>
      <c r="R41" s="1548"/>
      <c r="S41" s="1548"/>
      <c r="T41" s="1548"/>
      <c r="U41" s="1548"/>
      <c r="V41" s="1548"/>
      <c r="W41" s="1548"/>
      <c r="X41" s="1548"/>
      <c r="Y41" s="1548"/>
      <c r="Z41" s="1548"/>
      <c r="AA41" s="183"/>
      <c r="AB41" s="187" t="s">
        <v>20</v>
      </c>
      <c r="AC41" s="188" t="s">
        <v>55</v>
      </c>
      <c r="AD41" s="189" t="s">
        <v>56</v>
      </c>
      <c r="AE41" s="177"/>
      <c r="AF41" s="969"/>
      <c r="AG41" s="1659"/>
    </row>
    <row customHeight="1" ht="27.299999999999997">
      <c r="A42" s="371"/>
      <c r="B42" s="192">
        <f>OR(method_reg="Метод индексации",method_reg="Метод обеспечения доходности инвестированного капитала")</f>
        <v>1</v>
      </c>
      <c r="C42" s="1548"/>
      <c r="D42" s="1548"/>
      <c r="E42" s="180">
        <v>28</v>
      </c>
      <c r="F42" s="1548"/>
      <c r="G42" s="1548"/>
      <c r="H42" s="175">
        <f>IF(B41,H41+1,H41)</f>
        <v>18</v>
      </c>
      <c r="I42" s="1548"/>
      <c r="J42" s="1548"/>
      <c r="K42" s="1548"/>
      <c r="L42" s="1548"/>
      <c r="M42" s="1548"/>
      <c r="N42" s="1548"/>
      <c r="O42" s="1548"/>
      <c r="P42" s="1548"/>
      <c r="Q42" s="1548"/>
      <c r="R42" s="1548"/>
      <c r="S42" s="1548"/>
      <c r="T42" s="1548"/>
      <c r="U42" s="1548"/>
      <c r="V42" s="1548"/>
      <c r="W42" s="1548"/>
      <c r="X42" s="1548"/>
      <c r="Y42" s="1548"/>
      <c r="Z42" s="1548"/>
      <c r="AA42" s="183"/>
      <c r="AB42" s="187" t="s">
        <v>20</v>
      </c>
      <c r="AC42" s="188" t="s">
        <v>57</v>
      </c>
      <c r="AD42" s="189" t="s">
        <v>58</v>
      </c>
      <c r="AE42" s="177"/>
      <c r="AF42" s="969"/>
      <c r="AG42" s="1659"/>
    </row>
    <row customHeight="1" ht="27.299999999999997">
      <c r="A43" s="371"/>
      <c r="B43" s="192">
        <f>OR(method_reg="Метод индексации",method_reg="Метод обеспечения доходности инвестированного капитала")</f>
        <v>1</v>
      </c>
      <c r="C43" s="1548"/>
      <c r="D43" s="1548"/>
      <c r="E43" s="180">
        <v>28</v>
      </c>
      <c r="F43" s="1548"/>
      <c r="G43" s="1548"/>
      <c r="H43" s="175">
        <f>IF(B42,H42+1,H42)</f>
        <v>19</v>
      </c>
      <c r="I43" s="1548"/>
      <c r="J43" s="1548"/>
      <c r="K43" s="1548"/>
      <c r="L43" s="1548"/>
      <c r="M43" s="1548"/>
      <c r="N43" s="1548"/>
      <c r="O43" s="1548"/>
      <c r="P43" s="1548"/>
      <c r="Q43" s="1548"/>
      <c r="R43" s="1548"/>
      <c r="S43" s="1548"/>
      <c r="T43" s="1548"/>
      <c r="U43" s="1548"/>
      <c r="V43" s="1548"/>
      <c r="W43" s="1548"/>
      <c r="X43" s="1548"/>
      <c r="Y43" s="1548"/>
      <c r="Z43" s="1548"/>
      <c r="AA43" s="183"/>
      <c r="AB43" s="187" t="s">
        <v>20</v>
      </c>
      <c r="AC43" s="188" t="s">
        <v>59</v>
      </c>
      <c r="AD43" s="189" t="s">
        <v>60</v>
      </c>
      <c r="AE43" s="177"/>
      <c r="AF43" s="969"/>
      <c r="AG43" s="1659"/>
    </row>
    <row customHeight="1" ht="27.299999999999997">
      <c r="A44" s="371"/>
      <c r="B44" s="192">
        <f>OR(method_reg="Метод индексации",method_reg="Метод обеспечения доходности инвестированного капитала")</f>
        <v>1</v>
      </c>
      <c r="C44" s="1548"/>
      <c r="D44" s="1548"/>
      <c r="E44" s="180">
        <v>28</v>
      </c>
      <c r="F44" s="1548"/>
      <c r="G44" s="1548"/>
      <c r="H44" s="175">
        <f>IF(B43,H43+1,H43)</f>
        <v>20</v>
      </c>
      <c r="I44" s="1548"/>
      <c r="J44" s="1548"/>
      <c r="K44" s="1548"/>
      <c r="L44" s="1548"/>
      <c r="M44" s="1548"/>
      <c r="N44" s="1548"/>
      <c r="O44" s="1548"/>
      <c r="P44" s="1548"/>
      <c r="Q44" s="1548"/>
      <c r="R44" s="1548"/>
      <c r="S44" s="1548"/>
      <c r="T44" s="1548"/>
      <c r="U44" s="1548"/>
      <c r="V44" s="1548"/>
      <c r="W44" s="1548"/>
      <c r="X44" s="1548"/>
      <c r="Y44" s="1548"/>
      <c r="Z44" s="1548"/>
      <c r="AA44" s="183"/>
      <c r="AB44" s="187" t="s">
        <v>20</v>
      </c>
      <c r="AC44" s="188" t="s">
        <v>61</v>
      </c>
      <c r="AD44" s="189" t="s">
        <v>62</v>
      </c>
      <c r="AE44" s="177"/>
      <c r="AF44" s="969"/>
      <c r="AG44" s="1659"/>
    </row>
    <row customHeight="1" ht="27.299999999999997">
      <c r="A45" s="371"/>
      <c r="B45" s="192">
        <f>OR(method_reg="Метод индексации",method_reg="Метод обеспечения доходности инвестированного капитала")</f>
        <v>1</v>
      </c>
      <c r="C45" s="1548"/>
      <c r="D45" s="1548"/>
      <c r="E45" s="180">
        <v>28</v>
      </c>
      <c r="F45" s="1548"/>
      <c r="G45" s="1548"/>
      <c r="H45" s="175">
        <f>IF(B44,H44+1,H44)</f>
        <v>21</v>
      </c>
      <c r="I45" s="1548"/>
      <c r="J45" s="1548"/>
      <c r="K45" s="1548"/>
      <c r="L45" s="1548"/>
      <c r="M45" s="1548"/>
      <c r="N45" s="1548"/>
      <c r="O45" s="1548"/>
      <c r="P45" s="1548"/>
      <c r="Q45" s="1548"/>
      <c r="R45" s="1548"/>
      <c r="S45" s="1548"/>
      <c r="T45" s="1548"/>
      <c r="U45" s="1548"/>
      <c r="V45" s="1548"/>
      <c r="W45" s="1548"/>
      <c r="X45" s="1548"/>
      <c r="Y45" s="1548"/>
      <c r="Z45" s="1548"/>
      <c r="AA45" s="183"/>
      <c r="AB45" s="187" t="s">
        <v>20</v>
      </c>
      <c r="AC45" s="188" t="s">
        <v>63</v>
      </c>
      <c r="AD45" s="189" t="s">
        <v>64</v>
      </c>
      <c r="AE45" s="177"/>
      <c r="AF45" s="969"/>
      <c r="AG45" s="1659"/>
    </row>
    <row customHeight="1" ht="27.299999999999997" hidden="1">
      <c r="A46" s="371"/>
      <c r="B46" s="192">
        <f>method_reg="Метод экономически обоснованных расходов"</f>
        <v>0</v>
      </c>
      <c r="C46" s="1548"/>
      <c r="D46" s="1548"/>
      <c r="E46" s="180">
        <v>28</v>
      </c>
      <c r="F46" s="1548"/>
      <c r="G46" s="1548"/>
      <c r="H46" s="175">
        <f>IF(B45,H45+1,H45)</f>
        <v>22</v>
      </c>
      <c r="I46" s="1548"/>
      <c r="J46" s="1548"/>
      <c r="K46" s="1548"/>
      <c r="L46" s="1548"/>
      <c r="M46" s="1548"/>
      <c r="N46" s="1548"/>
      <c r="O46" s="1548"/>
      <c r="P46" s="1548"/>
      <c r="Q46" s="1548"/>
      <c r="R46" s="1548"/>
      <c r="S46" s="1548"/>
      <c r="T46" s="1548"/>
      <c r="U46" s="1548"/>
      <c r="V46" s="1548"/>
      <c r="W46" s="1548"/>
      <c r="X46" s="1548"/>
      <c r="Y46" s="1548"/>
      <c r="Z46" s="1548"/>
      <c r="AA46" s="183"/>
      <c r="AB46" s="187" t="s">
        <v>31</v>
      </c>
      <c r="AC46" s="188" t="s">
        <v>65</v>
      </c>
      <c r="AD46" s="188" t="s">
        <v>66</v>
      </c>
      <c r="AE46" s="177"/>
      <c r="AF46" s="969"/>
      <c r="AG46" s="1659"/>
    </row>
    <row customHeight="1" ht="27.299999999999997">
      <c r="A47" s="371"/>
      <c r="B47" s="192">
        <f>OR(method_reg="Метод индексации",method_reg="Метод обеспечения доходности инвестированного капитала")</f>
        <v>1</v>
      </c>
      <c r="C47" s="1548"/>
      <c r="D47" s="1548"/>
      <c r="E47" s="180">
        <v>28</v>
      </c>
      <c r="F47" s="1548"/>
      <c r="G47" s="1548"/>
      <c r="H47" s="175" cm="1" t="str">
        <f t="array" ref="H47:H47">IF(B46,H46+1,H46)</f>
        <v>22</v>
      </c>
      <c r="I47" s="1548"/>
      <c r="J47" s="1548"/>
      <c r="K47" s="1548"/>
      <c r="L47" s="1548"/>
      <c r="M47" s="1548"/>
      <c r="N47" s="1548"/>
      <c r="O47" s="1548"/>
      <c r="P47" s="1548"/>
      <c r="Q47" s="1548"/>
      <c r="R47" s="1548"/>
      <c r="S47" s="1548"/>
      <c r="T47" s="1548"/>
      <c r="U47" s="1548"/>
      <c r="V47" s="1548"/>
      <c r="W47" s="1548"/>
      <c r="X47" s="1548"/>
      <c r="Y47" s="1548"/>
      <c r="Z47" s="1548"/>
      <c r="AA47" s="183"/>
      <c r="AB47" s="187" t="s">
        <v>20</v>
      </c>
      <c r="AC47" s="188" t="s">
        <v>67</v>
      </c>
      <c r="AD47" s="189" t="s">
        <v>68</v>
      </c>
      <c r="AE47" s="177"/>
      <c r="AF47" s="969"/>
      <c r="AG47" s="1659"/>
    </row>
    <row customHeight="1" ht="27.299999999999997" hidden="1">
      <c r="A48" s="371"/>
      <c r="B48" s="192">
        <f>(method_reg="Метод сравнения аналогов")</f>
        <v>0</v>
      </c>
      <c r="C48" s="1548"/>
      <c r="D48" s="1548"/>
      <c r="E48" s="180">
        <v>28</v>
      </c>
      <c r="F48" s="1548"/>
      <c r="G48" s="1548"/>
      <c r="H48" s="175">
        <f>IF(B47,H47+1,H47)</f>
        <v>23</v>
      </c>
      <c r="I48" s="1548"/>
      <c r="J48" s="1548"/>
      <c r="K48" s="1548"/>
      <c r="L48" s="1548"/>
      <c r="M48" s="1548"/>
      <c r="N48" s="1548"/>
      <c r="O48" s="1548"/>
      <c r="P48" s="1548"/>
      <c r="Q48" s="1548"/>
      <c r="R48" s="1548"/>
      <c r="S48" s="1548"/>
      <c r="T48" s="1548"/>
      <c r="U48" s="1548"/>
      <c r="V48" s="1548"/>
      <c r="W48" s="1548"/>
      <c r="X48" s="1548"/>
      <c r="Y48" s="1548"/>
      <c r="Z48" s="1548"/>
      <c r="AA48" s="183"/>
      <c r="AB48" s="187" t="s">
        <v>31</v>
      </c>
      <c r="AC48" s="188" t="s">
        <v>69</v>
      </c>
      <c r="AD48" s="190" t="s">
        <v>70</v>
      </c>
      <c r="AE48" s="177"/>
      <c r="AF48" s="969"/>
      <c r="AG48" s="1659"/>
    </row>
    <row customHeight="1" ht="27.299999999999997" hidden="1">
      <c r="A49" s="371"/>
      <c r="B49" s="192">
        <f>(method_reg="Метод сравнения аналогов")</f>
        <v>0</v>
      </c>
      <c r="C49" s="1548"/>
      <c r="D49" s="1548"/>
      <c r="E49" s="180">
        <v>28</v>
      </c>
      <c r="F49" s="1548"/>
      <c r="G49" s="1548"/>
      <c r="H49" s="175" cm="1" t="str">
        <f t="array" ref="H49:H49">IF(B48,H48+1,H48)</f>
        <v>23</v>
      </c>
      <c r="I49" s="1548"/>
      <c r="J49" s="1548"/>
      <c r="K49" s="1548"/>
      <c r="L49" s="1548"/>
      <c r="M49" s="1548"/>
      <c r="N49" s="1548"/>
      <c r="O49" s="1548"/>
      <c r="P49" s="1548"/>
      <c r="Q49" s="1548"/>
      <c r="R49" s="1548"/>
      <c r="S49" s="1548"/>
      <c r="T49" s="1548"/>
      <c r="U49" s="1548"/>
      <c r="V49" s="1548"/>
      <c r="W49" s="1548"/>
      <c r="X49" s="1548"/>
      <c r="Y49" s="1548"/>
      <c r="Z49" s="1548"/>
      <c r="AA49" s="183"/>
      <c r="AB49" s="187" t="s">
        <v>31</v>
      </c>
      <c r="AC49" s="188" t="s">
        <v>71</v>
      </c>
      <c r="AD49" s="190" t="s">
        <v>72</v>
      </c>
      <c r="AE49" s="177"/>
      <c r="AF49" s="969"/>
      <c r="AG49" s="1659"/>
    </row>
    <row customHeight="1" ht="27.299999999999997" hidden="1">
      <c r="A50" s="371"/>
      <c r="B50" s="192">
        <f>(method_reg="Метод сравнения аналогов")</f>
        <v>0</v>
      </c>
      <c r="C50" s="1548"/>
      <c r="D50" s="1548"/>
      <c r="E50" s="180">
        <v>28</v>
      </c>
      <c r="F50" s="1548"/>
      <c r="G50" s="1548"/>
      <c r="H50" s="175" cm="1" t="str">
        <f t="array" ref="H50:H50">IF(B48,H48+1,H48)</f>
        <v>23</v>
      </c>
      <c r="I50" s="1548"/>
      <c r="J50" s="1548"/>
      <c r="K50" s="1548"/>
      <c r="L50" s="1548"/>
      <c r="M50" s="1548"/>
      <c r="N50" s="1548"/>
      <c r="O50" s="1548"/>
      <c r="P50" s="1548"/>
      <c r="Q50" s="1548"/>
      <c r="R50" s="1548"/>
      <c r="S50" s="1548"/>
      <c r="T50" s="1548"/>
      <c r="U50" s="1548"/>
      <c r="V50" s="1548"/>
      <c r="W50" s="1548"/>
      <c r="X50" s="1548"/>
      <c r="Y50" s="1548"/>
      <c r="Z50" s="1548"/>
      <c r="AA50" s="183"/>
      <c r="AB50" s="187" t="s">
        <v>31</v>
      </c>
      <c r="AC50" s="188" t="s">
        <v>73</v>
      </c>
      <c r="AD50" s="189" t="s">
        <v>74</v>
      </c>
      <c r="AE50" s="177"/>
      <c r="AF50" s="969"/>
      <c r="AG50" s="1659"/>
    </row>
    <row customHeight="1" ht="27.299999999999997">
      <c r="B51" s="192">
        <f>NOT(method_reg="Метод сравнения аналогов")</f>
        <v>1</v>
      </c>
      <c r="E51" s="180">
        <v>28</v>
      </c>
      <c r="H51" s="175">
        <f>IF(B47,H47+1,H47)</f>
        <v>23</v>
      </c>
      <c r="AB51" s="187" t="s">
        <v>20</v>
      </c>
      <c r="AC51" s="188" t="s">
        <v>75</v>
      </c>
      <c r="AD51" s="189" t="s">
        <v>76</v>
      </c>
      <c r="AE51" s="177"/>
    </row>
    <row customHeight="1" ht="27.299999999999997">
      <c r="B52" s="192">
        <f>NOT(method_reg="Метод сравнения аналогов")</f>
        <v>1</v>
      </c>
      <c r="E52" s="180">
        <v>28</v>
      </c>
      <c r="H52" s="175">
        <f>IF(B51,H51+1,H51)</f>
        <v>24</v>
      </c>
      <c r="AB52" s="187" t="s">
        <v>20</v>
      </c>
      <c r="AC52" s="188" t="s">
        <v>77</v>
      </c>
      <c r="AD52" s="189" t="s">
        <v>78</v>
      </c>
      <c r="AE52" s="177"/>
    </row>
    <row customHeight="1" ht="27.299999999999997">
      <c r="A53" s="371"/>
      <c r="B53" s="192">
        <f>OR(method_reg="Метод индексации",method_reg="Метод обеспечения доходности инвестированного капитала")</f>
        <v>1</v>
      </c>
      <c r="C53" s="1548"/>
      <c r="D53" s="1548"/>
      <c r="E53" s="180">
        <v>28</v>
      </c>
      <c r="F53" s="1548"/>
      <c r="G53" s="1548"/>
      <c r="H53" s="175">
        <f>IF(B52,H52+1,H52)</f>
        <v>25</v>
      </c>
      <c r="I53" s="1548"/>
      <c r="J53" s="1548"/>
      <c r="K53" s="1548"/>
      <c r="L53" s="1548"/>
      <c r="M53" s="1548"/>
      <c r="N53" s="1548"/>
      <c r="O53" s="1548"/>
      <c r="P53" s="1548"/>
      <c r="Q53" s="1548"/>
      <c r="R53" s="1548"/>
      <c r="S53" s="1548"/>
      <c r="T53" s="1548"/>
      <c r="U53" s="1548"/>
      <c r="V53" s="1548"/>
      <c r="W53" s="1548"/>
      <c r="X53" s="1548"/>
      <c r="Y53" s="1548"/>
      <c r="Z53" s="1548"/>
      <c r="AA53" s="183"/>
      <c r="AB53" s="187" t="s">
        <v>20</v>
      </c>
      <c r="AC53" s="188" t="s">
        <v>79</v>
      </c>
      <c r="AD53" s="188" t="s">
        <v>80</v>
      </c>
      <c r="AE53" s="177"/>
      <c r="AF53" s="969"/>
      <c r="AG53" s="1659"/>
    </row>
    <row customHeight="1" ht="27.75" hidden="1">
      <c r="E54" s="965">
        <v>0</v>
      </c>
      <c r="AB54" s="187"/>
      <c r="AC54" s="188"/>
      <c r="AD54" s="189"/>
      <c r="AE54" s="177"/>
    </row>
    <row customHeight="1" ht="12.75">
      <c r="AB55" s="177"/>
      <c r="AC55" s="177"/>
      <c r="AD55" s="177"/>
      <c r="AE55" s="177"/>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ED9537-C55B-8CB2-6C88-3606B09F67CA}" mc:Ignorable="x14ac xr xr2 xr3">
  <sheetPr>
    <tabColor theme="3" tint="0.6"/>
  </sheetPr>
  <dimension ref="A1:C2"/>
  <sheetViews>
    <sheetView topLeftCell="A1" workbookViewId="0">
      <selection activeCell="A1" sqref="A1"/>
    </sheetView>
  </sheetViews>
  <sheetFormatPr defaultColWidth="9.00390625" customHeight="1" defaultRowHeight="11.25"/>
  <cols>
    <col min="1" max="1" style="1104" width="37.140625" customWidth="1"/>
    <col min="2" max="2" style="1742" width="25.7109375" customWidth="1"/>
    <col min="3" max="3" style="1743" width="64.57421875" customWidth="1"/>
  </cols>
  <sheetData>
    <row customHeight="1" ht="11.25">
      <c r="A1" s="1102" t="s">
        <v>81</v>
      </c>
      <c r="B1" s="1094" t="s">
        <v>82</v>
      </c>
      <c r="C1" s="1094" t="s">
        <v>83</v>
      </c>
    </row>
    <row customHeight="1" ht="11.25">
      <c r="A2" s="1103"/>
      <c r="B2" s="191"/>
      <c r="C2" s="191"/>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579CA0B-A9F8-EB98-5798-02ED4FA011AC}" mc:Ignorable="x14ac xr xr2 xr3">
  <sheetPr>
    <tabColor theme="3" tint="0.6"/>
    <pageSetUpPr fitToPage="1"/>
  </sheetPr>
  <dimension ref="A1:BZ217"/>
  <sheetViews>
    <sheetView topLeftCell="AA190" showGridLines="0" workbookViewId="0">
      <selection activeCell="AE217" sqref="AE217"/>
    </sheetView>
  </sheetViews>
  <sheetFormatPr defaultColWidth="9.140625" customHeight="1" defaultRowHeight="19.5"/>
  <cols>
    <col min="1" max="1" style="371" width="3.57421875" hidden="1" customWidth="1"/>
    <col min="2" max="2" style="1548" width="8.140625" hidden="1" customWidth="1"/>
    <col min="3" max="4" style="1548" width="3.57421875" hidden="1" customWidth="1"/>
    <col min="5" max="5" style="1718" width="3.8515625" hidden="1" customWidth="1"/>
    <col min="6" max="6" style="1659" width="3.57421875" hidden="1" customWidth="1"/>
    <col min="7" max="7" style="1548" width="8.140625" hidden="1" customWidth="1"/>
    <col min="8" max="13" style="1548" width="3.57421875" hidden="1" customWidth="1"/>
    <col min="14" max="14" style="1548" width="6.421875" hidden="1" customWidth="1"/>
    <col min="15" max="21" style="1548" width="3.57421875" hidden="1" customWidth="1"/>
    <col min="22" max="22" style="1548" width="7.8515625" hidden="1" customWidth="1"/>
    <col min="23" max="23" style="1548" width="7.7109375" hidden="1" customWidth="1"/>
    <col min="24" max="24" style="1548" width="6.28125" hidden="1" customWidth="1"/>
    <col min="25" max="25" style="1548" width="7.00390625" hidden="1" customWidth="1"/>
    <col min="26" max="26" style="1548" width="6.140625" hidden="1" customWidth="1"/>
    <col min="27" max="27" style="1009" width="3.00390625" customWidth="1"/>
    <col min="28" max="28" style="181" width="12.00390625" customWidth="1"/>
    <col min="29" max="29" style="181" width="18.00390625" customWidth="1"/>
    <col min="30" max="30" style="181" width="57.00390625" customWidth="1"/>
    <col min="31" max="31" style="181" width="48.00390625" customWidth="1"/>
    <col min="32" max="32" style="181" width="3.00390625" customWidth="1"/>
    <col min="33" max="33" style="1659" width="16.421875" hidden="1" customWidth="1"/>
    <col min="34" max="40" style="1659" width="8.57421875" hidden="1" customWidth="1"/>
    <col min="41" max="57" style="1751" width="3.140625" hidden="1" customWidth="1"/>
    <col min="58" max="74" width="9.140625" hidden="1"/>
    <col min="75" max="75" style="1506" width="9.140625" hidden="1"/>
    <col min="76" max="78" width="9.140625" hidden="1"/>
  </cols>
  <sheetData>
    <row s="1548" customFormat="1" customHeight="1" ht="11.25" hidden="1">
      <c r="A1" s="371"/>
      <c r="F1" s="193"/>
      <c r="N1" s="753" t="s">
        <v>84</v>
      </c>
      <c r="V1" s="753" t="s">
        <v>85</v>
      </c>
      <c r="W1" s="753" t="s">
        <v>86</v>
      </c>
      <c r="X1" s="753" t="s">
        <v>87</v>
      </c>
      <c r="Y1" s="753" t="s">
        <v>88</v>
      </c>
      <c r="Z1" s="753" t="s">
        <v>89</v>
      </c>
      <c r="AA1" s="753" t="s">
        <v>90</v>
      </c>
      <c r="AD1" s="753" t="s">
        <v>91</v>
      </c>
      <c r="AE1" s="753" t="s">
        <v>92</v>
      </c>
      <c r="AF1" s="753" t="s">
        <v>93</v>
      </c>
      <c r="AO1" s="0"/>
      <c r="AP1" s="0"/>
      <c r="AQ1" s="0"/>
      <c r="AR1" s="0"/>
      <c r="AS1" s="0"/>
      <c r="AT1" s="0"/>
      <c r="AU1" s="0"/>
      <c r="AV1" s="0"/>
      <c r="AW1" s="0"/>
      <c r="AX1" s="0"/>
      <c r="AY1" s="0"/>
      <c r="AZ1" s="0"/>
      <c r="BA1" s="0"/>
      <c r="BB1" s="0"/>
      <c r="BC1" s="0"/>
      <c r="BD1" s="0"/>
      <c r="BE1" s="0"/>
      <c r="BF1" s="1075" t="s">
        <v>94</v>
      </c>
      <c r="BG1" s="1075" t="s">
        <v>95</v>
      </c>
      <c r="BH1" s="1075" t="s">
        <v>96</v>
      </c>
      <c r="BI1" s="1075" t="s">
        <v>97</v>
      </c>
      <c r="BJ1" s="1075" t="s">
        <v>98</v>
      </c>
      <c r="BK1" s="1075" t="s">
        <v>99</v>
      </c>
      <c r="BL1" s="1075" t="s">
        <v>100</v>
      </c>
      <c r="BM1" s="1075" t="s">
        <v>101</v>
      </c>
      <c r="BN1" s="1075" t="s">
        <v>102</v>
      </c>
      <c r="BO1" s="1075" t="s">
        <v>103</v>
      </c>
      <c r="BP1" s="1511" t="s">
        <v>104</v>
      </c>
      <c r="BQ1" s="1075" t="s">
        <v>105</v>
      </c>
      <c r="BR1" s="1075" t="s">
        <v>106</v>
      </c>
      <c r="BS1" s="1075" t="s">
        <v>107</v>
      </c>
      <c r="BT1" s="1075" t="s">
        <v>108</v>
      </c>
      <c r="BU1" s="1075" t="s">
        <v>109</v>
      </c>
      <c r="BV1" s="1075" t="s">
        <v>110</v>
      </c>
      <c r="BW1" s="1075" t="s">
        <v>111</v>
      </c>
      <c r="BX1" s="1075" t="s">
        <v>112</v>
      </c>
      <c r="BY1" s="1075" t="s">
        <v>113</v>
      </c>
      <c r="BZ1" s="1075" t="s">
        <v>114</v>
      </c>
    </row>
    <row s="1548" customFormat="1" customHeight="1" ht="11.25" hidden="1">
      <c r="A2" s="371"/>
      <c r="B2" s="192" t="s">
        <v>16</v>
      </c>
      <c r="F2" s="193"/>
      <c r="AO2" s="0"/>
      <c r="AP2" s="0"/>
      <c r="AQ2" s="0"/>
      <c r="AR2" s="0"/>
      <c r="AS2" s="0"/>
      <c r="AT2" s="0"/>
      <c r="AU2" s="0"/>
      <c r="AV2" s="0"/>
      <c r="AW2" s="0"/>
      <c r="AX2" s="0"/>
      <c r="AY2" s="0"/>
      <c r="AZ2" s="0"/>
      <c r="BA2" s="0"/>
      <c r="BB2" s="0"/>
      <c r="BC2" s="0"/>
      <c r="BD2" s="0"/>
      <c r="BE2" s="0"/>
      <c r="BF2" s="1082"/>
      <c r="BG2" s="1075"/>
      <c r="BH2" s="1075"/>
      <c r="BI2" s="1075"/>
      <c r="BJ2" s="1075"/>
      <c r="BK2" s="1075"/>
      <c r="BL2" s="1075"/>
      <c r="BM2" s="1075"/>
      <c r="BN2" s="1075"/>
      <c r="BO2" s="1075"/>
      <c r="BP2" s="1075"/>
      <c r="BQ2" s="1075"/>
      <c r="BR2" s="1075"/>
      <c r="BS2" s="1075"/>
      <c r="BT2" s="1075"/>
      <c r="BU2" s="1075"/>
      <c r="BV2" s="1075"/>
      <c r="BW2" s="1066"/>
      <c r="BX2" s="1075"/>
      <c r="BY2" s="1075"/>
      <c r="BZ2" s="1075"/>
    </row>
    <row s="1548" customFormat="1" customHeight="1" ht="11.25" hidden="1">
      <c r="A3" s="371"/>
      <c r="F3" s="193"/>
      <c r="AO3" s="0"/>
      <c r="AP3" s="0"/>
      <c r="AQ3" s="0"/>
      <c r="AR3" s="0"/>
      <c r="AS3" s="0"/>
      <c r="AT3" s="0"/>
      <c r="AU3" s="0"/>
      <c r="AV3" s="0"/>
      <c r="AW3" s="0"/>
      <c r="AX3" s="0"/>
      <c r="AY3" s="0"/>
      <c r="AZ3" s="0"/>
      <c r="BA3" s="0"/>
      <c r="BB3" s="0"/>
      <c r="BC3" s="0"/>
      <c r="BD3" s="0"/>
      <c r="BE3" s="0"/>
      <c r="BF3" s="178"/>
      <c r="BG3" s="178"/>
      <c r="BH3" s="178"/>
      <c r="BI3" s="178"/>
      <c r="BJ3" s="178"/>
      <c r="BK3" s="178"/>
      <c r="BL3" s="178"/>
      <c r="BM3" s="178"/>
      <c r="BN3" s="178"/>
      <c r="BO3" s="178"/>
      <c r="BP3" s="178"/>
      <c r="BQ3" s="178"/>
      <c r="BR3" s="178"/>
      <c r="BS3" s="178"/>
      <c r="BT3" s="178"/>
      <c r="BU3" s="178"/>
      <c r="BV3" s="178"/>
      <c r="BW3" s="178"/>
      <c r="BX3" s="178"/>
      <c r="BY3" s="178"/>
      <c r="BZ3" s="178"/>
    </row>
    <row s="1548" customFormat="1" customHeight="1" ht="11.25" hidden="1">
      <c r="A4" s="371"/>
      <c r="F4" s="193"/>
      <c r="AO4" s="0"/>
      <c r="AP4" s="0"/>
      <c r="AQ4" s="0"/>
      <c r="AR4" s="0"/>
      <c r="AS4" s="0"/>
      <c r="AT4" s="0"/>
      <c r="AU4" s="0"/>
      <c r="AV4" s="0"/>
      <c r="AW4" s="0"/>
      <c r="AX4" s="0"/>
      <c r="AY4" s="0"/>
      <c r="AZ4" s="0"/>
      <c r="BA4" s="0"/>
      <c r="BB4" s="0"/>
      <c r="BC4" s="0"/>
      <c r="BD4" s="0"/>
      <c r="BE4" s="0"/>
      <c r="BF4" s="178"/>
      <c r="BG4" s="178"/>
      <c r="BH4" s="178"/>
      <c r="BI4" s="178"/>
      <c r="BJ4" s="178"/>
      <c r="BK4" s="178"/>
      <c r="BL4" s="178"/>
      <c r="BM4" s="178"/>
      <c r="BN4" s="178"/>
      <c r="BO4" s="178"/>
      <c r="BP4" s="178"/>
      <c r="BQ4" s="178"/>
      <c r="BR4" s="178"/>
      <c r="BS4" s="178"/>
      <c r="BT4" s="178"/>
      <c r="BU4" s="178"/>
      <c r="BV4" s="178"/>
      <c r="BW4" s="178"/>
      <c r="BX4" s="178"/>
      <c r="BY4" s="178"/>
      <c r="BZ4" s="178"/>
    </row>
    <row s="1718" customFormat="1" customHeight="1" ht="11.25" hidden="1">
      <c r="A5" s="371"/>
      <c r="B5" s="175"/>
      <c r="C5" s="175"/>
      <c r="D5" s="175"/>
      <c r="E5" s="180" t="s">
        <v>17</v>
      </c>
      <c r="F5" s="194"/>
      <c r="AA5" s="180">
        <v>3</v>
      </c>
      <c r="AB5" s="180">
        <v>12</v>
      </c>
      <c r="AC5" s="180">
        <v>18</v>
      </c>
      <c r="AD5" s="180">
        <v>57</v>
      </c>
      <c r="AE5" s="180">
        <v>48</v>
      </c>
      <c r="AF5" s="180">
        <v>3</v>
      </c>
      <c r="AO5" s="1718"/>
      <c r="AP5" s="1718"/>
      <c r="AQ5" s="1718"/>
      <c r="AR5" s="1718"/>
      <c r="AS5" s="1718"/>
      <c r="AT5" s="1718"/>
      <c r="AU5" s="1718"/>
      <c r="AV5" s="1718"/>
      <c r="AW5" s="1718"/>
      <c r="AX5" s="1718"/>
      <c r="AY5" s="1718"/>
      <c r="AZ5" s="1718"/>
      <c r="BA5" s="1718"/>
      <c r="BB5" s="1718"/>
      <c r="BC5" s="1718"/>
      <c r="BD5" s="1718"/>
      <c r="BE5" s="1718"/>
      <c r="BF5" s="1067"/>
      <c r="BG5" s="1067"/>
      <c r="BH5" s="1067"/>
      <c r="BI5" s="1067"/>
      <c r="BJ5" s="1067"/>
      <c r="BK5" s="1067"/>
      <c r="BL5" s="1067"/>
      <c r="BM5" s="1067"/>
      <c r="BN5" s="1067"/>
      <c r="BO5" s="1067"/>
      <c r="BP5" s="1067"/>
      <c r="BQ5" s="1067"/>
      <c r="BR5" s="1067"/>
      <c r="BS5" s="1067"/>
      <c r="BT5" s="1067"/>
      <c r="BU5" s="1067"/>
      <c r="BV5" s="1067"/>
      <c r="BW5" s="1067"/>
      <c r="BX5" s="1067"/>
      <c r="BY5" s="1067"/>
      <c r="BZ5" s="1067"/>
    </row>
    <row s="1548" customFormat="1" customHeight="1" ht="11.25" hidden="1">
      <c r="A6" s="371"/>
      <c r="E6" s="180"/>
      <c r="F6" s="193"/>
      <c r="AO6" s="0"/>
      <c r="AP6" s="0"/>
      <c r="AQ6" s="0"/>
      <c r="AR6" s="0"/>
      <c r="AS6" s="0"/>
      <c r="AT6" s="0"/>
      <c r="AU6" s="0"/>
      <c r="AV6" s="0"/>
      <c r="AW6" s="0"/>
      <c r="AX6" s="0"/>
      <c r="AY6" s="0"/>
      <c r="AZ6" s="0"/>
      <c r="BA6" s="0"/>
      <c r="BB6" s="0"/>
      <c r="BC6" s="0"/>
      <c r="BD6" s="0"/>
      <c r="BE6" s="0"/>
      <c r="BF6" s="178"/>
      <c r="BG6" s="178"/>
      <c r="BH6" s="178"/>
      <c r="BI6" s="178"/>
      <c r="BJ6" s="178"/>
      <c r="BK6" s="178"/>
      <c r="BL6" s="178"/>
      <c r="BM6" s="178"/>
      <c r="BN6" s="178"/>
      <c r="BO6" s="178"/>
      <c r="BP6" s="178"/>
      <c r="BQ6" s="178"/>
      <c r="BR6" s="178"/>
      <c r="BS6" s="178"/>
      <c r="BT6" s="178"/>
      <c r="BU6" s="178"/>
      <c r="BV6" s="178"/>
      <c r="BW6" s="178"/>
      <c r="BX6" s="178"/>
      <c r="BY6" s="178"/>
      <c r="BZ6" s="178"/>
    </row>
    <row s="1659" customFormat="1" customHeight="1" ht="11.25" hidden="1">
      <c r="A7" s="371"/>
      <c r="B7" s="175"/>
      <c r="C7" s="175"/>
      <c r="D7" s="175"/>
      <c r="E7" s="180"/>
      <c r="AO7" s="0"/>
      <c r="AP7" s="0"/>
      <c r="AQ7" s="0"/>
      <c r="AR7" s="0"/>
      <c r="AS7" s="0"/>
      <c r="AT7" s="0"/>
      <c r="AU7" s="0"/>
      <c r="AV7" s="0"/>
      <c r="AW7" s="0"/>
      <c r="AX7" s="0"/>
      <c r="AY7" s="0"/>
      <c r="AZ7" s="0"/>
      <c r="BA7" s="0"/>
      <c r="BB7" s="0"/>
      <c r="BC7" s="0"/>
      <c r="BD7" s="0"/>
      <c r="BE7" s="0"/>
      <c r="BF7" s="181"/>
      <c r="BG7" s="181"/>
      <c r="BH7" s="181"/>
      <c r="BI7" s="181"/>
      <c r="BJ7" s="181"/>
      <c r="BK7" s="181"/>
      <c r="BL7" s="181"/>
      <c r="BM7" s="181"/>
      <c r="BN7" s="181"/>
      <c r="BO7" s="181"/>
      <c r="BP7" s="181"/>
      <c r="BQ7" s="181"/>
      <c r="BR7" s="181"/>
      <c r="BS7" s="181"/>
      <c r="BT7" s="181"/>
      <c r="BU7" s="181"/>
      <c r="BV7" s="181"/>
      <c r="BW7" s="181"/>
      <c r="BX7" s="181"/>
      <c r="BY7" s="181"/>
      <c r="BZ7" s="181"/>
    </row>
    <row s="1659" customFormat="1" customHeight="1" ht="11.25" hidden="1">
      <c r="A8" s="371"/>
      <c r="B8" s="175"/>
      <c r="C8" s="175"/>
      <c r="D8" s="175"/>
      <c r="E8" s="180"/>
      <c r="AO8" s="0"/>
      <c r="AP8" s="0"/>
      <c r="AQ8" s="0"/>
      <c r="AR8" s="0"/>
      <c r="AS8" s="0"/>
      <c r="AT8" s="0"/>
      <c r="AU8" s="0"/>
      <c r="AV8" s="0"/>
      <c r="AW8" s="0"/>
      <c r="AX8" s="0"/>
      <c r="AY8" s="0"/>
      <c r="AZ8" s="0"/>
      <c r="BA8" s="0"/>
      <c r="BB8" s="0"/>
      <c r="BC8" s="0"/>
      <c r="BD8" s="0"/>
      <c r="BE8" s="0"/>
      <c r="BF8" s="181"/>
      <c r="BG8" s="181"/>
      <c r="BH8" s="181"/>
      <c r="BI8" s="181"/>
      <c r="BJ8" s="181"/>
      <c r="BK8" s="181"/>
      <c r="BL8" s="181"/>
      <c r="BM8" s="181"/>
      <c r="BN8" s="181"/>
      <c r="BO8" s="181"/>
      <c r="BP8" s="181"/>
      <c r="BQ8" s="181"/>
      <c r="BR8" s="181"/>
      <c r="BS8" s="181"/>
      <c r="BT8" s="181"/>
      <c r="BU8" s="181"/>
      <c r="BV8" s="181"/>
      <c r="BW8" s="181"/>
      <c r="BX8" s="181"/>
      <c r="BY8" s="181"/>
      <c r="BZ8" s="181"/>
    </row>
    <row s="1548" customFormat="1" customHeight="1" ht="11.25" hidden="1">
      <c r="A9" s="371"/>
      <c r="E9" s="180"/>
      <c r="F9" s="193"/>
      <c r="AO9" s="0"/>
      <c r="AP9" s="0"/>
      <c r="AQ9" s="0"/>
      <c r="AR9" s="0"/>
      <c r="AS9" s="0"/>
      <c r="AT9" s="0"/>
      <c r="AU9" s="0"/>
      <c r="AV9" s="0"/>
      <c r="AW9" s="0"/>
      <c r="AX9" s="0"/>
      <c r="AY9" s="0"/>
      <c r="AZ9" s="0"/>
      <c r="BA9" s="0"/>
      <c r="BB9" s="0"/>
      <c r="BC9" s="0"/>
      <c r="BD9" s="0"/>
      <c r="BE9" s="0"/>
      <c r="BF9" s="178"/>
      <c r="BG9" s="178"/>
      <c r="BH9" s="178"/>
      <c r="BI9" s="178"/>
      <c r="BJ9" s="178"/>
      <c r="BK9" s="178"/>
      <c r="BL9" s="178"/>
      <c r="BM9" s="178"/>
      <c r="BN9" s="178"/>
      <c r="BO9" s="178"/>
      <c r="BP9" s="178"/>
      <c r="BQ9" s="178"/>
      <c r="BR9" s="178"/>
      <c r="BS9" s="178"/>
      <c r="BT9" s="178"/>
      <c r="BU9" s="178"/>
      <c r="BV9" s="178"/>
      <c r="BW9" s="178"/>
      <c r="BX9" s="178"/>
      <c r="BY9" s="178"/>
      <c r="BZ9" s="178"/>
    </row>
    <row s="1548" customFormat="1" customHeight="1" ht="11.25" hidden="1">
      <c r="A10" s="371"/>
      <c r="E10" s="180"/>
      <c r="F10" s="193"/>
      <c r="AO10" s="0"/>
      <c r="AP10" s="0"/>
      <c r="AQ10" s="0"/>
      <c r="AR10" s="0"/>
      <c r="AS10" s="0"/>
      <c r="AT10" s="0"/>
      <c r="AU10" s="0"/>
      <c r="AV10" s="0"/>
      <c r="AW10" s="0"/>
      <c r="AX10" s="0"/>
      <c r="AY10" s="0"/>
      <c r="AZ10" s="0"/>
      <c r="BA10" s="0"/>
      <c r="BB10" s="0"/>
      <c r="BC10" s="0"/>
      <c r="BD10" s="0"/>
      <c r="BE10" s="0"/>
      <c r="BF10" s="178"/>
      <c r="BG10" s="178"/>
      <c r="BH10" s="178"/>
      <c r="BI10" s="178"/>
      <c r="BJ10" s="178"/>
      <c r="BK10" s="178"/>
      <c r="BL10" s="178"/>
      <c r="BM10" s="178"/>
      <c r="BN10" s="178"/>
      <c r="BO10" s="178"/>
      <c r="BP10" s="178"/>
      <c r="BQ10" s="178"/>
      <c r="BR10" s="178"/>
      <c r="BS10" s="178"/>
      <c r="BT10" s="178"/>
      <c r="BU10" s="178"/>
      <c r="BV10" s="178"/>
      <c r="BW10" s="178"/>
      <c r="BX10" s="178"/>
      <c r="BY10" s="178"/>
      <c r="BZ10" s="178"/>
    </row>
    <row s="1548" customFormat="1" customHeight="1" ht="11.25" hidden="1">
      <c r="A11" s="371"/>
      <c r="E11" s="180"/>
      <c r="F11" s="193"/>
      <c r="AO11" s="0"/>
      <c r="AP11" s="0"/>
      <c r="AQ11" s="0"/>
      <c r="AR11" s="0"/>
      <c r="AS11" s="0"/>
      <c r="AT11" s="0"/>
      <c r="AU11" s="0"/>
      <c r="AV11" s="0"/>
      <c r="AW11" s="0"/>
      <c r="AX11" s="0"/>
      <c r="AY11" s="0"/>
      <c r="AZ11" s="0"/>
      <c r="BA11" s="0"/>
      <c r="BB11" s="0"/>
      <c r="BC11" s="0"/>
      <c r="BD11" s="0"/>
      <c r="BE11" s="0"/>
      <c r="BF11" s="178"/>
      <c r="BG11" s="178"/>
      <c r="BH11" s="178"/>
      <c r="BI11" s="178"/>
      <c r="BJ11" s="178"/>
      <c r="BK11" s="178"/>
      <c r="BL11" s="178"/>
      <c r="BM11" s="178"/>
      <c r="BN11" s="178"/>
      <c r="BO11" s="178"/>
      <c r="BP11" s="178"/>
      <c r="BQ11" s="178"/>
      <c r="BR11" s="178"/>
      <c r="BS11" s="178"/>
      <c r="BT11" s="178"/>
      <c r="BU11" s="178"/>
      <c r="BV11" s="178"/>
      <c r="BW11" s="178"/>
      <c r="BX11" s="178"/>
      <c r="BY11" s="178"/>
      <c r="BZ11" s="178"/>
    </row>
    <row s="1548" customFormat="1" customHeight="1" ht="11.25" hidden="1">
      <c r="A12" s="371"/>
      <c r="E12" s="180"/>
      <c r="F12" s="193"/>
      <c r="AO12" s="0"/>
      <c r="AP12" s="0"/>
      <c r="AQ12" s="0"/>
      <c r="AR12" s="0"/>
      <c r="AS12" s="0"/>
      <c r="AT12" s="0"/>
      <c r="AU12" s="0"/>
      <c r="AV12" s="0"/>
      <c r="AW12" s="0"/>
      <c r="AX12" s="0"/>
      <c r="AY12" s="0"/>
      <c r="AZ12" s="0"/>
      <c r="BA12" s="0"/>
      <c r="BB12" s="0"/>
      <c r="BC12" s="0"/>
      <c r="BD12" s="0"/>
      <c r="BE12" s="0"/>
      <c r="BF12" s="178"/>
      <c r="BG12" s="178"/>
      <c r="BH12" s="178"/>
      <c r="BI12" s="178"/>
      <c r="BJ12" s="178"/>
      <c r="BK12" s="178"/>
      <c r="BL12" s="178"/>
      <c r="BM12" s="178"/>
      <c r="BN12" s="178"/>
      <c r="BO12" s="178"/>
      <c r="BP12" s="178"/>
      <c r="BQ12" s="178"/>
      <c r="BR12" s="178"/>
      <c r="BS12" s="178"/>
      <c r="BT12" s="178"/>
      <c r="BU12" s="178"/>
      <c r="BV12" s="178"/>
      <c r="BW12" s="178"/>
      <c r="BX12" s="178"/>
      <c r="BY12" s="178"/>
      <c r="BZ12" s="178"/>
    </row>
    <row s="1548" customFormat="1" customHeight="1" ht="11.25" hidden="1">
      <c r="A13" s="371"/>
      <c r="E13" s="180"/>
      <c r="F13" s="193"/>
      <c r="AO13" s="0"/>
      <c r="AP13" s="0"/>
      <c r="AQ13" s="0"/>
      <c r="AR13" s="0"/>
      <c r="AS13" s="0"/>
      <c r="AT13" s="0"/>
      <c r="AU13" s="0"/>
      <c r="AV13" s="0"/>
      <c r="AW13" s="0"/>
      <c r="AX13" s="0"/>
      <c r="AY13" s="0"/>
      <c r="AZ13" s="0"/>
      <c r="BA13" s="0"/>
      <c r="BB13" s="0"/>
      <c r="BC13" s="0"/>
      <c r="BD13" s="0"/>
      <c r="BE13" s="0"/>
      <c r="BF13" s="178"/>
      <c r="BG13" s="178"/>
      <c r="BH13" s="178"/>
      <c r="BI13" s="178"/>
      <c r="BJ13" s="178"/>
      <c r="BK13" s="178"/>
      <c r="BL13" s="178"/>
      <c r="BM13" s="178"/>
      <c r="BN13" s="178"/>
      <c r="BO13" s="178"/>
      <c r="BP13" s="178"/>
      <c r="BQ13" s="178"/>
      <c r="BR13" s="178"/>
      <c r="BS13" s="178"/>
      <c r="BT13" s="178"/>
      <c r="BU13" s="178"/>
      <c r="BV13" s="178"/>
      <c r="BW13" s="178"/>
      <c r="BX13" s="178"/>
      <c r="BY13" s="178"/>
      <c r="BZ13" s="178"/>
    </row>
    <row s="1548" customFormat="1" customHeight="1" ht="11.25" hidden="1">
      <c r="A14" s="371"/>
      <c r="E14" s="180"/>
      <c r="F14" s="193"/>
      <c r="AO14" s="0"/>
      <c r="AP14" s="0"/>
      <c r="AQ14" s="0"/>
      <c r="AR14" s="0"/>
      <c r="AS14" s="0"/>
      <c r="AT14" s="0"/>
      <c r="AU14" s="0"/>
      <c r="AV14" s="0"/>
      <c r="AW14" s="0"/>
      <c r="AX14" s="0"/>
      <c r="AY14" s="0"/>
      <c r="AZ14" s="0"/>
      <c r="BA14" s="0"/>
      <c r="BB14" s="0"/>
      <c r="BC14" s="0"/>
      <c r="BD14" s="0"/>
      <c r="BE14" s="0"/>
      <c r="BF14" s="178"/>
      <c r="BG14" s="178"/>
      <c r="BH14" s="178"/>
      <c r="BI14" s="178"/>
      <c r="BJ14" s="178"/>
      <c r="BK14" s="178"/>
      <c r="BL14" s="178"/>
      <c r="BM14" s="178"/>
      <c r="BN14" s="178"/>
      <c r="BO14" s="178"/>
      <c r="BP14" s="178"/>
      <c r="BQ14" s="178"/>
      <c r="BR14" s="178"/>
      <c r="BS14" s="178"/>
      <c r="BT14" s="178"/>
      <c r="BU14" s="178"/>
      <c r="BV14" s="178"/>
      <c r="BW14" s="178"/>
      <c r="BX14" s="178"/>
      <c r="BY14" s="178"/>
      <c r="BZ14" s="178"/>
    </row>
    <row s="1548" customFormat="1" customHeight="1" ht="11.25" hidden="1">
      <c r="A15" s="371"/>
      <c r="E15" s="180"/>
      <c r="F15" s="193"/>
      <c r="AO15" s="0"/>
      <c r="AP15" s="0"/>
      <c r="AQ15" s="0"/>
      <c r="AR15" s="0"/>
      <c r="AS15" s="0"/>
      <c r="AT15" s="0"/>
      <c r="AU15" s="0"/>
      <c r="AV15" s="0"/>
      <c r="AW15" s="0"/>
      <c r="AX15" s="0"/>
      <c r="AY15" s="0"/>
      <c r="AZ15" s="0"/>
      <c r="BA15" s="0"/>
      <c r="BB15" s="0"/>
      <c r="BC15" s="0"/>
      <c r="BD15" s="0"/>
      <c r="BE15" s="0"/>
      <c r="BF15" s="178"/>
      <c r="BG15" s="178"/>
      <c r="BH15" s="178"/>
      <c r="BI15" s="178"/>
      <c r="BJ15" s="178"/>
      <c r="BK15" s="178"/>
      <c r="BL15" s="178"/>
      <c r="BM15" s="178"/>
      <c r="BN15" s="178"/>
      <c r="BO15" s="178"/>
      <c r="BP15" s="178"/>
      <c r="BQ15" s="178"/>
      <c r="BR15" s="178"/>
      <c r="BS15" s="178"/>
      <c r="BT15" s="178"/>
      <c r="BU15" s="178"/>
      <c r="BV15" s="178"/>
      <c r="BW15" s="178"/>
      <c r="BX15" s="178"/>
      <c r="BY15" s="178"/>
      <c r="BZ15" s="178"/>
    </row>
    <row s="1548" customFormat="1" customHeight="1" ht="11.25" hidden="1">
      <c r="A16" s="371"/>
      <c r="E16" s="180"/>
      <c r="F16" s="193"/>
      <c r="AO16" s="0"/>
      <c r="AP16" s="0"/>
      <c r="AQ16" s="0"/>
      <c r="AR16" s="0"/>
      <c r="AS16" s="0"/>
      <c r="AT16" s="0"/>
      <c r="AU16" s="0"/>
      <c r="AV16" s="0"/>
      <c r="AW16" s="0"/>
      <c r="AX16" s="0"/>
      <c r="AY16" s="0"/>
      <c r="AZ16" s="0"/>
      <c r="BA16" s="0"/>
      <c r="BB16" s="0"/>
      <c r="BC16" s="0"/>
      <c r="BD16" s="0"/>
      <c r="BE16" s="0"/>
      <c r="BF16" s="178"/>
      <c r="BG16" s="178"/>
      <c r="BH16" s="178"/>
      <c r="BI16" s="178"/>
      <c r="BJ16" s="178"/>
      <c r="BK16" s="178"/>
      <c r="BL16" s="178"/>
      <c r="BM16" s="178"/>
      <c r="BN16" s="178"/>
      <c r="BO16" s="178"/>
      <c r="BP16" s="178"/>
      <c r="BQ16" s="178"/>
      <c r="BR16" s="178"/>
      <c r="BS16" s="178"/>
      <c r="BT16" s="178"/>
      <c r="BU16" s="178"/>
      <c r="BV16" s="178"/>
      <c r="BW16" s="178"/>
      <c r="BX16" s="178"/>
      <c r="BY16" s="178"/>
      <c r="BZ16" s="178"/>
    </row>
    <row s="1548" customFormat="1" customHeight="1" ht="11.25" hidden="1">
      <c r="A17" s="371"/>
      <c r="E17" s="180"/>
      <c r="F17" s="193"/>
      <c r="AO17" s="0"/>
      <c r="AP17" s="0"/>
      <c r="AQ17" s="0"/>
      <c r="AR17" s="0"/>
      <c r="AS17" s="0"/>
      <c r="AT17" s="0"/>
      <c r="AU17" s="0"/>
      <c r="AV17" s="0"/>
      <c r="AW17" s="0"/>
      <c r="AX17" s="0"/>
      <c r="AY17" s="0"/>
      <c r="AZ17" s="0"/>
      <c r="BA17" s="0"/>
      <c r="BB17" s="0"/>
      <c r="BC17" s="0"/>
      <c r="BD17" s="0"/>
      <c r="BE17" s="0"/>
      <c r="BF17" s="178"/>
      <c r="BG17" s="178"/>
      <c r="BH17" s="178"/>
      <c r="BI17" s="178"/>
      <c r="BJ17" s="178"/>
      <c r="BK17" s="178"/>
      <c r="BL17" s="178"/>
      <c r="BM17" s="178"/>
      <c r="BN17" s="178"/>
      <c r="BO17" s="178"/>
      <c r="BP17" s="178"/>
      <c r="BQ17" s="178"/>
      <c r="BR17" s="178"/>
      <c r="BS17" s="178"/>
      <c r="BT17" s="178"/>
      <c r="BU17" s="178"/>
      <c r="BV17" s="178"/>
      <c r="BW17" s="178"/>
      <c r="BX17" s="178"/>
      <c r="BY17" s="178"/>
      <c r="BZ17" s="178"/>
    </row>
    <row s="1548" customFormat="1" customHeight="1" ht="11.25" hidden="1">
      <c r="A18" s="371"/>
      <c r="E18" s="180"/>
      <c r="F18" s="193"/>
      <c r="AO18" s="0"/>
      <c r="AP18" s="0"/>
      <c r="AQ18" s="0"/>
      <c r="AR18" s="0"/>
      <c r="AS18" s="0"/>
      <c r="AT18" s="0"/>
      <c r="AU18" s="0"/>
      <c r="AV18" s="0"/>
      <c r="AW18" s="0"/>
      <c r="AX18" s="0"/>
      <c r="AY18" s="0"/>
      <c r="AZ18" s="0"/>
      <c r="BA18" s="0"/>
      <c r="BB18" s="0"/>
      <c r="BC18" s="0"/>
      <c r="BD18" s="0"/>
      <c r="BE18" s="0"/>
      <c r="BF18" s="178"/>
      <c r="BG18" s="178"/>
      <c r="BH18" s="178"/>
      <c r="BI18" s="178"/>
      <c r="BJ18" s="178"/>
      <c r="BK18" s="178"/>
      <c r="BL18" s="178"/>
      <c r="BM18" s="178"/>
      <c r="BN18" s="178"/>
      <c r="BO18" s="178"/>
      <c r="BP18" s="178"/>
      <c r="BQ18" s="178"/>
      <c r="BR18" s="178"/>
      <c r="BS18" s="178"/>
      <c r="BT18" s="178"/>
      <c r="BU18" s="178"/>
      <c r="BV18" s="178"/>
      <c r="BW18" s="178"/>
      <c r="BX18" s="178"/>
      <c r="BY18" s="178"/>
      <c r="BZ18" s="178"/>
    </row>
    <row s="1548" customFormat="1" customHeight="1" ht="11.25" hidden="1">
      <c r="A19" s="371"/>
      <c r="E19" s="180"/>
      <c r="F19" s="193"/>
      <c r="AO19" s="0"/>
      <c r="AP19" s="0"/>
      <c r="AQ19" s="0"/>
      <c r="AR19" s="0"/>
      <c r="AS19" s="0"/>
      <c r="AT19" s="0"/>
      <c r="AU19" s="0"/>
      <c r="AV19" s="0"/>
      <c r="AW19" s="0"/>
      <c r="AX19" s="0"/>
      <c r="AY19" s="0"/>
      <c r="AZ19" s="0"/>
      <c r="BA19" s="0"/>
      <c r="BB19" s="0"/>
      <c r="BC19" s="0"/>
      <c r="BD19" s="0"/>
      <c r="BE19" s="0"/>
      <c r="BF19" s="178"/>
      <c r="BG19" s="178"/>
      <c r="BH19" s="178"/>
      <c r="BI19" s="178"/>
      <c r="BJ19" s="178"/>
      <c r="BK19" s="178"/>
      <c r="BL19" s="178"/>
      <c r="BM19" s="178"/>
      <c r="BN19" s="178"/>
      <c r="BO19" s="178"/>
      <c r="BP19" s="178"/>
      <c r="BQ19" s="178"/>
      <c r="BR19" s="178"/>
      <c r="BS19" s="178"/>
      <c r="BT19" s="178"/>
      <c r="BU19" s="178"/>
      <c r="BV19" s="178"/>
      <c r="BW19" s="178"/>
      <c r="BX19" s="178"/>
      <c r="BY19" s="178"/>
      <c r="BZ19" s="178"/>
    </row>
    <row s="1548" customFormat="1" customHeight="1" ht="11.25" hidden="1">
      <c r="A20" s="371"/>
      <c r="E20" s="180"/>
      <c r="F20" s="193"/>
      <c r="AO20" s="0"/>
      <c r="AP20" s="0"/>
      <c r="AQ20" s="0"/>
      <c r="AR20" s="0"/>
      <c r="AS20" s="0"/>
      <c r="AT20" s="0"/>
      <c r="AU20" s="0"/>
      <c r="AV20" s="0"/>
      <c r="AW20" s="0"/>
      <c r="AX20" s="0"/>
      <c r="AY20" s="0"/>
      <c r="AZ20" s="0"/>
      <c r="BA20" s="0"/>
      <c r="BB20" s="0"/>
      <c r="BC20" s="0"/>
      <c r="BD20" s="0"/>
      <c r="BE20" s="0"/>
      <c r="BF20" s="178"/>
      <c r="BG20" s="178"/>
      <c r="BH20" s="178"/>
      <c r="BI20" s="178"/>
      <c r="BJ20" s="178"/>
      <c r="BK20" s="178"/>
      <c r="BL20" s="178"/>
      <c r="BM20" s="178"/>
      <c r="BN20" s="178"/>
      <c r="BO20" s="178"/>
      <c r="BP20" s="178"/>
      <c r="BQ20" s="178"/>
      <c r="BR20" s="178"/>
      <c r="BS20" s="178"/>
      <c r="BT20" s="178"/>
      <c r="BU20" s="178"/>
      <c r="BV20" s="178"/>
      <c r="BW20" s="178"/>
      <c r="BX20" s="178"/>
      <c r="BY20" s="178"/>
      <c r="BZ20" s="178"/>
    </row>
    <row s="1659" customFormat="1" customHeight="1" ht="10.725000000000001">
      <c r="A21" s="371"/>
      <c r="B21" s="175"/>
      <c r="C21" s="175"/>
      <c r="D21" s="175"/>
      <c r="E21" s="180">
        <v>11</v>
      </c>
      <c r="G21" s="175"/>
      <c r="H21" s="175"/>
      <c r="I21" s="175"/>
      <c r="J21" s="175"/>
      <c r="K21" s="175"/>
      <c r="L21" s="175"/>
      <c r="M21" s="175"/>
      <c r="N21" s="175"/>
      <c r="O21" s="175"/>
      <c r="P21" s="175"/>
      <c r="Q21" s="175"/>
      <c r="R21" s="175"/>
      <c r="S21" s="175"/>
      <c r="T21" s="175"/>
      <c r="U21" s="175"/>
      <c r="V21" s="175"/>
      <c r="W21" s="175"/>
      <c r="X21" s="175"/>
      <c r="Y21" s="175"/>
      <c r="Z21" s="175"/>
      <c r="AA21" s="182"/>
      <c r="AB21" s="181"/>
      <c r="AC21" s="181"/>
      <c r="AD21" s="181"/>
      <c r="AE21" s="181"/>
      <c r="AF21" s="181"/>
      <c r="AO21" s="0"/>
      <c r="AP21" s="0"/>
      <c r="AQ21" s="0"/>
      <c r="AR21" s="0"/>
      <c r="AS21" s="0"/>
      <c r="AT21" s="0"/>
      <c r="AU21" s="0"/>
      <c r="AV21" s="0"/>
      <c r="AW21" s="0"/>
      <c r="AX21" s="0"/>
      <c r="AY21" s="0"/>
      <c r="AZ21" s="0"/>
      <c r="BA21" s="0"/>
      <c r="BB21" s="0"/>
      <c r="BC21" s="0"/>
      <c r="BD21" s="0"/>
      <c r="BE21" s="0"/>
      <c r="BF21" s="181"/>
      <c r="BG21" s="181"/>
      <c r="BH21" s="181"/>
      <c r="BI21" s="181"/>
      <c r="BJ21" s="181"/>
      <c r="BK21" s="181"/>
      <c r="BL21" s="181"/>
      <c r="BM21" s="181"/>
      <c r="BN21" s="181"/>
      <c r="BO21" s="181"/>
      <c r="BP21" s="181"/>
      <c r="BQ21" s="181"/>
      <c r="BR21" s="181"/>
      <c r="BS21" s="181"/>
      <c r="BT21" s="181"/>
      <c r="BU21" s="181"/>
      <c r="BV21" s="181"/>
      <c r="BW21" s="181"/>
      <c r="BX21" s="181"/>
      <c r="BY21" s="181"/>
      <c r="BZ21" s="181"/>
    </row>
    <row customHeight="1" ht="19.5">
      <c r="E22" s="180">
        <v>20</v>
      </c>
      <c r="AB22" s="1550" t="s">
        <v>115</v>
      </c>
      <c r="AC22" s="1551"/>
      <c r="AD22" s="1552"/>
      <c r="AE22" s="198" t="s">
        <v>116</v>
      </c>
      <c r="AG22" s="1070" t="str">
        <f>_xlfn.IFERROR(INDEX(TEHSHEET!B1:B90,MATCH(region_name,REGION,0)),"")</f>
        <v>RU42</v>
      </c>
    </row>
    <row customHeight="1" ht="18.525">
      <c r="E23" s="180">
        <v>19</v>
      </c>
      <c r="AB23" s="195"/>
      <c r="AC23" s="196"/>
      <c r="AD23" s="197" t="s">
        <v>117</v>
      </c>
      <c r="AE23" s="201" t="s">
        <v>118</v>
      </c>
      <c r="AF23" s="199"/>
      <c r="AG23" s="1069"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560"/>
    </row>
    <row customHeight="1" ht="19.5">
      <c r="E24" s="180">
        <v>20</v>
      </c>
      <c r="AB24" s="1550" t="s">
        <v>119</v>
      </c>
      <c r="AC24" s="1551"/>
      <c r="AD24" s="1552"/>
      <c r="AE24" s="202">
        <v>2027</v>
      </c>
      <c r="AF24" s="203"/>
      <c r="AG24" s="1071" t="str">
        <f>_xlfn.IFERROR(region_name&amp;" / "&amp;god&amp;" / "&amp;org&amp;" (ИНН:"&amp;inn&amp;", КПП:"&amp;kpp&amp;IF(method_reg="Метод экономически обоснованных расходов",")",") / ДПР: "&amp;first_year&amp;"-"&amp;last_year),"")</f>
        <v>Кемеровская область / 2027 / ООО "КК-ИНВЕСТ" (ИНН:1901133713, КПП:190101001) / ДПР: 2025-2027</v>
      </c>
      <c r="AL24" s="1560"/>
    </row>
    <row customHeight="1" ht="19.5">
      <c r="B25" s="192">
        <f>method_reg&lt;&gt;"Метод экономически обоснованных расходов"</f>
        <v>1</v>
      </c>
      <c r="E25" s="180">
        <v>20</v>
      </c>
      <c r="AB25" s="1550" t="s">
        <v>120</v>
      </c>
      <c r="AC25" s="1551"/>
      <c r="AD25" s="1552"/>
      <c r="AE25" s="204">
        <v>2025</v>
      </c>
      <c r="AG25" s="1070" cm="1" t="str">
        <f t="array" ref="AG25:AG25">IF(CorrectionOnlyForRegPeriod="да",god,last_year)</f>
        <v>2027</v>
      </c>
      <c r="AL25" s="1560"/>
    </row>
    <row customHeight="1" ht="19.5">
      <c r="B26" s="192">
        <f>method_reg&lt;&gt;"Метод экономически обоснованных расходов"</f>
        <v>1</v>
      </c>
      <c r="E26" s="180">
        <v>20</v>
      </c>
      <c r="AB26" s="1550" t="s">
        <v>121</v>
      </c>
      <c r="AC26" s="1551"/>
      <c r="AD26" s="1552"/>
      <c r="AE26" s="204">
        <v>3</v>
      </c>
      <c r="AF26" s="203"/>
      <c r="AG26" s="1070">
        <f>first_year+PERIOD_LENGTH-1</f>
        <v>2027</v>
      </c>
      <c r="AL26" s="1560"/>
    </row>
    <row customHeight="1" ht="16.5" hidden="1">
      <c r="E27" s="965">
        <v>0</v>
      </c>
      <c r="AB27" s="1550" t="s">
        <v>122</v>
      </c>
      <c r="AC27" s="1551"/>
      <c r="AD27" s="1552"/>
      <c r="AE27" s="205">
        <f>IF(OR(PERIOD_LENGTH-god+first_year&lt;=0,PERIOD_LENGTH-god+first_year&gt;10),"",PERIOD_LENGTH-god+first_year)</f>
        <v>1</v>
      </c>
      <c r="AF27" s="203"/>
    </row>
    <row customHeight="1" ht="7.800000000000001">
      <c r="E28" s="180">
        <v>8</v>
      </c>
      <c r="AF28" s="206"/>
    </row>
    <row customHeight="1" ht="7.800000000000001">
      <c r="E29" s="180">
        <v>8</v>
      </c>
      <c r="AF29" s="206"/>
    </row>
    <row customHeight="1" ht="19.5">
      <c r="E30" s="180">
        <v>20</v>
      </c>
      <c r="AB30" s="1553" t="s">
        <v>123</v>
      </c>
      <c r="AC30" s="1553"/>
      <c r="AD30" s="1553"/>
      <c r="AE30" s="1553"/>
      <c r="AF30" s="207"/>
      <c r="AG30" s="972"/>
      <c r="AH30" s="972"/>
      <c r="AI30" s="972"/>
      <c r="AJ30" s="972"/>
      <c r="AK30" s="972"/>
      <c r="AL30" s="972"/>
    </row>
    <row customHeight="1" ht="19.5">
      <c r="E31" s="180">
        <v>20</v>
      </c>
      <c r="AB31" s="1554" t="s">
        <v>124</v>
      </c>
      <c r="AC31" s="1554"/>
      <c r="AD31" s="1554"/>
      <c r="AE31" s="1554"/>
      <c r="AF31" s="207"/>
      <c r="AG31" s="972"/>
      <c r="AH31" s="972"/>
      <c r="AI31" s="972"/>
      <c r="AJ31" s="972"/>
      <c r="AK31" s="972"/>
      <c r="AL31" s="972"/>
    </row>
    <row customHeight="1" ht="19.5">
      <c r="E32" s="180">
        <v>20</v>
      </c>
      <c r="AB32" s="1553" t="s">
        <v>125</v>
      </c>
      <c r="AC32" s="1553"/>
      <c r="AD32" s="1553"/>
      <c r="AE32" s="1553"/>
      <c r="AF32" s="207"/>
      <c r="AG32" s="972"/>
      <c r="AH32" s="972"/>
      <c r="AI32" s="972"/>
      <c r="AJ32" s="972"/>
      <c r="AK32" s="972"/>
      <c r="AL32" s="972"/>
    </row>
    <row customHeight="1" ht="19.5">
      <c r="E33" s="180">
        <v>20</v>
      </c>
      <c r="AB33" s="1555" t="s">
        <v>126</v>
      </c>
      <c r="AC33" s="1556"/>
      <c r="AD33" s="1556"/>
      <c r="AE33" s="1556"/>
      <c r="AF33" s="208"/>
      <c r="AG33" s="1070">
        <v>31656254</v>
      </c>
      <c r="AH33" s="972"/>
      <c r="AI33" s="972"/>
      <c r="AJ33" s="972"/>
      <c r="AK33" s="972"/>
    </row>
    <row customHeight="1" ht="31.200000000000003">
      <c r="E34" s="180">
        <v>32</v>
      </c>
      <c r="AB34" s="1557" t="str">
        <f>"об установлении тарифов на тепловую энергию (мощность) "&amp;AG23&amp;IF(AND(AE23="Метод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557"/>
      <c r="AD34" s="1557"/>
      <c r="AE34" s="1557"/>
      <c r="AF34" s="208"/>
      <c r="AG34" s="972"/>
      <c r="AH34" s="972"/>
      <c r="AI34" s="972"/>
      <c r="AJ34" s="972"/>
      <c r="AK34" s="972"/>
      <c r="AL34" s="972"/>
    </row>
    <row customHeight="1" ht="19.5">
      <c r="E35" s="180">
        <v>20</v>
      </c>
      <c r="AB35" s="1558" t="str">
        <f>"на "&amp;god&amp;" год"&amp;IF(AE23="Метод экономически обоснованных расходов",""," долгосрочного периода регулирования тарифов "&amp;first_year&amp;"-"&amp;last_year&amp;" гг.")</f>
        <v>на 2027 год долгосрочного периода регулирования тарифов 2025-2027 гг.</v>
      </c>
      <c r="AC35" s="1558"/>
      <c r="AD35" s="1558"/>
      <c r="AE35" s="1558"/>
      <c r="AF35" s="209"/>
      <c r="AG35" s="972"/>
      <c r="AH35" s="972"/>
      <c r="AI35" s="972"/>
      <c r="AJ35" s="972"/>
      <c r="AK35" s="972"/>
      <c r="AL35" s="972"/>
    </row>
    <row customHeight="1" ht="10.725000000000001">
      <c r="E36" s="180">
        <v>11</v>
      </c>
      <c r="AA36" s="1009"/>
      <c r="AB36" s="1559"/>
      <c r="AC36" s="1559"/>
      <c r="AD36" s="1559"/>
      <c r="AE36" s="1559"/>
      <c r="AF36" s="1010"/>
      <c r="AG36" s="631"/>
      <c r="AH36" s="175"/>
      <c r="AI36" s="1548"/>
      <c r="AJ36" s="1548"/>
      <c r="AK36" s="175"/>
      <c r="AL36" s="631"/>
    </row>
    <row customHeight="1" ht="19.5">
      <c r="E37" s="180">
        <v>20</v>
      </c>
      <c r="AB37" s="1549" t="s">
        <v>127</v>
      </c>
      <c r="AC37" s="1549"/>
      <c r="AD37" s="1549"/>
      <c r="AE37" s="1549"/>
      <c r="AF37" s="211"/>
      <c r="AG37" s="280"/>
      <c r="AH37" s="280"/>
      <c r="AI37" s="280"/>
      <c r="AJ37" s="280"/>
      <c r="AK37" s="280"/>
      <c r="AL37" s="308"/>
    </row>
    <row customHeight="1" ht="24.375">
      <c r="E38" s="180">
        <v>25</v>
      </c>
      <c r="AB38" s="1531" t="s">
        <v>128</v>
      </c>
      <c r="AC38" s="1531"/>
      <c r="AD38" s="1531"/>
      <c r="AE38" s="213" t="s">
        <v>129</v>
      </c>
      <c r="AF38" s="214"/>
      <c r="AG38" s="308"/>
      <c r="AH38" s="308"/>
      <c r="AI38" s="308"/>
    </row>
    <row customHeight="1" ht="24.375">
      <c r="E39" s="180">
        <v>25</v>
      </c>
      <c r="AB39" s="1531" t="s">
        <v>130</v>
      </c>
      <c r="AC39" s="1531"/>
      <c r="AD39" s="1531"/>
      <c r="AE39" s="213" t="s">
        <v>126</v>
      </c>
      <c r="AF39" s="214"/>
    </row>
    <row customHeight="1" ht="19.5">
      <c r="E40" s="180">
        <v>20</v>
      </c>
      <c r="AB40" s="1531" t="s">
        <v>131</v>
      </c>
      <c r="AC40" s="1531"/>
      <c r="AD40" s="1531"/>
      <c r="AE40" s="215"/>
      <c r="AF40" s="216"/>
    </row>
    <row customHeight="1" ht="19.5">
      <c r="E41" s="180">
        <v>20</v>
      </c>
      <c r="AB41" s="1531" t="s">
        <v>132</v>
      </c>
      <c r="AC41" s="1531"/>
      <c r="AD41" s="1531"/>
      <c r="AE41" s="217" t="s">
        <v>133</v>
      </c>
      <c r="AF41" s="216"/>
    </row>
    <row customHeight="1" ht="19.5">
      <c r="E42" s="180">
        <v>20</v>
      </c>
      <c r="AB42" s="1531" t="s">
        <v>134</v>
      </c>
      <c r="AC42" s="1531"/>
      <c r="AD42" s="1531"/>
      <c r="AE42" s="217" t="s">
        <v>135</v>
      </c>
      <c r="AF42" s="216"/>
    </row>
    <row customHeight="1" ht="19.5">
      <c r="E43" s="180">
        <v>20</v>
      </c>
      <c r="AB43" s="1531" t="s">
        <v>136</v>
      </c>
      <c r="AC43" s="1531"/>
      <c r="AD43" s="1531"/>
      <c r="AE43" s="217" t="s">
        <v>137</v>
      </c>
      <c r="AF43" s="216"/>
    </row>
    <row customHeight="1" ht="19.5">
      <c r="E44" s="180">
        <v>20</v>
      </c>
      <c r="AB44" s="1531" t="s">
        <v>138</v>
      </c>
      <c r="AC44" s="1531"/>
      <c r="AD44" s="1531"/>
      <c r="AE44" s="217" t="s">
        <v>139</v>
      </c>
      <c r="AF44" s="216"/>
    </row>
    <row customHeight="1" ht="19.5">
      <c r="E45" s="180">
        <v>20</v>
      </c>
      <c r="AB45" s="1531" t="s">
        <v>140</v>
      </c>
      <c r="AC45" s="1531"/>
      <c r="AD45" s="1531"/>
      <c r="AE45" s="213" t="s">
        <v>141</v>
      </c>
      <c r="AF45" s="216"/>
    </row>
    <row customHeight="1" ht="23.25">
      <c r="E46" s="180">
        <v>20</v>
      </c>
      <c r="AB46" s="1531" t="s">
        <v>142</v>
      </c>
      <c r="AC46" s="1531"/>
      <c r="AD46" s="1531"/>
      <c r="AE46" s="213" t="s">
        <v>143</v>
      </c>
      <c r="AF46" s="208"/>
    </row>
    <row customHeight="1" ht="19.5">
      <c r="E47" s="180">
        <v>20</v>
      </c>
      <c r="AB47" s="1531" t="s">
        <v>144</v>
      </c>
      <c r="AC47" s="1531"/>
      <c r="AD47" s="1531"/>
      <c r="AE47" s="213" t="s">
        <v>145</v>
      </c>
      <c r="AF47" s="208"/>
    </row>
    <row customHeight="1" ht="19.5">
      <c r="E48" s="180">
        <v>20</v>
      </c>
      <c r="AB48" s="1531" t="s">
        <v>146</v>
      </c>
      <c r="AC48" s="1531"/>
      <c r="AD48" s="1531"/>
      <c r="AE48" s="217" t="s">
        <v>147</v>
      </c>
      <c r="AF48" s="208"/>
    </row>
    <row customHeight="1" ht="19.5">
      <c r="E49" s="180">
        <v>20</v>
      </c>
      <c r="AB49" s="1531" t="s">
        <v>148</v>
      </c>
      <c r="AC49" s="1531"/>
      <c r="AD49" s="1531"/>
      <c r="AE49" s="213" t="s">
        <v>149</v>
      </c>
      <c r="AF49" s="208"/>
    </row>
    <row customHeight="1" ht="19.5">
      <c r="E50" s="180">
        <v>20</v>
      </c>
      <c r="AB50" s="1531" t="s">
        <v>150</v>
      </c>
      <c r="AC50" s="1531"/>
      <c r="AD50" s="1531"/>
      <c r="AE50" s="213" t="s">
        <v>151</v>
      </c>
      <c r="AF50" s="208"/>
    </row>
    <row customHeight="1" ht="19.5">
      <c r="E51" s="180">
        <v>20</v>
      </c>
      <c r="AB51" s="1531" t="s">
        <v>152</v>
      </c>
      <c r="AC51" s="1531"/>
      <c r="AD51" s="1531"/>
      <c r="AE51" s="213" t="s">
        <v>153</v>
      </c>
      <c r="AF51" s="208"/>
    </row>
    <row customHeight="1" ht="19.5">
      <c r="E52" s="180">
        <v>20</v>
      </c>
      <c r="AB52" s="1531" t="s">
        <v>154</v>
      </c>
      <c r="AC52" s="1531"/>
      <c r="AD52" s="1531"/>
      <c r="AE52" s="213" t="s">
        <v>155</v>
      </c>
      <c r="AF52" s="208"/>
    </row>
    <row customHeight="1" ht="19.5">
      <c r="E53" s="180">
        <v>20</v>
      </c>
      <c r="AB53" s="1531" t="s">
        <v>156</v>
      </c>
      <c r="AC53" s="1531"/>
      <c r="AD53" s="212" t="s">
        <v>157</v>
      </c>
      <c r="AE53" s="218" t="s">
        <v>158</v>
      </c>
      <c r="AF53" s="208"/>
    </row>
    <row customHeight="1" ht="19.5" hidden="1">
      <c r="A54" s="371"/>
      <c r="B54" s="192">
        <f>STATE_SHARE_EXISTENCE&lt;&gt;"нет"</f>
        <v>0</v>
      </c>
      <c r="C54" s="1548"/>
      <c r="D54" s="1548"/>
      <c r="E54" s="180">
        <v>20</v>
      </c>
      <c r="F54" s="1659"/>
      <c r="G54" s="1548"/>
      <c r="H54" s="1548"/>
      <c r="I54" s="1548"/>
      <c r="J54" s="1548"/>
      <c r="K54" s="1548"/>
      <c r="L54" s="1548"/>
      <c r="M54" s="1548"/>
      <c r="N54" s="1548"/>
      <c r="O54" s="1548"/>
      <c r="P54" s="1548"/>
      <c r="Q54" s="1548"/>
      <c r="R54" s="1548"/>
      <c r="S54" s="1548"/>
      <c r="T54" s="1548"/>
      <c r="U54" s="1548"/>
      <c r="V54" s="1548"/>
      <c r="W54" s="1548"/>
      <c r="X54" s="1548"/>
      <c r="Y54" s="1548"/>
      <c r="Z54" s="1548"/>
      <c r="AA54" s="1009"/>
      <c r="AB54" s="1531"/>
      <c r="AC54" s="1531"/>
      <c r="AD54" s="212" t="s">
        <v>159</v>
      </c>
      <c r="AE54" s="218" t="s">
        <v>160</v>
      </c>
      <c r="AF54" s="208"/>
      <c r="AG54" s="1659"/>
      <c r="AH54" s="1659"/>
      <c r="AI54" s="1659"/>
      <c r="AJ54" s="1659"/>
      <c r="AK54" s="1659"/>
      <c r="AL54" s="1659"/>
      <c r="AM54" s="1659"/>
      <c r="AN54" s="1659"/>
      <c r="AO54" s="1751"/>
      <c r="AP54" s="1751"/>
      <c r="AQ54" s="1751"/>
      <c r="AR54" s="1751"/>
      <c r="AS54" s="1751"/>
      <c r="AT54" s="1751"/>
      <c r="AU54" s="1751"/>
      <c r="AV54" s="1751"/>
      <c r="AW54" s="1751"/>
      <c r="AX54" s="1751"/>
      <c r="AY54" s="1751"/>
      <c r="AZ54" s="1751"/>
      <c r="BA54" s="1751"/>
      <c r="BB54" s="1751"/>
      <c r="BC54" s="1751"/>
      <c r="BD54" s="1751"/>
      <c r="BE54" s="1751"/>
      <c r="BF54" s="1752"/>
      <c r="BG54" s="1752"/>
      <c r="BH54" s="1752"/>
      <c r="BI54" s="1752"/>
      <c r="BJ54" s="1752"/>
      <c r="BK54" s="1752"/>
      <c r="BL54" s="1752"/>
      <c r="BM54" s="1752"/>
      <c r="BN54" s="1752"/>
      <c r="BO54" s="1752"/>
      <c r="BP54" s="1752"/>
      <c r="BQ54" s="1752"/>
      <c r="BR54" s="1752"/>
      <c r="BS54" s="1752"/>
      <c r="BT54" s="1752"/>
      <c r="BU54" s="1752"/>
      <c r="BV54" s="1752"/>
      <c r="BW54" s="1506"/>
      <c r="BX54" s="1752"/>
      <c r="BY54" s="1752"/>
      <c r="BZ54" s="1752"/>
    </row>
    <row customHeight="1" ht="19.5" hidden="1">
      <c r="A55" s="371"/>
      <c r="B55" s="192">
        <f>STATE_SHARE_EXISTENCE&lt;&gt;"нет"</f>
        <v>0</v>
      </c>
      <c r="C55" s="1548"/>
      <c r="D55" s="1548"/>
      <c r="E55" s="180">
        <v>20</v>
      </c>
      <c r="F55" s="1659"/>
      <c r="G55" s="1548"/>
      <c r="H55" s="1548"/>
      <c r="I55" s="1548"/>
      <c r="J55" s="1548"/>
      <c r="K55" s="1548"/>
      <c r="L55" s="1548"/>
      <c r="M55" s="1548"/>
      <c r="N55" s="1548"/>
      <c r="O55" s="1548"/>
      <c r="P55" s="1548"/>
      <c r="Q55" s="1548"/>
      <c r="R55" s="1548"/>
      <c r="S55" s="1548"/>
      <c r="T55" s="1548"/>
      <c r="U55" s="1548"/>
      <c r="V55" s="1548"/>
      <c r="W55" s="1548"/>
      <c r="X55" s="1548"/>
      <c r="Y55" s="1548"/>
      <c r="Z55" s="1548"/>
      <c r="AA55" s="1009"/>
      <c r="AB55" s="1531"/>
      <c r="AC55" s="1531"/>
      <c r="AD55" s="212" t="s">
        <v>161</v>
      </c>
      <c r="AE55" s="218" t="s">
        <v>162</v>
      </c>
      <c r="AF55" s="208"/>
      <c r="AG55" s="1659"/>
      <c r="AH55" s="1659"/>
      <c r="AI55" s="1659"/>
      <c r="AJ55" s="1659"/>
      <c r="AK55" s="1659"/>
      <c r="AL55" s="1659"/>
      <c r="AM55" s="1659"/>
      <c r="AN55" s="1659"/>
      <c r="AO55" s="1751"/>
      <c r="AP55" s="1751"/>
      <c r="AQ55" s="1751"/>
      <c r="AR55" s="1751"/>
      <c r="AS55" s="1751"/>
      <c r="AT55" s="1751"/>
      <c r="AU55" s="1751"/>
      <c r="AV55" s="1751"/>
      <c r="AW55" s="1751"/>
      <c r="AX55" s="1751"/>
      <c r="AY55" s="1751"/>
      <c r="AZ55" s="1751"/>
      <c r="BA55" s="1751"/>
      <c r="BB55" s="1751"/>
      <c r="BC55" s="1751"/>
      <c r="BD55" s="1751"/>
      <c r="BE55" s="1751"/>
      <c r="BF55" s="1752"/>
      <c r="BG55" s="1752"/>
      <c r="BH55" s="1752"/>
      <c r="BI55" s="1752"/>
      <c r="BJ55" s="1752"/>
      <c r="BK55" s="1752"/>
      <c r="BL55" s="1752"/>
      <c r="BM55" s="1752"/>
      <c r="BN55" s="1752"/>
      <c r="BO55" s="1752"/>
      <c r="BP55" s="1752"/>
      <c r="BQ55" s="1752"/>
      <c r="BR55" s="1752"/>
      <c r="BS55" s="1752"/>
      <c r="BT55" s="1752"/>
      <c r="BU55" s="1752"/>
      <c r="BV55" s="1752"/>
      <c r="BW55" s="1506"/>
      <c r="BX55" s="1752"/>
      <c r="BY55" s="1752"/>
      <c r="BZ55" s="1752"/>
    </row>
    <row customHeight="1" ht="24.375">
      <c r="E56" s="180">
        <v>25</v>
      </c>
      <c r="AB56" s="1531" t="s">
        <v>163</v>
      </c>
      <c r="AC56" s="1531"/>
      <c r="AD56" s="1531"/>
      <c r="AE56" s="218" t="s">
        <v>158</v>
      </c>
      <c r="AF56" s="219"/>
    </row>
    <row customHeight="1" ht="24.375">
      <c r="E57" s="180">
        <v>25</v>
      </c>
      <c r="AB57" s="1531" t="s">
        <v>164</v>
      </c>
      <c r="AC57" s="1531"/>
      <c r="AD57" s="1531"/>
      <c r="AE57" s="218" t="s">
        <v>165</v>
      </c>
      <c r="AF57" s="219"/>
    </row>
    <row customHeight="1" ht="19.5">
      <c r="E58" s="180">
        <v>20</v>
      </c>
      <c r="AB58" s="1531" t="s">
        <v>166</v>
      </c>
      <c r="AC58" s="1531"/>
      <c r="AD58" s="1531"/>
      <c r="AE58" s="218" t="s">
        <v>167</v>
      </c>
      <c r="AF58" s="208"/>
    </row>
    <row customHeight="1" ht="24.375">
      <c r="E59" s="180">
        <v>25</v>
      </c>
      <c r="AB59" s="1531" t="s">
        <v>168</v>
      </c>
      <c r="AC59" s="1531"/>
      <c r="AD59" s="1531"/>
      <c r="AE59" s="218" t="s">
        <v>167</v>
      </c>
      <c r="AF59" s="219"/>
    </row>
    <row customHeight="1" ht="19.5">
      <c r="E60" s="180">
        <v>20</v>
      </c>
      <c r="AB60" s="1531" t="s">
        <v>169</v>
      </c>
      <c r="AC60" s="1531"/>
      <c r="AD60" s="1531"/>
      <c r="AE60" s="220" t="s">
        <v>158</v>
      </c>
      <c r="AF60" s="208"/>
    </row>
    <row customHeight="1" ht="19.5" hidden="1">
      <c r="A61" s="371"/>
      <c r="B61" s="192">
        <f>STATUS_ETO="да"</f>
        <v>0</v>
      </c>
      <c r="C61" s="1548"/>
      <c r="D61" s="1548"/>
      <c r="E61" s="180">
        <v>20</v>
      </c>
      <c r="F61" s="1659"/>
      <c r="G61" s="1548"/>
      <c r="H61" s="1548"/>
      <c r="I61" s="1548"/>
      <c r="J61" s="1548"/>
      <c r="K61" s="1548"/>
      <c r="L61" s="1548"/>
      <c r="M61" s="1548"/>
      <c r="N61" s="1548"/>
      <c r="O61" s="1548"/>
      <c r="P61" s="1548"/>
      <c r="Q61" s="1548"/>
      <c r="R61" s="1548"/>
      <c r="S61" s="1548"/>
      <c r="T61" s="1548"/>
      <c r="U61" s="1548"/>
      <c r="V61" s="1548"/>
      <c r="W61" s="1548"/>
      <c r="X61" s="1548"/>
      <c r="Y61" s="1548"/>
      <c r="Z61" s="1548"/>
      <c r="AA61" s="1009"/>
      <c r="AB61" s="1531" t="s">
        <v>170</v>
      </c>
      <c r="AC61" s="1531"/>
      <c r="AD61" s="1531"/>
      <c r="AE61" s="1753"/>
      <c r="AF61" s="208"/>
      <c r="AG61" s="1659"/>
      <c r="AH61" s="1659"/>
      <c r="AI61" s="1659"/>
      <c r="AJ61" s="1659"/>
      <c r="AK61" s="1659"/>
      <c r="AL61" s="1659"/>
      <c r="AM61" s="1659"/>
      <c r="AN61" s="1659"/>
      <c r="AO61" s="1751"/>
      <c r="AP61" s="1751"/>
      <c r="AQ61" s="1751"/>
      <c r="AR61" s="1751"/>
      <c r="AS61" s="1751"/>
      <c r="AT61" s="1751"/>
      <c r="AU61" s="1751"/>
      <c r="AV61" s="1751"/>
      <c r="AW61" s="1751"/>
      <c r="AX61" s="1751"/>
      <c r="AY61" s="1751"/>
      <c r="AZ61" s="1751"/>
      <c r="BA61" s="1751"/>
      <c r="BB61" s="1751"/>
      <c r="BC61" s="1751"/>
      <c r="BD61" s="1751"/>
      <c r="BE61" s="1751"/>
      <c r="BF61" s="1752"/>
      <c r="BG61" s="1752"/>
      <c r="BH61" s="1752"/>
      <c r="BI61" s="1752"/>
      <c r="BJ61" s="1752"/>
      <c r="BK61" s="1752"/>
      <c r="BL61" s="1752"/>
      <c r="BM61" s="1752"/>
      <c r="BN61" s="1752"/>
      <c r="BO61" s="1752"/>
      <c r="BP61" s="1752"/>
      <c r="BQ61" s="1752"/>
      <c r="BR61" s="1752"/>
      <c r="BS61" s="1752"/>
      <c r="BT61" s="1752"/>
      <c r="BU61" s="1752"/>
      <c r="BV61" s="1752"/>
      <c r="BW61" s="1506"/>
      <c r="BX61" s="1752"/>
      <c r="BY61" s="1752"/>
      <c r="BZ61" s="1752"/>
    </row>
    <row customHeight="1" ht="20.25" hidden="1">
      <c r="E62" s="965">
        <v>0</v>
      </c>
      <c r="V62" s="970"/>
      <c r="W62" s="970"/>
      <c r="X62" s="970"/>
      <c r="Y62" s="970"/>
      <c r="AA62" s="955" t="s">
        <v>171</v>
      </c>
      <c r="AB62" s="1580" t="s">
        <v>172</v>
      </c>
      <c r="AC62" s="1580"/>
      <c r="AD62" s="1580"/>
      <c r="AE62" s="221"/>
      <c r="AF62" s="222"/>
    </row>
    <row customHeight="1" ht="15" hidden="1">
      <c r="E63" s="965">
        <v>0</v>
      </c>
      <c r="V63" s="970"/>
      <c r="W63" s="970"/>
      <c r="X63" s="971"/>
      <c r="Y63" s="970"/>
      <c r="AA63" s="223"/>
      <c r="AB63" s="224"/>
      <c r="AC63" s="225"/>
      <c r="AD63" s="225"/>
      <c r="AE63" s="226"/>
      <c r="AF63" s="222"/>
    </row>
    <row customHeight="1" ht="19.5">
      <c r="E64" s="180">
        <v>20</v>
      </c>
      <c r="AB64" s="1531" t="s">
        <v>173</v>
      </c>
      <c r="AC64" s="1531"/>
      <c r="AD64" s="1531"/>
      <c r="AE64" s="218" t="s">
        <v>158</v>
      </c>
      <c r="AF64" s="208"/>
    </row>
    <row customHeight="1" ht="19.5" hidden="1">
      <c r="E65" s="965">
        <v>0</v>
      </c>
      <c r="AB65" s="1531"/>
      <c r="AC65" s="1531"/>
      <c r="AD65" s="1531"/>
      <c r="AE65" s="227"/>
      <c r="AF65" s="208"/>
    </row>
    <row customHeight="1" ht="19.5" hidden="1">
      <c r="E66" s="965">
        <v>0</v>
      </c>
      <c r="AB66" s="1534"/>
      <c r="AC66" s="1531"/>
      <c r="AD66" s="1531"/>
      <c r="AE66" s="228"/>
      <c r="AF66" s="208"/>
    </row>
    <row customHeight="1" ht="19.5" hidden="1">
      <c r="E67" s="965">
        <v>0</v>
      </c>
      <c r="AB67" s="1534"/>
      <c r="AC67" s="1531"/>
      <c r="AD67" s="1531"/>
      <c r="AE67" s="228"/>
      <c r="AF67" s="208"/>
    </row>
    <row customHeight="1" ht="19.5" hidden="1">
      <c r="E68" s="965">
        <v>0</v>
      </c>
      <c r="AB68" s="1534"/>
      <c r="AC68" s="1531"/>
      <c r="AD68" s="1531"/>
      <c r="AE68" s="228"/>
      <c r="AF68" s="208"/>
    </row>
    <row customHeight="1" ht="19.5" hidden="1">
      <c r="E69" s="965">
        <v>0</v>
      </c>
      <c r="AB69" s="1534"/>
      <c r="AC69" s="1531"/>
      <c r="AD69" s="1531"/>
      <c r="AE69" s="229"/>
      <c r="AF69" s="208"/>
    </row>
    <row customHeight="1" ht="19.5" hidden="1">
      <c r="E70" s="965">
        <v>0</v>
      </c>
      <c r="AB70" s="1534"/>
      <c r="AC70" s="1531"/>
      <c r="AD70" s="1531"/>
      <c r="AE70" s="230"/>
      <c r="AF70" s="208"/>
    </row>
    <row customHeight="1" ht="15" hidden="1">
      <c r="E71" s="965">
        <v>0</v>
      </c>
      <c r="AB71" s="232"/>
      <c r="AC71" s="233"/>
      <c r="AD71" s="233"/>
      <c r="AE71" s="234"/>
      <c r="AF71" s="208"/>
    </row>
    <row customHeight="1" ht="19.5" hidden="1">
      <c r="E72" s="965">
        <v>0</v>
      </c>
      <c r="AB72" s="1531"/>
      <c r="AC72" s="1531"/>
      <c r="AD72" s="1531"/>
      <c r="AE72" s="227"/>
      <c r="AF72" s="208"/>
    </row>
    <row customHeight="1" ht="19.5" hidden="1">
      <c r="A73" s="371"/>
      <c r="B73" s="192">
        <f>HAS_DOC3="да"</f>
        <v>0</v>
      </c>
      <c r="C73" s="1548"/>
      <c r="D73" s="1548"/>
      <c r="E73" s="180">
        <v>20</v>
      </c>
      <c r="F73" s="1659"/>
      <c r="G73" s="1548"/>
      <c r="H73" s="1548"/>
      <c r="I73" s="1548"/>
      <c r="J73" s="1548"/>
      <c r="K73" s="1548"/>
      <c r="L73" s="1548"/>
      <c r="M73" s="1548"/>
      <c r="N73" s="1548"/>
      <c r="O73" s="1548"/>
      <c r="P73" s="1548"/>
      <c r="Q73" s="1548"/>
      <c r="R73" s="1548"/>
      <c r="S73" s="1548"/>
      <c r="T73" s="1548"/>
      <c r="U73" s="1548"/>
      <c r="V73" s="1548"/>
      <c r="W73" s="1548"/>
      <c r="X73" s="1548"/>
      <c r="Y73" s="1548"/>
      <c r="Z73" s="1561">
        <v>0</v>
      </c>
      <c r="AA73" s="1009"/>
      <c r="AB73" s="1534" t="s">
        <v>174</v>
      </c>
      <c r="AC73" s="1531" t="s">
        <v>175</v>
      </c>
      <c r="AD73" s="1531"/>
      <c r="AE73" s="1756" t="s">
        <v>176</v>
      </c>
      <c r="AF73" s="208"/>
      <c r="AG73" s="1659"/>
      <c r="AH73" s="1659"/>
      <c r="AI73" s="1659"/>
      <c r="AJ73" s="1659"/>
      <c r="AK73" s="1659"/>
      <c r="AL73" s="1659"/>
      <c r="AM73" s="1659"/>
      <c r="AN73" s="1659"/>
      <c r="AO73" s="1751"/>
      <c r="AP73" s="1751"/>
      <c r="AQ73" s="1751"/>
      <c r="AR73" s="1751"/>
      <c r="AS73" s="1751"/>
      <c r="AT73" s="1751"/>
      <c r="AU73" s="1751"/>
      <c r="AV73" s="1751"/>
      <c r="AW73" s="1751"/>
      <c r="AX73" s="1751"/>
      <c r="AY73" s="1751"/>
      <c r="AZ73" s="1751"/>
      <c r="BA73" s="1751"/>
      <c r="BB73" s="1751"/>
      <c r="BC73" s="1751"/>
      <c r="BD73" s="1751"/>
      <c r="BE73" s="1751"/>
      <c r="BF73" s="1752"/>
      <c r="BG73" s="1752"/>
      <c r="BH73" s="1752"/>
      <c r="BI73" s="1752"/>
      <c r="BJ73" s="1752" t="s">
        <v>177</v>
      </c>
      <c r="BK73" s="1752"/>
      <c r="BL73" s="1752"/>
      <c r="BM73" s="1752"/>
      <c r="BN73" s="1752"/>
      <c r="BO73" s="1752"/>
      <c r="BP73" s="1752"/>
      <c r="BQ73" s="1752"/>
      <c r="BR73" s="1752"/>
      <c r="BS73" s="1752"/>
      <c r="BT73" s="1752"/>
      <c r="BU73" s="1752"/>
      <c r="BV73" s="1752"/>
      <c r="BW73" s="1506" cm="1" t="str">
        <f t="array" ref="BW73:BW73">$AE73</f>
        <v/>
      </c>
      <c r="BX73" s="1752" t="s">
        <v>178</v>
      </c>
      <c r="BY73" s="1752" t="s">
        <v>179</v>
      </c>
      <c r="BZ73" s="1752" t="s">
        <v>180</v>
      </c>
    </row>
    <row customHeight="1" ht="19.5" hidden="1">
      <c r="A74" s="371"/>
      <c r="B74" s="192">
        <f>HAS_DOC3="да"</f>
        <v>0</v>
      </c>
      <c r="C74" s="1548"/>
      <c r="D74" s="1548"/>
      <c r="E74" s="180">
        <v>20</v>
      </c>
      <c r="F74" s="1659"/>
      <c r="G74" s="1548"/>
      <c r="H74" s="1548"/>
      <c r="I74" s="1548"/>
      <c r="J74" s="1548"/>
      <c r="K74" s="1548"/>
      <c r="L74" s="1548"/>
      <c r="M74" s="1548"/>
      <c r="N74" s="1548"/>
      <c r="O74" s="1548"/>
      <c r="P74" s="1548"/>
      <c r="Q74" s="1548"/>
      <c r="R74" s="1548"/>
      <c r="S74" s="1548"/>
      <c r="T74" s="1548"/>
      <c r="U74" s="1548"/>
      <c r="V74" s="1548"/>
      <c r="W74" s="1548"/>
      <c r="X74" s="1548"/>
      <c r="Y74" s="1548"/>
      <c r="Z74" s="1561"/>
      <c r="AA74" s="1009"/>
      <c r="AB74" s="1534"/>
      <c r="AC74" s="1531" t="s">
        <v>181</v>
      </c>
      <c r="AD74" s="1531"/>
      <c r="AE74" s="1758" t="s">
        <v>176</v>
      </c>
      <c r="AF74" s="208"/>
      <c r="AG74" s="1659"/>
      <c r="AH74" s="1659"/>
      <c r="AI74" s="1659"/>
      <c r="AJ74" s="1659"/>
      <c r="AK74" s="1659"/>
      <c r="AL74" s="1659"/>
      <c r="AM74" s="1659"/>
      <c r="AN74" s="1659"/>
      <c r="AO74" s="1751"/>
      <c r="AP74" s="1751"/>
      <c r="AQ74" s="1751"/>
      <c r="AR74" s="1751"/>
      <c r="AS74" s="1751"/>
      <c r="AT74" s="1751"/>
      <c r="AU74" s="1751"/>
      <c r="AV74" s="1751"/>
      <c r="AW74" s="1751"/>
      <c r="AX74" s="1751"/>
      <c r="AY74" s="1751"/>
      <c r="AZ74" s="1751"/>
      <c r="BA74" s="1751"/>
      <c r="BB74" s="1751"/>
      <c r="BC74" s="1751"/>
      <c r="BD74" s="1751"/>
      <c r="BE74" s="1751"/>
      <c r="BF74" s="1752"/>
      <c r="BG74" s="1752"/>
      <c r="BH74" s="1752"/>
      <c r="BI74" s="1752"/>
      <c r="BJ74" s="1752" t="s">
        <v>177</v>
      </c>
      <c r="BK74" s="1752"/>
      <c r="BL74" s="1752"/>
      <c r="BM74" s="1752"/>
      <c r="BN74" s="1752"/>
      <c r="BO74" s="1752"/>
      <c r="BP74" s="1752"/>
      <c r="BQ74" s="1752"/>
      <c r="BR74" s="1752"/>
      <c r="BS74" s="1752"/>
      <c r="BT74" s="1752"/>
      <c r="BU74" s="1752"/>
      <c r="BV74" s="1752"/>
      <c r="BW74" s="1506" cm="1" t="str">
        <f t="array" ref="BW74:BW74">$BW73</f>
        <v/>
      </c>
      <c r="BX74" s="1752" t="s">
        <v>178</v>
      </c>
      <c r="BY74" s="1752" t="s">
        <v>182</v>
      </c>
      <c r="BZ74" s="1752" t="s">
        <v>180</v>
      </c>
    </row>
    <row customHeight="1" ht="19.5" hidden="1">
      <c r="A75" s="371"/>
      <c r="B75" s="192">
        <f>HAS_DOC3="да"</f>
        <v>0</v>
      </c>
      <c r="C75" s="1548"/>
      <c r="D75" s="1548"/>
      <c r="E75" s="180">
        <v>20</v>
      </c>
      <c r="F75" s="1659"/>
      <c r="G75" s="1548"/>
      <c r="H75" s="1548"/>
      <c r="I75" s="1548"/>
      <c r="J75" s="1548"/>
      <c r="K75" s="1548"/>
      <c r="L75" s="1548"/>
      <c r="M75" s="1548"/>
      <c r="N75" s="1548"/>
      <c r="O75" s="1548"/>
      <c r="P75" s="1548"/>
      <c r="Q75" s="1548"/>
      <c r="R75" s="1548"/>
      <c r="S75" s="1548"/>
      <c r="T75" s="1548"/>
      <c r="U75" s="1548"/>
      <c r="V75" s="1548"/>
      <c r="W75" s="1548"/>
      <c r="X75" s="1548"/>
      <c r="Y75" s="1548"/>
      <c r="Z75" s="1561"/>
      <c r="AA75" s="1009"/>
      <c r="AB75" s="1534"/>
      <c r="AC75" s="1531" t="s">
        <v>183</v>
      </c>
      <c r="AD75" s="1531"/>
      <c r="AE75" s="1758" t="s">
        <v>176</v>
      </c>
      <c r="AF75" s="208"/>
      <c r="AG75" s="1659"/>
      <c r="AH75" s="1659"/>
      <c r="AI75" s="1659"/>
      <c r="AJ75" s="1659"/>
      <c r="AK75" s="1659"/>
      <c r="AL75" s="1659"/>
      <c r="AM75" s="1659"/>
      <c r="AN75" s="1659"/>
      <c r="AO75" s="1751"/>
      <c r="AP75" s="1751"/>
      <c r="AQ75" s="1751"/>
      <c r="AR75" s="1751"/>
      <c r="AS75" s="1751"/>
      <c r="AT75" s="1751"/>
      <c r="AU75" s="1751"/>
      <c r="AV75" s="1751"/>
      <c r="AW75" s="1751"/>
      <c r="AX75" s="1751"/>
      <c r="AY75" s="1751"/>
      <c r="AZ75" s="1751"/>
      <c r="BA75" s="1751"/>
      <c r="BB75" s="1751"/>
      <c r="BC75" s="1751"/>
      <c r="BD75" s="1751"/>
      <c r="BE75" s="1751"/>
      <c r="BF75" s="1752"/>
      <c r="BG75" s="1752"/>
      <c r="BH75" s="1752"/>
      <c r="BI75" s="1752"/>
      <c r="BJ75" s="0" t="s">
        <v>177</v>
      </c>
      <c r="BK75" s="1752"/>
      <c r="BL75" s="1752"/>
      <c r="BM75" s="1752"/>
      <c r="BN75" s="1752"/>
      <c r="BO75" s="1752"/>
      <c r="BP75" s="1752"/>
      <c r="BQ75" s="1752"/>
      <c r="BR75" s="1752"/>
      <c r="BS75" s="1752"/>
      <c r="BT75" s="1752"/>
      <c r="BU75" s="1752"/>
      <c r="BV75" s="1752"/>
      <c r="BW75" s="1506" cm="1" t="str">
        <f t="array" ref="BW75:BW75">$BW74</f>
        <v/>
      </c>
      <c r="BX75" s="0" t="s">
        <v>178</v>
      </c>
      <c r="BY75" s="0" t="s">
        <v>184</v>
      </c>
      <c r="BZ75" s="0" t="s">
        <v>180</v>
      </c>
    </row>
    <row customHeight="1" ht="19.5" hidden="1">
      <c r="A76" s="371"/>
      <c r="B76" s="192">
        <f>HAS_DOC3="да"</f>
        <v>0</v>
      </c>
      <c r="C76" s="1548"/>
      <c r="D76" s="1548"/>
      <c r="E76" s="180">
        <v>20</v>
      </c>
      <c r="F76" s="1659"/>
      <c r="G76" s="1548"/>
      <c r="H76" s="1548"/>
      <c r="I76" s="1548"/>
      <c r="J76" s="1548"/>
      <c r="K76" s="1548"/>
      <c r="L76" s="1548"/>
      <c r="M76" s="1548"/>
      <c r="N76" s="1548"/>
      <c r="O76" s="1548"/>
      <c r="P76" s="1548"/>
      <c r="Q76" s="1548"/>
      <c r="R76" s="1548"/>
      <c r="S76" s="1548"/>
      <c r="T76" s="1548"/>
      <c r="U76" s="1548"/>
      <c r="V76" s="1548"/>
      <c r="W76" s="1548"/>
      <c r="X76" s="1548"/>
      <c r="Y76" s="1548"/>
      <c r="Z76" s="1561"/>
      <c r="AA76" s="1009"/>
      <c r="AB76" s="1534"/>
      <c r="AC76" s="1531" t="s">
        <v>185</v>
      </c>
      <c r="AD76" s="1531"/>
      <c r="AE76" s="1760" t="s">
        <v>176</v>
      </c>
      <c r="AF76" s="208"/>
      <c r="AG76" s="1659"/>
      <c r="AH76" s="1659"/>
      <c r="AI76" s="1659"/>
      <c r="AJ76" s="1659"/>
      <c r="AK76" s="1659"/>
      <c r="AL76" s="1659"/>
      <c r="AM76" s="1659"/>
      <c r="AN76" s="1659"/>
      <c r="AO76" s="1751"/>
      <c r="AP76" s="1751"/>
      <c r="AQ76" s="1751"/>
      <c r="AR76" s="1751"/>
      <c r="AS76" s="1751"/>
      <c r="AT76" s="1751"/>
      <c r="AU76" s="1751"/>
      <c r="AV76" s="1751"/>
      <c r="AW76" s="1751"/>
      <c r="AX76" s="1751"/>
      <c r="AY76" s="1751"/>
      <c r="AZ76" s="1751"/>
      <c r="BA76" s="1751"/>
      <c r="BB76" s="1751"/>
      <c r="BC76" s="1751"/>
      <c r="BD76" s="1751"/>
      <c r="BE76" s="1751"/>
      <c r="BF76" s="1752"/>
      <c r="BG76" s="1752"/>
      <c r="BH76" s="1752"/>
      <c r="BI76" s="1752"/>
      <c r="BJ76" s="1752" t="s">
        <v>177</v>
      </c>
      <c r="BK76" s="1752"/>
      <c r="BL76" s="1752"/>
      <c r="BM76" s="1752"/>
      <c r="BN76" s="1752"/>
      <c r="BO76" s="1752"/>
      <c r="BP76" s="1752"/>
      <c r="BQ76" s="1752"/>
      <c r="BR76" s="1752"/>
      <c r="BS76" s="1752"/>
      <c r="BT76" s="1752"/>
      <c r="BU76" s="1752"/>
      <c r="BV76" s="1752"/>
      <c r="BW76" s="1506" cm="1" t="str">
        <f t="array" ref="BW76:BW76">$BW75</f>
        <v/>
      </c>
      <c r="BX76" s="1752" t="s">
        <v>178</v>
      </c>
      <c r="BY76" s="1752" t="s">
        <v>186</v>
      </c>
      <c r="BZ76" s="1752" t="s">
        <v>180</v>
      </c>
    </row>
    <row customHeight="1" ht="19.5" hidden="1">
      <c r="A77" s="371"/>
      <c r="B77" s="192">
        <f>HAS_DOC3="да"</f>
        <v>0</v>
      </c>
      <c r="C77" s="1548"/>
      <c r="D77" s="1548"/>
      <c r="E77" s="180">
        <v>20</v>
      </c>
      <c r="F77" s="1659"/>
      <c r="G77" s="1548"/>
      <c r="H77" s="1548"/>
      <c r="I77" s="1548"/>
      <c r="J77" s="1548"/>
      <c r="K77" s="1548"/>
      <c r="L77" s="1548"/>
      <c r="M77" s="1548"/>
      <c r="N77" s="1548"/>
      <c r="O77" s="1548"/>
      <c r="P77" s="1548"/>
      <c r="Q77" s="1548"/>
      <c r="R77" s="1548"/>
      <c r="S77" s="1548"/>
      <c r="T77" s="1548"/>
      <c r="U77" s="1548"/>
      <c r="V77" s="1548"/>
      <c r="W77" s="1548"/>
      <c r="X77" s="1548"/>
      <c r="Y77" s="1548"/>
      <c r="Z77" s="1577"/>
      <c r="AA77" s="1009"/>
      <c r="AB77" s="1534"/>
      <c r="AC77" s="1531" t="s">
        <v>187</v>
      </c>
      <c r="AD77" s="1531"/>
      <c r="AE77" s="1762" t="s">
        <v>176</v>
      </c>
      <c r="AF77" s="208"/>
      <c r="AG77" s="1659"/>
      <c r="AH77" s="1659"/>
      <c r="AI77" s="1659"/>
      <c r="AJ77" s="1659"/>
      <c r="AK77" s="1659"/>
      <c r="AL77" s="1659"/>
      <c r="AM77" s="1659"/>
      <c r="AN77" s="1659"/>
      <c r="AO77" s="1751"/>
      <c r="AP77" s="1751"/>
      <c r="AQ77" s="1751"/>
      <c r="AR77" s="1751"/>
      <c r="AS77" s="1751"/>
      <c r="AT77" s="1751"/>
      <c r="AU77" s="1751"/>
      <c r="AV77" s="1751"/>
      <c r="AW77" s="1751"/>
      <c r="AX77" s="1751"/>
      <c r="AY77" s="1751"/>
      <c r="AZ77" s="1751"/>
      <c r="BA77" s="1751"/>
      <c r="BB77" s="1751"/>
      <c r="BC77" s="1751"/>
      <c r="BD77" s="1751"/>
      <c r="BE77" s="1751"/>
      <c r="BF77" s="1752"/>
      <c r="BG77" s="1752"/>
      <c r="BH77" s="1752"/>
      <c r="BI77" s="1752"/>
      <c r="BJ77" s="1752" t="s">
        <v>177</v>
      </c>
      <c r="BK77" s="1752"/>
      <c r="BL77" s="1752"/>
      <c r="BM77" s="1752"/>
      <c r="BN77" s="1752"/>
      <c r="BO77" s="1752"/>
      <c r="BP77" s="1752"/>
      <c r="BQ77" s="1752"/>
      <c r="BR77" s="1752"/>
      <c r="BS77" s="1752"/>
      <c r="BT77" s="1752"/>
      <c r="BU77" s="1752"/>
      <c r="BV77" s="1752"/>
      <c r="BW77" s="1506" cm="1" t="str">
        <f t="array" ref="BW77:BW77">$BW76</f>
        <v/>
      </c>
      <c r="BX77" s="1752" t="s">
        <v>178</v>
      </c>
      <c r="BY77" s="1752" t="s">
        <v>188</v>
      </c>
      <c r="BZ77" s="1752" t="s">
        <v>180</v>
      </c>
    </row>
    <row customHeight="1" ht="19.5" hidden="1">
      <c r="A78" s="371"/>
      <c r="B78" s="192">
        <f>HAS_DOC3="да"</f>
        <v>0</v>
      </c>
      <c r="C78" s="1548"/>
      <c r="D78" s="1548"/>
      <c r="E78" s="180">
        <v>20</v>
      </c>
      <c r="F78" s="1659"/>
      <c r="G78" s="1548"/>
      <c r="H78" s="1548"/>
      <c r="I78" s="1548"/>
      <c r="J78" s="1548"/>
      <c r="K78" s="1548"/>
      <c r="L78" s="1548"/>
      <c r="M78" s="1548"/>
      <c r="N78" s="1548"/>
      <c r="O78" s="1548"/>
      <c r="P78" s="1548"/>
      <c r="Q78" s="1548"/>
      <c r="R78" s="1548"/>
      <c r="S78" s="1548"/>
      <c r="T78" s="1548"/>
      <c r="U78" s="1548"/>
      <c r="V78" s="753">
        <f>ROW(X78)&gt;ROW(X$78)</f>
        <v>0</v>
      </c>
      <c r="W78" s="1548"/>
      <c r="X78" s="175" t="s">
        <v>189</v>
      </c>
      <c r="Y78" s="1548"/>
      <c r="Z78" s="1577">
        <v>1</v>
      </c>
      <c r="AA78" s="1532" t="s">
        <v>171</v>
      </c>
      <c r="AB78" s="1534" t="s">
        <v>174</v>
      </c>
      <c r="AC78" s="1531" t="s">
        <v>175</v>
      </c>
      <c r="AD78" s="1531"/>
      <c r="AE78" s="1758" t="s">
        <v>176</v>
      </c>
      <c r="AF78" s="208"/>
      <c r="AG78" s="1659"/>
      <c r="AH78" s="1659"/>
      <c r="AI78" s="1659"/>
      <c r="AJ78" s="1659"/>
      <c r="AK78" s="1659"/>
      <c r="AL78" s="1659"/>
      <c r="AM78" s="1659"/>
      <c r="AN78" s="1659"/>
      <c r="AO78" s="1751"/>
      <c r="AP78" s="1751"/>
      <c r="AQ78" s="1751"/>
      <c r="AR78" s="1751"/>
      <c r="AS78" s="1751"/>
      <c r="AT78" s="1751"/>
      <c r="AU78" s="1751"/>
      <c r="AV78" s="1751"/>
      <c r="AW78" s="1751"/>
      <c r="AX78" s="1751"/>
      <c r="AY78" s="1751"/>
      <c r="AZ78" s="1751"/>
      <c r="BA78" s="1751"/>
      <c r="BB78" s="1751"/>
      <c r="BC78" s="1751"/>
      <c r="BD78" s="1751"/>
      <c r="BE78" s="1751"/>
      <c r="BF78" s="1752"/>
      <c r="BG78" s="1752"/>
      <c r="BH78" s="1752"/>
      <c r="BI78" s="1752"/>
      <c r="BJ78" s="1752" t="s">
        <v>177</v>
      </c>
      <c r="BK78" s="1752"/>
      <c r="BL78" s="1752"/>
      <c r="BM78" s="1752"/>
      <c r="BN78" s="1752"/>
      <c r="BO78" s="1752"/>
      <c r="BP78" s="1752"/>
      <c r="BQ78" s="1752"/>
      <c r="BR78" s="1752"/>
      <c r="BS78" s="1752"/>
      <c r="BT78" s="1752"/>
      <c r="BU78" s="1752"/>
      <c r="BV78" s="1752"/>
      <c r="BW78" s="1506" cm="1" t="str">
        <f t="array" ref="BW78:BW78">$AE78</f>
        <v/>
      </c>
      <c r="BX78" s="1752" t="s">
        <v>178</v>
      </c>
      <c r="BY78" s="1752" t="s">
        <v>179</v>
      </c>
      <c r="BZ78" s="1752" t="s">
        <v>180</v>
      </c>
    </row>
    <row customHeight="1" ht="19.5" hidden="1">
      <c r="A79" s="371"/>
      <c r="B79" s="192">
        <f>HAS_DOC3="да"</f>
        <v>0</v>
      </c>
      <c r="C79" s="1548"/>
      <c r="D79" s="1548"/>
      <c r="E79" s="180">
        <v>20</v>
      </c>
      <c r="F79" s="1659"/>
      <c r="G79" s="1548"/>
      <c r="H79" s="1548"/>
      <c r="I79" s="1548"/>
      <c r="J79" s="1548"/>
      <c r="K79" s="1548"/>
      <c r="L79" s="1548"/>
      <c r="M79" s="1548"/>
      <c r="N79" s="1548"/>
      <c r="O79" s="1548"/>
      <c r="P79" s="1548"/>
      <c r="Q79" s="1548"/>
      <c r="R79" s="1548"/>
      <c r="S79" s="1548"/>
      <c r="T79" s="1548"/>
      <c r="U79" s="1548"/>
      <c r="V79" s="753" cm="1" t="str">
        <f t="array" ref="V79:V79">V78</f>
        <v>false</v>
      </c>
      <c r="W79" s="1548"/>
      <c r="X79" s="1548"/>
      <c r="Y79" s="1548"/>
      <c r="Z79" s="1578"/>
      <c r="AA79" s="1533"/>
      <c r="AB79" s="1534"/>
      <c r="AC79" s="1531" t="s">
        <v>181</v>
      </c>
      <c r="AD79" s="1531"/>
      <c r="AE79" s="1758" t="s">
        <v>176</v>
      </c>
      <c r="AF79" s="208"/>
      <c r="AG79" s="1659"/>
      <c r="AH79" s="1659"/>
      <c r="AI79" s="1659"/>
      <c r="AJ79" s="1659"/>
      <c r="AK79" s="1659"/>
      <c r="AL79" s="1659"/>
      <c r="AM79" s="1659"/>
      <c r="AN79" s="1659"/>
      <c r="AO79" s="1751"/>
      <c r="AP79" s="1751"/>
      <c r="AQ79" s="1751"/>
      <c r="AR79" s="1751"/>
      <c r="AS79" s="1751"/>
      <c r="AT79" s="1751"/>
      <c r="AU79" s="1751"/>
      <c r="AV79" s="1751"/>
      <c r="AW79" s="1751"/>
      <c r="AX79" s="1751"/>
      <c r="AY79" s="1751"/>
      <c r="AZ79" s="1751"/>
      <c r="BA79" s="1751"/>
      <c r="BB79" s="1751"/>
      <c r="BC79" s="1751"/>
      <c r="BD79" s="1751"/>
      <c r="BE79" s="1751"/>
      <c r="BF79" s="1752"/>
      <c r="BG79" s="1752"/>
      <c r="BH79" s="1752"/>
      <c r="BI79" s="1752"/>
      <c r="BJ79" s="1752" t="s">
        <v>177</v>
      </c>
      <c r="BK79" s="1752"/>
      <c r="BL79" s="1752"/>
      <c r="BM79" s="1752"/>
      <c r="BN79" s="1752"/>
      <c r="BO79" s="1752"/>
      <c r="BP79" s="1752"/>
      <c r="BQ79" s="1752"/>
      <c r="BR79" s="1752"/>
      <c r="BS79" s="1752"/>
      <c r="BT79" s="1752"/>
      <c r="BU79" s="1752"/>
      <c r="BV79" s="1752"/>
      <c r="BW79" s="1506" cm="1" t="str">
        <f t="array" ref="BW79:BW79">$BW78</f>
        <v/>
      </c>
      <c r="BX79" s="1752" t="s">
        <v>178</v>
      </c>
      <c r="BY79" s="1752" t="s">
        <v>182</v>
      </c>
      <c r="BZ79" s="1752" t="s">
        <v>180</v>
      </c>
    </row>
    <row customHeight="1" ht="19.5" hidden="1">
      <c r="A80" s="371"/>
      <c r="B80" s="192">
        <f>HAS_DOC3="да"</f>
        <v>0</v>
      </c>
      <c r="C80" s="1548"/>
      <c r="D80" s="1548"/>
      <c r="E80" s="180">
        <v>20</v>
      </c>
      <c r="F80" s="1659"/>
      <c r="G80" s="1548"/>
      <c r="H80" s="1548"/>
      <c r="I80" s="1548"/>
      <c r="J80" s="1548"/>
      <c r="K80" s="1548"/>
      <c r="L80" s="1548"/>
      <c r="M80" s="1548"/>
      <c r="N80" s="1548"/>
      <c r="O80" s="1548"/>
      <c r="P80" s="1548"/>
      <c r="Q80" s="1548"/>
      <c r="R80" s="1548"/>
      <c r="S80" s="1548"/>
      <c r="T80" s="1548"/>
      <c r="U80" s="1548"/>
      <c r="V80" s="753" cm="1" t="str">
        <f t="array" ref="V80:V80">V79</f>
        <v>false</v>
      </c>
      <c r="W80" s="1548"/>
      <c r="X80" s="1548"/>
      <c r="Y80" s="1548"/>
      <c r="Z80" s="1578"/>
      <c r="AA80" s="1533"/>
      <c r="AB80" s="1534"/>
      <c r="AC80" s="1531" t="s">
        <v>183</v>
      </c>
      <c r="AD80" s="1531"/>
      <c r="AE80" s="1758" t="s">
        <v>176</v>
      </c>
      <c r="AF80" s="208"/>
      <c r="AG80" s="1659"/>
      <c r="AH80" s="1659"/>
      <c r="AI80" s="1659"/>
      <c r="AJ80" s="1659"/>
      <c r="AK80" s="1659"/>
      <c r="AL80" s="1659"/>
      <c r="AM80" s="1659"/>
      <c r="AN80" s="1659"/>
      <c r="AO80" s="1751"/>
      <c r="AP80" s="1751"/>
      <c r="AQ80" s="1751"/>
      <c r="AR80" s="1751"/>
      <c r="AS80" s="1751"/>
      <c r="AT80" s="1751"/>
      <c r="AU80" s="1751"/>
      <c r="AV80" s="1751"/>
      <c r="AW80" s="1751"/>
      <c r="AX80" s="1751"/>
      <c r="AY80" s="1751"/>
      <c r="AZ80" s="1751"/>
      <c r="BA80" s="1751"/>
      <c r="BB80" s="1751"/>
      <c r="BC80" s="1751"/>
      <c r="BD80" s="1751"/>
      <c r="BE80" s="1751"/>
      <c r="BF80" s="1752"/>
      <c r="BG80" s="1752"/>
      <c r="BH80" s="1752"/>
      <c r="BI80" s="1752"/>
      <c r="BJ80" s="1752" t="s">
        <v>177</v>
      </c>
      <c r="BK80" s="1752"/>
      <c r="BL80" s="1752"/>
      <c r="BM80" s="1752"/>
      <c r="BN80" s="1752"/>
      <c r="BO80" s="1752"/>
      <c r="BP80" s="1752"/>
      <c r="BQ80" s="1752"/>
      <c r="BR80" s="1752"/>
      <c r="BS80" s="1752"/>
      <c r="BT80" s="1752"/>
      <c r="BU80" s="1752"/>
      <c r="BV80" s="1752"/>
      <c r="BW80" s="1506" cm="1" t="str">
        <f t="array" ref="BW80:BW80">$BW79</f>
        <v/>
      </c>
      <c r="BX80" s="1752" t="s">
        <v>178</v>
      </c>
      <c r="BY80" s="1752" t="s">
        <v>184</v>
      </c>
      <c r="BZ80" s="1752" t="s">
        <v>180</v>
      </c>
    </row>
    <row customHeight="1" ht="19.5" hidden="1">
      <c r="A81" s="371"/>
      <c r="B81" s="192">
        <f>HAS_DOC3="да"</f>
        <v>0</v>
      </c>
      <c r="C81" s="1548"/>
      <c r="D81" s="1548"/>
      <c r="E81" s="180">
        <v>20</v>
      </c>
      <c r="F81" s="1659"/>
      <c r="G81" s="1548"/>
      <c r="H81" s="1548"/>
      <c r="I81" s="1548"/>
      <c r="J81" s="1548"/>
      <c r="K81" s="1548"/>
      <c r="L81" s="1548"/>
      <c r="M81" s="1548"/>
      <c r="N81" s="1548"/>
      <c r="O81" s="1548"/>
      <c r="P81" s="1548"/>
      <c r="Q81" s="1548"/>
      <c r="R81" s="1548"/>
      <c r="S81" s="1548"/>
      <c r="T81" s="1548"/>
      <c r="U81" s="1548"/>
      <c r="V81" s="753" cm="1" t="str">
        <f t="array" ref="V81:V81">V80</f>
        <v>false</v>
      </c>
      <c r="W81" s="1548"/>
      <c r="X81" s="1548"/>
      <c r="Y81" s="1548"/>
      <c r="Z81" s="1578"/>
      <c r="AA81" s="1533"/>
      <c r="AB81" s="1534"/>
      <c r="AC81" s="1531" t="s">
        <v>185</v>
      </c>
      <c r="AD81" s="1531"/>
      <c r="AE81" s="1767" t="s">
        <v>176</v>
      </c>
      <c r="AF81" s="208"/>
      <c r="AG81" s="1659"/>
      <c r="AH81" s="1659"/>
      <c r="AI81" s="1659"/>
      <c r="AJ81" s="1659"/>
      <c r="AK81" s="1659"/>
      <c r="AL81" s="1659"/>
      <c r="AM81" s="1659"/>
      <c r="AN81" s="1659"/>
      <c r="AO81" s="1751"/>
      <c r="AP81" s="1751"/>
      <c r="AQ81" s="1751"/>
      <c r="AR81" s="1751"/>
      <c r="AS81" s="1751"/>
      <c r="AT81" s="1751"/>
      <c r="AU81" s="1751"/>
      <c r="AV81" s="1751"/>
      <c r="AW81" s="1751"/>
      <c r="AX81" s="1751"/>
      <c r="AY81" s="1751"/>
      <c r="AZ81" s="1751"/>
      <c r="BA81" s="1751"/>
      <c r="BB81" s="1751"/>
      <c r="BC81" s="1751"/>
      <c r="BD81" s="1751"/>
      <c r="BE81" s="1751"/>
      <c r="BF81" s="1752"/>
      <c r="BG81" s="1752"/>
      <c r="BH81" s="1752"/>
      <c r="BI81" s="1752"/>
      <c r="BJ81" s="1752" t="s">
        <v>177</v>
      </c>
      <c r="BK81" s="1752"/>
      <c r="BL81" s="1752"/>
      <c r="BM81" s="1752"/>
      <c r="BN81" s="1752"/>
      <c r="BO81" s="1752"/>
      <c r="BP81" s="1752"/>
      <c r="BQ81" s="1752"/>
      <c r="BR81" s="1752"/>
      <c r="BS81" s="1752"/>
      <c r="BT81" s="1752"/>
      <c r="BU81" s="1752"/>
      <c r="BV81" s="1752"/>
      <c r="BW81" s="1506" cm="1" t="str">
        <f t="array" ref="BW81:BW81">$BW80</f>
        <v/>
      </c>
      <c r="BX81" s="1752" t="s">
        <v>178</v>
      </c>
      <c r="BY81" s="1752" t="s">
        <v>186</v>
      </c>
      <c r="BZ81" s="1752" t="s">
        <v>180</v>
      </c>
    </row>
    <row customHeight="1" ht="19.5" hidden="1">
      <c r="A82" s="371"/>
      <c r="B82" s="192">
        <f>HAS_DOC3="да"</f>
        <v>0</v>
      </c>
      <c r="C82" s="1548"/>
      <c r="D82" s="1548"/>
      <c r="E82" s="180">
        <v>20</v>
      </c>
      <c r="F82" s="1659"/>
      <c r="G82" s="1548"/>
      <c r="H82" s="1548"/>
      <c r="I82" s="1548"/>
      <c r="J82" s="1548"/>
      <c r="K82" s="1548"/>
      <c r="L82" s="1548"/>
      <c r="M82" s="1548"/>
      <c r="N82" s="1548"/>
      <c r="O82" s="1548"/>
      <c r="P82" s="1548"/>
      <c r="Q82" s="1548"/>
      <c r="R82" s="1548"/>
      <c r="S82" s="1548"/>
      <c r="T82" s="1548"/>
      <c r="U82" s="1548"/>
      <c r="V82" s="753" cm="1" t="str">
        <f t="array" ref="V82:V82">V81</f>
        <v>false</v>
      </c>
      <c r="W82" s="1548"/>
      <c r="X82" s="1548"/>
      <c r="Y82" s="1548"/>
      <c r="Z82" s="1579"/>
      <c r="AA82" s="1533"/>
      <c r="AB82" s="1534"/>
      <c r="AC82" s="1531" t="s">
        <v>187</v>
      </c>
      <c r="AD82" s="1531"/>
      <c r="AE82" s="1769" t="s">
        <v>176</v>
      </c>
      <c r="AF82" s="208"/>
      <c r="AG82" s="1659"/>
      <c r="AH82" s="1659"/>
      <c r="AI82" s="1659"/>
      <c r="AJ82" s="1659"/>
      <c r="AK82" s="1659"/>
      <c r="AL82" s="1659"/>
      <c r="AM82" s="1659"/>
      <c r="AN82" s="1659"/>
      <c r="AO82" s="1751"/>
      <c r="AP82" s="1751"/>
      <c r="AQ82" s="1751"/>
      <c r="AR82" s="1751"/>
      <c r="AS82" s="1751"/>
      <c r="AT82" s="1751"/>
      <c r="AU82" s="1751"/>
      <c r="AV82" s="1751"/>
      <c r="AW82" s="1751"/>
      <c r="AX82" s="1751"/>
      <c r="AY82" s="1751"/>
      <c r="AZ82" s="1751"/>
      <c r="BA82" s="1751"/>
      <c r="BB82" s="1751"/>
      <c r="BC82" s="1751"/>
      <c r="BD82" s="1751"/>
      <c r="BE82" s="1751"/>
      <c r="BF82" s="1752"/>
      <c r="BG82" s="1752"/>
      <c r="BH82" s="1752"/>
      <c r="BI82" s="1752"/>
      <c r="BJ82" s="1752" t="s">
        <v>177</v>
      </c>
      <c r="BK82" s="1752"/>
      <c r="BL82" s="1752"/>
      <c r="BM82" s="1752"/>
      <c r="BN82" s="1752"/>
      <c r="BO82" s="1752"/>
      <c r="BP82" s="1752"/>
      <c r="BQ82" s="1752"/>
      <c r="BR82" s="1752"/>
      <c r="BS82" s="1752"/>
      <c r="BT82" s="1752"/>
      <c r="BU82" s="1752"/>
      <c r="BV82" s="1752"/>
      <c r="BW82" s="1506" cm="1" t="str">
        <f t="array" ref="BW82:BW82">$BW81</f>
        <v/>
      </c>
      <c r="BX82" s="1752" t="s">
        <v>178</v>
      </c>
      <c r="BY82" s="1752" t="s">
        <v>188</v>
      </c>
      <c r="BZ82" s="1752" t="s">
        <v>180</v>
      </c>
    </row>
    <row customHeight="1" ht="14.625" hidden="1">
      <c r="A83" s="371"/>
      <c r="B83" s="192">
        <f>HAS_DOC3="да"</f>
        <v>0</v>
      </c>
      <c r="C83" s="1548"/>
      <c r="D83" s="1548"/>
      <c r="E83" s="180">
        <v>15</v>
      </c>
      <c r="F83" s="1659"/>
      <c r="G83" s="1548"/>
      <c r="H83" s="1548"/>
      <c r="I83" s="1548"/>
      <c r="J83" s="1548"/>
      <c r="K83" s="1548"/>
      <c r="L83" s="1548"/>
      <c r="M83" s="1548"/>
      <c r="N83" s="1548"/>
      <c r="O83" s="1548"/>
      <c r="P83" s="1548"/>
      <c r="Q83" s="1548"/>
      <c r="R83" s="1548"/>
      <c r="S83" s="1548"/>
      <c r="T83" s="1548"/>
      <c r="U83" s="1548"/>
      <c r="V83" s="1548"/>
      <c r="W83" s="1548"/>
      <c r="X83" s="176" t="s">
        <v>190</v>
      </c>
      <c r="Y83" s="1548"/>
      <c r="Z83" s="1548"/>
      <c r="AA83" s="1009"/>
      <c r="AB83" s="240"/>
      <c r="AC83" s="241"/>
      <c r="AD83" s="241"/>
      <c r="AE83" s="242" t="s">
        <v>191</v>
      </c>
      <c r="AF83" s="208"/>
      <c r="AG83" s="1659"/>
      <c r="AH83" s="1659"/>
      <c r="AI83" s="1659"/>
      <c r="AJ83" s="1659"/>
      <c r="AK83" s="1659"/>
      <c r="AL83" s="1659"/>
      <c r="AM83" s="1659"/>
      <c r="AN83" s="1659"/>
      <c r="AO83" s="1751"/>
      <c r="AP83" s="1751"/>
      <c r="AQ83" s="1751"/>
      <c r="AR83" s="1751"/>
      <c r="AS83" s="1751"/>
      <c r="AT83" s="1751"/>
      <c r="AU83" s="1751"/>
      <c r="AV83" s="1751"/>
      <c r="AW83" s="1751"/>
      <c r="AX83" s="1751"/>
      <c r="AY83" s="1751"/>
      <c r="AZ83" s="1751"/>
      <c r="BA83" s="1751"/>
      <c r="BB83" s="1751"/>
      <c r="BC83" s="1751"/>
      <c r="BD83" s="1751"/>
      <c r="BE83" s="1751"/>
      <c r="BF83" s="1752"/>
      <c r="BG83" s="1752"/>
      <c r="BH83" s="1752"/>
      <c r="BI83" s="1752"/>
      <c r="BJ83" s="1752"/>
      <c r="BK83" s="1752"/>
      <c r="BL83" s="1752"/>
      <c r="BM83" s="1752"/>
      <c r="BN83" s="1752"/>
      <c r="BO83" s="1752"/>
      <c r="BP83" s="1752"/>
      <c r="BQ83" s="1752"/>
      <c r="BR83" s="1752"/>
      <c r="BS83" s="1752"/>
      <c r="BT83" s="1752"/>
      <c r="BU83" s="1752"/>
      <c r="BV83" s="1752"/>
      <c r="BW83" s="1506"/>
      <c r="BX83" s="1752"/>
      <c r="BY83" s="1752"/>
      <c r="BZ83" s="1752"/>
    </row>
    <row customHeight="1" ht="19.5">
      <c r="E84" s="180">
        <v>20</v>
      </c>
      <c r="AB84" s="1531" t="s">
        <v>192</v>
      </c>
      <c r="AC84" s="1531"/>
      <c r="AD84" s="1531"/>
      <c r="AE84" s="220" t="s">
        <v>167</v>
      </c>
      <c r="AF84" s="208"/>
    </row>
    <row customHeight="1" ht="19.5">
      <c r="A85" s="371"/>
      <c r="B85" s="192">
        <f>HAS_DOC4="да"</f>
        <v>1</v>
      </c>
      <c r="C85" s="1548"/>
      <c r="D85" s="1548"/>
      <c r="E85" s="180">
        <v>20</v>
      </c>
      <c r="F85" s="1659"/>
      <c r="G85" s="1548"/>
      <c r="H85" s="1548"/>
      <c r="I85" s="1548"/>
      <c r="J85" s="1548"/>
      <c r="K85" s="1548"/>
      <c r="L85" s="1548"/>
      <c r="M85" s="1548"/>
      <c r="N85" s="1548"/>
      <c r="O85" s="1548"/>
      <c r="P85" s="1548"/>
      <c r="Q85" s="1548"/>
      <c r="R85" s="1548"/>
      <c r="S85" s="1548"/>
      <c r="T85" s="1548"/>
      <c r="U85" s="1548"/>
      <c r="V85" s="1548"/>
      <c r="W85" s="1548"/>
      <c r="X85" s="1548"/>
      <c r="Y85" s="1548"/>
      <c r="Z85" s="1561">
        <v>0</v>
      </c>
      <c r="AA85" s="1009"/>
      <c r="AB85" s="1534" t="s">
        <v>174</v>
      </c>
      <c r="AC85" s="1531" t="s">
        <v>175</v>
      </c>
      <c r="AD85" s="1531"/>
      <c r="AE85" s="236" t="s">
        <v>193</v>
      </c>
      <c r="AF85" s="208"/>
      <c r="AG85" s="1659"/>
      <c r="AH85" s="1659"/>
      <c r="AI85" s="1659"/>
      <c r="AJ85" s="1659"/>
      <c r="AK85" s="1659"/>
      <c r="AL85" s="1659"/>
      <c r="AM85" s="1659"/>
      <c r="AN85" s="1659"/>
      <c r="AO85" s="1751"/>
      <c r="AP85" s="1751"/>
      <c r="AQ85" s="1751"/>
      <c r="AR85" s="1751"/>
      <c r="AS85" s="1751"/>
      <c r="AT85" s="1751"/>
      <c r="AU85" s="1751"/>
      <c r="AV85" s="1751"/>
      <c r="AW85" s="1751"/>
      <c r="AX85" s="1751"/>
      <c r="AY85" s="1751"/>
      <c r="AZ85" s="1751"/>
      <c r="BA85" s="1751"/>
      <c r="BB85" s="1751"/>
      <c r="BC85" s="1751"/>
      <c r="BD85" s="1751"/>
      <c r="BE85" s="1751"/>
      <c r="BF85" s="1077"/>
      <c r="BG85" s="1083"/>
      <c r="BH85" s="1083"/>
      <c r="BI85" s="1083"/>
      <c r="BJ85" s="1083" t="s">
        <v>194</v>
      </c>
      <c r="BK85" s="1083"/>
      <c r="BL85" s="1083"/>
      <c r="BM85" s="1083"/>
      <c r="BN85" s="1083"/>
      <c r="BO85" s="1083"/>
      <c r="BP85" s="1083"/>
      <c r="BQ85" s="1083"/>
      <c r="BR85" s="1083"/>
      <c r="BS85" s="1083"/>
      <c r="BT85" s="1083"/>
      <c r="BU85" s="1083"/>
      <c r="BV85" s="1076"/>
      <c r="BW85" s="1083" cm="1" t="str">
        <f t="array" ref="BW85:BW85">$AE85</f>
        <v>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v>
      </c>
      <c r="BX85" s="1077" t="s">
        <v>178</v>
      </c>
      <c r="BY85" s="1077" t="s">
        <v>179</v>
      </c>
      <c r="BZ85" s="1077" t="s">
        <v>195</v>
      </c>
    </row>
    <row customHeight="1" ht="19.5">
      <c r="A86" s="371"/>
      <c r="B86" s="192">
        <f>HAS_DOC4="да"</f>
        <v>1</v>
      </c>
      <c r="C86" s="1548"/>
      <c r="D86" s="1548"/>
      <c r="E86" s="180">
        <v>20</v>
      </c>
      <c r="F86" s="1659"/>
      <c r="G86" s="1548"/>
      <c r="H86" s="1548"/>
      <c r="I86" s="1548"/>
      <c r="J86" s="1548"/>
      <c r="K86" s="1548"/>
      <c r="L86" s="1548"/>
      <c r="M86" s="1548"/>
      <c r="N86" s="1548"/>
      <c r="O86" s="1548"/>
      <c r="P86" s="1548"/>
      <c r="Q86" s="1548"/>
      <c r="R86" s="1548"/>
      <c r="S86" s="1548"/>
      <c r="T86" s="1548"/>
      <c r="U86" s="1548"/>
      <c r="V86" s="1548"/>
      <c r="W86" s="1548"/>
      <c r="X86" s="1548"/>
      <c r="Y86" s="1548"/>
      <c r="Z86" s="1561"/>
      <c r="AA86" s="1009"/>
      <c r="AB86" s="1534"/>
      <c r="AC86" s="1531" t="s">
        <v>181</v>
      </c>
      <c r="AD86" s="1531"/>
      <c r="AE86" s="236" t="s">
        <v>196</v>
      </c>
      <c r="AF86" s="208"/>
      <c r="AG86" s="1659"/>
      <c r="AH86" s="1659"/>
      <c r="AI86" s="1659"/>
      <c r="AJ86" s="1659"/>
      <c r="AK86" s="1659"/>
      <c r="AL86" s="1659"/>
      <c r="AM86" s="1659"/>
      <c r="AN86" s="1659"/>
      <c r="AO86" s="1751"/>
      <c r="AP86" s="1751"/>
      <c r="AQ86" s="1751"/>
      <c r="AR86" s="1751"/>
      <c r="AS86" s="1751"/>
      <c r="AT86" s="1751"/>
      <c r="AU86" s="1751"/>
      <c r="AV86" s="1751"/>
      <c r="AW86" s="1751"/>
      <c r="AX86" s="1751"/>
      <c r="AY86" s="1751"/>
      <c r="AZ86" s="1751"/>
      <c r="BA86" s="1751"/>
      <c r="BB86" s="1751"/>
      <c r="BC86" s="1751"/>
      <c r="BD86" s="1751"/>
      <c r="BE86" s="1751"/>
      <c r="BF86" s="1077"/>
      <c r="BG86" s="1083"/>
      <c r="BH86" s="1083"/>
      <c r="BI86" s="1083"/>
      <c r="BJ86" s="1083" t="s">
        <v>194</v>
      </c>
      <c r="BK86" s="1083"/>
      <c r="BL86" s="1083"/>
      <c r="BM86" s="1083"/>
      <c r="BN86" s="1083"/>
      <c r="BO86" s="1083"/>
      <c r="BP86" s="1083"/>
      <c r="BQ86" s="1083"/>
      <c r="BR86" s="1083"/>
      <c r="BS86" s="1083"/>
      <c r="BT86" s="1083"/>
      <c r="BU86" s="1083"/>
      <c r="BV86" s="1076"/>
      <c r="BW86" s="1083" cm="1" t="str">
        <f t="array" ref="BW86:BW86">BW85</f>
        <v>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v>
      </c>
      <c r="BX86" s="1077" t="s">
        <v>178</v>
      </c>
      <c r="BY86" s="1077" t="s">
        <v>182</v>
      </c>
      <c r="BZ86" s="1077" t="s">
        <v>197</v>
      </c>
    </row>
    <row customHeight="1" ht="19.5">
      <c r="A87" s="371"/>
      <c r="B87" s="192">
        <f>HAS_DOC4="да"</f>
        <v>1</v>
      </c>
      <c r="C87" s="1548"/>
      <c r="D87" s="1548"/>
      <c r="E87" s="180">
        <v>20</v>
      </c>
      <c r="F87" s="1659"/>
      <c r="G87" s="1548"/>
      <c r="H87" s="1548"/>
      <c r="I87" s="1548"/>
      <c r="J87" s="1548"/>
      <c r="K87" s="1548"/>
      <c r="L87" s="1548"/>
      <c r="M87" s="1548"/>
      <c r="N87" s="1548"/>
      <c r="O87" s="1548"/>
      <c r="P87" s="1548"/>
      <c r="Q87" s="1548"/>
      <c r="R87" s="1548"/>
      <c r="S87" s="1548"/>
      <c r="T87" s="1548"/>
      <c r="U87" s="1548"/>
      <c r="V87" s="1548"/>
      <c r="W87" s="1548"/>
      <c r="X87" s="1548"/>
      <c r="Y87" s="1548"/>
      <c r="Z87" s="1561"/>
      <c r="AA87" s="1009"/>
      <c r="AB87" s="1534"/>
      <c r="AC87" s="1531" t="s">
        <v>183</v>
      </c>
      <c r="AD87" s="1531"/>
      <c r="AE87" s="236" t="s">
        <v>198</v>
      </c>
      <c r="AF87" s="208"/>
      <c r="AG87" s="1659"/>
      <c r="AH87" s="1659"/>
      <c r="AI87" s="1659"/>
      <c r="AJ87" s="1659"/>
      <c r="AK87" s="1659"/>
      <c r="AL87" s="1659"/>
      <c r="AM87" s="1659"/>
      <c r="AN87" s="1659"/>
      <c r="AO87" s="1751"/>
      <c r="AP87" s="1751"/>
      <c r="AQ87" s="1751"/>
      <c r="AR87" s="1751"/>
      <c r="AS87" s="1751"/>
      <c r="AT87" s="1751"/>
      <c r="AU87" s="1751"/>
      <c r="AV87" s="1751"/>
      <c r="AW87" s="1751"/>
      <c r="AX87" s="1751"/>
      <c r="AY87" s="1751"/>
      <c r="AZ87" s="1751"/>
      <c r="BA87" s="1751"/>
      <c r="BB87" s="1751"/>
      <c r="BC87" s="1751"/>
      <c r="BD87" s="1751"/>
      <c r="BE87" s="1751"/>
      <c r="BF87" s="1077"/>
      <c r="BG87" s="1083"/>
      <c r="BH87" s="1083"/>
      <c r="BI87" s="1083"/>
      <c r="BJ87" s="1083" t="s">
        <v>194</v>
      </c>
      <c r="BK87" s="1083"/>
      <c r="BL87" s="1083"/>
      <c r="BM87" s="1083"/>
      <c r="BN87" s="1083"/>
      <c r="BO87" s="1083"/>
      <c r="BP87" s="1083"/>
      <c r="BQ87" s="1083"/>
      <c r="BR87" s="1083"/>
      <c r="BS87" s="1083"/>
      <c r="BT87" s="1083"/>
      <c r="BU87" s="1083"/>
      <c r="BV87" s="1076"/>
      <c r="BW87" s="1083" cm="1" t="str">
        <f t="array" ref="BW87:BW87">BW86</f>
        <v>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v>
      </c>
      <c r="BX87" s="1077" t="s">
        <v>178</v>
      </c>
      <c r="BY87" s="1077" t="s">
        <v>184</v>
      </c>
      <c r="BZ87" s="1077" t="s">
        <v>199</v>
      </c>
    </row>
    <row customHeight="1" ht="19.5">
      <c r="A88" s="371"/>
      <c r="B88" s="192">
        <f>HAS_DOC4="да"</f>
        <v>1</v>
      </c>
      <c r="C88" s="1548"/>
      <c r="D88" s="1548"/>
      <c r="E88" s="180">
        <v>20</v>
      </c>
      <c r="F88" s="1659"/>
      <c r="G88" s="1548"/>
      <c r="H88" s="1548"/>
      <c r="I88" s="1548"/>
      <c r="J88" s="1548"/>
      <c r="K88" s="1548"/>
      <c r="L88" s="1548"/>
      <c r="M88" s="1548"/>
      <c r="N88" s="1548"/>
      <c r="O88" s="1548"/>
      <c r="P88" s="1548"/>
      <c r="Q88" s="1548"/>
      <c r="R88" s="1548"/>
      <c r="S88" s="1548"/>
      <c r="T88" s="1548"/>
      <c r="U88" s="1548"/>
      <c r="V88" s="1548"/>
      <c r="W88" s="1548"/>
      <c r="X88" s="1548"/>
      <c r="Y88" s="1548"/>
      <c r="Z88" s="1561"/>
      <c r="AA88" s="1009"/>
      <c r="AB88" s="1534"/>
      <c r="AC88" s="1531" t="s">
        <v>185</v>
      </c>
      <c r="AD88" s="1531"/>
      <c r="AE88" s="237">
        <v>44015.587905092594</v>
      </c>
      <c r="AF88" s="208"/>
      <c r="AG88" s="1659"/>
      <c r="AH88" s="1659"/>
      <c r="AI88" s="1659"/>
      <c r="AJ88" s="1659"/>
      <c r="AK88" s="1659"/>
      <c r="AL88" s="1659"/>
      <c r="AM88" s="1659"/>
      <c r="AN88" s="1659"/>
      <c r="AO88" s="1751"/>
      <c r="AP88" s="1751"/>
      <c r="AQ88" s="1751"/>
      <c r="AR88" s="1751"/>
      <c r="AS88" s="1751"/>
      <c r="AT88" s="1751"/>
      <c r="AU88" s="1751"/>
      <c r="AV88" s="1751"/>
      <c r="AW88" s="1751"/>
      <c r="AX88" s="1751"/>
      <c r="AY88" s="1751"/>
      <c r="AZ88" s="1751"/>
      <c r="BA88" s="1751"/>
      <c r="BB88" s="1751"/>
      <c r="BC88" s="1751"/>
      <c r="BD88" s="1751"/>
      <c r="BE88" s="1751"/>
      <c r="BF88" s="1077"/>
      <c r="BG88" s="1083"/>
      <c r="BH88" s="1083"/>
      <c r="BI88" s="1083"/>
      <c r="BJ88" s="1083" t="s">
        <v>194</v>
      </c>
      <c r="BK88" s="1083"/>
      <c r="BL88" s="1083"/>
      <c r="BM88" s="1083"/>
      <c r="BN88" s="1083"/>
      <c r="BO88" s="1083"/>
      <c r="BP88" s="1083"/>
      <c r="BQ88" s="1083"/>
      <c r="BR88" s="1083"/>
      <c r="BS88" s="1083"/>
      <c r="BT88" s="1083"/>
      <c r="BU88" s="1083"/>
      <c r="BV88" s="1076"/>
      <c r="BW88" s="1083" cm="1" t="str">
        <f t="array" ref="BW88:BW88">BW87</f>
        <v>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v>
      </c>
      <c r="BX88" s="1077" t="s">
        <v>178</v>
      </c>
      <c r="BY88" s="1077" t="s">
        <v>186</v>
      </c>
      <c r="BZ88" s="1077" t="s">
        <v>200</v>
      </c>
    </row>
    <row customHeight="1" ht="19.5">
      <c r="A89" s="371"/>
      <c r="B89" s="192">
        <f>HAS_DOC4="да"</f>
        <v>1</v>
      </c>
      <c r="C89" s="1548"/>
      <c r="D89" s="1548"/>
      <c r="E89" s="180">
        <v>20</v>
      </c>
      <c r="F89" s="1659"/>
      <c r="G89" s="1548"/>
      <c r="H89" s="1548"/>
      <c r="I89" s="1548"/>
      <c r="J89" s="1548"/>
      <c r="K89" s="1548"/>
      <c r="L89" s="1548"/>
      <c r="M89" s="1548"/>
      <c r="N89" s="1548"/>
      <c r="O89" s="1548"/>
      <c r="P89" s="1548"/>
      <c r="Q89" s="1548"/>
      <c r="R89" s="1548"/>
      <c r="S89" s="1548"/>
      <c r="T89" s="1548"/>
      <c r="U89" s="1548"/>
      <c r="V89" s="1548"/>
      <c r="W89" s="1548"/>
      <c r="X89" s="1548"/>
      <c r="Y89" s="1548"/>
      <c r="Z89" s="1577"/>
      <c r="AA89" s="1009"/>
      <c r="AB89" s="1534"/>
      <c r="AC89" s="1531" t="s">
        <v>187</v>
      </c>
      <c r="AD89" s="1531"/>
      <c r="AE89" s="1779" t="s">
        <v>201</v>
      </c>
      <c r="AF89" s="208"/>
      <c r="AG89" s="1659"/>
      <c r="AH89" s="1659"/>
      <c r="AI89" s="1659"/>
      <c r="AJ89" s="1659"/>
      <c r="AK89" s="1659"/>
      <c r="AL89" s="1659"/>
      <c r="AM89" s="1659"/>
      <c r="AN89" s="1659"/>
      <c r="AO89" s="1751"/>
      <c r="AP89" s="1751"/>
      <c r="AQ89" s="1751"/>
      <c r="AR89" s="1751"/>
      <c r="AS89" s="1751"/>
      <c r="AT89" s="1751"/>
      <c r="AU89" s="1751"/>
      <c r="AV89" s="1751"/>
      <c r="AW89" s="1751"/>
      <c r="AX89" s="1751"/>
      <c r="AY89" s="1751"/>
      <c r="AZ89" s="1751"/>
      <c r="BA89" s="1751"/>
      <c r="BB89" s="1751"/>
      <c r="BC89" s="1751"/>
      <c r="BD89" s="1751"/>
      <c r="BE89" s="1751"/>
      <c r="BF89" s="1077"/>
      <c r="BG89" s="1083"/>
      <c r="BH89" s="1083"/>
      <c r="BI89" s="1083"/>
      <c r="BJ89" s="1083" t="s">
        <v>194</v>
      </c>
      <c r="BK89" s="1083"/>
      <c r="BL89" s="1083"/>
      <c r="BM89" s="1083"/>
      <c r="BN89" s="1083"/>
      <c r="BO89" s="1083"/>
      <c r="BP89" s="1083"/>
      <c r="BQ89" s="1083"/>
      <c r="BR89" s="1083"/>
      <c r="BS89" s="1083"/>
      <c r="BT89" s="1083"/>
      <c r="BU89" s="1083"/>
      <c r="BV89" s="1076"/>
      <c r="BW89" s="1083" cm="1" t="str">
        <f t="array" ref="BW89:BW89">BW88</f>
        <v>О ЛЬГОТНЫХ ЦЕНАХ (ТАРИФАХ) НА ТЕПЛОВУЮ ЭНЕРГИЮ (МОЩНОСТЬ),ТЕПЛОНОСИТЕЛЬ, ГОРЯЧЕЕ, ХОЛОДНОЕ ВОДОСНАБЖЕНИЕ, ВОДООТВЕДЕНИЕ, ТВЕРДОЕ ТОПЛИВО, СЖИЖЕННЫЙ ГАЗ НА ТЕРРИТОРИИ КЕМЕРОВСКОЙ ОБЛАСТИ - КУЗБАССА</v>
      </c>
      <c r="BX89" s="1077" t="s">
        <v>178</v>
      </c>
      <c r="BY89" s="1077" t="s">
        <v>188</v>
      </c>
      <c r="BZ89" s="1077" t="s">
        <v>187</v>
      </c>
    </row>
    <row customHeight="1" ht="19.5" hidden="1">
      <c r="A90" s="371"/>
      <c r="B90" s="192">
        <f>HAS_DOC4="да"</f>
        <v>1</v>
      </c>
      <c r="C90" s="1548"/>
      <c r="D90" s="1548"/>
      <c r="E90" s="180">
        <v>20</v>
      </c>
      <c r="F90" s="1659"/>
      <c r="G90" s="1548"/>
      <c r="H90" s="1548"/>
      <c r="I90" s="1548"/>
      <c r="J90" s="1548"/>
      <c r="K90" s="1548"/>
      <c r="L90" s="1548"/>
      <c r="M90" s="1548"/>
      <c r="N90" s="1548"/>
      <c r="O90" s="1548"/>
      <c r="P90" s="1548"/>
      <c r="Q90" s="1548"/>
      <c r="R90" s="1548"/>
      <c r="S90" s="1548"/>
      <c r="T90" s="1548"/>
      <c r="U90" s="1548"/>
      <c r="V90" s="753">
        <f>ROW(X90)&gt;ROW(X$90)</f>
        <v>0</v>
      </c>
      <c r="W90" s="1548"/>
      <c r="X90" s="175" t="s">
        <v>189</v>
      </c>
      <c r="Y90" s="1548"/>
      <c r="Z90" s="1577">
        <v>1</v>
      </c>
      <c r="AA90" s="1532" t="s">
        <v>171</v>
      </c>
      <c r="AB90" s="1534" t="s">
        <v>174</v>
      </c>
      <c r="AC90" s="1531" t="s">
        <v>175</v>
      </c>
      <c r="AD90" s="1531"/>
      <c r="AE90" s="1758"/>
      <c r="AF90" s="208"/>
      <c r="AG90" s="1659"/>
      <c r="AH90" s="1659"/>
      <c r="AI90" s="1659"/>
      <c r="AJ90" s="1659"/>
      <c r="AK90" s="1659"/>
      <c r="AL90" s="1659"/>
      <c r="AM90" s="1659"/>
      <c r="AN90" s="1659"/>
      <c r="AO90" s="1751"/>
      <c r="AP90" s="1751"/>
      <c r="AQ90" s="1751"/>
      <c r="AR90" s="1751"/>
      <c r="AS90" s="1751"/>
      <c r="AT90" s="1751"/>
      <c r="AU90" s="1751"/>
      <c r="AV90" s="1751"/>
      <c r="AW90" s="1751"/>
      <c r="AX90" s="1751"/>
      <c r="AY90" s="1751"/>
      <c r="AZ90" s="1751"/>
      <c r="BA90" s="1751"/>
      <c r="BB90" s="1751"/>
      <c r="BC90" s="1751"/>
      <c r="BD90" s="1751"/>
      <c r="BE90" s="1751"/>
      <c r="BF90" s="1077"/>
      <c r="BG90" s="1083"/>
      <c r="BH90" s="1083"/>
      <c r="BI90" s="1083"/>
      <c r="BJ90" s="1083" t="s">
        <v>194</v>
      </c>
      <c r="BK90" s="1083"/>
      <c r="BL90" s="1083"/>
      <c r="BM90" s="1083"/>
      <c r="BN90" s="1083"/>
      <c r="BO90" s="1083"/>
      <c r="BP90" s="1083"/>
      <c r="BQ90" s="1083"/>
      <c r="BR90" s="1083"/>
      <c r="BS90" s="1083"/>
      <c r="BT90" s="1083"/>
      <c r="BU90" s="1083"/>
      <c r="BV90" s="1076"/>
      <c r="BW90" s="1505" cm="1" t="str">
        <f t="array" ref="BW90:BW90">$AE90</f>
        <v>0</v>
      </c>
      <c r="BX90" s="1077" t="s">
        <v>178</v>
      </c>
      <c r="BY90" s="1077" t="s">
        <v>179</v>
      </c>
      <c r="BZ90" s="1077" t="s">
        <v>195</v>
      </c>
    </row>
    <row customHeight="1" ht="19.5" hidden="1">
      <c r="A91" s="371"/>
      <c r="B91" s="192">
        <f>HAS_DOC4="да"</f>
        <v>1</v>
      </c>
      <c r="C91" s="1548"/>
      <c r="D91" s="1548"/>
      <c r="E91" s="180">
        <v>20</v>
      </c>
      <c r="F91" s="1659"/>
      <c r="G91" s="1548"/>
      <c r="H91" s="1548"/>
      <c r="I91" s="1548"/>
      <c r="J91" s="1548"/>
      <c r="K91" s="1548"/>
      <c r="L91" s="1548"/>
      <c r="M91" s="1548"/>
      <c r="N91" s="1548"/>
      <c r="O91" s="1548"/>
      <c r="P91" s="1548"/>
      <c r="Q91" s="1548"/>
      <c r="R91" s="1548"/>
      <c r="S91" s="1548"/>
      <c r="T91" s="1548"/>
      <c r="U91" s="1548"/>
      <c r="V91" s="753" cm="1" t="str">
        <f t="array" ref="V91:V91">V90</f>
        <v>false</v>
      </c>
      <c r="W91" s="1548"/>
      <c r="X91" s="1548"/>
      <c r="Y91" s="1548"/>
      <c r="Z91" s="1578"/>
      <c r="AA91" s="1533"/>
      <c r="AB91" s="1534"/>
      <c r="AC91" s="1531" t="s">
        <v>181</v>
      </c>
      <c r="AD91" s="1531"/>
      <c r="AE91" s="1758"/>
      <c r="AF91" s="208"/>
      <c r="AG91" s="1659"/>
      <c r="AH91" s="1659"/>
      <c r="AI91" s="1659"/>
      <c r="AJ91" s="1659"/>
      <c r="AK91" s="1659"/>
      <c r="AL91" s="1659"/>
      <c r="AM91" s="1659"/>
      <c r="AN91" s="1659"/>
      <c r="AO91" s="1751"/>
      <c r="AP91" s="1751"/>
      <c r="AQ91" s="1751"/>
      <c r="AR91" s="1751"/>
      <c r="AS91" s="1751"/>
      <c r="AT91" s="1751"/>
      <c r="AU91" s="1751"/>
      <c r="AV91" s="1751"/>
      <c r="AW91" s="1751"/>
      <c r="AX91" s="1751"/>
      <c r="AY91" s="1751"/>
      <c r="AZ91" s="1751"/>
      <c r="BA91" s="1751"/>
      <c r="BB91" s="1751"/>
      <c r="BC91" s="1751"/>
      <c r="BD91" s="1751"/>
      <c r="BE91" s="1751"/>
      <c r="BF91" s="1077"/>
      <c r="BG91" s="1083"/>
      <c r="BH91" s="1083"/>
      <c r="BI91" s="1083"/>
      <c r="BJ91" s="1083" t="s">
        <v>194</v>
      </c>
      <c r="BK91" s="1083"/>
      <c r="BL91" s="1083"/>
      <c r="BM91" s="1083"/>
      <c r="BN91" s="1083"/>
      <c r="BO91" s="1083"/>
      <c r="BP91" s="1083"/>
      <c r="BQ91" s="1083"/>
      <c r="BR91" s="1083"/>
      <c r="BS91" s="1083"/>
      <c r="BT91" s="1083"/>
      <c r="BU91" s="1083"/>
      <c r="BV91" s="1076"/>
      <c r="BW91" s="1505" cm="1" t="str">
        <f t="array" ref="BW91:BW91">BW90</f>
        <v>0</v>
      </c>
      <c r="BX91" s="1077" t="s">
        <v>178</v>
      </c>
      <c r="BY91" s="1077" t="s">
        <v>182</v>
      </c>
      <c r="BZ91" s="1077" t="s">
        <v>197</v>
      </c>
    </row>
    <row customHeight="1" ht="19.5" hidden="1">
      <c r="A92" s="371"/>
      <c r="B92" s="192">
        <f>HAS_DOC4="да"</f>
        <v>1</v>
      </c>
      <c r="C92" s="1548"/>
      <c r="D92" s="1548"/>
      <c r="E92" s="180">
        <v>20</v>
      </c>
      <c r="F92" s="1659"/>
      <c r="G92" s="1548"/>
      <c r="H92" s="1548"/>
      <c r="I92" s="1548"/>
      <c r="J92" s="1548"/>
      <c r="K92" s="1548"/>
      <c r="L92" s="1548"/>
      <c r="M92" s="1548"/>
      <c r="N92" s="1548"/>
      <c r="O92" s="1548"/>
      <c r="P92" s="1548"/>
      <c r="Q92" s="1548"/>
      <c r="R92" s="1548"/>
      <c r="S92" s="1548"/>
      <c r="T92" s="1548"/>
      <c r="U92" s="1548"/>
      <c r="V92" s="753" cm="1" t="str">
        <f t="array" ref="V92:V92">V91</f>
        <v>false</v>
      </c>
      <c r="W92" s="1548"/>
      <c r="X92" s="1548"/>
      <c r="Y92" s="1548"/>
      <c r="Z92" s="1578"/>
      <c r="AA92" s="1533"/>
      <c r="AB92" s="1534"/>
      <c r="AC92" s="1531" t="s">
        <v>183</v>
      </c>
      <c r="AD92" s="1531"/>
      <c r="AE92" s="1758"/>
      <c r="AF92" s="208"/>
      <c r="AG92" s="1659"/>
      <c r="AH92" s="1659"/>
      <c r="AI92" s="1659"/>
      <c r="AJ92" s="1659"/>
      <c r="AK92" s="1659"/>
      <c r="AL92" s="1659"/>
      <c r="AM92" s="1659"/>
      <c r="AN92" s="1659"/>
      <c r="AO92" s="1751"/>
      <c r="AP92" s="1751"/>
      <c r="AQ92" s="1751"/>
      <c r="AR92" s="1751"/>
      <c r="AS92" s="1751"/>
      <c r="AT92" s="1751"/>
      <c r="AU92" s="1751"/>
      <c r="AV92" s="1751"/>
      <c r="AW92" s="1751"/>
      <c r="AX92" s="1751"/>
      <c r="AY92" s="1751"/>
      <c r="AZ92" s="1751"/>
      <c r="BA92" s="1751"/>
      <c r="BB92" s="1751"/>
      <c r="BC92" s="1751"/>
      <c r="BD92" s="1751"/>
      <c r="BE92" s="1751"/>
      <c r="BF92" s="1077"/>
      <c r="BG92" s="1083"/>
      <c r="BH92" s="1083"/>
      <c r="BI92" s="1083"/>
      <c r="BJ92" s="1083" t="s">
        <v>194</v>
      </c>
      <c r="BK92" s="1083"/>
      <c r="BL92" s="1083"/>
      <c r="BM92" s="1083"/>
      <c r="BN92" s="1083"/>
      <c r="BO92" s="1083"/>
      <c r="BP92" s="1083"/>
      <c r="BQ92" s="1083"/>
      <c r="BR92" s="1083"/>
      <c r="BS92" s="1083"/>
      <c r="BT92" s="1083"/>
      <c r="BU92" s="1083"/>
      <c r="BV92" s="1076"/>
      <c r="BW92" s="1505" cm="1" t="str">
        <f t="array" ref="BW92:BW92">BW91</f>
        <v>0</v>
      </c>
      <c r="BX92" s="1077" t="s">
        <v>178</v>
      </c>
      <c r="BY92" s="1077" t="s">
        <v>184</v>
      </c>
      <c r="BZ92" s="1077" t="s">
        <v>199</v>
      </c>
    </row>
    <row customHeight="1" ht="19.5" hidden="1">
      <c r="A93" s="371"/>
      <c r="B93" s="192">
        <f>HAS_DOC4="да"</f>
        <v>1</v>
      </c>
      <c r="C93" s="1548"/>
      <c r="D93" s="1548"/>
      <c r="E93" s="180">
        <v>20</v>
      </c>
      <c r="F93" s="1659"/>
      <c r="G93" s="1548"/>
      <c r="H93" s="1548"/>
      <c r="I93" s="1548"/>
      <c r="J93" s="1548"/>
      <c r="K93" s="1548"/>
      <c r="L93" s="1548"/>
      <c r="M93" s="1548"/>
      <c r="N93" s="1548"/>
      <c r="O93" s="1548"/>
      <c r="P93" s="1548"/>
      <c r="Q93" s="1548"/>
      <c r="R93" s="1548"/>
      <c r="S93" s="1548"/>
      <c r="T93" s="1548"/>
      <c r="U93" s="1548"/>
      <c r="V93" s="753" cm="1" t="str">
        <f t="array" ref="V93:V93">V92</f>
        <v>false</v>
      </c>
      <c r="W93" s="1548"/>
      <c r="X93" s="1548"/>
      <c r="Y93" s="1548"/>
      <c r="Z93" s="1578"/>
      <c r="AA93" s="1533"/>
      <c r="AB93" s="1534"/>
      <c r="AC93" s="1531" t="s">
        <v>185</v>
      </c>
      <c r="AD93" s="1531"/>
      <c r="AE93" s="1760"/>
      <c r="AF93" s="208"/>
      <c r="AG93" s="1659"/>
      <c r="AH93" s="1659"/>
      <c r="AI93" s="1659"/>
      <c r="AJ93" s="1659"/>
      <c r="AK93" s="1659"/>
      <c r="AL93" s="1659"/>
      <c r="AM93" s="1659"/>
      <c r="AN93" s="1659"/>
      <c r="AO93" s="1751"/>
      <c r="AP93" s="1751"/>
      <c r="AQ93" s="1751"/>
      <c r="AR93" s="1751"/>
      <c r="AS93" s="1751"/>
      <c r="AT93" s="1751"/>
      <c r="AU93" s="1751"/>
      <c r="AV93" s="1751"/>
      <c r="AW93" s="1751"/>
      <c r="AX93" s="1751"/>
      <c r="AY93" s="1751"/>
      <c r="AZ93" s="1751"/>
      <c r="BA93" s="1751"/>
      <c r="BB93" s="1751"/>
      <c r="BC93" s="1751"/>
      <c r="BD93" s="1751"/>
      <c r="BE93" s="1751"/>
      <c r="BF93" s="1077"/>
      <c r="BG93" s="1083"/>
      <c r="BH93" s="1083"/>
      <c r="BI93" s="1083"/>
      <c r="BJ93" s="1083" t="s">
        <v>194</v>
      </c>
      <c r="BK93" s="1083"/>
      <c r="BL93" s="1083"/>
      <c r="BM93" s="1083"/>
      <c r="BN93" s="1083"/>
      <c r="BO93" s="1083"/>
      <c r="BP93" s="1083"/>
      <c r="BQ93" s="1083"/>
      <c r="BR93" s="1083"/>
      <c r="BS93" s="1083"/>
      <c r="BT93" s="1083"/>
      <c r="BU93" s="1083"/>
      <c r="BV93" s="1076"/>
      <c r="BW93" s="1505" cm="1" t="str">
        <f t="array" ref="BW93:BW93">BW92</f>
        <v>0</v>
      </c>
      <c r="BX93" s="1077" t="s">
        <v>178</v>
      </c>
      <c r="BY93" s="1077" t="s">
        <v>186</v>
      </c>
      <c r="BZ93" s="1077" t="s">
        <v>200</v>
      </c>
    </row>
    <row customHeight="1" ht="19.5" hidden="1">
      <c r="A94" s="371"/>
      <c r="B94" s="192">
        <f>HAS_DOC4="да"</f>
        <v>1</v>
      </c>
      <c r="C94" s="1548"/>
      <c r="D94" s="1548"/>
      <c r="E94" s="180">
        <v>20</v>
      </c>
      <c r="F94" s="1659"/>
      <c r="G94" s="1548"/>
      <c r="H94" s="1548"/>
      <c r="I94" s="1548"/>
      <c r="J94" s="1548"/>
      <c r="K94" s="1548"/>
      <c r="L94" s="1548"/>
      <c r="M94" s="1548"/>
      <c r="N94" s="1548"/>
      <c r="O94" s="1548"/>
      <c r="P94" s="1548"/>
      <c r="Q94" s="1548"/>
      <c r="R94" s="1548"/>
      <c r="S94" s="1548"/>
      <c r="T94" s="1548"/>
      <c r="U94" s="1548"/>
      <c r="V94" s="753" cm="1" t="str">
        <f t="array" ref="V94:V94">V93</f>
        <v>false</v>
      </c>
      <c r="W94" s="1548"/>
      <c r="X94" s="1548"/>
      <c r="Y94" s="1548"/>
      <c r="Z94" s="1579"/>
      <c r="AA94" s="1533"/>
      <c r="AB94" s="1534"/>
      <c r="AC94" s="1531" t="s">
        <v>187</v>
      </c>
      <c r="AD94" s="1531"/>
      <c r="AE94" s="1762"/>
      <c r="AF94" s="208"/>
      <c r="AG94" s="1659"/>
      <c r="AH94" s="1659"/>
      <c r="AI94" s="1659"/>
      <c r="AJ94" s="1659"/>
      <c r="AK94" s="1659"/>
      <c r="AL94" s="1659"/>
      <c r="AM94" s="1659"/>
      <c r="AN94" s="1659"/>
      <c r="AO94" s="1751"/>
      <c r="AP94" s="1751"/>
      <c r="AQ94" s="1751"/>
      <c r="AR94" s="1751"/>
      <c r="AS94" s="1751"/>
      <c r="AT94" s="1751"/>
      <c r="AU94" s="1751"/>
      <c r="AV94" s="1751"/>
      <c r="AW94" s="1751"/>
      <c r="AX94" s="1751"/>
      <c r="AY94" s="1751"/>
      <c r="AZ94" s="1751"/>
      <c r="BA94" s="1751"/>
      <c r="BB94" s="1751"/>
      <c r="BC94" s="1751"/>
      <c r="BD94" s="1751"/>
      <c r="BE94" s="1751"/>
      <c r="BF94" s="1077"/>
      <c r="BG94" s="1083"/>
      <c r="BH94" s="1083"/>
      <c r="BI94" s="1083"/>
      <c r="BJ94" s="1083" t="s">
        <v>194</v>
      </c>
      <c r="BK94" s="1083"/>
      <c r="BL94" s="1083"/>
      <c r="BM94" s="1083"/>
      <c r="BN94" s="1083"/>
      <c r="BO94" s="1083"/>
      <c r="BP94" s="1083"/>
      <c r="BQ94" s="1083"/>
      <c r="BR94" s="1083"/>
      <c r="BS94" s="1083"/>
      <c r="BT94" s="1083"/>
      <c r="BU94" s="1083"/>
      <c r="BV94" s="1076"/>
      <c r="BW94" s="1505" cm="1" t="str">
        <f t="array" ref="BW94:BW94">BW93</f>
        <v>0</v>
      </c>
      <c r="BX94" s="1077" t="s">
        <v>178</v>
      </c>
      <c r="BY94" s="1077" t="s">
        <v>188</v>
      </c>
      <c r="BZ94" s="1077" t="s">
        <v>187</v>
      </c>
    </row>
    <row customHeight="1" ht="14.625">
      <c r="A95" s="371"/>
      <c r="B95" s="192">
        <f>HAS_DOC4="да"</f>
        <v>1</v>
      </c>
      <c r="C95" s="1548"/>
      <c r="D95" s="1548"/>
      <c r="E95" s="180">
        <v>15</v>
      </c>
      <c r="F95" s="1659"/>
      <c r="G95" s="1548"/>
      <c r="H95" s="1548"/>
      <c r="I95" s="1548"/>
      <c r="J95" s="1548"/>
      <c r="K95" s="1548"/>
      <c r="L95" s="1548"/>
      <c r="M95" s="1548"/>
      <c r="N95" s="1548"/>
      <c r="O95" s="1548"/>
      <c r="P95" s="1548"/>
      <c r="Q95" s="1548"/>
      <c r="R95" s="1548"/>
      <c r="S95" s="1548"/>
      <c r="T95" s="1548"/>
      <c r="U95" s="1548"/>
      <c r="V95" s="1548"/>
      <c r="W95" s="1548"/>
      <c r="X95" s="176" t="s">
        <v>190</v>
      </c>
      <c r="Y95" s="1548"/>
      <c r="Z95" s="1548"/>
      <c r="AA95" s="1009"/>
      <c r="AB95" s="240"/>
      <c r="AC95" s="241"/>
      <c r="AD95" s="241"/>
      <c r="AE95" s="242" t="s">
        <v>191</v>
      </c>
      <c r="AF95" s="208"/>
      <c r="AG95" s="1659"/>
      <c r="AH95" s="1659"/>
      <c r="AI95" s="1659"/>
      <c r="AJ95" s="1659"/>
      <c r="AK95" s="1659"/>
      <c r="AL95" s="1659"/>
      <c r="AM95" s="1659"/>
      <c r="AN95" s="1659"/>
      <c r="AO95" s="1751"/>
      <c r="AP95" s="1751"/>
      <c r="AQ95" s="1751"/>
      <c r="AR95" s="1751"/>
      <c r="AS95" s="1751"/>
      <c r="AT95" s="1751"/>
      <c r="AU95" s="1751"/>
      <c r="AV95" s="1751"/>
      <c r="AW95" s="1751"/>
      <c r="AX95" s="1751"/>
      <c r="AY95" s="1751"/>
      <c r="AZ95" s="1751"/>
      <c r="BA95" s="1751"/>
      <c r="BB95" s="1751"/>
      <c r="BC95" s="1751"/>
      <c r="BD95" s="1751"/>
      <c r="BE95" s="1751"/>
      <c r="BF95" s="1076"/>
      <c r="BG95" s="1076"/>
      <c r="BH95" s="1076"/>
      <c r="BI95" s="1076"/>
      <c r="BJ95" s="1076"/>
      <c r="BK95" s="1076"/>
      <c r="BL95" s="1076"/>
      <c r="BM95" s="1076"/>
      <c r="BN95" s="1076"/>
      <c r="BO95" s="1076"/>
      <c r="BP95" s="1076"/>
      <c r="BQ95" s="1076"/>
      <c r="BR95" s="1076"/>
      <c r="BS95" s="1076"/>
      <c r="BT95" s="1076"/>
      <c r="BU95" s="1076"/>
      <c r="BV95" s="1076"/>
      <c r="BW95" s="1507"/>
      <c r="BX95" s="1076"/>
      <c r="BY95" s="1076"/>
      <c r="BZ95" s="1076"/>
    </row>
    <row customHeight="1" ht="24.375">
      <c r="E96" s="180">
        <v>25</v>
      </c>
      <c r="AB96" s="1531"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2025 года, для организации, оказывающей услуги теплоснабжения</v>
      </c>
      <c r="AC96" s="1531"/>
      <c r="AD96" s="1531"/>
      <c r="AE96" s="220" t="s">
        <v>158</v>
      </c>
      <c r="AF96" s="219"/>
      <c r="BF96" s="1077"/>
      <c r="BG96" s="1083"/>
      <c r="BH96" s="1083"/>
      <c r="BI96" s="1083"/>
      <c r="BJ96" s="1083"/>
      <c r="BK96" s="1083"/>
      <c r="BL96" s="1083"/>
      <c r="BM96" s="1083" t="s">
        <v>202</v>
      </c>
      <c r="BN96" s="1083"/>
      <c r="BO96" s="1083"/>
      <c r="BP96" s="1083"/>
      <c r="BQ96" s="1083"/>
      <c r="BR96" s="1083"/>
      <c r="BS96" s="1083"/>
      <c r="BT96" s="1083"/>
      <c r="BU96" s="1083" t="s">
        <v>203</v>
      </c>
      <c r="BV96" s="1076"/>
      <c r="BW96" s="1083"/>
      <c r="BX96" s="1077" t="s">
        <v>178</v>
      </c>
      <c r="BY96" s="1077" t="s">
        <v>204</v>
      </c>
      <c r="BZ96" s="1077" t="s">
        <v>205</v>
      </c>
    </row>
    <row customHeight="1" ht="19.5" hidden="1">
      <c r="A97" s="371"/>
      <c r="B97" s="192">
        <f>HAS_DOC5="да"</f>
        <v>0</v>
      </c>
      <c r="C97" s="1548"/>
      <c r="D97" s="1548"/>
      <c r="E97" s="180">
        <v>20</v>
      </c>
      <c r="F97" s="1659"/>
      <c r="G97" s="1548"/>
      <c r="H97" s="1548"/>
      <c r="I97" s="1548"/>
      <c r="J97" s="1548"/>
      <c r="K97" s="1548"/>
      <c r="L97" s="1548"/>
      <c r="M97" s="1548"/>
      <c r="N97" s="1548"/>
      <c r="O97" s="1548"/>
      <c r="P97" s="1548"/>
      <c r="Q97" s="1548"/>
      <c r="R97" s="1548"/>
      <c r="S97" s="1548"/>
      <c r="T97" s="1548"/>
      <c r="U97" s="1548"/>
      <c r="V97" s="175" t="b">
        <v>0</v>
      </c>
      <c r="W97" s="1548"/>
      <c r="X97" s="1548"/>
      <c r="Y97" s="1548"/>
      <c r="Z97" s="1548"/>
      <c r="AA97" s="1009"/>
      <c r="AB97" s="1534" t="s">
        <v>174</v>
      </c>
      <c r="AC97" s="1531" t="s">
        <v>175</v>
      </c>
      <c r="AD97" s="1531"/>
      <c r="AE97" s="243"/>
      <c r="AF97" s="208"/>
      <c r="AG97" s="1659"/>
      <c r="AH97" s="1659"/>
      <c r="AI97" s="1659"/>
      <c r="AJ97" s="1659"/>
      <c r="AK97" s="1659"/>
      <c r="AL97" s="1659"/>
      <c r="AM97" s="1659"/>
      <c r="AN97" s="1659"/>
      <c r="AO97" s="1751"/>
      <c r="AP97" s="1751"/>
      <c r="AQ97" s="1751"/>
      <c r="AR97" s="1751"/>
      <c r="AS97" s="1751"/>
      <c r="AT97" s="1751"/>
      <c r="AU97" s="1751"/>
      <c r="AV97" s="1751"/>
      <c r="AW97" s="1751"/>
      <c r="AX97" s="1751"/>
      <c r="AY97" s="1751"/>
      <c r="AZ97" s="1751"/>
      <c r="BA97" s="1751"/>
      <c r="BB97" s="1751"/>
      <c r="BC97" s="1751"/>
      <c r="BD97" s="1751"/>
      <c r="BE97" s="1751"/>
      <c r="BF97" s="1077"/>
      <c r="BG97" s="1083"/>
      <c r="BH97" s="1083"/>
      <c r="BI97" s="1083"/>
      <c r="BJ97" s="1083"/>
      <c r="BK97" s="1083"/>
      <c r="BL97" s="1083"/>
      <c r="BM97" s="1083" t="s">
        <v>202</v>
      </c>
      <c r="BN97" s="1083"/>
      <c r="BO97" s="1083"/>
      <c r="BP97" s="1083"/>
      <c r="BQ97" s="1083"/>
      <c r="BR97" s="1083"/>
      <c r="BS97" s="1083"/>
      <c r="BT97" s="1083"/>
      <c r="BU97" s="1083" t="s">
        <v>203</v>
      </c>
      <c r="BV97" s="1076"/>
      <c r="BW97" s="1083" cm="1" t="str">
        <f t="array" ref="BW97:BW97">$AK97</f>
        <v>0</v>
      </c>
      <c r="BX97" s="1077" t="s">
        <v>178</v>
      </c>
      <c r="BY97" s="1077" t="s">
        <v>179</v>
      </c>
      <c r="BZ97" s="1077" t="s">
        <v>195</v>
      </c>
    </row>
    <row customHeight="1" ht="19.5" hidden="1">
      <c r="A98" s="371"/>
      <c r="B98" s="192">
        <f>HAS_DOC5="да"</f>
        <v>0</v>
      </c>
      <c r="C98" s="1548"/>
      <c r="D98" s="1548"/>
      <c r="E98" s="180">
        <v>20</v>
      </c>
      <c r="F98" s="1659"/>
      <c r="G98" s="1548"/>
      <c r="H98" s="1548"/>
      <c r="I98" s="1548"/>
      <c r="J98" s="1548"/>
      <c r="K98" s="1548"/>
      <c r="L98" s="1548"/>
      <c r="M98" s="1548"/>
      <c r="N98" s="1548"/>
      <c r="O98" s="1548"/>
      <c r="P98" s="1548"/>
      <c r="Q98" s="1548"/>
      <c r="R98" s="1548"/>
      <c r="S98" s="1548"/>
      <c r="T98" s="1548"/>
      <c r="U98" s="1548"/>
      <c r="V98" s="175" t="b">
        <v>0</v>
      </c>
      <c r="W98" s="1548"/>
      <c r="X98" s="1548"/>
      <c r="Y98" s="1548"/>
      <c r="Z98" s="1548"/>
      <c r="AA98" s="1009"/>
      <c r="AB98" s="1534"/>
      <c r="AC98" s="1531" t="s">
        <v>181</v>
      </c>
      <c r="AD98" s="1531"/>
      <c r="AE98" s="244"/>
      <c r="AF98" s="208"/>
      <c r="AG98" s="1659"/>
      <c r="AH98" s="1659"/>
      <c r="AI98" s="1659"/>
      <c r="AJ98" s="1659"/>
      <c r="AK98" s="1659"/>
      <c r="AL98" s="1659"/>
      <c r="AM98" s="1659"/>
      <c r="AN98" s="1659"/>
      <c r="AO98" s="1751"/>
      <c r="AP98" s="1751"/>
      <c r="AQ98" s="1751"/>
      <c r="AR98" s="1751"/>
      <c r="AS98" s="1751"/>
      <c r="AT98" s="1751"/>
      <c r="AU98" s="1751"/>
      <c r="AV98" s="1751"/>
      <c r="AW98" s="1751"/>
      <c r="AX98" s="1751"/>
      <c r="AY98" s="1751"/>
      <c r="AZ98" s="1751"/>
      <c r="BA98" s="1751"/>
      <c r="BB98" s="1751"/>
      <c r="BC98" s="1751"/>
      <c r="BD98" s="1751"/>
      <c r="BE98" s="1751"/>
      <c r="BF98" s="1077"/>
      <c r="BG98" s="1083"/>
      <c r="BH98" s="1083"/>
      <c r="BI98" s="1083"/>
      <c r="BJ98" s="1083"/>
      <c r="BK98" s="1083"/>
      <c r="BL98" s="1083"/>
      <c r="BM98" s="1083" t="s">
        <v>202</v>
      </c>
      <c r="BN98" s="1083"/>
      <c r="BO98" s="1083"/>
      <c r="BP98" s="1083"/>
      <c r="BQ98" s="1083"/>
      <c r="BR98" s="1083"/>
      <c r="BS98" s="1083"/>
      <c r="BT98" s="1083"/>
      <c r="BU98" s="1083" t="s">
        <v>203</v>
      </c>
      <c r="BV98" s="1076"/>
      <c r="BW98" s="1083" cm="1" t="str">
        <f t="array" ref="BW98:BW98">BW97</f>
        <v>0</v>
      </c>
      <c r="BX98" s="1077" t="s">
        <v>178</v>
      </c>
      <c r="BY98" s="1077" t="s">
        <v>182</v>
      </c>
      <c r="BZ98" s="1077" t="s">
        <v>197</v>
      </c>
    </row>
    <row customHeight="1" ht="19.5" hidden="1">
      <c r="A99" s="371"/>
      <c r="B99" s="192">
        <f>HAS_DOC5="да"</f>
        <v>0</v>
      </c>
      <c r="C99" s="1548"/>
      <c r="D99" s="1548"/>
      <c r="E99" s="180">
        <v>20</v>
      </c>
      <c r="F99" s="1659"/>
      <c r="G99" s="1548"/>
      <c r="H99" s="1548"/>
      <c r="I99" s="1548"/>
      <c r="J99" s="1548"/>
      <c r="K99" s="1548"/>
      <c r="L99" s="1548"/>
      <c r="M99" s="1548"/>
      <c r="N99" s="1548"/>
      <c r="O99" s="1548"/>
      <c r="P99" s="1548"/>
      <c r="Q99" s="1548"/>
      <c r="R99" s="1548"/>
      <c r="S99" s="1548"/>
      <c r="T99" s="1548"/>
      <c r="U99" s="1548"/>
      <c r="V99" s="175" t="b">
        <v>0</v>
      </c>
      <c r="W99" s="1548"/>
      <c r="X99" s="1548"/>
      <c r="Y99" s="1548"/>
      <c r="Z99" s="1548"/>
      <c r="AA99" s="1009"/>
      <c r="AB99" s="1534"/>
      <c r="AC99" s="1531" t="s">
        <v>183</v>
      </c>
      <c r="AD99" s="1531"/>
      <c r="AE99" s="243"/>
      <c r="AF99" s="208"/>
      <c r="AG99" s="1659"/>
      <c r="AH99" s="1659"/>
      <c r="AI99" s="1659"/>
      <c r="AJ99" s="1659"/>
      <c r="AK99" s="1659"/>
      <c r="AL99" s="1659"/>
      <c r="AM99" s="1659"/>
      <c r="AN99" s="1659"/>
      <c r="AO99" s="1751"/>
      <c r="AP99" s="1751"/>
      <c r="AQ99" s="1751"/>
      <c r="AR99" s="1751"/>
      <c r="AS99" s="1751"/>
      <c r="AT99" s="1751"/>
      <c r="AU99" s="1751"/>
      <c r="AV99" s="1751"/>
      <c r="AW99" s="1751"/>
      <c r="AX99" s="1751"/>
      <c r="AY99" s="1751"/>
      <c r="AZ99" s="1751"/>
      <c r="BA99" s="1751"/>
      <c r="BB99" s="1751"/>
      <c r="BC99" s="1751"/>
      <c r="BD99" s="1751"/>
      <c r="BE99" s="1751"/>
      <c r="BF99" s="1077"/>
      <c r="BG99" s="1083"/>
      <c r="BH99" s="1083"/>
      <c r="BI99" s="1083"/>
      <c r="BJ99" s="1083"/>
      <c r="BK99" s="1083"/>
      <c r="BL99" s="1083"/>
      <c r="BM99" s="1083" t="s">
        <v>202</v>
      </c>
      <c r="BN99" s="1083"/>
      <c r="BO99" s="1083"/>
      <c r="BP99" s="1083"/>
      <c r="BQ99" s="1083"/>
      <c r="BR99" s="1083"/>
      <c r="BS99" s="1083"/>
      <c r="BT99" s="1083"/>
      <c r="BU99" s="1083" t="s">
        <v>203</v>
      </c>
      <c r="BV99" s="1076"/>
      <c r="BW99" s="1083" cm="1" t="str">
        <f t="array" ref="BW99:BW99">BW98</f>
        <v>0</v>
      </c>
      <c r="BX99" s="1077" t="s">
        <v>178</v>
      </c>
      <c r="BY99" s="1077" t="s">
        <v>184</v>
      </c>
      <c r="BZ99" s="1077" t="s">
        <v>199</v>
      </c>
    </row>
    <row customHeight="1" ht="19.5" hidden="1">
      <c r="A100" s="371"/>
      <c r="B100" s="192">
        <f>HAS_DOC5="да"</f>
        <v>0</v>
      </c>
      <c r="C100" s="1548"/>
      <c r="D100" s="1548"/>
      <c r="E100" s="180">
        <v>20</v>
      </c>
      <c r="F100" s="1659"/>
      <c r="G100" s="1548"/>
      <c r="H100" s="1548"/>
      <c r="I100" s="1548"/>
      <c r="J100" s="1548"/>
      <c r="K100" s="1548"/>
      <c r="L100" s="1548"/>
      <c r="M100" s="1548"/>
      <c r="N100" s="1548"/>
      <c r="O100" s="1548"/>
      <c r="P100" s="1548"/>
      <c r="Q100" s="1548"/>
      <c r="R100" s="1548"/>
      <c r="S100" s="1548"/>
      <c r="T100" s="1548"/>
      <c r="U100" s="1548"/>
      <c r="V100" s="175" t="b">
        <v>0</v>
      </c>
      <c r="W100" s="1548"/>
      <c r="X100" s="1548"/>
      <c r="Y100" s="1548"/>
      <c r="Z100" s="1548"/>
      <c r="AA100" s="1009"/>
      <c r="AB100" s="1534"/>
      <c r="AC100" s="1531" t="s">
        <v>185</v>
      </c>
      <c r="AD100" s="1531"/>
      <c r="AE100" s="245"/>
      <c r="AF100" s="208"/>
      <c r="AG100" s="1659"/>
      <c r="AH100" s="1659"/>
      <c r="AI100" s="1659"/>
      <c r="AJ100" s="1659"/>
      <c r="AK100" s="1659"/>
      <c r="AL100" s="1659"/>
      <c r="AM100" s="1659"/>
      <c r="AN100" s="1659"/>
      <c r="AO100" s="1751"/>
      <c r="AP100" s="1751"/>
      <c r="AQ100" s="1751"/>
      <c r="AR100" s="1751"/>
      <c r="AS100" s="1751"/>
      <c r="AT100" s="1751"/>
      <c r="AU100" s="1751"/>
      <c r="AV100" s="1751"/>
      <c r="AW100" s="1751"/>
      <c r="AX100" s="1751"/>
      <c r="AY100" s="1751"/>
      <c r="AZ100" s="1751"/>
      <c r="BA100" s="1751"/>
      <c r="BB100" s="1751"/>
      <c r="BC100" s="1751"/>
      <c r="BD100" s="1751"/>
      <c r="BE100" s="1751"/>
      <c r="BF100" s="1077"/>
      <c r="BG100" s="1083"/>
      <c r="BH100" s="1083"/>
      <c r="BI100" s="1083"/>
      <c r="BJ100" s="1083"/>
      <c r="BK100" s="1083"/>
      <c r="BL100" s="1083"/>
      <c r="BM100" s="1083" t="s">
        <v>202</v>
      </c>
      <c r="BN100" s="1083"/>
      <c r="BO100" s="1083"/>
      <c r="BP100" s="1083"/>
      <c r="BQ100" s="1083"/>
      <c r="BR100" s="1083"/>
      <c r="BS100" s="1083"/>
      <c r="BT100" s="1083"/>
      <c r="BU100" s="1083" t="s">
        <v>203</v>
      </c>
      <c r="BV100" s="1076"/>
      <c r="BW100" s="1083" cm="1" t="str">
        <f t="array" ref="BW100:BW100">BW99</f>
        <v>0</v>
      </c>
      <c r="BX100" s="1077" t="s">
        <v>178</v>
      </c>
      <c r="BY100" s="1077" t="s">
        <v>186</v>
      </c>
      <c r="BZ100" s="1077" t="s">
        <v>200</v>
      </c>
    </row>
    <row customHeight="1" ht="19.5" hidden="1">
      <c r="A101" s="371"/>
      <c r="B101" s="192">
        <f>HAS_DOC5="да"</f>
        <v>0</v>
      </c>
      <c r="C101" s="1548"/>
      <c r="D101" s="1548"/>
      <c r="E101" s="180">
        <v>20</v>
      </c>
      <c r="F101" s="1659"/>
      <c r="G101" s="1548"/>
      <c r="H101" s="1548"/>
      <c r="I101" s="1548"/>
      <c r="J101" s="1548"/>
      <c r="K101" s="1548"/>
      <c r="L101" s="1548"/>
      <c r="M101" s="1548"/>
      <c r="N101" s="1548"/>
      <c r="O101" s="1548"/>
      <c r="P101" s="1548"/>
      <c r="Q101" s="1548"/>
      <c r="R101" s="1548"/>
      <c r="S101" s="1548"/>
      <c r="T101" s="1548"/>
      <c r="U101" s="1548"/>
      <c r="V101" s="175" t="b">
        <v>0</v>
      </c>
      <c r="W101" s="1548"/>
      <c r="X101" s="1548"/>
      <c r="Y101" s="1548"/>
      <c r="Z101" s="1548"/>
      <c r="AA101" s="1009"/>
      <c r="AB101" s="1534"/>
      <c r="AC101" s="1531" t="s">
        <v>206</v>
      </c>
      <c r="AD101" s="1531"/>
      <c r="AE101" s="245"/>
      <c r="AF101" s="208"/>
      <c r="AG101" s="1659"/>
      <c r="AH101" s="1659"/>
      <c r="AI101" s="1659"/>
      <c r="AJ101" s="1659"/>
      <c r="AK101" s="1659"/>
      <c r="AL101" s="1659"/>
      <c r="AM101" s="1659"/>
      <c r="AN101" s="1659"/>
      <c r="AO101" s="1751"/>
      <c r="AP101" s="1751"/>
      <c r="AQ101" s="1751"/>
      <c r="AR101" s="1751"/>
      <c r="AS101" s="1751"/>
      <c r="AT101" s="1751"/>
      <c r="AU101" s="1751"/>
      <c r="AV101" s="1751"/>
      <c r="AW101" s="1751"/>
      <c r="AX101" s="1751"/>
      <c r="AY101" s="1751"/>
      <c r="AZ101" s="1751"/>
      <c r="BA101" s="1751"/>
      <c r="BB101" s="1751"/>
      <c r="BC101" s="1751"/>
      <c r="BD101" s="1751"/>
      <c r="BE101" s="1751"/>
      <c r="BF101" s="1077"/>
      <c r="BG101" s="1083"/>
      <c r="BH101" s="1083"/>
      <c r="BI101" s="1083"/>
      <c r="BJ101" s="1083"/>
      <c r="BK101" s="1083"/>
      <c r="BL101" s="1083"/>
      <c r="BM101" s="1083" t="s">
        <v>202</v>
      </c>
      <c r="BN101" s="1083"/>
      <c r="BO101" s="1083"/>
      <c r="BP101" s="1083"/>
      <c r="BQ101" s="1083"/>
      <c r="BR101" s="1083"/>
      <c r="BS101" s="1083"/>
      <c r="BT101" s="1083"/>
      <c r="BU101" s="1083" t="s">
        <v>203</v>
      </c>
      <c r="BV101" s="1076"/>
      <c r="BW101" s="1083" cm="1" t="str">
        <f t="array" ref="BW101:BW101">BW100</f>
        <v>0</v>
      </c>
      <c r="BX101" s="1077" t="s">
        <v>178</v>
      </c>
      <c r="BY101" s="1077" t="s">
        <v>207</v>
      </c>
      <c r="BZ101" s="1077" t="s">
        <v>208</v>
      </c>
    </row>
    <row customHeight="1" ht="19.5" hidden="1">
      <c r="A102" s="371"/>
      <c r="B102" s="192">
        <f>HAS_DOC5="да"</f>
        <v>0</v>
      </c>
      <c r="C102" s="1548"/>
      <c r="D102" s="1548"/>
      <c r="E102" s="180">
        <v>20</v>
      </c>
      <c r="F102" s="1659"/>
      <c r="G102" s="1548"/>
      <c r="H102" s="1548"/>
      <c r="I102" s="1548"/>
      <c r="J102" s="1548"/>
      <c r="K102" s="1548"/>
      <c r="L102" s="1548"/>
      <c r="M102" s="1548"/>
      <c r="N102" s="1548"/>
      <c r="O102" s="1548"/>
      <c r="P102" s="1548"/>
      <c r="Q102" s="1548"/>
      <c r="R102" s="1548"/>
      <c r="S102" s="1548"/>
      <c r="T102" s="1548"/>
      <c r="U102" s="1548"/>
      <c r="V102" s="175" t="b">
        <v>0</v>
      </c>
      <c r="W102" s="1548"/>
      <c r="X102" s="1548"/>
      <c r="Y102" s="1548"/>
      <c r="Z102" s="1548"/>
      <c r="AA102" s="1009"/>
      <c r="AB102" s="1534"/>
      <c r="AC102" s="1531" t="s">
        <v>209</v>
      </c>
      <c r="AD102" s="1531"/>
      <c r="AE102" s="245"/>
      <c r="AF102" s="208"/>
      <c r="AG102" s="1659"/>
      <c r="AH102" s="1659"/>
      <c r="AI102" s="1659"/>
      <c r="AJ102" s="1659"/>
      <c r="AK102" s="1659"/>
      <c r="AL102" s="1659"/>
      <c r="AM102" s="1659"/>
      <c r="AN102" s="1659"/>
      <c r="AO102" s="1751"/>
      <c r="AP102" s="1751"/>
      <c r="AQ102" s="1751"/>
      <c r="AR102" s="1751"/>
      <c r="AS102" s="1751"/>
      <c r="AT102" s="1751"/>
      <c r="AU102" s="1751"/>
      <c r="AV102" s="1751"/>
      <c r="AW102" s="1751"/>
      <c r="AX102" s="1751"/>
      <c r="AY102" s="1751"/>
      <c r="AZ102" s="1751"/>
      <c r="BA102" s="1751"/>
      <c r="BB102" s="1751"/>
      <c r="BC102" s="1751"/>
      <c r="BD102" s="1751"/>
      <c r="BE102" s="1751"/>
      <c r="BF102" s="1077"/>
      <c r="BG102" s="1083"/>
      <c r="BH102" s="1083"/>
      <c r="BI102" s="1083"/>
      <c r="BJ102" s="1083"/>
      <c r="BK102" s="1083"/>
      <c r="BL102" s="1083"/>
      <c r="BM102" s="1083" t="s">
        <v>202</v>
      </c>
      <c r="BN102" s="1083"/>
      <c r="BO102" s="1083"/>
      <c r="BP102" s="1083"/>
      <c r="BQ102" s="1083"/>
      <c r="BR102" s="1083"/>
      <c r="BS102" s="1083"/>
      <c r="BT102" s="1083"/>
      <c r="BU102" s="1083" t="s">
        <v>203</v>
      </c>
      <c r="BV102" s="1076"/>
      <c r="BW102" s="1083" cm="1" t="str">
        <f t="array" ref="BW102:BW102">BW101</f>
        <v>0</v>
      </c>
      <c r="BX102" s="1077" t="s">
        <v>178</v>
      </c>
      <c r="BY102" s="1077" t="s">
        <v>210</v>
      </c>
      <c r="BZ102" s="1077" t="s">
        <v>211</v>
      </c>
    </row>
    <row customHeight="1" ht="19.5" hidden="1">
      <c r="A103" s="371"/>
      <c r="B103" s="192">
        <f>HAS_DOC5="да"</f>
        <v>0</v>
      </c>
      <c r="C103" s="1548"/>
      <c r="D103" s="1548"/>
      <c r="E103" s="180">
        <v>20</v>
      </c>
      <c r="F103" s="1659"/>
      <c r="G103" s="1548"/>
      <c r="H103" s="1548"/>
      <c r="I103" s="1548"/>
      <c r="J103" s="1548"/>
      <c r="K103" s="1548"/>
      <c r="L103" s="1548"/>
      <c r="M103" s="1548"/>
      <c r="N103" s="1548"/>
      <c r="O103" s="1548"/>
      <c r="P103" s="1548"/>
      <c r="Q103" s="1548"/>
      <c r="R103" s="1548"/>
      <c r="S103" s="1548"/>
      <c r="T103" s="1548"/>
      <c r="U103" s="1548"/>
      <c r="V103" s="753">
        <f>ROW(X103)&gt;ROW(X$103)</f>
        <v>0</v>
      </c>
      <c r="W103" s="1548"/>
      <c r="X103" s="175" t="s">
        <v>189</v>
      </c>
      <c r="Y103" s="1548"/>
      <c r="Z103" s="1561">
        <v>0</v>
      </c>
      <c r="AA103" s="1532" t="s">
        <v>171</v>
      </c>
      <c r="AB103" s="1534" t="s">
        <v>174</v>
      </c>
      <c r="AC103" s="1531" t="s">
        <v>175</v>
      </c>
      <c r="AD103" s="1531"/>
      <c r="AE103" s="1756"/>
      <c r="AF103" s="208"/>
      <c r="AG103" s="1659"/>
      <c r="AH103" s="1659"/>
      <c r="AI103" s="1659"/>
      <c r="AJ103" s="1659"/>
      <c r="AK103" s="1659"/>
      <c r="AL103" s="1659"/>
      <c r="AM103" s="1659"/>
      <c r="AN103" s="1659"/>
      <c r="AO103" s="1751"/>
      <c r="AP103" s="1751"/>
      <c r="AQ103" s="1751"/>
      <c r="AR103" s="1751"/>
      <c r="AS103" s="1751"/>
      <c r="AT103" s="1751"/>
      <c r="AU103" s="1751"/>
      <c r="AV103" s="1751"/>
      <c r="AW103" s="1751"/>
      <c r="AX103" s="1751"/>
      <c r="AY103" s="1751"/>
      <c r="AZ103" s="1751"/>
      <c r="BA103" s="1751"/>
      <c r="BB103" s="1751"/>
      <c r="BC103" s="1751"/>
      <c r="BD103" s="1751"/>
      <c r="BE103" s="1751"/>
      <c r="BF103" s="1077"/>
      <c r="BG103" s="1083"/>
      <c r="BH103" s="1083"/>
      <c r="BI103" s="1083"/>
      <c r="BJ103" s="1083"/>
      <c r="BK103" s="1083"/>
      <c r="BL103" s="1083"/>
      <c r="BM103" s="1083" t="s">
        <v>202</v>
      </c>
      <c r="BN103" s="1083"/>
      <c r="BO103" s="1083"/>
      <c r="BP103" s="1083"/>
      <c r="BQ103" s="1083"/>
      <c r="BR103" s="1083"/>
      <c r="BS103" s="1083"/>
      <c r="BT103" s="1083"/>
      <c r="BU103" s="1083" t="s">
        <v>203</v>
      </c>
      <c r="BV103" s="1076"/>
      <c r="BW103" s="1505" cm="1" t="str">
        <f t="array" ref="BW103:BW103">$AE103</f>
        <v>0</v>
      </c>
      <c r="BX103" s="1077" t="s">
        <v>178</v>
      </c>
      <c r="BY103" s="1077" t="s">
        <v>179</v>
      </c>
      <c r="BZ103" s="1077" t="s">
        <v>195</v>
      </c>
    </row>
    <row customHeight="1" ht="19.5" hidden="1">
      <c r="A104" s="371"/>
      <c r="B104" s="192">
        <f>HAS_DOC5="да"</f>
        <v>0</v>
      </c>
      <c r="C104" s="1548"/>
      <c r="D104" s="1548"/>
      <c r="E104" s="180">
        <v>20</v>
      </c>
      <c r="F104" s="1659"/>
      <c r="G104" s="1548"/>
      <c r="H104" s="1548"/>
      <c r="I104" s="1548"/>
      <c r="J104" s="1548"/>
      <c r="K104" s="1548"/>
      <c r="L104" s="1548"/>
      <c r="M104" s="1548"/>
      <c r="N104" s="1548"/>
      <c r="O104" s="1548"/>
      <c r="P104" s="1548"/>
      <c r="Q104" s="1548"/>
      <c r="R104" s="1548"/>
      <c r="S104" s="1548"/>
      <c r="T104" s="1548"/>
      <c r="U104" s="1548"/>
      <c r="V104" s="753" cm="1" t="str">
        <f t="array" ref="V104:V104">V103</f>
        <v>false</v>
      </c>
      <c r="W104" s="1548"/>
      <c r="X104" s="1548"/>
      <c r="Y104" s="1548"/>
      <c r="Z104" s="1561"/>
      <c r="AA104" s="1533"/>
      <c r="AB104" s="1534"/>
      <c r="AC104" s="1531" t="s">
        <v>181</v>
      </c>
      <c r="AD104" s="1531"/>
      <c r="AE104" s="1785"/>
      <c r="AF104" s="208"/>
      <c r="AG104" s="1659"/>
      <c r="AH104" s="1659"/>
      <c r="AI104" s="1659"/>
      <c r="AJ104" s="1659"/>
      <c r="AK104" s="1659"/>
      <c r="AL104" s="1659"/>
      <c r="AM104" s="1659"/>
      <c r="AN104" s="1659"/>
      <c r="AO104" s="1751"/>
      <c r="AP104" s="1751"/>
      <c r="AQ104" s="1751"/>
      <c r="AR104" s="1751"/>
      <c r="AS104" s="1751"/>
      <c r="AT104" s="1751"/>
      <c r="AU104" s="1751"/>
      <c r="AV104" s="1751"/>
      <c r="AW104" s="1751"/>
      <c r="AX104" s="1751"/>
      <c r="AY104" s="1751"/>
      <c r="AZ104" s="1751"/>
      <c r="BA104" s="1751"/>
      <c r="BB104" s="1751"/>
      <c r="BC104" s="1751"/>
      <c r="BD104" s="1751"/>
      <c r="BE104" s="1751"/>
      <c r="BF104" s="1077"/>
      <c r="BG104" s="1083"/>
      <c r="BH104" s="1083"/>
      <c r="BI104" s="1083"/>
      <c r="BJ104" s="1083"/>
      <c r="BK104" s="1083"/>
      <c r="BL104" s="1083"/>
      <c r="BM104" s="1083" t="s">
        <v>202</v>
      </c>
      <c r="BN104" s="1083"/>
      <c r="BO104" s="1083"/>
      <c r="BP104" s="1083"/>
      <c r="BQ104" s="1083"/>
      <c r="BR104" s="1083"/>
      <c r="BS104" s="1083"/>
      <c r="BT104" s="1083"/>
      <c r="BU104" s="1083" t="s">
        <v>203</v>
      </c>
      <c r="BV104" s="1076"/>
      <c r="BW104" s="1505" cm="1" t="str">
        <f t="array" ref="BW104:BW104">BW103</f>
        <v>0</v>
      </c>
      <c r="BX104" s="1077" t="s">
        <v>178</v>
      </c>
      <c r="BY104" s="1077" t="s">
        <v>182</v>
      </c>
      <c r="BZ104" s="1077" t="s">
        <v>197</v>
      </c>
    </row>
    <row customHeight="1" ht="19.5" hidden="1">
      <c r="A105" s="371"/>
      <c r="B105" s="192">
        <f>HAS_DOC5="да"</f>
        <v>0</v>
      </c>
      <c r="C105" s="1548"/>
      <c r="D105" s="1548"/>
      <c r="E105" s="180">
        <v>20</v>
      </c>
      <c r="F105" s="1659"/>
      <c r="G105" s="1548"/>
      <c r="H105" s="1548"/>
      <c r="I105" s="1548"/>
      <c r="J105" s="1548"/>
      <c r="K105" s="1548"/>
      <c r="L105" s="1548"/>
      <c r="M105" s="1548"/>
      <c r="N105" s="1548"/>
      <c r="O105" s="1548"/>
      <c r="P105" s="1548"/>
      <c r="Q105" s="1548"/>
      <c r="R105" s="1548"/>
      <c r="S105" s="1548"/>
      <c r="T105" s="1548"/>
      <c r="U105" s="1548"/>
      <c r="V105" s="753" cm="1" t="str">
        <f t="array" ref="V105:V105">V104</f>
        <v>false</v>
      </c>
      <c r="W105" s="1548"/>
      <c r="X105" s="1548"/>
      <c r="Y105" s="1548"/>
      <c r="Z105" s="1561"/>
      <c r="AA105" s="1533"/>
      <c r="AB105" s="1534"/>
      <c r="AC105" s="1531" t="s">
        <v>183</v>
      </c>
      <c r="AD105" s="1531"/>
      <c r="AE105" s="1756"/>
      <c r="AF105" s="208"/>
      <c r="AG105" s="1659"/>
      <c r="AH105" s="1659"/>
      <c r="AI105" s="1659"/>
      <c r="AJ105" s="1659"/>
      <c r="AK105" s="1659"/>
      <c r="AL105" s="1659"/>
      <c r="AM105" s="1659"/>
      <c r="AN105" s="1659"/>
      <c r="AO105" s="1751"/>
      <c r="AP105" s="1751"/>
      <c r="AQ105" s="1751"/>
      <c r="AR105" s="1751"/>
      <c r="AS105" s="1751"/>
      <c r="AT105" s="1751"/>
      <c r="AU105" s="1751"/>
      <c r="AV105" s="1751"/>
      <c r="AW105" s="1751"/>
      <c r="AX105" s="1751"/>
      <c r="AY105" s="1751"/>
      <c r="AZ105" s="1751"/>
      <c r="BA105" s="1751"/>
      <c r="BB105" s="1751"/>
      <c r="BC105" s="1751"/>
      <c r="BD105" s="1751"/>
      <c r="BE105" s="1751"/>
      <c r="BF105" s="1077"/>
      <c r="BG105" s="1083"/>
      <c r="BH105" s="1083"/>
      <c r="BI105" s="1083"/>
      <c r="BJ105" s="1083"/>
      <c r="BK105" s="1083"/>
      <c r="BL105" s="1083"/>
      <c r="BM105" s="1083" t="s">
        <v>202</v>
      </c>
      <c r="BN105" s="1083"/>
      <c r="BO105" s="1083"/>
      <c r="BP105" s="1083"/>
      <c r="BQ105" s="1083"/>
      <c r="BR105" s="1083"/>
      <c r="BS105" s="1083"/>
      <c r="BT105" s="1083"/>
      <c r="BU105" s="1083" t="s">
        <v>203</v>
      </c>
      <c r="BV105" s="1076"/>
      <c r="BW105" s="1505" cm="1" t="str">
        <f t="array" ref="BW105:BW105">BW104</f>
        <v>0</v>
      </c>
      <c r="BX105" s="1077" t="s">
        <v>178</v>
      </c>
      <c r="BY105" s="1077" t="s">
        <v>184</v>
      </c>
      <c r="BZ105" s="1077" t="s">
        <v>199</v>
      </c>
    </row>
    <row customHeight="1" ht="19.5" hidden="1">
      <c r="A106" s="371"/>
      <c r="B106" s="192">
        <f>HAS_DOC5="да"</f>
        <v>0</v>
      </c>
      <c r="C106" s="1548"/>
      <c r="D106" s="1548"/>
      <c r="E106" s="180">
        <v>20</v>
      </c>
      <c r="F106" s="1659"/>
      <c r="G106" s="1548"/>
      <c r="H106" s="1548"/>
      <c r="I106" s="1548"/>
      <c r="J106" s="1548"/>
      <c r="K106" s="1548"/>
      <c r="L106" s="1548"/>
      <c r="M106" s="1548"/>
      <c r="N106" s="1548"/>
      <c r="O106" s="1548"/>
      <c r="P106" s="1548"/>
      <c r="Q106" s="1548"/>
      <c r="R106" s="1548"/>
      <c r="S106" s="1548"/>
      <c r="T106" s="1548"/>
      <c r="U106" s="1548"/>
      <c r="V106" s="753" cm="1" t="str">
        <f t="array" ref="V106:V106">V105</f>
        <v>false</v>
      </c>
      <c r="W106" s="1548"/>
      <c r="X106" s="1548"/>
      <c r="Y106" s="1548"/>
      <c r="Z106" s="1561"/>
      <c r="AA106" s="1533"/>
      <c r="AB106" s="1534"/>
      <c r="AC106" s="1531" t="s">
        <v>185</v>
      </c>
      <c r="AD106" s="1531"/>
      <c r="AE106" s="1786"/>
      <c r="AF106" s="208"/>
      <c r="AG106" s="1659"/>
      <c r="AH106" s="1659"/>
      <c r="AI106" s="1659"/>
      <c r="AJ106" s="1659"/>
      <c r="AK106" s="1659"/>
      <c r="AL106" s="1659"/>
      <c r="AM106" s="1659"/>
      <c r="AN106" s="1659"/>
      <c r="AO106" s="1751"/>
      <c r="AP106" s="1751"/>
      <c r="AQ106" s="1751"/>
      <c r="AR106" s="1751"/>
      <c r="AS106" s="1751"/>
      <c r="AT106" s="1751"/>
      <c r="AU106" s="1751"/>
      <c r="AV106" s="1751"/>
      <c r="AW106" s="1751"/>
      <c r="AX106" s="1751"/>
      <c r="AY106" s="1751"/>
      <c r="AZ106" s="1751"/>
      <c r="BA106" s="1751"/>
      <c r="BB106" s="1751"/>
      <c r="BC106" s="1751"/>
      <c r="BD106" s="1751"/>
      <c r="BE106" s="1751"/>
      <c r="BF106" s="1077"/>
      <c r="BG106" s="1083"/>
      <c r="BH106" s="1083"/>
      <c r="BI106" s="1083"/>
      <c r="BJ106" s="1083"/>
      <c r="BK106" s="1083"/>
      <c r="BL106" s="1083"/>
      <c r="BM106" s="1083" t="s">
        <v>202</v>
      </c>
      <c r="BN106" s="1083"/>
      <c r="BO106" s="1083"/>
      <c r="BP106" s="1083"/>
      <c r="BQ106" s="1083"/>
      <c r="BR106" s="1083"/>
      <c r="BS106" s="1083"/>
      <c r="BT106" s="1083"/>
      <c r="BU106" s="1083" t="s">
        <v>203</v>
      </c>
      <c r="BV106" s="1076"/>
      <c r="BW106" s="1505" cm="1" t="str">
        <f t="array" ref="BW106:BW106">BW105</f>
        <v>0</v>
      </c>
      <c r="BX106" s="1077" t="s">
        <v>178</v>
      </c>
      <c r="BY106" s="1077" t="s">
        <v>186</v>
      </c>
      <c r="BZ106" s="1077" t="s">
        <v>200</v>
      </c>
    </row>
    <row customHeight="1" ht="19.5" hidden="1">
      <c r="A107" s="371"/>
      <c r="B107" s="192">
        <f>HAS_DOC5="да"</f>
        <v>0</v>
      </c>
      <c r="C107" s="1548"/>
      <c r="D107" s="1548"/>
      <c r="E107" s="180">
        <v>20</v>
      </c>
      <c r="F107" s="1659"/>
      <c r="G107" s="1548"/>
      <c r="H107" s="1548"/>
      <c r="I107" s="1548"/>
      <c r="J107" s="1548"/>
      <c r="K107" s="1548"/>
      <c r="L107" s="1548"/>
      <c r="M107" s="1548"/>
      <c r="N107" s="1548"/>
      <c r="O107" s="1548"/>
      <c r="P107" s="1548"/>
      <c r="Q107" s="1548"/>
      <c r="R107" s="1548"/>
      <c r="S107" s="1548"/>
      <c r="T107" s="1548"/>
      <c r="U107" s="1548"/>
      <c r="V107" s="753" cm="1" t="str">
        <f t="array" ref="V107:V107">V106</f>
        <v>false</v>
      </c>
      <c r="W107" s="1548"/>
      <c r="X107" s="1548"/>
      <c r="Y107" s="1548"/>
      <c r="Z107" s="1561"/>
      <c r="AA107" s="1533"/>
      <c r="AB107" s="1534"/>
      <c r="AC107" s="1531" t="s">
        <v>206</v>
      </c>
      <c r="AD107" s="1531"/>
      <c r="AE107" s="1786"/>
      <c r="AF107" s="208"/>
      <c r="AG107" s="1659"/>
      <c r="AH107" s="1659"/>
      <c r="AI107" s="1659"/>
      <c r="AJ107" s="1659"/>
      <c r="AK107" s="1659"/>
      <c r="AL107" s="1659"/>
      <c r="AM107" s="1659"/>
      <c r="AN107" s="1659"/>
      <c r="AO107" s="1751"/>
      <c r="AP107" s="1751"/>
      <c r="AQ107" s="1751"/>
      <c r="AR107" s="1751"/>
      <c r="AS107" s="1751"/>
      <c r="AT107" s="1751"/>
      <c r="AU107" s="1751"/>
      <c r="AV107" s="1751"/>
      <c r="AW107" s="1751"/>
      <c r="AX107" s="1751"/>
      <c r="AY107" s="1751"/>
      <c r="AZ107" s="1751"/>
      <c r="BA107" s="1751"/>
      <c r="BB107" s="1751"/>
      <c r="BC107" s="1751"/>
      <c r="BD107" s="1751"/>
      <c r="BE107" s="1751"/>
      <c r="BF107" s="1077"/>
      <c r="BG107" s="1083"/>
      <c r="BH107" s="1083"/>
      <c r="BI107" s="1083"/>
      <c r="BJ107" s="1083"/>
      <c r="BK107" s="1083"/>
      <c r="BL107" s="1083"/>
      <c r="BM107" s="1083" t="s">
        <v>202</v>
      </c>
      <c r="BN107" s="1083"/>
      <c r="BO107" s="1083"/>
      <c r="BP107" s="1083"/>
      <c r="BQ107" s="1083"/>
      <c r="BR107" s="1083"/>
      <c r="BS107" s="1083"/>
      <c r="BT107" s="1083"/>
      <c r="BU107" s="1083" t="s">
        <v>203</v>
      </c>
      <c r="BV107" s="1076"/>
      <c r="BW107" s="1505" cm="1" t="str">
        <f t="array" ref="BW107:BW107">BW106</f>
        <v>0</v>
      </c>
      <c r="BX107" s="1077" t="s">
        <v>178</v>
      </c>
      <c r="BY107" s="1077" t="s">
        <v>207</v>
      </c>
      <c r="BZ107" s="1077" t="s">
        <v>208</v>
      </c>
    </row>
    <row customHeight="1" ht="19.5" hidden="1">
      <c r="A108" s="371"/>
      <c r="B108" s="192">
        <f>HAS_DOC5="да"</f>
        <v>0</v>
      </c>
      <c r="C108" s="1548"/>
      <c r="D108" s="1548"/>
      <c r="E108" s="180">
        <v>20</v>
      </c>
      <c r="F108" s="1659"/>
      <c r="G108" s="1548"/>
      <c r="H108" s="1548"/>
      <c r="I108" s="1548"/>
      <c r="J108" s="1548"/>
      <c r="K108" s="1548"/>
      <c r="L108" s="1548"/>
      <c r="M108" s="1548"/>
      <c r="N108" s="1548"/>
      <c r="O108" s="1548"/>
      <c r="P108" s="1548"/>
      <c r="Q108" s="1548"/>
      <c r="R108" s="1548"/>
      <c r="S108" s="1548"/>
      <c r="T108" s="1548"/>
      <c r="U108" s="1548"/>
      <c r="V108" s="753" cm="1" t="str">
        <f t="array" ref="V108:V108">V107</f>
        <v>false</v>
      </c>
      <c r="W108" s="1548"/>
      <c r="X108" s="1548"/>
      <c r="Y108" s="1548"/>
      <c r="Z108" s="1561"/>
      <c r="AA108" s="1533"/>
      <c r="AB108" s="1534"/>
      <c r="AC108" s="1531" t="s">
        <v>209</v>
      </c>
      <c r="AD108" s="1531"/>
      <c r="AE108" s="1786"/>
      <c r="AF108" s="208"/>
      <c r="AG108" s="1659"/>
      <c r="AH108" s="1659"/>
      <c r="AI108" s="1659"/>
      <c r="AJ108" s="1659"/>
      <c r="AK108" s="1659"/>
      <c r="AL108" s="1659"/>
      <c r="AM108" s="1659"/>
      <c r="AN108" s="1659"/>
      <c r="AO108" s="1751"/>
      <c r="AP108" s="1751"/>
      <c r="AQ108" s="1751"/>
      <c r="AR108" s="1751"/>
      <c r="AS108" s="1751"/>
      <c r="AT108" s="1751"/>
      <c r="AU108" s="1751"/>
      <c r="AV108" s="1751"/>
      <c r="AW108" s="1751"/>
      <c r="AX108" s="1751"/>
      <c r="AY108" s="1751"/>
      <c r="AZ108" s="1751"/>
      <c r="BA108" s="1751"/>
      <c r="BB108" s="1751"/>
      <c r="BC108" s="1751"/>
      <c r="BD108" s="1751"/>
      <c r="BE108" s="1751"/>
      <c r="BF108" s="1077"/>
      <c r="BG108" s="1083"/>
      <c r="BH108" s="1083"/>
      <c r="BI108" s="1083"/>
      <c r="BJ108" s="1083"/>
      <c r="BK108" s="1083"/>
      <c r="BL108" s="1083"/>
      <c r="BM108" s="1083" t="s">
        <v>202</v>
      </c>
      <c r="BN108" s="1083"/>
      <c r="BO108" s="1083"/>
      <c r="BP108" s="1083"/>
      <c r="BQ108" s="1083"/>
      <c r="BR108" s="1083"/>
      <c r="BS108" s="1083"/>
      <c r="BT108" s="1083"/>
      <c r="BU108" s="1083" t="s">
        <v>203</v>
      </c>
      <c r="BV108" s="1076"/>
      <c r="BW108" s="1505" cm="1" t="str">
        <f t="array" ref="BW108:BW108">BW107</f>
        <v>0</v>
      </c>
      <c r="BX108" s="1077" t="s">
        <v>178</v>
      </c>
      <c r="BY108" s="1077" t="s">
        <v>210</v>
      </c>
      <c r="BZ108" s="1077" t="s">
        <v>211</v>
      </c>
    </row>
    <row customHeight="1" ht="14.625" hidden="1">
      <c r="A109" s="371"/>
      <c r="B109" s="192">
        <f>HAS_DOC5="да"</f>
        <v>0</v>
      </c>
      <c r="C109" s="1548"/>
      <c r="D109" s="1548"/>
      <c r="E109" s="180">
        <v>15</v>
      </c>
      <c r="F109" s="1659"/>
      <c r="G109" s="1548"/>
      <c r="H109" s="1548"/>
      <c r="I109" s="1548"/>
      <c r="J109" s="1548"/>
      <c r="K109" s="1548"/>
      <c r="L109" s="1548"/>
      <c r="M109" s="1548"/>
      <c r="N109" s="1548"/>
      <c r="O109" s="1548"/>
      <c r="P109" s="1548"/>
      <c r="Q109" s="1548"/>
      <c r="R109" s="1548"/>
      <c r="S109" s="1548"/>
      <c r="T109" s="1548"/>
      <c r="U109" s="1548"/>
      <c r="V109" s="1548"/>
      <c r="W109" s="1548"/>
      <c r="X109" s="176" t="s">
        <v>212</v>
      </c>
      <c r="Y109" s="1548"/>
      <c r="Z109" s="1548"/>
      <c r="AA109" s="1009"/>
      <c r="AB109" s="240"/>
      <c r="AC109" s="241"/>
      <c r="AD109" s="241"/>
      <c r="AE109" s="242" t="s">
        <v>191</v>
      </c>
      <c r="AF109" s="208"/>
      <c r="AG109" s="1659"/>
      <c r="AH109" s="1659"/>
      <c r="AI109" s="1659"/>
      <c r="AJ109" s="1659"/>
      <c r="AK109" s="1659"/>
      <c r="AL109" s="1659"/>
      <c r="AM109" s="1659"/>
      <c r="AN109" s="1659"/>
      <c r="AO109" s="1751"/>
      <c r="AP109" s="1751"/>
      <c r="AQ109" s="1751"/>
      <c r="AR109" s="1751"/>
      <c r="AS109" s="1751"/>
      <c r="AT109" s="1751"/>
      <c r="AU109" s="1751"/>
      <c r="AV109" s="1751"/>
      <c r="AW109" s="1751"/>
      <c r="AX109" s="1751"/>
      <c r="AY109" s="1751"/>
      <c r="AZ109" s="1751"/>
      <c r="BA109" s="1751"/>
      <c r="BB109" s="1751"/>
      <c r="BC109" s="1751"/>
      <c r="BD109" s="1751"/>
      <c r="BE109" s="1751"/>
      <c r="BF109" s="1076"/>
      <c r="BG109" s="1076"/>
      <c r="BH109" s="1076"/>
      <c r="BI109" s="1076"/>
      <c r="BJ109" s="1076"/>
      <c r="BK109" s="1076"/>
      <c r="BL109" s="1076"/>
      <c r="BM109" s="1076"/>
      <c r="BN109" s="1076"/>
      <c r="BO109" s="1076"/>
      <c r="BP109" s="1076"/>
      <c r="BQ109" s="1076"/>
      <c r="BR109" s="1076"/>
      <c r="BS109" s="1076"/>
      <c r="BT109" s="1076"/>
      <c r="BU109" s="1076"/>
      <c r="BV109" s="1076"/>
      <c r="BW109" s="1507"/>
      <c r="BX109" s="1076"/>
      <c r="BY109" s="1076"/>
      <c r="BZ109" s="1076"/>
    </row>
    <row customHeight="1" ht="24.375">
      <c r="E110" s="180">
        <v>25</v>
      </c>
      <c r="AB110" s="1531"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2027 года, для организации, оказывающей услуги теплоснабжения</v>
      </c>
      <c r="AC110" s="1531"/>
      <c r="AD110" s="1531"/>
      <c r="AE110" s="220" t="s">
        <v>158</v>
      </c>
      <c r="AF110" s="219"/>
      <c r="BF110" s="1077"/>
      <c r="BG110" s="1083"/>
      <c r="BH110" s="1083"/>
      <c r="BI110" s="1083"/>
      <c r="BJ110" s="1083"/>
      <c r="BK110" s="1083"/>
      <c r="BL110" s="1083"/>
      <c r="BM110" s="1083" t="s">
        <v>202</v>
      </c>
      <c r="BN110" s="1083"/>
      <c r="BO110" s="1083"/>
      <c r="BP110" s="1083"/>
      <c r="BQ110" s="1083"/>
      <c r="BR110" s="1083"/>
      <c r="BS110" s="1083"/>
      <c r="BT110" s="1083"/>
      <c r="BU110" s="1083" t="s">
        <v>213</v>
      </c>
      <c r="BV110" s="1076"/>
      <c r="BW110" s="1083"/>
      <c r="BX110" s="1077" t="s">
        <v>178</v>
      </c>
      <c r="BY110" s="1077" t="s">
        <v>204</v>
      </c>
      <c r="BZ110" s="1077" t="s">
        <v>205</v>
      </c>
    </row>
    <row customHeight="1" ht="19.5" hidden="1">
      <c r="A111" s="371"/>
      <c r="B111" s="192">
        <f>HAS_DOC6="да"</f>
        <v>0</v>
      </c>
      <c r="C111" s="1548"/>
      <c r="D111" s="1548"/>
      <c r="E111" s="180">
        <v>20</v>
      </c>
      <c r="F111" s="1659"/>
      <c r="G111" s="1548"/>
      <c r="H111" s="1548"/>
      <c r="I111" s="1548"/>
      <c r="J111" s="1548"/>
      <c r="K111" s="1548"/>
      <c r="L111" s="1548"/>
      <c r="M111" s="1548"/>
      <c r="N111" s="1548"/>
      <c r="O111" s="1548"/>
      <c r="P111" s="1548"/>
      <c r="Q111" s="1548"/>
      <c r="R111" s="1548"/>
      <c r="S111" s="1548"/>
      <c r="T111" s="1548"/>
      <c r="U111" s="1548"/>
      <c r="V111" s="175" t="b">
        <v>0</v>
      </c>
      <c r="W111" s="1548"/>
      <c r="X111" s="1548"/>
      <c r="Y111" s="1548"/>
      <c r="Z111" s="1548"/>
      <c r="AA111" s="1009"/>
      <c r="AB111" s="1534" t="s">
        <v>174</v>
      </c>
      <c r="AC111" s="1531" t="s">
        <v>175</v>
      </c>
      <c r="AD111" s="1531"/>
      <c r="AE111" s="243"/>
      <c r="AF111" s="208"/>
      <c r="AG111" s="1659"/>
      <c r="AH111" s="1659"/>
      <c r="AI111" s="1659"/>
      <c r="AJ111" s="1659"/>
      <c r="AK111" s="1659"/>
      <c r="AL111" s="1659"/>
      <c r="AM111" s="1659"/>
      <c r="AN111" s="1659"/>
      <c r="AO111" s="1751"/>
      <c r="AP111" s="1751"/>
      <c r="AQ111" s="1751"/>
      <c r="AR111" s="1751"/>
      <c r="AS111" s="1751"/>
      <c r="AT111" s="1751"/>
      <c r="AU111" s="1751"/>
      <c r="AV111" s="1751"/>
      <c r="AW111" s="1751"/>
      <c r="AX111" s="1751"/>
      <c r="AY111" s="1751"/>
      <c r="AZ111" s="1751"/>
      <c r="BA111" s="1751"/>
      <c r="BB111" s="1751"/>
      <c r="BC111" s="1751"/>
      <c r="BD111" s="1751"/>
      <c r="BE111" s="1751"/>
      <c r="BF111" s="1077"/>
      <c r="BG111" s="1083"/>
      <c r="BH111" s="1083"/>
      <c r="BI111" s="1083"/>
      <c r="BJ111" s="1083"/>
      <c r="BK111" s="1083"/>
      <c r="BL111" s="1083"/>
      <c r="BM111" s="1083" t="s">
        <v>202</v>
      </c>
      <c r="BN111" s="1083"/>
      <c r="BO111" s="1083"/>
      <c r="BP111" s="1083"/>
      <c r="BQ111" s="1083"/>
      <c r="BR111" s="1083"/>
      <c r="BS111" s="1083"/>
      <c r="BT111" s="1083"/>
      <c r="BU111" s="1083" t="s">
        <v>213</v>
      </c>
      <c r="BV111" s="1076"/>
      <c r="BW111" s="1083" cm="1" t="str">
        <f t="array" ref="BW111:BW111">$AK111</f>
        <v>0</v>
      </c>
      <c r="BX111" s="1077" t="s">
        <v>178</v>
      </c>
      <c r="BY111" s="1077" t="s">
        <v>179</v>
      </c>
      <c r="BZ111" s="1077" t="s">
        <v>195</v>
      </c>
    </row>
    <row customHeight="1" ht="19.5" hidden="1">
      <c r="A112" s="371"/>
      <c r="B112" s="192">
        <f>HAS_DOC6="да"</f>
        <v>0</v>
      </c>
      <c r="C112" s="1548"/>
      <c r="D112" s="1548"/>
      <c r="E112" s="180">
        <v>20</v>
      </c>
      <c r="F112" s="1659"/>
      <c r="G112" s="1548"/>
      <c r="H112" s="1548"/>
      <c r="I112" s="1548"/>
      <c r="J112" s="1548"/>
      <c r="K112" s="1548"/>
      <c r="L112" s="1548"/>
      <c r="M112" s="1548"/>
      <c r="N112" s="1548"/>
      <c r="O112" s="1548"/>
      <c r="P112" s="1548"/>
      <c r="Q112" s="1548"/>
      <c r="R112" s="1548"/>
      <c r="S112" s="1548"/>
      <c r="T112" s="1548"/>
      <c r="U112" s="1548"/>
      <c r="V112" s="175" t="b">
        <v>0</v>
      </c>
      <c r="W112" s="1548"/>
      <c r="X112" s="1548"/>
      <c r="Y112" s="1548"/>
      <c r="Z112" s="1548"/>
      <c r="AA112" s="1009"/>
      <c r="AB112" s="1534"/>
      <c r="AC112" s="1531" t="s">
        <v>181</v>
      </c>
      <c r="AD112" s="1531"/>
      <c r="AE112" s="244"/>
      <c r="AF112" s="208"/>
      <c r="AG112" s="1659"/>
      <c r="AH112" s="1659"/>
      <c r="AI112" s="1659"/>
      <c r="AJ112" s="1659"/>
      <c r="AK112" s="1659"/>
      <c r="AL112" s="1659"/>
      <c r="AM112" s="1659"/>
      <c r="AN112" s="1659"/>
      <c r="AO112" s="1751"/>
      <c r="AP112" s="1751"/>
      <c r="AQ112" s="1751"/>
      <c r="AR112" s="1751"/>
      <c r="AS112" s="1751"/>
      <c r="AT112" s="1751"/>
      <c r="AU112" s="1751"/>
      <c r="AV112" s="1751"/>
      <c r="AW112" s="1751"/>
      <c r="AX112" s="1751"/>
      <c r="AY112" s="1751"/>
      <c r="AZ112" s="1751"/>
      <c r="BA112" s="1751"/>
      <c r="BB112" s="1751"/>
      <c r="BC112" s="1751"/>
      <c r="BD112" s="1751"/>
      <c r="BE112" s="1751"/>
      <c r="BF112" s="1077"/>
      <c r="BG112" s="1083"/>
      <c r="BH112" s="1083"/>
      <c r="BI112" s="1083"/>
      <c r="BJ112" s="1083"/>
      <c r="BK112" s="1083"/>
      <c r="BL112" s="1083"/>
      <c r="BM112" s="1083" t="s">
        <v>202</v>
      </c>
      <c r="BN112" s="1083"/>
      <c r="BO112" s="1083"/>
      <c r="BP112" s="1083"/>
      <c r="BQ112" s="1083"/>
      <c r="BR112" s="1083"/>
      <c r="BS112" s="1083"/>
      <c r="BT112" s="1083"/>
      <c r="BU112" s="1083" t="s">
        <v>213</v>
      </c>
      <c r="BV112" s="1076"/>
      <c r="BW112" s="1083" cm="1" t="str">
        <f t="array" ref="BW112:BW112">BW111</f>
        <v>0</v>
      </c>
      <c r="BX112" s="1077" t="s">
        <v>178</v>
      </c>
      <c r="BY112" s="1077" t="s">
        <v>182</v>
      </c>
      <c r="BZ112" s="1077" t="s">
        <v>197</v>
      </c>
    </row>
    <row customHeight="1" ht="19.5" hidden="1">
      <c r="A113" s="371"/>
      <c r="B113" s="192">
        <f>HAS_DOC6="да"</f>
        <v>0</v>
      </c>
      <c r="C113" s="1548"/>
      <c r="D113" s="1548"/>
      <c r="E113" s="180">
        <v>20</v>
      </c>
      <c r="F113" s="1659"/>
      <c r="G113" s="1548"/>
      <c r="H113" s="1548"/>
      <c r="I113" s="1548"/>
      <c r="J113" s="1548"/>
      <c r="K113" s="1548"/>
      <c r="L113" s="1548"/>
      <c r="M113" s="1548"/>
      <c r="N113" s="1548"/>
      <c r="O113" s="1548"/>
      <c r="P113" s="1548"/>
      <c r="Q113" s="1548"/>
      <c r="R113" s="1548"/>
      <c r="S113" s="1548"/>
      <c r="T113" s="1548"/>
      <c r="U113" s="1548"/>
      <c r="V113" s="175" t="b">
        <v>0</v>
      </c>
      <c r="W113" s="1548"/>
      <c r="X113" s="1548"/>
      <c r="Y113" s="1548"/>
      <c r="Z113" s="1548"/>
      <c r="AA113" s="1009"/>
      <c r="AB113" s="1534"/>
      <c r="AC113" s="1531" t="s">
        <v>183</v>
      </c>
      <c r="AD113" s="1531"/>
      <c r="AE113" s="243"/>
      <c r="AF113" s="208"/>
      <c r="AG113" s="1659"/>
      <c r="AH113" s="1659"/>
      <c r="AI113" s="1659"/>
      <c r="AJ113" s="1659"/>
      <c r="AK113" s="1659"/>
      <c r="AL113" s="1659"/>
      <c r="AM113" s="1659"/>
      <c r="AN113" s="1659"/>
      <c r="AO113" s="1751"/>
      <c r="AP113" s="1751"/>
      <c r="AQ113" s="1751"/>
      <c r="AR113" s="1751"/>
      <c r="AS113" s="1751"/>
      <c r="AT113" s="1751"/>
      <c r="AU113" s="1751"/>
      <c r="AV113" s="1751"/>
      <c r="AW113" s="1751"/>
      <c r="AX113" s="1751"/>
      <c r="AY113" s="1751"/>
      <c r="AZ113" s="1751"/>
      <c r="BA113" s="1751"/>
      <c r="BB113" s="1751"/>
      <c r="BC113" s="1751"/>
      <c r="BD113" s="1751"/>
      <c r="BE113" s="1751"/>
      <c r="BF113" s="1077"/>
      <c r="BG113" s="1083"/>
      <c r="BH113" s="1083"/>
      <c r="BI113" s="1083"/>
      <c r="BJ113" s="1083"/>
      <c r="BK113" s="1083"/>
      <c r="BL113" s="1083"/>
      <c r="BM113" s="1083" t="s">
        <v>202</v>
      </c>
      <c r="BN113" s="1083"/>
      <c r="BO113" s="1083"/>
      <c r="BP113" s="1083"/>
      <c r="BQ113" s="1083"/>
      <c r="BR113" s="1083"/>
      <c r="BS113" s="1083"/>
      <c r="BT113" s="1083"/>
      <c r="BU113" s="1083" t="s">
        <v>213</v>
      </c>
      <c r="BV113" s="1076"/>
      <c r="BW113" s="1083" cm="1" t="str">
        <f t="array" ref="BW113:BW113">BW112</f>
        <v>0</v>
      </c>
      <c r="BX113" s="1077" t="s">
        <v>178</v>
      </c>
      <c r="BY113" s="1077" t="s">
        <v>184</v>
      </c>
      <c r="BZ113" s="1077" t="s">
        <v>199</v>
      </c>
    </row>
    <row customHeight="1" ht="19.5" hidden="1">
      <c r="A114" s="371"/>
      <c r="B114" s="192">
        <f>HAS_DOC6="да"</f>
        <v>0</v>
      </c>
      <c r="C114" s="1548"/>
      <c r="D114" s="1548"/>
      <c r="E114" s="180">
        <v>20</v>
      </c>
      <c r="F114" s="1659"/>
      <c r="G114" s="1548"/>
      <c r="H114" s="1548"/>
      <c r="I114" s="1548"/>
      <c r="J114" s="1548"/>
      <c r="K114" s="1548"/>
      <c r="L114" s="1548"/>
      <c r="M114" s="1548"/>
      <c r="N114" s="1548"/>
      <c r="O114" s="1548"/>
      <c r="P114" s="1548"/>
      <c r="Q114" s="1548"/>
      <c r="R114" s="1548"/>
      <c r="S114" s="1548"/>
      <c r="T114" s="1548"/>
      <c r="U114" s="1548"/>
      <c r="V114" s="175" t="b">
        <v>0</v>
      </c>
      <c r="W114" s="1548"/>
      <c r="X114" s="1548"/>
      <c r="Y114" s="1548"/>
      <c r="Z114" s="1548"/>
      <c r="AA114" s="1009"/>
      <c r="AB114" s="1534"/>
      <c r="AC114" s="1531" t="s">
        <v>185</v>
      </c>
      <c r="AD114" s="1531"/>
      <c r="AE114" s="245"/>
      <c r="AF114" s="208"/>
      <c r="AG114" s="1659"/>
      <c r="AH114" s="1659"/>
      <c r="AI114" s="1659"/>
      <c r="AJ114" s="1659"/>
      <c r="AK114" s="1659"/>
      <c r="AL114" s="1659"/>
      <c r="AM114" s="1659"/>
      <c r="AN114" s="1659"/>
      <c r="AO114" s="1751"/>
      <c r="AP114" s="1751"/>
      <c r="AQ114" s="1751"/>
      <c r="AR114" s="1751"/>
      <c r="AS114" s="1751"/>
      <c r="AT114" s="1751"/>
      <c r="AU114" s="1751"/>
      <c r="AV114" s="1751"/>
      <c r="AW114" s="1751"/>
      <c r="AX114" s="1751"/>
      <c r="AY114" s="1751"/>
      <c r="AZ114" s="1751"/>
      <c r="BA114" s="1751"/>
      <c r="BB114" s="1751"/>
      <c r="BC114" s="1751"/>
      <c r="BD114" s="1751"/>
      <c r="BE114" s="1751"/>
      <c r="BF114" s="1077"/>
      <c r="BG114" s="1083"/>
      <c r="BH114" s="1083"/>
      <c r="BI114" s="1083"/>
      <c r="BJ114" s="1083"/>
      <c r="BK114" s="1083"/>
      <c r="BL114" s="1083"/>
      <c r="BM114" s="1083" t="s">
        <v>202</v>
      </c>
      <c r="BN114" s="1083"/>
      <c r="BO114" s="1083"/>
      <c r="BP114" s="1083"/>
      <c r="BQ114" s="1083"/>
      <c r="BR114" s="1083"/>
      <c r="BS114" s="1083"/>
      <c r="BT114" s="1083"/>
      <c r="BU114" s="1083" t="s">
        <v>213</v>
      </c>
      <c r="BV114" s="1076"/>
      <c r="BW114" s="1083" cm="1" t="str">
        <f t="array" ref="BW114:BW114">BW113</f>
        <v>0</v>
      </c>
      <c r="BX114" s="1077" t="s">
        <v>178</v>
      </c>
      <c r="BY114" s="1077" t="s">
        <v>186</v>
      </c>
      <c r="BZ114" s="1077" t="s">
        <v>200</v>
      </c>
    </row>
    <row customHeight="1" ht="19.5" hidden="1">
      <c r="A115" s="371"/>
      <c r="B115" s="192">
        <f>HAS_DOC6="да"</f>
        <v>0</v>
      </c>
      <c r="C115" s="1548"/>
      <c r="D115" s="1548"/>
      <c r="E115" s="180">
        <v>20</v>
      </c>
      <c r="F115" s="1659"/>
      <c r="G115" s="1548"/>
      <c r="H115" s="1548"/>
      <c r="I115" s="1548"/>
      <c r="J115" s="1548"/>
      <c r="K115" s="1548"/>
      <c r="L115" s="1548"/>
      <c r="M115" s="1548"/>
      <c r="N115" s="1548"/>
      <c r="O115" s="1548"/>
      <c r="P115" s="1548"/>
      <c r="Q115" s="1548"/>
      <c r="R115" s="1548"/>
      <c r="S115" s="1548"/>
      <c r="T115" s="1548"/>
      <c r="U115" s="1548"/>
      <c r="V115" s="175" t="b">
        <v>0</v>
      </c>
      <c r="W115" s="1548"/>
      <c r="X115" s="1548"/>
      <c r="Y115" s="1548"/>
      <c r="Z115" s="1548"/>
      <c r="AA115" s="1009"/>
      <c r="AB115" s="1534"/>
      <c r="AC115" s="1531" t="s">
        <v>206</v>
      </c>
      <c r="AD115" s="1531"/>
      <c r="AE115" s="245"/>
      <c r="AF115" s="208"/>
      <c r="AG115" s="1659"/>
      <c r="AH115" s="1659"/>
      <c r="AI115" s="1659"/>
      <c r="AJ115" s="1659"/>
      <c r="AK115" s="1659"/>
      <c r="AL115" s="1659"/>
      <c r="AM115" s="1659"/>
      <c r="AN115" s="1659"/>
      <c r="AO115" s="1751"/>
      <c r="AP115" s="1751"/>
      <c r="AQ115" s="1751"/>
      <c r="AR115" s="1751"/>
      <c r="AS115" s="1751"/>
      <c r="AT115" s="1751"/>
      <c r="AU115" s="1751"/>
      <c r="AV115" s="1751"/>
      <c r="AW115" s="1751"/>
      <c r="AX115" s="1751"/>
      <c r="AY115" s="1751"/>
      <c r="AZ115" s="1751"/>
      <c r="BA115" s="1751"/>
      <c r="BB115" s="1751"/>
      <c r="BC115" s="1751"/>
      <c r="BD115" s="1751"/>
      <c r="BE115" s="1751"/>
      <c r="BF115" s="1077"/>
      <c r="BG115" s="1083"/>
      <c r="BH115" s="1083"/>
      <c r="BI115" s="1083"/>
      <c r="BJ115" s="1083"/>
      <c r="BK115" s="1083"/>
      <c r="BL115" s="1083"/>
      <c r="BM115" s="1083" t="s">
        <v>202</v>
      </c>
      <c r="BN115" s="1083"/>
      <c r="BO115" s="1083"/>
      <c r="BP115" s="1083"/>
      <c r="BQ115" s="1083"/>
      <c r="BR115" s="1083"/>
      <c r="BS115" s="1083"/>
      <c r="BT115" s="1083"/>
      <c r="BU115" s="1083" t="s">
        <v>213</v>
      </c>
      <c r="BV115" s="1076"/>
      <c r="BW115" s="1083" cm="1" t="str">
        <f t="array" ref="BW115:BW115">BW114</f>
        <v>0</v>
      </c>
      <c r="BX115" s="1077" t="s">
        <v>178</v>
      </c>
      <c r="BY115" s="1077" t="s">
        <v>207</v>
      </c>
      <c r="BZ115" s="1077" t="s">
        <v>208</v>
      </c>
    </row>
    <row customHeight="1" ht="19.5" hidden="1">
      <c r="A116" s="371"/>
      <c r="B116" s="192">
        <f>HAS_DOC6="да"</f>
        <v>0</v>
      </c>
      <c r="C116" s="1548"/>
      <c r="D116" s="1548"/>
      <c r="E116" s="180">
        <v>20</v>
      </c>
      <c r="F116" s="1659"/>
      <c r="G116" s="1548"/>
      <c r="H116" s="1548"/>
      <c r="I116" s="1548"/>
      <c r="J116" s="1548"/>
      <c r="K116" s="1548"/>
      <c r="L116" s="1548"/>
      <c r="M116" s="1548"/>
      <c r="N116" s="1548"/>
      <c r="O116" s="1548"/>
      <c r="P116" s="1548"/>
      <c r="Q116" s="1548"/>
      <c r="R116" s="1548"/>
      <c r="S116" s="1548"/>
      <c r="T116" s="1548"/>
      <c r="U116" s="1548"/>
      <c r="V116" s="175" t="b">
        <v>0</v>
      </c>
      <c r="W116" s="1548"/>
      <c r="X116" s="1548"/>
      <c r="Y116" s="1548"/>
      <c r="Z116" s="1548"/>
      <c r="AA116" s="1009"/>
      <c r="AB116" s="1534"/>
      <c r="AC116" s="1531" t="s">
        <v>209</v>
      </c>
      <c r="AD116" s="1531"/>
      <c r="AE116" s="245"/>
      <c r="AF116" s="208"/>
      <c r="AG116" s="1659"/>
      <c r="AH116" s="1659"/>
      <c r="AI116" s="1659"/>
      <c r="AJ116" s="1659"/>
      <c r="AK116" s="1659"/>
      <c r="AL116" s="1659"/>
      <c r="AM116" s="1659"/>
      <c r="AN116" s="1659"/>
      <c r="AO116" s="1751"/>
      <c r="AP116" s="1751"/>
      <c r="AQ116" s="1751"/>
      <c r="AR116" s="1751"/>
      <c r="AS116" s="1751"/>
      <c r="AT116" s="1751"/>
      <c r="AU116" s="1751"/>
      <c r="AV116" s="1751"/>
      <c r="AW116" s="1751"/>
      <c r="AX116" s="1751"/>
      <c r="AY116" s="1751"/>
      <c r="AZ116" s="1751"/>
      <c r="BA116" s="1751"/>
      <c r="BB116" s="1751"/>
      <c r="BC116" s="1751"/>
      <c r="BD116" s="1751"/>
      <c r="BE116" s="1751"/>
      <c r="BF116" s="1077"/>
      <c r="BG116" s="1083"/>
      <c r="BH116" s="1083"/>
      <c r="BI116" s="1083"/>
      <c r="BJ116" s="1083"/>
      <c r="BK116" s="1083"/>
      <c r="BL116" s="1083"/>
      <c r="BM116" s="1083" t="s">
        <v>202</v>
      </c>
      <c r="BN116" s="1083"/>
      <c r="BO116" s="1083"/>
      <c r="BP116" s="1083"/>
      <c r="BQ116" s="1083"/>
      <c r="BR116" s="1083"/>
      <c r="BS116" s="1083"/>
      <c r="BT116" s="1083"/>
      <c r="BU116" s="1083" t="s">
        <v>213</v>
      </c>
      <c r="BV116" s="1076"/>
      <c r="BW116" s="1083" cm="1" t="str">
        <f t="array" ref="BW116:BW116">BW115</f>
        <v>0</v>
      </c>
      <c r="BX116" s="1077" t="s">
        <v>178</v>
      </c>
      <c r="BY116" s="1077" t="s">
        <v>210</v>
      </c>
      <c r="BZ116" s="1077" t="s">
        <v>211</v>
      </c>
    </row>
    <row customHeight="1" ht="19.5" hidden="1">
      <c r="A117" s="371"/>
      <c r="B117" s="192">
        <f>HAS_DOC6="да"</f>
        <v>0</v>
      </c>
      <c r="C117" s="1548"/>
      <c r="D117" s="1548"/>
      <c r="E117" s="180">
        <v>20</v>
      </c>
      <c r="F117" s="1659"/>
      <c r="G117" s="1548"/>
      <c r="H117" s="1548"/>
      <c r="I117" s="1548"/>
      <c r="J117" s="1548"/>
      <c r="K117" s="1548"/>
      <c r="L117" s="1548"/>
      <c r="M117" s="1548"/>
      <c r="N117" s="1548"/>
      <c r="O117" s="1548"/>
      <c r="P117" s="1548"/>
      <c r="Q117" s="1548"/>
      <c r="R117" s="1548"/>
      <c r="S117" s="1548"/>
      <c r="T117" s="1548"/>
      <c r="U117" s="1548"/>
      <c r="V117" s="753">
        <f>ROW(X117)&gt;ROW(X$117)</f>
        <v>0</v>
      </c>
      <c r="W117" s="1548"/>
      <c r="X117" s="175" t="s">
        <v>189</v>
      </c>
      <c r="Y117" s="1548"/>
      <c r="Z117" s="1561">
        <v>0</v>
      </c>
      <c r="AA117" s="1532" t="s">
        <v>171</v>
      </c>
      <c r="AB117" s="1534" t="s">
        <v>174</v>
      </c>
      <c r="AC117" s="1531" t="s">
        <v>175</v>
      </c>
      <c r="AD117" s="1531"/>
      <c r="AE117" s="243"/>
      <c r="AF117" s="208"/>
      <c r="AG117" s="1659"/>
      <c r="AH117" s="1659"/>
      <c r="AI117" s="1659"/>
      <c r="AJ117" s="1659"/>
      <c r="AK117" s="1659"/>
      <c r="AL117" s="1659"/>
      <c r="AM117" s="1659"/>
      <c r="AN117" s="1659"/>
      <c r="AO117" s="1751"/>
      <c r="AP117" s="1751"/>
      <c r="AQ117" s="1751"/>
      <c r="AR117" s="1751"/>
      <c r="AS117" s="1751"/>
      <c r="AT117" s="1751"/>
      <c r="AU117" s="1751"/>
      <c r="AV117" s="1751"/>
      <c r="AW117" s="1751"/>
      <c r="AX117" s="1751"/>
      <c r="AY117" s="1751"/>
      <c r="AZ117" s="1751"/>
      <c r="BA117" s="1751"/>
      <c r="BB117" s="1751"/>
      <c r="BC117" s="1751"/>
      <c r="BD117" s="1751"/>
      <c r="BE117" s="1751"/>
      <c r="BF117" s="1077"/>
      <c r="BG117" s="1083"/>
      <c r="BH117" s="1083"/>
      <c r="BI117" s="1083"/>
      <c r="BJ117" s="1083"/>
      <c r="BK117" s="1083"/>
      <c r="BL117" s="1083"/>
      <c r="BM117" s="1083" t="s">
        <v>202</v>
      </c>
      <c r="BN117" s="1083"/>
      <c r="BO117" s="1083"/>
      <c r="BP117" s="1083"/>
      <c r="BQ117" s="1083"/>
      <c r="BR117" s="1083"/>
      <c r="BS117" s="1083"/>
      <c r="BT117" s="1083"/>
      <c r="BU117" s="1083" t="s">
        <v>213</v>
      </c>
      <c r="BV117" s="1076"/>
      <c r="BW117" s="1505" cm="1" t="str">
        <f t="array" ref="BW117:BW117">$AE117</f>
        <v>0</v>
      </c>
      <c r="BX117" s="1077" t="s">
        <v>178</v>
      </c>
      <c r="BY117" s="1077" t="s">
        <v>179</v>
      </c>
      <c r="BZ117" s="1077" t="s">
        <v>195</v>
      </c>
    </row>
    <row customHeight="1" ht="19.5" hidden="1">
      <c r="A118" s="371"/>
      <c r="B118" s="192">
        <f>HAS_DOC6="да"</f>
        <v>0</v>
      </c>
      <c r="C118" s="1548"/>
      <c r="D118" s="1548"/>
      <c r="E118" s="180">
        <v>20</v>
      </c>
      <c r="F118" s="1659"/>
      <c r="G118" s="1548"/>
      <c r="H118" s="1548"/>
      <c r="I118" s="1548"/>
      <c r="J118" s="1548"/>
      <c r="K118" s="1548"/>
      <c r="L118" s="1548"/>
      <c r="M118" s="1548"/>
      <c r="N118" s="1548"/>
      <c r="O118" s="1548"/>
      <c r="P118" s="1548"/>
      <c r="Q118" s="1548"/>
      <c r="R118" s="1548"/>
      <c r="S118" s="1548"/>
      <c r="T118" s="1548"/>
      <c r="U118" s="1548"/>
      <c r="V118" s="753" cm="1" t="str">
        <f t="array" ref="V118:V118">V117</f>
        <v>false</v>
      </c>
      <c r="W118" s="1548"/>
      <c r="X118" s="1548"/>
      <c r="Y118" s="1548"/>
      <c r="Z118" s="1561"/>
      <c r="AA118" s="1533"/>
      <c r="AB118" s="1534"/>
      <c r="AC118" s="1531" t="s">
        <v>181</v>
      </c>
      <c r="AD118" s="1531"/>
      <c r="AE118" s="244"/>
      <c r="AF118" s="208"/>
      <c r="AG118" s="1659"/>
      <c r="AH118" s="1659"/>
      <c r="AI118" s="1659"/>
      <c r="AJ118" s="1659"/>
      <c r="AK118" s="1659"/>
      <c r="AL118" s="1659"/>
      <c r="AM118" s="1659"/>
      <c r="AN118" s="1659"/>
      <c r="AO118" s="1751"/>
      <c r="AP118" s="1751"/>
      <c r="AQ118" s="1751"/>
      <c r="AR118" s="1751"/>
      <c r="AS118" s="1751"/>
      <c r="AT118" s="1751"/>
      <c r="AU118" s="1751"/>
      <c r="AV118" s="1751"/>
      <c r="AW118" s="1751"/>
      <c r="AX118" s="1751"/>
      <c r="AY118" s="1751"/>
      <c r="AZ118" s="1751"/>
      <c r="BA118" s="1751"/>
      <c r="BB118" s="1751"/>
      <c r="BC118" s="1751"/>
      <c r="BD118" s="1751"/>
      <c r="BE118" s="1751"/>
      <c r="BF118" s="1077"/>
      <c r="BG118" s="1083"/>
      <c r="BH118" s="1083"/>
      <c r="BI118" s="1083"/>
      <c r="BJ118" s="1083"/>
      <c r="BK118" s="1083"/>
      <c r="BL118" s="1083"/>
      <c r="BM118" s="1083" t="s">
        <v>202</v>
      </c>
      <c r="BN118" s="1083"/>
      <c r="BO118" s="1083"/>
      <c r="BP118" s="1083"/>
      <c r="BQ118" s="1083"/>
      <c r="BR118" s="1083"/>
      <c r="BS118" s="1083"/>
      <c r="BT118" s="1083"/>
      <c r="BU118" s="1083" t="s">
        <v>213</v>
      </c>
      <c r="BV118" s="1076"/>
      <c r="BW118" s="1505" cm="1" t="str">
        <f t="array" ref="BW118:BW118">BW117</f>
        <v>0</v>
      </c>
      <c r="BX118" s="1077" t="s">
        <v>178</v>
      </c>
      <c r="BY118" s="1077" t="s">
        <v>182</v>
      </c>
      <c r="BZ118" s="1077" t="s">
        <v>197</v>
      </c>
    </row>
    <row customHeight="1" ht="19.5" hidden="1">
      <c r="A119" s="371"/>
      <c r="B119" s="192">
        <f>HAS_DOC6="да"</f>
        <v>0</v>
      </c>
      <c r="C119" s="1548"/>
      <c r="D119" s="1548"/>
      <c r="E119" s="180">
        <v>20</v>
      </c>
      <c r="F119" s="1659"/>
      <c r="G119" s="1548"/>
      <c r="H119" s="1548"/>
      <c r="I119" s="1548"/>
      <c r="J119" s="1548"/>
      <c r="K119" s="1548"/>
      <c r="L119" s="1548"/>
      <c r="M119" s="1548"/>
      <c r="N119" s="1548"/>
      <c r="O119" s="1548"/>
      <c r="P119" s="1548"/>
      <c r="Q119" s="1548"/>
      <c r="R119" s="1548"/>
      <c r="S119" s="1548"/>
      <c r="T119" s="1548"/>
      <c r="U119" s="1548"/>
      <c r="V119" s="753" cm="1" t="str">
        <f t="array" ref="V119:V119">V118</f>
        <v>false</v>
      </c>
      <c r="W119" s="1548"/>
      <c r="X119" s="1548"/>
      <c r="Y119" s="1548"/>
      <c r="Z119" s="1561"/>
      <c r="AA119" s="1533"/>
      <c r="AB119" s="1534"/>
      <c r="AC119" s="1531" t="s">
        <v>183</v>
      </c>
      <c r="AD119" s="1531"/>
      <c r="AE119" s="243"/>
      <c r="AF119" s="208"/>
      <c r="AG119" s="1659"/>
      <c r="AH119" s="1659"/>
      <c r="AI119" s="1659"/>
      <c r="AJ119" s="1659"/>
      <c r="AK119" s="1659"/>
      <c r="AL119" s="1659"/>
      <c r="AM119" s="1659"/>
      <c r="AN119" s="1659"/>
      <c r="AO119" s="1751"/>
      <c r="AP119" s="1751"/>
      <c r="AQ119" s="1751"/>
      <c r="AR119" s="1751"/>
      <c r="AS119" s="1751"/>
      <c r="AT119" s="1751"/>
      <c r="AU119" s="1751"/>
      <c r="AV119" s="1751"/>
      <c r="AW119" s="1751"/>
      <c r="AX119" s="1751"/>
      <c r="AY119" s="1751"/>
      <c r="AZ119" s="1751"/>
      <c r="BA119" s="1751"/>
      <c r="BB119" s="1751"/>
      <c r="BC119" s="1751"/>
      <c r="BD119" s="1751"/>
      <c r="BE119" s="1751"/>
      <c r="BF119" s="1077"/>
      <c r="BG119" s="1083"/>
      <c r="BH119" s="1083"/>
      <c r="BI119" s="1083"/>
      <c r="BJ119" s="1083"/>
      <c r="BK119" s="1083"/>
      <c r="BL119" s="1083"/>
      <c r="BM119" s="1083" t="s">
        <v>202</v>
      </c>
      <c r="BN119" s="1083"/>
      <c r="BO119" s="1083"/>
      <c r="BP119" s="1083"/>
      <c r="BQ119" s="1083"/>
      <c r="BR119" s="1083"/>
      <c r="BS119" s="1083"/>
      <c r="BT119" s="1083"/>
      <c r="BU119" s="1083" t="s">
        <v>213</v>
      </c>
      <c r="BV119" s="1076"/>
      <c r="BW119" s="1505" cm="1" t="str">
        <f t="array" ref="BW119:BW119">BW118</f>
        <v>0</v>
      </c>
      <c r="BX119" s="1077" t="s">
        <v>178</v>
      </c>
      <c r="BY119" s="1077" t="s">
        <v>184</v>
      </c>
      <c r="BZ119" s="1077" t="s">
        <v>199</v>
      </c>
    </row>
    <row customHeight="1" ht="19.5" hidden="1">
      <c r="A120" s="371"/>
      <c r="B120" s="192">
        <f>HAS_DOC6="да"</f>
        <v>0</v>
      </c>
      <c r="C120" s="1548"/>
      <c r="D120" s="1548"/>
      <c r="E120" s="180">
        <v>20</v>
      </c>
      <c r="F120" s="1659"/>
      <c r="G120" s="1548"/>
      <c r="H120" s="1548"/>
      <c r="I120" s="1548"/>
      <c r="J120" s="1548"/>
      <c r="K120" s="1548"/>
      <c r="L120" s="1548"/>
      <c r="M120" s="1548"/>
      <c r="N120" s="1548"/>
      <c r="O120" s="1548"/>
      <c r="P120" s="1548"/>
      <c r="Q120" s="1548"/>
      <c r="R120" s="1548"/>
      <c r="S120" s="1548"/>
      <c r="T120" s="1548"/>
      <c r="U120" s="1548"/>
      <c r="V120" s="753" cm="1" t="str">
        <f t="array" ref="V120:V120">V119</f>
        <v>false</v>
      </c>
      <c r="W120" s="1548"/>
      <c r="X120" s="1548"/>
      <c r="Y120" s="1548"/>
      <c r="Z120" s="1561"/>
      <c r="AA120" s="1533"/>
      <c r="AB120" s="1534"/>
      <c r="AC120" s="1531" t="s">
        <v>185</v>
      </c>
      <c r="AD120" s="1531"/>
      <c r="AE120" s="245"/>
      <c r="AF120" s="208"/>
      <c r="AG120" s="1659"/>
      <c r="AH120" s="1659"/>
      <c r="AI120" s="1659"/>
      <c r="AJ120" s="1659"/>
      <c r="AK120" s="1659"/>
      <c r="AL120" s="1659"/>
      <c r="AM120" s="1659"/>
      <c r="AN120" s="1659"/>
      <c r="AO120" s="1751"/>
      <c r="AP120" s="1751"/>
      <c r="AQ120" s="1751"/>
      <c r="AR120" s="1751"/>
      <c r="AS120" s="1751"/>
      <c r="AT120" s="1751"/>
      <c r="AU120" s="1751"/>
      <c r="AV120" s="1751"/>
      <c r="AW120" s="1751"/>
      <c r="AX120" s="1751"/>
      <c r="AY120" s="1751"/>
      <c r="AZ120" s="1751"/>
      <c r="BA120" s="1751"/>
      <c r="BB120" s="1751"/>
      <c r="BC120" s="1751"/>
      <c r="BD120" s="1751"/>
      <c r="BE120" s="1751"/>
      <c r="BF120" s="1077"/>
      <c r="BG120" s="1083"/>
      <c r="BH120" s="1083"/>
      <c r="BI120" s="1083"/>
      <c r="BJ120" s="1083"/>
      <c r="BK120" s="1083"/>
      <c r="BL120" s="1083"/>
      <c r="BM120" s="1083" t="s">
        <v>202</v>
      </c>
      <c r="BN120" s="1083"/>
      <c r="BO120" s="1083"/>
      <c r="BP120" s="1083"/>
      <c r="BQ120" s="1083"/>
      <c r="BR120" s="1083"/>
      <c r="BS120" s="1083"/>
      <c r="BT120" s="1083"/>
      <c r="BU120" s="1083" t="s">
        <v>213</v>
      </c>
      <c r="BV120" s="1076"/>
      <c r="BW120" s="1505" cm="1" t="str">
        <f t="array" ref="BW120:BW120">BW119</f>
        <v>0</v>
      </c>
      <c r="BX120" s="1077" t="s">
        <v>178</v>
      </c>
      <c r="BY120" s="1077" t="s">
        <v>186</v>
      </c>
      <c r="BZ120" s="1077" t="s">
        <v>200</v>
      </c>
    </row>
    <row customHeight="1" ht="19.5" hidden="1">
      <c r="A121" s="371"/>
      <c r="B121" s="192">
        <f>HAS_DOC6="да"</f>
        <v>0</v>
      </c>
      <c r="C121" s="1548"/>
      <c r="D121" s="1548"/>
      <c r="E121" s="180">
        <v>20</v>
      </c>
      <c r="F121" s="1659"/>
      <c r="G121" s="1548"/>
      <c r="H121" s="1548"/>
      <c r="I121" s="1548"/>
      <c r="J121" s="1548"/>
      <c r="K121" s="1548"/>
      <c r="L121" s="1548"/>
      <c r="M121" s="1548"/>
      <c r="N121" s="1548"/>
      <c r="O121" s="1548"/>
      <c r="P121" s="1548"/>
      <c r="Q121" s="1548"/>
      <c r="R121" s="1548"/>
      <c r="S121" s="1548"/>
      <c r="T121" s="1548"/>
      <c r="U121" s="1548"/>
      <c r="V121" s="753" cm="1" t="str">
        <f t="array" ref="V121:V121">V120</f>
        <v>false</v>
      </c>
      <c r="W121" s="1548"/>
      <c r="X121" s="1548"/>
      <c r="Y121" s="1548"/>
      <c r="Z121" s="1561"/>
      <c r="AA121" s="1533"/>
      <c r="AB121" s="1534"/>
      <c r="AC121" s="1531" t="s">
        <v>206</v>
      </c>
      <c r="AD121" s="1531"/>
      <c r="AE121" s="245"/>
      <c r="AF121" s="208"/>
      <c r="AG121" s="1659"/>
      <c r="AH121" s="1659"/>
      <c r="AI121" s="1659"/>
      <c r="AJ121" s="1659"/>
      <c r="AK121" s="1659"/>
      <c r="AL121" s="1659"/>
      <c r="AM121" s="1659"/>
      <c r="AN121" s="1659"/>
      <c r="AO121" s="1751"/>
      <c r="AP121" s="1751"/>
      <c r="AQ121" s="1751"/>
      <c r="AR121" s="1751"/>
      <c r="AS121" s="1751"/>
      <c r="AT121" s="1751"/>
      <c r="AU121" s="1751"/>
      <c r="AV121" s="1751"/>
      <c r="AW121" s="1751"/>
      <c r="AX121" s="1751"/>
      <c r="AY121" s="1751"/>
      <c r="AZ121" s="1751"/>
      <c r="BA121" s="1751"/>
      <c r="BB121" s="1751"/>
      <c r="BC121" s="1751"/>
      <c r="BD121" s="1751"/>
      <c r="BE121" s="1751"/>
      <c r="BF121" s="1077"/>
      <c r="BG121" s="1083"/>
      <c r="BH121" s="1083"/>
      <c r="BI121" s="1083"/>
      <c r="BJ121" s="1083"/>
      <c r="BK121" s="1083"/>
      <c r="BL121" s="1083"/>
      <c r="BM121" s="1083" t="s">
        <v>202</v>
      </c>
      <c r="BN121" s="1083"/>
      <c r="BO121" s="1083"/>
      <c r="BP121" s="1083"/>
      <c r="BQ121" s="1083"/>
      <c r="BR121" s="1083"/>
      <c r="BS121" s="1083"/>
      <c r="BT121" s="1083"/>
      <c r="BU121" s="1083" t="s">
        <v>213</v>
      </c>
      <c r="BV121" s="1076"/>
      <c r="BW121" s="1505" cm="1" t="str">
        <f t="array" ref="BW121:BW121">BW120</f>
        <v>0</v>
      </c>
      <c r="BX121" s="1077" t="s">
        <v>178</v>
      </c>
      <c r="BY121" s="1077" t="s">
        <v>207</v>
      </c>
      <c r="BZ121" s="1077" t="s">
        <v>208</v>
      </c>
    </row>
    <row customHeight="1" ht="19.5" hidden="1">
      <c r="A122" s="371"/>
      <c r="B122" s="192">
        <f>HAS_DOC6="да"</f>
        <v>0</v>
      </c>
      <c r="C122" s="1548"/>
      <c r="D122" s="1548"/>
      <c r="E122" s="180">
        <v>20</v>
      </c>
      <c r="F122" s="1659"/>
      <c r="G122" s="1548"/>
      <c r="H122" s="1548"/>
      <c r="I122" s="1548"/>
      <c r="J122" s="1548"/>
      <c r="K122" s="1548"/>
      <c r="L122" s="1548"/>
      <c r="M122" s="1548"/>
      <c r="N122" s="1548"/>
      <c r="O122" s="1548"/>
      <c r="P122" s="1548"/>
      <c r="Q122" s="1548"/>
      <c r="R122" s="1548"/>
      <c r="S122" s="1548"/>
      <c r="T122" s="1548"/>
      <c r="U122" s="1548"/>
      <c r="V122" s="753" cm="1" t="str">
        <f t="array" ref="V122:V122">V121</f>
        <v>false</v>
      </c>
      <c r="W122" s="1548"/>
      <c r="X122" s="1548"/>
      <c r="Y122" s="1548"/>
      <c r="Z122" s="1561"/>
      <c r="AA122" s="1533"/>
      <c r="AB122" s="1534"/>
      <c r="AC122" s="1531" t="s">
        <v>209</v>
      </c>
      <c r="AD122" s="1531"/>
      <c r="AE122" s="248"/>
      <c r="AF122" s="208"/>
      <c r="AG122" s="1659"/>
      <c r="AH122" s="1659"/>
      <c r="AI122" s="1659"/>
      <c r="AJ122" s="1659"/>
      <c r="AK122" s="1659"/>
      <c r="AL122" s="1659"/>
      <c r="AM122" s="1659"/>
      <c r="AN122" s="1659"/>
      <c r="AO122" s="1751"/>
      <c r="AP122" s="1751"/>
      <c r="AQ122" s="1751"/>
      <c r="AR122" s="1751"/>
      <c r="AS122" s="1751"/>
      <c r="AT122" s="1751"/>
      <c r="AU122" s="1751"/>
      <c r="AV122" s="1751"/>
      <c r="AW122" s="1751"/>
      <c r="AX122" s="1751"/>
      <c r="AY122" s="1751"/>
      <c r="AZ122" s="1751"/>
      <c r="BA122" s="1751"/>
      <c r="BB122" s="1751"/>
      <c r="BC122" s="1751"/>
      <c r="BD122" s="1751"/>
      <c r="BE122" s="1751"/>
      <c r="BF122" s="1077"/>
      <c r="BG122" s="1083"/>
      <c r="BH122" s="1083"/>
      <c r="BI122" s="1083"/>
      <c r="BJ122" s="1083"/>
      <c r="BK122" s="1083"/>
      <c r="BL122" s="1083"/>
      <c r="BM122" s="1083" t="s">
        <v>202</v>
      </c>
      <c r="BN122" s="1083"/>
      <c r="BO122" s="1083"/>
      <c r="BP122" s="1083"/>
      <c r="BQ122" s="1083"/>
      <c r="BR122" s="1083"/>
      <c r="BS122" s="1083"/>
      <c r="BT122" s="1083"/>
      <c r="BU122" s="1083" t="s">
        <v>213</v>
      </c>
      <c r="BV122" s="1076"/>
      <c r="BW122" s="1505" cm="1" t="str">
        <f t="array" ref="BW122:BW122">BW121</f>
        <v>0</v>
      </c>
      <c r="BX122" s="1077" t="s">
        <v>178</v>
      </c>
      <c r="BY122" s="1077" t="s">
        <v>210</v>
      </c>
      <c r="BZ122" s="1077" t="s">
        <v>211</v>
      </c>
    </row>
    <row customHeight="1" ht="14.625" hidden="1">
      <c r="A123" s="371"/>
      <c r="B123" s="192">
        <f>HAS_DOC6="да"</f>
        <v>0</v>
      </c>
      <c r="C123" s="1548"/>
      <c r="D123" s="1548"/>
      <c r="E123" s="180">
        <v>15</v>
      </c>
      <c r="F123" s="1659"/>
      <c r="G123" s="1548"/>
      <c r="H123" s="1548"/>
      <c r="I123" s="1548"/>
      <c r="J123" s="1548"/>
      <c r="K123" s="1548"/>
      <c r="L123" s="1548"/>
      <c r="M123" s="1548"/>
      <c r="N123" s="1548"/>
      <c r="O123" s="1548"/>
      <c r="P123" s="1548"/>
      <c r="Q123" s="1548"/>
      <c r="R123" s="1548"/>
      <c r="S123" s="1548"/>
      <c r="T123" s="1548"/>
      <c r="U123" s="1548"/>
      <c r="V123" s="1548"/>
      <c r="W123" s="1548"/>
      <c r="X123" s="176" t="s">
        <v>214</v>
      </c>
      <c r="Y123" s="1548"/>
      <c r="Z123" s="1548"/>
      <c r="AA123" s="1009"/>
      <c r="AB123" s="240"/>
      <c r="AC123" s="241"/>
      <c r="AD123" s="241"/>
      <c r="AE123" s="242" t="s">
        <v>191</v>
      </c>
      <c r="AF123" s="208"/>
      <c r="AG123" s="1659"/>
      <c r="AH123" s="1659"/>
      <c r="AI123" s="1659"/>
      <c r="AJ123" s="1659"/>
      <c r="AK123" s="1659"/>
      <c r="AL123" s="1659"/>
      <c r="AM123" s="1659"/>
      <c r="AN123" s="1659"/>
      <c r="AO123" s="1751"/>
      <c r="AP123" s="1751"/>
      <c r="AQ123" s="1751"/>
      <c r="AR123" s="1751"/>
      <c r="AS123" s="1751"/>
      <c r="AT123" s="1751"/>
      <c r="AU123" s="1751"/>
      <c r="AV123" s="1751"/>
      <c r="AW123" s="1751"/>
      <c r="AX123" s="1751"/>
      <c r="AY123" s="1751"/>
      <c r="AZ123" s="1751"/>
      <c r="BA123" s="1751"/>
      <c r="BB123" s="1751"/>
      <c r="BC123" s="1751"/>
      <c r="BD123" s="1751"/>
      <c r="BE123" s="1751"/>
      <c r="BF123" s="1076"/>
      <c r="BG123" s="1076"/>
      <c r="BH123" s="1076"/>
      <c r="BI123" s="1076"/>
      <c r="BJ123" s="1076"/>
      <c r="BK123" s="1076"/>
      <c r="BL123" s="1076"/>
      <c r="BM123" s="1076"/>
      <c r="BN123" s="1076"/>
      <c r="BO123" s="1076"/>
      <c r="BP123" s="1076"/>
      <c r="BQ123" s="1076"/>
      <c r="BR123" s="1076"/>
      <c r="BS123" s="1076"/>
      <c r="BT123" s="1076"/>
      <c r="BU123" s="1076"/>
      <c r="BV123" s="1076"/>
      <c r="BW123" s="1507"/>
      <c r="BX123" s="1076"/>
      <c r="BY123" s="1076"/>
      <c r="BZ123" s="1076"/>
    </row>
    <row customHeight="1" ht="24.375">
      <c r="E124" s="180">
        <v>25</v>
      </c>
      <c r="AB124" s="1531"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2027 года, для организации, оказывающей услуги теплоснабжения</v>
      </c>
      <c r="AC124" s="1531"/>
      <c r="AD124" s="1531"/>
      <c r="AE124" s="220" t="s">
        <v>158</v>
      </c>
      <c r="AF124" s="219"/>
      <c r="BF124" s="1077"/>
      <c r="BG124" s="1083"/>
      <c r="BH124" s="1083"/>
      <c r="BI124" s="1083"/>
      <c r="BJ124" s="1083"/>
      <c r="BK124" s="1083"/>
      <c r="BL124" s="1083"/>
      <c r="BM124" s="1077"/>
      <c r="BN124" s="1077"/>
      <c r="BO124" s="1077" t="s">
        <v>215</v>
      </c>
      <c r="BP124" s="1077"/>
      <c r="BQ124" s="1077"/>
      <c r="BR124" s="1077"/>
      <c r="BS124" s="1077"/>
      <c r="BT124" s="1077"/>
      <c r="BU124" s="1077"/>
      <c r="BV124" s="1076"/>
      <c r="BW124" s="1077"/>
      <c r="BX124" s="1077" t="s">
        <v>178</v>
      </c>
      <c r="BY124" s="1077" t="s">
        <v>204</v>
      </c>
      <c r="BZ124" s="1077" t="s">
        <v>205</v>
      </c>
    </row>
    <row customHeight="1" ht="19.5" hidden="1">
      <c r="A125" s="371"/>
      <c r="B125" s="192">
        <f>HAS_DOC7="да"</f>
        <v>0</v>
      </c>
      <c r="C125" s="1548"/>
      <c r="D125" s="1548"/>
      <c r="E125" s="180">
        <v>20</v>
      </c>
      <c r="F125" s="1659"/>
      <c r="G125" s="1548"/>
      <c r="H125" s="1548"/>
      <c r="I125" s="1548"/>
      <c r="J125" s="1548"/>
      <c r="K125" s="1548"/>
      <c r="L125" s="1548"/>
      <c r="M125" s="1548"/>
      <c r="N125" s="1548"/>
      <c r="O125" s="1548"/>
      <c r="P125" s="1548"/>
      <c r="Q125" s="1548"/>
      <c r="R125" s="1548"/>
      <c r="S125" s="1548"/>
      <c r="T125" s="1548"/>
      <c r="U125" s="1548"/>
      <c r="V125" s="175" t="b">
        <v>0</v>
      </c>
      <c r="W125" s="1548"/>
      <c r="X125" s="1548"/>
      <c r="Y125" s="1548"/>
      <c r="Z125" s="1548"/>
      <c r="AA125" s="1009"/>
      <c r="AB125" s="1534" t="s">
        <v>174</v>
      </c>
      <c r="AC125" s="1531" t="s">
        <v>175</v>
      </c>
      <c r="AD125" s="1531"/>
      <c r="AE125" s="243"/>
      <c r="AF125" s="208"/>
      <c r="AG125" s="1659"/>
      <c r="AH125" s="1659"/>
      <c r="AI125" s="1659"/>
      <c r="AJ125" s="1659"/>
      <c r="AK125" s="1659"/>
      <c r="AL125" s="1659"/>
      <c r="AM125" s="1659"/>
      <c r="AN125" s="1659"/>
      <c r="AO125" s="1751"/>
      <c r="AP125" s="1751"/>
      <c r="AQ125" s="1751"/>
      <c r="AR125" s="1751"/>
      <c r="AS125" s="1751"/>
      <c r="AT125" s="1751"/>
      <c r="AU125" s="1751"/>
      <c r="AV125" s="1751"/>
      <c r="AW125" s="1751"/>
      <c r="AX125" s="1751"/>
      <c r="AY125" s="1751"/>
      <c r="AZ125" s="1751"/>
      <c r="BA125" s="1751"/>
      <c r="BB125" s="1751"/>
      <c r="BC125" s="1751"/>
      <c r="BD125" s="1751"/>
      <c r="BE125" s="1751"/>
      <c r="BF125" s="1077"/>
      <c r="BG125" s="1083"/>
      <c r="BH125" s="1083"/>
      <c r="BI125" s="1083"/>
      <c r="BJ125" s="1083"/>
      <c r="BK125" s="1083"/>
      <c r="BL125" s="1083"/>
      <c r="BM125" s="1083"/>
      <c r="BN125" s="1083"/>
      <c r="BO125" s="1077" t="s">
        <v>215</v>
      </c>
      <c r="BP125" s="1083"/>
      <c r="BQ125" s="1083"/>
      <c r="BR125" s="1083"/>
      <c r="BS125" s="1083"/>
      <c r="BT125" s="1083"/>
      <c r="BU125" s="1083"/>
      <c r="BV125" s="1076"/>
      <c r="BW125" s="1083" cm="1" t="str">
        <f t="array" ref="BW125:BW125">$AK125</f>
        <v>0</v>
      </c>
      <c r="BX125" s="1077" t="s">
        <v>178</v>
      </c>
      <c r="BY125" s="1077" t="s">
        <v>179</v>
      </c>
      <c r="BZ125" s="1077" t="s">
        <v>195</v>
      </c>
    </row>
    <row customHeight="1" ht="19.5" hidden="1">
      <c r="A126" s="371"/>
      <c r="B126" s="192">
        <f>HAS_DOC7="да"</f>
        <v>0</v>
      </c>
      <c r="C126" s="1548"/>
      <c r="D126" s="1548"/>
      <c r="E126" s="180">
        <v>20</v>
      </c>
      <c r="F126" s="1659"/>
      <c r="G126" s="1548"/>
      <c r="H126" s="1548"/>
      <c r="I126" s="1548"/>
      <c r="J126" s="1548"/>
      <c r="K126" s="1548"/>
      <c r="L126" s="1548"/>
      <c r="M126" s="1548"/>
      <c r="N126" s="1548"/>
      <c r="O126" s="1548"/>
      <c r="P126" s="1548"/>
      <c r="Q126" s="1548"/>
      <c r="R126" s="1548"/>
      <c r="S126" s="1548"/>
      <c r="T126" s="1548"/>
      <c r="U126" s="1548"/>
      <c r="V126" s="175" t="b">
        <v>0</v>
      </c>
      <c r="W126" s="1548"/>
      <c r="X126" s="1548"/>
      <c r="Y126" s="1548"/>
      <c r="Z126" s="1548"/>
      <c r="AA126" s="1009"/>
      <c r="AB126" s="1534"/>
      <c r="AC126" s="1531" t="s">
        <v>181</v>
      </c>
      <c r="AD126" s="1531"/>
      <c r="AE126" s="243"/>
      <c r="AF126" s="208"/>
      <c r="AG126" s="1659"/>
      <c r="AH126" s="1659"/>
      <c r="AI126" s="1659"/>
      <c r="AJ126" s="1659"/>
      <c r="AK126" s="1659"/>
      <c r="AL126" s="1659"/>
      <c r="AM126" s="1659"/>
      <c r="AN126" s="1659"/>
      <c r="AO126" s="1751"/>
      <c r="AP126" s="1751"/>
      <c r="AQ126" s="1751"/>
      <c r="AR126" s="1751"/>
      <c r="AS126" s="1751"/>
      <c r="AT126" s="1751"/>
      <c r="AU126" s="1751"/>
      <c r="AV126" s="1751"/>
      <c r="AW126" s="1751"/>
      <c r="AX126" s="1751"/>
      <c r="AY126" s="1751"/>
      <c r="AZ126" s="1751"/>
      <c r="BA126" s="1751"/>
      <c r="BB126" s="1751"/>
      <c r="BC126" s="1751"/>
      <c r="BD126" s="1751"/>
      <c r="BE126" s="1751"/>
      <c r="BF126" s="1077"/>
      <c r="BG126" s="1083"/>
      <c r="BH126" s="1083"/>
      <c r="BI126" s="1083"/>
      <c r="BJ126" s="1083"/>
      <c r="BK126" s="1083"/>
      <c r="BL126" s="1083"/>
      <c r="BM126" s="1083"/>
      <c r="BN126" s="1083"/>
      <c r="BO126" s="1077" t="s">
        <v>215</v>
      </c>
      <c r="BP126" s="1083"/>
      <c r="BQ126" s="1083"/>
      <c r="BR126" s="1083"/>
      <c r="BS126" s="1083"/>
      <c r="BT126" s="1083"/>
      <c r="BU126" s="1083"/>
      <c r="BV126" s="1076"/>
      <c r="BW126" s="1083" cm="1" t="str">
        <f t="array" ref="BW126:BW126">BW125</f>
        <v>0</v>
      </c>
      <c r="BX126" s="1077" t="s">
        <v>178</v>
      </c>
      <c r="BY126" s="1077" t="s">
        <v>182</v>
      </c>
      <c r="BZ126" s="1077" t="s">
        <v>197</v>
      </c>
    </row>
    <row customHeight="1" ht="19.5" hidden="1">
      <c r="A127" s="371"/>
      <c r="B127" s="192">
        <f>HAS_DOC7="да"</f>
        <v>0</v>
      </c>
      <c r="C127" s="1548"/>
      <c r="D127" s="1548"/>
      <c r="E127" s="180">
        <v>20</v>
      </c>
      <c r="F127" s="1659"/>
      <c r="G127" s="1548"/>
      <c r="H127" s="1548"/>
      <c r="I127" s="1548"/>
      <c r="J127" s="1548"/>
      <c r="K127" s="1548"/>
      <c r="L127" s="1548"/>
      <c r="M127" s="1548"/>
      <c r="N127" s="1548"/>
      <c r="O127" s="1548"/>
      <c r="P127" s="1548"/>
      <c r="Q127" s="1548"/>
      <c r="R127" s="1548"/>
      <c r="S127" s="1548"/>
      <c r="T127" s="1548"/>
      <c r="U127" s="1548"/>
      <c r="V127" s="175" t="b">
        <v>0</v>
      </c>
      <c r="W127" s="1548"/>
      <c r="X127" s="1548"/>
      <c r="Y127" s="1548"/>
      <c r="Z127" s="1548"/>
      <c r="AA127" s="1009"/>
      <c r="AB127" s="1534"/>
      <c r="AC127" s="1531" t="s">
        <v>216</v>
      </c>
      <c r="AD127" s="1531"/>
      <c r="AE127" s="243"/>
      <c r="AF127" s="208"/>
      <c r="AG127" s="1659"/>
      <c r="AH127" s="1659"/>
      <c r="AI127" s="1659"/>
      <c r="AJ127" s="1659"/>
      <c r="AK127" s="1659"/>
      <c r="AL127" s="1659"/>
      <c r="AM127" s="1659"/>
      <c r="AN127" s="1659"/>
      <c r="AO127" s="1751"/>
      <c r="AP127" s="1751"/>
      <c r="AQ127" s="1751"/>
      <c r="AR127" s="1751"/>
      <c r="AS127" s="1751"/>
      <c r="AT127" s="1751"/>
      <c r="AU127" s="1751"/>
      <c r="AV127" s="1751"/>
      <c r="AW127" s="1751"/>
      <c r="AX127" s="1751"/>
      <c r="AY127" s="1751"/>
      <c r="AZ127" s="1751"/>
      <c r="BA127" s="1751"/>
      <c r="BB127" s="1751"/>
      <c r="BC127" s="1751"/>
      <c r="BD127" s="1751"/>
      <c r="BE127" s="1751"/>
      <c r="BF127" s="1077"/>
      <c r="BG127" s="1083"/>
      <c r="BH127" s="1083"/>
      <c r="BI127" s="1083"/>
      <c r="BJ127" s="1083"/>
      <c r="BK127" s="1083"/>
      <c r="BL127" s="1083"/>
      <c r="BM127" s="1083"/>
      <c r="BN127" s="1083"/>
      <c r="BO127" s="1077" t="s">
        <v>215</v>
      </c>
      <c r="BP127" s="1083"/>
      <c r="BQ127" s="1083"/>
      <c r="BR127" s="1083"/>
      <c r="BS127" s="1083"/>
      <c r="BT127" s="1083"/>
      <c r="BU127" s="1083"/>
      <c r="BV127" s="1076"/>
      <c r="BW127" s="1083" cm="1" t="str">
        <f t="array" ref="BW127:BW127">BW126</f>
        <v>0</v>
      </c>
      <c r="BX127" s="1077" t="s">
        <v>178</v>
      </c>
      <c r="BY127" s="1077" t="s">
        <v>184</v>
      </c>
      <c r="BZ127" s="1077" t="s">
        <v>199</v>
      </c>
    </row>
    <row customHeight="1" ht="19.5" hidden="1">
      <c r="A128" s="371"/>
      <c r="B128" s="192">
        <f>HAS_DOC7="да"</f>
        <v>0</v>
      </c>
      <c r="C128" s="1548"/>
      <c r="D128" s="1548"/>
      <c r="E128" s="180">
        <v>20</v>
      </c>
      <c r="F128" s="1659"/>
      <c r="G128" s="1548"/>
      <c r="H128" s="1548"/>
      <c r="I128" s="1548"/>
      <c r="J128" s="1548"/>
      <c r="K128" s="1548"/>
      <c r="L128" s="1548"/>
      <c r="M128" s="1548"/>
      <c r="N128" s="1548"/>
      <c r="O128" s="1548"/>
      <c r="P128" s="1548"/>
      <c r="Q128" s="1548"/>
      <c r="R128" s="1548"/>
      <c r="S128" s="1548"/>
      <c r="T128" s="1548"/>
      <c r="U128" s="1548"/>
      <c r="V128" s="175" t="b">
        <v>0</v>
      </c>
      <c r="W128" s="1548"/>
      <c r="X128" s="1548"/>
      <c r="Y128" s="1548"/>
      <c r="Z128" s="1548"/>
      <c r="AA128" s="1009"/>
      <c r="AB128" s="1534"/>
      <c r="AC128" s="1531" t="s">
        <v>185</v>
      </c>
      <c r="AD128" s="1531"/>
      <c r="AE128" s="245"/>
      <c r="AF128" s="208"/>
      <c r="AG128" s="1659"/>
      <c r="AH128" s="1659"/>
      <c r="AI128" s="1659"/>
      <c r="AJ128" s="1659"/>
      <c r="AK128" s="1659"/>
      <c r="AL128" s="1659"/>
      <c r="AM128" s="1659"/>
      <c r="AN128" s="1659"/>
      <c r="AO128" s="1751"/>
      <c r="AP128" s="1751"/>
      <c r="AQ128" s="1751"/>
      <c r="AR128" s="1751"/>
      <c r="AS128" s="1751"/>
      <c r="AT128" s="1751"/>
      <c r="AU128" s="1751"/>
      <c r="AV128" s="1751"/>
      <c r="AW128" s="1751"/>
      <c r="AX128" s="1751"/>
      <c r="AY128" s="1751"/>
      <c r="AZ128" s="1751"/>
      <c r="BA128" s="1751"/>
      <c r="BB128" s="1751"/>
      <c r="BC128" s="1751"/>
      <c r="BD128" s="1751"/>
      <c r="BE128" s="1751"/>
      <c r="BF128" s="1077"/>
      <c r="BG128" s="1083"/>
      <c r="BH128" s="1083"/>
      <c r="BI128" s="1083"/>
      <c r="BJ128" s="1083"/>
      <c r="BK128" s="1083"/>
      <c r="BL128" s="1083"/>
      <c r="BM128" s="1083"/>
      <c r="BN128" s="1083"/>
      <c r="BO128" s="1077" t="s">
        <v>215</v>
      </c>
      <c r="BP128" s="1083"/>
      <c r="BQ128" s="1083"/>
      <c r="BR128" s="1083"/>
      <c r="BS128" s="1083"/>
      <c r="BT128" s="1083"/>
      <c r="BU128" s="1083"/>
      <c r="BV128" s="1076"/>
      <c r="BW128" s="1083" cm="1" t="str">
        <f t="array" ref="BW128:BW128">BW127</f>
        <v>0</v>
      </c>
      <c r="BX128" s="1077" t="s">
        <v>178</v>
      </c>
      <c r="BY128" s="1077" t="s">
        <v>186</v>
      </c>
      <c r="BZ128" s="1077" t="s">
        <v>200</v>
      </c>
    </row>
    <row customHeight="1" ht="19.5" hidden="1">
      <c r="A129" s="371"/>
      <c r="B129" s="192">
        <f>HAS_DOC7="да"</f>
        <v>0</v>
      </c>
      <c r="C129" s="1548"/>
      <c r="D129" s="1548"/>
      <c r="E129" s="180">
        <v>20</v>
      </c>
      <c r="F129" s="1659"/>
      <c r="G129" s="1548"/>
      <c r="H129" s="1548"/>
      <c r="I129" s="1548"/>
      <c r="J129" s="1548"/>
      <c r="K129" s="1548"/>
      <c r="L129" s="1548"/>
      <c r="M129" s="1548"/>
      <c r="N129" s="1548"/>
      <c r="O129" s="1548"/>
      <c r="P129" s="1548"/>
      <c r="Q129" s="1548"/>
      <c r="R129" s="1548"/>
      <c r="S129" s="1548"/>
      <c r="T129" s="1548"/>
      <c r="U129" s="1548"/>
      <c r="V129" s="175" t="b">
        <v>0</v>
      </c>
      <c r="W129" s="1548"/>
      <c r="X129" s="1548"/>
      <c r="Y129" s="1548"/>
      <c r="Z129" s="1548"/>
      <c r="AA129" s="1009"/>
      <c r="AB129" s="1534"/>
      <c r="AC129" s="1531" t="s">
        <v>208</v>
      </c>
      <c r="AD129" s="1531"/>
      <c r="AE129" s="245"/>
      <c r="AF129" s="208"/>
      <c r="AG129" s="1659"/>
      <c r="AH129" s="1659"/>
      <c r="AI129" s="1659"/>
      <c r="AJ129" s="1659"/>
      <c r="AK129" s="1659"/>
      <c r="AL129" s="1659"/>
      <c r="AM129" s="1659"/>
      <c r="AN129" s="1659"/>
      <c r="AO129" s="1751"/>
      <c r="AP129" s="1751"/>
      <c r="AQ129" s="1751"/>
      <c r="AR129" s="1751"/>
      <c r="AS129" s="1751"/>
      <c r="AT129" s="1751"/>
      <c r="AU129" s="1751"/>
      <c r="AV129" s="1751"/>
      <c r="AW129" s="1751"/>
      <c r="AX129" s="1751"/>
      <c r="AY129" s="1751"/>
      <c r="AZ129" s="1751"/>
      <c r="BA129" s="1751"/>
      <c r="BB129" s="1751"/>
      <c r="BC129" s="1751"/>
      <c r="BD129" s="1751"/>
      <c r="BE129" s="1751"/>
      <c r="BF129" s="1077"/>
      <c r="BG129" s="1083"/>
      <c r="BH129" s="1083"/>
      <c r="BI129" s="1083"/>
      <c r="BJ129" s="1083"/>
      <c r="BK129" s="1083"/>
      <c r="BL129" s="1083"/>
      <c r="BM129" s="1083"/>
      <c r="BN129" s="1083"/>
      <c r="BO129" s="1077" t="s">
        <v>215</v>
      </c>
      <c r="BP129" s="1083"/>
      <c r="BQ129" s="1083"/>
      <c r="BR129" s="1083"/>
      <c r="BS129" s="1083"/>
      <c r="BT129" s="1083"/>
      <c r="BU129" s="1083"/>
      <c r="BV129" s="1076"/>
      <c r="BW129" s="1083" cm="1" t="str">
        <f t="array" ref="BW129:BW129">BW128</f>
        <v>0</v>
      </c>
      <c r="BX129" s="1077" t="s">
        <v>178</v>
      </c>
      <c r="BY129" s="1077" t="s">
        <v>207</v>
      </c>
      <c r="BZ129" s="1077" t="s">
        <v>208</v>
      </c>
    </row>
    <row customHeight="1" ht="19.5" hidden="1">
      <c r="A130" s="371"/>
      <c r="B130" s="192">
        <f>HAS_DOC7="да"</f>
        <v>0</v>
      </c>
      <c r="C130" s="1548"/>
      <c r="D130" s="1548"/>
      <c r="E130" s="180">
        <v>20</v>
      </c>
      <c r="F130" s="1659"/>
      <c r="G130" s="1548"/>
      <c r="H130" s="1548"/>
      <c r="I130" s="1548"/>
      <c r="J130" s="1548"/>
      <c r="K130" s="1548"/>
      <c r="L130" s="1548"/>
      <c r="M130" s="1548"/>
      <c r="N130" s="1548"/>
      <c r="O130" s="1548"/>
      <c r="P130" s="1548"/>
      <c r="Q130" s="1548"/>
      <c r="R130" s="1548"/>
      <c r="S130" s="1548"/>
      <c r="T130" s="1548"/>
      <c r="U130" s="1548"/>
      <c r="V130" s="175" t="b">
        <v>0</v>
      </c>
      <c r="W130" s="1548"/>
      <c r="X130" s="1548"/>
      <c r="Y130" s="1548"/>
      <c r="Z130" s="1548"/>
      <c r="AA130" s="1009"/>
      <c r="AB130" s="1534"/>
      <c r="AC130" s="1531" t="s">
        <v>211</v>
      </c>
      <c r="AD130" s="1531"/>
      <c r="AE130" s="245"/>
      <c r="AF130" s="208"/>
      <c r="AG130" s="1659"/>
      <c r="AH130" s="1659"/>
      <c r="AI130" s="1659"/>
      <c r="AJ130" s="1659"/>
      <c r="AK130" s="1659"/>
      <c r="AL130" s="1659"/>
      <c r="AM130" s="1659"/>
      <c r="AN130" s="1659"/>
      <c r="AO130" s="1751"/>
      <c r="AP130" s="1751"/>
      <c r="AQ130" s="1751"/>
      <c r="AR130" s="1751"/>
      <c r="AS130" s="1751"/>
      <c r="AT130" s="1751"/>
      <c r="AU130" s="1751"/>
      <c r="AV130" s="1751"/>
      <c r="AW130" s="1751"/>
      <c r="AX130" s="1751"/>
      <c r="AY130" s="1751"/>
      <c r="AZ130" s="1751"/>
      <c r="BA130" s="1751"/>
      <c r="BB130" s="1751"/>
      <c r="BC130" s="1751"/>
      <c r="BD130" s="1751"/>
      <c r="BE130" s="1751"/>
      <c r="BF130" s="1077"/>
      <c r="BG130" s="1083"/>
      <c r="BH130" s="1083"/>
      <c r="BI130" s="1083"/>
      <c r="BJ130" s="1083"/>
      <c r="BK130" s="1083"/>
      <c r="BL130" s="1083"/>
      <c r="BM130" s="1083"/>
      <c r="BN130" s="1083"/>
      <c r="BO130" s="1077" t="s">
        <v>215</v>
      </c>
      <c r="BP130" s="1083"/>
      <c r="BQ130" s="1083"/>
      <c r="BR130" s="1083"/>
      <c r="BS130" s="1083"/>
      <c r="BT130" s="1083"/>
      <c r="BU130" s="1083"/>
      <c r="BV130" s="1076"/>
      <c r="BW130" s="1083" cm="1" t="str">
        <f t="array" ref="BW130:BW130">BW129</f>
        <v>0</v>
      </c>
      <c r="BX130" s="1077" t="s">
        <v>178</v>
      </c>
      <c r="BY130" s="1077" t="s">
        <v>210</v>
      </c>
      <c r="BZ130" s="1077" t="s">
        <v>211</v>
      </c>
    </row>
    <row customHeight="1" ht="19.5" hidden="1">
      <c r="A131" s="371"/>
      <c r="B131" s="192">
        <f>HAS_DOC7="да"</f>
        <v>0</v>
      </c>
      <c r="C131" s="1548"/>
      <c r="D131" s="1548"/>
      <c r="E131" s="180">
        <v>20</v>
      </c>
      <c r="F131" s="1659"/>
      <c r="G131" s="1548"/>
      <c r="H131" s="1548"/>
      <c r="I131" s="1548"/>
      <c r="J131" s="1548"/>
      <c r="K131" s="1548"/>
      <c r="L131" s="1548"/>
      <c r="M131" s="1548"/>
      <c r="N131" s="1548"/>
      <c r="O131" s="1548"/>
      <c r="P131" s="1548"/>
      <c r="Q131" s="1548"/>
      <c r="R131" s="1548"/>
      <c r="S131" s="1548"/>
      <c r="T131" s="1548"/>
      <c r="U131" s="1548"/>
      <c r="V131" s="753">
        <f>ROW(X131)&gt;ROW(X$131)</f>
        <v>0</v>
      </c>
      <c r="W131" s="1548"/>
      <c r="X131" s="175" t="s">
        <v>189</v>
      </c>
      <c r="Y131" s="1548"/>
      <c r="Z131" s="1561">
        <v>0</v>
      </c>
      <c r="AA131" s="1532" t="s">
        <v>171</v>
      </c>
      <c r="AB131" s="1534" t="s">
        <v>174</v>
      </c>
      <c r="AC131" s="1531" t="s">
        <v>175</v>
      </c>
      <c r="AD131" s="1531"/>
      <c r="AE131" s="1756"/>
      <c r="AF131" s="208"/>
      <c r="AG131" s="1659"/>
      <c r="AH131" s="1659"/>
      <c r="AI131" s="1659"/>
      <c r="AJ131" s="1659"/>
      <c r="AK131" s="1659"/>
      <c r="AL131" s="1659"/>
      <c r="AM131" s="1659"/>
      <c r="AN131" s="1659"/>
      <c r="AO131" s="1751"/>
      <c r="AP131" s="1751"/>
      <c r="AQ131" s="1751"/>
      <c r="AR131" s="1751"/>
      <c r="AS131" s="1751"/>
      <c r="AT131" s="1751"/>
      <c r="AU131" s="1751"/>
      <c r="AV131" s="1751"/>
      <c r="AW131" s="1751"/>
      <c r="AX131" s="1751"/>
      <c r="AY131" s="1751"/>
      <c r="AZ131" s="1751"/>
      <c r="BA131" s="1751"/>
      <c r="BB131" s="1751"/>
      <c r="BC131" s="1751"/>
      <c r="BD131" s="1751"/>
      <c r="BE131" s="1751"/>
      <c r="BF131" s="1077"/>
      <c r="BG131" s="1083"/>
      <c r="BH131" s="1083"/>
      <c r="BI131" s="1083"/>
      <c r="BJ131" s="1083"/>
      <c r="BK131" s="1083"/>
      <c r="BL131" s="1083"/>
      <c r="BM131" s="1083"/>
      <c r="BN131" s="1083"/>
      <c r="BO131" s="1077" t="s">
        <v>215</v>
      </c>
      <c r="BP131" s="1083"/>
      <c r="BQ131" s="1083"/>
      <c r="BR131" s="1083"/>
      <c r="BS131" s="1083"/>
      <c r="BT131" s="1083"/>
      <c r="BU131" s="1083"/>
      <c r="BV131" s="1076"/>
      <c r="BW131" s="1505" cm="1" t="str">
        <f t="array" ref="BW131:BW131">$AE131</f>
        <v>0</v>
      </c>
      <c r="BX131" s="1077" t="s">
        <v>178</v>
      </c>
      <c r="BY131" s="1077" t="s">
        <v>179</v>
      </c>
      <c r="BZ131" s="1077" t="s">
        <v>195</v>
      </c>
    </row>
    <row customHeight="1" ht="19.5" hidden="1">
      <c r="A132" s="371"/>
      <c r="B132" s="192">
        <f>HAS_DOC7="да"</f>
        <v>0</v>
      </c>
      <c r="C132" s="1548"/>
      <c r="D132" s="1548"/>
      <c r="E132" s="180">
        <v>20</v>
      </c>
      <c r="F132" s="1659"/>
      <c r="G132" s="1548"/>
      <c r="H132" s="1548"/>
      <c r="I132" s="1548"/>
      <c r="J132" s="1548"/>
      <c r="K132" s="1548"/>
      <c r="L132" s="1548"/>
      <c r="M132" s="1548"/>
      <c r="N132" s="1548"/>
      <c r="O132" s="1548"/>
      <c r="P132" s="1548"/>
      <c r="Q132" s="1548"/>
      <c r="R132" s="1548"/>
      <c r="S132" s="1548"/>
      <c r="T132" s="1548"/>
      <c r="U132" s="1548"/>
      <c r="V132" s="753" cm="1" t="str">
        <f t="array" ref="V132:V132">V131</f>
        <v>false</v>
      </c>
      <c r="W132" s="1548"/>
      <c r="X132" s="1548"/>
      <c r="Y132" s="1548"/>
      <c r="Z132" s="1561"/>
      <c r="AA132" s="1533"/>
      <c r="AB132" s="1534"/>
      <c r="AC132" s="1531" t="s">
        <v>181</v>
      </c>
      <c r="AD132" s="1531"/>
      <c r="AE132" s="1756"/>
      <c r="AF132" s="208"/>
      <c r="AG132" s="1659"/>
      <c r="AH132" s="1659"/>
      <c r="AI132" s="1659"/>
      <c r="AJ132" s="1659"/>
      <c r="AK132" s="1659"/>
      <c r="AL132" s="1659"/>
      <c r="AM132" s="1659"/>
      <c r="AN132" s="1659"/>
      <c r="AO132" s="1751"/>
      <c r="AP132" s="1751"/>
      <c r="AQ132" s="1751"/>
      <c r="AR132" s="1751"/>
      <c r="AS132" s="1751"/>
      <c r="AT132" s="1751"/>
      <c r="AU132" s="1751"/>
      <c r="AV132" s="1751"/>
      <c r="AW132" s="1751"/>
      <c r="AX132" s="1751"/>
      <c r="AY132" s="1751"/>
      <c r="AZ132" s="1751"/>
      <c r="BA132" s="1751"/>
      <c r="BB132" s="1751"/>
      <c r="BC132" s="1751"/>
      <c r="BD132" s="1751"/>
      <c r="BE132" s="1751"/>
      <c r="BF132" s="1077"/>
      <c r="BG132" s="1083"/>
      <c r="BH132" s="1083"/>
      <c r="BI132" s="1083"/>
      <c r="BJ132" s="1083"/>
      <c r="BK132" s="1083"/>
      <c r="BL132" s="1083"/>
      <c r="BM132" s="1083"/>
      <c r="BN132" s="1083"/>
      <c r="BO132" s="1077" t="s">
        <v>215</v>
      </c>
      <c r="BP132" s="1083"/>
      <c r="BQ132" s="1083"/>
      <c r="BR132" s="1083"/>
      <c r="BS132" s="1083"/>
      <c r="BT132" s="1083"/>
      <c r="BU132" s="1083"/>
      <c r="BV132" s="1076"/>
      <c r="BW132" s="1505" cm="1" t="str">
        <f t="array" ref="BW132:BW132">BW131</f>
        <v>0</v>
      </c>
      <c r="BX132" s="1077" t="s">
        <v>178</v>
      </c>
      <c r="BY132" s="1077" t="s">
        <v>182</v>
      </c>
      <c r="BZ132" s="1077" t="s">
        <v>197</v>
      </c>
    </row>
    <row customHeight="1" ht="19.5" hidden="1">
      <c r="A133" s="371"/>
      <c r="B133" s="192">
        <f>HAS_DOC7="да"</f>
        <v>0</v>
      </c>
      <c r="C133" s="1548"/>
      <c r="D133" s="1548"/>
      <c r="E133" s="180">
        <v>20</v>
      </c>
      <c r="F133" s="1659"/>
      <c r="G133" s="1548"/>
      <c r="H133" s="1548"/>
      <c r="I133" s="1548"/>
      <c r="J133" s="1548"/>
      <c r="K133" s="1548"/>
      <c r="L133" s="1548"/>
      <c r="M133" s="1548"/>
      <c r="N133" s="1548"/>
      <c r="O133" s="1548"/>
      <c r="P133" s="1548"/>
      <c r="Q133" s="1548"/>
      <c r="R133" s="1548"/>
      <c r="S133" s="1548"/>
      <c r="T133" s="1548"/>
      <c r="U133" s="1548"/>
      <c r="V133" s="753" cm="1" t="str">
        <f t="array" ref="V133:V133">V132</f>
        <v>false</v>
      </c>
      <c r="W133" s="1548"/>
      <c r="X133" s="1548"/>
      <c r="Y133" s="1548"/>
      <c r="Z133" s="1561"/>
      <c r="AA133" s="1533"/>
      <c r="AB133" s="1534"/>
      <c r="AC133" s="1531" t="s">
        <v>216</v>
      </c>
      <c r="AD133" s="1531"/>
      <c r="AE133" s="1756"/>
      <c r="AF133" s="208"/>
      <c r="AG133" s="1659"/>
      <c r="AH133" s="1659"/>
      <c r="AI133" s="1659"/>
      <c r="AJ133" s="1659"/>
      <c r="AK133" s="1659"/>
      <c r="AL133" s="1659"/>
      <c r="AM133" s="1659"/>
      <c r="AN133" s="1659"/>
      <c r="AO133" s="1751"/>
      <c r="AP133" s="1751"/>
      <c r="AQ133" s="1751"/>
      <c r="AR133" s="1751"/>
      <c r="AS133" s="1751"/>
      <c r="AT133" s="1751"/>
      <c r="AU133" s="1751"/>
      <c r="AV133" s="1751"/>
      <c r="AW133" s="1751"/>
      <c r="AX133" s="1751"/>
      <c r="AY133" s="1751"/>
      <c r="AZ133" s="1751"/>
      <c r="BA133" s="1751"/>
      <c r="BB133" s="1751"/>
      <c r="BC133" s="1751"/>
      <c r="BD133" s="1751"/>
      <c r="BE133" s="1751"/>
      <c r="BF133" s="1077"/>
      <c r="BG133" s="1083"/>
      <c r="BH133" s="1083"/>
      <c r="BI133" s="1083"/>
      <c r="BJ133" s="1083"/>
      <c r="BK133" s="1083"/>
      <c r="BL133" s="1083"/>
      <c r="BM133" s="1083"/>
      <c r="BN133" s="1083"/>
      <c r="BO133" s="1077" t="s">
        <v>215</v>
      </c>
      <c r="BP133" s="1083"/>
      <c r="BQ133" s="1083"/>
      <c r="BR133" s="1083"/>
      <c r="BS133" s="1083"/>
      <c r="BT133" s="1083"/>
      <c r="BU133" s="1083"/>
      <c r="BV133" s="1076"/>
      <c r="BW133" s="1505" cm="1" t="str">
        <f t="array" ref="BW133:BW133">BW132</f>
        <v>0</v>
      </c>
      <c r="BX133" s="1077" t="s">
        <v>178</v>
      </c>
      <c r="BY133" s="1077" t="s">
        <v>184</v>
      </c>
      <c r="BZ133" s="1077" t="s">
        <v>199</v>
      </c>
    </row>
    <row customHeight="1" ht="19.5" hidden="1">
      <c r="A134" s="371"/>
      <c r="B134" s="192">
        <f>HAS_DOC7="да"</f>
        <v>0</v>
      </c>
      <c r="C134" s="1548"/>
      <c r="D134" s="1548"/>
      <c r="E134" s="180">
        <v>20</v>
      </c>
      <c r="F134" s="1659"/>
      <c r="G134" s="1548"/>
      <c r="H134" s="1548"/>
      <c r="I134" s="1548"/>
      <c r="J134" s="1548"/>
      <c r="K134" s="1548"/>
      <c r="L134" s="1548"/>
      <c r="M134" s="1548"/>
      <c r="N134" s="1548"/>
      <c r="O134" s="1548"/>
      <c r="P134" s="1548"/>
      <c r="Q134" s="1548"/>
      <c r="R134" s="1548"/>
      <c r="S134" s="1548"/>
      <c r="T134" s="1548"/>
      <c r="U134" s="1548"/>
      <c r="V134" s="753" cm="1" t="str">
        <f t="array" ref="V134:V134">V133</f>
        <v>false</v>
      </c>
      <c r="W134" s="1548"/>
      <c r="X134" s="1548"/>
      <c r="Y134" s="1548"/>
      <c r="Z134" s="1561"/>
      <c r="AA134" s="1533"/>
      <c r="AB134" s="1534"/>
      <c r="AC134" s="1531" t="s">
        <v>185</v>
      </c>
      <c r="AD134" s="1531"/>
      <c r="AE134" s="1786"/>
      <c r="AF134" s="208"/>
      <c r="AG134" s="1659"/>
      <c r="AH134" s="1659"/>
      <c r="AI134" s="1659"/>
      <c r="AJ134" s="1659"/>
      <c r="AK134" s="1659"/>
      <c r="AL134" s="1659"/>
      <c r="AM134" s="1659"/>
      <c r="AN134" s="1659"/>
      <c r="AO134" s="1751"/>
      <c r="AP134" s="1751"/>
      <c r="AQ134" s="1751"/>
      <c r="AR134" s="1751"/>
      <c r="AS134" s="1751"/>
      <c r="AT134" s="1751"/>
      <c r="AU134" s="1751"/>
      <c r="AV134" s="1751"/>
      <c r="AW134" s="1751"/>
      <c r="AX134" s="1751"/>
      <c r="AY134" s="1751"/>
      <c r="AZ134" s="1751"/>
      <c r="BA134" s="1751"/>
      <c r="BB134" s="1751"/>
      <c r="BC134" s="1751"/>
      <c r="BD134" s="1751"/>
      <c r="BE134" s="1751"/>
      <c r="BF134" s="1077"/>
      <c r="BG134" s="1083"/>
      <c r="BH134" s="1083"/>
      <c r="BI134" s="1083"/>
      <c r="BJ134" s="1083"/>
      <c r="BK134" s="1083"/>
      <c r="BL134" s="1083"/>
      <c r="BM134" s="1083"/>
      <c r="BN134" s="1083"/>
      <c r="BO134" s="1077" t="s">
        <v>215</v>
      </c>
      <c r="BP134" s="1083"/>
      <c r="BQ134" s="1083"/>
      <c r="BR134" s="1083"/>
      <c r="BS134" s="1083"/>
      <c r="BT134" s="1083"/>
      <c r="BU134" s="1083"/>
      <c r="BV134" s="1076"/>
      <c r="BW134" s="1505" cm="1" t="str">
        <f t="array" ref="BW134:BW134">BW133</f>
        <v>0</v>
      </c>
      <c r="BX134" s="1077" t="s">
        <v>178</v>
      </c>
      <c r="BY134" s="1077" t="s">
        <v>186</v>
      </c>
      <c r="BZ134" s="1077" t="s">
        <v>200</v>
      </c>
    </row>
    <row customHeight="1" ht="19.5" hidden="1">
      <c r="A135" s="371"/>
      <c r="B135" s="192">
        <f>HAS_DOC7="да"</f>
        <v>0</v>
      </c>
      <c r="C135" s="1548"/>
      <c r="D135" s="1548"/>
      <c r="E135" s="180">
        <v>20</v>
      </c>
      <c r="F135" s="1659"/>
      <c r="G135" s="1548"/>
      <c r="H135" s="1548"/>
      <c r="I135" s="1548"/>
      <c r="J135" s="1548"/>
      <c r="K135" s="1548"/>
      <c r="L135" s="1548"/>
      <c r="M135" s="1548"/>
      <c r="N135" s="1548"/>
      <c r="O135" s="1548"/>
      <c r="P135" s="1548"/>
      <c r="Q135" s="1548"/>
      <c r="R135" s="1548"/>
      <c r="S135" s="1548"/>
      <c r="T135" s="1548"/>
      <c r="U135" s="1548"/>
      <c r="V135" s="753" cm="1" t="str">
        <f t="array" ref="V135:V135">V134</f>
        <v>false</v>
      </c>
      <c r="W135" s="1548"/>
      <c r="X135" s="1548"/>
      <c r="Y135" s="1548"/>
      <c r="Z135" s="1561"/>
      <c r="AA135" s="1533"/>
      <c r="AB135" s="1534"/>
      <c r="AC135" s="1531" t="s">
        <v>208</v>
      </c>
      <c r="AD135" s="1531"/>
      <c r="AE135" s="1786"/>
      <c r="AF135" s="208"/>
      <c r="AG135" s="1659"/>
      <c r="AH135" s="1659"/>
      <c r="AI135" s="1659"/>
      <c r="AJ135" s="1659"/>
      <c r="AK135" s="1659"/>
      <c r="AL135" s="1659"/>
      <c r="AM135" s="1659"/>
      <c r="AN135" s="1659"/>
      <c r="AO135" s="1751"/>
      <c r="AP135" s="1751"/>
      <c r="AQ135" s="1751"/>
      <c r="AR135" s="1751"/>
      <c r="AS135" s="1751"/>
      <c r="AT135" s="1751"/>
      <c r="AU135" s="1751"/>
      <c r="AV135" s="1751"/>
      <c r="AW135" s="1751"/>
      <c r="AX135" s="1751"/>
      <c r="AY135" s="1751"/>
      <c r="AZ135" s="1751"/>
      <c r="BA135" s="1751"/>
      <c r="BB135" s="1751"/>
      <c r="BC135" s="1751"/>
      <c r="BD135" s="1751"/>
      <c r="BE135" s="1751"/>
      <c r="BF135" s="1077"/>
      <c r="BG135" s="1083"/>
      <c r="BH135" s="1083"/>
      <c r="BI135" s="1083"/>
      <c r="BJ135" s="1083"/>
      <c r="BK135" s="1083"/>
      <c r="BL135" s="1083"/>
      <c r="BM135" s="1083"/>
      <c r="BN135" s="1083"/>
      <c r="BO135" s="1077" t="s">
        <v>215</v>
      </c>
      <c r="BP135" s="1083"/>
      <c r="BQ135" s="1083"/>
      <c r="BR135" s="1083"/>
      <c r="BS135" s="1083"/>
      <c r="BT135" s="1083"/>
      <c r="BU135" s="1083"/>
      <c r="BV135" s="1076"/>
      <c r="BW135" s="1505" cm="1" t="str">
        <f t="array" ref="BW135:BW135">BW134</f>
        <v>0</v>
      </c>
      <c r="BX135" s="1077" t="s">
        <v>178</v>
      </c>
      <c r="BY135" s="1077" t="s">
        <v>207</v>
      </c>
      <c r="BZ135" s="1077" t="s">
        <v>208</v>
      </c>
    </row>
    <row customHeight="1" ht="19.5" hidden="1">
      <c r="A136" s="371"/>
      <c r="B136" s="192">
        <f>HAS_DOC7="да"</f>
        <v>0</v>
      </c>
      <c r="C136" s="1548"/>
      <c r="D136" s="1548"/>
      <c r="E136" s="180">
        <v>20</v>
      </c>
      <c r="F136" s="1659"/>
      <c r="G136" s="1548"/>
      <c r="H136" s="1548"/>
      <c r="I136" s="1548"/>
      <c r="J136" s="1548"/>
      <c r="K136" s="1548"/>
      <c r="L136" s="1548"/>
      <c r="M136" s="1548"/>
      <c r="N136" s="1548"/>
      <c r="O136" s="1548"/>
      <c r="P136" s="1548"/>
      <c r="Q136" s="1548"/>
      <c r="R136" s="1548"/>
      <c r="S136" s="1548"/>
      <c r="T136" s="1548"/>
      <c r="U136" s="1548"/>
      <c r="V136" s="753" cm="1" t="str">
        <f t="array" ref="V136:V136">V135</f>
        <v>false</v>
      </c>
      <c r="W136" s="1548"/>
      <c r="X136" s="1548"/>
      <c r="Y136" s="1548"/>
      <c r="Z136" s="1561"/>
      <c r="AA136" s="1533"/>
      <c r="AB136" s="1534"/>
      <c r="AC136" s="1531" t="s">
        <v>211</v>
      </c>
      <c r="AD136" s="1531"/>
      <c r="AE136" s="1786"/>
      <c r="AF136" s="208"/>
      <c r="AG136" s="1659"/>
      <c r="AH136" s="1659"/>
      <c r="AI136" s="1659"/>
      <c r="AJ136" s="1659"/>
      <c r="AK136" s="1659"/>
      <c r="AL136" s="1659"/>
      <c r="AM136" s="1659"/>
      <c r="AN136" s="1659"/>
      <c r="AO136" s="1751"/>
      <c r="AP136" s="1751"/>
      <c r="AQ136" s="1751"/>
      <c r="AR136" s="1751"/>
      <c r="AS136" s="1751"/>
      <c r="AT136" s="1751"/>
      <c r="AU136" s="1751"/>
      <c r="AV136" s="1751"/>
      <c r="AW136" s="1751"/>
      <c r="AX136" s="1751"/>
      <c r="AY136" s="1751"/>
      <c r="AZ136" s="1751"/>
      <c r="BA136" s="1751"/>
      <c r="BB136" s="1751"/>
      <c r="BC136" s="1751"/>
      <c r="BD136" s="1751"/>
      <c r="BE136" s="1751"/>
      <c r="BF136" s="1077"/>
      <c r="BG136" s="1083"/>
      <c r="BH136" s="1083"/>
      <c r="BI136" s="1083"/>
      <c r="BJ136" s="1083"/>
      <c r="BK136" s="1083"/>
      <c r="BL136" s="1083"/>
      <c r="BM136" s="1083"/>
      <c r="BN136" s="1083"/>
      <c r="BO136" s="1077" t="s">
        <v>215</v>
      </c>
      <c r="BP136" s="1083"/>
      <c r="BQ136" s="1083"/>
      <c r="BR136" s="1083"/>
      <c r="BS136" s="1083"/>
      <c r="BT136" s="1083"/>
      <c r="BU136" s="1083"/>
      <c r="BV136" s="1076"/>
      <c r="BW136" s="1505" cm="1" t="str">
        <f t="array" ref="BW136:BW136">BW135</f>
        <v>0</v>
      </c>
      <c r="BX136" s="1077" t="s">
        <v>178</v>
      </c>
      <c r="BY136" s="1077" t="s">
        <v>210</v>
      </c>
      <c r="BZ136" s="1077" t="s">
        <v>211</v>
      </c>
    </row>
    <row customHeight="1" ht="14.625" hidden="1">
      <c r="A137" s="371"/>
      <c r="B137" s="192">
        <f>HAS_DOC7="да"</f>
        <v>0</v>
      </c>
      <c r="C137" s="1548"/>
      <c r="D137" s="1548"/>
      <c r="E137" s="180">
        <v>15</v>
      </c>
      <c r="F137" s="1659"/>
      <c r="G137" s="1548"/>
      <c r="H137" s="1548"/>
      <c r="I137" s="1548"/>
      <c r="J137" s="1548"/>
      <c r="K137" s="1548"/>
      <c r="L137" s="1548"/>
      <c r="M137" s="1548"/>
      <c r="N137" s="1548"/>
      <c r="O137" s="1548"/>
      <c r="P137" s="1548"/>
      <c r="Q137" s="1548"/>
      <c r="R137" s="1548"/>
      <c r="S137" s="1548"/>
      <c r="T137" s="1548"/>
      <c r="U137" s="1548"/>
      <c r="V137" s="1548"/>
      <c r="W137" s="1548"/>
      <c r="X137" s="176" t="s">
        <v>217</v>
      </c>
      <c r="Y137" s="1548"/>
      <c r="Z137" s="1548"/>
      <c r="AA137" s="1009"/>
      <c r="AB137" s="240"/>
      <c r="AC137" s="241"/>
      <c r="AD137" s="241"/>
      <c r="AE137" s="242" t="s">
        <v>191</v>
      </c>
      <c r="AF137" s="208"/>
      <c r="AG137" s="1659"/>
      <c r="AH137" s="1659"/>
      <c r="AI137" s="1659"/>
      <c r="AJ137" s="1659"/>
      <c r="AK137" s="1659"/>
      <c r="AL137" s="1659"/>
      <c r="AM137" s="1659"/>
      <c r="AN137" s="1659"/>
      <c r="AO137" s="1751"/>
      <c r="AP137" s="1751"/>
      <c r="AQ137" s="1751"/>
      <c r="AR137" s="1751"/>
      <c r="AS137" s="1751"/>
      <c r="AT137" s="1751"/>
      <c r="AU137" s="1751"/>
      <c r="AV137" s="1751"/>
      <c r="AW137" s="1751"/>
      <c r="AX137" s="1751"/>
      <c r="AY137" s="1751"/>
      <c r="AZ137" s="1751"/>
      <c r="BA137" s="1751"/>
      <c r="BB137" s="1751"/>
      <c r="BC137" s="1751"/>
      <c r="BD137" s="1751"/>
      <c r="BE137" s="1751"/>
      <c r="BF137" s="1076"/>
      <c r="BG137" s="1076"/>
      <c r="BH137" s="1076"/>
      <c r="BI137" s="1076"/>
      <c r="BJ137" s="1076"/>
      <c r="BK137" s="1076"/>
      <c r="BL137" s="1076"/>
      <c r="BM137" s="1076"/>
      <c r="BN137" s="1076"/>
      <c r="BO137" s="1076"/>
      <c r="BP137" s="1076"/>
      <c r="BQ137" s="1076"/>
      <c r="BR137" s="1076"/>
      <c r="BS137" s="1076"/>
      <c r="BT137" s="1076"/>
      <c r="BU137" s="1076"/>
      <c r="BV137" s="1076"/>
      <c r="BW137" s="1507"/>
      <c r="BX137" s="1076"/>
      <c r="BY137" s="1076"/>
      <c r="BZ137" s="1076"/>
    </row>
    <row customHeight="1" ht="19.5">
      <c r="E138" s="180">
        <v>20</v>
      </c>
      <c r="AB138" s="1531" t="s">
        <v>218</v>
      </c>
      <c r="AC138" s="1531"/>
      <c r="AD138" s="1531"/>
      <c r="AE138" s="235"/>
      <c r="AF138" s="208"/>
      <c r="BF138" s="1077"/>
      <c r="BG138" s="1083"/>
      <c r="BH138" s="1083"/>
      <c r="BI138" s="1083"/>
      <c r="BJ138" s="1083"/>
      <c r="BK138" s="1083"/>
      <c r="BL138" s="1083"/>
      <c r="BM138" s="1083"/>
      <c r="BN138" s="1083"/>
      <c r="BO138" s="1083"/>
      <c r="BP138" s="1083"/>
      <c r="BQ138" s="1083"/>
      <c r="BR138" s="1083"/>
      <c r="BS138" s="1083"/>
      <c r="BT138" s="1083"/>
      <c r="BU138" s="1083"/>
      <c r="BV138" s="1083" t="s">
        <v>219</v>
      </c>
      <c r="BW138" s="1507"/>
      <c r="BX138" s="1077" t="s">
        <v>178</v>
      </c>
      <c r="BY138" s="1077" t="s">
        <v>220</v>
      </c>
      <c r="BZ138" s="1077" t="s">
        <v>221</v>
      </c>
    </row>
    <row customHeight="1" ht="25.5" hidden="1">
      <c r="E139" s="965">
        <v>0</v>
      </c>
      <c r="AB139" s="1531"/>
      <c r="AC139" s="1531"/>
      <c r="AD139" s="1531"/>
      <c r="AE139" s="227"/>
      <c r="AF139" s="219"/>
      <c r="BF139" s="1077"/>
      <c r="BG139" s="1083"/>
      <c r="BH139" s="1083"/>
      <c r="BI139" s="1083"/>
      <c r="BJ139" s="1083"/>
      <c r="BK139" s="1083"/>
      <c r="BL139" s="1083"/>
      <c r="BM139" s="1083"/>
      <c r="BN139" s="1083"/>
      <c r="BO139" s="1083"/>
      <c r="BP139" s="1083"/>
      <c r="BQ139" s="1083"/>
      <c r="BR139" s="1083"/>
      <c r="BS139" s="1083"/>
      <c r="BT139" s="1083"/>
      <c r="BU139" s="1083"/>
      <c r="BV139" s="1083"/>
      <c r="BW139" s="1507"/>
      <c r="BX139" s="1077"/>
      <c r="BY139" s="1077"/>
      <c r="BZ139" s="1077"/>
    </row>
    <row customHeight="1" ht="10.725000000000001">
      <c r="E140" s="180">
        <v>11</v>
      </c>
      <c r="AF140" s="208"/>
      <c r="BF140" s="1077"/>
      <c r="BG140" s="1083"/>
      <c r="BH140" s="1083"/>
      <c r="BI140" s="1083"/>
      <c r="BJ140" s="1083"/>
      <c r="BK140" s="1083"/>
      <c r="BL140" s="1083"/>
      <c r="BM140" s="1083"/>
      <c r="BN140" s="1083"/>
      <c r="BO140" s="1083"/>
      <c r="BP140" s="1083"/>
      <c r="BQ140" s="1083"/>
      <c r="BR140" s="1083"/>
      <c r="BS140" s="1083"/>
      <c r="BT140" s="1083"/>
      <c r="BU140" s="1083"/>
      <c r="BV140" s="1083"/>
      <c r="BW140" s="1507"/>
      <c r="BX140" s="1077"/>
      <c r="BY140" s="1077"/>
      <c r="BZ140" s="1077"/>
    </row>
    <row customHeight="1" ht="19.5">
      <c r="E141" s="180">
        <v>20</v>
      </c>
      <c r="AB141" s="1531" t="s">
        <v>222</v>
      </c>
      <c r="AC141" s="1531"/>
      <c r="AD141" s="212" t="s">
        <v>223</v>
      </c>
      <c r="AE141" s="249" t="s">
        <v>224</v>
      </c>
      <c r="AF141" s="208"/>
      <c r="BF141" s="1077"/>
      <c r="BG141" s="1083"/>
      <c r="BH141" s="1083"/>
      <c r="BI141" s="1083"/>
      <c r="BJ141" s="1083"/>
      <c r="BK141" s="1083"/>
      <c r="BL141" s="1083"/>
      <c r="BM141" s="1083"/>
      <c r="BN141" s="1083"/>
      <c r="BO141" s="1083"/>
      <c r="BP141" s="1083"/>
      <c r="BQ141" s="1083"/>
      <c r="BR141" s="1083"/>
      <c r="BS141" s="1083"/>
      <c r="BT141" s="1083"/>
      <c r="BU141" s="1083"/>
      <c r="BV141" s="1083"/>
      <c r="BW141" s="1507"/>
      <c r="BX141" s="1077" t="s">
        <v>178</v>
      </c>
      <c r="BY141" s="1077" t="s">
        <v>225</v>
      </c>
      <c r="BZ141" s="1077" t="s">
        <v>226</v>
      </c>
    </row>
    <row customHeight="1" ht="19.5">
      <c r="E142" s="180">
        <v>20</v>
      </c>
      <c r="AB142" s="1531"/>
      <c r="AC142" s="1531"/>
      <c r="AD142" s="212" t="s">
        <v>227</v>
      </c>
      <c r="AE142" s="249" t="s">
        <v>228</v>
      </c>
      <c r="AF142" s="208"/>
      <c r="BF142" s="1077"/>
      <c r="BG142" s="1083"/>
      <c r="BH142" s="1083"/>
      <c r="BI142" s="1083"/>
      <c r="BJ142" s="1083"/>
      <c r="BK142" s="1083"/>
      <c r="BL142" s="1083"/>
      <c r="BM142" s="1083"/>
      <c r="BN142" s="1083"/>
      <c r="BO142" s="1083"/>
      <c r="BP142" s="1083"/>
      <c r="BQ142" s="1083"/>
      <c r="BR142" s="1083"/>
      <c r="BS142" s="1083"/>
      <c r="BT142" s="1083"/>
      <c r="BU142" s="1083"/>
      <c r="BV142" s="1083"/>
      <c r="BW142" s="1507"/>
      <c r="BX142" s="1077" t="s">
        <v>178</v>
      </c>
      <c r="BY142" s="1077" t="s">
        <v>229</v>
      </c>
      <c r="BZ142" s="1077" t="s">
        <v>230</v>
      </c>
    </row>
    <row customHeight="1" ht="19.5">
      <c r="E143" s="180">
        <v>20</v>
      </c>
      <c r="AB143" s="1531"/>
      <c r="AC143" s="1531"/>
      <c r="AD143" s="212" t="s">
        <v>231</v>
      </c>
      <c r="AE143" s="249" t="s">
        <v>232</v>
      </c>
      <c r="AF143" s="208"/>
      <c r="BF143" s="1077"/>
      <c r="BG143" s="1083"/>
      <c r="BH143" s="1083"/>
      <c r="BI143" s="1083"/>
      <c r="BJ143" s="1083"/>
      <c r="BK143" s="1083"/>
      <c r="BL143" s="1083"/>
      <c r="BM143" s="1083"/>
      <c r="BN143" s="1083"/>
      <c r="BO143" s="1083"/>
      <c r="BP143" s="1083"/>
      <c r="BQ143" s="1083"/>
      <c r="BR143" s="1083"/>
      <c r="BS143" s="1083"/>
      <c r="BT143" s="1083"/>
      <c r="BU143" s="1083"/>
      <c r="BV143" s="1083"/>
      <c r="BW143" s="1507"/>
      <c r="BX143" s="1077" t="s">
        <v>178</v>
      </c>
      <c r="BY143" s="1077" t="s">
        <v>233</v>
      </c>
      <c r="BZ143" s="1077" t="s">
        <v>234</v>
      </c>
    </row>
    <row customHeight="1" ht="19.5">
      <c r="E144" s="180">
        <v>20</v>
      </c>
      <c r="AB144" s="1531"/>
      <c r="AC144" s="1531"/>
      <c r="AD144" s="212" t="s">
        <v>235</v>
      </c>
      <c r="AE144" s="1788" t="s">
        <v>236</v>
      </c>
      <c r="AF144" s="208"/>
      <c r="BF144" s="1077"/>
      <c r="BG144" s="1083"/>
      <c r="BH144" s="1083"/>
      <c r="BI144" s="1083"/>
      <c r="BJ144" s="1083"/>
      <c r="BK144" s="1083"/>
      <c r="BL144" s="1083"/>
      <c r="BM144" s="1083"/>
      <c r="BN144" s="1083"/>
      <c r="BO144" s="1083"/>
      <c r="BP144" s="1083"/>
      <c r="BQ144" s="1083"/>
      <c r="BR144" s="1083"/>
      <c r="BS144" s="1083"/>
      <c r="BT144" s="1083"/>
      <c r="BU144" s="1083"/>
      <c r="BV144" s="1083"/>
      <c r="BW144" s="1507"/>
      <c r="BX144" s="1077" t="s">
        <v>178</v>
      </c>
      <c r="BY144" s="1077" t="s">
        <v>237</v>
      </c>
      <c r="BZ144" s="1077" t="s">
        <v>238</v>
      </c>
    </row>
    <row customHeight="1" ht="10.725000000000001">
      <c r="E145" s="180">
        <v>11</v>
      </c>
      <c r="AB145" s="250"/>
      <c r="AC145" s="250"/>
      <c r="AD145" s="250"/>
      <c r="AE145" s="239"/>
      <c r="AF145" s="208"/>
    </row>
    <row customHeight="1" ht="10.725000000000001">
      <c r="E146" s="180">
        <v>11</v>
      </c>
      <c r="AB146" s="1567" t="s">
        <v>239</v>
      </c>
      <c r="AC146" s="1567"/>
      <c r="AD146" s="1567"/>
      <c r="AE146" s="1567"/>
      <c r="AF146" s="208"/>
    </row>
    <row customHeight="1" ht="14.625">
      <c r="E147" s="180">
        <v>15</v>
      </c>
      <c r="AB147" s="1535" t="s">
        <v>240</v>
      </c>
      <c r="AC147" s="1535"/>
      <c r="AD147" s="1535"/>
      <c r="AE147" s="1535"/>
      <c r="AF147" s="252"/>
    </row>
    <row customHeight="1" ht="14.625">
      <c r="E148" s="180">
        <v>15</v>
      </c>
      <c r="AB148" s="1535" t="s">
        <v>241</v>
      </c>
      <c r="AC148" s="1535"/>
      <c r="AD148" s="1535"/>
      <c r="AE148" s="1535"/>
      <c r="AF148" s="252"/>
    </row>
    <row customHeight="1" ht="14.625">
      <c r="E149" s="180">
        <v>15</v>
      </c>
      <c r="AB149" s="1535" t="s">
        <v>242</v>
      </c>
      <c r="AC149" s="1535"/>
      <c r="AD149" s="1535"/>
      <c r="AE149" s="1535"/>
      <c r="AF149" s="252"/>
      <c r="AL149" s="968"/>
    </row>
    <row customHeight="1" ht="16.575">
      <c r="E150" s="180">
        <v>17</v>
      </c>
      <c r="AB150" s="1576" t="s">
        <v>243</v>
      </c>
      <c r="AC150" s="1576"/>
      <c r="AD150" s="1576"/>
      <c r="AE150" s="1576"/>
      <c r="AF150" s="210"/>
    </row>
    <row customHeight="1" ht="16.575">
      <c r="E151" s="180">
        <v>17</v>
      </c>
      <c r="AB151" s="1572" t="s">
        <v>244</v>
      </c>
      <c r="AC151" s="1572"/>
      <c r="AD151" s="1572"/>
      <c r="AE151" s="1572"/>
      <c r="AF151" s="210"/>
    </row>
    <row customHeight="1" ht="29.25">
      <c r="E152" s="180">
        <v>30</v>
      </c>
      <c r="AB152" s="1572" t="s">
        <v>245</v>
      </c>
      <c r="AC152" s="1572"/>
      <c r="AD152" s="1572"/>
      <c r="AE152" s="1572"/>
      <c r="AF152" s="210"/>
    </row>
    <row customHeight="1" ht="15.600000000000001">
      <c r="E153" s="180">
        <v>16</v>
      </c>
      <c r="AB153" s="1572" t="s">
        <v>246</v>
      </c>
      <c r="AC153" s="1572"/>
      <c r="AD153" s="1572"/>
      <c r="AE153" s="1572"/>
      <c r="AF153" s="210"/>
    </row>
    <row customHeight="1" ht="55.57500000000001">
      <c r="E154" s="180">
        <v>57</v>
      </c>
      <c r="AB154" s="1572" t="s">
        <v>247</v>
      </c>
      <c r="AC154" s="1572"/>
      <c r="AD154" s="1572"/>
      <c r="AE154" s="1572"/>
      <c r="AF154" s="210"/>
    </row>
    <row customHeight="1" ht="44.85">
      <c r="E155" s="180">
        <v>46</v>
      </c>
      <c r="AB155" s="1572" t="s">
        <v>248</v>
      </c>
      <c r="AC155" s="1572"/>
      <c r="AD155" s="1572"/>
      <c r="AE155" s="1572"/>
      <c r="AF155" s="210"/>
    </row>
    <row customHeight="1" ht="27.299999999999997">
      <c r="E156" s="180">
        <v>28</v>
      </c>
      <c r="AB156" s="1572" t="s">
        <v>249</v>
      </c>
      <c r="AC156" s="1572"/>
      <c r="AD156" s="1572"/>
      <c r="AE156" s="1572"/>
      <c r="AF156" s="210"/>
    </row>
    <row customHeight="1" ht="26.325000000000003">
      <c r="E157" s="180">
        <v>27</v>
      </c>
      <c r="AB157" s="1572" t="s">
        <v>250</v>
      </c>
      <c r="AC157" s="1572"/>
      <c r="AD157" s="1572"/>
      <c r="AE157" s="1572"/>
      <c r="AF157" s="210"/>
    </row>
    <row customHeight="1" ht="14.625">
      <c r="E158" s="180">
        <v>15</v>
      </c>
      <c r="AB158" s="1573" t="s">
        <v>251</v>
      </c>
      <c r="AC158" s="1573"/>
      <c r="AD158" s="1573"/>
      <c r="AE158" s="1573"/>
      <c r="AF158" s="210"/>
    </row>
    <row customHeight="1" ht="23.400000000000002">
      <c r="E159" s="180">
        <v>24</v>
      </c>
      <c r="AB159" s="1572" t="s">
        <v>252</v>
      </c>
      <c r="AC159" s="1572"/>
      <c r="AD159" s="1572"/>
      <c r="AE159" s="1572"/>
      <c r="AF159" s="252"/>
    </row>
    <row customHeight="1" ht="17.55">
      <c r="E160" s="180">
        <v>18</v>
      </c>
      <c r="AB160" s="1539" t="s">
        <v>253</v>
      </c>
      <c r="AC160" s="1540"/>
      <c r="AD160" s="1540"/>
      <c r="AE160" s="1541"/>
      <c r="AF160" s="252"/>
    </row>
    <row customHeight="1" ht="15.600000000000001">
      <c r="E161" s="180">
        <v>16</v>
      </c>
      <c r="AB161" s="1573" t="s">
        <v>254</v>
      </c>
      <c r="AC161" s="1573"/>
      <c r="AD161" s="1573"/>
      <c r="AE161" s="1573"/>
      <c r="AF161" s="252"/>
    </row>
    <row customHeight="1" ht="39.975">
      <c r="E162" s="180">
        <v>41</v>
      </c>
      <c r="AB162" s="1542"/>
      <c r="AC162" s="1542"/>
      <c r="AD162" s="1542"/>
      <c r="AE162" s="1542"/>
      <c r="AF162" s="252"/>
      <c r="BF162" s="1084"/>
      <c r="BG162" s="1083"/>
      <c r="BH162" s="1083"/>
      <c r="BI162" s="1083"/>
      <c r="BJ162" s="1083"/>
      <c r="BK162" s="1083"/>
      <c r="BL162" s="1083"/>
      <c r="BM162" s="1083"/>
      <c r="BN162" s="1083"/>
      <c r="BO162" s="1083"/>
      <c r="BP162" s="1083"/>
      <c r="BQ162" s="1083"/>
      <c r="BR162" s="1083"/>
      <c r="BS162" s="1083"/>
      <c r="BT162" s="1083"/>
      <c r="BU162" s="1083"/>
      <c r="BV162" s="1083" t="s">
        <v>255</v>
      </c>
      <c r="BW162" s="1507"/>
      <c r="BX162" s="1077" t="s">
        <v>178</v>
      </c>
      <c r="BY162" s="1077" t="s">
        <v>220</v>
      </c>
      <c r="BZ162" s="1077" t="s">
        <v>221</v>
      </c>
    </row>
    <row customHeight="1" ht="11.700000000000001">
      <c r="E163" s="180">
        <v>12</v>
      </c>
      <c r="AD163" s="253"/>
      <c r="AE163" s="253"/>
      <c r="AF163" s="199"/>
      <c r="BF163" s="1077"/>
      <c r="BG163" s="1083"/>
      <c r="BH163" s="1083"/>
      <c r="BI163" s="1083"/>
      <c r="BJ163" s="1083"/>
      <c r="BK163" s="1083"/>
      <c r="BL163" s="1083"/>
      <c r="BM163" s="1083"/>
      <c r="BN163" s="1083"/>
      <c r="BO163" s="1083"/>
      <c r="BP163" s="1083"/>
      <c r="BQ163" s="1083"/>
      <c r="BR163" s="1083"/>
      <c r="BS163" s="1083"/>
      <c r="BT163" s="1083"/>
      <c r="BU163" s="1083"/>
      <c r="BV163" s="1083"/>
      <c r="BW163" s="1507"/>
      <c r="BX163" s="1077"/>
      <c r="BY163" s="1077"/>
      <c r="BZ163" s="1077"/>
    </row>
    <row customHeight="1" ht="19.5">
      <c r="E164" s="180">
        <v>20</v>
      </c>
      <c r="AB164" s="1574" t="s">
        <v>256</v>
      </c>
      <c r="AC164" s="1574"/>
      <c r="AD164" s="1574"/>
      <c r="AE164" s="1575"/>
      <c r="AF164" s="211"/>
      <c r="AG164" s="280"/>
      <c r="AH164" s="280"/>
      <c r="AI164" s="280"/>
      <c r="AJ164" s="280"/>
      <c r="AK164" s="280"/>
      <c r="AL164" s="308"/>
      <c r="BF164" s="1077"/>
      <c r="BG164" s="1083"/>
      <c r="BH164" s="1083"/>
      <c r="BI164" s="1083"/>
      <c r="BJ164" s="1083"/>
      <c r="BK164" s="1083"/>
      <c r="BL164" s="1083"/>
      <c r="BM164" s="1083"/>
      <c r="BN164" s="1083"/>
      <c r="BO164" s="1083"/>
      <c r="BP164" s="1083"/>
      <c r="BQ164" s="1083"/>
      <c r="BR164" s="1083"/>
      <c r="BS164" s="1083"/>
      <c r="BT164" s="1083"/>
      <c r="BU164" s="1083"/>
      <c r="BV164" s="1083"/>
      <c r="BW164" s="1507"/>
      <c r="BX164" s="1077"/>
      <c r="BY164" s="1077"/>
      <c r="BZ164" s="1077"/>
    </row>
    <row customHeight="1" ht="24.375">
      <c r="E165" s="180">
        <v>25</v>
      </c>
      <c r="AB165" s="1547" t="s">
        <v>257</v>
      </c>
      <c r="AC165" s="1547"/>
      <c r="AD165" s="1547"/>
      <c r="AE165" s="254" t="s">
        <v>158</v>
      </c>
      <c r="AF165" s="219"/>
      <c r="AG165" s="280"/>
      <c r="AH165" s="280"/>
      <c r="AI165" s="280"/>
      <c r="AJ165" s="280"/>
      <c r="AK165" s="280"/>
      <c r="AL165" s="308"/>
      <c r="BF165" s="1077"/>
      <c r="BG165" s="1083"/>
      <c r="BH165" s="1083"/>
      <c r="BI165" s="1083"/>
      <c r="BJ165" s="1083"/>
      <c r="BK165" s="1083"/>
      <c r="BL165" s="1083"/>
      <c r="BM165" s="1083"/>
      <c r="BN165" s="1083" t="s">
        <v>258</v>
      </c>
      <c r="BO165" s="1083"/>
      <c r="BP165" s="1083"/>
      <c r="BQ165" s="1083"/>
      <c r="BR165" s="1083"/>
      <c r="BS165" s="1083"/>
      <c r="BT165" s="1083"/>
      <c r="BU165" s="1083"/>
      <c r="BV165" s="1083"/>
      <c r="BW165" s="1507"/>
      <c r="BX165" s="1077" t="s">
        <v>178</v>
      </c>
      <c r="BY165" s="1077" t="s">
        <v>204</v>
      </c>
      <c r="BZ165" s="1077" t="s">
        <v>205</v>
      </c>
    </row>
    <row customHeight="1" ht="19.5">
      <c r="A166" s="371"/>
      <c r="B166" s="192">
        <f>FIRST_TIME_REG="нет"</f>
        <v>1</v>
      </c>
      <c r="C166" s="1548"/>
      <c r="D166" s="1548"/>
      <c r="E166" s="180">
        <v>20</v>
      </c>
      <c r="F166" s="1659"/>
      <c r="G166" s="1548"/>
      <c r="H166" s="1548"/>
      <c r="I166" s="1548"/>
      <c r="J166" s="1548"/>
      <c r="K166" s="1548"/>
      <c r="L166" s="1548"/>
      <c r="M166" s="1548"/>
      <c r="N166" s="1548"/>
      <c r="O166" s="1548"/>
      <c r="P166" s="1548"/>
      <c r="Q166" s="1548"/>
      <c r="R166" s="1548"/>
      <c r="S166" s="1548"/>
      <c r="T166" s="1548"/>
      <c r="U166" s="1548"/>
      <c r="V166" s="1548"/>
      <c r="W166" s="1548"/>
      <c r="X166" s="1548"/>
      <c r="Y166" s="1548"/>
      <c r="Z166" s="1548"/>
      <c r="AA166" s="1009"/>
      <c r="AB166" s="1543" t="s">
        <v>259</v>
      </c>
      <c r="AC166" s="1544"/>
      <c r="AD166" s="255" t="s">
        <v>181</v>
      </c>
      <c r="AE166" s="246" t="s">
        <v>260</v>
      </c>
      <c r="AF166" s="208"/>
      <c r="AG166" s="280"/>
      <c r="AH166" s="280"/>
      <c r="AI166" s="280"/>
      <c r="AJ166" s="280"/>
      <c r="AK166" s="280"/>
      <c r="AL166" s="308"/>
      <c r="AM166" s="1659"/>
      <c r="AN166" s="1659"/>
      <c r="AO166" s="1751"/>
      <c r="AP166" s="1751"/>
      <c r="AQ166" s="1751"/>
      <c r="AR166" s="1751"/>
      <c r="AS166" s="1751"/>
      <c r="AT166" s="1751"/>
      <c r="AU166" s="1751"/>
      <c r="AV166" s="1751"/>
      <c r="AW166" s="1751"/>
      <c r="AX166" s="1751"/>
      <c r="AY166" s="1751"/>
      <c r="AZ166" s="1751"/>
      <c r="BA166" s="1751"/>
      <c r="BB166" s="1751"/>
      <c r="BC166" s="1751"/>
      <c r="BD166" s="1751"/>
      <c r="BE166" s="1751"/>
      <c r="BF166" s="1077"/>
      <c r="BG166" s="1083"/>
      <c r="BH166" s="1083"/>
      <c r="BI166" s="1083"/>
      <c r="BJ166" s="1083"/>
      <c r="BK166" s="1083"/>
      <c r="BL166" s="1083"/>
      <c r="BM166" s="1083"/>
      <c r="BN166" s="1083" t="s">
        <v>261</v>
      </c>
      <c r="BO166" s="1083"/>
      <c r="BP166" s="1083"/>
      <c r="BQ166" s="1083"/>
      <c r="BR166" s="1083"/>
      <c r="BS166" s="1083"/>
      <c r="BT166" s="1083"/>
      <c r="BU166" s="1083"/>
      <c r="BV166" s="1083"/>
      <c r="BW166" s="1507"/>
      <c r="BX166" s="1077" t="s">
        <v>178</v>
      </c>
      <c r="BY166" s="1077" t="s">
        <v>182</v>
      </c>
      <c r="BZ166" s="1077" t="s">
        <v>197</v>
      </c>
    </row>
    <row customHeight="1" ht="19.5">
      <c r="A167" s="371"/>
      <c r="B167" s="192">
        <f>FIRST_TIME_REG="нет"</f>
        <v>1</v>
      </c>
      <c r="C167" s="1548"/>
      <c r="D167" s="1548"/>
      <c r="E167" s="180">
        <v>20</v>
      </c>
      <c r="F167" s="1659"/>
      <c r="G167" s="1548"/>
      <c r="H167" s="1548"/>
      <c r="I167" s="1548"/>
      <c r="J167" s="1548"/>
      <c r="K167" s="1548"/>
      <c r="L167" s="1548"/>
      <c r="M167" s="1548"/>
      <c r="N167" s="1548"/>
      <c r="O167" s="1548"/>
      <c r="P167" s="1548"/>
      <c r="Q167" s="1548"/>
      <c r="R167" s="1548"/>
      <c r="S167" s="1548"/>
      <c r="T167" s="1548"/>
      <c r="U167" s="1548"/>
      <c r="V167" s="1548"/>
      <c r="W167" s="1548"/>
      <c r="X167" s="1548"/>
      <c r="Y167" s="1548"/>
      <c r="Z167" s="1548"/>
      <c r="AA167" s="1009"/>
      <c r="AB167" s="1543"/>
      <c r="AC167" s="1544"/>
      <c r="AD167" s="256" t="s">
        <v>216</v>
      </c>
      <c r="AE167" s="235" t="s">
        <v>262</v>
      </c>
      <c r="AF167" s="208"/>
      <c r="AG167" s="1659"/>
      <c r="AH167" s="1659"/>
      <c r="AI167" s="1659"/>
      <c r="AJ167" s="1659"/>
      <c r="AK167" s="1659"/>
      <c r="AL167" s="1659"/>
      <c r="AM167" s="1659"/>
      <c r="AN167" s="1659"/>
      <c r="AO167" s="1751"/>
      <c r="AP167" s="1751"/>
      <c r="AQ167" s="1751"/>
      <c r="AR167" s="1751"/>
      <c r="AS167" s="1751"/>
      <c r="AT167" s="1751"/>
      <c r="AU167" s="1751"/>
      <c r="AV167" s="1751"/>
      <c r="AW167" s="1751"/>
      <c r="AX167" s="1751"/>
      <c r="AY167" s="1751"/>
      <c r="AZ167" s="1751"/>
      <c r="BA167" s="1751"/>
      <c r="BB167" s="1751"/>
      <c r="BC167" s="1751"/>
      <c r="BD167" s="1751"/>
      <c r="BE167" s="1751"/>
      <c r="BF167" s="1077"/>
      <c r="BG167" s="1083"/>
      <c r="BH167" s="1083"/>
      <c r="BI167" s="1083"/>
      <c r="BJ167" s="1083"/>
      <c r="BK167" s="1083"/>
      <c r="BL167" s="1083"/>
      <c r="BM167" s="1083"/>
      <c r="BN167" s="1083" t="s">
        <v>263</v>
      </c>
      <c r="BO167" s="1083"/>
      <c r="BP167" s="1083"/>
      <c r="BQ167" s="1083"/>
      <c r="BR167" s="1083"/>
      <c r="BS167" s="1083"/>
      <c r="BT167" s="1083"/>
      <c r="BU167" s="1083"/>
      <c r="BV167" s="1083"/>
      <c r="BW167" s="1507"/>
      <c r="BX167" s="1077" t="s">
        <v>178</v>
      </c>
      <c r="BY167" s="1077" t="s">
        <v>184</v>
      </c>
      <c r="BZ167" s="1077" t="s">
        <v>199</v>
      </c>
    </row>
    <row customHeight="1" ht="19.5">
      <c r="A168" s="371"/>
      <c r="B168" s="192">
        <f>FIRST_TIME_REG="нет"</f>
        <v>1</v>
      </c>
      <c r="C168" s="1548"/>
      <c r="D168" s="1548"/>
      <c r="E168" s="180">
        <v>20</v>
      </c>
      <c r="F168" s="1659"/>
      <c r="G168" s="1548"/>
      <c r="H168" s="1548"/>
      <c r="I168" s="1548"/>
      <c r="J168" s="1548"/>
      <c r="K168" s="1548"/>
      <c r="L168" s="1548"/>
      <c r="M168" s="1548"/>
      <c r="N168" s="1548"/>
      <c r="O168" s="1548"/>
      <c r="P168" s="1548"/>
      <c r="Q168" s="1548"/>
      <c r="R168" s="1548"/>
      <c r="S168" s="1548"/>
      <c r="T168" s="1548"/>
      <c r="U168" s="1548"/>
      <c r="V168" s="1548"/>
      <c r="W168" s="1548"/>
      <c r="X168" s="1548"/>
      <c r="Y168" s="1548"/>
      <c r="Z168" s="1548"/>
      <c r="AA168" s="1009"/>
      <c r="AB168" s="1545"/>
      <c r="AC168" s="1546"/>
      <c r="AD168" s="256" t="s">
        <v>185</v>
      </c>
      <c r="AE168" s="247">
        <v>46002.59605324074</v>
      </c>
      <c r="AF168" s="208"/>
      <c r="AG168" s="1659"/>
      <c r="AH168" s="1659"/>
      <c r="AI168" s="1659"/>
      <c r="AJ168" s="1659"/>
      <c r="AK168" s="1659"/>
      <c r="AL168" s="1659"/>
      <c r="AM168" s="1659"/>
      <c r="AN168" s="1659"/>
      <c r="AO168" s="1751"/>
      <c r="AP168" s="1751"/>
      <c r="AQ168" s="1751"/>
      <c r="AR168" s="1751"/>
      <c r="AS168" s="1751"/>
      <c r="AT168" s="1751"/>
      <c r="AU168" s="1751"/>
      <c r="AV168" s="1751"/>
      <c r="AW168" s="1751"/>
      <c r="AX168" s="1751"/>
      <c r="AY168" s="1751"/>
      <c r="AZ168" s="1751"/>
      <c r="BA168" s="1751"/>
      <c r="BB168" s="1751"/>
      <c r="BC168" s="1751"/>
      <c r="BD168" s="1751"/>
      <c r="BE168" s="1751"/>
      <c r="BF168" s="1077"/>
      <c r="BG168" s="1083"/>
      <c r="BH168" s="1083"/>
      <c r="BI168" s="1083"/>
      <c r="BJ168" s="1083"/>
      <c r="BK168" s="1083"/>
      <c r="BL168" s="1083"/>
      <c r="BM168" s="1083"/>
      <c r="BN168" s="1083" t="s">
        <v>264</v>
      </c>
      <c r="BO168" s="1083"/>
      <c r="BP168" s="1083"/>
      <c r="BQ168" s="1083"/>
      <c r="BR168" s="1083"/>
      <c r="BS168" s="1083"/>
      <c r="BT168" s="1083"/>
      <c r="BU168" s="1083"/>
      <c r="BV168" s="1083"/>
      <c r="BW168" s="1507"/>
      <c r="BX168" s="1077" t="s">
        <v>178</v>
      </c>
      <c r="BY168" s="1077" t="s">
        <v>186</v>
      </c>
      <c r="BZ168" s="1077" t="s">
        <v>200</v>
      </c>
    </row>
    <row customHeight="1" ht="15" hidden="1">
      <c r="E169" s="965">
        <v>0</v>
      </c>
      <c r="F169" s="193">
        <f>IF(ISERR(SEARCH("отсутствует",org_declaration)),TRUE,FALSE)</f>
        <v>1</v>
      </c>
      <c r="AB169" s="1536" t="str">
        <f>"Заявление организации"</f>
        <v>Заявление организации</v>
      </c>
      <c r="AC169" s="1537"/>
      <c r="AD169" s="257"/>
      <c r="AE169" s="258"/>
      <c r="AF169" s="199"/>
      <c r="AG169" s="1659" t="s">
        <v>265</v>
      </c>
      <c r="BF169" s="1076"/>
      <c r="BG169" s="1076"/>
      <c r="BH169" s="1076"/>
      <c r="BI169" s="1076"/>
      <c r="BJ169" s="1076"/>
      <c r="BK169" s="1076"/>
      <c r="BL169" s="1076"/>
      <c r="BM169" s="1076"/>
      <c r="BN169" s="1076"/>
      <c r="BO169" s="1076"/>
      <c r="BP169" s="1076"/>
      <c r="BQ169" s="1076"/>
      <c r="BR169" s="1076"/>
      <c r="BS169" s="1076"/>
      <c r="BT169" s="1076"/>
      <c r="BU169" s="1076"/>
      <c r="BV169" s="1076"/>
      <c r="BW169" s="1507"/>
      <c r="BX169" s="1076"/>
      <c r="BY169" s="1076"/>
      <c r="BZ169" s="1076"/>
    </row>
    <row customHeight="1" ht="19.5" hidden="1">
      <c r="B170" s="192">
        <f>NOT(FIRST_TIME_REG="")</f>
        <v>1</v>
      </c>
      <c r="E170" s="180">
        <v>20</v>
      </c>
      <c r="G170" s="175" cm="1" t="str">
        <f t="array" ref="G170:G170">Y170</f>
        <v>0</v>
      </c>
      <c r="V170" s="753">
        <f>Y170&gt;0</f>
        <v>0</v>
      </c>
      <c r="W170" s="176" t="s">
        <v>266</v>
      </c>
      <c r="Y170" s="1072">
        <v>0</v>
      </c>
      <c r="AB170" s="54"/>
      <c r="AC170" s="55"/>
      <c r="AD170" s="260" t="str">
        <f>"Тариф "&amp;Y170</f>
        <v>Тариф 0</v>
      </c>
      <c r="AE170" s="261" t="s">
        <v>267</v>
      </c>
      <c r="AF170" s="1562" t="s">
        <v>171</v>
      </c>
      <c r="AG170" s="1068" t="str">
        <f>AD170&amp;" ("&amp;AE170&amp;") - "&amp;AE172&amp;IF(AE178="",""," ("&amp;AE178&amp;")")</f>
        <v>Тариф 0 (Теплоснабжение) - </v>
      </c>
      <c r="AH170" s="1068" cm="1" t="str">
        <f t="array" ref="AH170:AH170">AE176</f>
        <v>0</v>
      </c>
      <c r="AI170" s="1068" cm="1" t="str">
        <f t="array" ref="AI170:AI170">AE173</f>
        <v>0</v>
      </c>
      <c r="AJ170" s="1068" cm="1" t="str">
        <f t="array" ref="AJ170:AJ170">AE178</f>
        <v>0</v>
      </c>
      <c r="AK170" s="1068" cm="1" t="str">
        <f t="array" ref="AK170:AK170">AE174</f>
        <v>0</v>
      </c>
      <c r="AL170" s="1079" cm="1" t="str">
        <f t="array" ref="AL170:AL170">AE175</f>
        <v>0</v>
      </c>
      <c r="AM170" s="1068" cm="1" t="str">
        <f t="array" ref="AM170:AM170">AE172</f>
        <v>0</v>
      </c>
      <c r="AN170" s="1068">
        <f>_xlfn.IFERROR(FIND("производство тепловой энергии (мощности) в режиме комбинированной выработки",AL170)&gt;0,FALSE)</f>
        <v>0</v>
      </c>
      <c r="BF170" s="1084" cm="1" t="str">
        <f t="array" ref="BF170:BF170">$AE171</f>
        <v>0</v>
      </c>
      <c r="BG170" s="1083"/>
      <c r="BH170" s="1083"/>
      <c r="BI170" s="1083"/>
      <c r="BJ170" s="1083"/>
      <c r="BK170" s="1083"/>
      <c r="BL170" s="1083"/>
      <c r="BM170" s="1083"/>
      <c r="BN170" s="1083"/>
      <c r="BO170" s="1083" t="s">
        <v>268</v>
      </c>
      <c r="BP170" s="1083"/>
      <c r="BQ170" s="1083"/>
      <c r="BR170" s="1083"/>
      <c r="BS170" s="1083"/>
      <c r="BT170" s="1083"/>
      <c r="BU170" s="1083"/>
      <c r="BV170" s="1083"/>
      <c r="BW170" s="1507"/>
      <c r="BX170" s="1077" t="s">
        <v>178</v>
      </c>
      <c r="BY170" s="1077" t="s">
        <v>269</v>
      </c>
      <c r="BZ170" s="1077" t="s">
        <v>270</v>
      </c>
    </row>
    <row customHeight="1" ht="19.5" hidden="1">
      <c r="B171" s="192">
        <f>NOT(FIRST_TIME_REG="")</f>
        <v>1</v>
      </c>
      <c r="E171" s="180">
        <v>20</v>
      </c>
      <c r="G171" s="175" cm="1" t="str">
        <f t="array" ref="G171:G171">G170</f>
        <v>0</v>
      </c>
      <c r="N171" s="1072" cm="1" t="str">
        <f t="array" ref="N171:N171">AE171</f>
        <v>0</v>
      </c>
      <c r="V171" s="753" cm="1" t="str">
        <f t="array" ref="V171:V171">V170</f>
        <v>false</v>
      </c>
      <c r="Y171" s="1072"/>
      <c r="AB171" s="54"/>
      <c r="AC171" s="55"/>
      <c r="AD171" s="264" t="s">
        <v>271</v>
      </c>
      <c r="AE171" s="218"/>
      <c r="AF171" s="1563"/>
      <c r="BF171" s="1077" cm="1" t="str">
        <f t="array" ref="BF171:BF171">BF170</f>
        <v>0</v>
      </c>
      <c r="BG171" s="1083"/>
      <c r="BH171" s="1083"/>
      <c r="BI171" s="1083"/>
      <c r="BJ171" s="1083"/>
      <c r="BK171" s="1083"/>
      <c r="BL171" s="1083"/>
      <c r="BM171" s="1083"/>
      <c r="BN171" s="1083"/>
      <c r="BO171" s="1083" t="s">
        <v>268</v>
      </c>
      <c r="BP171" s="1083"/>
      <c r="BQ171" s="1083"/>
      <c r="BR171" s="1083"/>
      <c r="BS171" s="1083"/>
      <c r="BT171" s="1083"/>
      <c r="BU171" s="1083"/>
      <c r="BV171" s="1083"/>
      <c r="BW171" s="1507"/>
      <c r="BX171" s="1077" t="s">
        <v>178</v>
      </c>
      <c r="BY171" s="1077" t="s">
        <v>272</v>
      </c>
      <c r="BZ171" s="1077" t="s">
        <v>273</v>
      </c>
    </row>
    <row customHeight="1" ht="29.25" hidden="1">
      <c r="B172" s="192">
        <f>NOT(FIRST_TIME_REG="")</f>
        <v>1</v>
      </c>
      <c r="E172" s="180">
        <v>30</v>
      </c>
      <c r="G172" s="175" cm="1" t="str">
        <f t="array" ref="G172:G172">G171</f>
        <v>0</v>
      </c>
      <c r="V172" s="753" cm="1" t="str">
        <f t="array" ref="V172:V172">V171</f>
        <v>false</v>
      </c>
      <c r="Y172" s="1072"/>
      <c r="AB172" s="54"/>
      <c r="AC172" s="55"/>
      <c r="AD172" s="264" t="s">
        <v>274</v>
      </c>
      <c r="AE172" s="56"/>
      <c r="AF172" s="1563"/>
      <c r="BF172" s="1077" cm="1" t="str">
        <f t="array" ref="BF172:BF172">BF171</f>
        <v>0</v>
      </c>
      <c r="BG172" s="1083"/>
      <c r="BH172" s="1083"/>
      <c r="BI172" s="1083"/>
      <c r="BJ172" s="1083"/>
      <c r="BK172" s="1083"/>
      <c r="BL172" s="1083"/>
      <c r="BM172" s="1083"/>
      <c r="BN172" s="1083"/>
      <c r="BO172" s="1083" t="s">
        <v>268</v>
      </c>
      <c r="BP172" s="1083" t="s">
        <v>275</v>
      </c>
      <c r="BQ172" s="1083"/>
      <c r="BR172" s="1083"/>
      <c r="BS172" s="1083"/>
      <c r="BT172" s="1083"/>
      <c r="BU172" s="1083"/>
      <c r="BV172" s="1083"/>
      <c r="BW172" s="1507"/>
      <c r="BX172" s="1077" t="s">
        <v>178</v>
      </c>
      <c r="BY172" s="1077" t="s">
        <v>269</v>
      </c>
      <c r="BZ172" s="1077" t="s">
        <v>270</v>
      </c>
    </row>
    <row customHeight="1" ht="19.5" hidden="1">
      <c r="B173" s="192">
        <f>NOT(FIRST_TIME_REG="")</f>
        <v>1</v>
      </c>
      <c r="E173" s="180">
        <v>20</v>
      </c>
      <c r="G173" s="175" cm="1" t="str">
        <f t="array" ref="G173:G173">G172</f>
        <v>0</v>
      </c>
      <c r="V173" s="753" cm="1" t="str">
        <f t="array" ref="V173:V173">V172</f>
        <v>false</v>
      </c>
      <c r="Y173" s="1072"/>
      <c r="AB173" s="54"/>
      <c r="AC173" s="55"/>
      <c r="AD173" s="264" t="s">
        <v>276</v>
      </c>
      <c r="AE173" s="57"/>
      <c r="AF173" s="1563"/>
      <c r="BF173" s="1077" cm="1" t="str">
        <f t="array" ref="BF173:BF173">BF172</f>
        <v>0</v>
      </c>
      <c r="BG173" s="1083"/>
      <c r="BH173" s="1083"/>
      <c r="BI173" s="1083"/>
      <c r="BJ173" s="1083"/>
      <c r="BK173" s="1083"/>
      <c r="BL173" s="1083"/>
      <c r="BM173" s="1083"/>
      <c r="BN173" s="1083"/>
      <c r="BO173" s="1083" t="s">
        <v>268</v>
      </c>
      <c r="BP173" s="1083"/>
      <c r="BQ173" s="1083" t="s">
        <v>277</v>
      </c>
      <c r="BR173" s="1083"/>
      <c r="BS173" s="1083"/>
      <c r="BT173" s="1083"/>
      <c r="BU173" s="1083"/>
      <c r="BV173" s="1083"/>
      <c r="BW173" s="1507"/>
      <c r="BX173" s="1077" t="s">
        <v>178</v>
      </c>
      <c r="BY173" s="1077" t="s">
        <v>278</v>
      </c>
      <c r="BZ173" s="1077" t="s">
        <v>180</v>
      </c>
    </row>
    <row customHeight="1" ht="19.5" hidden="1">
      <c r="B174" s="192">
        <f>NOT(FIRST_TIME_REG="")</f>
        <v>1</v>
      </c>
      <c r="E174" s="180">
        <v>20</v>
      </c>
      <c r="G174" s="175" cm="1" t="str">
        <f t="array" ref="G174:G174">G173</f>
        <v>0</v>
      </c>
      <c r="V174" s="753" cm="1" t="str">
        <f t="array" ref="V174:V174">V173</f>
        <v>false</v>
      </c>
      <c r="Y174" s="1072"/>
      <c r="AB174" s="54"/>
      <c r="AC174" s="55"/>
      <c r="AD174" s="264" t="s">
        <v>279</v>
      </c>
      <c r="AE174" s="58"/>
      <c r="AF174" s="1563"/>
      <c r="BF174" s="1077" cm="1" t="str">
        <f t="array" ref="BF174:BF174">BF173</f>
        <v>0</v>
      </c>
      <c r="BG174" s="1083"/>
      <c r="BH174" s="1083"/>
      <c r="BI174" s="1083"/>
      <c r="BJ174" s="1083"/>
      <c r="BK174" s="1083"/>
      <c r="BL174" s="1083"/>
      <c r="BM174" s="1083"/>
      <c r="BN174" s="1083"/>
      <c r="BO174" s="1083" t="s">
        <v>268</v>
      </c>
      <c r="BP174" s="1083"/>
      <c r="BQ174" s="1083"/>
      <c r="BR174" s="1083"/>
      <c r="BS174" s="1083"/>
      <c r="BT174" s="1083"/>
      <c r="BU174" s="1083"/>
      <c r="BV174" s="1083"/>
      <c r="BW174" s="1507"/>
      <c r="BX174" s="1077" t="s">
        <v>178</v>
      </c>
      <c r="BY174" s="1077" t="s">
        <v>280</v>
      </c>
      <c r="BZ174" s="1077" t="s">
        <v>281</v>
      </c>
    </row>
    <row customHeight="1" ht="89.7" hidden="1">
      <c r="B175" s="192">
        <f>NOT(FIRST_TIME_REG="")</f>
        <v>1</v>
      </c>
      <c r="E175" s="180">
        <v>92</v>
      </c>
      <c r="G175" s="175" cm="1" t="str">
        <f t="array" ref="G175:G175">G174</f>
        <v>0</v>
      </c>
      <c r="V175" s="753" cm="1" t="str">
        <f t="array" ref="V175:V175">V174</f>
        <v>false</v>
      </c>
      <c r="Y175" s="1072"/>
      <c r="AB175" s="54"/>
      <c r="AC175" s="55"/>
      <c r="AD175" s="264" t="s">
        <v>282</v>
      </c>
      <c r="AE175" s="268"/>
      <c r="AF175" s="1563"/>
      <c r="BF175" s="1077" cm="1" t="str">
        <f t="array" ref="BF175:BF175">BF174</f>
        <v>0</v>
      </c>
      <c r="BG175" s="1083"/>
      <c r="BH175" s="1083"/>
      <c r="BI175" s="1083"/>
      <c r="BJ175" s="1083" t="s">
        <v>283</v>
      </c>
      <c r="BK175" s="1083"/>
      <c r="BL175" s="1083"/>
      <c r="BM175" s="1083"/>
      <c r="BN175" s="1083"/>
      <c r="BO175" s="1083" t="s">
        <v>268</v>
      </c>
      <c r="BP175" s="1083"/>
      <c r="BQ175" s="1083"/>
      <c r="BR175" s="1083"/>
      <c r="BS175" s="1083"/>
      <c r="BT175" s="1083"/>
      <c r="BU175" s="1083"/>
      <c r="BV175" s="1083"/>
      <c r="BW175" s="1507"/>
      <c r="BX175" s="1077" t="s">
        <v>178</v>
      </c>
      <c r="BY175" s="1077" t="s">
        <v>284</v>
      </c>
      <c r="BZ175" s="1077" t="s">
        <v>285</v>
      </c>
    </row>
    <row customHeight="1" ht="26.25" hidden="1">
      <c r="B176" s="192">
        <f>NOT(FIRST_TIME_REG="")</f>
        <v>1</v>
      </c>
      <c r="E176" s="965">
        <v>0</v>
      </c>
      <c r="G176" s="175" cm="1" t="str">
        <f t="array" ref="G176:G176">G175</f>
        <v>0</v>
      </c>
      <c r="V176" s="753" t="b">
        <v>0</v>
      </c>
      <c r="Y176" s="1072"/>
      <c r="AB176" s="54"/>
      <c r="AC176" s="55"/>
      <c r="AD176" s="212" t="s">
        <v>286</v>
      </c>
      <c r="AE176" s="227"/>
      <c r="AF176" s="1563"/>
      <c r="BF176" s="1077" cm="1" t="str">
        <f t="array" ref="BF176:BF176">BF175</f>
        <v>0</v>
      </c>
      <c r="BG176" s="1083"/>
      <c r="BH176" s="1083"/>
      <c r="BI176" s="1083"/>
      <c r="BJ176" s="1083"/>
      <c r="BK176" s="1083"/>
      <c r="BL176" s="1083"/>
      <c r="BM176" s="1083"/>
      <c r="BN176" s="1083"/>
      <c r="BO176" s="1083" t="s">
        <v>268</v>
      </c>
      <c r="BP176" s="1083"/>
      <c r="BQ176" s="1083"/>
      <c r="BR176" s="1083"/>
      <c r="BS176" s="1083"/>
      <c r="BT176" s="1083"/>
      <c r="BU176" s="1083"/>
      <c r="BV176" s="1083"/>
      <c r="BW176" s="1507"/>
      <c r="BX176" s="1077"/>
      <c r="BY176" s="1077"/>
      <c r="BZ176" s="1077"/>
    </row>
    <row customHeight="1" ht="25.350000000000005" hidden="1">
      <c r="B177" s="192">
        <f>NOT(FIRST_TIME_REG="")</f>
        <v>1</v>
      </c>
      <c r="E177" s="180">
        <v>26</v>
      </c>
      <c r="G177" s="175" cm="1" t="str">
        <f t="array" ref="G177:G177">G176</f>
        <v>0</v>
      </c>
      <c r="V177" s="753" cm="1" t="str">
        <f t="array" ref="V177:V177">V175</f>
        <v>false</v>
      </c>
      <c r="Y177" s="1072"/>
      <c r="AB177" s="54"/>
      <c r="AC177" s="55"/>
      <c r="AD177" s="212" t="s">
        <v>287</v>
      </c>
      <c r="AE177" s="59"/>
      <c r="AF177" s="1563"/>
      <c r="BF177" s="1077" cm="1" t="str">
        <f t="array" ref="BF177:BF177">BF176</f>
        <v>0</v>
      </c>
      <c r="BG177" s="1083"/>
      <c r="BH177" s="1083"/>
      <c r="BI177" s="1083"/>
      <c r="BJ177" s="1083"/>
      <c r="BK177" s="1083"/>
      <c r="BL177" s="1083"/>
      <c r="BM177" s="1083"/>
      <c r="BN177" s="1083"/>
      <c r="BO177" s="1083" t="s">
        <v>268</v>
      </c>
      <c r="BP177" s="1083"/>
      <c r="BQ177" s="1083"/>
      <c r="BR177" s="1083" t="s">
        <v>288</v>
      </c>
      <c r="BS177" s="1083"/>
      <c r="BT177" s="1083"/>
      <c r="BU177" s="1083"/>
      <c r="BV177" s="1083"/>
      <c r="BW177" s="1507"/>
      <c r="BX177" s="1077"/>
      <c r="BY177" s="1077"/>
      <c r="BZ177" s="1077"/>
    </row>
    <row customHeight="1" ht="19.5" hidden="1">
      <c r="B178" s="192">
        <f>NOT(FIRST_TIME_REG="")</f>
        <v>1</v>
      </c>
      <c r="E178" s="180">
        <v>20</v>
      </c>
      <c r="G178" s="175" cm="1" t="str">
        <f t="array" ref="G178:G178">G177</f>
        <v>0</v>
      </c>
      <c r="V178" s="753" cm="1" t="str">
        <f t="array" ref="V178:V178">V177</f>
        <v>false</v>
      </c>
      <c r="Y178" s="1072"/>
      <c r="AB178" s="54"/>
      <c r="AC178" s="55"/>
      <c r="AD178" s="212" t="s">
        <v>289</v>
      </c>
      <c r="AE178" s="268"/>
      <c r="AF178" s="1563"/>
      <c r="BF178" s="1077" cm="1" t="str">
        <f t="array" ref="BF178:BF178">BF177</f>
        <v>0</v>
      </c>
      <c r="BG178" s="1083"/>
      <c r="BH178" s="1083"/>
      <c r="BI178" s="1083"/>
      <c r="BJ178" s="1083" t="s">
        <v>290</v>
      </c>
      <c r="BK178" s="1083"/>
      <c r="BL178" s="1083"/>
      <c r="BM178" s="1083"/>
      <c r="BN178" s="1083"/>
      <c r="BO178" s="1083" t="s">
        <v>268</v>
      </c>
      <c r="BP178" s="1083"/>
      <c r="BQ178" s="1083"/>
      <c r="BR178" s="1083"/>
      <c r="BS178" s="1083"/>
      <c r="BT178" s="1083"/>
      <c r="BU178" s="1083"/>
      <c r="BV178" s="1083"/>
      <c r="BW178" s="1507"/>
      <c r="BX178" s="1077" t="s">
        <v>178</v>
      </c>
      <c r="BY178" s="1077" t="s">
        <v>291</v>
      </c>
      <c r="BZ178" s="1077" t="s">
        <v>289</v>
      </c>
    </row>
    <row customHeight="1" ht="19.5" hidden="1">
      <c r="B179" s="192">
        <f>AND(org_declaration="Заявление организации",NOT(FIRST_TIME_REG=""))</f>
        <v>1</v>
      </c>
      <c r="E179" s="180">
        <v>20</v>
      </c>
      <c r="G179" s="175" cm="1" t="str">
        <f t="array" ref="G179:G179">G178</f>
        <v>0</v>
      </c>
      <c r="V179" s="753" cm="1" t="str">
        <f t="array" ref="V179:V179">V178</f>
        <v>false</v>
      </c>
      <c r="Y179" s="1072"/>
      <c r="AB179" s="54"/>
      <c r="AC179" s="55"/>
      <c r="AD179" s="264" t="s">
        <v>292</v>
      </c>
      <c r="AE179" s="60"/>
      <c r="AF179" s="1563"/>
      <c r="BF179" s="1077" cm="1" t="str">
        <f t="array" ref="BF179:BF179">BF178</f>
        <v>0</v>
      </c>
      <c r="BG179" s="1078"/>
      <c r="BH179" s="1078"/>
      <c r="BI179" s="1083"/>
      <c r="BJ179" s="1083"/>
      <c r="BK179" s="1083"/>
      <c r="BL179" s="1083"/>
      <c r="BM179" s="1083"/>
      <c r="BN179" s="1083"/>
      <c r="BO179" s="1083" t="s">
        <v>268</v>
      </c>
      <c r="BP179" s="1083"/>
      <c r="BQ179" s="1083"/>
      <c r="BR179" s="1083"/>
      <c r="BS179" s="1083" t="s">
        <v>293</v>
      </c>
      <c r="BT179" s="1083"/>
      <c r="BU179" s="1083"/>
      <c r="BV179" s="1083"/>
      <c r="BW179" s="1507"/>
      <c r="BX179" s="1077" t="s">
        <v>178</v>
      </c>
      <c r="BY179" s="1077" t="s">
        <v>294</v>
      </c>
      <c r="BZ179" s="1077" t="s">
        <v>292</v>
      </c>
    </row>
    <row customHeight="1" ht="19.5" hidden="1">
      <c r="B180" s="192">
        <f>AND(org_declaration="Заявление организации",NOT(FIRST_TIME_REG=""))</f>
        <v>1</v>
      </c>
      <c r="E180" s="180">
        <v>20</v>
      </c>
      <c r="G180" s="175" cm="1" t="str">
        <f t="array" ref="G180:G180">G179</f>
        <v>0</v>
      </c>
      <c r="V180" s="753" cm="1" t="str">
        <f t="array" ref="V180:V180">V179</f>
        <v>false</v>
      </c>
      <c r="Y180" s="1072"/>
      <c r="AB180" s="54"/>
      <c r="AC180" s="55"/>
      <c r="AD180" s="264" t="s">
        <v>295</v>
      </c>
      <c r="AE180" s="61"/>
      <c r="AF180" s="1563"/>
      <c r="BF180" s="1077" cm="1" t="str">
        <f t="array" ref="BF180:BF180">BF179</f>
        <v>0</v>
      </c>
      <c r="BG180" s="1083"/>
      <c r="BH180" s="1083"/>
      <c r="BI180" s="1083"/>
      <c r="BJ180" s="1083"/>
      <c r="BK180" s="1083"/>
      <c r="BL180" s="1083"/>
      <c r="BM180" s="1083"/>
      <c r="BN180" s="1083"/>
      <c r="BO180" s="1083" t="s">
        <v>268</v>
      </c>
      <c r="BP180" s="1083"/>
      <c r="BQ180" s="1083"/>
      <c r="BR180" s="1083"/>
      <c r="BS180" s="1083"/>
      <c r="BT180" s="1083"/>
      <c r="BU180" s="1083"/>
      <c r="BV180" s="1083"/>
      <c r="BW180" s="1507"/>
      <c r="BX180" s="1077" t="s">
        <v>178</v>
      </c>
      <c r="BY180" s="1077" t="s">
        <v>296</v>
      </c>
      <c r="BZ180" s="1077" t="s">
        <v>295</v>
      </c>
    </row>
    <row customHeight="1" ht="19.5" hidden="1">
      <c r="B181" s="192">
        <f>AND(org_declaration="Заявление организации",NOT(FIRST_TIME_REG=""))</f>
        <v>1</v>
      </c>
      <c r="E181" s="180">
        <v>20</v>
      </c>
      <c r="G181" s="175" cm="1" t="str">
        <f t="array" ref="G181:G181">G180</f>
        <v>0</v>
      </c>
      <c r="V181" s="753" cm="1" t="str">
        <f t="array" ref="V181:V181">V180</f>
        <v>false</v>
      </c>
      <c r="Y181" s="1072"/>
      <c r="AB181" s="54"/>
      <c r="AC181" s="55"/>
      <c r="AD181" s="264" t="s">
        <v>180</v>
      </c>
      <c r="AE181" s="60"/>
      <c r="AF181" s="1563"/>
      <c r="BF181" s="1077" cm="1" t="str">
        <f t="array" ref="BF181:BF181">BF180</f>
        <v>0</v>
      </c>
      <c r="BG181" s="1083"/>
      <c r="BH181" s="1083"/>
      <c r="BI181" s="1083"/>
      <c r="BJ181" s="1083"/>
      <c r="BK181" s="1083"/>
      <c r="BL181" s="1083"/>
      <c r="BM181" s="1083"/>
      <c r="BN181" s="1083"/>
      <c r="BO181" s="1083" t="s">
        <v>268</v>
      </c>
      <c r="BP181" s="1083"/>
      <c r="BQ181" s="1083"/>
      <c r="BR181" s="1083"/>
      <c r="BS181" s="1083"/>
      <c r="BT181" s="1083"/>
      <c r="BU181" s="1083"/>
      <c r="BV181" s="1083"/>
      <c r="BW181" s="1507"/>
      <c r="BX181" s="1077" t="s">
        <v>178</v>
      </c>
      <c r="BY181" s="1077" t="s">
        <v>278</v>
      </c>
      <c r="BZ181" s="1077" t="s">
        <v>180</v>
      </c>
    </row>
    <row customHeight="1" ht="19.5" hidden="1">
      <c r="B182" s="192">
        <f>AND(org_declaration="Заявление организации",NOT(FIRST_TIME_REG=""))</f>
        <v>1</v>
      </c>
      <c r="E182" s="180">
        <v>20</v>
      </c>
      <c r="G182" s="175" cm="1" t="str">
        <f t="array" ref="G182:G182">G181</f>
        <v>0</v>
      </c>
      <c r="V182" s="753" cm="1" t="str">
        <f t="array" ref="V182:V182">V181</f>
        <v>false</v>
      </c>
      <c r="Y182" s="1072"/>
      <c r="AB182" s="54"/>
      <c r="AC182" s="55"/>
      <c r="AD182" s="264" t="s">
        <v>297</v>
      </c>
      <c r="AE182" s="245" t="str">
        <f>IF(AE$24="","",DATE(AE$24,1,1))</f>
        <v>46388</v>
      </c>
      <c r="AF182" s="1563"/>
      <c r="BF182" s="1077" cm="1" t="str">
        <f t="array" ref="BF182:BF182">BF181</f>
        <v>0</v>
      </c>
      <c r="BG182" s="1083"/>
      <c r="BH182" s="1083"/>
      <c r="BI182" s="1083"/>
      <c r="BJ182" s="1083"/>
      <c r="BK182" s="1083"/>
      <c r="BL182" s="1083"/>
      <c r="BM182" s="1083"/>
      <c r="BN182" s="1083"/>
      <c r="BO182" s="1083" t="s">
        <v>268</v>
      </c>
      <c r="BP182" s="1083"/>
      <c r="BQ182" s="1083"/>
      <c r="BR182" s="1083"/>
      <c r="BS182" s="1083"/>
      <c r="BT182" s="1083"/>
      <c r="BU182" s="1083"/>
      <c r="BV182" s="1083"/>
      <c r="BW182" s="1507"/>
      <c r="BX182" s="1077" t="s">
        <v>178</v>
      </c>
      <c r="BY182" s="1077" t="s">
        <v>298</v>
      </c>
      <c r="BZ182" s="1077" t="s">
        <v>297</v>
      </c>
    </row>
    <row customHeight="1" ht="19.5" hidden="1">
      <c r="B183" s="192">
        <f>AND(org_declaration="Заявление организации",NOT(FIRST_TIME_REG=""))</f>
        <v>1</v>
      </c>
      <c r="E183" s="180">
        <v>20</v>
      </c>
      <c r="G183" s="175" cm="1" t="str">
        <f t="array" ref="G183:G183">G181</f>
        <v>0</v>
      </c>
      <c r="V183" s="753" cm="1" t="str">
        <f t="array" ref="V183:V183">V181</f>
        <v>false</v>
      </c>
      <c r="Y183" s="1072"/>
      <c r="AB183" s="54"/>
      <c r="AC183" s="55"/>
      <c r="AD183" s="264" t="s">
        <v>299</v>
      </c>
      <c r="AE183" s="62" cm="1" t="str">
        <f t="array" ref="AE183:AE183">IF(method_reg="","",method_reg)</f>
        <v>Метод индексации</v>
      </c>
      <c r="AF183" s="1563"/>
      <c r="BF183" s="1077" cm="1" t="str">
        <f t="array" ref="BF183:BF183">BF182</f>
        <v>0</v>
      </c>
      <c r="BG183" s="1083"/>
      <c r="BH183" s="1083"/>
      <c r="BI183" s="1083"/>
      <c r="BJ183" s="1083"/>
      <c r="BK183" s="1083"/>
      <c r="BL183" s="1083"/>
      <c r="BM183" s="1083"/>
      <c r="BN183" s="1083"/>
      <c r="BO183" s="1083" t="s">
        <v>268</v>
      </c>
      <c r="BP183" s="1083"/>
      <c r="BQ183" s="1083"/>
      <c r="BR183" s="1083"/>
      <c r="BS183" s="1083"/>
      <c r="BT183" s="1083" t="s">
        <v>300</v>
      </c>
      <c r="BU183" s="1083"/>
      <c r="BV183" s="1083"/>
      <c r="BW183" s="1507"/>
      <c r="BX183" s="1077" t="s">
        <v>178</v>
      </c>
      <c r="BY183" s="1077" t="s">
        <v>301</v>
      </c>
      <c r="BZ183" s="1077" t="s">
        <v>117</v>
      </c>
    </row>
    <row customHeight="1" ht="22.425" hidden="1">
      <c r="B184" s="192">
        <f>AND(org_declaration="Заявление организации",NOT(FIRST_TIME_REG=""))</f>
        <v>1</v>
      </c>
      <c r="E184" s="180">
        <v>23</v>
      </c>
      <c r="G184" s="175" cm="1" t="str">
        <f t="array" ref="G184:G184">G183</f>
        <v>0</v>
      </c>
      <c r="V184" s="753" cm="1" t="str">
        <f t="array" ref="V184:V184">V183</f>
        <v>false</v>
      </c>
      <c r="Y184" s="1072"/>
      <c r="AB184" s="54"/>
      <c r="AC184" s="55"/>
      <c r="AD184" s="212"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63" cm="1" t="str">
        <f t="array" ref="AE184:AE184">IF(first_year="","",first_year)</f>
        <v>2025</v>
      </c>
      <c r="AF184" s="1563"/>
      <c r="BF184" s="1077" cm="1" t="str">
        <f t="array" ref="BF184:BF184">BF183</f>
        <v>0</v>
      </c>
      <c r="BG184" s="1083"/>
      <c r="BH184" s="1083"/>
      <c r="BI184" s="1083" t="s">
        <v>302</v>
      </c>
      <c r="BJ184" s="1083"/>
      <c r="BK184" s="1083"/>
      <c r="BL184" s="1083"/>
      <c r="BM184" s="1083"/>
      <c r="BN184" s="1083"/>
      <c r="BO184" s="1083" t="s">
        <v>268</v>
      </c>
      <c r="BP184" s="1083"/>
      <c r="BQ184" s="1083"/>
      <c r="BR184" s="1083"/>
      <c r="BS184" s="1083"/>
      <c r="BT184" s="1083"/>
      <c r="BU184" s="1083"/>
      <c r="BV184" s="1083"/>
      <c r="BW184" s="1507"/>
      <c r="BX184" s="1077" t="s">
        <v>303</v>
      </c>
      <c r="BY184" s="1077" t="s">
        <v>304</v>
      </c>
      <c r="BZ184" s="1077" t="s">
        <v>305</v>
      </c>
    </row>
    <row customHeight="1" ht="19.5" hidden="1">
      <c r="B185" s="192">
        <f>AND(org_declaration="Заявление организации",NOT(FIRST_TIME_REG=""))</f>
        <v>1</v>
      </c>
      <c r="E185" s="180">
        <v>20</v>
      </c>
      <c r="G185" s="175" cm="1" t="str">
        <f t="array" ref="G185:G185">G184</f>
        <v>0</v>
      </c>
      <c r="V185" s="753" cm="1" t="str">
        <f t="array" ref="V185:V185">V184</f>
        <v>false</v>
      </c>
      <c r="Y185" s="1072"/>
      <c r="AB185" s="54"/>
      <c r="AC185" s="55"/>
      <c r="AD185" s="1003" t="s">
        <v>121</v>
      </c>
      <c r="AE185" s="64" cm="1" t="str">
        <f t="array" ref="AE185:AE185">IF(PERIOD_LENGTH="","",PERIOD_LENGTH)</f>
        <v>3</v>
      </c>
      <c r="AF185" s="1563"/>
      <c r="BF185" s="1077" cm="1" t="str">
        <f t="array" ref="BF185:BF185">BF184</f>
        <v>0</v>
      </c>
      <c r="BG185" s="1083"/>
      <c r="BH185" s="1083"/>
      <c r="BI185" s="1083" t="s">
        <v>306</v>
      </c>
      <c r="BJ185" s="1083"/>
      <c r="BK185" s="1083"/>
      <c r="BL185" s="1083"/>
      <c r="BM185" s="1083"/>
      <c r="BN185" s="1083"/>
      <c r="BO185" s="1083" t="s">
        <v>268</v>
      </c>
      <c r="BP185" s="1083"/>
      <c r="BQ185" s="1083"/>
      <c r="BR185" s="1083"/>
      <c r="BS185" s="1083"/>
      <c r="BT185" s="1083"/>
      <c r="BU185" s="1083"/>
      <c r="BV185" s="1083"/>
      <c r="BW185" s="1507"/>
      <c r="BX185" s="1077" t="s">
        <v>303</v>
      </c>
      <c r="BY185" s="1077" t="s">
        <v>307</v>
      </c>
      <c r="BZ185" s="1077" t="s">
        <v>119</v>
      </c>
    </row>
    <row s="1751" customFormat="1" customHeight="1" ht="19.5">
      <c r="A186" s="371"/>
      <c r="B186" s="192">
        <f>NOT(FIRST_TIME_REG="")</f>
        <v>1</v>
      </c>
      <c r="C186" s="1548"/>
      <c r="D186" s="1548"/>
      <c r="E186" s="180">
        <v>20</v>
      </c>
      <c r="F186" s="1659"/>
      <c r="G186" s="175" cm="1" t="str">
        <f t="array" ref="G186:G186">Y186</f>
        <v>1</v>
      </c>
      <c r="H186" s="1548"/>
      <c r="I186" s="1548"/>
      <c r="J186" s="1548"/>
      <c r="K186" s="1548"/>
      <c r="L186" s="1548"/>
      <c r="M186" s="1548"/>
      <c r="N186" s="1548"/>
      <c r="O186" s="1548"/>
      <c r="P186" s="1548"/>
      <c r="Q186" s="1548"/>
      <c r="R186" s="1548"/>
      <c r="S186" s="1548"/>
      <c r="T186" s="1548"/>
      <c r="U186" s="1548"/>
      <c r="V186" s="753">
        <f>Y186&gt;0</f>
        <v>1</v>
      </c>
      <c r="W186" s="176"/>
      <c r="X186" s="1548"/>
      <c r="Y186" s="1072" t="s">
        <v>308</v>
      </c>
      <c r="Z186" s="1548"/>
      <c r="AA186" s="1009"/>
      <c r="AB186" s="1800"/>
      <c r="AC186" s="1801"/>
      <c r="AD186" s="260" t="str">
        <f>"Тариф "&amp;Y186</f>
        <v>Тариф 1</v>
      </c>
      <c r="AE186" s="261" t="s">
        <v>267</v>
      </c>
      <c r="AF186" s="1562" t="s">
        <v>171</v>
      </c>
      <c r="AG186" s="1068" t="str">
        <f>AD186&amp;" ("&amp;AE186&amp;") - "&amp;AE188&amp;IF(AE194="",""," ("&amp;AE194&amp;")")</f>
        <v>Тариф 1 (Теплоснабжение) - Тариф на тепловую энергию (мощность), поставляемую потребителям (Доп. признак не требуется)</v>
      </c>
      <c r="AH186" s="1068" cm="1" t="str">
        <f t="array" ref="AH186:AH186">AE192</f>
        <v>0</v>
      </c>
      <c r="AI186" s="1068" cm="1" t="str">
        <f t="array" ref="AI186:AI186">AE189</f>
        <v>вода</v>
      </c>
      <c r="AJ186" s="1068" cm="1" t="str">
        <f t="array" ref="AJ186:AJ186">AE194</f>
        <v>Доп. признак не требуется</v>
      </c>
      <c r="AK186" s="1068" cm="1" t="str">
        <f t="array" ref="AK186:AK186">AE190</f>
        <v>одноставочный</v>
      </c>
      <c r="AL186" s="1079" cm="1" t="str">
        <f t="array" ref="AL186:AL186">AE191</f>
        <v>производство тепловой энергии (мощности) не в режиме комбинированной выработки электрической и тепловой энергии источниками тепловой энергии</v>
      </c>
      <c r="AM186" s="1068" cm="1" t="str">
        <f t="array" ref="AM186:AM186">AE188</f>
        <v>Тариф на тепловую энергию (мощность), поставляемую потребителям</v>
      </c>
      <c r="AN186" s="1068">
        <f>_xlfn.IFERROR(FIND("производство тепловой энергии (мощности) в режиме комбинированной выработки",AL186)&gt;0,FALSE)</f>
        <v>0</v>
      </c>
      <c r="AO186" s="1751"/>
      <c r="AP186" s="1751"/>
      <c r="AQ186" s="1751"/>
      <c r="AR186" s="1751"/>
      <c r="AS186" s="1751"/>
      <c r="AT186" s="1751"/>
      <c r="AU186" s="1751"/>
      <c r="AV186" s="1751"/>
      <c r="AW186" s="1751"/>
      <c r="AX186" s="1751"/>
      <c r="AY186" s="1751"/>
      <c r="AZ186" s="1751"/>
      <c r="BA186" s="1751"/>
      <c r="BB186" s="1751"/>
      <c r="BC186" s="1751"/>
      <c r="BD186" s="1751"/>
      <c r="BE186" s="1751"/>
      <c r="BF186" s="1084" cm="1" t="str">
        <f t="array" ref="BF186:BF186">$AE187</f>
        <v>ТЭ.42.31656254.0001</v>
      </c>
      <c r="BG186" s="1083"/>
      <c r="BH186" s="1083"/>
      <c r="BI186" s="1083"/>
      <c r="BJ186" s="1083"/>
      <c r="BK186" s="1083"/>
      <c r="BL186" s="1083"/>
      <c r="BM186" s="1083"/>
      <c r="BN186" s="1083"/>
      <c r="BO186" s="1083" t="s">
        <v>268</v>
      </c>
      <c r="BP186" s="1083"/>
      <c r="BQ186" s="1083"/>
      <c r="BR186" s="1083"/>
      <c r="BS186" s="1083"/>
      <c r="BT186" s="1083"/>
      <c r="BU186" s="1083"/>
      <c r="BV186" s="1083"/>
      <c r="BW186" s="1507"/>
      <c r="BX186" s="1077" t="s">
        <v>178</v>
      </c>
      <c r="BY186" s="1077" t="s">
        <v>269</v>
      </c>
      <c r="BZ186" s="1077" t="s">
        <v>270</v>
      </c>
    </row>
    <row s="1751" customFormat="1" customHeight="1" ht="19.5">
      <c r="A187" s="371"/>
      <c r="B187" s="192">
        <f>NOT(FIRST_TIME_REG="")</f>
        <v>1</v>
      </c>
      <c r="C187" s="1548"/>
      <c r="D187" s="1548"/>
      <c r="E187" s="180">
        <v>20</v>
      </c>
      <c r="F187" s="1659"/>
      <c r="G187" s="175" cm="1" t="str">
        <f t="array" ref="G187:G187">G186</f>
        <v>1</v>
      </c>
      <c r="H187" s="1548"/>
      <c r="I187" s="1548"/>
      <c r="J187" s="1548"/>
      <c r="K187" s="1548"/>
      <c r="L187" s="1548"/>
      <c r="M187" s="1548"/>
      <c r="N187" s="1072" cm="1" t="str">
        <f t="array" ref="N187:N187">AE187</f>
        <v>ТЭ.42.31656254.0001</v>
      </c>
      <c r="O187" s="1548"/>
      <c r="P187" s="1548"/>
      <c r="Q187" s="1548"/>
      <c r="R187" s="1548"/>
      <c r="S187" s="1548"/>
      <c r="T187" s="1548"/>
      <c r="U187" s="1548"/>
      <c r="V187" s="753" cm="1" t="str">
        <f t="array" ref="V187:V187">V186</f>
        <v>true</v>
      </c>
      <c r="W187" s="1548"/>
      <c r="X187" s="1548"/>
      <c r="Y187" s="1072"/>
      <c r="Z187" s="1548"/>
      <c r="AA187" s="1009"/>
      <c r="AB187" s="1800"/>
      <c r="AC187" s="1801"/>
      <c r="AD187" s="264" t="s">
        <v>271</v>
      </c>
      <c r="AE187" s="218" t="s">
        <v>265</v>
      </c>
      <c r="AF187" s="1563"/>
      <c r="AG187" s="1659"/>
      <c r="AH187" s="1659"/>
      <c r="AI187" s="1659"/>
      <c r="AJ187" s="1659"/>
      <c r="AK187" s="1659"/>
      <c r="AL187" s="1659"/>
      <c r="AM187" s="1659"/>
      <c r="AN187" s="1659"/>
      <c r="AO187" s="1751"/>
      <c r="AP187" s="1751"/>
      <c r="AQ187" s="1751"/>
      <c r="AR187" s="1751"/>
      <c r="AS187" s="1751"/>
      <c r="AT187" s="1751"/>
      <c r="AU187" s="1751"/>
      <c r="AV187" s="1751"/>
      <c r="AW187" s="1751"/>
      <c r="AX187" s="1751"/>
      <c r="AY187" s="1751"/>
      <c r="AZ187" s="1751"/>
      <c r="BA187" s="1751"/>
      <c r="BB187" s="1751"/>
      <c r="BC187" s="1751"/>
      <c r="BD187" s="1751"/>
      <c r="BE187" s="1751"/>
      <c r="BF187" s="1077" cm="1" t="str">
        <f t="array" ref="BF187:BF187">BF186</f>
        <v>ТЭ.42.31656254.0001</v>
      </c>
      <c r="BG187" s="1083"/>
      <c r="BH187" s="1083"/>
      <c r="BI187" s="1083"/>
      <c r="BJ187" s="1083"/>
      <c r="BK187" s="1083"/>
      <c r="BL187" s="1083"/>
      <c r="BM187" s="1083"/>
      <c r="BN187" s="1083"/>
      <c r="BO187" s="1083" t="s">
        <v>268</v>
      </c>
      <c r="BP187" s="1083"/>
      <c r="BQ187" s="1083"/>
      <c r="BR187" s="1083"/>
      <c r="BS187" s="1083"/>
      <c r="BT187" s="1083"/>
      <c r="BU187" s="1083"/>
      <c r="BV187" s="1083"/>
      <c r="BW187" s="1507"/>
      <c r="BX187" s="1077" t="s">
        <v>178</v>
      </c>
      <c r="BY187" s="1077" t="s">
        <v>272</v>
      </c>
      <c r="BZ187" s="1077" t="s">
        <v>273</v>
      </c>
    </row>
    <row s="1751" customFormat="1" customHeight="1" ht="29.25">
      <c r="A188" s="371"/>
      <c r="B188" s="192">
        <f>NOT(FIRST_TIME_REG="")</f>
        <v>1</v>
      </c>
      <c r="C188" s="1548"/>
      <c r="D188" s="1548"/>
      <c r="E188" s="180">
        <v>30</v>
      </c>
      <c r="F188" s="1659"/>
      <c r="G188" s="175" cm="1" t="str">
        <f t="array" ref="G188:G188">G187</f>
        <v>1</v>
      </c>
      <c r="H188" s="1548"/>
      <c r="I188" s="1548"/>
      <c r="J188" s="1548"/>
      <c r="K188" s="1548"/>
      <c r="L188" s="1548"/>
      <c r="M188" s="1548"/>
      <c r="N188" s="1548"/>
      <c r="O188" s="1548"/>
      <c r="P188" s="1548"/>
      <c r="Q188" s="1548"/>
      <c r="R188" s="1548"/>
      <c r="S188" s="1548"/>
      <c r="T188" s="1548"/>
      <c r="U188" s="1548"/>
      <c r="V188" s="753" cm="1" t="str">
        <f t="array" ref="V188:V188">V187</f>
        <v>true</v>
      </c>
      <c r="W188" s="1548"/>
      <c r="X188" s="1548"/>
      <c r="Y188" s="1072"/>
      <c r="Z188" s="1548"/>
      <c r="AA188" s="1009"/>
      <c r="AB188" s="1800"/>
      <c r="AC188" s="1801"/>
      <c r="AD188" s="264" t="s">
        <v>274</v>
      </c>
      <c r="AE188" s="1802" t="s">
        <v>309</v>
      </c>
      <c r="AF188" s="1563"/>
      <c r="AG188" s="1659"/>
      <c r="AH188" s="1659"/>
      <c r="AI188" s="1659"/>
      <c r="AJ188" s="1659"/>
      <c r="AK188" s="1659"/>
      <c r="AL188" s="1659"/>
      <c r="AM188" s="1659"/>
      <c r="AN188" s="1659"/>
      <c r="AO188" s="1751"/>
      <c r="AP188" s="1751"/>
      <c r="AQ188" s="1751"/>
      <c r="AR188" s="1751"/>
      <c r="AS188" s="1751"/>
      <c r="AT188" s="1751"/>
      <c r="AU188" s="1751"/>
      <c r="AV188" s="1751"/>
      <c r="AW188" s="1751"/>
      <c r="AX188" s="1751"/>
      <c r="AY188" s="1751"/>
      <c r="AZ188" s="1751"/>
      <c r="BA188" s="1751"/>
      <c r="BB188" s="1751"/>
      <c r="BC188" s="1751"/>
      <c r="BD188" s="1751"/>
      <c r="BE188" s="1751"/>
      <c r="BF188" s="1077" cm="1" t="str">
        <f t="array" ref="BF188:BF188">BF187</f>
        <v>ТЭ.42.31656254.0001</v>
      </c>
      <c r="BG188" s="1083"/>
      <c r="BH188" s="1083"/>
      <c r="BI188" s="1083"/>
      <c r="BJ188" s="1083"/>
      <c r="BK188" s="1083"/>
      <c r="BL188" s="1083"/>
      <c r="BM188" s="1083"/>
      <c r="BN188" s="1083"/>
      <c r="BO188" s="1083" t="s">
        <v>268</v>
      </c>
      <c r="BP188" s="1083" t="s">
        <v>275</v>
      </c>
      <c r="BQ188" s="1083"/>
      <c r="BR188" s="1083"/>
      <c r="BS188" s="1083"/>
      <c r="BT188" s="1083"/>
      <c r="BU188" s="1083"/>
      <c r="BV188" s="1083"/>
      <c r="BW188" s="1507"/>
      <c r="BX188" s="1077" t="s">
        <v>178</v>
      </c>
      <c r="BY188" s="1077" t="s">
        <v>269</v>
      </c>
      <c r="BZ188" s="1077" t="s">
        <v>270</v>
      </c>
    </row>
    <row s="1751" customFormat="1" customHeight="1" ht="19.5">
      <c r="A189" s="371"/>
      <c r="B189" s="192">
        <f>NOT(FIRST_TIME_REG="")</f>
        <v>1</v>
      </c>
      <c r="C189" s="1548"/>
      <c r="D189" s="1548"/>
      <c r="E189" s="180">
        <v>20</v>
      </c>
      <c r="F189" s="1659"/>
      <c r="G189" s="175" cm="1" t="str">
        <f t="array" ref="G189:G189">G188</f>
        <v>1</v>
      </c>
      <c r="H189" s="1548"/>
      <c r="I189" s="1548"/>
      <c r="J189" s="1548"/>
      <c r="K189" s="1548"/>
      <c r="L189" s="1548"/>
      <c r="M189" s="1548"/>
      <c r="N189" s="1548"/>
      <c r="O189" s="1548"/>
      <c r="P189" s="1548"/>
      <c r="Q189" s="1548"/>
      <c r="R189" s="1548"/>
      <c r="S189" s="1548"/>
      <c r="T189" s="1548"/>
      <c r="U189" s="1548"/>
      <c r="V189" s="753" cm="1" t="str">
        <f t="array" ref="V189:V189">V188</f>
        <v>true</v>
      </c>
      <c r="W189" s="1548"/>
      <c r="X189" s="1548"/>
      <c r="Y189" s="1072"/>
      <c r="Z189" s="1548"/>
      <c r="AA189" s="1009"/>
      <c r="AB189" s="1800"/>
      <c r="AC189" s="1801"/>
      <c r="AD189" s="264" t="s">
        <v>276</v>
      </c>
      <c r="AE189" s="1803" t="s">
        <v>310</v>
      </c>
      <c r="AF189" s="1563"/>
      <c r="AG189" s="1659"/>
      <c r="AH189" s="1659"/>
      <c r="AI189" s="1659"/>
      <c r="AJ189" s="1659"/>
      <c r="AK189" s="1659"/>
      <c r="AL189" s="1659"/>
      <c r="AM189" s="1659"/>
      <c r="AN189" s="1659"/>
      <c r="AO189" s="1751"/>
      <c r="AP189" s="1751"/>
      <c r="AQ189" s="1751"/>
      <c r="AR189" s="1751"/>
      <c r="AS189" s="1751"/>
      <c r="AT189" s="1751"/>
      <c r="AU189" s="1751"/>
      <c r="AV189" s="1751"/>
      <c r="AW189" s="1751"/>
      <c r="AX189" s="1751"/>
      <c r="AY189" s="1751"/>
      <c r="AZ189" s="1751"/>
      <c r="BA189" s="1751"/>
      <c r="BB189" s="1751"/>
      <c r="BC189" s="1751"/>
      <c r="BD189" s="1751"/>
      <c r="BE189" s="1751"/>
      <c r="BF189" s="1077" cm="1" t="str">
        <f t="array" ref="BF189:BF189">BF188</f>
        <v>ТЭ.42.31656254.0001</v>
      </c>
      <c r="BG189" s="1083"/>
      <c r="BH189" s="1083"/>
      <c r="BI189" s="1083"/>
      <c r="BJ189" s="1083"/>
      <c r="BK189" s="1083"/>
      <c r="BL189" s="1083"/>
      <c r="BM189" s="1083"/>
      <c r="BN189" s="1083"/>
      <c r="BO189" s="1083" t="s">
        <v>268</v>
      </c>
      <c r="BP189" s="1083"/>
      <c r="BQ189" s="1083" t="s">
        <v>277</v>
      </c>
      <c r="BR189" s="1083"/>
      <c r="BS189" s="1083"/>
      <c r="BT189" s="1083"/>
      <c r="BU189" s="1083"/>
      <c r="BV189" s="1083"/>
      <c r="BW189" s="1507"/>
      <c r="BX189" s="1077" t="s">
        <v>178</v>
      </c>
      <c r="BY189" s="1077" t="s">
        <v>278</v>
      </c>
      <c r="BZ189" s="1077" t="s">
        <v>180</v>
      </c>
    </row>
    <row s="1751" customFormat="1" customHeight="1" ht="19.5">
      <c r="A190" s="371"/>
      <c r="B190" s="192">
        <f>NOT(FIRST_TIME_REG="")</f>
        <v>1</v>
      </c>
      <c r="C190" s="1548"/>
      <c r="D190" s="1548"/>
      <c r="E190" s="180">
        <v>20</v>
      </c>
      <c r="F190" s="1659"/>
      <c r="G190" s="175" cm="1" t="str">
        <f t="array" ref="G190:G190">G189</f>
        <v>1</v>
      </c>
      <c r="H190" s="1548"/>
      <c r="I190" s="1548"/>
      <c r="J190" s="1548"/>
      <c r="K190" s="1548"/>
      <c r="L190" s="1548"/>
      <c r="M190" s="1548"/>
      <c r="N190" s="1548"/>
      <c r="O190" s="1548"/>
      <c r="P190" s="1548"/>
      <c r="Q190" s="1548"/>
      <c r="R190" s="1548"/>
      <c r="S190" s="1548"/>
      <c r="T190" s="1548"/>
      <c r="U190" s="1548"/>
      <c r="V190" s="753" cm="1" t="str">
        <f t="array" ref="V190:V190">V189</f>
        <v>true</v>
      </c>
      <c r="W190" s="1548"/>
      <c r="X190" s="1548"/>
      <c r="Y190" s="1072"/>
      <c r="Z190" s="1548"/>
      <c r="AA190" s="1009"/>
      <c r="AB190" s="1800"/>
      <c r="AC190" s="1801"/>
      <c r="AD190" s="264" t="s">
        <v>279</v>
      </c>
      <c r="AE190" s="1804" t="s">
        <v>311</v>
      </c>
      <c r="AF190" s="1563"/>
      <c r="AG190" s="1659"/>
      <c r="AH190" s="1659"/>
      <c r="AI190" s="1659"/>
      <c r="AJ190" s="1659"/>
      <c r="AK190" s="1659"/>
      <c r="AL190" s="1659"/>
      <c r="AM190" s="1659"/>
      <c r="AN190" s="1659"/>
      <c r="AO190" s="1751"/>
      <c r="AP190" s="1751"/>
      <c r="AQ190" s="1751"/>
      <c r="AR190" s="1751"/>
      <c r="AS190" s="1751"/>
      <c r="AT190" s="1751"/>
      <c r="AU190" s="1751"/>
      <c r="AV190" s="1751"/>
      <c r="AW190" s="1751"/>
      <c r="AX190" s="1751"/>
      <c r="AY190" s="1751"/>
      <c r="AZ190" s="1751"/>
      <c r="BA190" s="1751"/>
      <c r="BB190" s="1751"/>
      <c r="BC190" s="1751"/>
      <c r="BD190" s="1751"/>
      <c r="BE190" s="1751"/>
      <c r="BF190" s="1077" cm="1" t="str">
        <f t="array" ref="BF190:BF190">BF189</f>
        <v>ТЭ.42.31656254.0001</v>
      </c>
      <c r="BG190" s="1083"/>
      <c r="BH190" s="1083"/>
      <c r="BI190" s="1083"/>
      <c r="BJ190" s="1083"/>
      <c r="BK190" s="1083"/>
      <c r="BL190" s="1083"/>
      <c r="BM190" s="1083"/>
      <c r="BN190" s="1083"/>
      <c r="BO190" s="1083" t="s">
        <v>268</v>
      </c>
      <c r="BP190" s="1083"/>
      <c r="BQ190" s="1083"/>
      <c r="BR190" s="1083"/>
      <c r="BS190" s="1083"/>
      <c r="BT190" s="1083"/>
      <c r="BU190" s="1083"/>
      <c r="BV190" s="1083"/>
      <c r="BW190" s="1507"/>
      <c r="BX190" s="1077" t="s">
        <v>178</v>
      </c>
      <c r="BY190" s="1077" t="s">
        <v>280</v>
      </c>
      <c r="BZ190" s="1077" t="s">
        <v>281</v>
      </c>
    </row>
    <row s="1751" customFormat="1" customHeight="1" ht="89.25">
      <c r="A191" s="371"/>
      <c r="B191" s="192">
        <f>NOT(FIRST_TIME_REG="")</f>
        <v>1</v>
      </c>
      <c r="C191" s="1548"/>
      <c r="D191" s="1548"/>
      <c r="E191" s="180">
        <v>92</v>
      </c>
      <c r="F191" s="1659"/>
      <c r="G191" s="175" cm="1" t="str">
        <f t="array" ref="G191:G191">G190</f>
        <v>1</v>
      </c>
      <c r="H191" s="1548"/>
      <c r="I191" s="1548"/>
      <c r="J191" s="1548"/>
      <c r="K191" s="1548"/>
      <c r="L191" s="1548"/>
      <c r="M191" s="1548"/>
      <c r="N191" s="1548"/>
      <c r="O191" s="1548"/>
      <c r="P191" s="1548"/>
      <c r="Q191" s="1548"/>
      <c r="R191" s="1548"/>
      <c r="S191" s="1548"/>
      <c r="T191" s="1548"/>
      <c r="U191" s="1548"/>
      <c r="V191" s="753" cm="1" t="str">
        <f t="array" ref="V191:V191">V190</f>
        <v>true</v>
      </c>
      <c r="W191" s="1548"/>
      <c r="X191" s="1548"/>
      <c r="Y191" s="1072"/>
      <c r="Z191" s="1548"/>
      <c r="AA191" s="1009"/>
      <c r="AB191" s="1800"/>
      <c r="AC191" s="1801"/>
      <c r="AD191" s="264" t="s">
        <v>282</v>
      </c>
      <c r="AE191" s="268" t="s">
        <v>312</v>
      </c>
      <c r="AF191" s="1563"/>
      <c r="AG191" s="1659"/>
      <c r="AH191" s="1659"/>
      <c r="AI191" s="1659"/>
      <c r="AJ191" s="1659"/>
      <c r="AK191" s="1659"/>
      <c r="AL191" s="1659"/>
      <c r="AM191" s="1659"/>
      <c r="AN191" s="1659"/>
      <c r="AO191" s="1751"/>
      <c r="AP191" s="1751"/>
      <c r="AQ191" s="1751"/>
      <c r="AR191" s="1751"/>
      <c r="AS191" s="1751"/>
      <c r="AT191" s="1751"/>
      <c r="AU191" s="1751"/>
      <c r="AV191" s="1751"/>
      <c r="AW191" s="1751"/>
      <c r="AX191" s="1751"/>
      <c r="AY191" s="1751"/>
      <c r="AZ191" s="1751"/>
      <c r="BA191" s="1751"/>
      <c r="BB191" s="1751"/>
      <c r="BC191" s="1751"/>
      <c r="BD191" s="1751"/>
      <c r="BE191" s="1751"/>
      <c r="BF191" s="1077" cm="1" t="str">
        <f t="array" ref="BF191:BF191">BF190</f>
        <v>ТЭ.42.31656254.0001</v>
      </c>
      <c r="BG191" s="1083"/>
      <c r="BH191" s="1083"/>
      <c r="BI191" s="1083"/>
      <c r="BJ191" s="1083" t="s">
        <v>283</v>
      </c>
      <c r="BK191" s="1083"/>
      <c r="BL191" s="1083"/>
      <c r="BM191" s="1083"/>
      <c r="BN191" s="1083"/>
      <c r="BO191" s="1083" t="s">
        <v>268</v>
      </c>
      <c r="BP191" s="1083"/>
      <c r="BQ191" s="1083"/>
      <c r="BR191" s="1083"/>
      <c r="BS191" s="1083"/>
      <c r="BT191" s="1083"/>
      <c r="BU191" s="1083"/>
      <c r="BV191" s="1083"/>
      <c r="BW191" s="1507"/>
      <c r="BX191" s="1077" t="s">
        <v>178</v>
      </c>
      <c r="BY191" s="1077" t="s">
        <v>284</v>
      </c>
      <c r="BZ191" s="1077" t="s">
        <v>285</v>
      </c>
    </row>
    <row s="1751" customFormat="1" customHeight="1" ht="26.25" hidden="1">
      <c r="A192" s="371"/>
      <c r="B192" s="192">
        <f>NOT(FIRST_TIME_REG="")</f>
        <v>1</v>
      </c>
      <c r="C192" s="1548"/>
      <c r="D192" s="1548"/>
      <c r="E192" s="965">
        <v>0</v>
      </c>
      <c r="F192" s="1659"/>
      <c r="G192" s="175" cm="1" t="str">
        <f t="array" ref="G192:G192">G191</f>
        <v>1</v>
      </c>
      <c r="H192" s="1548"/>
      <c r="I192" s="1548"/>
      <c r="J192" s="1548"/>
      <c r="K192" s="1548"/>
      <c r="L192" s="1548"/>
      <c r="M192" s="1548"/>
      <c r="N192" s="1548"/>
      <c r="O192" s="1548"/>
      <c r="P192" s="1548"/>
      <c r="Q192" s="1548"/>
      <c r="R192" s="1548"/>
      <c r="S192" s="1548"/>
      <c r="T192" s="1548"/>
      <c r="U192" s="1548"/>
      <c r="V192" s="753" t="b">
        <v>0</v>
      </c>
      <c r="W192" s="1548"/>
      <c r="X192" s="1548"/>
      <c r="Y192" s="1072"/>
      <c r="Z192" s="1548"/>
      <c r="AA192" s="1009"/>
      <c r="AB192" s="54"/>
      <c r="AC192" s="55"/>
      <c r="AD192" s="212" t="s">
        <v>286</v>
      </c>
      <c r="AE192" s="227"/>
      <c r="AF192" s="1563"/>
      <c r="AG192" s="1659"/>
      <c r="AH192" s="1659"/>
      <c r="AI192" s="1659"/>
      <c r="AJ192" s="1659"/>
      <c r="AK192" s="1659"/>
      <c r="AL192" s="1659"/>
      <c r="AM192" s="1659"/>
      <c r="AN192" s="1659"/>
      <c r="AO192" s="1751"/>
      <c r="AP192" s="1751"/>
      <c r="AQ192" s="1751"/>
      <c r="AR192" s="1751"/>
      <c r="AS192" s="1751"/>
      <c r="AT192" s="1751"/>
      <c r="AU192" s="1751"/>
      <c r="AV192" s="1751"/>
      <c r="AW192" s="1751"/>
      <c r="AX192" s="1751"/>
      <c r="AY192" s="1751"/>
      <c r="AZ192" s="1751"/>
      <c r="BA192" s="1751"/>
      <c r="BB192" s="1751"/>
      <c r="BC192" s="1751"/>
      <c r="BD192" s="1751"/>
      <c r="BE192" s="1751"/>
      <c r="BF192" s="1077" cm="1" t="str">
        <f t="array" ref="BF192:BF192">BF191</f>
        <v>ТЭ.42.31656254.0001</v>
      </c>
      <c r="BG192" s="1083"/>
      <c r="BH192" s="1083"/>
      <c r="BI192" s="1083"/>
      <c r="BJ192" s="1083"/>
      <c r="BK192" s="1083"/>
      <c r="BL192" s="1083"/>
      <c r="BM192" s="1083"/>
      <c r="BN192" s="1083"/>
      <c r="BO192" s="1083" t="s">
        <v>268</v>
      </c>
      <c r="BP192" s="1083"/>
      <c r="BQ192" s="1083"/>
      <c r="BR192" s="1083"/>
      <c r="BS192" s="1083"/>
      <c r="BT192" s="1083"/>
      <c r="BU192" s="1083"/>
      <c r="BV192" s="1083"/>
      <c r="BW192" s="1507"/>
      <c r="BX192" s="1077"/>
      <c r="BY192" s="1077"/>
      <c r="BZ192" s="1077"/>
    </row>
    <row s="1751" customFormat="1" customHeight="1" ht="24.75">
      <c r="A193" s="371"/>
      <c r="B193" s="192">
        <f>NOT(FIRST_TIME_REG="")</f>
        <v>1</v>
      </c>
      <c r="C193" s="1548"/>
      <c r="D193" s="1548"/>
      <c r="E193" s="180">
        <v>26</v>
      </c>
      <c r="F193" s="1659"/>
      <c r="G193" s="175" cm="1" t="str">
        <f t="array" ref="G193:G193">G192</f>
        <v>1</v>
      </c>
      <c r="H193" s="1548"/>
      <c r="I193" s="1548"/>
      <c r="J193" s="1548"/>
      <c r="K193" s="1548"/>
      <c r="L193" s="1548"/>
      <c r="M193" s="1548"/>
      <c r="N193" s="1548"/>
      <c r="O193" s="1548"/>
      <c r="P193" s="1548"/>
      <c r="Q193" s="1548"/>
      <c r="R193" s="1548"/>
      <c r="S193" s="1548"/>
      <c r="T193" s="1548"/>
      <c r="U193" s="1548"/>
      <c r="V193" s="753" cm="1" t="str">
        <f t="array" ref="V193:V193">V191</f>
        <v>true</v>
      </c>
      <c r="W193" s="1548"/>
      <c r="X193" s="1548"/>
      <c r="Y193" s="1072"/>
      <c r="Z193" s="1548"/>
      <c r="AA193" s="1009"/>
      <c r="AB193" s="1800"/>
      <c r="AC193" s="1801"/>
      <c r="AD193" s="212" t="s">
        <v>287</v>
      </c>
      <c r="AE193" s="1805"/>
      <c r="AF193" s="1563"/>
      <c r="AG193" s="1659"/>
      <c r="AH193" s="1659"/>
      <c r="AI193" s="1659"/>
      <c r="AJ193" s="1659"/>
      <c r="AK193" s="1659"/>
      <c r="AL193" s="1659"/>
      <c r="AM193" s="1659"/>
      <c r="AN193" s="1659"/>
      <c r="AO193" s="1751"/>
      <c r="AP193" s="1751"/>
      <c r="AQ193" s="1751"/>
      <c r="AR193" s="1751"/>
      <c r="AS193" s="1751"/>
      <c r="AT193" s="1751"/>
      <c r="AU193" s="1751"/>
      <c r="AV193" s="1751"/>
      <c r="AW193" s="1751"/>
      <c r="AX193" s="1751"/>
      <c r="AY193" s="1751"/>
      <c r="AZ193" s="1751"/>
      <c r="BA193" s="1751"/>
      <c r="BB193" s="1751"/>
      <c r="BC193" s="1751"/>
      <c r="BD193" s="1751"/>
      <c r="BE193" s="1751"/>
      <c r="BF193" s="1077" cm="1" t="str">
        <f t="array" ref="BF193:BF193">BF192</f>
        <v>ТЭ.42.31656254.0001</v>
      </c>
      <c r="BG193" s="1083"/>
      <c r="BH193" s="1083"/>
      <c r="BI193" s="1083"/>
      <c r="BJ193" s="1083"/>
      <c r="BK193" s="1083"/>
      <c r="BL193" s="1083"/>
      <c r="BM193" s="1083"/>
      <c r="BN193" s="1083"/>
      <c r="BO193" s="1083" t="s">
        <v>268</v>
      </c>
      <c r="BP193" s="1083"/>
      <c r="BQ193" s="1083"/>
      <c r="BR193" s="1083" t="s">
        <v>288</v>
      </c>
      <c r="BS193" s="1083"/>
      <c r="BT193" s="1083"/>
      <c r="BU193" s="1083"/>
      <c r="BV193" s="1083"/>
      <c r="BW193" s="1507"/>
      <c r="BX193" s="1077"/>
      <c r="BY193" s="1077"/>
      <c r="BZ193" s="1077"/>
    </row>
    <row s="1751" customFormat="1" customHeight="1" ht="19.5">
      <c r="A194" s="371"/>
      <c r="B194" s="192">
        <f>NOT(FIRST_TIME_REG="")</f>
        <v>1</v>
      </c>
      <c r="C194" s="1548"/>
      <c r="D194" s="1548"/>
      <c r="E194" s="180">
        <v>20</v>
      </c>
      <c r="F194" s="1659"/>
      <c r="G194" s="175" cm="1" t="str">
        <f t="array" ref="G194:G194">G193</f>
        <v>1</v>
      </c>
      <c r="H194" s="1548"/>
      <c r="I194" s="1548"/>
      <c r="J194" s="1548"/>
      <c r="K194" s="1548"/>
      <c r="L194" s="1548"/>
      <c r="M194" s="1548"/>
      <c r="N194" s="1548"/>
      <c r="O194" s="1548"/>
      <c r="P194" s="1548"/>
      <c r="Q194" s="1548"/>
      <c r="R194" s="1548"/>
      <c r="S194" s="1548"/>
      <c r="T194" s="1548"/>
      <c r="U194" s="1548"/>
      <c r="V194" s="753" cm="1" t="str">
        <f t="array" ref="V194:V194">V193</f>
        <v>true</v>
      </c>
      <c r="W194" s="1548"/>
      <c r="X194" s="1548"/>
      <c r="Y194" s="1072"/>
      <c r="Z194" s="1548"/>
      <c r="AA194" s="1009"/>
      <c r="AB194" s="1800"/>
      <c r="AC194" s="1801"/>
      <c r="AD194" s="212" t="s">
        <v>289</v>
      </c>
      <c r="AE194" s="268" t="s">
        <v>313</v>
      </c>
      <c r="AF194" s="1563"/>
      <c r="AG194" s="1659"/>
      <c r="AH194" s="1659"/>
      <c r="AI194" s="1659"/>
      <c r="AJ194" s="1659"/>
      <c r="AK194" s="1659"/>
      <c r="AL194" s="1659"/>
      <c r="AM194" s="1659"/>
      <c r="AN194" s="1659"/>
      <c r="AO194" s="1751"/>
      <c r="AP194" s="1751"/>
      <c r="AQ194" s="1751"/>
      <c r="AR194" s="1751"/>
      <c r="AS194" s="1751"/>
      <c r="AT194" s="1751"/>
      <c r="AU194" s="1751"/>
      <c r="AV194" s="1751"/>
      <c r="AW194" s="1751"/>
      <c r="AX194" s="1751"/>
      <c r="AY194" s="1751"/>
      <c r="AZ194" s="1751"/>
      <c r="BA194" s="1751"/>
      <c r="BB194" s="1751"/>
      <c r="BC194" s="1751"/>
      <c r="BD194" s="1751"/>
      <c r="BE194" s="1751"/>
      <c r="BF194" s="1077" cm="1" t="str">
        <f t="array" ref="BF194:BF194">BF193</f>
        <v>ТЭ.42.31656254.0001</v>
      </c>
      <c r="BG194" s="1083"/>
      <c r="BH194" s="1083"/>
      <c r="BI194" s="1083"/>
      <c r="BJ194" s="1083" t="s">
        <v>290</v>
      </c>
      <c r="BK194" s="1083"/>
      <c r="BL194" s="1083"/>
      <c r="BM194" s="1083"/>
      <c r="BN194" s="1083"/>
      <c r="BO194" s="1083" t="s">
        <v>268</v>
      </c>
      <c r="BP194" s="1083"/>
      <c r="BQ194" s="1083"/>
      <c r="BR194" s="1083"/>
      <c r="BS194" s="1083"/>
      <c r="BT194" s="1083"/>
      <c r="BU194" s="1083"/>
      <c r="BV194" s="1083"/>
      <c r="BW194" s="1507"/>
      <c r="BX194" s="1077" t="s">
        <v>178</v>
      </c>
      <c r="BY194" s="1077" t="s">
        <v>291</v>
      </c>
      <c r="BZ194" s="1077" t="s">
        <v>289</v>
      </c>
    </row>
    <row s="1751" customFormat="1" customHeight="1" ht="19.5">
      <c r="A195" s="371"/>
      <c r="B195" s="192">
        <f>AND(org_declaration="Заявление организации",NOT(FIRST_TIME_REG=""))</f>
        <v>1</v>
      </c>
      <c r="C195" s="1548"/>
      <c r="D195" s="1548"/>
      <c r="E195" s="180">
        <v>20</v>
      </c>
      <c r="F195" s="1659"/>
      <c r="G195" s="175" cm="1" t="str">
        <f t="array" ref="G195:G195">G194</f>
        <v>1</v>
      </c>
      <c r="H195" s="1548"/>
      <c r="I195" s="1548"/>
      <c r="J195" s="1548"/>
      <c r="K195" s="1548"/>
      <c r="L195" s="1548"/>
      <c r="M195" s="1548"/>
      <c r="N195" s="1548"/>
      <c r="O195" s="1548"/>
      <c r="P195" s="1548"/>
      <c r="Q195" s="1548"/>
      <c r="R195" s="1548"/>
      <c r="S195" s="1548"/>
      <c r="T195" s="1548"/>
      <c r="U195" s="1548"/>
      <c r="V195" s="753" cm="1" t="str">
        <f t="array" ref="V195:V195">V194</f>
        <v>true</v>
      </c>
      <c r="W195" s="1548"/>
      <c r="X195" s="1548"/>
      <c r="Y195" s="1072"/>
      <c r="Z195" s="1548"/>
      <c r="AA195" s="1009"/>
      <c r="AB195" s="1800"/>
      <c r="AC195" s="1801"/>
      <c r="AD195" s="264" t="s">
        <v>292</v>
      </c>
      <c r="AE195" s="1806"/>
      <c r="AF195" s="1563"/>
      <c r="AG195" s="1659"/>
      <c r="AH195" s="1659"/>
      <c r="AI195" s="1659"/>
      <c r="AJ195" s="1659"/>
      <c r="AK195" s="1659"/>
      <c r="AL195" s="1659"/>
      <c r="AM195" s="1659"/>
      <c r="AN195" s="1659"/>
      <c r="AO195" s="1751"/>
      <c r="AP195" s="1751"/>
      <c r="AQ195" s="1751"/>
      <c r="AR195" s="1751"/>
      <c r="AS195" s="1751"/>
      <c r="AT195" s="1751"/>
      <c r="AU195" s="1751"/>
      <c r="AV195" s="1751"/>
      <c r="AW195" s="1751"/>
      <c r="AX195" s="1751"/>
      <c r="AY195" s="1751"/>
      <c r="AZ195" s="1751"/>
      <c r="BA195" s="1751"/>
      <c r="BB195" s="1751"/>
      <c r="BC195" s="1751"/>
      <c r="BD195" s="1751"/>
      <c r="BE195" s="1751"/>
      <c r="BF195" s="1077" cm="1" t="str">
        <f t="array" ref="BF195:BF195">BF194</f>
        <v>ТЭ.42.31656254.0001</v>
      </c>
      <c r="BG195" s="1078"/>
      <c r="BH195" s="1078"/>
      <c r="BI195" s="1083"/>
      <c r="BJ195" s="1083"/>
      <c r="BK195" s="1083"/>
      <c r="BL195" s="1083"/>
      <c r="BM195" s="1083"/>
      <c r="BN195" s="1083"/>
      <c r="BO195" s="1083" t="s">
        <v>268</v>
      </c>
      <c r="BP195" s="1083"/>
      <c r="BQ195" s="1083"/>
      <c r="BR195" s="1083"/>
      <c r="BS195" s="1083" t="s">
        <v>293</v>
      </c>
      <c r="BT195" s="1083"/>
      <c r="BU195" s="1083"/>
      <c r="BV195" s="1083"/>
      <c r="BW195" s="1507"/>
      <c r="BX195" s="1077" t="s">
        <v>178</v>
      </c>
      <c r="BY195" s="1077" t="s">
        <v>294</v>
      </c>
      <c r="BZ195" s="1077" t="s">
        <v>292</v>
      </c>
    </row>
    <row s="1751" customFormat="1" customHeight="1" ht="19.5">
      <c r="A196" s="371"/>
      <c r="B196" s="192">
        <f>AND(org_declaration="Заявление организации",NOT(FIRST_TIME_REG=""))</f>
        <v>1</v>
      </c>
      <c r="C196" s="1548"/>
      <c r="D196" s="1548"/>
      <c r="E196" s="180">
        <v>20</v>
      </c>
      <c r="F196" s="1659"/>
      <c r="G196" s="175" cm="1" t="str">
        <f t="array" ref="G196:G196">G195</f>
        <v>1</v>
      </c>
      <c r="H196" s="1548"/>
      <c r="I196" s="1548"/>
      <c r="J196" s="1548"/>
      <c r="K196" s="1548"/>
      <c r="L196" s="1548"/>
      <c r="M196" s="1548"/>
      <c r="N196" s="1548"/>
      <c r="O196" s="1548"/>
      <c r="P196" s="1548"/>
      <c r="Q196" s="1548"/>
      <c r="R196" s="1548"/>
      <c r="S196" s="1548"/>
      <c r="T196" s="1548"/>
      <c r="U196" s="1548"/>
      <c r="V196" s="753" cm="1" t="str">
        <f t="array" ref="V196:V196">V195</f>
        <v>true</v>
      </c>
      <c r="W196" s="1548"/>
      <c r="X196" s="1548"/>
      <c r="Y196" s="1072"/>
      <c r="Z196" s="1548"/>
      <c r="AA196" s="1009"/>
      <c r="AB196" s="1800"/>
      <c r="AC196" s="1801"/>
      <c r="AD196" s="264" t="s">
        <v>295</v>
      </c>
      <c r="AE196" s="1807"/>
      <c r="AF196" s="1563"/>
      <c r="AG196" s="1659"/>
      <c r="AH196" s="1659"/>
      <c r="AI196" s="1659"/>
      <c r="AJ196" s="1659"/>
      <c r="AK196" s="1659"/>
      <c r="AL196" s="1659"/>
      <c r="AM196" s="1659"/>
      <c r="AN196" s="1659"/>
      <c r="AO196" s="1751"/>
      <c r="AP196" s="1751"/>
      <c r="AQ196" s="1751"/>
      <c r="AR196" s="1751"/>
      <c r="AS196" s="1751"/>
      <c r="AT196" s="1751"/>
      <c r="AU196" s="1751"/>
      <c r="AV196" s="1751"/>
      <c r="AW196" s="1751"/>
      <c r="AX196" s="1751"/>
      <c r="AY196" s="1751"/>
      <c r="AZ196" s="1751"/>
      <c r="BA196" s="1751"/>
      <c r="BB196" s="1751"/>
      <c r="BC196" s="1751"/>
      <c r="BD196" s="1751"/>
      <c r="BE196" s="1751"/>
      <c r="BF196" s="1077" cm="1" t="str">
        <f t="array" ref="BF196:BF196">BF195</f>
        <v>ТЭ.42.31656254.0001</v>
      </c>
      <c r="BG196" s="1083"/>
      <c r="BH196" s="1083"/>
      <c r="BI196" s="1083"/>
      <c r="BJ196" s="1083"/>
      <c r="BK196" s="1083"/>
      <c r="BL196" s="1083"/>
      <c r="BM196" s="1083"/>
      <c r="BN196" s="1083"/>
      <c r="BO196" s="1083" t="s">
        <v>268</v>
      </c>
      <c r="BP196" s="1083"/>
      <c r="BQ196" s="1083"/>
      <c r="BR196" s="1083"/>
      <c r="BS196" s="1083"/>
      <c r="BT196" s="1083"/>
      <c r="BU196" s="1083"/>
      <c r="BV196" s="1083"/>
      <c r="BW196" s="1507"/>
      <c r="BX196" s="1077" t="s">
        <v>178</v>
      </c>
      <c r="BY196" s="1077" t="s">
        <v>296</v>
      </c>
      <c r="BZ196" s="1077" t="s">
        <v>295</v>
      </c>
    </row>
    <row s="1751" customFormat="1" customHeight="1" ht="19.5">
      <c r="A197" s="371"/>
      <c r="B197" s="192">
        <f>AND(org_declaration="Заявление организации",NOT(FIRST_TIME_REG=""))</f>
        <v>1</v>
      </c>
      <c r="C197" s="1548"/>
      <c r="D197" s="1548"/>
      <c r="E197" s="180">
        <v>20</v>
      </c>
      <c r="F197" s="1659"/>
      <c r="G197" s="175" cm="1" t="str">
        <f t="array" ref="G197:G197">G196</f>
        <v>1</v>
      </c>
      <c r="H197" s="1548"/>
      <c r="I197" s="1548"/>
      <c r="J197" s="1548"/>
      <c r="K197" s="1548"/>
      <c r="L197" s="1548"/>
      <c r="M197" s="1548"/>
      <c r="N197" s="1548"/>
      <c r="O197" s="1548"/>
      <c r="P197" s="1548"/>
      <c r="Q197" s="1548"/>
      <c r="R197" s="1548"/>
      <c r="S197" s="1548"/>
      <c r="T197" s="1548"/>
      <c r="U197" s="1548"/>
      <c r="V197" s="753" cm="1" t="str">
        <f t="array" ref="V197:V197">V196</f>
        <v>true</v>
      </c>
      <c r="W197" s="1548"/>
      <c r="X197" s="1548"/>
      <c r="Y197" s="1072"/>
      <c r="Z197" s="1548"/>
      <c r="AA197" s="1009"/>
      <c r="AB197" s="1800"/>
      <c r="AC197" s="1801"/>
      <c r="AD197" s="264" t="s">
        <v>180</v>
      </c>
      <c r="AE197" s="1806"/>
      <c r="AF197" s="1563"/>
      <c r="AG197" s="1659"/>
      <c r="AH197" s="1659"/>
      <c r="AI197" s="1659"/>
      <c r="AJ197" s="1659"/>
      <c r="AK197" s="1659"/>
      <c r="AL197" s="1659"/>
      <c r="AM197" s="1659"/>
      <c r="AN197" s="1659"/>
      <c r="AO197" s="1751"/>
      <c r="AP197" s="1751"/>
      <c r="AQ197" s="1751"/>
      <c r="AR197" s="1751"/>
      <c r="AS197" s="1751"/>
      <c r="AT197" s="1751"/>
      <c r="AU197" s="1751"/>
      <c r="AV197" s="1751"/>
      <c r="AW197" s="1751"/>
      <c r="AX197" s="1751"/>
      <c r="AY197" s="1751"/>
      <c r="AZ197" s="1751"/>
      <c r="BA197" s="1751"/>
      <c r="BB197" s="1751"/>
      <c r="BC197" s="1751"/>
      <c r="BD197" s="1751"/>
      <c r="BE197" s="1751"/>
      <c r="BF197" s="1077" cm="1" t="str">
        <f t="array" ref="BF197:BF197">BF196</f>
        <v>ТЭ.42.31656254.0001</v>
      </c>
      <c r="BG197" s="1083"/>
      <c r="BH197" s="1083"/>
      <c r="BI197" s="1083"/>
      <c r="BJ197" s="1083"/>
      <c r="BK197" s="1083"/>
      <c r="BL197" s="1083"/>
      <c r="BM197" s="1083"/>
      <c r="BN197" s="1083"/>
      <c r="BO197" s="1083" t="s">
        <v>268</v>
      </c>
      <c r="BP197" s="1083"/>
      <c r="BQ197" s="1083"/>
      <c r="BR197" s="1083"/>
      <c r="BS197" s="1083"/>
      <c r="BT197" s="1083"/>
      <c r="BU197" s="1083"/>
      <c r="BV197" s="1083"/>
      <c r="BW197" s="1507"/>
      <c r="BX197" s="1077" t="s">
        <v>178</v>
      </c>
      <c r="BY197" s="1077" t="s">
        <v>278</v>
      </c>
      <c r="BZ197" s="1077" t="s">
        <v>180</v>
      </c>
    </row>
    <row s="1751" customFormat="1" customHeight="1" ht="19.5">
      <c r="A198" s="371"/>
      <c r="B198" s="192">
        <f>AND(org_declaration="Заявление организации",NOT(FIRST_TIME_REG=""))</f>
        <v>1</v>
      </c>
      <c r="C198" s="1548"/>
      <c r="D198" s="1548"/>
      <c r="E198" s="180">
        <v>20</v>
      </c>
      <c r="F198" s="1659"/>
      <c r="G198" s="175" cm="1" t="str">
        <f t="array" ref="G198:G198">G197</f>
        <v>1</v>
      </c>
      <c r="H198" s="1548"/>
      <c r="I198" s="1548"/>
      <c r="J198" s="1548"/>
      <c r="K198" s="1548"/>
      <c r="L198" s="1548"/>
      <c r="M198" s="1548"/>
      <c r="N198" s="1548"/>
      <c r="O198" s="1548"/>
      <c r="P198" s="1548"/>
      <c r="Q198" s="1548"/>
      <c r="R198" s="1548"/>
      <c r="S198" s="1548"/>
      <c r="T198" s="1548"/>
      <c r="U198" s="1548"/>
      <c r="V198" s="753" cm="1" t="str">
        <f t="array" ref="V198:V198">V197</f>
        <v>true</v>
      </c>
      <c r="W198" s="1548"/>
      <c r="X198" s="1548"/>
      <c r="Y198" s="1072"/>
      <c r="Z198" s="1548"/>
      <c r="AA198" s="1009"/>
      <c r="AB198" s="1800"/>
      <c r="AC198" s="1801"/>
      <c r="AD198" s="264" t="s">
        <v>297</v>
      </c>
      <c r="AE198" s="1808" t="str">
        <f>IF(AE$24="","",DATE(AE$24,1,1))</f>
        <v>46388</v>
      </c>
      <c r="AF198" s="1563"/>
      <c r="AG198" s="1659"/>
      <c r="AH198" s="1659"/>
      <c r="AI198" s="1659"/>
      <c r="AJ198" s="1659"/>
      <c r="AK198" s="1659"/>
      <c r="AL198" s="1659"/>
      <c r="AM198" s="1659"/>
      <c r="AN198" s="1659"/>
      <c r="AO198" s="1751"/>
      <c r="AP198" s="1751"/>
      <c r="AQ198" s="1751"/>
      <c r="AR198" s="1751"/>
      <c r="AS198" s="1751"/>
      <c r="AT198" s="1751"/>
      <c r="AU198" s="1751"/>
      <c r="AV198" s="1751"/>
      <c r="AW198" s="1751"/>
      <c r="AX198" s="1751"/>
      <c r="AY198" s="1751"/>
      <c r="AZ198" s="1751"/>
      <c r="BA198" s="1751"/>
      <c r="BB198" s="1751"/>
      <c r="BC198" s="1751"/>
      <c r="BD198" s="1751"/>
      <c r="BE198" s="1751"/>
      <c r="BF198" s="1077" cm="1" t="str">
        <f t="array" ref="BF198:BF198">BF197</f>
        <v>ТЭ.42.31656254.0001</v>
      </c>
      <c r="BG198" s="1083"/>
      <c r="BH198" s="1083"/>
      <c r="BI198" s="1083"/>
      <c r="BJ198" s="1083"/>
      <c r="BK198" s="1083"/>
      <c r="BL198" s="1083"/>
      <c r="BM198" s="1083"/>
      <c r="BN198" s="1083"/>
      <c r="BO198" s="1083" t="s">
        <v>268</v>
      </c>
      <c r="BP198" s="1083"/>
      <c r="BQ198" s="1083"/>
      <c r="BR198" s="1083"/>
      <c r="BS198" s="1083"/>
      <c r="BT198" s="1083"/>
      <c r="BU198" s="1083"/>
      <c r="BV198" s="1083"/>
      <c r="BW198" s="1507"/>
      <c r="BX198" s="1077" t="s">
        <v>178</v>
      </c>
      <c r="BY198" s="1077" t="s">
        <v>298</v>
      </c>
      <c r="BZ198" s="1077" t="s">
        <v>297</v>
      </c>
    </row>
    <row s="1751" customFormat="1" customHeight="1" ht="19.5">
      <c r="A199" s="371"/>
      <c r="B199" s="192">
        <f>AND(org_declaration="Заявление организации",NOT(FIRST_TIME_REG=""))</f>
        <v>1</v>
      </c>
      <c r="C199" s="1548"/>
      <c r="D199" s="1548"/>
      <c r="E199" s="180">
        <v>20</v>
      </c>
      <c r="F199" s="1659"/>
      <c r="G199" s="175" cm="1" t="str">
        <f t="array" ref="G199:G199">G197</f>
        <v>1</v>
      </c>
      <c r="H199" s="1548"/>
      <c r="I199" s="1548"/>
      <c r="J199" s="1548"/>
      <c r="K199" s="1548"/>
      <c r="L199" s="1548"/>
      <c r="M199" s="1548"/>
      <c r="N199" s="1548"/>
      <c r="O199" s="1548"/>
      <c r="P199" s="1548"/>
      <c r="Q199" s="1548"/>
      <c r="R199" s="1548"/>
      <c r="S199" s="1548"/>
      <c r="T199" s="1548"/>
      <c r="U199" s="1548"/>
      <c r="V199" s="753" cm="1" t="str">
        <f t="array" ref="V199:V199">V197</f>
        <v>true</v>
      </c>
      <c r="W199" s="1548"/>
      <c r="X199" s="1548"/>
      <c r="Y199" s="1072"/>
      <c r="Z199" s="1548"/>
      <c r="AA199" s="1009"/>
      <c r="AB199" s="1800"/>
      <c r="AC199" s="1801"/>
      <c r="AD199" s="264" t="s">
        <v>299</v>
      </c>
      <c r="AE199" s="1809" cm="1" t="str">
        <f t="array" ref="AE199:AE199">IF(method_reg="","",method_reg)</f>
        <v>Метод индексации</v>
      </c>
      <c r="AF199" s="1563"/>
      <c r="AG199" s="1659"/>
      <c r="AH199" s="1659"/>
      <c r="AI199" s="1659"/>
      <c r="AJ199" s="1659"/>
      <c r="AK199" s="1659"/>
      <c r="AL199" s="1659"/>
      <c r="AM199" s="1659"/>
      <c r="AN199" s="1659"/>
      <c r="AO199" s="1751"/>
      <c r="AP199" s="1751"/>
      <c r="AQ199" s="1751"/>
      <c r="AR199" s="1751"/>
      <c r="AS199" s="1751"/>
      <c r="AT199" s="1751"/>
      <c r="AU199" s="1751"/>
      <c r="AV199" s="1751"/>
      <c r="AW199" s="1751"/>
      <c r="AX199" s="1751"/>
      <c r="AY199" s="1751"/>
      <c r="AZ199" s="1751"/>
      <c r="BA199" s="1751"/>
      <c r="BB199" s="1751"/>
      <c r="BC199" s="1751"/>
      <c r="BD199" s="1751"/>
      <c r="BE199" s="1751"/>
      <c r="BF199" s="1077" cm="1" t="str">
        <f t="array" ref="BF199:BF199">BF198</f>
        <v>ТЭ.42.31656254.0001</v>
      </c>
      <c r="BG199" s="1083"/>
      <c r="BH199" s="1083"/>
      <c r="BI199" s="1083"/>
      <c r="BJ199" s="1083"/>
      <c r="BK199" s="1083"/>
      <c r="BL199" s="1083"/>
      <c r="BM199" s="1083"/>
      <c r="BN199" s="1083"/>
      <c r="BO199" s="1083" t="s">
        <v>268</v>
      </c>
      <c r="BP199" s="1083"/>
      <c r="BQ199" s="1083"/>
      <c r="BR199" s="1083"/>
      <c r="BS199" s="1083"/>
      <c r="BT199" s="1083" t="s">
        <v>300</v>
      </c>
      <c r="BU199" s="1083"/>
      <c r="BV199" s="1083"/>
      <c r="BW199" s="1507"/>
      <c r="BX199" s="1077" t="s">
        <v>178</v>
      </c>
      <c r="BY199" s="1077" t="s">
        <v>301</v>
      </c>
      <c r="BZ199" s="1077" t="s">
        <v>117</v>
      </c>
    </row>
    <row s="1751" customFormat="1" customHeight="1" ht="21.75">
      <c r="A200" s="371"/>
      <c r="B200" s="192">
        <f>AND(org_declaration="Заявление организации",NOT(FIRST_TIME_REG=""))</f>
        <v>1</v>
      </c>
      <c r="C200" s="1548"/>
      <c r="D200" s="1548"/>
      <c r="E200" s="180">
        <v>23</v>
      </c>
      <c r="F200" s="1659"/>
      <c r="G200" s="175" cm="1" t="str">
        <f t="array" ref="G200:G200">G199</f>
        <v>1</v>
      </c>
      <c r="H200" s="1548"/>
      <c r="I200" s="1548"/>
      <c r="J200" s="1548"/>
      <c r="K200" s="1548"/>
      <c r="L200" s="1548"/>
      <c r="M200" s="1548"/>
      <c r="N200" s="1548"/>
      <c r="O200" s="1548"/>
      <c r="P200" s="1548"/>
      <c r="Q200" s="1548"/>
      <c r="R200" s="1548"/>
      <c r="S200" s="1548"/>
      <c r="T200" s="1548"/>
      <c r="U200" s="1548"/>
      <c r="V200" s="753" cm="1" t="str">
        <f t="array" ref="V200:V200">V199</f>
        <v>true</v>
      </c>
      <c r="W200" s="1548"/>
      <c r="X200" s="1548"/>
      <c r="Y200" s="1072"/>
      <c r="Z200" s="1548"/>
      <c r="AA200" s="1009"/>
      <c r="AB200" s="1800"/>
      <c r="AC200" s="1801"/>
      <c r="AD200" s="212"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810" cm="1" t="str">
        <f t="array" ref="AE200:AE200">IF(first_year="","",first_year)</f>
        <v>2025</v>
      </c>
      <c r="AF200" s="1563"/>
      <c r="AG200" s="1659"/>
      <c r="AH200" s="1659"/>
      <c r="AI200" s="1659"/>
      <c r="AJ200" s="1659"/>
      <c r="AK200" s="1659"/>
      <c r="AL200" s="1659"/>
      <c r="AM200" s="1659"/>
      <c r="AN200" s="1659"/>
      <c r="AO200" s="1751"/>
      <c r="AP200" s="1751"/>
      <c r="AQ200" s="1751"/>
      <c r="AR200" s="1751"/>
      <c r="AS200" s="1751"/>
      <c r="AT200" s="1751"/>
      <c r="AU200" s="1751"/>
      <c r="AV200" s="1751"/>
      <c r="AW200" s="1751"/>
      <c r="AX200" s="1751"/>
      <c r="AY200" s="1751"/>
      <c r="AZ200" s="1751"/>
      <c r="BA200" s="1751"/>
      <c r="BB200" s="1751"/>
      <c r="BC200" s="1751"/>
      <c r="BD200" s="1751"/>
      <c r="BE200" s="1751"/>
      <c r="BF200" s="1077" cm="1" t="str">
        <f t="array" ref="BF200:BF200">BF199</f>
        <v>ТЭ.42.31656254.0001</v>
      </c>
      <c r="BG200" s="1083"/>
      <c r="BH200" s="1083"/>
      <c r="BI200" s="1083" t="s">
        <v>302</v>
      </c>
      <c r="BJ200" s="1083"/>
      <c r="BK200" s="1083"/>
      <c r="BL200" s="1083"/>
      <c r="BM200" s="1083"/>
      <c r="BN200" s="1083"/>
      <c r="BO200" s="1083" t="s">
        <v>268</v>
      </c>
      <c r="BP200" s="1083"/>
      <c r="BQ200" s="1083"/>
      <c r="BR200" s="1083"/>
      <c r="BS200" s="1083"/>
      <c r="BT200" s="1083"/>
      <c r="BU200" s="1083"/>
      <c r="BV200" s="1083"/>
      <c r="BW200" s="1507"/>
      <c r="BX200" s="1077" t="s">
        <v>303</v>
      </c>
      <c r="BY200" s="1077" t="s">
        <v>304</v>
      </c>
      <c r="BZ200" s="1077" t="s">
        <v>305</v>
      </c>
    </row>
    <row s="1751" customFormat="1" customHeight="1" ht="19.5">
      <c r="A201" s="371"/>
      <c r="B201" s="192">
        <f>AND(org_declaration="Заявление организации",NOT(FIRST_TIME_REG=""))</f>
        <v>1</v>
      </c>
      <c r="C201" s="1548"/>
      <c r="D201" s="1548"/>
      <c r="E201" s="180">
        <v>20</v>
      </c>
      <c r="F201" s="1659"/>
      <c r="G201" s="175" cm="1" t="str">
        <f t="array" ref="G201:G201">G200</f>
        <v>1</v>
      </c>
      <c r="H201" s="1548"/>
      <c r="I201" s="1548"/>
      <c r="J201" s="1548"/>
      <c r="K201" s="1548"/>
      <c r="L201" s="1548"/>
      <c r="M201" s="1548"/>
      <c r="N201" s="1548"/>
      <c r="O201" s="1548"/>
      <c r="P201" s="1548"/>
      <c r="Q201" s="1548"/>
      <c r="R201" s="1548"/>
      <c r="S201" s="1548"/>
      <c r="T201" s="1548"/>
      <c r="U201" s="1548"/>
      <c r="V201" s="753" cm="1" t="str">
        <f t="array" ref="V201:V201">V200</f>
        <v>true</v>
      </c>
      <c r="W201" s="1548"/>
      <c r="X201" s="1548"/>
      <c r="Y201" s="1072"/>
      <c r="Z201" s="1548"/>
      <c r="AA201" s="1009"/>
      <c r="AB201" s="1800"/>
      <c r="AC201" s="1801"/>
      <c r="AD201" s="1003" t="s">
        <v>121</v>
      </c>
      <c r="AE201" s="1811" cm="1" t="str">
        <f t="array" ref="AE201:AE201">IF(PERIOD_LENGTH="","",PERIOD_LENGTH)</f>
        <v>3</v>
      </c>
      <c r="AF201" s="1563"/>
      <c r="AG201" s="1659"/>
      <c r="AH201" s="1659"/>
      <c r="AI201" s="1659"/>
      <c r="AJ201" s="1659"/>
      <c r="AK201" s="1659"/>
      <c r="AL201" s="1659"/>
      <c r="AM201" s="1659"/>
      <c r="AN201" s="1659"/>
      <c r="AO201" s="1751"/>
      <c r="AP201" s="1751"/>
      <c r="AQ201" s="1751"/>
      <c r="AR201" s="1751"/>
      <c r="AS201" s="1751"/>
      <c r="AT201" s="1751"/>
      <c r="AU201" s="1751"/>
      <c r="AV201" s="1751"/>
      <c r="AW201" s="1751"/>
      <c r="AX201" s="1751"/>
      <c r="AY201" s="1751"/>
      <c r="AZ201" s="1751"/>
      <c r="BA201" s="1751"/>
      <c r="BB201" s="1751"/>
      <c r="BC201" s="1751"/>
      <c r="BD201" s="1751"/>
      <c r="BE201" s="1751"/>
      <c r="BF201" s="1077" cm="1" t="str">
        <f t="array" ref="BF201:BF201">BF200</f>
        <v>ТЭ.42.31656254.0001</v>
      </c>
      <c r="BG201" s="1083"/>
      <c r="BH201" s="1083"/>
      <c r="BI201" s="1083" t="s">
        <v>306</v>
      </c>
      <c r="BJ201" s="1083"/>
      <c r="BK201" s="1083"/>
      <c r="BL201" s="1083"/>
      <c r="BM201" s="1083"/>
      <c r="BN201" s="1083"/>
      <c r="BO201" s="1083" t="s">
        <v>268</v>
      </c>
      <c r="BP201" s="1083"/>
      <c r="BQ201" s="1083"/>
      <c r="BR201" s="1083"/>
      <c r="BS201" s="1083"/>
      <c r="BT201" s="1083"/>
      <c r="BU201" s="1083"/>
      <c r="BV201" s="1083"/>
      <c r="BW201" s="1507"/>
      <c r="BX201" s="1077" t="s">
        <v>303</v>
      </c>
      <c r="BY201" s="1077" t="s">
        <v>307</v>
      </c>
      <c r="BZ201" s="1077" t="s">
        <v>119</v>
      </c>
    </row>
    <row customHeight="1" ht="19.5">
      <c r="A202" s="371"/>
      <c r="B202" s="192">
        <f>NOT(FIRST_TIME_REG="")</f>
        <v>1</v>
      </c>
      <c r="C202" s="1548"/>
      <c r="D202" s="1548"/>
      <c r="E202" s="180">
        <v>20</v>
      </c>
      <c r="F202" s="1659"/>
      <c r="G202" s="1548"/>
      <c r="H202" s="1548"/>
      <c r="I202" s="1548"/>
      <c r="J202" s="1548"/>
      <c r="K202" s="1548"/>
      <c r="L202" s="1548"/>
      <c r="M202" s="1548"/>
      <c r="N202" s="1548"/>
      <c r="O202" s="1548"/>
      <c r="P202" s="1548"/>
      <c r="Q202" s="1548"/>
      <c r="R202" s="1548"/>
      <c r="S202" s="1548"/>
      <c r="T202" s="1548"/>
      <c r="U202" s="1548"/>
      <c r="V202" s="1548"/>
      <c r="W202" s="176" t="s">
        <v>314</v>
      </c>
      <c r="X202" s="1548"/>
      <c r="Y202" s="1548"/>
      <c r="Z202" s="1548"/>
      <c r="AA202" s="1009"/>
      <c r="AB202" s="1537"/>
      <c r="AC202" s="1538"/>
      <c r="AD202" s="1007" t="s">
        <v>315</v>
      </c>
      <c r="AE202" s="1008"/>
      <c r="AF202" s="199"/>
      <c r="AG202" s="1659"/>
      <c r="AH202" s="1659"/>
      <c r="AI202" s="1659"/>
      <c r="AJ202" s="1659"/>
      <c r="AK202" s="1659"/>
      <c r="AL202" s="1659"/>
      <c r="AM202" s="1659"/>
      <c r="AN202" s="1659"/>
      <c r="AO202" s="1751"/>
      <c r="AP202" s="1751"/>
      <c r="AQ202" s="1751"/>
      <c r="AR202" s="1751"/>
      <c r="AS202" s="1751"/>
      <c r="AT202" s="1751"/>
      <c r="AU202" s="1751"/>
      <c r="AV202" s="1751"/>
      <c r="AW202" s="1751"/>
      <c r="AX202" s="1751"/>
      <c r="AY202" s="1751"/>
      <c r="AZ202" s="1751"/>
      <c r="BA202" s="1751"/>
      <c r="BB202" s="1751"/>
      <c r="BC202" s="1751"/>
      <c r="BD202" s="1751"/>
      <c r="BE202" s="1751"/>
      <c r="BF202" s="1076"/>
      <c r="BG202" s="1076"/>
      <c r="BH202" s="1076"/>
      <c r="BI202" s="1076"/>
      <c r="BJ202" s="1076"/>
      <c r="BK202" s="1076"/>
      <c r="BL202" s="1076"/>
      <c r="BM202" s="1076"/>
      <c r="BN202" s="1076"/>
      <c r="BO202" s="1076"/>
      <c r="BP202" s="1076"/>
      <c r="BQ202" s="1076"/>
      <c r="BR202" s="1076"/>
      <c r="BS202" s="1076"/>
      <c r="BT202" s="1076"/>
      <c r="BU202" s="1076"/>
      <c r="BV202" s="1076"/>
      <c r="BW202" s="1507"/>
      <c r="BX202" s="1076"/>
      <c r="BY202" s="1076"/>
      <c r="BZ202" s="1076"/>
    </row>
    <row customHeight="1" ht="19.5">
      <c r="A203" s="371"/>
      <c r="B203" s="192">
        <f>NOT(FIRST_TIME_REG="")</f>
        <v>1</v>
      </c>
      <c r="C203" s="1548"/>
      <c r="D203" s="1548"/>
      <c r="E203" s="180">
        <v>20</v>
      </c>
      <c r="F203" s="1659"/>
      <c r="G203" s="1548"/>
      <c r="H203" s="1548"/>
      <c r="I203" s="1548"/>
      <c r="J203" s="1548"/>
      <c r="K203" s="1548"/>
      <c r="L203" s="1548"/>
      <c r="M203" s="1548"/>
      <c r="N203" s="1548"/>
      <c r="O203" s="1548"/>
      <c r="P203" s="1548"/>
      <c r="Q203" s="1548"/>
      <c r="R203" s="1548"/>
      <c r="S203" s="1548"/>
      <c r="T203" s="1548"/>
      <c r="U203" s="1548"/>
      <c r="V203" s="1548"/>
      <c r="W203" s="1548"/>
      <c r="X203" s="1548"/>
      <c r="Y203" s="1548"/>
      <c r="Z203" s="1548"/>
      <c r="AA203" s="1009"/>
      <c r="AB203" s="1568" t="s">
        <v>316</v>
      </c>
      <c r="AC203" s="1569"/>
      <c r="AD203" s="1005" t="s">
        <v>317</v>
      </c>
      <c r="AE203" s="1006" t="s">
        <v>318</v>
      </c>
      <c r="AF203" s="208"/>
      <c r="AG203" s="1659"/>
      <c r="AH203" s="1659"/>
      <c r="AI203" s="1659"/>
      <c r="AJ203" s="1659"/>
      <c r="AK203" s="1659"/>
      <c r="AL203" s="1659"/>
      <c r="AM203" s="1659"/>
      <c r="AN203" s="1659"/>
      <c r="AO203" s="1751"/>
      <c r="AP203" s="1751"/>
      <c r="AQ203" s="1751"/>
      <c r="AR203" s="1751"/>
      <c r="AS203" s="1751"/>
      <c r="AT203" s="1751"/>
      <c r="AU203" s="1751"/>
      <c r="AV203" s="1751"/>
      <c r="AW203" s="1751"/>
      <c r="AX203" s="1751"/>
      <c r="AY203" s="1751"/>
      <c r="AZ203" s="1751"/>
      <c r="BA203" s="1751"/>
      <c r="BB203" s="1751"/>
      <c r="BC203" s="1751"/>
      <c r="BD203" s="1751"/>
      <c r="BE203" s="1751"/>
      <c r="BF203" s="1077"/>
      <c r="BG203" s="1083"/>
      <c r="BH203" s="1083"/>
      <c r="BI203" s="1083"/>
      <c r="BJ203" s="1083"/>
      <c r="BK203" s="1083"/>
      <c r="BL203" s="1083"/>
      <c r="BM203" s="1083"/>
      <c r="BN203" s="1083"/>
      <c r="BO203" s="1083"/>
      <c r="BP203" s="1083"/>
      <c r="BQ203" s="1083"/>
      <c r="BR203" s="1083"/>
      <c r="BS203" s="1083"/>
      <c r="BT203" s="1083"/>
      <c r="BU203" s="1083"/>
      <c r="BV203" s="1083"/>
      <c r="BW203" s="1507"/>
      <c r="BX203" s="1077" t="s">
        <v>178</v>
      </c>
      <c r="BY203" s="1077" t="s">
        <v>319</v>
      </c>
      <c r="BZ203" s="1077" t="s">
        <v>317</v>
      </c>
    </row>
    <row customHeight="1" ht="19.5">
      <c r="A204" s="371"/>
      <c r="B204" s="192">
        <f>NOT(FIRST_TIME_REG="")</f>
        <v>1</v>
      </c>
      <c r="C204" s="1548"/>
      <c r="D204" s="1548"/>
      <c r="E204" s="180">
        <v>20</v>
      </c>
      <c r="F204" s="1659"/>
      <c r="G204" s="1548"/>
      <c r="H204" s="1548"/>
      <c r="I204" s="1548"/>
      <c r="J204" s="1548"/>
      <c r="K204" s="1548"/>
      <c r="L204" s="1548"/>
      <c r="M204" s="1548"/>
      <c r="N204" s="1548"/>
      <c r="O204" s="1548"/>
      <c r="P204" s="1548"/>
      <c r="Q204" s="1548"/>
      <c r="R204" s="1548"/>
      <c r="S204" s="1548"/>
      <c r="T204" s="1548"/>
      <c r="U204" s="1548"/>
      <c r="V204" s="1548"/>
      <c r="W204" s="1548"/>
      <c r="X204" s="1548"/>
      <c r="Y204" s="1548"/>
      <c r="Z204" s="1548"/>
      <c r="AA204" s="1009"/>
      <c r="AB204" s="1568"/>
      <c r="AC204" s="1569"/>
      <c r="AD204" s="264" t="s">
        <v>320</v>
      </c>
      <c r="AE204" s="235" t="s">
        <v>321</v>
      </c>
      <c r="AF204" s="208"/>
      <c r="AG204" s="1659"/>
      <c r="AH204" s="1659"/>
      <c r="AI204" s="1659"/>
      <c r="AJ204" s="1659"/>
      <c r="AK204" s="1659"/>
      <c r="AL204" s="1659"/>
      <c r="AM204" s="1659"/>
      <c r="AN204" s="1659"/>
      <c r="AO204" s="1751"/>
      <c r="AP204" s="1751"/>
      <c r="AQ204" s="1751"/>
      <c r="AR204" s="1751"/>
      <c r="AS204" s="1751"/>
      <c r="AT204" s="1751"/>
      <c r="AU204" s="1751"/>
      <c r="AV204" s="1751"/>
      <c r="AW204" s="1751"/>
      <c r="AX204" s="1751"/>
      <c r="AY204" s="1751"/>
      <c r="AZ204" s="1751"/>
      <c r="BA204" s="1751"/>
      <c r="BB204" s="1751"/>
      <c r="BC204" s="1751"/>
      <c r="BD204" s="1751"/>
      <c r="BE204" s="1751"/>
      <c r="BF204" s="1077"/>
      <c r="BG204" s="1083" t="s">
        <v>322</v>
      </c>
      <c r="BH204" s="1083"/>
      <c r="BI204" s="1083"/>
      <c r="BJ204" s="1083"/>
      <c r="BK204" s="1083"/>
      <c r="BL204" s="1083"/>
      <c r="BM204" s="1083"/>
      <c r="BN204" s="1083"/>
      <c r="BO204" s="1083"/>
      <c r="BP204" s="1083"/>
      <c r="BQ204" s="1083"/>
      <c r="BR204" s="1083"/>
      <c r="BS204" s="1083"/>
      <c r="BT204" s="1083"/>
      <c r="BU204" s="1083"/>
      <c r="BV204" s="1083"/>
      <c r="BW204" s="1507"/>
      <c r="BX204" s="1077" t="s">
        <v>178</v>
      </c>
      <c r="BY204" s="1077" t="s">
        <v>225</v>
      </c>
      <c r="BZ204" s="1077" t="s">
        <v>226</v>
      </c>
    </row>
    <row customHeight="1" ht="19.5">
      <c r="A205" s="371"/>
      <c r="B205" s="192">
        <f>NOT(FIRST_TIME_REG="")</f>
        <v>1</v>
      </c>
      <c r="C205" s="1548"/>
      <c r="D205" s="1548"/>
      <c r="E205" s="180">
        <v>20</v>
      </c>
      <c r="F205" s="1659"/>
      <c r="G205" s="1548"/>
      <c r="H205" s="1548"/>
      <c r="I205" s="1548"/>
      <c r="J205" s="1548"/>
      <c r="K205" s="1548"/>
      <c r="L205" s="1548"/>
      <c r="M205" s="1548"/>
      <c r="N205" s="1548"/>
      <c r="O205" s="1548"/>
      <c r="P205" s="1548"/>
      <c r="Q205" s="1548"/>
      <c r="R205" s="1548"/>
      <c r="S205" s="1548"/>
      <c r="T205" s="1548"/>
      <c r="U205" s="1548"/>
      <c r="V205" s="1548"/>
      <c r="W205" s="1548"/>
      <c r="X205" s="1548"/>
      <c r="Y205" s="1548"/>
      <c r="Z205" s="1548"/>
      <c r="AA205" s="1009"/>
      <c r="AB205" s="1568"/>
      <c r="AC205" s="1569"/>
      <c r="AD205" s="264" t="s">
        <v>323</v>
      </c>
      <c r="AE205" s="235" t="s">
        <v>324</v>
      </c>
      <c r="AF205" s="208"/>
      <c r="AG205" s="1659"/>
      <c r="AH205" s="1659"/>
      <c r="AI205" s="1659"/>
      <c r="AJ205" s="1659"/>
      <c r="AK205" s="1659"/>
      <c r="AL205" s="1659"/>
      <c r="AM205" s="1659"/>
      <c r="AN205" s="1659"/>
      <c r="AO205" s="1751"/>
      <c r="AP205" s="1751"/>
      <c r="AQ205" s="1751"/>
      <c r="AR205" s="1751"/>
      <c r="AS205" s="1751"/>
      <c r="AT205" s="1751"/>
      <c r="AU205" s="1751"/>
      <c r="AV205" s="1751"/>
      <c r="AW205" s="1751"/>
      <c r="AX205" s="1751"/>
      <c r="AY205" s="1751"/>
      <c r="AZ205" s="1751"/>
      <c r="BA205" s="1751"/>
      <c r="BB205" s="1751"/>
      <c r="BC205" s="1751"/>
      <c r="BD205" s="1751"/>
      <c r="BE205" s="1751"/>
      <c r="BF205" s="1077"/>
      <c r="BG205" s="1083" t="s">
        <v>322</v>
      </c>
      <c r="BH205" s="1083"/>
      <c r="BI205" s="1083"/>
      <c r="BJ205" s="1083"/>
      <c r="BK205" s="1083"/>
      <c r="BL205" s="1083"/>
      <c r="BM205" s="1083"/>
      <c r="BN205" s="1083"/>
      <c r="BO205" s="1083"/>
      <c r="BP205" s="1083"/>
      <c r="BQ205" s="1083"/>
      <c r="BR205" s="1083"/>
      <c r="BS205" s="1083"/>
      <c r="BT205" s="1083"/>
      <c r="BU205" s="1083"/>
      <c r="BV205" s="1083"/>
      <c r="BW205" s="1507"/>
      <c r="BX205" s="1077" t="s">
        <v>178</v>
      </c>
      <c r="BY205" s="1077" t="s">
        <v>229</v>
      </c>
      <c r="BZ205" s="1077" t="s">
        <v>230</v>
      </c>
    </row>
    <row customHeight="1" ht="19.5">
      <c r="A206" s="371"/>
      <c r="B206" s="192">
        <f>NOT(FIRST_TIME_REG="")</f>
        <v>1</v>
      </c>
      <c r="C206" s="1548"/>
      <c r="D206" s="1548"/>
      <c r="E206" s="180">
        <v>20</v>
      </c>
      <c r="F206" s="1659"/>
      <c r="G206" s="1548"/>
      <c r="H206" s="1548"/>
      <c r="I206" s="1548"/>
      <c r="J206" s="1548"/>
      <c r="K206" s="1548"/>
      <c r="L206" s="1548"/>
      <c r="M206" s="1548"/>
      <c r="N206" s="1548"/>
      <c r="O206" s="1548"/>
      <c r="P206" s="1548"/>
      <c r="Q206" s="1548"/>
      <c r="R206" s="1548"/>
      <c r="S206" s="1548"/>
      <c r="T206" s="1548"/>
      <c r="U206" s="1548"/>
      <c r="V206" s="1548"/>
      <c r="W206" s="1548"/>
      <c r="X206" s="1548"/>
      <c r="Y206" s="1548"/>
      <c r="Z206" s="1548"/>
      <c r="AA206" s="1009"/>
      <c r="AB206" s="1568"/>
      <c r="AC206" s="1569"/>
      <c r="AD206" s="264" t="s">
        <v>325</v>
      </c>
      <c r="AE206" s="235" t="s">
        <v>326</v>
      </c>
      <c r="AF206" s="208"/>
      <c r="AG206" s="1659"/>
      <c r="AH206" s="1659"/>
      <c r="AI206" s="1659"/>
      <c r="AJ206" s="1659"/>
      <c r="AK206" s="1659"/>
      <c r="AL206" s="1659"/>
      <c r="AM206" s="1659"/>
      <c r="AN206" s="1659"/>
      <c r="AO206" s="1751"/>
      <c r="AP206" s="1751"/>
      <c r="AQ206" s="1751"/>
      <c r="AR206" s="1751"/>
      <c r="AS206" s="1751"/>
      <c r="AT206" s="1751"/>
      <c r="AU206" s="1751"/>
      <c r="AV206" s="1751"/>
      <c r="AW206" s="1751"/>
      <c r="AX206" s="1751"/>
      <c r="AY206" s="1751"/>
      <c r="AZ206" s="1751"/>
      <c r="BA206" s="1751"/>
      <c r="BB206" s="1751"/>
      <c r="BC206" s="1751"/>
      <c r="BD206" s="1751"/>
      <c r="BE206" s="1751"/>
      <c r="BF206" s="1077"/>
      <c r="BG206" s="1083" t="s">
        <v>322</v>
      </c>
      <c r="BH206" s="1083"/>
      <c r="BI206" s="1083"/>
      <c r="BJ206" s="1083"/>
      <c r="BK206" s="1083"/>
      <c r="BL206" s="1083"/>
      <c r="BM206" s="1083"/>
      <c r="BN206" s="1083"/>
      <c r="BO206" s="1083"/>
      <c r="BP206" s="1083"/>
      <c r="BQ206" s="1083"/>
      <c r="BR206" s="1083"/>
      <c r="BS206" s="1083"/>
      <c r="BT206" s="1083"/>
      <c r="BU206" s="1083"/>
      <c r="BV206" s="1083"/>
      <c r="BW206" s="1507"/>
      <c r="BX206" s="1077" t="s">
        <v>178</v>
      </c>
      <c r="BY206" s="1077" t="s">
        <v>233</v>
      </c>
      <c r="BZ206" s="1077" t="s">
        <v>234</v>
      </c>
    </row>
    <row customHeight="1" ht="19.5">
      <c r="A207" s="371"/>
      <c r="B207" s="192">
        <f>NOT(FIRST_TIME_REG="")</f>
        <v>1</v>
      </c>
      <c r="C207" s="1548"/>
      <c r="D207" s="1548"/>
      <c r="E207" s="180">
        <v>20</v>
      </c>
      <c r="F207" s="1659"/>
      <c r="G207" s="1548"/>
      <c r="H207" s="1548"/>
      <c r="I207" s="1548"/>
      <c r="J207" s="1548"/>
      <c r="K207" s="1548"/>
      <c r="L207" s="1548"/>
      <c r="M207" s="1548"/>
      <c r="N207" s="1548"/>
      <c r="O207" s="1548"/>
      <c r="P207" s="1548"/>
      <c r="Q207" s="1548"/>
      <c r="R207" s="1548"/>
      <c r="S207" s="1548"/>
      <c r="T207" s="1548"/>
      <c r="U207" s="1548"/>
      <c r="V207" s="1548"/>
      <c r="W207" s="1548"/>
      <c r="X207" s="1548"/>
      <c r="Y207" s="1548"/>
      <c r="Z207" s="1548"/>
      <c r="AA207" s="1009"/>
      <c r="AB207" s="1568"/>
      <c r="AC207" s="1569"/>
      <c r="AD207" s="264" t="s">
        <v>327</v>
      </c>
      <c r="AE207" s="235" t="s">
        <v>328</v>
      </c>
      <c r="AF207" s="208"/>
      <c r="AG207" s="1659"/>
      <c r="AH207" s="1659"/>
      <c r="AI207" s="1659"/>
      <c r="AJ207" s="1659"/>
      <c r="AK207" s="1659"/>
      <c r="AL207" s="1659"/>
      <c r="AM207" s="1659"/>
      <c r="AN207" s="1659"/>
      <c r="AO207" s="1751"/>
      <c r="AP207" s="1751"/>
      <c r="AQ207" s="1751"/>
      <c r="AR207" s="1751"/>
      <c r="AS207" s="1751"/>
      <c r="AT207" s="1751"/>
      <c r="AU207" s="1751"/>
      <c r="AV207" s="1751"/>
      <c r="AW207" s="1751"/>
      <c r="AX207" s="1751"/>
      <c r="AY207" s="1751"/>
      <c r="AZ207" s="1751"/>
      <c r="BA207" s="1751"/>
      <c r="BB207" s="1751"/>
      <c r="BC207" s="1751"/>
      <c r="BD207" s="1751"/>
      <c r="BE207" s="1751"/>
      <c r="BF207" s="1077"/>
      <c r="BG207" s="1083" t="s">
        <v>322</v>
      </c>
      <c r="BH207" s="1083"/>
      <c r="BI207" s="1083"/>
      <c r="BJ207" s="1083"/>
      <c r="BK207" s="1083"/>
      <c r="BL207" s="1083"/>
      <c r="BM207" s="1083"/>
      <c r="BN207" s="1083"/>
      <c r="BO207" s="1083"/>
      <c r="BP207" s="1083"/>
      <c r="BQ207" s="1083"/>
      <c r="BR207" s="1083"/>
      <c r="BS207" s="1083"/>
      <c r="BT207" s="1083"/>
      <c r="BU207" s="1083"/>
      <c r="BV207" s="1083"/>
      <c r="BW207" s="1507"/>
      <c r="BX207" s="1077" t="s">
        <v>178</v>
      </c>
      <c r="BY207" s="1077" t="s">
        <v>237</v>
      </c>
      <c r="BZ207" s="1077" t="s">
        <v>238</v>
      </c>
    </row>
    <row customHeight="1" ht="19.5" hidden="1">
      <c r="A208" s="371"/>
      <c r="B208" s="192">
        <f>NOT(FIRST_TIME_REG="")</f>
        <v>1</v>
      </c>
      <c r="C208" s="1548"/>
      <c r="D208" s="1548"/>
      <c r="E208" s="180">
        <v>20</v>
      </c>
      <c r="F208" s="1659"/>
      <c r="G208" s="1548"/>
      <c r="H208" s="1548"/>
      <c r="I208" s="1548"/>
      <c r="J208" s="1548"/>
      <c r="K208" s="1548"/>
      <c r="L208" s="1548"/>
      <c r="M208" s="1548"/>
      <c r="N208" s="1548"/>
      <c r="O208" s="1548"/>
      <c r="P208" s="1548"/>
      <c r="Q208" s="1548"/>
      <c r="R208" s="1548"/>
      <c r="S208" s="1548"/>
      <c r="T208" s="1548"/>
      <c r="U208" s="1548"/>
      <c r="V208" s="753">
        <f>ROW(W208)&gt;ROW(W$208)</f>
        <v>0</v>
      </c>
      <c r="W208" s="175" t="s">
        <v>266</v>
      </c>
      <c r="X208" s="1548"/>
      <c r="Y208" s="1072">
        <v>0</v>
      </c>
      <c r="Z208" s="1548"/>
      <c r="AA208" s="1009"/>
      <c r="AB208" s="1568"/>
      <c r="AC208" s="1569"/>
      <c r="AD208" s="1823"/>
      <c r="AE208" s="1785"/>
      <c r="AF208" s="956" t="s">
        <v>171</v>
      </c>
      <c r="AG208" s="1659"/>
      <c r="AH208" s="1659"/>
      <c r="AI208" s="1659"/>
      <c r="AJ208" s="1659"/>
      <c r="AK208" s="1659"/>
      <c r="AL208" s="1659"/>
      <c r="AM208" s="1659"/>
      <c r="AN208" s="1659"/>
      <c r="AO208" s="1751"/>
      <c r="AP208" s="1751"/>
      <c r="AQ208" s="1751"/>
      <c r="AR208" s="1751"/>
      <c r="AS208" s="1751"/>
      <c r="AT208" s="1751"/>
      <c r="AU208" s="1751"/>
      <c r="AV208" s="1751"/>
      <c r="AW208" s="1751"/>
      <c r="AX208" s="1751"/>
      <c r="AY208" s="1751"/>
      <c r="AZ208" s="1751"/>
      <c r="BA208" s="1751"/>
      <c r="BB208" s="1751"/>
      <c r="BC208" s="1751"/>
      <c r="BD208" s="1751"/>
      <c r="BE208" s="1751"/>
      <c r="BF208" s="1077"/>
      <c r="BG208" s="1083" t="s">
        <v>322</v>
      </c>
      <c r="BH208" s="1083"/>
      <c r="BI208" s="1083"/>
      <c r="BJ208" s="1083"/>
      <c r="BK208" s="1083"/>
      <c r="BL208" s="1083"/>
      <c r="BM208" s="1083"/>
      <c r="BN208" s="1083"/>
      <c r="BO208" s="1083"/>
      <c r="BP208" s="1083"/>
      <c r="BQ208" s="1083"/>
      <c r="BR208" s="1083"/>
      <c r="BS208" s="1083"/>
      <c r="BT208" s="1083"/>
      <c r="BU208" s="1083"/>
      <c r="BV208" s="1083"/>
      <c r="BW208" s="1508"/>
      <c r="BX208" s="1086"/>
      <c r="BY208" s="1087"/>
      <c r="BZ208" s="1077"/>
    </row>
    <row customHeight="1" ht="14.625">
      <c r="A209" s="371"/>
      <c r="B209" s="192">
        <f>NOT(FIRST_TIME_REG="")</f>
        <v>1</v>
      </c>
      <c r="C209" s="1548"/>
      <c r="D209" s="1548"/>
      <c r="E209" s="180">
        <v>15</v>
      </c>
      <c r="F209" s="1659"/>
      <c r="G209" s="1548"/>
      <c r="H209" s="1548"/>
      <c r="I209" s="1548"/>
      <c r="J209" s="1548"/>
      <c r="K209" s="1548"/>
      <c r="L209" s="1548"/>
      <c r="M209" s="1548"/>
      <c r="N209" s="1548"/>
      <c r="O209" s="1548"/>
      <c r="P209" s="1548"/>
      <c r="Q209" s="1548"/>
      <c r="R209" s="1548"/>
      <c r="S209" s="1548"/>
      <c r="T209" s="1548"/>
      <c r="U209" s="1548"/>
      <c r="V209" s="1548"/>
      <c r="W209" s="176" t="s">
        <v>190</v>
      </c>
      <c r="X209" s="1548"/>
      <c r="Y209" s="1548"/>
      <c r="Z209" s="1548"/>
      <c r="AA209" s="1009"/>
      <c r="AB209" s="1568"/>
      <c r="AC209" s="1569"/>
      <c r="AD209" s="272" t="s">
        <v>329</v>
      </c>
      <c r="AE209" s="273"/>
      <c r="AF209" s="208"/>
      <c r="AG209" s="1659"/>
      <c r="AH209" s="1659"/>
      <c r="AI209" s="1659"/>
      <c r="AJ209" s="1659"/>
      <c r="AK209" s="1659"/>
      <c r="AL209" s="1659"/>
      <c r="AM209" s="1659"/>
      <c r="AN209" s="1659"/>
      <c r="AO209" s="1751"/>
      <c r="AP209" s="1751"/>
      <c r="AQ209" s="1751"/>
      <c r="AR209" s="1751"/>
      <c r="AS209" s="1751"/>
      <c r="AT209" s="1751"/>
      <c r="AU209" s="1751"/>
      <c r="AV209" s="1751"/>
      <c r="AW209" s="1751"/>
      <c r="AX209" s="1751"/>
      <c r="AY209" s="1751"/>
      <c r="AZ209" s="1751"/>
      <c r="BA209" s="1751"/>
      <c r="BB209" s="1751"/>
      <c r="BC209" s="1751"/>
      <c r="BD209" s="1751"/>
      <c r="BE209" s="1751"/>
      <c r="BF209" s="1076"/>
      <c r="BG209" s="1076"/>
      <c r="BH209" s="1076"/>
      <c r="BI209" s="1076"/>
      <c r="BJ209" s="1076"/>
      <c r="BK209" s="1076"/>
      <c r="BL209" s="1076"/>
      <c r="BM209" s="1076"/>
      <c r="BN209" s="1076"/>
      <c r="BO209" s="1076"/>
      <c r="BP209" s="1076"/>
      <c r="BQ209" s="1076"/>
      <c r="BR209" s="1076"/>
      <c r="BS209" s="1076"/>
      <c r="BT209" s="1076"/>
      <c r="BU209" s="1076"/>
      <c r="BV209" s="1076"/>
      <c r="BW209" s="1507"/>
      <c r="BX209" s="1076"/>
      <c r="BY209" s="1076"/>
      <c r="BZ209" s="1076"/>
    </row>
    <row customHeight="1" ht="19.5">
      <c r="A210" s="371"/>
      <c r="B210" s="192">
        <f>NOT(FIRST_TIME_REG="")</f>
        <v>1</v>
      </c>
      <c r="C210" s="1548"/>
      <c r="D210" s="1548"/>
      <c r="E210" s="180">
        <v>20</v>
      </c>
      <c r="F210" s="1659"/>
      <c r="G210" s="1548"/>
      <c r="H210" s="1548"/>
      <c r="I210" s="1548"/>
      <c r="J210" s="1548"/>
      <c r="K210" s="1548"/>
      <c r="L210" s="1548"/>
      <c r="M210" s="1548"/>
      <c r="N210" s="1548"/>
      <c r="O210" s="1548"/>
      <c r="P210" s="1548"/>
      <c r="Q210" s="1548"/>
      <c r="R210" s="1548"/>
      <c r="S210" s="1548"/>
      <c r="T210" s="1548"/>
      <c r="U210" s="1548"/>
      <c r="V210" s="1548"/>
      <c r="W210" s="1548"/>
      <c r="X210" s="1548"/>
      <c r="Y210" s="1548"/>
      <c r="Z210" s="1548"/>
      <c r="AA210" s="1009"/>
      <c r="AB210" s="1568"/>
      <c r="AC210" s="1569"/>
      <c r="AD210" s="264" t="s">
        <v>330</v>
      </c>
      <c r="AE210" s="274" cm="1" t="str">
        <f t="array" ref="AE210:AE210">IF(ISBLANK(method_reg),"",method_reg)</f>
        <v>Метод индексации</v>
      </c>
      <c r="AF210" s="208"/>
      <c r="AG210" s="1659"/>
      <c r="AH210" s="1659"/>
      <c r="AI210" s="1659"/>
      <c r="AJ210" s="1659"/>
      <c r="AK210" s="1659"/>
      <c r="AL210" s="1659"/>
      <c r="AM210" s="1659"/>
      <c r="AN210" s="1659"/>
      <c r="AO210" s="1751"/>
      <c r="AP210" s="1751"/>
      <c r="AQ210" s="1751"/>
      <c r="AR210" s="1751"/>
      <c r="AS210" s="1751"/>
      <c r="AT210" s="1751"/>
      <c r="AU210" s="1751"/>
      <c r="AV210" s="1751"/>
      <c r="AW210" s="1751"/>
      <c r="AX210" s="1751"/>
      <c r="AY210" s="1751"/>
      <c r="AZ210" s="1751"/>
      <c r="BA210" s="1751"/>
      <c r="BB210" s="1751"/>
      <c r="BC210" s="1751"/>
      <c r="BD210" s="1751"/>
      <c r="BE210" s="1751"/>
      <c r="BF210" s="1077"/>
      <c r="BG210" s="1083" t="s">
        <v>322</v>
      </c>
      <c r="BH210" s="1083"/>
      <c r="BI210" s="1083"/>
      <c r="BJ210" s="1083"/>
      <c r="BK210" s="1083"/>
      <c r="BL210" s="1083"/>
      <c r="BM210" s="1083"/>
      <c r="BN210" s="1083"/>
      <c r="BO210" s="1083"/>
      <c r="BP210" s="1083"/>
      <c r="BQ210" s="1083"/>
      <c r="BR210" s="1083"/>
      <c r="BS210" s="1083"/>
      <c r="BT210" s="1083"/>
      <c r="BU210" s="1083"/>
      <c r="BV210" s="1083"/>
      <c r="BW210" s="1507"/>
      <c r="BX210" s="1077" t="s">
        <v>178</v>
      </c>
      <c r="BY210" s="1077" t="s">
        <v>301</v>
      </c>
      <c r="BZ210" s="1076"/>
    </row>
    <row customHeight="1" ht="19.5">
      <c r="A211" s="371"/>
      <c r="B211" s="192">
        <f>NOT(FIRST_TIME_REG="")</f>
        <v>1</v>
      </c>
      <c r="C211" s="1548"/>
      <c r="D211" s="1548"/>
      <c r="E211" s="180">
        <v>20</v>
      </c>
      <c r="F211" s="1659"/>
      <c r="G211" s="1548"/>
      <c r="H211" s="1548"/>
      <c r="I211" s="1548"/>
      <c r="J211" s="1548"/>
      <c r="K211" s="1548"/>
      <c r="L211" s="1548"/>
      <c r="M211" s="1548"/>
      <c r="N211" s="1548"/>
      <c r="O211" s="1548"/>
      <c r="P211" s="1548"/>
      <c r="Q211" s="1548"/>
      <c r="R211" s="1548"/>
      <c r="S211" s="1548"/>
      <c r="T211" s="1548"/>
      <c r="U211" s="1548"/>
      <c r="V211" s="1548"/>
      <c r="W211" s="1548"/>
      <c r="X211" s="1548"/>
      <c r="Y211" s="1548"/>
      <c r="Z211" s="1548"/>
      <c r="AA211" s="1009"/>
      <c r="AB211" s="1568"/>
      <c r="AC211" s="1569"/>
      <c r="AD211" s="264" t="s">
        <v>119</v>
      </c>
      <c r="AE211" s="275" cm="1" t="str">
        <f t="array" ref="AE211:AE211">IF(ISBLANK(god),"",god)</f>
        <v>2027</v>
      </c>
      <c r="AF211" s="208"/>
      <c r="AG211" s="1659"/>
      <c r="AH211" s="1659"/>
      <c r="AI211" s="1659"/>
      <c r="AJ211" s="1659"/>
      <c r="AK211" s="1659"/>
      <c r="AL211" s="1659"/>
      <c r="AM211" s="1659"/>
      <c r="AN211" s="1659"/>
      <c r="AO211" s="1751"/>
      <c r="AP211" s="1751"/>
      <c r="AQ211" s="1751"/>
      <c r="AR211" s="1751"/>
      <c r="AS211" s="1751"/>
      <c r="AT211" s="1751"/>
      <c r="AU211" s="1751"/>
      <c r="AV211" s="1751"/>
      <c r="AW211" s="1751"/>
      <c r="AX211" s="1751"/>
      <c r="AY211" s="1751"/>
      <c r="AZ211" s="1751"/>
      <c r="BA211" s="1751"/>
      <c r="BB211" s="1751"/>
      <c r="BC211" s="1751"/>
      <c r="BD211" s="1751"/>
      <c r="BE211" s="1751"/>
      <c r="BF211" s="1077"/>
      <c r="BG211" s="1083" t="s">
        <v>322</v>
      </c>
      <c r="BH211" s="1083"/>
      <c r="BI211" s="1083"/>
      <c r="BJ211" s="1083"/>
      <c r="BK211" s="1083"/>
      <c r="BL211" s="1083"/>
      <c r="BM211" s="1083"/>
      <c r="BN211" s="1083"/>
      <c r="BO211" s="1083"/>
      <c r="BP211" s="1083"/>
      <c r="BQ211" s="1083"/>
      <c r="BR211" s="1083"/>
      <c r="BS211" s="1083"/>
      <c r="BT211" s="1083"/>
      <c r="BU211" s="1083"/>
      <c r="BV211" s="1083"/>
      <c r="BW211" s="1507"/>
      <c r="BX211" s="1077" t="s">
        <v>303</v>
      </c>
      <c r="BY211" s="1077" t="s">
        <v>307</v>
      </c>
      <c r="BZ211" s="1076"/>
    </row>
    <row customHeight="1" ht="19.5">
      <c r="A212" s="371"/>
      <c r="B212" s="192">
        <f>NOT(FIRST_TIME_REG="")</f>
        <v>1</v>
      </c>
      <c r="C212" s="1548"/>
      <c r="D212" s="1548"/>
      <c r="E212" s="180">
        <v>20</v>
      </c>
      <c r="F212" s="1659"/>
      <c r="G212" s="1548"/>
      <c r="H212" s="1548"/>
      <c r="I212" s="1548"/>
      <c r="J212" s="1548"/>
      <c r="K212" s="1548"/>
      <c r="L212" s="1548"/>
      <c r="M212" s="1548"/>
      <c r="N212" s="1548"/>
      <c r="O212" s="1548"/>
      <c r="P212" s="1548"/>
      <c r="Q212" s="1548"/>
      <c r="R212" s="1548"/>
      <c r="S212" s="1548"/>
      <c r="T212" s="1548"/>
      <c r="U212" s="1548"/>
      <c r="V212" s="1548"/>
      <c r="W212" s="1548"/>
      <c r="X212" s="1548"/>
      <c r="Y212" s="1548"/>
      <c r="Z212" s="1548"/>
      <c r="AA212" s="1009"/>
      <c r="AB212" s="1568"/>
      <c r="AC212" s="1569"/>
      <c r="AD212" s="264" t="s">
        <v>120</v>
      </c>
      <c r="AE212" s="275" cm="1" t="str">
        <f t="array" ref="AE212:AE212">IF(ISBLANK(first_year),"",first_year)</f>
        <v>2025</v>
      </c>
      <c r="AF212" s="208"/>
      <c r="AG212" s="1659"/>
      <c r="AH212" s="1659"/>
      <c r="AI212" s="1659"/>
      <c r="AJ212" s="1659"/>
      <c r="AK212" s="1659"/>
      <c r="AL212" s="1659"/>
      <c r="AM212" s="1659"/>
      <c r="AN212" s="1659"/>
      <c r="AO212" s="1751"/>
      <c r="AP212" s="1751"/>
      <c r="AQ212" s="1751"/>
      <c r="AR212" s="1751"/>
      <c r="AS212" s="1751"/>
      <c r="AT212" s="1751"/>
      <c r="AU212" s="1751"/>
      <c r="AV212" s="1751"/>
      <c r="AW212" s="1751"/>
      <c r="AX212" s="1751"/>
      <c r="AY212" s="1751"/>
      <c r="AZ212" s="1751"/>
      <c r="BA212" s="1751"/>
      <c r="BB212" s="1751"/>
      <c r="BC212" s="1751"/>
      <c r="BD212" s="1751"/>
      <c r="BE212" s="1751"/>
      <c r="BF212" s="1077"/>
      <c r="BG212" s="1083" t="s">
        <v>322</v>
      </c>
      <c r="BH212" s="1083"/>
      <c r="BI212" s="1083" t="s">
        <v>302</v>
      </c>
      <c r="BJ212" s="1083"/>
      <c r="BK212" s="1083"/>
      <c r="BL212" s="1083"/>
      <c r="BM212" s="1083"/>
      <c r="BN212" s="1083"/>
      <c r="BO212" s="1083"/>
      <c r="BP212" s="1083"/>
      <c r="BQ212" s="1083"/>
      <c r="BR212" s="1083"/>
      <c r="BS212" s="1083"/>
      <c r="BT212" s="1083"/>
      <c r="BU212" s="1083"/>
      <c r="BV212" s="1083"/>
      <c r="BW212" s="1507"/>
      <c r="BX212" s="1077" t="s">
        <v>303</v>
      </c>
      <c r="BY212" s="1077" t="s">
        <v>304</v>
      </c>
      <c r="BZ212" s="1076"/>
    </row>
    <row customHeight="1" ht="19.5">
      <c r="A213" s="371"/>
      <c r="B213" s="192">
        <f>NOT(FIRST_TIME_REG="")</f>
        <v>1</v>
      </c>
      <c r="C213" s="1548"/>
      <c r="D213" s="1548"/>
      <c r="E213" s="180">
        <v>20</v>
      </c>
      <c r="F213" s="1659"/>
      <c r="G213" s="1548"/>
      <c r="H213" s="1548"/>
      <c r="I213" s="1548"/>
      <c r="J213" s="1548"/>
      <c r="K213" s="1548"/>
      <c r="L213" s="1548"/>
      <c r="M213" s="1548"/>
      <c r="N213" s="1548"/>
      <c r="O213" s="1548"/>
      <c r="P213" s="1548"/>
      <c r="Q213" s="1548"/>
      <c r="R213" s="1548"/>
      <c r="S213" s="1548"/>
      <c r="T213" s="1548"/>
      <c r="U213" s="1548"/>
      <c r="V213" s="1548"/>
      <c r="W213" s="1548"/>
      <c r="X213" s="1548"/>
      <c r="Y213" s="1548"/>
      <c r="Z213" s="1548"/>
      <c r="AA213" s="1009"/>
      <c r="AB213" s="1570"/>
      <c r="AC213" s="1571"/>
      <c r="AD213" s="264" t="s">
        <v>121</v>
      </c>
      <c r="AE213" s="275" cm="1" t="str">
        <f t="array" ref="AE213:AE213">IF(ISBLANK(PERIOD_LENGTH),"",PERIOD_LENGTH)</f>
        <v>3</v>
      </c>
      <c r="AF213" s="208"/>
      <c r="AG213" s="1659"/>
      <c r="AH213" s="1659"/>
      <c r="AI213" s="1659"/>
      <c r="AJ213" s="1659"/>
      <c r="AK213" s="1659"/>
      <c r="AL213" s="1659"/>
      <c r="AM213" s="1659"/>
      <c r="AN213" s="1659"/>
      <c r="AO213" s="1751"/>
      <c r="AP213" s="1751"/>
      <c r="AQ213" s="1751"/>
      <c r="AR213" s="1751"/>
      <c r="AS213" s="1751"/>
      <c r="AT213" s="1751"/>
      <c r="AU213" s="1751"/>
      <c r="AV213" s="1751"/>
      <c r="AW213" s="1751"/>
      <c r="AX213" s="1751"/>
      <c r="AY213" s="1751"/>
      <c r="AZ213" s="1751"/>
      <c r="BA213" s="1751"/>
      <c r="BB213" s="1751"/>
      <c r="BC213" s="1751"/>
      <c r="BD213" s="1751"/>
      <c r="BE213" s="1751"/>
      <c r="BF213" s="1077"/>
      <c r="BG213" s="1083" t="s">
        <v>322</v>
      </c>
      <c r="BH213" s="1083"/>
      <c r="BI213" s="1083" t="s">
        <v>306</v>
      </c>
      <c r="BJ213" s="1083"/>
      <c r="BK213" s="1083"/>
      <c r="BL213" s="1083"/>
      <c r="BM213" s="1083"/>
      <c r="BN213" s="1083"/>
      <c r="BO213" s="1083"/>
      <c r="BP213" s="1083"/>
      <c r="BQ213" s="1083"/>
      <c r="BR213" s="1083"/>
      <c r="BS213" s="1083"/>
      <c r="BT213" s="1083"/>
      <c r="BU213" s="1083"/>
      <c r="BV213" s="1083"/>
      <c r="BW213" s="1507"/>
      <c r="BX213" s="1077" t="s">
        <v>303</v>
      </c>
      <c r="BY213" s="1077" t="s">
        <v>331</v>
      </c>
      <c r="BZ213" s="1076"/>
    </row>
    <row customHeight="1" ht="24.375">
      <c r="A214" s="371"/>
      <c r="B214" s="192">
        <f>NOT(FIRST_TIME_REG="")</f>
        <v>1</v>
      </c>
      <c r="C214" s="1548"/>
      <c r="D214" s="1548"/>
      <c r="E214" s="180">
        <v>25</v>
      </c>
      <c r="F214" s="1659"/>
      <c r="G214" s="1548"/>
      <c r="H214" s="1548"/>
      <c r="I214" s="1548"/>
      <c r="J214" s="1548"/>
      <c r="K214" s="1548"/>
      <c r="L214" s="1548"/>
      <c r="M214" s="1548"/>
      <c r="N214" s="1548"/>
      <c r="O214" s="1548"/>
      <c r="P214" s="1548"/>
      <c r="Q214" s="1548"/>
      <c r="R214" s="1548"/>
      <c r="S214" s="1548"/>
      <c r="T214" s="1548"/>
      <c r="U214" s="1548"/>
      <c r="V214" s="1548"/>
      <c r="W214" s="1548"/>
      <c r="X214" s="1548"/>
      <c r="Y214" s="1548"/>
      <c r="Z214" s="1548"/>
      <c r="AA214" s="1009"/>
      <c r="AB214" s="1564" t="s">
        <v>332</v>
      </c>
      <c r="AC214" s="1565"/>
      <c r="AD214" s="1566"/>
      <c r="AE214" s="220" t="s">
        <v>167</v>
      </c>
      <c r="AF214" s="219"/>
      <c r="AG214" s="1659"/>
      <c r="AH214" s="1659"/>
      <c r="AI214" s="1659"/>
      <c r="AJ214" s="1659"/>
      <c r="AK214" s="1659"/>
      <c r="AL214" s="1659"/>
      <c r="AM214" s="1659"/>
      <c r="AN214" s="1659"/>
      <c r="AO214" s="1751"/>
      <c r="AP214" s="1751"/>
      <c r="AQ214" s="1751"/>
      <c r="AR214" s="1751"/>
      <c r="AS214" s="1751"/>
      <c r="AT214" s="1751"/>
      <c r="AU214" s="1751"/>
      <c r="AV214" s="1751"/>
      <c r="AW214" s="1751"/>
      <c r="AX214" s="1751"/>
      <c r="AY214" s="1751"/>
      <c r="AZ214" s="1751"/>
      <c r="BA214" s="1751"/>
      <c r="BB214" s="1751"/>
      <c r="BC214" s="1751"/>
      <c r="BD214" s="1751"/>
      <c r="BE214" s="1751"/>
      <c r="BF214" s="1077"/>
      <c r="BG214" s="1083" t="s">
        <v>322</v>
      </c>
      <c r="BH214" s="1083"/>
      <c r="BI214" s="1083"/>
      <c r="BJ214" s="1083"/>
      <c r="BK214" s="1083"/>
      <c r="BL214" s="1083"/>
      <c r="BM214" s="1083"/>
      <c r="BN214" s="1083"/>
      <c r="BO214" s="1083"/>
      <c r="BP214" s="1083"/>
      <c r="BQ214" s="1083"/>
      <c r="BR214" s="1083"/>
      <c r="BS214" s="1083"/>
      <c r="BT214" s="1083"/>
      <c r="BU214" s="1083"/>
      <c r="BV214" s="1083" t="s">
        <v>333</v>
      </c>
      <c r="BW214" s="1507"/>
      <c r="BX214" s="1077" t="s">
        <v>178</v>
      </c>
      <c r="BY214" s="1077" t="s">
        <v>204</v>
      </c>
      <c r="BZ214" s="1076"/>
    </row>
    <row customHeight="1" ht="11.700000000000001">
      <c r="A215" s="371"/>
      <c r="B215" s="192">
        <f>NOT(FIRST_TIME_REG="")</f>
        <v>1</v>
      </c>
      <c r="C215" s="1548"/>
      <c r="D215" s="1548"/>
      <c r="E215" s="180">
        <v>12</v>
      </c>
      <c r="F215" s="1659"/>
      <c r="G215" s="1548"/>
      <c r="H215" s="1548"/>
      <c r="I215" s="1548"/>
      <c r="J215" s="1548"/>
      <c r="K215" s="1548"/>
      <c r="L215" s="1548"/>
      <c r="M215" s="1548"/>
      <c r="N215" s="1548"/>
      <c r="O215" s="1548"/>
      <c r="P215" s="1548"/>
      <c r="Q215" s="1548"/>
      <c r="R215" s="1548"/>
      <c r="S215" s="1548"/>
      <c r="T215" s="1548"/>
      <c r="U215" s="1548"/>
      <c r="V215" s="1548"/>
      <c r="W215" s="1548"/>
      <c r="X215" s="1548"/>
      <c r="Y215" s="1548"/>
      <c r="Z215" s="1548"/>
      <c r="AA215" s="1009"/>
      <c r="AB215" s="181"/>
      <c r="AC215" s="181"/>
      <c r="AD215" s="181"/>
      <c r="AE215" s="181"/>
      <c r="AF215" s="206"/>
      <c r="AG215" s="1659"/>
      <c r="AH215" s="1659"/>
      <c r="AI215" s="1659"/>
      <c r="AJ215" s="1659"/>
      <c r="AK215" s="1659"/>
      <c r="AL215" s="1659"/>
      <c r="AM215" s="1659"/>
      <c r="AN215" s="1659"/>
      <c r="AO215" s="1751"/>
      <c r="AP215" s="1751"/>
      <c r="AQ215" s="1751"/>
      <c r="AR215" s="1751"/>
      <c r="AS215" s="1751"/>
      <c r="AT215" s="1751"/>
      <c r="AU215" s="1751"/>
      <c r="AV215" s="1751"/>
      <c r="AW215" s="1751"/>
      <c r="AX215" s="1751"/>
      <c r="AY215" s="1751"/>
      <c r="AZ215" s="1751"/>
      <c r="BA215" s="1751"/>
      <c r="BB215" s="1751"/>
      <c r="BC215" s="1751"/>
      <c r="BD215" s="1751"/>
      <c r="BE215" s="1751"/>
      <c r="BF215" s="1077"/>
      <c r="BG215" s="1083"/>
      <c r="BH215" s="1083"/>
      <c r="BI215" s="1083"/>
      <c r="BJ215" s="1083"/>
      <c r="BK215" s="1083"/>
      <c r="BL215" s="1083"/>
      <c r="BM215" s="1083"/>
      <c r="BN215" s="1083"/>
      <c r="BO215" s="1083"/>
      <c r="BP215" s="1083"/>
      <c r="BQ215" s="1083"/>
      <c r="BR215" s="1083"/>
      <c r="BS215" s="1083"/>
      <c r="BT215" s="1083"/>
      <c r="BU215" s="1083"/>
      <c r="BV215" s="1083"/>
      <c r="BW215" s="1507"/>
      <c r="BX215" s="1077"/>
      <c r="BY215" s="1077"/>
      <c r="BZ215" s="1076"/>
    </row>
    <row customHeight="1" ht="19.5">
      <c r="A216" s="371"/>
      <c r="B216" s="192">
        <f>NOT(FIRST_TIME_REG="")</f>
        <v>1</v>
      </c>
      <c r="C216" s="1548"/>
      <c r="D216" s="1548"/>
      <c r="E216" s="180">
        <v>20</v>
      </c>
      <c r="F216" s="1659"/>
      <c r="G216" s="1548"/>
      <c r="H216" s="1548"/>
      <c r="I216" s="1548"/>
      <c r="J216" s="1548"/>
      <c r="K216" s="1548"/>
      <c r="L216" s="1548"/>
      <c r="M216" s="1548"/>
      <c r="N216" s="1548"/>
      <c r="O216" s="1548"/>
      <c r="P216" s="1548"/>
      <c r="Q216" s="1548"/>
      <c r="R216" s="1548"/>
      <c r="S216" s="1548"/>
      <c r="T216" s="1548"/>
      <c r="U216" s="1548"/>
      <c r="V216" s="1548"/>
      <c r="W216" s="1548"/>
      <c r="X216" s="1548"/>
      <c r="Y216" s="1548"/>
      <c r="Z216" s="1548"/>
      <c r="AA216" s="1009"/>
      <c r="AB216" s="1564" t="s">
        <v>334</v>
      </c>
      <c r="AC216" s="1565"/>
      <c r="AD216" s="1566"/>
      <c r="AE216" s="276"/>
      <c r="AF216" s="206"/>
      <c r="AG216" s="1659"/>
      <c r="AH216" s="1659"/>
      <c r="AI216" s="1659"/>
      <c r="AJ216" s="1659"/>
      <c r="AK216" s="1659"/>
      <c r="AL216" s="1659"/>
      <c r="AM216" s="1659"/>
      <c r="AN216" s="1659"/>
      <c r="AO216" s="1751"/>
      <c r="AP216" s="1751"/>
      <c r="AQ216" s="1751"/>
      <c r="AR216" s="1751"/>
      <c r="AS216" s="1751"/>
      <c r="AT216" s="1751"/>
      <c r="AU216" s="1751"/>
      <c r="AV216" s="1751"/>
      <c r="AW216" s="1751"/>
      <c r="AX216" s="1751"/>
      <c r="AY216" s="1751"/>
      <c r="AZ216" s="1751"/>
      <c r="BA216" s="1751"/>
      <c r="BB216" s="1751"/>
      <c r="BC216" s="1751"/>
      <c r="BD216" s="1751"/>
      <c r="BE216" s="1751"/>
      <c r="BF216" s="1077"/>
      <c r="BG216" s="1083"/>
      <c r="BH216" s="1083"/>
      <c r="BI216" s="1083"/>
      <c r="BJ216" s="1083"/>
      <c r="BK216" s="1083"/>
      <c r="BL216" s="1083"/>
      <c r="BM216" s="1083"/>
      <c r="BN216" s="1083"/>
      <c r="BO216" s="1083"/>
      <c r="BP216" s="1083"/>
      <c r="BQ216" s="1083"/>
      <c r="BR216" s="1083"/>
      <c r="BS216" s="1083"/>
      <c r="BT216" s="1083"/>
      <c r="BU216" s="1083"/>
      <c r="BV216" s="1083" t="s">
        <v>335</v>
      </c>
      <c r="BW216" s="1507"/>
      <c r="BX216" s="1077" t="s">
        <v>178</v>
      </c>
      <c r="BY216" s="1077" t="s">
        <v>204</v>
      </c>
      <c r="BZ216" s="1076"/>
    </row>
    <row customHeight="1" ht="11.25">
      <c r="AF217" s="181"/>
      <c r="BF217" s="1075"/>
      <c r="BG217" s="1075"/>
      <c r="BH217" s="1075"/>
      <c r="BI217" s="1075"/>
      <c r="BJ217" s="1075"/>
      <c r="BK217" s="1075"/>
      <c r="BL217" s="1075"/>
      <c r="BM217" s="1075"/>
      <c r="BN217" s="1075"/>
      <c r="BO217" s="1075"/>
      <c r="BP217" s="1075"/>
      <c r="BQ217" s="1075"/>
      <c r="BR217" s="1075"/>
      <c r="BS217" s="1075"/>
      <c r="BT217" s="1075"/>
      <c r="BU217" s="1075"/>
      <c r="BV217" s="1075"/>
      <c r="BW217" s="1075"/>
      <c r="BX217" s="1075"/>
      <c r="BY217" s="1075"/>
    </row>
  </sheetData>
  <sheetProtection formatColumns="0" formatRows="0" insertRows="0" deleteColumns="0" deleteRows="0" sort="0" autoFilter="0" insertColumns="1"/>
  <mergeCells count="160">
    <mergeCell ref="Z85:Z89"/>
    <mergeCell ref="Z90:Z94"/>
    <mergeCell ref="Z103:Z108"/>
    <mergeCell ref="Z117:Z122"/>
    <mergeCell ref="Z131:Z136"/>
    <mergeCell ref="Z73:Z77"/>
    <mergeCell ref="Z78:Z82"/>
    <mergeCell ref="AA78:AA82"/>
    <mergeCell ref="AB62:AD62"/>
    <mergeCell ref="AB78:AB82"/>
    <mergeCell ref="AC78:AD78"/>
    <mergeCell ref="AC79:AD79"/>
    <mergeCell ref="AC80:AD80"/>
    <mergeCell ref="AC81:AD81"/>
    <mergeCell ref="AC82:AD82"/>
    <mergeCell ref="AA90:AA94"/>
    <mergeCell ref="AB131:AB136"/>
    <mergeCell ref="AC131:AD131"/>
    <mergeCell ref="AC132:AD132"/>
    <mergeCell ref="AC133:AD133"/>
    <mergeCell ref="AC134:AD134"/>
    <mergeCell ref="AC135:AD135"/>
    <mergeCell ref="AC136:AD136"/>
    <mergeCell ref="AA131:AA136"/>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L23:AL26"/>
    <mergeCell ref="Y170:Y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Y186:Y201"/>
    <mergeCell ref="AF186:AF201"/>
  </mergeCells>
  <dataValidations count="10">
    <dataValidation type="list" allowBlank="1" showInputMessage="1" showErrorMessage="1" errorTitle="Внимание" error="Пожалуйста, выберите значение из списка!" sqref="AE216 AE96 AE72 AE84 AE110 AE124 AE139 AE60 AE214 AE165 AE65">
      <formula1>YES_NO</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26 AE185 AE201">
      <formula1>period_list</formula1>
    </dataValidation>
    <dataValidation type="list" allowBlank="1" showInputMessage="1" showErrorMessage="1" sqref="AB202:AC202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5 AE184 AE200">
      <formula1>YEAR_LIST</formula1>
    </dataValidation>
    <dataValidation type="list" allowBlank="1" showInputMessage="1" showErrorMessage="1" errorTitle="Ошибка" error="Выберите значение из списка" prompt="Выберите значение из списка" sqref="AE174 AE190">
      <formula1>tariff_type_list</formula1>
    </dataValidation>
    <dataValidation type="list" allowBlank="1" showInputMessage="1" showErrorMessage="1" sqref="AE23 AE183 AE199">
      <formula1>method_list</formula1>
    </dataValidation>
    <dataValidation type="list" allowBlank="1" showInputMessage="1" showErrorMessage="1" sqref="AE173 AE189">
      <formula1>tn_type</formula1>
    </dataValidation>
    <dataValidation type="list" allowBlank="1" showInputMessage="1" showErrorMessage="1" sqref="AE172 AE188">
      <formula1>tariff_list</formula1>
    </dataValidation>
    <dataValidation type="date" operator="greaterThanOrEqual" allowBlank="1" showInputMessage="1" showErrorMessage="1" error="Дата указана некорректно!" sqref="AE76 AE182 AE180 AE168 AE134:AE136 AE128:AE130 AE120:AE122 AE114:AE116 AE106:AE108 AE100:AE102 AE93 AE88 AE81 AE196 AE198">
      <formula1>1.9996180555555556</formula1>
    </dataValidation>
  </dataValidations>
  <hyperlinks>
    <hyperlink ref="AE89" r:id="rId3" xr:uid="{547A3118-5098-E8F8-8AD8-38AC2EEB76F1}"/>
    <hyperlink ref="AE144" r:id="rId4" xr:uid="{E3FA4BB3-3EC1-FE28-7FE8-21A457BC3418}"/>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39" man="1" max="1048576"/>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F2808-85AD-E468-B718-4512C62C5278}" mc:Ignorable="x14ac xr xr2 xr3">
  <sheetPr>
    <tabColor theme="3" tint="0.6"/>
    <outlinePr summaryRight="0" summaryBelow="0"/>
    <pageSetUpPr fitToPage="1"/>
  </sheetPr>
  <dimension ref="A1:AT34"/>
  <sheetViews>
    <sheetView showGridLines="0" workbookViewId="0">
      <pane xSplit="28" ySplit="25" topLeftCell="AC29" activePane="bottomRight" state="frozen"/>
      <selection pane="bottomLeft" activeCell="A26" sqref="A26"/>
      <selection pane="topRight" activeCell="AC1" sqref="AC1"/>
      <selection pane="bottomRight" activeCell="AC31" sqref="AC31"/>
    </sheetView>
  </sheetViews>
  <sheetFormatPr defaultColWidth="9.140625" customHeight="1" defaultRowHeight="11.25"/>
  <cols>
    <col min="1" max="1" style="371" width="3.57421875" hidden="1" customWidth="1"/>
    <col min="2" max="2" style="1721" width="3.00390625" hidden="1" customWidth="1"/>
    <col min="3" max="4" style="1721" width="3.57421875" hidden="1" customWidth="1"/>
    <col min="5" max="5" style="1723" width="3.8515625" hidden="1" customWidth="1"/>
    <col min="6" max="6" style="1721" width="6.421875" hidden="1" customWidth="1"/>
    <col min="7" max="19" style="1721" width="3.57421875" hidden="1" customWidth="1"/>
    <col min="20" max="20" style="1548" width="3.57421875" hidden="1" customWidth="1"/>
    <col min="21" max="21" style="1721" width="7.421875" hidden="1" customWidth="1"/>
    <col min="22" max="23" style="1721" width="6.00390625" hidden="1" customWidth="1"/>
    <col min="24" max="24" style="1721" width="8.00390625" hidden="1" customWidth="1"/>
    <col min="25" max="25" style="1721" width="5.421875" hidden="1" customWidth="1"/>
    <col min="26" max="26" style="1721" width="5.00390625" hidden="1" customWidth="1"/>
    <col min="27" max="27" style="1724" width="3.00390625" customWidth="1"/>
    <col min="28" max="28" style="289" width="6.00390625" customWidth="1"/>
    <col min="29" max="30" style="289" width="28.00390625" customWidth="1"/>
    <col min="31" max="31" style="291" width="15.00390625" customWidth="1"/>
    <col min="32" max="32" style="291" width="22.00390625" customWidth="1"/>
    <col min="33" max="33" style="289" width="32.00390625" customWidth="1"/>
    <col min="34" max="34" style="289" width="3.00390625" customWidth="1"/>
    <col min="35" max="35" style="308" width="9.140625" hidden="1"/>
    <col min="36" max="36" style="1142" width="6.7109375" hidden="1" customWidth="1"/>
    <col min="37" max="40" style="1560" width="6.7109375" hidden="1" customWidth="1"/>
    <col min="41" max="42" style="281" width="6.7109375" hidden="1" customWidth="1"/>
    <col min="43" max="46" width="9.140625" hidden="1"/>
  </cols>
  <sheetData>
    <row s="1548" customFormat="1" customHeight="1" ht="11.25" hidden="1">
      <c r="A1" s="371"/>
      <c r="F1" s="753" t="s">
        <v>84</v>
      </c>
      <c r="U1" s="753" t="s">
        <v>85</v>
      </c>
      <c r="V1" s="753" t="s">
        <v>91</v>
      </c>
      <c r="W1" s="753" t="s">
        <v>86</v>
      </c>
      <c r="X1" s="753" t="s">
        <v>87</v>
      </c>
      <c r="Y1" s="753" t="s">
        <v>88</v>
      </c>
      <c r="Z1" s="753" t="s">
        <v>93</v>
      </c>
      <c r="AA1" s="753" t="s">
        <v>90</v>
      </c>
      <c r="AB1" s="753" t="s">
        <v>89</v>
      </c>
      <c r="AC1" s="753" t="s">
        <v>92</v>
      </c>
      <c r="AJ1" s="1142" t="s">
        <v>336</v>
      </c>
      <c r="AK1" s="371" t="s">
        <v>337</v>
      </c>
      <c r="AL1" s="371" t="s">
        <v>338</v>
      </c>
      <c r="AM1" s="371" t="s">
        <v>339</v>
      </c>
      <c r="AN1" s="371" t="s">
        <v>340</v>
      </c>
      <c r="AO1" s="372" t="s">
        <v>341</v>
      </c>
      <c r="AP1" s="372" t="s">
        <v>342</v>
      </c>
      <c r="AQ1" s="1075" t="s">
        <v>343</v>
      </c>
      <c r="AR1" s="1075" t="s">
        <v>344</v>
      </c>
      <c r="AS1" s="1075" t="s">
        <v>345</v>
      </c>
      <c r="AT1" s="1075" t="s">
        <v>94</v>
      </c>
    </row>
    <row s="1721" customFormat="1" customHeight="1" ht="11.25" hidden="1">
      <c r="A2" s="371"/>
      <c r="B2" s="179" t="s">
        <v>16</v>
      </c>
      <c r="T2" s="175"/>
      <c r="AJ2" s="1142"/>
      <c r="AK2" s="280"/>
      <c r="AL2" s="280"/>
      <c r="AM2" s="280"/>
      <c r="AN2" s="280"/>
      <c r="AO2" s="281"/>
      <c r="AP2" s="281"/>
      <c r="AQ2" s="1073"/>
      <c r="AR2" s="1073"/>
      <c r="AS2" s="1073"/>
      <c r="AT2" s="1073"/>
    </row>
    <row s="1721" customFormat="1" customHeight="1" ht="11.25" hidden="1">
      <c r="A3" s="371"/>
      <c r="C3" s="175"/>
      <c r="T3" s="175"/>
      <c r="AJ3" s="1142"/>
      <c r="AK3" s="280"/>
      <c r="AL3" s="280"/>
      <c r="AM3" s="280"/>
      <c r="AN3" s="280"/>
      <c r="AO3" s="281"/>
      <c r="AP3" s="281"/>
      <c r="AQ3" s="239"/>
      <c r="AR3" s="239"/>
      <c r="AS3" s="239"/>
      <c r="AT3" s="239"/>
    </row>
    <row s="1721" customFormat="1" customHeight="1" ht="11.25" hidden="1">
      <c r="A4" s="371"/>
      <c r="T4" s="175"/>
      <c r="AJ4" s="1142"/>
      <c r="AK4" s="280"/>
      <c r="AL4" s="280"/>
      <c r="AM4" s="280"/>
      <c r="AN4" s="280"/>
      <c r="AO4" s="281"/>
      <c r="AP4" s="281"/>
      <c r="AQ4" s="239"/>
      <c r="AR4" s="239"/>
      <c r="AS4" s="239"/>
      <c r="AT4" s="239"/>
    </row>
    <row s="1723" customFormat="1" customHeight="1" ht="11.25" hidden="1">
      <c r="A5" s="371"/>
      <c r="B5" s="176"/>
      <c r="C5" s="176"/>
      <c r="D5" s="176"/>
      <c r="E5" s="284" t="s">
        <v>17</v>
      </c>
      <c r="T5" s="180"/>
      <c r="AA5" s="284">
        <v>3</v>
      </c>
      <c r="AB5" s="284">
        <v>6</v>
      </c>
      <c r="AC5" s="284">
        <v>28</v>
      </c>
      <c r="AD5" s="284">
        <v>28</v>
      </c>
      <c r="AE5" s="284">
        <v>15</v>
      </c>
      <c r="AF5" s="284">
        <v>22</v>
      </c>
      <c r="AG5" s="284">
        <v>32</v>
      </c>
      <c r="AH5" s="284">
        <v>3</v>
      </c>
      <c r="AJ5" s="1142"/>
      <c r="AK5" s="281"/>
      <c r="AL5" s="281"/>
      <c r="AM5" s="281"/>
      <c r="AN5" s="281"/>
      <c r="AO5" s="281"/>
      <c r="AP5" s="281"/>
      <c r="AQ5" s="1074"/>
      <c r="AR5" s="1074"/>
      <c r="AS5" s="1074"/>
      <c r="AT5" s="1074"/>
    </row>
    <row s="1721" customFormat="1" customHeight="1" ht="11.25" hidden="1">
      <c r="A6" s="371"/>
      <c r="E6" s="284"/>
      <c r="T6" s="175"/>
      <c r="AC6" s="176" t="s">
        <v>346</v>
      </c>
      <c r="AD6" s="176" t="s">
        <v>347</v>
      </c>
      <c r="AE6" s="176" t="s">
        <v>348</v>
      </c>
      <c r="AJ6" s="1142"/>
      <c r="AK6" s="280"/>
      <c r="AL6" s="280"/>
      <c r="AM6" s="280"/>
      <c r="AN6" s="280"/>
      <c r="AO6" s="281"/>
      <c r="AP6" s="281"/>
      <c r="AQ6" s="239"/>
      <c r="AR6" s="239"/>
      <c r="AS6" s="239"/>
      <c r="AT6" s="239"/>
    </row>
    <row s="308" customFormat="1" customHeight="1" ht="11.25" hidden="1">
      <c r="A7" s="371"/>
      <c r="B7" s="176"/>
      <c r="C7" s="176"/>
      <c r="D7" s="176"/>
      <c r="E7" s="284"/>
      <c r="T7" s="193"/>
      <c r="AJ7" s="1142"/>
      <c r="AK7" s="280"/>
      <c r="AL7" s="280"/>
      <c r="AM7" s="280"/>
      <c r="AN7" s="280"/>
      <c r="AO7" s="281"/>
      <c r="AP7" s="281"/>
      <c r="AQ7" s="287"/>
      <c r="AR7" s="287"/>
      <c r="AS7" s="287"/>
      <c r="AT7" s="287"/>
    </row>
    <row s="308" customFormat="1" customHeight="1" ht="11.25" hidden="1">
      <c r="A8" s="371"/>
      <c r="B8" s="176"/>
      <c r="C8" s="176"/>
      <c r="D8" s="176"/>
      <c r="E8" s="284"/>
      <c r="T8" s="193"/>
      <c r="AJ8" s="1142"/>
      <c r="AK8" s="280"/>
      <c r="AL8" s="280"/>
      <c r="AM8" s="280"/>
      <c r="AN8" s="280"/>
      <c r="AO8" s="281"/>
      <c r="AP8" s="281"/>
      <c r="AQ8" s="287"/>
      <c r="AR8" s="287"/>
      <c r="AS8" s="287"/>
      <c r="AT8" s="287"/>
    </row>
    <row s="1143" customFormat="1" customHeight="1" ht="11.25" hidden="1">
      <c r="A9" s="1142" t="s">
        <v>349</v>
      </c>
      <c r="AF9" s="1143" cm="1" t="str">
        <f t="array" ref="AF9:AF9">AF24</f>
        <v>Тип муниципального образования </v>
      </c>
      <c r="AG9" s="1143" cm="1" t="str">
        <f t="array" ref="AG9:AG9">AG24</f>
        <v>Дополнительные сведения</v>
      </c>
      <c r="AJ9" s="1142"/>
      <c r="AK9" s="1142"/>
      <c r="AL9" s="1142"/>
      <c r="AM9" s="1142"/>
      <c r="AN9" s="1142"/>
      <c r="AO9" s="1142"/>
      <c r="AP9" s="1142"/>
      <c r="AQ9" s="1144"/>
      <c r="AR9" s="1144"/>
      <c r="AS9" s="1144"/>
      <c r="AT9" s="1144"/>
    </row>
    <row s="1143" customFormat="1" customHeight="1" ht="11.25" hidden="1">
      <c r="A10" s="1142" t="s">
        <v>350</v>
      </c>
      <c r="AC10" s="1143" t="s">
        <v>338</v>
      </c>
      <c r="AD10" s="1143" t="s">
        <v>339</v>
      </c>
      <c r="AE10" s="1143" t="s">
        <v>340</v>
      </c>
      <c r="AJ10" s="1142"/>
      <c r="AK10" s="1142"/>
      <c r="AL10" s="1142"/>
      <c r="AM10" s="1142"/>
      <c r="AN10" s="1142"/>
      <c r="AO10" s="1142"/>
      <c r="AP10" s="1142"/>
      <c r="AQ10" s="1144"/>
      <c r="AR10" s="1144"/>
      <c r="AS10" s="1144"/>
      <c r="AT10" s="1144"/>
    </row>
    <row s="1721" customFormat="1" customHeight="1" ht="11.25" hidden="1">
      <c r="A11" s="371"/>
      <c r="E11" s="284"/>
      <c r="T11" s="175"/>
      <c r="AJ11" s="1142"/>
      <c r="AK11" s="280"/>
      <c r="AL11" s="280"/>
      <c r="AM11" s="280"/>
      <c r="AN11" s="280"/>
      <c r="AO11" s="281"/>
      <c r="AP11" s="281"/>
      <c r="AQ11" s="239"/>
      <c r="AR11" s="239"/>
      <c r="AS11" s="239"/>
      <c r="AT11" s="239"/>
    </row>
    <row s="1721" customFormat="1" customHeight="1" ht="11.25" hidden="1">
      <c r="A12" s="371"/>
      <c r="E12" s="284"/>
      <c r="T12" s="175"/>
      <c r="AJ12" s="1142"/>
      <c r="AK12" s="280"/>
      <c r="AL12" s="280"/>
      <c r="AM12" s="280"/>
      <c r="AN12" s="280"/>
      <c r="AO12" s="281"/>
      <c r="AP12" s="281"/>
      <c r="AQ12" s="239"/>
      <c r="AR12" s="239"/>
      <c r="AS12" s="239"/>
      <c r="AT12" s="239"/>
    </row>
    <row s="1721" customFormat="1" customHeight="1" ht="11.25" hidden="1">
      <c r="A13" s="371"/>
      <c r="E13" s="284"/>
      <c r="T13" s="175"/>
      <c r="AJ13" s="1142"/>
      <c r="AK13" s="280"/>
      <c r="AL13" s="280"/>
      <c r="AM13" s="280"/>
      <c r="AN13" s="280"/>
      <c r="AO13" s="281"/>
      <c r="AP13" s="281"/>
      <c r="AQ13" s="239"/>
      <c r="AR13" s="239"/>
      <c r="AS13" s="239"/>
      <c r="AT13" s="239"/>
    </row>
    <row s="1721" customFormat="1" customHeight="1" ht="11.25" hidden="1">
      <c r="A14" s="371" t="s">
        <v>351</v>
      </c>
      <c r="E14" s="284"/>
      <c r="T14" s="175"/>
      <c r="AF14" s="1088" t="s">
        <v>178</v>
      </c>
      <c r="AG14" s="1088" t="s">
        <v>178</v>
      </c>
      <c r="AJ14" s="1142"/>
      <c r="AK14" s="280"/>
      <c r="AL14" s="280"/>
      <c r="AM14" s="280"/>
      <c r="AN14" s="280"/>
      <c r="AO14" s="281"/>
      <c r="AP14" s="281"/>
      <c r="AQ14" s="239"/>
      <c r="AR14" s="239"/>
      <c r="AS14" s="239"/>
      <c r="AT14" s="239"/>
    </row>
    <row s="1721" customFormat="1" customHeight="1" ht="11.25" hidden="1">
      <c r="A15" s="371" t="s">
        <v>352</v>
      </c>
      <c r="E15" s="284"/>
      <c r="T15" s="175"/>
      <c r="AF15" s="1088" t="s">
        <v>353</v>
      </c>
      <c r="AG15" s="1088" t="s">
        <v>220</v>
      </c>
      <c r="AJ15" s="1142"/>
      <c r="AK15" s="280"/>
      <c r="AL15" s="280"/>
      <c r="AM15" s="280"/>
      <c r="AN15" s="280"/>
      <c r="AO15" s="281"/>
      <c r="AP15" s="281"/>
      <c r="AQ15" s="239"/>
      <c r="AR15" s="239"/>
      <c r="AS15" s="239"/>
      <c r="AT15" s="239"/>
    </row>
    <row s="1721" customFormat="1" customHeight="1" ht="11.25" hidden="1">
      <c r="A16" s="371"/>
      <c r="E16" s="284"/>
      <c r="T16" s="175"/>
      <c r="AJ16" s="1142"/>
      <c r="AK16" s="280"/>
      <c r="AL16" s="280"/>
      <c r="AM16" s="280"/>
      <c r="AN16" s="280"/>
      <c r="AO16" s="281"/>
      <c r="AP16" s="281"/>
      <c r="AQ16" s="239"/>
      <c r="AR16" s="239"/>
      <c r="AS16" s="239"/>
      <c r="AT16" s="239"/>
    </row>
    <row s="1721" customFormat="1" customHeight="1" ht="11.25" hidden="1">
      <c r="A17" s="371"/>
      <c r="E17" s="284"/>
      <c r="T17" s="175"/>
      <c r="AJ17" s="1142"/>
      <c r="AK17" s="280"/>
      <c r="AL17" s="280"/>
      <c r="AM17" s="280"/>
      <c r="AN17" s="280"/>
      <c r="AO17" s="281"/>
      <c r="AP17" s="281"/>
      <c r="AQ17" s="239"/>
      <c r="AR17" s="239"/>
      <c r="AS17" s="239"/>
      <c r="AT17" s="239"/>
    </row>
    <row s="1721" customFormat="1" customHeight="1" ht="11.25" hidden="1">
      <c r="A18" s="371"/>
      <c r="E18" s="284"/>
      <c r="T18" s="175"/>
      <c r="AJ18" s="1142"/>
      <c r="AK18" s="280"/>
      <c r="AL18" s="280"/>
      <c r="AM18" s="280"/>
      <c r="AN18" s="280"/>
      <c r="AO18" s="281"/>
      <c r="AP18" s="281"/>
      <c r="AQ18" s="239"/>
      <c r="AR18" s="239"/>
      <c r="AS18" s="239"/>
      <c r="AT18" s="239"/>
    </row>
    <row s="1721" customFormat="1" customHeight="1" ht="11.25" hidden="1">
      <c r="A19" s="371"/>
      <c r="E19" s="284"/>
      <c r="T19" s="175"/>
      <c r="AJ19" s="1142"/>
      <c r="AK19" s="280"/>
      <c r="AL19" s="280"/>
      <c r="AM19" s="280"/>
      <c r="AN19" s="280"/>
      <c r="AO19" s="281"/>
      <c r="AP19" s="281"/>
      <c r="AQ19" s="239"/>
      <c r="AR19" s="239"/>
      <c r="AS19" s="239"/>
      <c r="AT19" s="239"/>
    </row>
    <row s="1721" customFormat="1" customHeight="1" ht="11.25" hidden="1">
      <c r="A20" s="371"/>
      <c r="E20" s="284"/>
      <c r="T20" s="175"/>
      <c r="AJ20" s="1142"/>
      <c r="AK20" s="280"/>
      <c r="AL20" s="280"/>
      <c r="AM20" s="280"/>
      <c r="AN20" s="280"/>
      <c r="AO20" s="281"/>
      <c r="AP20" s="281"/>
      <c r="AQ20" s="239"/>
      <c r="AR20" s="239"/>
      <c r="AS20" s="239"/>
      <c r="AT20" s="239"/>
    </row>
    <row s="308" customFormat="1" customHeight="1" ht="14.625">
      <c r="A21" s="371"/>
      <c r="B21" s="176"/>
      <c r="C21" s="176"/>
      <c r="D21" s="176"/>
      <c r="E21" s="284">
        <v>15</v>
      </c>
      <c r="F21" s="176"/>
      <c r="G21" s="176"/>
      <c r="H21" s="176"/>
      <c r="I21" s="176"/>
      <c r="J21" s="176"/>
      <c r="K21" s="176"/>
      <c r="L21" s="176"/>
      <c r="M21" s="176"/>
      <c r="N21" s="176"/>
      <c r="O21" s="176"/>
      <c r="P21" s="176"/>
      <c r="Q21" s="176"/>
      <c r="R21" s="176"/>
      <c r="S21" s="176"/>
      <c r="T21" s="175"/>
      <c r="U21" s="175"/>
      <c r="V21" s="175"/>
      <c r="W21" s="175"/>
      <c r="X21" s="175"/>
      <c r="Y21" s="175"/>
      <c r="Z21" s="175"/>
      <c r="AA21" s="182"/>
      <c r="AB21" s="288"/>
      <c r="AC21" s="278" cm="1" t="str">
        <f t="array" ref="AC21:AC21">tpl_title</f>
        <v>Кемеровская область / 2027 / ООО "КК-ИНВЕСТ" (ИНН:1901133713, КПП:190101001) / ДПР: 2025-2027</v>
      </c>
      <c r="AD21" s="288"/>
      <c r="AE21" s="288"/>
      <c r="AF21" s="288"/>
      <c r="AG21" s="287"/>
      <c r="AH21" s="287"/>
      <c r="AJ21" s="1142"/>
      <c r="AK21" s="280"/>
      <c r="AL21" s="280"/>
      <c r="AM21" s="280"/>
      <c r="AN21" s="280"/>
      <c r="AO21" s="281"/>
      <c r="AP21" s="281"/>
      <c r="AQ21" s="287"/>
      <c r="AR21" s="287"/>
      <c r="AS21" s="287"/>
      <c r="AT21" s="287"/>
    </row>
    <row customHeight="1" ht="29.25">
      <c r="E22" s="284">
        <v>30</v>
      </c>
      <c r="S22" s="175"/>
      <c r="U22" s="175"/>
      <c r="V22" s="175"/>
      <c r="W22" s="175"/>
      <c r="X22" s="175"/>
      <c r="Y22" s="175"/>
      <c r="Z22" s="175"/>
      <c r="AA22" s="182"/>
      <c r="AB22" s="1581" t="s">
        <v>354</v>
      </c>
      <c r="AC22" s="1582"/>
      <c r="AD22" s="1582"/>
      <c r="AE22" s="1582"/>
      <c r="AF22" s="1582"/>
      <c r="AG22" s="1582"/>
    </row>
    <row customHeight="1" ht="10.725000000000001">
      <c r="E23" s="284">
        <v>11</v>
      </c>
      <c r="AA23" s="251"/>
      <c r="AB23" s="290"/>
      <c r="AC23" s="290"/>
      <c r="AD23" s="290"/>
      <c r="AG23" s="291"/>
    </row>
    <row customHeight="1" ht="27.299999999999997">
      <c r="E24" s="284">
        <v>28</v>
      </c>
      <c r="AA24" s="251"/>
      <c r="AB24" s="292" t="s">
        <v>355</v>
      </c>
      <c r="AC24" s="293" t="s">
        <v>356</v>
      </c>
      <c r="AD24" s="293" t="s">
        <v>357</v>
      </c>
      <c r="AE24" s="293" t="s">
        <v>358</v>
      </c>
      <c r="AF24" s="294" t="s">
        <v>359</v>
      </c>
      <c r="AG24" s="295" t="s">
        <v>180</v>
      </c>
    </row>
    <row customHeight="1" ht="28.5" hidden="1">
      <c r="E25" s="966">
        <v>0</v>
      </c>
      <c r="AA25" s="251"/>
      <c r="AB25" s="296"/>
      <c r="AC25" s="296"/>
      <c r="AD25" s="296"/>
      <c r="AE25" s="296"/>
      <c r="AF25" s="296"/>
      <c r="AG25" s="296"/>
    </row>
    <row customHeight="1" ht="10.725000000000001" hidden="1">
      <c r="E26" s="284">
        <v>11</v>
      </c>
      <c r="F26" s="175" cm="1" t="str">
        <f t="array" ref="F26:F26">Y26</f>
        <v>0</v>
      </c>
      <c r="U26" s="973">
        <f>Y26&gt;0</f>
        <v>0</v>
      </c>
      <c r="W26" s="176" t="s">
        <v>266</v>
      </c>
      <c r="Y26" s="176">
        <v>0</v>
      </c>
      <c r="AB26" s="298" cm="1" t="str">
        <f t="array" ref="AB26:AB26">INDEX('Общие сведения'!$AG$169:$AG$202,MATCH(Y26,'Общие сведения'!$Y$169:$Y$202,0))</f>
        <v>Тариф 0 (Теплоснабжение) - </v>
      </c>
      <c r="AC26" s="299"/>
      <c r="AD26" s="299"/>
      <c r="AE26" s="299"/>
      <c r="AF26" s="299"/>
      <c r="AG26" s="299"/>
    </row>
    <row customHeight="1" ht="23.400000000000002" hidden="1">
      <c r="E27" s="284">
        <v>24</v>
      </c>
      <c r="F27" s="175" cm="1" t="str">
        <f t="array" ref="F27:F27">OFFSET(G27,-1,-1)</f>
        <v>0</v>
      </c>
      <c r="U27" s="973">
        <f>AND(OFFSET(V27,1,-1),AB27&gt;1)</f>
        <v>0</v>
      </c>
      <c r="X27" s="176" t="s">
        <v>189</v>
      </c>
      <c r="AA27" s="477" t="s">
        <v>171</v>
      </c>
      <c r="AB27" s="300">
        <v>0</v>
      </c>
      <c r="AC27" s="301"/>
      <c r="AD27" s="301"/>
      <c r="AE27" s="301"/>
      <c r="AF27" s="65"/>
      <c r="AG27" s="66"/>
      <c r="AJ27" s="975" t="s">
        <v>360</v>
      </c>
      <c r="AK27" s="280" t="s">
        <v>361</v>
      </c>
      <c r="AL27" s="280" cm="1" t="str">
        <f t="array" ref="AL27:AL27">AC27</f>
        <v>0</v>
      </c>
      <c r="AM27" s="280" cm="1" t="str">
        <f t="array" ref="AM27:AM27">AD27</f>
        <v>0</v>
      </c>
      <c r="AN27" s="280" cm="1" t="str">
        <f t="array" ref="AN27:AN27">AE27</f>
        <v>0</v>
      </c>
      <c r="AP27" s="281" t="b">
        <v>1</v>
      </c>
      <c r="AQ27" s="1080" t="str">
        <f>"73.0.0."&amp;"|"&amp;$AC27</f>
        <v>73.0.0.|</v>
      </c>
      <c r="AR27" s="1080" t="str">
        <f>"78.0.0."&amp;"|"&amp;$AD27</f>
        <v>78.0.0.|</v>
      </c>
      <c r="AS27" s="1080" t="str">
        <f>"75.0.0."&amp;"|"&amp;$AE27</f>
        <v>75.0.0.|</v>
      </c>
      <c r="AT27" s="1080" cm="1" t="str">
        <f t="array" ref="AT27:AT27">INDEX('Общие сведения'!$N$170:$N$202,MATCH($F27,'Общие сведения'!$Y$170:$Y$202,0)+1)</f>
        <v>0</v>
      </c>
    </row>
    <row customHeight="1" ht="10.725000000000001" hidden="1">
      <c r="E28" s="284">
        <v>11</v>
      </c>
      <c r="F28" s="175" cm="1" t="str">
        <f t="array" ref="F28:F28">OFFSET(G28,-1,-1)</f>
        <v>0</v>
      </c>
      <c r="U28" s="973" cm="1" t="str">
        <f t="array" ref="U28:U28">U26</f>
        <v>false</v>
      </c>
      <c r="X28" s="176" t="s">
        <v>362</v>
      </c>
      <c r="AB28" s="303"/>
      <c r="AC28" s="304" t="s">
        <v>363</v>
      </c>
      <c r="AD28" s="305"/>
      <c r="AE28" s="305"/>
      <c r="AF28" s="305"/>
      <c r="AG28" s="306"/>
      <c r="AO28" s="281" t="s">
        <v>361</v>
      </c>
    </row>
    <row s="1751" customFormat="1" customHeight="1" ht="10.5">
      <c r="A29" s="371"/>
      <c r="B29" s="1721"/>
      <c r="C29" s="1721"/>
      <c r="D29" s="1721"/>
      <c r="E29" s="284">
        <v>11</v>
      </c>
      <c r="F29" s="175" cm="1" t="str">
        <f t="array" ref="F29:F29">Y29</f>
        <v>1</v>
      </c>
      <c r="G29" s="1721"/>
      <c r="H29" s="1721"/>
      <c r="I29" s="1721"/>
      <c r="J29" s="1721"/>
      <c r="K29" s="1721"/>
      <c r="L29" s="1721"/>
      <c r="M29" s="1721"/>
      <c r="N29" s="1721"/>
      <c r="O29" s="1721"/>
      <c r="P29" s="1721"/>
      <c r="Q29" s="1721"/>
      <c r="R29" s="1721"/>
      <c r="S29" s="1721"/>
      <c r="T29" s="1548"/>
      <c r="U29" s="973">
        <f>Y29&gt;0</f>
        <v>1</v>
      </c>
      <c r="V29" s="1721"/>
      <c r="W29" s="176" cm="1" t="str">
        <f t="array" ref="W29:W29">'Общие сведения'!$AG$186</f>
        <v>Тариф 1 (Теплоснабжение) - Тариф на тепловую энергию (мощность), поставляемую потребителям (Доп. признак не требуется)</v>
      </c>
      <c r="X29" s="1721"/>
      <c r="Y29" s="176" t="s">
        <v>308</v>
      </c>
      <c r="Z29" s="1721"/>
      <c r="AA29" s="1724"/>
      <c r="AB29" s="298" cm="1" t="str">
        <f t="array" ref="AB29:AB29">IF(ISBLANK('Общие сведения'!$AG$186),"",'Общие сведения'!$AG$186)</f>
        <v>Тариф 1 (Теплоснабжение) - Тариф на тепловую энергию (мощность), поставляемую потребителям (Доп. признак не требуется)</v>
      </c>
      <c r="AC29" s="299"/>
      <c r="AD29" s="299"/>
      <c r="AE29" s="299"/>
      <c r="AF29" s="299"/>
      <c r="AG29" s="299"/>
      <c r="AH29" s="289"/>
      <c r="AI29" s="308"/>
      <c r="AJ29" s="1142"/>
      <c r="AK29" s="1560"/>
      <c r="AL29" s="1560"/>
      <c r="AM29" s="1560"/>
      <c r="AN29" s="1560"/>
      <c r="AO29" s="281"/>
      <c r="AP29" s="281"/>
      <c r="AQ29" s="1751"/>
      <c r="AR29" s="1751"/>
      <c r="AS29" s="1751"/>
      <c r="AT29" s="1751"/>
    </row>
    <row s="1751" customFormat="1" customHeight="1" ht="23.25" hidden="1">
      <c r="E30" s="284">
        <v>24</v>
      </c>
      <c r="F30" s="175" cm="1" t="str">
        <f t="array" ref="F30:F30">OFFSET(G30,-1,-1)</f>
        <v>1</v>
      </c>
      <c r="U30" s="973">
        <f>AND(OFFSET(V30,1,-1),AB30&gt;1)</f>
        <v>0</v>
      </c>
      <c r="X30" s="176" t="s">
        <v>189</v>
      </c>
      <c r="AA30" s="477" t="s">
        <v>171</v>
      </c>
      <c r="AB30" s="300">
        <v>0</v>
      </c>
      <c r="AC30" s="301"/>
      <c r="AD30" s="301"/>
      <c r="AE30" s="301"/>
      <c r="AF30" s="65"/>
      <c r="AG30" s="66"/>
      <c r="AJ30" s="975" t="s">
        <v>360</v>
      </c>
      <c r="AK30" s="280" t="s">
        <v>361</v>
      </c>
      <c r="AL30" s="280" cm="1" t="str">
        <f t="array" ref="AL30:AL30">AC30</f>
        <v>0</v>
      </c>
      <c r="AM30" s="280" cm="1" t="str">
        <f t="array" ref="AM30:AM30">AD30</f>
        <v>0</v>
      </c>
      <c r="AN30" s="280" cm="1" t="str">
        <f t="array" ref="AN30:AN30">AE30</f>
        <v>0</v>
      </c>
      <c r="AO30" s="281"/>
      <c r="AP30" s="281" t="b">
        <v>1</v>
      </c>
      <c r="AQ30" s="1080" t="str">
        <f>"73.0.0."&amp;"|"&amp;$AC30</f>
        <v>73.0.0.|</v>
      </c>
      <c r="AR30" s="1080" t="str">
        <f>"78.0.0."&amp;"|"&amp;$AD30</f>
        <v>78.0.0.|</v>
      </c>
      <c r="AS30" s="1080" t="str">
        <f>"75.0.0."&amp;"|"&amp;$AE30</f>
        <v>75.0.0.|</v>
      </c>
      <c r="AT30" s="1080" cm="1" t="str">
        <f t="array" ref="AT30:AT30">INDEX('Общие сведения'!$N$170:$N$202,MATCH($F30,'Общие сведения'!$Y$170:$Y$202,0)+1)</f>
        <v>ТЭ.42.31656254.0001</v>
      </c>
    </row>
    <row s="1751" customFormat="1" customHeight="1" ht="23.25">
      <c r="A31" s="1751"/>
      <c r="B31" s="1751"/>
      <c r="C31" s="1751"/>
      <c r="D31" s="1751"/>
      <c r="E31" s="284">
        <v>24</v>
      </c>
      <c r="F31" s="175" cm="1" t="str">
        <f t="array" ref="F31:F31">OFFSET(G31,-1,-1)</f>
        <v>1</v>
      </c>
      <c r="G31" s="1751"/>
      <c r="H31" s="1751"/>
      <c r="I31" s="1751"/>
      <c r="J31" s="1751"/>
      <c r="K31" s="1751"/>
      <c r="L31" s="1751"/>
      <c r="M31" s="1751"/>
      <c r="N31" s="1751"/>
      <c r="O31" s="1751"/>
      <c r="P31" s="1751"/>
      <c r="Q31" s="1751"/>
      <c r="R31" s="1751"/>
      <c r="S31" s="1751"/>
      <c r="T31" s="1751"/>
      <c r="U31" s="973">
        <f>AND(OFFSET(V31,1,-1),AB31&gt;1)</f>
        <v>1</v>
      </c>
      <c r="V31" s="1751"/>
      <c r="W31" s="1751"/>
      <c r="X31" s="176"/>
      <c r="Y31" s="1751"/>
      <c r="Z31" s="1751"/>
      <c r="AA31" s="477" t="s">
        <v>171</v>
      </c>
      <c r="AB31" s="300" t="s">
        <v>308</v>
      </c>
      <c r="AC31" s="301" t="s">
        <v>364</v>
      </c>
      <c r="AD31" s="301" t="s">
        <v>364</v>
      </c>
      <c r="AE31" s="301" t="s">
        <v>365</v>
      </c>
      <c r="AF31" s="1841"/>
      <c r="AG31" s="1842"/>
      <c r="AH31" s="1751"/>
      <c r="AI31" s="1751"/>
      <c r="AJ31" s="975" t="s">
        <v>360</v>
      </c>
      <c r="AK31" s="280" t="s">
        <v>361</v>
      </c>
      <c r="AL31" s="280" cm="1" t="str">
        <f t="array" ref="AL31:AL31">AC31</f>
        <v>Кемеровский муниципальный округ</v>
      </c>
      <c r="AM31" s="280" cm="1" t="str">
        <f t="array" ref="AM31:AM31">AD31</f>
        <v>Кемеровский муниципальный округ</v>
      </c>
      <c r="AN31" s="280" cm="1" t="str">
        <f t="array" ref="AN31:AN31">AE31</f>
        <v>32507000</v>
      </c>
      <c r="AO31" s="281"/>
      <c r="AP31" s="281" t="b">
        <v>1</v>
      </c>
      <c r="AQ31" s="1080" t="str">
        <f>"73.0.0."&amp;"|"&amp;$AC31</f>
        <v>73.0.0.|Кемеровский муниципальный округ</v>
      </c>
      <c r="AR31" s="1080" t="str">
        <f>"78.0.0."&amp;"|"&amp;$AD31</f>
        <v>78.0.0.|Кемеровский муниципальный округ</v>
      </c>
      <c r="AS31" s="1080" t="str">
        <f>"75.0.0."&amp;"|"&amp;$AE31</f>
        <v>75.0.0.|32507000</v>
      </c>
      <c r="AT31" s="1080" cm="1" t="str">
        <f t="array" ref="AT31:AT31">INDEX('Общие сведения'!$N$170:$N$202,MATCH($F31,'Общие сведения'!$Y$170:$Y$202,0)+1)</f>
        <v>ТЭ.42.31656254.0001</v>
      </c>
    </row>
    <row s="1751" customFormat="1" customHeight="1" ht="10.5">
      <c r="A32" s="371"/>
      <c r="B32" s="1721"/>
      <c r="C32" s="1721"/>
      <c r="D32" s="1721"/>
      <c r="E32" s="284">
        <v>11</v>
      </c>
      <c r="F32" s="175" cm="1" t="str">
        <f t="array" ref="F32:F32">OFFSET(G32,-1,-1)</f>
        <v>1</v>
      </c>
      <c r="G32" s="1721"/>
      <c r="H32" s="1721"/>
      <c r="I32" s="1721"/>
      <c r="J32" s="1721"/>
      <c r="K32" s="1721"/>
      <c r="L32" s="1721"/>
      <c r="M32" s="1721"/>
      <c r="N32" s="1721"/>
      <c r="O32" s="1721"/>
      <c r="P32" s="1721"/>
      <c r="Q32" s="1721"/>
      <c r="R32" s="1721"/>
      <c r="S32" s="1721"/>
      <c r="T32" s="1548"/>
      <c r="U32" s="973" cm="1" t="str">
        <f t="array" ref="U32:U32">U29</f>
        <v>true</v>
      </c>
      <c r="V32" s="1721"/>
      <c r="W32" s="1721"/>
      <c r="X32" s="176" t="s">
        <v>362</v>
      </c>
      <c r="Y32" s="1721"/>
      <c r="Z32" s="1721"/>
      <c r="AA32" s="1724"/>
      <c r="AB32" s="303"/>
      <c r="AC32" s="304" t="s">
        <v>363</v>
      </c>
      <c r="AD32" s="305"/>
      <c r="AE32" s="305"/>
      <c r="AF32" s="305"/>
      <c r="AG32" s="306"/>
      <c r="AH32" s="289"/>
      <c r="AI32" s="308"/>
      <c r="AJ32" s="1142"/>
      <c r="AK32" s="1560"/>
      <c r="AL32" s="1560"/>
      <c r="AM32" s="1560"/>
      <c r="AN32" s="1560"/>
      <c r="AO32" s="281" t="s">
        <v>361</v>
      </c>
      <c r="AP32" s="281"/>
      <c r="AQ32" s="1751"/>
      <c r="AR32" s="1751"/>
      <c r="AS32" s="1751"/>
      <c r="AT32" s="1751"/>
    </row>
    <row customHeight="1" ht="10.725000000000001">
      <c r="E33" s="284">
        <v>11</v>
      </c>
      <c r="V33" s="175" t="s">
        <v>191</v>
      </c>
      <c r="W33" s="176" t="s">
        <v>366</v>
      </c>
      <c r="AH33" s="307"/>
    </row>
    <row customHeight="1" ht="11.25" hidden="1">
      <c r="V34" s="175"/>
    </row>
  </sheetData>
  <sheetProtection formatColumns="0" formatRows="0" insertRows="0" deleteColumns="0" deleteRows="0" sort="0" autoFilter="0" insertColumns="1"/>
  <mergeCells count="5">
    <mergeCell ref="AB22:AG22"/>
    <mergeCell ref="Z26:Z28"/>
    <mergeCell ref="Y26:Y28"/>
    <mergeCell ref="Z29:Z32"/>
    <mergeCell ref="Y29:Y32"/>
  </mergeCells>
  <dataValidations count="10">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1AA928-C1EC-356D-CB68-CDC0E7A2622C}" mc:Ignorable="x14ac xr xr2 xr3">
  <sheetPr>
    <tabColor theme="3" tint="0.6"/>
    <outlinePr summaryRight="0" summaryBelow="0"/>
    <pageSetUpPr fitToPage="1"/>
  </sheetPr>
  <dimension ref="A1:AV35"/>
  <sheetViews>
    <sheetView showGridLines="0" workbookViewId="0">
      <pane xSplit="29" ySplit="25" topLeftCell="AD30" activePane="bottomRight" state="frozen"/>
      <selection pane="bottomLeft" activeCell="A26" sqref="A26"/>
      <selection pane="topRight" activeCell="AD1" sqref="AD1"/>
      <selection pane="bottomRight" activeCell="AC33" sqref="AC33"/>
    </sheetView>
  </sheetViews>
  <sheetFormatPr defaultColWidth="8.7109375" customHeight="1" defaultRowHeight="11.25"/>
  <cols>
    <col min="1" max="1" style="371" width="3.57421875" hidden="1" customWidth="1"/>
    <col min="2" max="2" style="1721" width="3.00390625" hidden="1" customWidth="1"/>
    <col min="3" max="4" style="1721" width="3.57421875" hidden="1" customWidth="1"/>
    <col min="5" max="5" style="1723" width="3.8515625" hidden="1" customWidth="1"/>
    <col min="6" max="6" style="1721" width="6.421875" hidden="1" customWidth="1"/>
    <col min="7" max="18" style="308" width="3.57421875" hidden="1" customWidth="1"/>
    <col min="19" max="20" style="1659" width="3.57421875" hidden="1" customWidth="1"/>
    <col min="21" max="21" style="1548" width="8.28125" hidden="1" customWidth="1"/>
    <col min="22" max="22" style="1548" width="6.00390625" hidden="1" customWidth="1"/>
    <col min="23" max="24" style="1548" width="6.28125" hidden="1" customWidth="1"/>
    <col min="25" max="25" style="1548" width="5.7109375" hidden="1" customWidth="1"/>
    <col min="26" max="26" style="1548" width="5.421875" hidden="1" customWidth="1"/>
    <col min="27" max="27" style="1724" width="3.00390625" customWidth="1"/>
    <col min="28" max="28" style="289" width="6.00390625" customWidth="1"/>
    <col min="29" max="29" style="289" width="64.00390625" customWidth="1"/>
    <col min="30" max="30" style="289" width="15.00390625" customWidth="1"/>
    <col min="31" max="31" style="289" width="20.00390625" customWidth="1"/>
    <col min="32" max="32" style="291" width="20.00390625" customWidth="1"/>
    <col min="33" max="34" style="289" width="20.00390625" customWidth="1"/>
    <col min="35" max="35" style="289" width="3.00390625" customWidth="1"/>
    <col min="36" max="36" style="308" width="8.7109375" hidden="1"/>
    <col min="37" max="37" style="1142" width="6.7109375" hidden="1" customWidth="1"/>
    <col min="38" max="43" style="310" width="6.7109375" hidden="1" customWidth="1"/>
    <col min="44" max="44" style="281" width="6.7109375" hidden="1" customWidth="1"/>
    <col min="45" max="45" style="281" width="8.421875" hidden="1" customWidth="1"/>
    <col min="46" max="48" width="8.7109375" hidden="1"/>
  </cols>
  <sheetData>
    <row s="1548" customFormat="1" customHeight="1" ht="11.25" hidden="1">
      <c r="A1" s="371"/>
      <c r="F1" s="753" t="s">
        <v>84</v>
      </c>
      <c r="G1" s="193"/>
      <c r="H1" s="193"/>
      <c r="I1" s="193"/>
      <c r="J1" s="193"/>
      <c r="K1" s="193"/>
      <c r="L1" s="193"/>
      <c r="M1" s="193"/>
      <c r="N1" s="193"/>
      <c r="O1" s="193"/>
      <c r="P1" s="193"/>
      <c r="Q1" s="193"/>
      <c r="R1" s="193"/>
      <c r="S1" s="193"/>
      <c r="T1" s="193"/>
      <c r="U1" s="753" t="s">
        <v>85</v>
      </c>
      <c r="V1" s="753" t="s">
        <v>91</v>
      </c>
      <c r="W1" s="753" t="s">
        <v>86</v>
      </c>
      <c r="X1" s="753" t="s">
        <v>87</v>
      </c>
      <c r="Y1" s="753" t="s">
        <v>88</v>
      </c>
      <c r="Z1" s="753" t="s">
        <v>93</v>
      </c>
      <c r="AA1" s="753" t="s">
        <v>90</v>
      </c>
      <c r="AB1" s="753" t="s">
        <v>89</v>
      </c>
      <c r="AC1" s="753" t="s">
        <v>92</v>
      </c>
      <c r="AK1" s="309" t="s">
        <v>336</v>
      </c>
      <c r="AL1" s="309" t="s">
        <v>337</v>
      </c>
      <c r="AM1" s="309" t="s">
        <v>338</v>
      </c>
      <c r="AN1" s="309" t="s">
        <v>367</v>
      </c>
      <c r="AO1" s="309" t="s">
        <v>368</v>
      </c>
      <c r="AP1" s="309" t="s">
        <v>369</v>
      </c>
      <c r="AQ1" s="309" t="s">
        <v>370</v>
      </c>
      <c r="AR1" s="372" t="s">
        <v>341</v>
      </c>
      <c r="AS1" s="372" t="s">
        <v>342</v>
      </c>
      <c r="AT1" s="1075" t="s">
        <v>94</v>
      </c>
      <c r="AU1" s="1499" t="s">
        <v>371</v>
      </c>
      <c r="AV1" s="1075" t="s">
        <v>372</v>
      </c>
    </row>
    <row s="1721" customFormat="1" customHeight="1" ht="11.25" hidden="1">
      <c r="A2" s="371"/>
      <c r="B2" s="179" t="s">
        <v>16</v>
      </c>
      <c r="G2" s="308"/>
      <c r="H2" s="308"/>
      <c r="I2" s="308"/>
      <c r="J2" s="308"/>
      <c r="K2" s="308"/>
      <c r="L2" s="308"/>
      <c r="M2" s="308"/>
      <c r="N2" s="308"/>
      <c r="O2" s="308"/>
      <c r="P2" s="308"/>
      <c r="Q2" s="308"/>
      <c r="R2" s="308"/>
      <c r="S2" s="193"/>
      <c r="T2" s="193"/>
      <c r="U2" s="175"/>
      <c r="V2" s="175"/>
      <c r="W2" s="175"/>
      <c r="X2" s="175"/>
      <c r="Y2" s="175"/>
      <c r="Z2" s="175"/>
      <c r="AK2" s="309"/>
      <c r="AL2" s="310"/>
      <c r="AM2" s="310"/>
      <c r="AN2" s="310"/>
      <c r="AO2" s="310"/>
      <c r="AP2" s="310"/>
      <c r="AQ2" s="310"/>
      <c r="AR2" s="281"/>
      <c r="AS2" s="281"/>
      <c r="AT2" s="1073"/>
      <c r="AU2" s="1073"/>
      <c r="AV2" s="1073"/>
    </row>
    <row s="1721" customFormat="1" customHeight="1" ht="11.25" hidden="1">
      <c r="A3" s="371"/>
      <c r="C3" s="175"/>
      <c r="G3" s="308"/>
      <c r="H3" s="308"/>
      <c r="I3" s="308"/>
      <c r="J3" s="308"/>
      <c r="K3" s="308"/>
      <c r="L3" s="308"/>
      <c r="M3" s="308"/>
      <c r="N3" s="308"/>
      <c r="O3" s="308"/>
      <c r="P3" s="308"/>
      <c r="Q3" s="308"/>
      <c r="R3" s="308"/>
      <c r="S3" s="193"/>
      <c r="T3" s="193"/>
      <c r="U3" s="175"/>
      <c r="V3" s="175"/>
      <c r="W3" s="175"/>
      <c r="X3" s="175"/>
      <c r="Y3" s="175"/>
      <c r="Z3" s="175"/>
      <c r="AK3" s="309"/>
      <c r="AL3" s="310"/>
      <c r="AM3" s="310"/>
      <c r="AN3" s="310"/>
      <c r="AO3" s="310"/>
      <c r="AP3" s="310"/>
      <c r="AQ3" s="310"/>
      <c r="AR3" s="281"/>
      <c r="AS3" s="281"/>
      <c r="AT3" s="239"/>
      <c r="AU3" s="239"/>
      <c r="AV3" s="239"/>
    </row>
    <row s="1721" customFormat="1" customHeight="1" ht="11.25" hidden="1">
      <c r="A4" s="371"/>
      <c r="G4" s="308"/>
      <c r="H4" s="308"/>
      <c r="I4" s="308"/>
      <c r="J4" s="308"/>
      <c r="K4" s="308"/>
      <c r="L4" s="308"/>
      <c r="M4" s="308"/>
      <c r="N4" s="308"/>
      <c r="O4" s="308"/>
      <c r="P4" s="308"/>
      <c r="Q4" s="308"/>
      <c r="R4" s="308"/>
      <c r="S4" s="193"/>
      <c r="T4" s="193"/>
      <c r="U4" s="175"/>
      <c r="V4" s="175"/>
      <c r="W4" s="175"/>
      <c r="X4" s="175"/>
      <c r="Y4" s="175"/>
      <c r="Z4" s="175"/>
      <c r="AK4" s="309"/>
      <c r="AL4" s="310"/>
      <c r="AM4" s="310"/>
      <c r="AN4" s="310"/>
      <c r="AO4" s="310"/>
      <c r="AP4" s="310"/>
      <c r="AQ4" s="310"/>
      <c r="AR4" s="281"/>
      <c r="AS4" s="281"/>
      <c r="AT4" s="239"/>
      <c r="AU4" s="239"/>
      <c r="AV4" s="239"/>
    </row>
    <row s="1723" customFormat="1" customHeight="1" ht="11.25" hidden="1">
      <c r="A5" s="371"/>
      <c r="B5" s="176"/>
      <c r="C5" s="176"/>
      <c r="D5" s="176"/>
      <c r="E5" s="284" t="s">
        <v>17</v>
      </c>
      <c r="G5" s="311"/>
      <c r="H5" s="311"/>
      <c r="I5" s="311"/>
      <c r="J5" s="311"/>
      <c r="K5" s="311"/>
      <c r="L5" s="311"/>
      <c r="M5" s="311"/>
      <c r="N5" s="311"/>
      <c r="O5" s="311"/>
      <c r="P5" s="311"/>
      <c r="Q5" s="311"/>
      <c r="R5" s="311"/>
      <c r="S5" s="194"/>
      <c r="T5" s="194"/>
      <c r="U5" s="180"/>
      <c r="V5" s="180"/>
      <c r="W5" s="180"/>
      <c r="X5" s="180"/>
      <c r="Y5" s="180"/>
      <c r="Z5" s="180"/>
      <c r="AA5" s="284">
        <v>3</v>
      </c>
      <c r="AB5" s="284">
        <v>6</v>
      </c>
      <c r="AC5" s="284">
        <v>64</v>
      </c>
      <c r="AD5" s="284">
        <v>15</v>
      </c>
      <c r="AE5" s="284">
        <v>20</v>
      </c>
      <c r="AF5" s="284">
        <v>20</v>
      </c>
      <c r="AG5" s="284">
        <v>20</v>
      </c>
      <c r="AH5" s="284">
        <v>20</v>
      </c>
      <c r="AI5" s="284">
        <v>3</v>
      </c>
      <c r="AK5" s="309"/>
      <c r="AL5" s="310"/>
      <c r="AM5" s="310"/>
      <c r="AN5" s="310"/>
      <c r="AO5" s="310"/>
      <c r="AP5" s="310"/>
      <c r="AQ5" s="310"/>
      <c r="AR5" s="281"/>
      <c r="AS5" s="281"/>
      <c r="AT5" s="1074"/>
      <c r="AU5" s="1074"/>
      <c r="AV5" s="1074"/>
    </row>
    <row s="1721" customFormat="1" customHeight="1" ht="11.25" hidden="1">
      <c r="A6" s="371"/>
      <c r="E6" s="284"/>
      <c r="G6" s="308"/>
      <c r="H6" s="308"/>
      <c r="I6" s="308"/>
      <c r="J6" s="308"/>
      <c r="K6" s="308"/>
      <c r="L6" s="308"/>
      <c r="M6" s="308"/>
      <c r="N6" s="308"/>
      <c r="O6" s="308"/>
      <c r="P6" s="308"/>
      <c r="Q6" s="308"/>
      <c r="R6" s="308"/>
      <c r="S6" s="193"/>
      <c r="T6" s="193"/>
      <c r="U6" s="175"/>
      <c r="V6" s="175"/>
      <c r="W6" s="175"/>
      <c r="X6" s="175"/>
      <c r="Y6" s="175"/>
      <c r="Z6" s="175"/>
      <c r="AK6" s="309"/>
      <c r="AL6" s="310"/>
      <c r="AM6" s="310"/>
      <c r="AN6" s="310"/>
      <c r="AO6" s="310"/>
      <c r="AP6" s="310"/>
      <c r="AQ6" s="310"/>
      <c r="AR6" s="281"/>
      <c r="AS6" s="281"/>
      <c r="AT6" s="239"/>
      <c r="AU6" s="239"/>
      <c r="AV6" s="239"/>
    </row>
    <row s="308" customFormat="1" customHeight="1" ht="11.25" hidden="1">
      <c r="A7" s="371"/>
      <c r="B7" s="176"/>
      <c r="C7" s="176"/>
      <c r="D7" s="176"/>
      <c r="E7" s="284"/>
      <c r="S7" s="193"/>
      <c r="T7" s="193"/>
      <c r="U7" s="193"/>
      <c r="V7" s="193"/>
      <c r="W7" s="193"/>
      <c r="X7" s="193"/>
      <c r="Y7" s="193"/>
      <c r="Z7" s="193"/>
      <c r="AE7" s="193"/>
      <c r="AF7" s="193"/>
      <c r="AG7" s="193"/>
      <c r="AH7" s="193"/>
      <c r="AK7" s="309"/>
      <c r="AL7" s="310"/>
      <c r="AM7" s="310"/>
      <c r="AN7" s="310"/>
      <c r="AO7" s="310"/>
      <c r="AP7" s="310"/>
      <c r="AQ7" s="310"/>
      <c r="AR7" s="281"/>
      <c r="AS7" s="281"/>
      <c r="AT7" s="287"/>
      <c r="AU7" s="287"/>
      <c r="AV7" s="287"/>
    </row>
    <row s="308" customFormat="1" customHeight="1" ht="11.25" hidden="1">
      <c r="A8" s="371"/>
      <c r="B8" s="176"/>
      <c r="C8" s="176"/>
      <c r="D8" s="176"/>
      <c r="E8" s="284"/>
      <c r="S8" s="193"/>
      <c r="T8" s="193"/>
      <c r="U8" s="193"/>
      <c r="V8" s="193"/>
      <c r="W8" s="193"/>
      <c r="X8" s="193"/>
      <c r="Y8" s="193"/>
      <c r="Z8" s="193"/>
      <c r="AK8" s="309"/>
      <c r="AL8" s="310"/>
      <c r="AM8" s="310"/>
      <c r="AN8" s="310"/>
      <c r="AO8" s="310"/>
      <c r="AP8" s="310"/>
      <c r="AQ8" s="310"/>
      <c r="AR8" s="281"/>
      <c r="AS8" s="281"/>
      <c r="AT8" s="287"/>
      <c r="AU8" s="287"/>
      <c r="AV8" s="287"/>
    </row>
    <row s="1143" customFormat="1" customHeight="1" ht="11.25" hidden="1">
      <c r="A9" s="309" t="s">
        <v>373</v>
      </c>
      <c r="AH9" s="312" cm="1" t="str">
        <f t="array" ref="AH9:AH9">AH24</f>
        <v>Срок действия</v>
      </c>
      <c r="AK9" s="309"/>
      <c r="AL9" s="309"/>
      <c r="AM9" s="309"/>
      <c r="AN9" s="309"/>
      <c r="AO9" s="309"/>
      <c r="AP9" s="309"/>
      <c r="AQ9" s="309"/>
      <c r="AR9" s="372"/>
      <c r="AS9" s="372"/>
      <c r="AT9" s="1081"/>
      <c r="AU9" s="1081"/>
      <c r="AV9" s="1081"/>
    </row>
    <row s="1143" customFormat="1" customHeight="1" ht="11.25" hidden="1">
      <c r="A10" s="309" t="s">
        <v>350</v>
      </c>
      <c r="AC10" s="312" t="s">
        <v>338</v>
      </c>
      <c r="AD10" s="312" t="s">
        <v>367</v>
      </c>
      <c r="AE10" s="312" t="s">
        <v>368</v>
      </c>
      <c r="AF10" s="312" t="s">
        <v>369</v>
      </c>
      <c r="AG10" s="312" t="s">
        <v>370</v>
      </c>
      <c r="AK10" s="309"/>
      <c r="AL10" s="309"/>
      <c r="AM10" s="309"/>
      <c r="AN10" s="309"/>
      <c r="AO10" s="309"/>
      <c r="AP10" s="309"/>
      <c r="AQ10" s="309"/>
      <c r="AR10" s="372"/>
      <c r="AS10" s="372"/>
      <c r="AT10" s="1081"/>
      <c r="AU10" s="1081"/>
      <c r="AV10" s="1081"/>
    </row>
    <row s="1721" customFormat="1" customHeight="1" ht="11.25" hidden="1">
      <c r="A11" s="371"/>
      <c r="E11" s="284"/>
      <c r="G11" s="308"/>
      <c r="H11" s="308"/>
      <c r="I11" s="308"/>
      <c r="J11" s="308"/>
      <c r="K11" s="308"/>
      <c r="L11" s="308"/>
      <c r="M11" s="308"/>
      <c r="N11" s="308"/>
      <c r="O11" s="308"/>
      <c r="P11" s="308"/>
      <c r="Q11" s="308"/>
      <c r="R11" s="308"/>
      <c r="S11" s="193"/>
      <c r="T11" s="193"/>
      <c r="U11" s="175"/>
      <c r="V11" s="175"/>
      <c r="W11" s="175"/>
      <c r="X11" s="175"/>
      <c r="Y11" s="175"/>
      <c r="Z11" s="175"/>
      <c r="AK11" s="309"/>
      <c r="AL11" s="310"/>
      <c r="AM11" s="310"/>
      <c r="AN11" s="310"/>
      <c r="AO11" s="310"/>
      <c r="AP11" s="310"/>
      <c r="AQ11" s="310"/>
      <c r="AR11" s="281"/>
      <c r="AS11" s="281"/>
      <c r="AT11" s="239"/>
      <c r="AU11" s="239"/>
      <c r="AV11" s="239"/>
    </row>
    <row s="1721" customFormat="1" customHeight="1" ht="11.25" hidden="1">
      <c r="A12" s="371"/>
      <c r="E12" s="284"/>
      <c r="G12" s="308"/>
      <c r="H12" s="308"/>
      <c r="I12" s="308"/>
      <c r="J12" s="308"/>
      <c r="K12" s="308"/>
      <c r="L12" s="308"/>
      <c r="M12" s="308"/>
      <c r="N12" s="308"/>
      <c r="O12" s="308"/>
      <c r="P12" s="308"/>
      <c r="Q12" s="308"/>
      <c r="R12" s="308"/>
      <c r="S12" s="193"/>
      <c r="T12" s="193"/>
      <c r="U12" s="175"/>
      <c r="V12" s="175"/>
      <c r="W12" s="175"/>
      <c r="X12" s="175"/>
      <c r="Y12" s="175"/>
      <c r="Z12" s="175"/>
      <c r="AA12" s="175"/>
      <c r="AB12" s="175"/>
      <c r="AK12" s="309"/>
      <c r="AL12" s="310"/>
      <c r="AM12" s="310"/>
      <c r="AN12" s="310"/>
      <c r="AO12" s="310"/>
      <c r="AP12" s="310"/>
      <c r="AQ12" s="310"/>
      <c r="AR12" s="281"/>
      <c r="AS12" s="281"/>
      <c r="AT12" s="239"/>
      <c r="AU12" s="239"/>
      <c r="AV12" s="239"/>
    </row>
    <row s="1721" customFormat="1" customHeight="1" ht="11.25" hidden="1">
      <c r="A13" s="371"/>
      <c r="E13" s="284"/>
      <c r="G13" s="308"/>
      <c r="H13" s="308"/>
      <c r="I13" s="308"/>
      <c r="J13" s="308"/>
      <c r="K13" s="308"/>
      <c r="L13" s="308"/>
      <c r="M13" s="308"/>
      <c r="N13" s="308"/>
      <c r="O13" s="308"/>
      <c r="P13" s="308"/>
      <c r="Q13" s="308"/>
      <c r="R13" s="308"/>
      <c r="S13" s="193"/>
      <c r="T13" s="193"/>
      <c r="U13" s="175"/>
      <c r="V13" s="175"/>
      <c r="W13" s="175"/>
      <c r="X13" s="175"/>
      <c r="Y13" s="175"/>
      <c r="Z13" s="175"/>
      <c r="AA13" s="175"/>
      <c r="AB13" s="175"/>
      <c r="AK13" s="309"/>
      <c r="AL13" s="310"/>
      <c r="AM13" s="310"/>
      <c r="AN13" s="310"/>
      <c r="AO13" s="310"/>
      <c r="AP13" s="310"/>
      <c r="AQ13" s="310"/>
      <c r="AR13" s="281"/>
      <c r="AS13" s="281"/>
      <c r="AT13" s="239"/>
      <c r="AU13" s="239"/>
      <c r="AV13" s="239"/>
    </row>
    <row s="1721" customFormat="1" customHeight="1" ht="11.25" hidden="1">
      <c r="A14" s="371" t="s">
        <v>351</v>
      </c>
      <c r="E14" s="284"/>
      <c r="G14" s="308"/>
      <c r="H14" s="308"/>
      <c r="I14" s="308"/>
      <c r="J14" s="308"/>
      <c r="K14" s="308"/>
      <c r="L14" s="308"/>
      <c r="M14" s="308"/>
      <c r="N14" s="308"/>
      <c r="O14" s="308"/>
      <c r="P14" s="308"/>
      <c r="Q14" s="308"/>
      <c r="R14" s="308"/>
      <c r="S14" s="193"/>
      <c r="T14" s="193"/>
      <c r="U14" s="175"/>
      <c r="V14" s="175"/>
      <c r="W14" s="175"/>
      <c r="X14" s="175"/>
      <c r="Y14" s="175"/>
      <c r="Z14" s="175"/>
      <c r="AA14" s="175"/>
      <c r="AB14" s="175"/>
      <c r="AD14" s="1088" t="s">
        <v>178</v>
      </c>
      <c r="AE14" s="1088" t="s">
        <v>178</v>
      </c>
      <c r="AF14" s="1088" t="s">
        <v>178</v>
      </c>
      <c r="AG14" s="1088" t="s">
        <v>178</v>
      </c>
      <c r="AH14" s="1088" t="s">
        <v>178</v>
      </c>
      <c r="AK14" s="309"/>
      <c r="AL14" s="310"/>
      <c r="AM14" s="310"/>
      <c r="AN14" s="310"/>
      <c r="AO14" s="310"/>
      <c r="AP14" s="310"/>
      <c r="AQ14" s="310"/>
      <c r="AR14" s="281"/>
      <c r="AS14" s="281"/>
      <c r="AT14" s="239"/>
      <c r="AU14" s="239"/>
      <c r="AV14" s="239"/>
    </row>
    <row s="1721" customFormat="1" customHeight="1" ht="11.25" hidden="1">
      <c r="A15" s="371" t="s">
        <v>352</v>
      </c>
      <c r="E15" s="284"/>
      <c r="G15" s="308"/>
      <c r="H15" s="308"/>
      <c r="I15" s="308"/>
      <c r="J15" s="308"/>
      <c r="K15" s="308"/>
      <c r="L15" s="308"/>
      <c r="M15" s="308"/>
      <c r="N15" s="308"/>
      <c r="O15" s="308"/>
      <c r="P15" s="308"/>
      <c r="Q15" s="308"/>
      <c r="R15" s="308"/>
      <c r="S15" s="193"/>
      <c r="T15" s="193"/>
      <c r="U15" s="175"/>
      <c r="V15" s="175"/>
      <c r="W15" s="175"/>
      <c r="X15" s="175"/>
      <c r="Y15" s="175"/>
      <c r="Z15" s="175"/>
      <c r="AA15" s="175"/>
      <c r="AB15" s="175"/>
      <c r="AD15" s="1088" t="s">
        <v>374</v>
      </c>
      <c r="AE15" s="1088" t="s">
        <v>375</v>
      </c>
      <c r="AF15" s="1088" t="s">
        <v>376</v>
      </c>
      <c r="AG15" s="1088" t="s">
        <v>377</v>
      </c>
      <c r="AH15" s="1088" t="s">
        <v>378</v>
      </c>
      <c r="AK15" s="309"/>
      <c r="AL15" s="310"/>
      <c r="AM15" s="310"/>
      <c r="AN15" s="310"/>
      <c r="AO15" s="310"/>
      <c r="AP15" s="310"/>
      <c r="AQ15" s="310"/>
      <c r="AR15" s="281"/>
      <c r="AS15" s="281"/>
      <c r="AT15" s="239"/>
      <c r="AU15" s="239"/>
      <c r="AV15" s="239"/>
    </row>
    <row s="1721" customFormat="1" customHeight="1" ht="11.25" hidden="1">
      <c r="A16" s="371" t="s">
        <v>379</v>
      </c>
      <c r="E16" s="284"/>
      <c r="G16" s="308"/>
      <c r="H16" s="308"/>
      <c r="I16" s="308"/>
      <c r="J16" s="308"/>
      <c r="K16" s="308"/>
      <c r="L16" s="308"/>
      <c r="M16" s="308"/>
      <c r="N16" s="308"/>
      <c r="O16" s="308"/>
      <c r="P16" s="308"/>
      <c r="Q16" s="308"/>
      <c r="R16" s="308"/>
      <c r="S16" s="193"/>
      <c r="T16" s="193"/>
      <c r="U16" s="175"/>
      <c r="V16" s="175"/>
      <c r="W16" s="175"/>
      <c r="X16" s="175"/>
      <c r="Y16" s="175"/>
      <c r="Z16" s="175"/>
      <c r="AA16" s="175"/>
      <c r="AB16" s="175"/>
      <c r="AD16" s="1088" t="s">
        <v>380</v>
      </c>
      <c r="AE16" s="1088" t="s">
        <v>381</v>
      </c>
      <c r="AF16" s="1088" t="s">
        <v>382</v>
      </c>
      <c r="AG16" s="1088" t="s">
        <v>383</v>
      </c>
      <c r="AH16" s="1088" t="s">
        <v>384</v>
      </c>
      <c r="AK16" s="309"/>
      <c r="AL16" s="310"/>
      <c r="AM16" s="310"/>
      <c r="AN16" s="310"/>
      <c r="AO16" s="310"/>
      <c r="AP16" s="310"/>
      <c r="AQ16" s="310"/>
      <c r="AR16" s="281"/>
      <c r="AS16" s="281"/>
      <c r="AT16" s="239"/>
      <c r="AU16" s="239"/>
      <c r="AV16" s="239"/>
    </row>
    <row s="1721" customFormat="1" customHeight="1" ht="11.25" hidden="1">
      <c r="A17" s="371"/>
      <c r="E17" s="284"/>
      <c r="G17" s="308"/>
      <c r="H17" s="308"/>
      <c r="I17" s="308"/>
      <c r="J17" s="308"/>
      <c r="K17" s="308"/>
      <c r="L17" s="308"/>
      <c r="M17" s="308"/>
      <c r="N17" s="308"/>
      <c r="O17" s="308"/>
      <c r="P17" s="308"/>
      <c r="Q17" s="308"/>
      <c r="R17" s="308"/>
      <c r="S17" s="193"/>
      <c r="T17" s="193"/>
      <c r="U17" s="175"/>
      <c r="V17" s="175"/>
      <c r="W17" s="175"/>
      <c r="X17" s="175"/>
      <c r="Y17" s="175"/>
      <c r="Z17" s="175"/>
      <c r="AA17" s="175"/>
      <c r="AB17" s="175"/>
      <c r="AK17" s="309"/>
      <c r="AL17" s="310"/>
      <c r="AM17" s="310"/>
      <c r="AN17" s="310"/>
      <c r="AO17" s="310"/>
      <c r="AP17" s="310"/>
      <c r="AQ17" s="310"/>
      <c r="AR17" s="281"/>
      <c r="AS17" s="281"/>
      <c r="AT17" s="239"/>
      <c r="AU17" s="239"/>
      <c r="AV17" s="239"/>
    </row>
    <row s="1721" customFormat="1" customHeight="1" ht="11.25" hidden="1">
      <c r="A18" s="371"/>
      <c r="E18" s="284"/>
      <c r="G18" s="308"/>
      <c r="H18" s="308"/>
      <c r="I18" s="308"/>
      <c r="J18" s="308"/>
      <c r="K18" s="308"/>
      <c r="L18" s="308"/>
      <c r="M18" s="308"/>
      <c r="N18" s="308"/>
      <c r="O18" s="308"/>
      <c r="P18" s="308"/>
      <c r="Q18" s="308"/>
      <c r="R18" s="308"/>
      <c r="S18" s="193"/>
      <c r="T18" s="193"/>
      <c r="U18" s="175"/>
      <c r="V18" s="175"/>
      <c r="W18" s="175"/>
      <c r="X18" s="175"/>
      <c r="Y18" s="175"/>
      <c r="Z18" s="175"/>
      <c r="AA18" s="175"/>
      <c r="AB18" s="175"/>
      <c r="AK18" s="309"/>
      <c r="AL18" s="310"/>
      <c r="AM18" s="310"/>
      <c r="AN18" s="310"/>
      <c r="AO18" s="310"/>
      <c r="AP18" s="310"/>
      <c r="AQ18" s="310"/>
      <c r="AR18" s="281"/>
      <c r="AS18" s="281"/>
      <c r="AT18" s="239"/>
      <c r="AU18" s="239"/>
      <c r="AV18" s="239"/>
    </row>
    <row s="1721" customFormat="1" customHeight="1" ht="11.25" hidden="1">
      <c r="A19" s="371"/>
      <c r="E19" s="284"/>
      <c r="G19" s="308"/>
      <c r="H19" s="308"/>
      <c r="I19" s="308"/>
      <c r="J19" s="308"/>
      <c r="K19" s="308"/>
      <c r="L19" s="308"/>
      <c r="M19" s="308"/>
      <c r="N19" s="308"/>
      <c r="O19" s="308"/>
      <c r="P19" s="308"/>
      <c r="Q19" s="308"/>
      <c r="R19" s="308"/>
      <c r="S19" s="193"/>
      <c r="T19" s="193"/>
      <c r="U19" s="175"/>
      <c r="V19" s="175"/>
      <c r="W19" s="175"/>
      <c r="X19" s="175"/>
      <c r="Y19" s="175"/>
      <c r="Z19" s="175"/>
      <c r="AA19" s="175"/>
      <c r="AB19" s="175"/>
      <c r="AK19" s="309"/>
      <c r="AL19" s="310"/>
      <c r="AM19" s="310"/>
      <c r="AN19" s="310"/>
      <c r="AO19" s="310"/>
      <c r="AP19" s="310"/>
      <c r="AQ19" s="310"/>
      <c r="AR19" s="281"/>
      <c r="AS19" s="281"/>
      <c r="AT19" s="239"/>
      <c r="AU19" s="239"/>
      <c r="AV19" s="239"/>
    </row>
    <row s="1721" customFormat="1" customHeight="1" ht="11.25" hidden="1">
      <c r="A20" s="371"/>
      <c r="E20" s="284"/>
      <c r="G20" s="308"/>
      <c r="H20" s="308"/>
      <c r="I20" s="308"/>
      <c r="J20" s="308"/>
      <c r="K20" s="308"/>
      <c r="L20" s="308"/>
      <c r="M20" s="308"/>
      <c r="N20" s="308"/>
      <c r="O20" s="308"/>
      <c r="P20" s="308"/>
      <c r="Q20" s="308"/>
      <c r="R20" s="308"/>
      <c r="S20" s="193"/>
      <c r="T20" s="193"/>
      <c r="U20" s="175"/>
      <c r="V20" s="175"/>
      <c r="W20" s="175"/>
      <c r="X20" s="175"/>
      <c r="Y20" s="175"/>
      <c r="Z20" s="175"/>
      <c r="AA20" s="175"/>
      <c r="AB20" s="175"/>
      <c r="AK20" s="309"/>
      <c r="AL20" s="310"/>
      <c r="AM20" s="310"/>
      <c r="AN20" s="310"/>
      <c r="AO20" s="310"/>
      <c r="AP20" s="310"/>
      <c r="AQ20" s="310"/>
      <c r="AR20" s="281"/>
      <c r="AS20" s="281"/>
      <c r="AT20" s="239"/>
      <c r="AU20" s="239"/>
      <c r="AV20" s="239"/>
    </row>
    <row s="308" customFormat="1" customHeight="1" ht="14.625">
      <c r="A21" s="371"/>
      <c r="B21" s="176"/>
      <c r="C21" s="176"/>
      <c r="D21" s="176"/>
      <c r="E21" s="284">
        <v>15</v>
      </c>
      <c r="F21" s="176"/>
      <c r="S21" s="193"/>
      <c r="T21" s="193"/>
      <c r="U21" s="175"/>
      <c r="V21" s="175"/>
      <c r="W21" s="175"/>
      <c r="X21" s="175"/>
      <c r="Y21" s="175"/>
      <c r="Z21" s="175"/>
      <c r="AA21" s="182"/>
      <c r="AB21" s="287"/>
      <c r="AC21" s="278" cm="1" t="str">
        <f t="array" ref="AC21:AC21">tpl_title</f>
        <v>Кемеровская область / 2027 / ООО "КК-ИНВЕСТ" (ИНН:1901133713, КПП:190101001) / ДПР: 2025-2027</v>
      </c>
      <c r="AD21" s="287"/>
      <c r="AE21" s="287"/>
      <c r="AF21" s="287"/>
      <c r="AG21" s="287"/>
      <c r="AH21" s="287"/>
      <c r="AI21" s="287"/>
      <c r="AK21" s="309"/>
      <c r="AL21" s="310"/>
      <c r="AM21" s="310"/>
      <c r="AN21" s="310"/>
      <c r="AO21" s="310"/>
      <c r="AP21" s="310"/>
      <c r="AQ21" s="310"/>
      <c r="AR21" s="281"/>
      <c r="AS21" s="281"/>
      <c r="AT21" s="287"/>
      <c r="AU21" s="287"/>
      <c r="AV21" s="287"/>
    </row>
    <row customHeight="1" ht="20.475">
      <c r="E22" s="284">
        <v>21</v>
      </c>
      <c r="R22" s="193"/>
      <c r="AA22" s="182"/>
      <c r="AB22" s="1581" t="s">
        <v>385</v>
      </c>
      <c r="AC22" s="1582"/>
      <c r="AD22" s="1582"/>
      <c r="AE22" s="1582"/>
      <c r="AF22" s="1582"/>
      <c r="AG22" s="1582"/>
      <c r="AH22" s="1582"/>
    </row>
    <row customHeight="1" ht="8.775">
      <c r="E23" s="284">
        <v>9</v>
      </c>
      <c r="AA23" s="251"/>
      <c r="AB23" s="290"/>
      <c r="AC23" s="290"/>
      <c r="AD23" s="290"/>
      <c r="AE23" s="290"/>
      <c r="AF23" s="1585"/>
      <c r="AG23" s="1585"/>
      <c r="AH23" s="313"/>
    </row>
    <row customHeight="1" ht="31.200000000000003">
      <c r="E24" s="284">
        <v>32</v>
      </c>
      <c r="AA24" s="251"/>
      <c r="AB24" s="314" t="s">
        <v>355</v>
      </c>
      <c r="AC24" s="315" t="s">
        <v>386</v>
      </c>
      <c r="AD24" s="314" t="s">
        <v>380</v>
      </c>
      <c r="AE24" s="314" t="s">
        <v>381</v>
      </c>
      <c r="AF24" s="314" t="s">
        <v>382</v>
      </c>
      <c r="AG24" s="314" t="s">
        <v>383</v>
      </c>
      <c r="AH24" s="314" t="s">
        <v>384</v>
      </c>
    </row>
    <row customHeight="1" ht="31.5" hidden="1">
      <c r="E25" s="966">
        <v>0</v>
      </c>
      <c r="AA25" s="251"/>
      <c r="AB25" s="316"/>
      <c r="AC25" s="317"/>
      <c r="AD25" s="317"/>
      <c r="AE25" s="317"/>
      <c r="AF25" s="317"/>
      <c r="AG25" s="317"/>
      <c r="AH25" s="317"/>
    </row>
    <row s="969" customFormat="1" customHeight="1" ht="16.575" hidden="1">
      <c r="E26" s="180">
        <v>17</v>
      </c>
      <c r="F26" s="175" cm="1" t="str">
        <f t="array" ref="F26:F26">Y26</f>
        <v>0</v>
      </c>
      <c r="U26" s="973">
        <f>Y26&gt;0</f>
        <v>0</v>
      </c>
      <c r="W26" s="176" t="s">
        <v>266</v>
      </c>
      <c r="Y26" s="176">
        <v>0</v>
      </c>
      <c r="AB26" s="319" cm="1" t="str">
        <f t="array" ref="AB26:AB26">INDEX('Общие сведения'!$AG$169:$AG$202,MATCH(Y26,'Общие сведения'!$Y$169:$Y$202,0))</f>
        <v>Тариф 0 (Теплоснабжение) - </v>
      </c>
      <c r="AC26" s="298"/>
      <c r="AD26" s="299"/>
      <c r="AE26" s="299"/>
      <c r="AF26" s="299"/>
      <c r="AG26" s="299"/>
      <c r="AH26" s="299"/>
      <c r="AK26" s="975"/>
      <c r="AL26" s="975"/>
      <c r="AM26" s="975"/>
      <c r="AN26" s="975"/>
      <c r="AO26" s="975"/>
      <c r="AP26" s="975"/>
      <c r="AQ26" s="975"/>
      <c r="AR26" s="976"/>
      <c r="AS26" s="976"/>
    </row>
    <row s="969" customFormat="1" customHeight="1" ht="10.5" hidden="1">
      <c r="E27" s="965">
        <v>0</v>
      </c>
      <c r="F27" s="175" cm="1" t="str">
        <f t="array" ref="F27:F27">OFFSET(G27,-1,-1)</f>
        <v>0</v>
      </c>
      <c r="AB27" s="319"/>
      <c r="AC27" s="298"/>
      <c r="AD27" s="299"/>
      <c r="AE27" s="299"/>
      <c r="AF27" s="299"/>
      <c r="AG27" s="299"/>
      <c r="AH27" s="299"/>
      <c r="AK27" s="975"/>
      <c r="AL27" s="975"/>
      <c r="AM27" s="975"/>
      <c r="AN27" s="975"/>
      <c r="AO27" s="975"/>
      <c r="AP27" s="975"/>
      <c r="AQ27" s="975"/>
      <c r="AR27" s="976"/>
      <c r="AS27" s="976"/>
    </row>
    <row s="969" customFormat="1" customHeight="1" ht="16.575" hidden="1">
      <c r="E28" s="180">
        <v>17</v>
      </c>
      <c r="F28" s="175" cm="1" t="str">
        <f t="array" ref="F28:F28">OFFSET(G28,-1,-1)</f>
        <v>0</v>
      </c>
      <c r="I28" s="1068" t="s">
        <v>387</v>
      </c>
      <c r="J28" s="1068"/>
      <c r="K28" s="1068" t="s">
        <v>388</v>
      </c>
      <c r="U28" s="973">
        <f>AND(F28&gt;0,AB28&gt;0)</f>
        <v>0</v>
      </c>
      <c r="X28" s="176" t="s">
        <v>189</v>
      </c>
      <c r="AA28" s="477" t="s">
        <v>171</v>
      </c>
      <c r="AB28" s="320">
        <v>0</v>
      </c>
      <c r="AC28" s="321" t="str">
        <f>I28&amp;" :: "&amp;K28</f>
        <v>Наименование объекта :: адрес</v>
      </c>
      <c r="AD28" s="198"/>
      <c r="AE28" s="198"/>
      <c r="AF28" s="322"/>
      <c r="AG28" s="322"/>
      <c r="AH28" s="67"/>
      <c r="AK28" s="975" t="s">
        <v>389</v>
      </c>
      <c r="AL28" s="975" t="s">
        <v>390</v>
      </c>
      <c r="AM28" s="975" cm="1" t="str">
        <f t="array" ref="AM28:AM28">AC28</f>
        <v>Наименование объекта :: адрес</v>
      </c>
      <c r="AN28" s="975" cm="1" t="str">
        <f t="array" ref="AN28:AN28">AD28</f>
        <v>0</v>
      </c>
      <c r="AO28" s="975" cm="1" t="str">
        <f t="array" ref="AO28:AO28">AE28</f>
        <v>0</v>
      </c>
      <c r="AP28" s="975" cm="1" t="str">
        <f t="array" ref="AP28:AP28">AF28</f>
        <v>0</v>
      </c>
      <c r="AQ28" s="975" cm="1" t="str">
        <f t="array" ref="AQ28:AQ28">AG28</f>
        <v>0</v>
      </c>
      <c r="AR28" s="976"/>
      <c r="AS28" s="976" t="b">
        <v>1</v>
      </c>
      <c r="AT28" s="1080" cm="1" t="str">
        <f t="array" ref="AT28:AT28">INDEX('Общие сведения'!$N$170:$N$202,MATCH($F28,'Общие сведения'!$Y$170:$Y$202,0)+1)</f>
        <v>0</v>
      </c>
      <c r="AU28" s="1077" t="str">
        <f>"82.1.0."&amp;"|"&amp;$AC28</f>
        <v>82.1.0.|Наименование объекта :: адрес</v>
      </c>
      <c r="AV28" s="1077" t="str">
        <f>IF(J28="","0",J28)</f>
        <v>0</v>
      </c>
    </row>
    <row s="969" customFormat="1" customHeight="1" ht="16.575" hidden="1">
      <c r="E29" s="180">
        <v>17</v>
      </c>
      <c r="F29" s="175" cm="1" t="str">
        <f t="array" ref="F29:F29">OFFSET(G29,-1,-1)</f>
        <v>0</v>
      </c>
      <c r="U29" s="973">
        <f>F29&gt;0</f>
        <v>0</v>
      </c>
      <c r="X29" s="176" t="s">
        <v>391</v>
      </c>
      <c r="AB29" s="303"/>
      <c r="AC29" s="324" t="s">
        <v>392</v>
      </c>
      <c r="AD29" s="305"/>
      <c r="AE29" s="305"/>
      <c r="AF29" s="305"/>
      <c r="AG29" s="305"/>
      <c r="AH29" s="325"/>
      <c r="AK29" s="975"/>
      <c r="AL29" s="975"/>
      <c r="AM29" s="975"/>
      <c r="AN29" s="975"/>
      <c r="AO29" s="975"/>
      <c r="AP29" s="975"/>
      <c r="AQ29" s="975"/>
      <c r="AR29" s="976" t="s">
        <v>390</v>
      </c>
      <c r="AS29" s="976"/>
    </row>
    <row s="969" customFormat="1" customHeight="1" ht="16.5">
      <c r="A30" s="969"/>
      <c r="B30" s="969"/>
      <c r="C30" s="969"/>
      <c r="D30" s="969"/>
      <c r="E30" s="180">
        <v>17</v>
      </c>
      <c r="F30" s="175" cm="1" t="str">
        <f t="array" ref="F30:F30">Y30</f>
        <v>1</v>
      </c>
      <c r="G30" s="969"/>
      <c r="H30" s="969"/>
      <c r="I30" s="969"/>
      <c r="J30" s="969"/>
      <c r="K30" s="969"/>
      <c r="L30" s="969"/>
      <c r="M30" s="969"/>
      <c r="N30" s="969"/>
      <c r="O30" s="969"/>
      <c r="P30" s="969"/>
      <c r="Q30" s="969"/>
      <c r="R30" s="969"/>
      <c r="S30" s="969"/>
      <c r="T30" s="969"/>
      <c r="U30" s="973">
        <f>Y30&gt;0</f>
        <v>1</v>
      </c>
      <c r="V30" s="969"/>
      <c r="W30" s="176" cm="1" t="str">
        <f t="array" ref="W30:W30">'Список территорий'!$AB$29</f>
        <v>Тариф 1 (Теплоснабжение) - Тариф на тепловую энергию (мощность), поставляемую потребителям (Доп. признак не требуется)</v>
      </c>
      <c r="X30" s="969"/>
      <c r="Y30" s="176" t="s">
        <v>308</v>
      </c>
      <c r="Z30" s="969"/>
      <c r="AA30" s="969"/>
      <c r="AB30" s="319" cm="1" t="str">
        <f t="array" ref="AB30:AB30">IF(ISBLANK('Список территорий'!$AB$29),"",'Список территорий'!$AB$29)</f>
        <v>Тариф 1 (Теплоснабжение) - Тариф на тепловую энергию (мощность), поставляемую потребителям (Доп. признак не требуется)</v>
      </c>
      <c r="AC30" s="298"/>
      <c r="AD30" s="299"/>
      <c r="AE30" s="299"/>
      <c r="AF30" s="299"/>
      <c r="AG30" s="299"/>
      <c r="AH30" s="299"/>
      <c r="AI30" s="969"/>
      <c r="AJ30" s="969"/>
      <c r="AK30" s="975"/>
      <c r="AL30" s="975"/>
      <c r="AM30" s="975"/>
      <c r="AN30" s="975"/>
      <c r="AO30" s="975"/>
      <c r="AP30" s="975"/>
      <c r="AQ30" s="975"/>
      <c r="AR30" s="976"/>
      <c r="AS30" s="976"/>
      <c r="AT30" s="969"/>
      <c r="AU30" s="969"/>
      <c r="AV30" s="969"/>
    </row>
    <row s="969" customFormat="1" customHeight="1" ht="10.5" hidden="1">
      <c r="A31" s="969"/>
      <c r="B31" s="969"/>
      <c r="C31" s="969"/>
      <c r="D31" s="969"/>
      <c r="E31" s="965">
        <v>0</v>
      </c>
      <c r="F31" s="175" cm="1" t="str">
        <f t="array" ref="F31:F31">OFFSET(G31,-1,-1)</f>
        <v>1</v>
      </c>
      <c r="G31" s="969"/>
      <c r="H31" s="969"/>
      <c r="I31" s="969"/>
      <c r="J31" s="969"/>
      <c r="K31" s="969"/>
      <c r="L31" s="969"/>
      <c r="M31" s="969"/>
      <c r="N31" s="969"/>
      <c r="O31" s="969"/>
      <c r="P31" s="969"/>
      <c r="Q31" s="969"/>
      <c r="R31" s="969"/>
      <c r="S31" s="969"/>
      <c r="T31" s="969"/>
      <c r="U31" s="969"/>
      <c r="V31" s="969"/>
      <c r="W31" s="969"/>
      <c r="X31" s="969"/>
      <c r="Y31" s="969"/>
      <c r="Z31" s="969"/>
      <c r="AA31" s="969"/>
      <c r="AB31" s="319"/>
      <c r="AC31" s="298"/>
      <c r="AD31" s="299"/>
      <c r="AE31" s="299"/>
      <c r="AF31" s="299"/>
      <c r="AG31" s="299"/>
      <c r="AH31" s="299"/>
      <c r="AI31" s="969"/>
      <c r="AJ31" s="969"/>
      <c r="AK31" s="975"/>
      <c r="AL31" s="975"/>
      <c r="AM31" s="975"/>
      <c r="AN31" s="975"/>
      <c r="AO31" s="975"/>
      <c r="AP31" s="975"/>
      <c r="AQ31" s="975"/>
      <c r="AR31" s="976"/>
      <c r="AS31" s="976"/>
      <c r="AT31" s="969"/>
      <c r="AU31" s="969"/>
      <c r="AV31" s="969"/>
    </row>
    <row s="969" customFormat="1" customHeight="1" ht="16.5" hidden="1">
      <c r="E32" s="180">
        <v>17</v>
      </c>
      <c r="F32" s="175" cm="1" t="str">
        <f t="array" ref="F32:F32">OFFSET(G32,-1,-1)</f>
        <v>1</v>
      </c>
      <c r="I32" s="1068" t="s">
        <v>387</v>
      </c>
      <c r="J32" s="1068"/>
      <c r="K32" s="1068" t="s">
        <v>388</v>
      </c>
      <c r="U32" s="973">
        <f>AND(F32&gt;0,AB32&gt;0)</f>
        <v>0</v>
      </c>
      <c r="X32" s="176" t="s">
        <v>189</v>
      </c>
      <c r="AA32" s="477" t="s">
        <v>171</v>
      </c>
      <c r="AB32" s="320">
        <v>0</v>
      </c>
      <c r="AC32" s="321" t="str">
        <f>I32&amp;" :: "&amp;K32</f>
        <v>Наименование объекта :: адрес</v>
      </c>
      <c r="AD32" s="198"/>
      <c r="AE32" s="198"/>
      <c r="AF32" s="322"/>
      <c r="AG32" s="322"/>
      <c r="AH32" s="67"/>
      <c r="AK32" s="975" t="s">
        <v>389</v>
      </c>
      <c r="AL32" s="975" t="s">
        <v>390</v>
      </c>
      <c r="AM32" s="975" cm="1" t="str">
        <f t="array" ref="AM32:AM32">AC32</f>
        <v>Наименование объекта :: адрес</v>
      </c>
      <c r="AN32" s="975" cm="1" t="str">
        <f t="array" ref="AN32:AN32">AD32</f>
        <v>0</v>
      </c>
      <c r="AO32" s="975" cm="1" t="str">
        <f t="array" ref="AO32:AO32">AE32</f>
        <v>0</v>
      </c>
      <c r="AP32" s="975" cm="1" t="str">
        <f t="array" ref="AP32:AP32">AF32</f>
        <v>0</v>
      </c>
      <c r="AQ32" s="975" cm="1" t="str">
        <f t="array" ref="AQ32:AQ32">AG32</f>
        <v>0</v>
      </c>
      <c r="AR32" s="976"/>
      <c r="AS32" s="976" t="b">
        <v>1</v>
      </c>
      <c r="AT32" s="1080" cm="1" t="str">
        <f t="array" ref="AT32:AT32">INDEX('Общие сведения'!$N$170:$N$202,MATCH($F32,'Общие сведения'!$Y$170:$Y$202,0)+1)</f>
        <v>ТЭ.42.31656254.0001</v>
      </c>
      <c r="AU32" s="1077" t="str">
        <f>"82.1.0."&amp;"|"&amp;$AC32</f>
        <v>82.1.0.|Наименование объекта :: адрес</v>
      </c>
      <c r="AV32" s="1077" t="str">
        <f>IF(J32="","0",J32)</f>
        <v>0</v>
      </c>
    </row>
    <row s="969" customFormat="1" customHeight="1" ht="16.5">
      <c r="A33" s="969"/>
      <c r="B33" s="969"/>
      <c r="C33" s="969"/>
      <c r="D33" s="969"/>
      <c r="E33" s="180">
        <v>17</v>
      </c>
      <c r="F33" s="175" cm="1" t="str">
        <f t="array" ref="F33:F33">OFFSET(G33,-1,-1)</f>
        <v>1</v>
      </c>
      <c r="G33" s="969"/>
      <c r="H33" s="969"/>
      <c r="I33" s="1068" t="s">
        <v>393</v>
      </c>
      <c r="J33" s="1068" t="s">
        <v>394</v>
      </c>
      <c r="K33" s="1068" t="s">
        <v>395</v>
      </c>
      <c r="L33" s="969"/>
      <c r="M33" s="969"/>
      <c r="N33" s="969"/>
      <c r="O33" s="969"/>
      <c r="P33" s="969"/>
      <c r="Q33" s="969"/>
      <c r="R33" s="969"/>
      <c r="S33" s="969"/>
      <c r="T33" s="969"/>
      <c r="U33" s="973">
        <f>AND(F33&gt;0,AB33&gt;0)</f>
        <v>1</v>
      </c>
      <c r="V33" s="969"/>
      <c r="W33" s="969"/>
      <c r="X33" s="176"/>
      <c r="Y33" s="969"/>
      <c r="Z33" s="969"/>
      <c r="AA33" s="477" t="s">
        <v>171</v>
      </c>
      <c r="AB33" s="320" t="s">
        <v>308</v>
      </c>
      <c r="AC33" s="321" t="str">
        <f>I33&amp;" :: "&amp;K33</f>
        <v>Котельная ЦО "Притомье" :: с Березово, Кемеровская область - Кузбасс, Кемеровский муниципальный округ, с. Березово, территория Притомье, здание 3, Кемеровская область - Кузбасс, Кемеровский муниципальный округ, с. Березово, территория Притомье, здание 3</v>
      </c>
      <c r="AD33" s="198" t="s">
        <v>396</v>
      </c>
      <c r="AE33" s="198" t="s">
        <v>397</v>
      </c>
      <c r="AF33" s="322" t="s">
        <v>398</v>
      </c>
      <c r="AG33" s="322"/>
      <c r="AH33" s="1843"/>
      <c r="AI33" s="969"/>
      <c r="AJ33" s="969"/>
      <c r="AK33" s="975" t="s">
        <v>389</v>
      </c>
      <c r="AL33" s="975" t="s">
        <v>390</v>
      </c>
      <c r="AM33" s="975" cm="1" t="str">
        <f t="array" ref="AM33:AM33">AC33</f>
        <v>Котельная ЦО "Притомье" :: с Березово, Кемеровская область - Кузбасс, Кемеровский муниципальный округ, с. Березово, территория Притомье, здание 3, Кемеровская область - Кузбасс, Кемеровский муниципальный округ, с. Березово, территория Притомье, здание 3</v>
      </c>
      <c r="AN33" s="975" cm="1" t="str">
        <f t="array" ref="AN33:AN33">AD33</f>
        <v>Собственность</v>
      </c>
      <c r="AO33" s="975" cm="1" t="str">
        <f t="array" ref="AO33:AO33">AE33</f>
        <v>Выписка из ЕГРН</v>
      </c>
      <c r="AP33" s="975" cm="1" t="str">
        <f t="array" ref="AP33:AP33">AF33</f>
        <v>-</v>
      </c>
      <c r="AQ33" s="975" cm="1" t="str">
        <f t="array" ref="AQ33:AQ33">AG33</f>
        <v>0</v>
      </c>
      <c r="AR33" s="976"/>
      <c r="AS33" s="976" t="b">
        <v>1</v>
      </c>
      <c r="AT33" s="1080" cm="1" t="str">
        <f t="array" ref="AT33:AT33">INDEX('Общие сведения'!$N$170:$N$202,MATCH($F33,'Общие сведения'!$Y$170:$Y$202,0)+1)</f>
        <v>ТЭ.42.31656254.0001</v>
      </c>
      <c r="AU33" s="1077" t="str">
        <f>"82.1.0."&amp;"|"&amp;$AC33</f>
        <v>82.1.0.|Котельная ЦО "Притомье" :: с Березово, Кемеровская область - Кузбасс, Кемеровский муниципальный округ, с. Березово, территория Притомье, здание 3, Кемеровская область - Кузбасс, Кемеровский муниципальный округ, с. Березово, территория Притомье, здание 3</v>
      </c>
      <c r="AV33" s="1077" cm="1" t="str">
        <f t="array" ref="AV33:AV33">IF(J33="","0",J33)</f>
        <v>8f55f152-1963-42d0-a8a3-ce75838df31d</v>
      </c>
    </row>
    <row s="969" customFormat="1" customHeight="1" ht="16.5">
      <c r="A34" s="969"/>
      <c r="B34" s="969"/>
      <c r="C34" s="969"/>
      <c r="D34" s="969"/>
      <c r="E34" s="180">
        <v>17</v>
      </c>
      <c r="F34" s="175" cm="1" t="str">
        <f t="array" ref="F34:F34">OFFSET(G34,-1,-1)</f>
        <v>1</v>
      </c>
      <c r="G34" s="969"/>
      <c r="H34" s="969"/>
      <c r="I34" s="969"/>
      <c r="J34" s="969"/>
      <c r="K34" s="969"/>
      <c r="L34" s="969"/>
      <c r="M34" s="969"/>
      <c r="N34" s="969"/>
      <c r="O34" s="969"/>
      <c r="P34" s="969"/>
      <c r="Q34" s="969"/>
      <c r="R34" s="969"/>
      <c r="S34" s="969"/>
      <c r="T34" s="969"/>
      <c r="U34" s="973">
        <f>F34&gt;0</f>
        <v>1</v>
      </c>
      <c r="V34" s="969"/>
      <c r="W34" s="969"/>
      <c r="X34" s="176" t="s">
        <v>391</v>
      </c>
      <c r="Y34" s="969"/>
      <c r="Z34" s="969"/>
      <c r="AA34" s="969"/>
      <c r="AB34" s="303"/>
      <c r="AC34" s="324" t="s">
        <v>392</v>
      </c>
      <c r="AD34" s="305"/>
      <c r="AE34" s="305"/>
      <c r="AF34" s="305"/>
      <c r="AG34" s="305"/>
      <c r="AH34" s="325"/>
      <c r="AI34" s="969"/>
      <c r="AJ34" s="969"/>
      <c r="AK34" s="975"/>
      <c r="AL34" s="975"/>
      <c r="AM34" s="975"/>
      <c r="AN34" s="975"/>
      <c r="AO34" s="975"/>
      <c r="AP34" s="975"/>
      <c r="AQ34" s="975"/>
      <c r="AR34" s="976" t="s">
        <v>390</v>
      </c>
      <c r="AS34" s="976"/>
      <c r="AT34" s="969"/>
      <c r="AU34" s="969"/>
      <c r="AV34" s="969"/>
    </row>
    <row customHeight="1" ht="11.25">
      <c r="U35" s="176"/>
      <c r="V35" s="175" t="s">
        <v>191</v>
      </c>
      <c r="W35" s="176" t="s">
        <v>399</v>
      </c>
      <c r="X35" s="176"/>
      <c r="Y35" s="176"/>
      <c r="AI35" s="307"/>
    </row>
  </sheetData>
  <sheetProtection formatColumns="0" formatRows="0" insertRows="0" deleteColumns="0" deleteRows="0" sort="0" autoFilter="0" insertColumns="1"/>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840A28-B6E8-F898-AE28-A89EDB563268}" mc:Ignorable="x14ac xr xr2 xr3">
  <sheetPr>
    <tabColor theme="3" tint="0.6"/>
    <outlinePr summaryRight="0" summaryBelow="0"/>
    <pageSetUpPr fitToPage="1"/>
  </sheetPr>
  <dimension ref="A1:CF67"/>
  <sheetViews>
    <sheetView showGridLines="0" workbookViewId="0">
      <pane xSplit="30" ySplit="26" topLeftCell="AE47" activePane="bottomRight" state="frozen"/>
      <selection pane="bottomLeft" activeCell="A27" sqref="A27"/>
      <selection pane="topRight" activeCell="AE1" sqref="AE1"/>
      <selection pane="bottomRight" activeCell="AC66" sqref="AC66"/>
    </sheetView>
  </sheetViews>
  <sheetFormatPr defaultColWidth="8.7109375" customHeight="1" defaultRowHeight="11.25"/>
  <cols>
    <col min="1" max="1" style="371" width="3.57421875" hidden="1" customWidth="1"/>
    <col min="2" max="2" style="1721" width="3.00390625" hidden="1" customWidth="1"/>
    <col min="3" max="4" style="1721" width="3.57421875" hidden="1" customWidth="1"/>
    <col min="5" max="5" style="1723" width="3.8515625" hidden="1" customWidth="1"/>
    <col min="6" max="6" style="1721" width="6.421875" hidden="1" customWidth="1"/>
    <col min="7" max="18" style="308" width="3.57421875" hidden="1" customWidth="1"/>
    <col min="19" max="20" style="1659" width="3.57421875" hidden="1" customWidth="1"/>
    <col min="21" max="21" style="1548" width="7.28125" hidden="1" customWidth="1"/>
    <col min="22" max="22" style="1548" width="6.00390625" hidden="1" customWidth="1"/>
    <col min="23" max="24" style="1548" width="6.28125" hidden="1" customWidth="1"/>
    <col min="25" max="25" style="1548" width="5.7109375" hidden="1" customWidth="1"/>
    <col min="26" max="26" style="1548" width="5.421875" hidden="1" customWidth="1"/>
    <col min="27" max="27" style="1724" width="3.00390625" customWidth="1"/>
    <col min="28" max="28" style="289" width="6.00390625" customWidth="1"/>
    <col min="29" max="29" style="289" width="64.00390625" customWidth="1"/>
    <col min="30" max="30" style="289" width="15.00390625" customWidth="1"/>
    <col min="31" max="31" style="291" width="20.00390625" customWidth="1"/>
    <col min="32" max="32" style="289" width="20.00390625" customWidth="1"/>
    <col min="33" max="51" style="289" width="20.00390625" hidden="1" customWidth="1"/>
    <col min="52" max="52" style="289" width="20.00390625" customWidth="1"/>
    <col min="53" max="71" style="289" width="20.00390625" hidden="1" customWidth="1"/>
    <col min="72" max="72" style="291" width="20.00390625" customWidth="1"/>
    <col min="73" max="73" style="289" width="3.00390625" customWidth="1"/>
    <col min="74" max="74" style="308" width="8.7109375" hidden="1"/>
    <col min="75" max="75" style="1142" width="8.7109375" hidden="1"/>
    <col min="76" max="80" width="8.7109375" hidden="1"/>
    <col min="81" max="81" style="1751" width="8.7109375" hidden="1"/>
    <col min="82" max="84" width="8.7109375" hidden="1"/>
  </cols>
  <sheetData>
    <row s="1548" customFormat="1" customHeight="1" ht="11.25" hidden="1">
      <c r="A1" s="371"/>
      <c r="F1" s="753" t="s">
        <v>84</v>
      </c>
      <c r="G1" s="193"/>
      <c r="H1" s="193"/>
      <c r="I1" s="193"/>
      <c r="J1" s="193"/>
      <c r="K1" s="193"/>
      <c r="L1" s="193"/>
      <c r="M1" s="193"/>
      <c r="N1" s="193"/>
      <c r="O1" s="193"/>
      <c r="P1" s="193"/>
      <c r="Q1" s="193"/>
      <c r="R1" s="193"/>
      <c r="S1" s="193"/>
      <c r="T1" s="193"/>
      <c r="U1" s="753" t="s">
        <v>85</v>
      </c>
      <c r="V1" s="753" t="s">
        <v>91</v>
      </c>
      <c r="W1" s="753" t="s">
        <v>86</v>
      </c>
      <c r="Y1" s="753" t="s">
        <v>88</v>
      </c>
      <c r="Z1" s="753" t="s">
        <v>93</v>
      </c>
      <c r="AF1" s="1548"/>
      <c r="AG1" s="1548"/>
      <c r="AH1" s="1548"/>
      <c r="AI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W1" s="309" t="s">
        <v>336</v>
      </c>
      <c r="BX1" s="1150" t="s">
        <v>94</v>
      </c>
      <c r="BY1" s="1150" t="s">
        <v>400</v>
      </c>
      <c r="BZ1" s="1150" t="s">
        <v>401</v>
      </c>
      <c r="CA1" s="1150" t="s">
        <v>402</v>
      </c>
      <c r="CB1" s="1150" t="s">
        <v>110</v>
      </c>
      <c r="CC1" s="1720"/>
      <c r="CD1" s="1150" t="s">
        <v>112</v>
      </c>
      <c r="CE1" s="1150" t="s">
        <v>113</v>
      </c>
      <c r="CF1" s="1150" t="s">
        <v>114</v>
      </c>
    </row>
    <row s="1721" customFormat="1" customHeight="1" ht="11.25" hidden="1">
      <c r="A2" s="371"/>
      <c r="B2" s="179" t="s">
        <v>16</v>
      </c>
      <c r="G2" s="308"/>
      <c r="H2" s="308"/>
      <c r="I2" s="308"/>
      <c r="J2" s="308"/>
      <c r="K2" s="308"/>
      <c r="L2" s="308"/>
      <c r="M2" s="308"/>
      <c r="N2" s="308"/>
      <c r="O2" s="308"/>
      <c r="P2" s="308"/>
      <c r="Q2" s="308"/>
      <c r="R2" s="308"/>
      <c r="S2" s="193"/>
      <c r="T2" s="193"/>
      <c r="U2" s="175"/>
      <c r="V2" s="175"/>
      <c r="W2" s="175"/>
      <c r="X2" s="175"/>
      <c r="Y2" s="175"/>
      <c r="Z2" s="175"/>
      <c r="AE2" s="175"/>
      <c r="AF2" s="179">
        <f>AND(AF9&lt;=last_year_vis,isOrgDeclare)</f>
        <v>1</v>
      </c>
      <c r="AG2" s="179">
        <f>AND(AG9&lt;=last_year_vis,isOrgDeclare)</f>
        <v>0</v>
      </c>
      <c r="AH2" s="179">
        <f>AND(AH9&lt;=last_year_vis,isOrgDeclare)</f>
        <v>0</v>
      </c>
      <c r="AI2" s="179">
        <f>AND(AI9&lt;=last_year_vis,isOrgDeclare)</f>
        <v>0</v>
      </c>
      <c r="AJ2" s="179">
        <f>AND(AJ9&lt;=last_year_vis,isOrgDeclare)</f>
        <v>0</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AZ9&lt;=last_year_vis</f>
        <v>1</v>
      </c>
      <c r="BA2" s="179">
        <f>BA9&lt;=last_year_vis</f>
        <v>0</v>
      </c>
      <c r="BB2" s="179">
        <f>BB9&lt;=last_year_vis</f>
        <v>0</v>
      </c>
      <c r="BC2" s="179">
        <f>BC9&lt;=last_year_vis</f>
        <v>0</v>
      </c>
      <c r="BD2" s="179">
        <f>BD9&lt;=last_year_vis</f>
        <v>0</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W2" s="309"/>
      <c r="BX2" s="1073"/>
      <c r="BY2" s="1073"/>
      <c r="BZ2" s="1073"/>
      <c r="CA2" s="1073"/>
      <c r="CB2" s="1073"/>
      <c r="CC2" s="1721"/>
      <c r="CD2" s="1073"/>
      <c r="CE2" s="1073"/>
      <c r="CF2" s="1073"/>
    </row>
    <row s="1721" customFormat="1" customHeight="1" ht="11.25" hidden="1">
      <c r="A3" s="371"/>
      <c r="C3" s="175"/>
      <c r="G3" s="308"/>
      <c r="H3" s="308"/>
      <c r="I3" s="308"/>
      <c r="J3" s="308"/>
      <c r="K3" s="308"/>
      <c r="L3" s="308"/>
      <c r="M3" s="308"/>
      <c r="N3" s="308"/>
      <c r="O3" s="308"/>
      <c r="P3" s="308"/>
      <c r="Q3" s="308"/>
      <c r="R3" s="308"/>
      <c r="S3" s="193"/>
      <c r="T3" s="193"/>
      <c r="U3" s="175"/>
      <c r="V3" s="175"/>
      <c r="W3" s="175"/>
      <c r="X3" s="175"/>
      <c r="Y3" s="175"/>
      <c r="Z3" s="175"/>
      <c r="AF3" s="1721"/>
      <c r="AG3" s="1721"/>
      <c r="AH3" s="1721"/>
      <c r="AI3" s="1721"/>
      <c r="AJ3" s="1721"/>
      <c r="AK3" s="1721"/>
      <c r="AL3" s="1721"/>
      <c r="AM3" s="1721"/>
      <c r="AN3" s="1721"/>
      <c r="AO3" s="1721"/>
      <c r="AP3" s="1721"/>
      <c r="AQ3" s="1721"/>
      <c r="AR3" s="1721"/>
      <c r="AS3" s="1721"/>
      <c r="AT3" s="1721"/>
      <c r="AU3" s="1721"/>
      <c r="AV3" s="1721"/>
      <c r="AW3" s="1721"/>
      <c r="AX3" s="1721"/>
      <c r="AY3" s="1721"/>
      <c r="AZ3" s="1721"/>
      <c r="BA3" s="1721"/>
      <c r="BB3" s="1721"/>
      <c r="BC3" s="1721"/>
      <c r="BD3" s="1721"/>
      <c r="BE3" s="1721"/>
      <c r="BF3" s="1721"/>
      <c r="BG3" s="1721"/>
      <c r="BH3" s="1721"/>
      <c r="BI3" s="1721"/>
      <c r="BJ3" s="1721"/>
      <c r="BK3" s="1721"/>
      <c r="BL3" s="1721"/>
      <c r="BM3" s="1721"/>
      <c r="BN3" s="1721"/>
      <c r="BO3" s="1721"/>
      <c r="BP3" s="1721"/>
      <c r="BQ3" s="1721"/>
      <c r="BR3" s="1721"/>
      <c r="BS3" s="1721"/>
      <c r="BW3" s="309"/>
      <c r="BX3" s="239"/>
      <c r="BY3" s="239"/>
      <c r="BZ3" s="239"/>
      <c r="CA3" s="239"/>
      <c r="CB3" s="239"/>
      <c r="CC3" s="1722"/>
      <c r="CD3" s="239"/>
      <c r="CE3" s="239"/>
      <c r="CF3" s="239"/>
    </row>
    <row s="1721" customFormat="1" customHeight="1" ht="11.25" hidden="1">
      <c r="A4" s="371"/>
      <c r="G4" s="308"/>
      <c r="H4" s="308"/>
      <c r="I4" s="308"/>
      <c r="J4" s="308"/>
      <c r="K4" s="308"/>
      <c r="L4" s="308"/>
      <c r="M4" s="308"/>
      <c r="N4" s="308"/>
      <c r="O4" s="308"/>
      <c r="P4" s="308"/>
      <c r="Q4" s="308"/>
      <c r="R4" s="308"/>
      <c r="S4" s="193"/>
      <c r="T4" s="193"/>
      <c r="U4" s="175"/>
      <c r="V4" s="175"/>
      <c r="W4" s="175"/>
      <c r="X4" s="175"/>
      <c r="Y4" s="175"/>
      <c r="Z4" s="175"/>
      <c r="AF4" s="1721"/>
      <c r="AG4" s="1721"/>
      <c r="AH4" s="1721"/>
      <c r="AI4" s="1721"/>
      <c r="AJ4" s="1721"/>
      <c r="AK4" s="1721"/>
      <c r="AL4" s="1721"/>
      <c r="AM4" s="1721"/>
      <c r="AN4" s="1721"/>
      <c r="AO4" s="1721"/>
      <c r="AP4" s="1721"/>
      <c r="AQ4" s="1721"/>
      <c r="AR4" s="1721"/>
      <c r="AS4" s="1721"/>
      <c r="AT4" s="1721"/>
      <c r="AU4" s="1721"/>
      <c r="AV4" s="1721"/>
      <c r="AW4" s="1721"/>
      <c r="AX4" s="1721"/>
      <c r="AY4" s="1721"/>
      <c r="AZ4" s="1721"/>
      <c r="BA4" s="1721"/>
      <c r="BB4" s="1721"/>
      <c r="BC4" s="1721"/>
      <c r="BD4" s="1721"/>
      <c r="BE4" s="1721"/>
      <c r="BF4" s="1721"/>
      <c r="BG4" s="1721"/>
      <c r="BH4" s="1721"/>
      <c r="BI4" s="1721"/>
      <c r="BJ4" s="1721"/>
      <c r="BK4" s="1721"/>
      <c r="BL4" s="1721"/>
      <c r="BM4" s="1721"/>
      <c r="BN4" s="1721"/>
      <c r="BO4" s="1721"/>
      <c r="BP4" s="1721"/>
      <c r="BQ4" s="1721"/>
      <c r="BR4" s="1721"/>
      <c r="BS4" s="1721"/>
      <c r="BW4" s="309"/>
      <c r="BX4" s="239"/>
      <c r="BY4" s="239"/>
      <c r="BZ4" s="239"/>
      <c r="CA4" s="239"/>
      <c r="CB4" s="239"/>
      <c r="CC4" s="1722"/>
      <c r="CD4" s="239"/>
      <c r="CE4" s="239"/>
      <c r="CF4" s="239"/>
    </row>
    <row s="1723" customFormat="1" customHeight="1" ht="11.25" hidden="1">
      <c r="A5" s="371"/>
      <c r="B5" s="176"/>
      <c r="C5" s="176"/>
      <c r="D5" s="176"/>
      <c r="E5" s="284" t="s">
        <v>17</v>
      </c>
      <c r="G5" s="311"/>
      <c r="H5" s="311"/>
      <c r="I5" s="311"/>
      <c r="J5" s="311"/>
      <c r="K5" s="311"/>
      <c r="L5" s="311"/>
      <c r="M5" s="311"/>
      <c r="N5" s="311"/>
      <c r="O5" s="311"/>
      <c r="P5" s="311"/>
      <c r="Q5" s="311"/>
      <c r="R5" s="311"/>
      <c r="S5" s="194"/>
      <c r="T5" s="194"/>
      <c r="U5" s="180"/>
      <c r="V5" s="180"/>
      <c r="W5" s="180"/>
      <c r="X5" s="180"/>
      <c r="Y5" s="180"/>
      <c r="Z5" s="180"/>
      <c r="AA5" s="284">
        <v>3</v>
      </c>
      <c r="AB5" s="284">
        <v>6</v>
      </c>
      <c r="AC5" s="284">
        <v>64</v>
      </c>
      <c r="AD5" s="284">
        <v>15</v>
      </c>
      <c r="AE5" s="284">
        <v>20</v>
      </c>
      <c r="AF5" s="284">
        <v>20</v>
      </c>
      <c r="AG5" s="284">
        <v>20</v>
      </c>
      <c r="AH5" s="284">
        <v>20</v>
      </c>
      <c r="AI5" s="284">
        <v>20</v>
      </c>
      <c r="AJ5" s="284">
        <v>20</v>
      </c>
      <c r="AK5" s="284">
        <v>20</v>
      </c>
      <c r="AL5" s="284">
        <v>20</v>
      </c>
      <c r="AM5" s="284">
        <v>20</v>
      </c>
      <c r="AN5" s="284">
        <v>20</v>
      </c>
      <c r="AO5" s="284">
        <v>20</v>
      </c>
      <c r="AP5" s="284">
        <v>20</v>
      </c>
      <c r="AQ5" s="284">
        <v>20</v>
      </c>
      <c r="AR5" s="284">
        <v>20</v>
      </c>
      <c r="AS5" s="284">
        <v>20</v>
      </c>
      <c r="AT5" s="284">
        <v>20</v>
      </c>
      <c r="AU5" s="284">
        <v>20</v>
      </c>
      <c r="AV5" s="284">
        <v>20</v>
      </c>
      <c r="AW5" s="284">
        <v>20</v>
      </c>
      <c r="AX5" s="284">
        <v>20</v>
      </c>
      <c r="AY5" s="284">
        <v>20</v>
      </c>
      <c r="AZ5" s="284">
        <v>20</v>
      </c>
      <c r="BA5" s="284">
        <v>20</v>
      </c>
      <c r="BB5" s="284">
        <v>20</v>
      </c>
      <c r="BC5" s="284">
        <v>20</v>
      </c>
      <c r="BD5" s="284">
        <v>20</v>
      </c>
      <c r="BE5" s="284">
        <v>20</v>
      </c>
      <c r="BF5" s="284">
        <v>20</v>
      </c>
      <c r="BG5" s="284">
        <v>20</v>
      </c>
      <c r="BH5" s="284">
        <v>20</v>
      </c>
      <c r="BI5" s="284">
        <v>20</v>
      </c>
      <c r="BJ5" s="284">
        <v>20</v>
      </c>
      <c r="BK5" s="284">
        <v>20</v>
      </c>
      <c r="BL5" s="284">
        <v>20</v>
      </c>
      <c r="BM5" s="284">
        <v>20</v>
      </c>
      <c r="BN5" s="284">
        <v>20</v>
      </c>
      <c r="BO5" s="284">
        <v>20</v>
      </c>
      <c r="BP5" s="284">
        <v>20</v>
      </c>
      <c r="BQ5" s="284">
        <v>20</v>
      </c>
      <c r="BR5" s="284">
        <v>20</v>
      </c>
      <c r="BS5" s="284">
        <v>20</v>
      </c>
      <c r="BT5" s="284">
        <v>20</v>
      </c>
      <c r="BU5" s="284">
        <v>3</v>
      </c>
      <c r="BW5" s="309"/>
      <c r="BX5" s="1074"/>
      <c r="BY5" s="1074"/>
      <c r="BZ5" s="1074"/>
      <c r="CA5" s="1074"/>
      <c r="CB5" s="1074"/>
      <c r="CC5" s="1723"/>
      <c r="CD5" s="1074"/>
      <c r="CE5" s="1074"/>
      <c r="CF5" s="1074"/>
    </row>
    <row s="1721" customFormat="1" customHeight="1" ht="11.25" hidden="1">
      <c r="A6" s="371"/>
      <c r="E6" s="284"/>
      <c r="G6" s="308"/>
      <c r="H6" s="308"/>
      <c r="I6" s="308"/>
      <c r="J6" s="308"/>
      <c r="K6" s="308"/>
      <c r="L6" s="308"/>
      <c r="M6" s="308"/>
      <c r="N6" s="308"/>
      <c r="O6" s="308"/>
      <c r="P6" s="308"/>
      <c r="Q6" s="308"/>
      <c r="R6" s="308"/>
      <c r="S6" s="193"/>
      <c r="T6" s="193"/>
      <c r="U6" s="175"/>
      <c r="V6" s="175"/>
      <c r="W6" s="175"/>
      <c r="X6" s="175"/>
      <c r="Y6" s="175"/>
      <c r="Z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c r="BQ6" s="175"/>
      <c r="BR6" s="175"/>
      <c r="BS6" s="175"/>
      <c r="BW6" s="309"/>
      <c r="BX6" s="239"/>
      <c r="BY6" s="239"/>
      <c r="BZ6" s="239"/>
      <c r="CA6" s="239"/>
      <c r="CB6" s="239"/>
      <c r="CC6" s="1722"/>
      <c r="CD6" s="239"/>
      <c r="CE6" s="239"/>
      <c r="CF6" s="239"/>
    </row>
    <row s="308" customFormat="1" customHeight="1" ht="11.25" hidden="1">
      <c r="A7" s="371"/>
      <c r="B7" s="176"/>
      <c r="C7" s="176"/>
      <c r="D7" s="176"/>
      <c r="E7" s="284"/>
      <c r="S7" s="193"/>
      <c r="T7" s="193"/>
      <c r="U7" s="193"/>
      <c r="V7" s="193"/>
      <c r="W7" s="193"/>
      <c r="X7" s="193"/>
      <c r="Y7" s="193"/>
      <c r="Z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W7" s="309"/>
      <c r="BX7" s="287"/>
      <c r="BY7" s="287"/>
      <c r="BZ7" s="287"/>
      <c r="CA7" s="287"/>
      <c r="CB7" s="287"/>
      <c r="CC7" s="1724"/>
      <c r="CD7" s="287"/>
      <c r="CE7" s="287"/>
      <c r="CF7" s="287"/>
    </row>
    <row s="308" customFormat="1" customHeight="1" ht="11.25" hidden="1">
      <c r="A8" s="371"/>
      <c r="B8" s="176"/>
      <c r="C8" s="176"/>
      <c r="D8" s="176"/>
      <c r="E8" s="284"/>
      <c r="S8" s="193"/>
      <c r="T8" s="193"/>
      <c r="U8" s="193"/>
      <c r="V8" s="193"/>
      <c r="W8" s="193"/>
      <c r="X8" s="193"/>
      <c r="Y8" s="193"/>
      <c r="Z8" s="193"/>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93"/>
      <c r="BQ8" s="193"/>
      <c r="BR8" s="193"/>
      <c r="BS8" s="193"/>
      <c r="BW8" s="309"/>
      <c r="BX8" s="287"/>
      <c r="BY8" s="287"/>
      <c r="BZ8" s="287"/>
      <c r="CA8" s="287"/>
      <c r="CB8" s="287"/>
      <c r="CC8" s="1724"/>
      <c r="CD8" s="287"/>
      <c r="CE8" s="287"/>
      <c r="CF8" s="287"/>
    </row>
    <row s="1143" customFormat="1" customHeight="1" ht="11.25" hidden="1">
      <c r="A9" s="309" t="s">
        <v>403</v>
      </c>
      <c r="AE9" s="312">
        <f>god-1</f>
        <v>2026</v>
      </c>
      <c r="AF9" s="312" cm="1" t="str">
        <f t="array" ref="AF9:AF9">god</f>
        <v>2027</v>
      </c>
      <c r="AG9" s="312">
        <f>god+1</f>
        <v>2028</v>
      </c>
      <c r="AH9" s="312">
        <f>god+2</f>
        <v>2029</v>
      </c>
      <c r="AI9" s="312">
        <f>god+3</f>
        <v>2030</v>
      </c>
      <c r="AJ9" s="312">
        <f>god+4</f>
        <v>2031</v>
      </c>
      <c r="AK9" s="312">
        <f>god+5</f>
        <v>2032</v>
      </c>
      <c r="AL9" s="312">
        <f>god+6</f>
        <v>2033</v>
      </c>
      <c r="AM9" s="312">
        <f>god+7</f>
        <v>2034</v>
      </c>
      <c r="AN9" s="312">
        <f>god+8</f>
        <v>2035</v>
      </c>
      <c r="AO9" s="312">
        <f>god+9</f>
        <v>2036</v>
      </c>
      <c r="AP9" s="312">
        <f>god+10</f>
        <v>2037</v>
      </c>
      <c r="AQ9" s="312">
        <f>god+11</f>
        <v>2038</v>
      </c>
      <c r="AR9" s="312">
        <f>god+12</f>
        <v>2039</v>
      </c>
      <c r="AS9" s="312">
        <f>god+13</f>
        <v>2040</v>
      </c>
      <c r="AT9" s="312">
        <f>god+14</f>
        <v>2041</v>
      </c>
      <c r="AU9" s="312">
        <f>god+15</f>
        <v>2042</v>
      </c>
      <c r="AV9" s="312">
        <f>god+16</f>
        <v>2043</v>
      </c>
      <c r="AW9" s="312">
        <f>god+17</f>
        <v>2044</v>
      </c>
      <c r="AX9" s="312">
        <f>god+18</f>
        <v>2045</v>
      </c>
      <c r="AY9" s="312">
        <f>god+19</f>
        <v>2046</v>
      </c>
      <c r="AZ9" s="312" cm="1" t="str">
        <f t="array" ref="AZ9:AZ9">god</f>
        <v>2027</v>
      </c>
      <c r="BA9" s="312">
        <f>god+1</f>
        <v>2028</v>
      </c>
      <c r="BB9" s="312">
        <f>god+2</f>
        <v>2029</v>
      </c>
      <c r="BC9" s="312">
        <f>god+3</f>
        <v>2030</v>
      </c>
      <c r="BD9" s="312">
        <f>god+4</f>
        <v>2031</v>
      </c>
      <c r="BE9" s="312">
        <f>god+5</f>
        <v>2032</v>
      </c>
      <c r="BF9" s="312">
        <f>god+6</f>
        <v>2033</v>
      </c>
      <c r="BG9" s="312">
        <f>god+7</f>
        <v>2034</v>
      </c>
      <c r="BH9" s="312">
        <f>god+8</f>
        <v>2035</v>
      </c>
      <c r="BI9" s="312">
        <f>god+9</f>
        <v>2036</v>
      </c>
      <c r="BJ9" s="312">
        <f>god+10</f>
        <v>2037</v>
      </c>
      <c r="BK9" s="312">
        <f>god+11</f>
        <v>2038</v>
      </c>
      <c r="BL9" s="312">
        <f>god+12</f>
        <v>2039</v>
      </c>
      <c r="BM9" s="312">
        <f>god+13</f>
        <v>2040</v>
      </c>
      <c r="BN9" s="312">
        <f>god+14</f>
        <v>2041</v>
      </c>
      <c r="BO9" s="312">
        <f>god+15</f>
        <v>2042</v>
      </c>
      <c r="BP9" s="312">
        <f>god+16</f>
        <v>2043</v>
      </c>
      <c r="BQ9" s="312">
        <f>god+17</f>
        <v>2044</v>
      </c>
      <c r="BR9" s="312">
        <f>god+18</f>
        <v>2045</v>
      </c>
      <c r="BS9" s="312">
        <f>god+19</f>
        <v>2046</v>
      </c>
      <c r="BW9" s="309"/>
      <c r="BX9" s="1081"/>
      <c r="BY9" s="1081"/>
      <c r="BZ9" s="1081"/>
      <c r="CA9" s="1081"/>
      <c r="CB9" s="1081"/>
      <c r="CC9" s="1725"/>
      <c r="CD9" s="1081"/>
      <c r="CE9" s="1081"/>
      <c r="CF9" s="1081"/>
    </row>
    <row s="1143" customFormat="1" customHeight="1" ht="11.25" hidden="1">
      <c r="A10" s="309" t="s">
        <v>404</v>
      </c>
      <c r="AE10" s="312" cm="1" t="str">
        <f t="array" ref="AE10:AE10">AE25</f>
        <v>Принято органом регулирования</v>
      </c>
      <c r="AF10" s="312" cm="1" t="str">
        <f t="array" ref="AF10:AF10">AF25</f>
        <v>Предложение организации</v>
      </c>
      <c r="AG10" s="312" cm="1" t="str">
        <f t="array" ref="AG10:AG10">AG25</f>
        <v>Предложение организации</v>
      </c>
      <c r="AH10" s="312" cm="1" t="str">
        <f t="array" ref="AH10:AH10">AH25</f>
        <v>Предложение организации</v>
      </c>
      <c r="AI10" s="312" cm="1" t="str">
        <f t="array" ref="AI10:AI10">AI25</f>
        <v>Предложение организации</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Предложение организации</v>
      </c>
      <c r="AZ10" s="312" cm="1" t="str">
        <f t="array" ref="AZ10:AZ10">AZ25</f>
        <v>Принято органом регулирования</v>
      </c>
      <c r="BA10" s="312" cm="1" t="str">
        <f t="array" ref="BA10:BA10">BA25</f>
        <v>Принято органом регулирования</v>
      </c>
      <c r="BB10" s="312" cm="1" t="str">
        <f t="array" ref="BB10:BB10">BB25</f>
        <v>Принято органом регулирования</v>
      </c>
      <c r="BC10" s="312" cm="1" t="str">
        <f t="array" ref="BC10:BC10">BC25</f>
        <v>Принято органом регулирования</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S10" s="312" cm="1" t="str">
        <f t="array" ref="BS10:BS10">BS25</f>
        <v>Принято органом регулирования</v>
      </c>
      <c r="BW10" s="309"/>
      <c r="BX10" s="1081"/>
      <c r="BY10" s="1081"/>
      <c r="BZ10" s="1081"/>
      <c r="CA10" s="1081"/>
      <c r="CB10" s="1081"/>
      <c r="CC10" s="1725"/>
      <c r="CD10" s="1081"/>
      <c r="CE10" s="1081"/>
      <c r="CF10" s="1081"/>
    </row>
    <row s="326" customFormat="1" customHeight="1" ht="11.25" hidden="1">
      <c r="A11" s="309" t="s">
        <v>405</v>
      </c>
      <c r="G11" s="977"/>
      <c r="H11" s="977"/>
      <c r="I11" s="977"/>
      <c r="J11" s="977"/>
      <c r="K11" s="977"/>
      <c r="L11" s="977"/>
      <c r="M11" s="977"/>
      <c r="N11" s="977"/>
      <c r="O11" s="977"/>
      <c r="P11" s="977"/>
      <c r="Q11" s="977"/>
      <c r="R11" s="977"/>
      <c r="S11" s="483"/>
      <c r="T11" s="483"/>
      <c r="U11" s="312"/>
      <c r="V11" s="312"/>
      <c r="W11" s="312"/>
      <c r="X11" s="312"/>
      <c r="Y11" s="312"/>
      <c r="Z11" s="312"/>
      <c r="AF11" s="326"/>
      <c r="AG11" s="326"/>
      <c r="AH11" s="326"/>
      <c r="AI11" s="326"/>
      <c r="AJ11" s="326"/>
      <c r="AK11" s="326"/>
      <c r="AL11" s="326"/>
      <c r="AM11" s="326"/>
      <c r="AN11" s="326"/>
      <c r="AO11" s="326"/>
      <c r="AP11" s="326"/>
      <c r="AQ11" s="326"/>
      <c r="AR11" s="326"/>
      <c r="AS11" s="326"/>
      <c r="AT11" s="326"/>
      <c r="AU11" s="326"/>
      <c r="AV11" s="326"/>
      <c r="AW11" s="326"/>
      <c r="AX11" s="326"/>
      <c r="AY11" s="326"/>
      <c r="AZ11" s="326"/>
      <c r="BA11" s="326"/>
      <c r="BB11" s="326"/>
      <c r="BC11" s="326"/>
      <c r="BD11" s="326"/>
      <c r="BE11" s="326"/>
      <c r="BF11" s="326"/>
      <c r="BG11" s="326"/>
      <c r="BH11" s="326"/>
      <c r="BI11" s="326"/>
      <c r="BJ11" s="326"/>
      <c r="BK11" s="326"/>
      <c r="BL11" s="326"/>
      <c r="BM11" s="326"/>
      <c r="BN11" s="326"/>
      <c r="BO11" s="326"/>
      <c r="BP11" s="326"/>
      <c r="BQ11" s="326"/>
      <c r="BR11" s="326"/>
      <c r="BS11" s="326"/>
      <c r="BT11" s="326" cm="1" t="str">
        <f t="array" ref="BT11:BT11">BT24</f>
        <v>Комментарии</v>
      </c>
      <c r="BW11" s="309"/>
      <c r="BX11" s="1151"/>
      <c r="BY11" s="1151"/>
      <c r="BZ11" s="1151"/>
      <c r="CA11" s="1151"/>
      <c r="CB11" s="1151"/>
      <c r="CC11" s="1726"/>
      <c r="CD11" s="1151"/>
      <c r="CE11" s="1151"/>
      <c r="CF11" s="1151"/>
    </row>
    <row s="1721" customFormat="1" customHeight="1" ht="11.25" hidden="1">
      <c r="A12" s="371"/>
      <c r="E12" s="284"/>
      <c r="G12" s="308"/>
      <c r="H12" s="308"/>
      <c r="I12" s="308"/>
      <c r="J12" s="308"/>
      <c r="K12" s="308"/>
      <c r="L12" s="308"/>
      <c r="M12" s="308"/>
      <c r="N12" s="308"/>
      <c r="O12" s="308"/>
      <c r="P12" s="308"/>
      <c r="Q12" s="308"/>
      <c r="R12" s="308"/>
      <c r="S12" s="193"/>
      <c r="T12" s="193"/>
      <c r="U12" s="175"/>
      <c r="V12" s="175"/>
      <c r="W12" s="175"/>
      <c r="X12" s="175"/>
      <c r="Y12" s="175"/>
      <c r="Z12" s="175"/>
      <c r="AF12" s="1721"/>
      <c r="AG12" s="1721"/>
      <c r="AH12" s="1721"/>
      <c r="AI12" s="1721"/>
      <c r="AJ12" s="1721"/>
      <c r="AK12" s="1721"/>
      <c r="AL12" s="1721"/>
      <c r="AM12" s="1721"/>
      <c r="AN12" s="1721"/>
      <c r="AO12" s="1721"/>
      <c r="AP12" s="1721"/>
      <c r="AQ12" s="1721"/>
      <c r="AR12" s="1721"/>
      <c r="AS12" s="1721"/>
      <c r="AT12" s="1721"/>
      <c r="AU12" s="1721"/>
      <c r="AV12" s="1721"/>
      <c r="AW12" s="1721"/>
      <c r="AX12" s="1721"/>
      <c r="AY12" s="1721"/>
      <c r="AZ12" s="1721"/>
      <c r="BA12" s="1721"/>
      <c r="BB12" s="1721"/>
      <c r="BC12" s="1721"/>
      <c r="BD12" s="1721"/>
      <c r="BE12" s="1721"/>
      <c r="BF12" s="1721"/>
      <c r="BG12" s="1721"/>
      <c r="BH12" s="1721"/>
      <c r="BI12" s="1721"/>
      <c r="BJ12" s="1721"/>
      <c r="BK12" s="1721"/>
      <c r="BL12" s="1721"/>
      <c r="BM12" s="1721"/>
      <c r="BN12" s="1721"/>
      <c r="BO12" s="1721"/>
      <c r="BP12" s="1721"/>
      <c r="BQ12" s="1721"/>
      <c r="BR12" s="1721"/>
      <c r="BS12" s="1721"/>
      <c r="BW12" s="309"/>
      <c r="BX12" s="239"/>
      <c r="BY12" s="239"/>
      <c r="BZ12" s="239"/>
      <c r="CA12" s="239"/>
      <c r="CB12" s="239"/>
      <c r="CC12" s="1722"/>
      <c r="CD12" s="239"/>
      <c r="CE12" s="239"/>
      <c r="CF12" s="239"/>
    </row>
    <row s="1721" customFormat="1" customHeight="1" ht="11.25" hidden="1">
      <c r="A13" s="371"/>
      <c r="E13" s="284"/>
      <c r="G13" s="308"/>
      <c r="H13" s="308"/>
      <c r="I13" s="308"/>
      <c r="J13" s="308"/>
      <c r="K13" s="308"/>
      <c r="L13" s="308"/>
      <c r="M13" s="308"/>
      <c r="N13" s="308"/>
      <c r="O13" s="308"/>
      <c r="P13" s="308"/>
      <c r="Q13" s="308"/>
      <c r="R13" s="308"/>
      <c r="S13" s="193"/>
      <c r="T13" s="193"/>
      <c r="U13" s="175"/>
      <c r="V13" s="175"/>
      <c r="W13" s="175"/>
      <c r="X13" s="175"/>
      <c r="Y13" s="175"/>
      <c r="Z13" s="175"/>
      <c r="AA13" s="175"/>
      <c r="AB13" s="175"/>
      <c r="AF13" s="1721"/>
      <c r="AG13" s="1721"/>
      <c r="AH13" s="1721"/>
      <c r="AI13" s="1721"/>
      <c r="AJ13" s="1721"/>
      <c r="AK13" s="1721"/>
      <c r="AL13" s="1721"/>
      <c r="AM13" s="1721"/>
      <c r="AN13" s="1721"/>
      <c r="AO13" s="1721"/>
      <c r="AP13" s="1721"/>
      <c r="AQ13" s="1721"/>
      <c r="AR13" s="1721"/>
      <c r="AS13" s="1721"/>
      <c r="AT13" s="1721"/>
      <c r="AU13" s="1721"/>
      <c r="AV13" s="1721"/>
      <c r="AW13" s="1721"/>
      <c r="AX13" s="1721"/>
      <c r="AY13" s="1721"/>
      <c r="AZ13" s="1721"/>
      <c r="BA13" s="1721"/>
      <c r="BB13" s="1721"/>
      <c r="BC13" s="1721"/>
      <c r="BD13" s="1721"/>
      <c r="BE13" s="1721"/>
      <c r="BF13" s="1721"/>
      <c r="BG13" s="1721"/>
      <c r="BH13" s="1721"/>
      <c r="BI13" s="1721"/>
      <c r="BJ13" s="1721"/>
      <c r="BK13" s="1721"/>
      <c r="BL13" s="1721"/>
      <c r="BM13" s="1721"/>
      <c r="BN13" s="1721"/>
      <c r="BO13" s="1721"/>
      <c r="BP13" s="1721"/>
      <c r="BQ13" s="1721"/>
      <c r="BR13" s="1721"/>
      <c r="BS13" s="1721"/>
      <c r="BW13" s="309"/>
      <c r="BX13" s="239"/>
      <c r="BY13" s="239"/>
      <c r="BZ13" s="239"/>
      <c r="CA13" s="239"/>
      <c r="CB13" s="239"/>
      <c r="CC13" s="1722"/>
      <c r="CD13" s="239"/>
      <c r="CE13" s="239"/>
      <c r="CF13" s="239"/>
    </row>
    <row s="1721" customFormat="1" customHeight="1" ht="11.25" hidden="1">
      <c r="A14" s="371" t="s">
        <v>406</v>
      </c>
      <c r="E14" s="284"/>
      <c r="G14" s="308"/>
      <c r="H14" s="308"/>
      <c r="I14" s="308"/>
      <c r="J14" s="308"/>
      <c r="K14" s="308"/>
      <c r="L14" s="308"/>
      <c r="M14" s="308"/>
      <c r="N14" s="308"/>
      <c r="O14" s="308"/>
      <c r="P14" s="308"/>
      <c r="Q14" s="308"/>
      <c r="R14" s="308"/>
      <c r="S14" s="193"/>
      <c r="T14" s="193"/>
      <c r="U14" s="175"/>
      <c r="V14" s="175"/>
      <c r="W14" s="175"/>
      <c r="X14" s="175"/>
      <c r="Y14" s="175"/>
      <c r="Z14" s="175"/>
      <c r="AA14" s="175"/>
      <c r="AB14" s="175"/>
      <c r="AE14" s="1088" t="s">
        <v>407</v>
      </c>
      <c r="AF14" s="1088" t="s">
        <v>408</v>
      </c>
      <c r="AG14" s="1088" t="s">
        <v>408</v>
      </c>
      <c r="AH14" s="1088" t="s">
        <v>408</v>
      </c>
      <c r="AI14" s="1088" t="s">
        <v>408</v>
      </c>
      <c r="AJ14" s="1088" t="s">
        <v>408</v>
      </c>
      <c r="AK14" s="1088" t="s">
        <v>408</v>
      </c>
      <c r="AL14" s="1088" t="s">
        <v>408</v>
      </c>
      <c r="AM14" s="1088" t="s">
        <v>408</v>
      </c>
      <c r="AN14" s="1088" t="s">
        <v>408</v>
      </c>
      <c r="AO14" s="1088" t="s">
        <v>408</v>
      </c>
      <c r="AP14" s="1088" t="s">
        <v>408</v>
      </c>
      <c r="AQ14" s="1088" t="s">
        <v>408</v>
      </c>
      <c r="AR14" s="1088" t="s">
        <v>408</v>
      </c>
      <c r="AS14" s="1088" t="s">
        <v>408</v>
      </c>
      <c r="AT14" s="1088" t="s">
        <v>408</v>
      </c>
      <c r="AU14" s="1088" t="s">
        <v>408</v>
      </c>
      <c r="AV14" s="1088" t="s">
        <v>408</v>
      </c>
      <c r="AW14" s="1088" t="s">
        <v>408</v>
      </c>
      <c r="AX14" s="1088" t="s">
        <v>408</v>
      </c>
      <c r="AY14" s="1088" t="s">
        <v>408</v>
      </c>
      <c r="AZ14" s="1088" t="s">
        <v>407</v>
      </c>
      <c r="BA14" s="1088" t="s">
        <v>407</v>
      </c>
      <c r="BB14" s="1088" t="s">
        <v>407</v>
      </c>
      <c r="BC14" s="1088" t="s">
        <v>407</v>
      </c>
      <c r="BD14" s="1088" t="s">
        <v>407</v>
      </c>
      <c r="BE14" s="1088" t="s">
        <v>407</v>
      </c>
      <c r="BF14" s="1088" t="s">
        <v>407</v>
      </c>
      <c r="BG14" s="1088" t="s">
        <v>407</v>
      </c>
      <c r="BH14" s="1088" t="s">
        <v>407</v>
      </c>
      <c r="BI14" s="1088" t="s">
        <v>407</v>
      </c>
      <c r="BJ14" s="1088" t="s">
        <v>407</v>
      </c>
      <c r="BK14" s="1088" t="s">
        <v>407</v>
      </c>
      <c r="BL14" s="1088" t="s">
        <v>407</v>
      </c>
      <c r="BM14" s="1088" t="s">
        <v>407</v>
      </c>
      <c r="BN14" s="1088" t="s">
        <v>407</v>
      </c>
      <c r="BO14" s="1088" t="s">
        <v>407</v>
      </c>
      <c r="BP14" s="1088" t="s">
        <v>407</v>
      </c>
      <c r="BQ14" s="1088" t="s">
        <v>407</v>
      </c>
      <c r="BR14" s="1088" t="s">
        <v>407</v>
      </c>
      <c r="BS14" s="1088" t="s">
        <v>407</v>
      </c>
      <c r="BT14" s="1088"/>
      <c r="BW14" s="309"/>
      <c r="BX14" s="0"/>
      <c r="BY14" s="0"/>
      <c r="BZ14" s="0"/>
      <c r="CA14" s="0"/>
      <c r="CB14" s="0"/>
      <c r="CC14" s="0"/>
      <c r="CD14" s="0"/>
      <c r="CE14" s="0"/>
      <c r="CF14" s="0"/>
    </row>
    <row s="1721" customFormat="1" customHeight="1" ht="11.25" hidden="1">
      <c r="A15" s="371" t="s">
        <v>409</v>
      </c>
      <c r="E15" s="284"/>
      <c r="G15" s="308"/>
      <c r="H15" s="308"/>
      <c r="I15" s="308"/>
      <c r="J15" s="308"/>
      <c r="K15" s="308"/>
      <c r="L15" s="308"/>
      <c r="M15" s="308"/>
      <c r="N15" s="308"/>
      <c r="O15" s="308"/>
      <c r="P15" s="308"/>
      <c r="Q15" s="308"/>
      <c r="R15" s="308"/>
      <c r="S15" s="193"/>
      <c r="T15" s="193"/>
      <c r="U15" s="175"/>
      <c r="V15" s="175"/>
      <c r="W15" s="175"/>
      <c r="X15" s="175"/>
      <c r="Y15" s="175"/>
      <c r="Z15" s="175"/>
      <c r="AA15" s="175"/>
      <c r="AB15" s="175"/>
      <c r="AE15" s="1088" t="s">
        <v>410</v>
      </c>
      <c r="AF15" s="1088" t="s">
        <v>411</v>
      </c>
      <c r="AG15" s="1088" t="s">
        <v>411</v>
      </c>
      <c r="AH15" s="1088" t="s">
        <v>411</v>
      </c>
      <c r="AI15" s="1088" t="s">
        <v>411</v>
      </c>
      <c r="AJ15" s="1088" t="s">
        <v>411</v>
      </c>
      <c r="AK15" s="1088" t="s">
        <v>411</v>
      </c>
      <c r="AL15" s="1088" t="s">
        <v>411</v>
      </c>
      <c r="AM15" s="1088" t="s">
        <v>411</v>
      </c>
      <c r="AN15" s="1088" t="s">
        <v>411</v>
      </c>
      <c r="AO15" s="1088" t="s">
        <v>411</v>
      </c>
      <c r="AP15" s="1088" t="s">
        <v>411</v>
      </c>
      <c r="AQ15" s="1088" t="s">
        <v>411</v>
      </c>
      <c r="AR15" s="1088" t="s">
        <v>411</v>
      </c>
      <c r="AS15" s="1088" t="s">
        <v>411</v>
      </c>
      <c r="AT15" s="1088" t="s">
        <v>411</v>
      </c>
      <c r="AU15" s="1088" t="s">
        <v>411</v>
      </c>
      <c r="AV15" s="1088" t="s">
        <v>411</v>
      </c>
      <c r="AW15" s="1088" t="s">
        <v>411</v>
      </c>
      <c r="AX15" s="1088" t="s">
        <v>411</v>
      </c>
      <c r="AY15" s="1088" t="s">
        <v>411</v>
      </c>
      <c r="AZ15" s="1088" t="s">
        <v>410</v>
      </c>
      <c r="BA15" s="1088" t="s">
        <v>410</v>
      </c>
      <c r="BB15" s="1088" t="s">
        <v>410</v>
      </c>
      <c r="BC15" s="1088" t="s">
        <v>410</v>
      </c>
      <c r="BD15" s="1088" t="s">
        <v>410</v>
      </c>
      <c r="BE15" s="1088" t="s">
        <v>410</v>
      </c>
      <c r="BF15" s="1088" t="s">
        <v>410</v>
      </c>
      <c r="BG15" s="1088" t="s">
        <v>410</v>
      </c>
      <c r="BH15" s="1088" t="s">
        <v>410</v>
      </c>
      <c r="BI15" s="1088" t="s">
        <v>410</v>
      </c>
      <c r="BJ15" s="1088" t="s">
        <v>410</v>
      </c>
      <c r="BK15" s="1088" t="s">
        <v>410</v>
      </c>
      <c r="BL15" s="1088" t="s">
        <v>410</v>
      </c>
      <c r="BM15" s="1088" t="s">
        <v>410</v>
      </c>
      <c r="BN15" s="1088" t="s">
        <v>410</v>
      </c>
      <c r="BO15" s="1088" t="s">
        <v>410</v>
      </c>
      <c r="BP15" s="1088" t="s">
        <v>410</v>
      </c>
      <c r="BQ15" s="1088" t="s">
        <v>410</v>
      </c>
      <c r="BR15" s="1088" t="s">
        <v>410</v>
      </c>
      <c r="BS15" s="1088" t="s">
        <v>410</v>
      </c>
      <c r="BT15" s="1088"/>
      <c r="BW15" s="309"/>
      <c r="BX15" s="0"/>
      <c r="BY15" s="0"/>
      <c r="BZ15" s="0"/>
      <c r="CA15" s="0"/>
      <c r="CB15" s="0"/>
      <c r="CC15" s="0"/>
      <c r="CD15" s="0"/>
      <c r="CE15" s="0"/>
      <c r="CF15" s="0"/>
    </row>
    <row s="1721" customFormat="1" customHeight="1" ht="11.25" hidden="1">
      <c r="A16" s="371" t="s">
        <v>109</v>
      </c>
      <c r="E16" s="284"/>
      <c r="G16" s="308"/>
      <c r="H16" s="308"/>
      <c r="I16" s="308"/>
      <c r="J16" s="308"/>
      <c r="K16" s="308"/>
      <c r="L16" s="308"/>
      <c r="M16" s="308"/>
      <c r="N16" s="308"/>
      <c r="O16" s="308"/>
      <c r="P16" s="308"/>
      <c r="Q16" s="308"/>
      <c r="R16" s="308"/>
      <c r="S16" s="193"/>
      <c r="T16" s="193"/>
      <c r="U16" s="175"/>
      <c r="V16" s="175"/>
      <c r="W16" s="175"/>
      <c r="X16" s="175"/>
      <c r="Y16" s="175"/>
      <c r="Z16" s="175"/>
      <c r="AA16" s="175"/>
      <c r="AB16" s="175"/>
      <c r="AE16" s="1088" t="str">
        <f>"389.0."&amp;AE9-2010&amp;"."</f>
        <v>389.0.16.</v>
      </c>
      <c r="AF16" s="1088" t="str">
        <f>"389.0."&amp;AF9-2010&amp;"."</f>
        <v>389.0.17.</v>
      </c>
      <c r="AG16" s="1088" t="str">
        <f>"389.0."&amp;AG9-2010&amp;"."</f>
        <v>389.0.18.</v>
      </c>
      <c r="AH16" s="1088" t="str">
        <f>"389.0."&amp;AH9-2010&amp;"."</f>
        <v>389.0.19.</v>
      </c>
      <c r="AI16" s="1088" t="str">
        <f>"389.0."&amp;AI9-2010&amp;"."</f>
        <v>389.0.20.</v>
      </c>
      <c r="AJ16" s="1088" t="str">
        <f>"389.0."&amp;AJ9-2010&amp;"."</f>
        <v>389.0.21.</v>
      </c>
      <c r="AK16" s="1088" t="str">
        <f>"389.0."&amp;AK9-2010&amp;"."</f>
        <v>389.0.22.</v>
      </c>
      <c r="AL16" s="1088" t="str">
        <f>"389.0."&amp;AL9-2010&amp;"."</f>
        <v>389.0.23.</v>
      </c>
      <c r="AM16" s="1088" t="str">
        <f>"389.0."&amp;AM9-2010&amp;"."</f>
        <v>389.0.24.</v>
      </c>
      <c r="AN16" s="1088" t="str">
        <f>"389.0."&amp;AN9-2010&amp;"."</f>
        <v>389.0.25.</v>
      </c>
      <c r="AO16" s="1147" t="str">
        <f>"389.0."&amp;AO9-2010&amp;"."</f>
        <v>389.0.26.</v>
      </c>
      <c r="AP16" s="1147" t="str">
        <f>"389.0."&amp;AP9-2010&amp;"."</f>
        <v>389.0.27.</v>
      </c>
      <c r="AQ16" s="1147" t="str">
        <f>"389.0."&amp;AQ9-2010&amp;"."</f>
        <v>389.0.28.</v>
      </c>
      <c r="AR16" s="1147" t="str">
        <f>"389.0."&amp;AR9-2010&amp;"."</f>
        <v>389.0.29.</v>
      </c>
      <c r="AS16" s="1147" t="str">
        <f>"389.0."&amp;AS9-2010&amp;"."</f>
        <v>389.0.30.</v>
      </c>
      <c r="AT16" s="1147" t="str">
        <f>"389.0."&amp;AT9-2010&amp;"."</f>
        <v>389.0.31.</v>
      </c>
      <c r="AU16" s="1147" t="str">
        <f>"389.0."&amp;AU9-2010&amp;"."</f>
        <v>389.0.32.</v>
      </c>
      <c r="AV16" s="1147" t="str">
        <f>"389.0."&amp;AV9-2010&amp;"."</f>
        <v>389.0.33.</v>
      </c>
      <c r="AW16" s="1147" t="str">
        <f>"389.0."&amp;AW9-2010&amp;"."</f>
        <v>389.0.34.</v>
      </c>
      <c r="AX16" s="1147" t="str">
        <f>"389.0."&amp;AX9-2010&amp;"."</f>
        <v>389.0.35.</v>
      </c>
      <c r="AY16" s="1147" t="str">
        <f>"389.0."&amp;AY9-2010&amp;"."</f>
        <v>389.0.36.</v>
      </c>
      <c r="AZ16" s="1147" t="str">
        <f>"389.0."&amp;AZ9-2010&amp;"."</f>
        <v>389.0.17.</v>
      </c>
      <c r="BA16" s="1147" t="str">
        <f>"389.0."&amp;BA9-2010&amp;"."</f>
        <v>389.0.18.</v>
      </c>
      <c r="BB16" s="1147" t="str">
        <f>"389.0."&amp;BB9-2010&amp;"."</f>
        <v>389.0.19.</v>
      </c>
      <c r="BC16" s="1147" t="str">
        <f>"389.0."&amp;BC9-2010&amp;"."</f>
        <v>389.0.20.</v>
      </c>
      <c r="BD16" s="1147" t="str">
        <f>"389.0."&amp;BD9-2010&amp;"."</f>
        <v>389.0.21.</v>
      </c>
      <c r="BE16" s="1147" t="str">
        <f>"389.0."&amp;BE9-2010&amp;"."</f>
        <v>389.0.22.</v>
      </c>
      <c r="BF16" s="1147" t="str">
        <f>"389.0."&amp;BF9-2010&amp;"."</f>
        <v>389.0.23.</v>
      </c>
      <c r="BG16" s="1147" t="str">
        <f>"389.0."&amp;BG9-2010&amp;"."</f>
        <v>389.0.24.</v>
      </c>
      <c r="BH16" s="1147" t="str">
        <f>"389.0."&amp;BH9-2010&amp;"."</f>
        <v>389.0.25.</v>
      </c>
      <c r="BI16" s="1147" t="str">
        <f>"389.0."&amp;BI9-2010&amp;"."</f>
        <v>389.0.26.</v>
      </c>
      <c r="BJ16" s="1147" t="str">
        <f>"389.0."&amp;BJ9-2010&amp;"."</f>
        <v>389.0.27.</v>
      </c>
      <c r="BK16" s="1147" t="str">
        <f>"389.0."&amp;BK9-2010&amp;"."</f>
        <v>389.0.28.</v>
      </c>
      <c r="BL16" s="1147" t="str">
        <f>"389.0."&amp;BL9-2010&amp;"."</f>
        <v>389.0.29.</v>
      </c>
      <c r="BM16" s="1147" t="str">
        <f>"389.0."&amp;BM9-2010&amp;"."</f>
        <v>389.0.30.</v>
      </c>
      <c r="BN16" s="1147" t="str">
        <f>"389.0."&amp;BN9-2010&amp;"."</f>
        <v>389.0.31.</v>
      </c>
      <c r="BO16" s="1147" t="str">
        <f>"389.0."&amp;BO9-2010&amp;"."</f>
        <v>389.0.32.</v>
      </c>
      <c r="BP16" s="1147" t="str">
        <f>"389.0."&amp;BP9-2010&amp;"."</f>
        <v>389.0.33.</v>
      </c>
      <c r="BQ16" s="1147" t="str">
        <f>"389.0."&amp;BQ9-2010&amp;"."</f>
        <v>389.0.34.</v>
      </c>
      <c r="BR16" s="1147" t="str">
        <f>"389.0."&amp;BR9-2010&amp;"."</f>
        <v>389.0.35.</v>
      </c>
      <c r="BS16" s="1147" t="str">
        <f>"389.0."&amp;BS9-2010&amp;"."</f>
        <v>389.0.36.</v>
      </c>
      <c r="BT16" s="1147"/>
      <c r="BW16" s="309"/>
      <c r="BX16" s="0"/>
      <c r="BY16" s="0"/>
      <c r="BZ16" s="0"/>
      <c r="CA16" s="0"/>
      <c r="CB16" s="0"/>
      <c r="CC16" s="0"/>
      <c r="CD16" s="0"/>
      <c r="CE16" s="0"/>
      <c r="CF16" s="0"/>
    </row>
    <row s="1721" customFormat="1" customHeight="1" ht="11.25" hidden="1">
      <c r="A17" s="371" t="s">
        <v>351</v>
      </c>
      <c r="E17" s="284"/>
      <c r="G17" s="308"/>
      <c r="H17" s="308"/>
      <c r="I17" s="308"/>
      <c r="J17" s="308"/>
      <c r="K17" s="308"/>
      <c r="L17" s="308"/>
      <c r="M17" s="308"/>
      <c r="N17" s="308"/>
      <c r="O17" s="308"/>
      <c r="P17" s="308"/>
      <c r="Q17" s="308"/>
      <c r="R17" s="308"/>
      <c r="S17" s="193"/>
      <c r="T17" s="193"/>
      <c r="U17" s="175"/>
      <c r="V17" s="175"/>
      <c r="W17" s="175"/>
      <c r="X17" s="175"/>
      <c r="Y17" s="175"/>
      <c r="Z17" s="175"/>
      <c r="AA17" s="175"/>
      <c r="AB17" s="175"/>
      <c r="AE17" s="1088"/>
      <c r="AF17" s="1088"/>
      <c r="AG17" s="1088"/>
      <c r="AH17" s="1088"/>
      <c r="AI17" s="1088"/>
      <c r="AJ17" s="1088"/>
      <c r="AK17" s="1088"/>
      <c r="AL17" s="1088"/>
      <c r="AM17" s="1088"/>
      <c r="AN17" s="1149"/>
      <c r="AO17" s="1088"/>
      <c r="AP17" s="1088"/>
      <c r="AQ17" s="1088"/>
      <c r="AR17" s="1088"/>
      <c r="AS17" s="1088"/>
      <c r="AT17" s="1088"/>
      <c r="AU17" s="1088"/>
      <c r="AV17" s="1088"/>
      <c r="AW17" s="1088"/>
      <c r="AX17" s="1088"/>
      <c r="AY17" s="1088"/>
      <c r="AZ17" s="1088"/>
      <c r="BA17" s="1088"/>
      <c r="BB17" s="1088"/>
      <c r="BC17" s="1088"/>
      <c r="BD17" s="1088"/>
      <c r="BE17" s="1088"/>
      <c r="BF17" s="1088"/>
      <c r="BG17" s="1088"/>
      <c r="BH17" s="1088"/>
      <c r="BI17" s="1088"/>
      <c r="BJ17" s="1088"/>
      <c r="BK17" s="1088"/>
      <c r="BL17" s="1088"/>
      <c r="BM17" s="1088"/>
      <c r="BN17" s="1088"/>
      <c r="BO17" s="1088"/>
      <c r="BP17" s="1088"/>
      <c r="BQ17" s="1088"/>
      <c r="BR17" s="1088"/>
      <c r="BS17" s="1088"/>
      <c r="BT17" s="1088" t="s">
        <v>178</v>
      </c>
      <c r="BW17" s="309"/>
      <c r="BX17" s="0"/>
      <c r="BY17" s="0"/>
      <c r="BZ17" s="0"/>
      <c r="CA17" s="0"/>
      <c r="CB17" s="0"/>
      <c r="CC17" s="0"/>
      <c r="CD17" s="0"/>
      <c r="CE17" s="0"/>
      <c r="CF17" s="0"/>
    </row>
    <row s="1721" customFormat="1" customHeight="1" ht="11.25" hidden="1">
      <c r="A18" s="371" t="s">
        <v>352</v>
      </c>
      <c r="E18" s="284"/>
      <c r="G18" s="308"/>
      <c r="H18" s="308"/>
      <c r="I18" s="308"/>
      <c r="J18" s="308"/>
      <c r="K18" s="308"/>
      <c r="L18" s="308"/>
      <c r="M18" s="308"/>
      <c r="N18" s="308"/>
      <c r="O18" s="308"/>
      <c r="P18" s="308"/>
      <c r="Q18" s="308"/>
      <c r="R18" s="308"/>
      <c r="S18" s="193"/>
      <c r="T18" s="193"/>
      <c r="U18" s="175"/>
      <c r="V18" s="175"/>
      <c r="W18" s="175"/>
      <c r="X18" s="175"/>
      <c r="Y18" s="175"/>
      <c r="Z18" s="175"/>
      <c r="AA18" s="175"/>
      <c r="AB18" s="175"/>
      <c r="AE18" s="1088"/>
      <c r="AF18" s="1088"/>
      <c r="AG18" s="1088"/>
      <c r="AH18" s="1088"/>
      <c r="AI18" s="1088"/>
      <c r="AJ18" s="1088"/>
      <c r="AK18" s="1088"/>
      <c r="AL18" s="1088"/>
      <c r="AM18" s="1088"/>
      <c r="AN18" s="1149"/>
      <c r="AO18" s="1088"/>
      <c r="AP18" s="1088"/>
      <c r="AQ18" s="1088"/>
      <c r="AR18" s="1088"/>
      <c r="AS18" s="1088"/>
      <c r="AT18" s="1088"/>
      <c r="AU18" s="1088"/>
      <c r="AV18" s="1088"/>
      <c r="AW18" s="1088"/>
      <c r="AX18" s="1088"/>
      <c r="AY18" s="1088"/>
      <c r="AZ18" s="1088"/>
      <c r="BA18" s="1088"/>
      <c r="BB18" s="1088"/>
      <c r="BC18" s="1088"/>
      <c r="BD18" s="1088"/>
      <c r="BE18" s="1088"/>
      <c r="BF18" s="1088"/>
      <c r="BG18" s="1088"/>
      <c r="BH18" s="1088"/>
      <c r="BI18" s="1088"/>
      <c r="BJ18" s="1088"/>
      <c r="BK18" s="1088"/>
      <c r="BL18" s="1088"/>
      <c r="BM18" s="1088"/>
      <c r="BN18" s="1088"/>
      <c r="BO18" s="1088"/>
      <c r="BP18" s="1088"/>
      <c r="BQ18" s="1088"/>
      <c r="BR18" s="1088"/>
      <c r="BS18" s="1088"/>
      <c r="BT18" s="1088" t="s">
        <v>220</v>
      </c>
      <c r="BW18" s="309"/>
      <c r="BX18" s="0"/>
      <c r="BY18" s="0"/>
      <c r="BZ18" s="0"/>
      <c r="CA18" s="0"/>
      <c r="CB18" s="0"/>
      <c r="CC18" s="0"/>
      <c r="CD18" s="0"/>
      <c r="CE18" s="0"/>
      <c r="CF18" s="0"/>
    </row>
    <row s="1721" customFormat="1" customHeight="1" ht="11.25" hidden="1">
      <c r="A19" s="371" t="s">
        <v>379</v>
      </c>
      <c r="E19" s="284"/>
      <c r="G19" s="308"/>
      <c r="H19" s="308"/>
      <c r="I19" s="308"/>
      <c r="J19" s="308"/>
      <c r="K19" s="308"/>
      <c r="L19" s="308"/>
      <c r="M19" s="308"/>
      <c r="N19" s="308"/>
      <c r="O19" s="308"/>
      <c r="P19" s="308"/>
      <c r="Q19" s="308"/>
      <c r="R19" s="308"/>
      <c r="S19" s="193"/>
      <c r="T19" s="193"/>
      <c r="U19" s="175"/>
      <c r="V19" s="175"/>
      <c r="W19" s="175"/>
      <c r="X19" s="175"/>
      <c r="Y19" s="175"/>
      <c r="Z19" s="175"/>
      <c r="AA19" s="175"/>
      <c r="AB19" s="175"/>
      <c r="AE19" s="1088"/>
      <c r="AF19" s="1088"/>
      <c r="AG19" s="1088"/>
      <c r="AH19" s="1088"/>
      <c r="AI19" s="1088"/>
      <c r="AJ19" s="1088"/>
      <c r="AK19" s="1088"/>
      <c r="AL19" s="1088"/>
      <c r="AM19" s="1088"/>
      <c r="AN19" s="1149"/>
      <c r="AO19" s="1088"/>
      <c r="AP19" s="1088"/>
      <c r="AQ19" s="1088"/>
      <c r="AR19" s="1088"/>
      <c r="AS19" s="1088"/>
      <c r="AT19" s="1088"/>
      <c r="AU19" s="1088"/>
      <c r="AV19" s="1088"/>
      <c r="AW19" s="1088"/>
      <c r="AX19" s="1088"/>
      <c r="AY19" s="1088"/>
      <c r="AZ19" s="1088"/>
      <c r="BA19" s="1088"/>
      <c r="BB19" s="1088"/>
      <c r="BC19" s="1088"/>
      <c r="BD19" s="1088"/>
      <c r="BE19" s="1088"/>
      <c r="BF19" s="1088"/>
      <c r="BG19" s="1088"/>
      <c r="BH19" s="1088"/>
      <c r="BI19" s="1088"/>
      <c r="BJ19" s="1088"/>
      <c r="BK19" s="1088"/>
      <c r="BL19" s="1088"/>
      <c r="BM19" s="1088"/>
      <c r="BN19" s="1088"/>
      <c r="BO19" s="1088"/>
      <c r="BP19" s="1088"/>
      <c r="BQ19" s="1088"/>
      <c r="BR19" s="1088"/>
      <c r="BS19" s="1088"/>
      <c r="BT19" s="1088" t="s">
        <v>221</v>
      </c>
      <c r="BW19" s="309"/>
      <c r="BX19" s="0"/>
      <c r="BY19" s="0"/>
      <c r="BZ19" s="0"/>
      <c r="CA19" s="0"/>
      <c r="CB19" s="0"/>
      <c r="CC19" s="0"/>
      <c r="CD19" s="0"/>
      <c r="CE19" s="0"/>
      <c r="CF19" s="0"/>
    </row>
    <row s="1721" customFormat="1" customHeight="1" ht="11.25" hidden="1">
      <c r="A20" s="371"/>
      <c r="E20" s="284"/>
      <c r="G20" s="308"/>
      <c r="H20" s="308"/>
      <c r="I20" s="308"/>
      <c r="J20" s="308"/>
      <c r="K20" s="308"/>
      <c r="L20" s="308"/>
      <c r="M20" s="308"/>
      <c r="N20" s="308"/>
      <c r="O20" s="308"/>
      <c r="P20" s="308"/>
      <c r="Q20" s="308"/>
      <c r="R20" s="308"/>
      <c r="S20" s="193"/>
      <c r="T20" s="193"/>
      <c r="U20" s="175"/>
      <c r="V20" s="175"/>
      <c r="W20" s="175"/>
      <c r="X20" s="175"/>
      <c r="Y20" s="175"/>
      <c r="Z20" s="175"/>
      <c r="AA20" s="175"/>
      <c r="AB20" s="175"/>
      <c r="AF20" s="1721"/>
      <c r="AG20" s="1721"/>
      <c r="AH20" s="1721"/>
      <c r="AI20" s="1721"/>
      <c r="AJ20" s="1721"/>
      <c r="AK20" s="1721"/>
      <c r="AL20" s="1721"/>
      <c r="AM20" s="1721"/>
      <c r="AN20" s="1721"/>
      <c r="AO20" s="1721"/>
      <c r="AP20" s="1721"/>
      <c r="AQ20" s="1721"/>
      <c r="AR20" s="1721"/>
      <c r="AS20" s="1721"/>
      <c r="AT20" s="1721"/>
      <c r="AU20" s="1721"/>
      <c r="AV20" s="1721"/>
      <c r="AW20" s="1721"/>
      <c r="AX20" s="1721"/>
      <c r="AY20" s="1721"/>
      <c r="AZ20" s="1721"/>
      <c r="BA20" s="1721"/>
      <c r="BB20" s="1721"/>
      <c r="BC20" s="1721"/>
      <c r="BD20" s="1721"/>
      <c r="BE20" s="1721"/>
      <c r="BF20" s="1721"/>
      <c r="BG20" s="1721"/>
      <c r="BH20" s="1721"/>
      <c r="BI20" s="1721"/>
      <c r="BJ20" s="1721"/>
      <c r="BK20" s="1721"/>
      <c r="BL20" s="1721"/>
      <c r="BM20" s="1721"/>
      <c r="BN20" s="1721"/>
      <c r="BO20" s="1721"/>
      <c r="BP20" s="1721"/>
      <c r="BQ20" s="1721"/>
      <c r="BR20" s="1721"/>
      <c r="BS20" s="1721"/>
      <c r="BW20" s="309"/>
      <c r="BX20" s="239"/>
      <c r="BY20" s="239"/>
      <c r="BZ20" s="239"/>
      <c r="CA20" s="239"/>
      <c r="CB20" s="239"/>
      <c r="CC20" s="1722"/>
      <c r="CD20" s="239"/>
      <c r="CE20" s="239"/>
      <c r="CF20" s="239"/>
    </row>
    <row s="308" customFormat="1" customHeight="1" ht="14.625">
      <c r="A21" s="371"/>
      <c r="B21" s="176"/>
      <c r="C21" s="176"/>
      <c r="D21" s="176"/>
      <c r="E21" s="284">
        <v>15</v>
      </c>
      <c r="F21" s="176"/>
      <c r="S21" s="193"/>
      <c r="T21" s="193"/>
      <c r="U21" s="175"/>
      <c r="V21" s="175"/>
      <c r="W21" s="175"/>
      <c r="X21" s="175"/>
      <c r="Y21" s="175"/>
      <c r="Z21" s="175"/>
      <c r="AA21" s="182"/>
      <c r="AB21" s="287"/>
      <c r="AC21" s="278" cm="1" t="str">
        <f t="array" ref="AC21:AC21">tpl_title</f>
        <v>Кемеровская область / 2027 / ООО "КК-ИНВЕСТ" (ИНН:1901133713, КПП:190101001) / ДПР: 2025-2027</v>
      </c>
      <c r="AD21" s="287"/>
      <c r="AE21" s="287"/>
      <c r="AF21" s="287"/>
      <c r="AG21" s="287"/>
      <c r="AH21" s="287"/>
      <c r="AI21" s="287"/>
      <c r="AJ21" s="287"/>
      <c r="AK21" s="287"/>
      <c r="AL21" s="287"/>
      <c r="AM21" s="287"/>
      <c r="AN21" s="287"/>
      <c r="AO21" s="287"/>
      <c r="AP21" s="287"/>
      <c r="AQ21" s="287"/>
      <c r="AR21" s="287"/>
      <c r="AS21" s="287"/>
      <c r="AT21" s="287"/>
      <c r="AU21" s="287"/>
      <c r="AV21" s="287"/>
      <c r="AW21" s="287"/>
      <c r="AX21" s="287"/>
      <c r="AY21" s="287"/>
      <c r="AZ21" s="287"/>
      <c r="BA21" s="287"/>
      <c r="BB21" s="287"/>
      <c r="BC21" s="287"/>
      <c r="BD21" s="287"/>
      <c r="BE21" s="287"/>
      <c r="BF21" s="287"/>
      <c r="BG21" s="287"/>
      <c r="BH21" s="287"/>
      <c r="BI21" s="287"/>
      <c r="BJ21" s="287"/>
      <c r="BK21" s="287"/>
      <c r="BL21" s="287"/>
      <c r="BM21" s="287"/>
      <c r="BN21" s="287"/>
      <c r="BO21" s="287"/>
      <c r="BP21" s="287"/>
      <c r="BQ21" s="287"/>
      <c r="BR21" s="287"/>
      <c r="BS21" s="287"/>
      <c r="BT21" s="287"/>
      <c r="BU21" s="287"/>
      <c r="BW21" s="309"/>
      <c r="BX21" s="287"/>
      <c r="BY21" s="287"/>
      <c r="BZ21" s="287"/>
      <c r="CA21" s="287"/>
      <c r="CB21" s="287"/>
      <c r="CC21" s="1724"/>
      <c r="CD21" s="287"/>
      <c r="CE21" s="287"/>
      <c r="CF21" s="287"/>
    </row>
    <row customHeight="1" ht="20.475">
      <c r="E22" s="284">
        <v>21</v>
      </c>
      <c r="R22" s="193"/>
      <c r="AA22" s="182"/>
      <c r="AB22" s="1581" t="s">
        <v>28</v>
      </c>
      <c r="AC22" s="1582"/>
      <c r="AD22" s="1582"/>
      <c r="AE22" s="1582"/>
      <c r="AF22" s="1582"/>
      <c r="AG22" s="1582"/>
      <c r="AH22" s="1582"/>
      <c r="AI22" s="1582"/>
      <c r="AJ22" s="1582"/>
      <c r="AK22" s="1582"/>
      <c r="AL22" s="1582"/>
      <c r="AM22" s="1582"/>
      <c r="AN22" s="1582"/>
      <c r="AO22" s="1582"/>
      <c r="AP22" s="1582"/>
      <c r="AQ22" s="1582"/>
      <c r="AR22" s="1582"/>
      <c r="AS22" s="1582"/>
      <c r="AT22" s="1582"/>
      <c r="AU22" s="1582"/>
      <c r="AV22" s="1582"/>
      <c r="AW22" s="1582"/>
      <c r="AX22" s="1582"/>
      <c r="AY22" s="1582"/>
      <c r="AZ22" s="1582"/>
      <c r="BA22" s="1582"/>
      <c r="BB22" s="1582"/>
      <c r="BC22" s="1582"/>
      <c r="BD22" s="1582"/>
      <c r="BE22" s="1582"/>
      <c r="BF22" s="1582"/>
      <c r="BG22" s="1582"/>
      <c r="BH22" s="1582"/>
      <c r="BI22" s="1582"/>
      <c r="BJ22" s="1582"/>
      <c r="BK22" s="1582"/>
      <c r="BL22" s="1582"/>
      <c r="BM22" s="1582"/>
      <c r="BN22" s="1582"/>
      <c r="BO22" s="1582"/>
      <c r="BP22" s="1582"/>
      <c r="BQ22" s="1582"/>
      <c r="BR22" s="1582"/>
      <c r="BS22" s="1582"/>
      <c r="BT22" s="1582"/>
    </row>
    <row customHeight="1" ht="8.775">
      <c r="E23" s="284">
        <v>9</v>
      </c>
      <c r="AA23" s="251"/>
      <c r="AB23" s="290"/>
      <c r="AC23" s="290"/>
      <c r="AD23" s="290"/>
      <c r="AE23" s="1585"/>
      <c r="AF23" s="1585"/>
      <c r="AG23" s="313"/>
      <c r="AH23" s="313"/>
      <c r="AI23" s="313"/>
      <c r="AJ23" s="313"/>
      <c r="AK23" s="313"/>
      <c r="AL23" s="313"/>
      <c r="AM23" s="313"/>
      <c r="AN23" s="313"/>
      <c r="AO23" s="313"/>
      <c r="AP23" s="313"/>
      <c r="AQ23" s="313"/>
      <c r="AR23" s="313"/>
      <c r="AS23" s="313"/>
      <c r="AT23" s="313"/>
      <c r="AU23" s="313"/>
      <c r="AV23" s="313"/>
      <c r="AW23" s="313"/>
      <c r="AX23" s="313"/>
      <c r="AY23" s="313"/>
      <c r="AZ23" s="313"/>
      <c r="BA23" s="313"/>
      <c r="BB23" s="313"/>
      <c r="BC23" s="313"/>
      <c r="BD23" s="313"/>
      <c r="BE23" s="313"/>
      <c r="BF23" s="313"/>
      <c r="BG23" s="313"/>
      <c r="BH23" s="313"/>
      <c r="BI23" s="313"/>
      <c r="BJ23" s="313"/>
      <c r="BK23" s="313"/>
      <c r="BL23" s="313"/>
      <c r="BM23" s="313"/>
      <c r="BN23" s="313"/>
      <c r="BO23" s="313"/>
      <c r="BP23" s="313"/>
      <c r="BQ23" s="313"/>
      <c r="BR23" s="313"/>
      <c r="BS23" s="313"/>
      <c r="BT23" s="313"/>
    </row>
    <row customHeight="1" ht="20.475">
      <c r="E24" s="284">
        <v>21</v>
      </c>
      <c r="AA24" s="251"/>
      <c r="AB24" s="1588" t="s">
        <v>355</v>
      </c>
      <c r="AC24" s="1588" t="s">
        <v>412</v>
      </c>
      <c r="AD24" s="1588" t="s">
        <v>413</v>
      </c>
      <c r="AE24" s="328" t="str">
        <f>god-1&amp;" год"</f>
        <v>2026 год</v>
      </c>
      <c r="AF24" s="329" t="str">
        <f>god&amp;" год"</f>
        <v>2027 год</v>
      </c>
      <c r="AG24" s="329" t="str">
        <f>god+1&amp;" год"</f>
        <v>2028 год</v>
      </c>
      <c r="AH24" s="329" t="str">
        <f>god+2&amp;" год"</f>
        <v>2029 год</v>
      </c>
      <c r="AI24" s="329" t="str">
        <f>god+3&amp;" год"</f>
        <v>2030 год</v>
      </c>
      <c r="AJ24" s="329" t="str">
        <f>god+4&amp;" год"</f>
        <v>2031 год</v>
      </c>
      <c r="AK24" s="329" t="str">
        <f>god+5&amp;" год"</f>
        <v>2032 год</v>
      </c>
      <c r="AL24" s="329" t="str">
        <f>god+6&amp;" год"</f>
        <v>2033 год</v>
      </c>
      <c r="AM24" s="329" t="str">
        <f>god+7&amp;" год"</f>
        <v>2034 год</v>
      </c>
      <c r="AN24" s="329" t="str">
        <f>god+8&amp;" год"</f>
        <v>2035 год</v>
      </c>
      <c r="AO24" s="329" t="str">
        <f>god+9&amp;" год"</f>
        <v>2036 год</v>
      </c>
      <c r="AP24" s="329" t="str">
        <f>god+10&amp;" год"</f>
        <v>2037 год</v>
      </c>
      <c r="AQ24" s="329" t="str">
        <f>god+11&amp;" год"</f>
        <v>2038 год</v>
      </c>
      <c r="AR24" s="329" t="str">
        <f>god+12&amp;" год"</f>
        <v>2039 год</v>
      </c>
      <c r="AS24" s="329" t="str">
        <f>god+13&amp;" год"</f>
        <v>2040 год</v>
      </c>
      <c r="AT24" s="329" t="str">
        <f>god+14&amp;" год"</f>
        <v>2041 год</v>
      </c>
      <c r="AU24" s="329" t="str">
        <f>god+15&amp;" год"</f>
        <v>2042 год</v>
      </c>
      <c r="AV24" s="329" t="str">
        <f>god+16&amp;" год"</f>
        <v>2043 год</v>
      </c>
      <c r="AW24" s="329" t="str">
        <f>god+17&amp;" год"</f>
        <v>2044 год</v>
      </c>
      <c r="AX24" s="329" t="str">
        <f>god+18&amp;" год"</f>
        <v>2045 год</v>
      </c>
      <c r="AY24" s="329" t="str">
        <f>god+19&amp;" год"</f>
        <v>2046 год</v>
      </c>
      <c r="AZ24" s="328" t="str">
        <f>god&amp;" год"</f>
        <v>2027 год</v>
      </c>
      <c r="BA24" s="328" t="str">
        <f>god+1&amp;" год"</f>
        <v>2028 год</v>
      </c>
      <c r="BB24" s="328" t="str">
        <f>god+2&amp;" год"</f>
        <v>2029 год</v>
      </c>
      <c r="BC24" s="328" t="str">
        <f>god+3&amp;" год"</f>
        <v>2030 год</v>
      </c>
      <c r="BD24" s="328" t="str">
        <f>god+4&amp;" год"</f>
        <v>2031 год</v>
      </c>
      <c r="BE24" s="328" t="str">
        <f>god+5&amp;" год"</f>
        <v>2032 год</v>
      </c>
      <c r="BF24" s="328" t="str">
        <f>god+6&amp;" год"</f>
        <v>2033 год</v>
      </c>
      <c r="BG24" s="328" t="str">
        <f>god+7&amp;" год"</f>
        <v>2034 год</v>
      </c>
      <c r="BH24" s="328" t="str">
        <f>god+8&amp;" год"</f>
        <v>2035 год</v>
      </c>
      <c r="BI24" s="328" t="str">
        <f>god+9&amp;" год"</f>
        <v>2036 год</v>
      </c>
      <c r="BJ24" s="328" t="str">
        <f>god+10&amp;" год"</f>
        <v>2037 год</v>
      </c>
      <c r="BK24" s="328" t="str">
        <f>god+11&amp;" год"</f>
        <v>2038 год</v>
      </c>
      <c r="BL24" s="328" t="str">
        <f>god+12&amp;" год"</f>
        <v>2039 год</v>
      </c>
      <c r="BM24" s="328" t="str">
        <f>god+13&amp;" год"</f>
        <v>2040 год</v>
      </c>
      <c r="BN24" s="328" t="str">
        <f>god+14&amp;" год"</f>
        <v>2041 год</v>
      </c>
      <c r="BO24" s="328" t="str">
        <f>god+15&amp;" год"</f>
        <v>2042 год</v>
      </c>
      <c r="BP24" s="328" t="str">
        <f>god+16&amp;" год"</f>
        <v>2043 год</v>
      </c>
      <c r="BQ24" s="328" t="str">
        <f>god+17&amp;" год"</f>
        <v>2044 год</v>
      </c>
      <c r="BR24" s="328" t="str">
        <f>god+18&amp;" год"</f>
        <v>2045 год</v>
      </c>
      <c r="BS24" s="328" t="str">
        <f>god+19&amp;" год"</f>
        <v>2046 год</v>
      </c>
      <c r="BT24" s="1586" t="s">
        <v>414</v>
      </c>
    </row>
    <row s="969" customFormat="1" customHeight="1" ht="35.1">
      <c r="A25" s="371"/>
      <c r="B25" s="175"/>
      <c r="C25" s="175"/>
      <c r="D25" s="175"/>
      <c r="E25" s="180">
        <v>36</v>
      </c>
      <c r="F25" s="175"/>
      <c r="G25" s="193"/>
      <c r="H25" s="193"/>
      <c r="I25" s="193"/>
      <c r="J25" s="193"/>
      <c r="K25" s="193"/>
      <c r="L25" s="193"/>
      <c r="M25" s="193"/>
      <c r="N25" s="193"/>
      <c r="O25" s="193"/>
      <c r="P25" s="193"/>
      <c r="Q25" s="193"/>
      <c r="R25" s="193"/>
      <c r="S25" s="193"/>
      <c r="T25" s="193"/>
      <c r="U25" s="175"/>
      <c r="V25" s="175"/>
      <c r="W25" s="175"/>
      <c r="X25" s="175"/>
      <c r="Y25" s="175"/>
      <c r="Z25" s="175"/>
      <c r="AA25" s="318"/>
      <c r="AB25" s="1588"/>
      <c r="AC25" s="1588"/>
      <c r="AD25" s="1588"/>
      <c r="AE25" s="328" t="s">
        <v>415</v>
      </c>
      <c r="AF25" s="329" t="s">
        <v>416</v>
      </c>
      <c r="AG25" s="331" t="s">
        <v>416</v>
      </c>
      <c r="AH25" s="331" t="s">
        <v>416</v>
      </c>
      <c r="AI25" s="331" t="s">
        <v>416</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331" t="s">
        <v>416</v>
      </c>
      <c r="AZ25" s="328" t="s">
        <v>415</v>
      </c>
      <c r="BA25" s="328" t="s">
        <v>415</v>
      </c>
      <c r="BB25" s="328" t="s">
        <v>415</v>
      </c>
      <c r="BC25" s="328" t="s">
        <v>415</v>
      </c>
      <c r="BD25" s="328" t="s">
        <v>415</v>
      </c>
      <c r="BE25" s="328" t="s">
        <v>415</v>
      </c>
      <c r="BF25" s="328" t="s">
        <v>415</v>
      </c>
      <c r="BG25" s="328" t="s">
        <v>415</v>
      </c>
      <c r="BH25" s="328" t="s">
        <v>415</v>
      </c>
      <c r="BI25" s="328" t="s">
        <v>415</v>
      </c>
      <c r="BJ25" s="328" t="s">
        <v>415</v>
      </c>
      <c r="BK25" s="328" t="s">
        <v>415</v>
      </c>
      <c r="BL25" s="328" t="s">
        <v>415</v>
      </c>
      <c r="BM25" s="328" t="s">
        <v>415</v>
      </c>
      <c r="BN25" s="328" t="s">
        <v>415</v>
      </c>
      <c r="BO25" s="328" t="s">
        <v>415</v>
      </c>
      <c r="BP25" s="328" t="s">
        <v>415</v>
      </c>
      <c r="BQ25" s="328" t="s">
        <v>415</v>
      </c>
      <c r="BR25" s="328" t="s">
        <v>415</v>
      </c>
      <c r="BS25" s="328" t="s">
        <v>415</v>
      </c>
      <c r="BT25" s="1587"/>
      <c r="BU25" s="318"/>
      <c r="BW25" s="309"/>
      <c r="BX25" s="318"/>
      <c r="BY25" s="318"/>
      <c r="BZ25" s="318"/>
      <c r="CA25" s="318"/>
      <c r="CB25" s="318"/>
      <c r="CC25" s="1727"/>
      <c r="CD25" s="318"/>
      <c r="CE25" s="318"/>
      <c r="CF25" s="318"/>
    </row>
    <row s="969" customFormat="1" customHeight="1" ht="26.25" hidden="1">
      <c r="A26" s="371"/>
      <c r="B26" s="175"/>
      <c r="C26" s="175"/>
      <c r="D26" s="175"/>
      <c r="E26" s="965">
        <v>0</v>
      </c>
      <c r="F26" s="175"/>
      <c r="G26" s="193"/>
      <c r="H26" s="193"/>
      <c r="I26" s="193"/>
      <c r="J26" s="193"/>
      <c r="K26" s="193"/>
      <c r="L26" s="193"/>
      <c r="M26" s="193"/>
      <c r="N26" s="193"/>
      <c r="O26" s="193"/>
      <c r="P26" s="193"/>
      <c r="Q26" s="193"/>
      <c r="R26" s="193"/>
      <c r="S26" s="193"/>
      <c r="T26" s="193"/>
      <c r="U26" s="175"/>
      <c r="V26" s="175"/>
      <c r="W26" s="175"/>
      <c r="X26" s="175"/>
      <c r="Y26" s="175"/>
      <c r="Z26" s="175"/>
      <c r="AA26" s="318"/>
      <c r="AB26" s="332"/>
      <c r="AC26" s="333"/>
      <c r="AD26" s="333"/>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318"/>
      <c r="BW26" s="309"/>
      <c r="BX26" s="318"/>
      <c r="BY26" s="318"/>
      <c r="BZ26" s="318"/>
      <c r="CA26" s="318"/>
      <c r="CB26" s="318"/>
      <c r="CC26" s="1727"/>
      <c r="CD26" s="318"/>
      <c r="CE26" s="318"/>
      <c r="CF26" s="318"/>
    </row>
    <row s="969" customFormat="1" customHeight="1" ht="10.725000000000001" hidden="1">
      <c r="E27" s="180">
        <v>11</v>
      </c>
      <c r="F27" s="175" cm="1" t="str">
        <f t="array" ref="F27:F27">Y27</f>
        <v>0</v>
      </c>
      <c r="U27" s="753">
        <f>Y27&gt;0</f>
        <v>0</v>
      </c>
      <c r="W27" s="175" t="s">
        <v>266</v>
      </c>
      <c r="Y27" s="175">
        <v>0</v>
      </c>
      <c r="AB27" s="334" cm="1" t="str">
        <f t="array" ref="AB27:AB27">INDEX('Общие сведения'!$AG$169:$AG$202,MATCH($F27,'Общие сведения'!$Y$169:$Y$202,0))</f>
        <v>Тариф 0 (Теплоснабжение) - </v>
      </c>
      <c r="AC27" s="335"/>
      <c r="AD27" s="336"/>
      <c r="AE27" s="299"/>
      <c r="AF27" s="299"/>
      <c r="AG27" s="299"/>
      <c r="AH27" s="299"/>
      <c r="AI27" s="299"/>
      <c r="AJ27" s="299"/>
      <c r="AK27" s="299"/>
      <c r="AL27" s="299"/>
      <c r="AM27" s="299"/>
      <c r="AN27" s="299"/>
      <c r="AO27" s="299"/>
      <c r="AP27" s="299"/>
      <c r="AQ27" s="299"/>
      <c r="AR27" s="299"/>
      <c r="AS27" s="299"/>
      <c r="AT27" s="299"/>
      <c r="AU27" s="299"/>
      <c r="AV27" s="299"/>
      <c r="AW27" s="299"/>
      <c r="AX27" s="299"/>
      <c r="AY27" s="299"/>
      <c r="AZ27" s="299"/>
      <c r="BA27" s="299"/>
      <c r="BB27" s="299"/>
      <c r="BC27" s="299"/>
      <c r="BD27" s="299"/>
      <c r="BE27" s="299"/>
      <c r="BF27" s="299"/>
      <c r="BG27" s="299"/>
      <c r="BH27" s="299"/>
      <c r="BI27" s="299"/>
      <c r="BJ27" s="299"/>
      <c r="BK27" s="299"/>
      <c r="BL27" s="299"/>
      <c r="BM27" s="299"/>
      <c r="BN27" s="299"/>
      <c r="BO27" s="299"/>
      <c r="BP27" s="299"/>
      <c r="BQ27" s="299"/>
      <c r="BR27" s="299"/>
      <c r="BS27" s="299"/>
      <c r="BT27" s="299"/>
      <c r="BW27" s="309"/>
    </row>
    <row s="969" customFormat="1" customHeight="1" ht="16.575" hidden="1">
      <c r="E28" s="180">
        <v>17</v>
      </c>
      <c r="F28" s="175" cm="1" t="str">
        <f t="array" ref="F28:F28">OFFSET(G28,-1,-1)</f>
        <v>0</v>
      </c>
      <c r="G28" s="193" t="s">
        <v>417</v>
      </c>
      <c r="H28" s="193" t="s">
        <v>418</v>
      </c>
      <c r="I28" s="193" t="str">
        <f>AC28&amp;"::"&amp;AD28</f>
        <v>Количество условных единиц для производства::УЕ</v>
      </c>
      <c r="U28" s="753" cm="1" t="str">
        <f t="array" ref="U28:U28">U27</f>
        <v>false</v>
      </c>
      <c r="AB28" s="337">
        <v>1</v>
      </c>
      <c r="AC28" s="338" t="s">
        <v>419</v>
      </c>
      <c r="AD28" s="339" t="s">
        <v>420</v>
      </c>
      <c r="AE28" s="68" cm="1" t="str">
        <f t="array" ref="AE28:AE28">AE29</f>
        <v>0</v>
      </c>
      <c r="AF28" s="340" cm="1" t="str">
        <f t="array" ref="AF28:AF28">AF29</f>
        <v>0</v>
      </c>
      <c r="AG28" s="68" cm="1" t="str">
        <f t="array" ref="AG28:AG28">AG29</f>
        <v>0</v>
      </c>
      <c r="AH28" s="68" cm="1" t="str">
        <f t="array" ref="AH28:AH28">AH29</f>
        <v>0</v>
      </c>
      <c r="AI28" s="68" cm="1" t="str">
        <f t="array" ref="AI28:AI28">AI29</f>
        <v>0</v>
      </c>
      <c r="AJ28" s="68" cm="1" t="str">
        <f t="array" ref="AJ28:AJ28">AJ29</f>
        <v>0</v>
      </c>
      <c r="AK28" s="68" cm="1" t="str">
        <f t="array" ref="AK28:AK28">AK29</f>
        <v>0</v>
      </c>
      <c r="AL28" s="68" cm="1" t="str">
        <f t="array" ref="AL28:AL28">AL29</f>
        <v>0</v>
      </c>
      <c r="AM28" s="68" cm="1" t="str">
        <f t="array" ref="AM28:AM28">AM29</f>
        <v>0</v>
      </c>
      <c r="AN28" s="68" cm="1" t="str">
        <f t="array" ref="AN28:AN28">AN29</f>
        <v>0</v>
      </c>
      <c r="AO28" s="68" cm="1" t="str">
        <f t="array" ref="AO28:AO28">AO29</f>
        <v>0</v>
      </c>
      <c r="AP28" s="68" cm="1" t="str">
        <f t="array" ref="AP28:AP28">AP29</f>
        <v>0</v>
      </c>
      <c r="AQ28" s="68" cm="1" t="str">
        <f t="array" ref="AQ28:AQ28">AQ29</f>
        <v>0</v>
      </c>
      <c r="AR28" s="68" cm="1" t="str">
        <f t="array" ref="AR28:AR28">AR29</f>
        <v>0</v>
      </c>
      <c r="AS28" s="68" cm="1" t="str">
        <f t="array" ref="AS28:AS28">AS29</f>
        <v>0</v>
      </c>
      <c r="AT28" s="68" cm="1" t="str">
        <f t="array" ref="AT28:AT28">AT29</f>
        <v>0</v>
      </c>
      <c r="AU28" s="68" cm="1" t="str">
        <f t="array" ref="AU28:AU28">AU29</f>
        <v>0</v>
      </c>
      <c r="AV28" s="68" cm="1" t="str">
        <f t="array" ref="AV28:AV28">AV29</f>
        <v>0</v>
      </c>
      <c r="AW28" s="68" cm="1" t="str">
        <f t="array" ref="AW28:AW28">AW29</f>
        <v>0</v>
      </c>
      <c r="AX28" s="68" cm="1" t="str">
        <f t="array" ref="AX28:AX28">AX29</f>
        <v>0</v>
      </c>
      <c r="AY28" s="68" cm="1" t="str">
        <f t="array" ref="AY28:AY28">AY29</f>
        <v>0</v>
      </c>
      <c r="AZ28" s="340" cm="1" t="str">
        <f t="array" ref="AZ28:AZ28">AZ29</f>
        <v>0</v>
      </c>
      <c r="BA28" s="68" cm="1" t="str">
        <f t="array" ref="BA28:BA28">BA29</f>
        <v>0</v>
      </c>
      <c r="BB28" s="68" cm="1" t="str">
        <f t="array" ref="BB28:BB28">BB29</f>
        <v>0</v>
      </c>
      <c r="BC28" s="68" cm="1" t="str">
        <f t="array" ref="BC28:BC28">BC29</f>
        <v>0</v>
      </c>
      <c r="BD28" s="68" cm="1" t="str">
        <f t="array" ref="BD28:BD28">BD29</f>
        <v>0</v>
      </c>
      <c r="BE28" s="68" cm="1" t="str">
        <f t="array" ref="BE28:BE28">BE29</f>
        <v>0</v>
      </c>
      <c r="BF28" s="68" cm="1" t="str">
        <f t="array" ref="BF28:BF28">BF29</f>
        <v>0</v>
      </c>
      <c r="BG28" s="68" cm="1" t="str">
        <f t="array" ref="BG28:BG28">BG29</f>
        <v>0</v>
      </c>
      <c r="BH28" s="68" cm="1" t="str">
        <f t="array" ref="BH28:BH28">BH29</f>
        <v>0</v>
      </c>
      <c r="BI28" s="68" cm="1" t="str">
        <f t="array" ref="BI28:BI28">BI29</f>
        <v>0</v>
      </c>
      <c r="BJ28" s="68" cm="1" t="str">
        <f t="array" ref="BJ28:BJ28">BJ29</f>
        <v>0</v>
      </c>
      <c r="BK28" s="68" cm="1" t="str">
        <f t="array" ref="BK28:BK28">BK29</f>
        <v>0</v>
      </c>
      <c r="BL28" s="68" cm="1" t="str">
        <f t="array" ref="BL28:BL28">BL29</f>
        <v>0</v>
      </c>
      <c r="BM28" s="68" cm="1" t="str">
        <f t="array" ref="BM28:BM28">BM29</f>
        <v>0</v>
      </c>
      <c r="BN28" s="68" cm="1" t="str">
        <f t="array" ref="BN28:BN28">BN29</f>
        <v>0</v>
      </c>
      <c r="BO28" s="68" cm="1" t="str">
        <f t="array" ref="BO28:BO28">BO29</f>
        <v>0</v>
      </c>
      <c r="BP28" s="68" cm="1" t="str">
        <f t="array" ref="BP28:BP28">BP29</f>
        <v>0</v>
      </c>
      <c r="BQ28" s="68" cm="1" t="str">
        <f t="array" ref="BQ28:BQ28">BQ29</f>
        <v>0</v>
      </c>
      <c r="BR28" s="68" cm="1" t="str">
        <f t="array" ref="BR28:BR28">BR29</f>
        <v>0</v>
      </c>
      <c r="BS28" s="68" cm="1" t="str">
        <f t="array" ref="BS28:BS28">BS29</f>
        <v>0</v>
      </c>
      <c r="BT28" s="69"/>
      <c r="BW28" s="309" t="s">
        <v>421</v>
      </c>
      <c r="BX28" s="1077" cm="1" t="str">
        <f t="array" ref="BX28:BX28">INDEX('Общие сведения'!$N$170:$N$202,MATCH($F28,'Общие сведения'!$Y$170:$Y$202,0)+1)</f>
        <v>0</v>
      </c>
      <c r="BY28" s="1077" t="s">
        <v>422</v>
      </c>
      <c r="BZ28" s="1077"/>
      <c r="CA28" s="1077"/>
      <c r="CB28" s="1077" t="s">
        <v>219</v>
      </c>
      <c r="CC28" s="1077"/>
      <c r="CD28" s="1077" t="s">
        <v>303</v>
      </c>
      <c r="CE28" s="1077" t="s">
        <v>331</v>
      </c>
      <c r="CF28" s="1077" t="s">
        <v>423</v>
      </c>
    </row>
    <row s="969" customFormat="1" customHeight="1" ht="16.575" hidden="1">
      <c r="E29" s="180">
        <v>17</v>
      </c>
      <c r="F29" s="175" cm="1" t="str">
        <f t="array" ref="F29:F29">OFFSET(G29,-1,-1)</f>
        <v>0</v>
      </c>
      <c r="G29" s="193" t="s">
        <v>424</v>
      </c>
      <c r="H29" s="193" t="s">
        <v>418</v>
      </c>
      <c r="I29" s="193" t="str">
        <f>AC29&amp;"::"&amp;AD29</f>
        <v>Установленная тепловая мощность::Гкал/час</v>
      </c>
      <c r="U29" s="753" cm="1" t="str">
        <f t="array" ref="U29:U29">U28</f>
        <v>false</v>
      </c>
      <c r="AB29" s="339">
        <v>1.1</v>
      </c>
      <c r="AC29" s="341" t="s">
        <v>425</v>
      </c>
      <c r="AD29" s="339" t="s">
        <v>426</v>
      </c>
      <c r="AE29" s="68"/>
      <c r="AF29" s="340"/>
      <c r="AG29" s="68"/>
      <c r="AH29" s="68"/>
      <c r="AI29" s="68"/>
      <c r="AJ29" s="68"/>
      <c r="AK29" s="68"/>
      <c r="AL29" s="68"/>
      <c r="AM29" s="68"/>
      <c r="AN29" s="68"/>
      <c r="AO29" s="68"/>
      <c r="AP29" s="68"/>
      <c r="AQ29" s="68"/>
      <c r="AR29" s="68"/>
      <c r="AS29" s="68"/>
      <c r="AT29" s="68"/>
      <c r="AU29" s="68"/>
      <c r="AV29" s="68"/>
      <c r="AW29" s="68"/>
      <c r="AX29" s="68"/>
      <c r="AY29" s="68"/>
      <c r="AZ29" s="340"/>
      <c r="BA29" s="68"/>
      <c r="BB29" s="68"/>
      <c r="BC29" s="68"/>
      <c r="BD29" s="68"/>
      <c r="BE29" s="68"/>
      <c r="BF29" s="68"/>
      <c r="BG29" s="68"/>
      <c r="BH29" s="68"/>
      <c r="BI29" s="68"/>
      <c r="BJ29" s="68"/>
      <c r="BK29" s="68"/>
      <c r="BL29" s="68"/>
      <c r="BM29" s="68"/>
      <c r="BN29" s="68"/>
      <c r="BO29" s="68"/>
      <c r="BP29" s="68"/>
      <c r="BQ29" s="68"/>
      <c r="BR29" s="68"/>
      <c r="BS29" s="68"/>
      <c r="BT29" s="69"/>
      <c r="BW29" s="309" t="s">
        <v>427</v>
      </c>
      <c r="BX29" s="1077" cm="1" t="str">
        <f t="array" ref="BX29:BX29">BX28</f>
        <v>0</v>
      </c>
      <c r="BY29" s="1077" t="s">
        <v>422</v>
      </c>
      <c r="BZ29" s="1077"/>
      <c r="CA29" s="1077"/>
      <c r="CB29" s="1077" t="s">
        <v>255</v>
      </c>
      <c r="CC29" s="1077"/>
      <c r="CD29" s="1077" t="s">
        <v>303</v>
      </c>
      <c r="CE29" s="1077" t="s">
        <v>428</v>
      </c>
      <c r="CF29" s="1077" t="s">
        <v>429</v>
      </c>
    </row>
    <row s="969" customFormat="1" customHeight="1" ht="16.575" hidden="1">
      <c r="E30" s="180">
        <v>17</v>
      </c>
      <c r="F30" s="175" cm="1" t="str">
        <f t="array" ref="F30:F30">OFFSET(G30,-1,-1)</f>
        <v>0</v>
      </c>
      <c r="G30" s="193" t="s">
        <v>430</v>
      </c>
      <c r="U30" s="753" cm="1" t="str">
        <f t="array" ref="U30:U30">U29</f>
        <v>false</v>
      </c>
      <c r="AB30" s="342">
        <v>2</v>
      </c>
      <c r="AC30" s="343" t="s">
        <v>431</v>
      </c>
      <c r="AD30" s="339" t="s">
        <v>420</v>
      </c>
      <c r="AE30" s="68">
        <f>AE31+5*AE44+25*AE45+0.5*AE46</f>
        <v>0</v>
      </c>
      <c r="AF30" s="340">
        <f>AF31+5*AF44+25*AF45+0.5*AF46</f>
        <v>0</v>
      </c>
      <c r="AG30" s="68">
        <f>AG31+5*AG44+25*AG45+0.5*AG46</f>
        <v>0</v>
      </c>
      <c r="AH30" s="68">
        <f>AH31+5*AH44+25*AH45+0.5*AH46</f>
        <v>0</v>
      </c>
      <c r="AI30" s="68">
        <f>AI31+5*AI44+25*AI45+0.5*AI46</f>
        <v>0</v>
      </c>
      <c r="AJ30" s="68">
        <f>AJ31+5*AJ44+25*AJ45+0.5*AJ46</f>
        <v>0</v>
      </c>
      <c r="AK30" s="68">
        <f>AK31+5*AK44+25*AK45+0.5*AK46</f>
        <v>0</v>
      </c>
      <c r="AL30" s="68">
        <f>AL31+5*AL44+25*AL45+0.5*AL46</f>
        <v>0</v>
      </c>
      <c r="AM30" s="68">
        <f>AM31+5*AM44+25*AM45+0.5*AM46</f>
        <v>0</v>
      </c>
      <c r="AN30" s="68">
        <f>AN31+5*AN44+25*AN45+0.5*AN46</f>
        <v>0</v>
      </c>
      <c r="AO30" s="68">
        <f>AO31+5*AO44+25*AO45+0.5*AO46</f>
        <v>0</v>
      </c>
      <c r="AP30" s="68">
        <f>AP31+5*AP44+25*AP45+0.5*AP46</f>
        <v>0</v>
      </c>
      <c r="AQ30" s="68">
        <f>AQ31+5*AQ44+25*AQ45+0.5*AQ46</f>
        <v>0</v>
      </c>
      <c r="AR30" s="68">
        <f>AR31+5*AR44+25*AR45+0.5*AR46</f>
        <v>0</v>
      </c>
      <c r="AS30" s="68">
        <f>AS31+5*AS44+25*AS45+0.5*AS46</f>
        <v>0</v>
      </c>
      <c r="AT30" s="68">
        <f>AT31+5*AT44+25*AT45+0.5*AT46</f>
        <v>0</v>
      </c>
      <c r="AU30" s="68">
        <f>AU31+5*AU44+25*AU45+0.5*AU46</f>
        <v>0</v>
      </c>
      <c r="AV30" s="68">
        <f>AV31+5*AV44+25*AV45+0.5*AV46</f>
        <v>0</v>
      </c>
      <c r="AW30" s="68">
        <f>AW31+5*AW44+25*AW45+0.5*AW46</f>
        <v>0</v>
      </c>
      <c r="AX30" s="68">
        <f>AX31+5*AX44+25*AX45+0.5*AX46</f>
        <v>0</v>
      </c>
      <c r="AY30" s="68">
        <f>AY31+5*AY44+25*AY45+0.5*AY46</f>
        <v>0</v>
      </c>
      <c r="AZ30" s="340">
        <f>AZ31+5*AZ44+25*AZ45+0.5*AZ46</f>
        <v>0</v>
      </c>
      <c r="BA30" s="68">
        <f>BA31+5*BA44+25*BA45+0.5*BA46</f>
        <v>0</v>
      </c>
      <c r="BB30" s="68">
        <f>BB31+5*BB44+25*BB45+0.5*BB46</f>
        <v>0</v>
      </c>
      <c r="BC30" s="68">
        <f>BC31+5*BC44+25*BC45+0.5*BC46</f>
        <v>0</v>
      </c>
      <c r="BD30" s="68">
        <f>BD31+5*BD44+25*BD45+0.5*BD46</f>
        <v>0</v>
      </c>
      <c r="BE30" s="68">
        <f>BE31+5*BE44+25*BE45+0.5*BE46</f>
        <v>0</v>
      </c>
      <c r="BF30" s="68">
        <f>BF31+5*BF44+25*BF45+0.5*BF46</f>
        <v>0</v>
      </c>
      <c r="BG30" s="68">
        <f>BG31+5*BG44+25*BG45+0.5*BG46</f>
        <v>0</v>
      </c>
      <c r="BH30" s="68">
        <f>BH31+5*BH44+25*BH45+0.5*BH46</f>
        <v>0</v>
      </c>
      <c r="BI30" s="68">
        <f>BI31+5*BI44+25*BI45+0.5*BI46</f>
        <v>0</v>
      </c>
      <c r="BJ30" s="68">
        <f>BJ31+5*BJ44+25*BJ45+0.5*BJ46</f>
        <v>0</v>
      </c>
      <c r="BK30" s="68">
        <f>BK31+5*BK44+25*BK45+0.5*BK46</f>
        <v>0</v>
      </c>
      <c r="BL30" s="68">
        <f>BL31+5*BL44+25*BL45+0.5*BL46</f>
        <v>0</v>
      </c>
      <c r="BM30" s="68">
        <f>BM31+5*BM44+25*BM45+0.5*BM46</f>
        <v>0</v>
      </c>
      <c r="BN30" s="68">
        <f>BN31+5*BN44+25*BN45+0.5*BN46</f>
        <v>0</v>
      </c>
      <c r="BO30" s="68">
        <f>BO31+5*BO44+25*BO45+0.5*BO46</f>
        <v>0</v>
      </c>
      <c r="BP30" s="68">
        <f>BP31+5*BP44+25*BP45+0.5*BP46</f>
        <v>0</v>
      </c>
      <c r="BQ30" s="68">
        <f>BQ31+5*BQ44+25*BQ45+0.5*BQ46</f>
        <v>0</v>
      </c>
      <c r="BR30" s="68">
        <f>BR31+5*BR44+25*BR45+0.5*BR46</f>
        <v>0</v>
      </c>
      <c r="BS30" s="68">
        <f>BS31+5*BS44+25*BS45+0.5*BS46</f>
        <v>0</v>
      </c>
      <c r="BT30" s="69"/>
      <c r="BW30" s="309" t="s">
        <v>432</v>
      </c>
      <c r="BX30" s="1077" cm="1" t="str">
        <f t="array" ref="BX30:BX30">BX29</f>
        <v>0</v>
      </c>
      <c r="BY30" s="1077" t="s">
        <v>433</v>
      </c>
      <c r="BZ30" s="1077"/>
      <c r="CA30" s="1077"/>
      <c r="CB30" s="1077" t="s">
        <v>219</v>
      </c>
      <c r="CC30" s="1077"/>
      <c r="CD30" s="1077" t="s">
        <v>303</v>
      </c>
      <c r="CE30" s="1077" t="s">
        <v>331</v>
      </c>
      <c r="CF30" s="1077" t="s">
        <v>423</v>
      </c>
    </row>
    <row s="969" customFormat="1" customHeight="1" ht="16.575" hidden="1">
      <c r="E31" s="180">
        <v>17</v>
      </c>
      <c r="F31" s="175" cm="1" t="str">
        <f t="array" ref="F31:F31">OFFSET(G31,-1,-1)</f>
        <v>0</v>
      </c>
      <c r="U31" s="753" cm="1" t="str">
        <f t="array" ref="U31:U31">U30</f>
        <v>false</v>
      </c>
      <c r="AB31" s="344">
        <v>2.1</v>
      </c>
      <c r="AC31" s="345" t="s">
        <v>434</v>
      </c>
      <c r="AD31" s="339" t="s">
        <v>420</v>
      </c>
      <c r="AE31" s="346">
        <f>AE32+AE35+AE38+AE41</f>
        <v>0</v>
      </c>
      <c r="AF31" s="346">
        <f>AF32+AF35+AF38+AF41</f>
        <v>0</v>
      </c>
      <c r="AG31" s="346">
        <f>AG32+AG35+AG38+AG41</f>
        <v>0</v>
      </c>
      <c r="AH31" s="346">
        <f>AH32+AH35+AH38+AH41</f>
        <v>0</v>
      </c>
      <c r="AI31" s="346">
        <f>AI32+AI35+AI38+AI41</f>
        <v>0</v>
      </c>
      <c r="AJ31" s="346">
        <f>AJ32+AJ35+AJ38+AJ41</f>
        <v>0</v>
      </c>
      <c r="AK31" s="346">
        <f>AK32+AK35+AK38+AK41</f>
        <v>0</v>
      </c>
      <c r="AL31" s="346">
        <f>AL32+AL35+AL38+AL41</f>
        <v>0</v>
      </c>
      <c r="AM31" s="346">
        <f>AM32+AM35+AM38+AM41</f>
        <v>0</v>
      </c>
      <c r="AN31" s="346">
        <f>AN32+AN35+AN38+AN41</f>
        <v>0</v>
      </c>
      <c r="AO31" s="346">
        <f>AO32+AO35+AO38+AO41</f>
        <v>0</v>
      </c>
      <c r="AP31" s="346">
        <f>AP32+AP35+AP38+AP41</f>
        <v>0</v>
      </c>
      <c r="AQ31" s="346">
        <f>AQ32+AQ35+AQ38+AQ41</f>
        <v>0</v>
      </c>
      <c r="AR31" s="346">
        <f>AR32+AR35+AR38+AR41</f>
        <v>0</v>
      </c>
      <c r="AS31" s="346">
        <f>AS32+AS35+AS38+AS41</f>
        <v>0</v>
      </c>
      <c r="AT31" s="346">
        <f>AT32+AT35+AT38+AT41</f>
        <v>0</v>
      </c>
      <c r="AU31" s="346">
        <f>AU32+AU35+AU38+AU41</f>
        <v>0</v>
      </c>
      <c r="AV31" s="346">
        <f>AV32+AV35+AV38+AV41</f>
        <v>0</v>
      </c>
      <c r="AW31" s="346">
        <f>AW32+AW35+AW38+AW41</f>
        <v>0</v>
      </c>
      <c r="AX31" s="346">
        <f>AX32+AX35+AX38+AX41</f>
        <v>0</v>
      </c>
      <c r="AY31" s="346">
        <f>AY32+AY35+AY38+AY41</f>
        <v>0</v>
      </c>
      <c r="AZ31" s="346">
        <f>AZ32+AZ35+AZ38+AZ41</f>
        <v>0</v>
      </c>
      <c r="BA31" s="346">
        <f>BA32+BA35+BA38+BA41</f>
        <v>0</v>
      </c>
      <c r="BB31" s="346">
        <f>BB32+BB35+BB38+BB41</f>
        <v>0</v>
      </c>
      <c r="BC31" s="346">
        <f>BC32+BC35+BC38+BC41</f>
        <v>0</v>
      </c>
      <c r="BD31" s="346">
        <f>BD32+BD35+BD38+BD41</f>
        <v>0</v>
      </c>
      <c r="BE31" s="346">
        <f>BE32+BE35+BE38+BE41</f>
        <v>0</v>
      </c>
      <c r="BF31" s="346">
        <f>BF32+BF35+BF38+BF41</f>
        <v>0</v>
      </c>
      <c r="BG31" s="346">
        <f>BG32+BG35+BG38+BG41</f>
        <v>0</v>
      </c>
      <c r="BH31" s="346">
        <f>BH32+BH35+BH38+BH41</f>
        <v>0</v>
      </c>
      <c r="BI31" s="346">
        <f>BI32+BI35+BI38+BI41</f>
        <v>0</v>
      </c>
      <c r="BJ31" s="346">
        <f>BJ32+BJ35+BJ38+BJ41</f>
        <v>0</v>
      </c>
      <c r="BK31" s="346">
        <f>BK32+BK35+BK38+BK41</f>
        <v>0</v>
      </c>
      <c r="BL31" s="346">
        <f>BL32+BL35+BL38+BL41</f>
        <v>0</v>
      </c>
      <c r="BM31" s="346">
        <f>BM32+BM35+BM38+BM41</f>
        <v>0</v>
      </c>
      <c r="BN31" s="346">
        <f>BN32+BN35+BN38+BN41</f>
        <v>0</v>
      </c>
      <c r="BO31" s="346">
        <f>BO32+BO35+BO38+BO41</f>
        <v>0</v>
      </c>
      <c r="BP31" s="346">
        <f>BP32+BP35+BP38+BP41</f>
        <v>0</v>
      </c>
      <c r="BQ31" s="346">
        <f>BQ32+BQ35+BQ38+BQ41</f>
        <v>0</v>
      </c>
      <c r="BR31" s="346">
        <f>BR32+BR35+BR38+BR41</f>
        <v>0</v>
      </c>
      <c r="BS31" s="346">
        <f>BS32+BS35+BS38+BS41</f>
        <v>0</v>
      </c>
      <c r="BT31" s="69"/>
      <c r="BW31" s="309" t="s">
        <v>435</v>
      </c>
      <c r="BX31" s="1077" cm="1" t="str">
        <f t="array" ref="BX31:BX31">BX30</f>
        <v>0</v>
      </c>
      <c r="BY31" s="1077" t="s">
        <v>433</v>
      </c>
      <c r="BZ31" s="1077" t="s">
        <v>436</v>
      </c>
      <c r="CA31" s="1077"/>
      <c r="CB31" s="1077"/>
      <c r="CC31" s="1077"/>
      <c r="CD31" s="1077" t="s">
        <v>303</v>
      </c>
      <c r="CE31" s="1077" t="s">
        <v>331</v>
      </c>
      <c r="CF31" s="1077" t="s">
        <v>423</v>
      </c>
    </row>
    <row s="969" customFormat="1" customHeight="1" ht="16.575" hidden="1">
      <c r="E32" s="180">
        <v>17</v>
      </c>
      <c r="F32" s="175" cm="1" t="str">
        <f t="array" ref="F32:F32">OFFSET(G32,-1,-1)</f>
        <v>0</v>
      </c>
      <c r="U32" s="753" cm="1" t="str">
        <f t="array" ref="U32:U32">U31</f>
        <v>false</v>
      </c>
      <c r="AB32" s="347" t="s">
        <v>437</v>
      </c>
      <c r="AC32" s="348" t="s">
        <v>438</v>
      </c>
      <c r="AD32" s="339" t="s">
        <v>420</v>
      </c>
      <c r="AE32" s="68">
        <f>0.75*(11*AE34+MAX(0.06*AE34*(AE33-100),0))</f>
        <v>0</v>
      </c>
      <c r="AF32" s="340">
        <f>0.75*(11*AF34+MAX(0.06*AF34*(AF33-100),0))</f>
        <v>0</v>
      </c>
      <c r="AG32" s="68">
        <f>0.75*(11*AG34+MAX(0.06*AG34*(AG33-100),0))</f>
        <v>0</v>
      </c>
      <c r="AH32" s="68">
        <f>0.75*(11*AH34+MAX(0.06*AH34*(AH33-100),0))</f>
        <v>0</v>
      </c>
      <c r="AI32" s="68">
        <f>0.75*(11*AI34+MAX(0.06*AI34*(AI33-100),0))</f>
        <v>0</v>
      </c>
      <c r="AJ32" s="68">
        <f>0.75*(11*AJ34+MAX(0.06*AJ34*(AJ33-100),0))</f>
        <v>0</v>
      </c>
      <c r="AK32" s="68">
        <f>0.75*(11*AK34+MAX(0.06*AK34*(AK33-100),0))</f>
        <v>0</v>
      </c>
      <c r="AL32" s="68">
        <f>0.75*(11*AL34+MAX(0.06*AL34*(AL33-100),0))</f>
        <v>0</v>
      </c>
      <c r="AM32" s="68">
        <f>0.75*(11*AM34+MAX(0.06*AM34*(AM33-100),0))</f>
        <v>0</v>
      </c>
      <c r="AN32" s="68">
        <f>0.75*(11*AN34+MAX(0.06*AN34*(AN33-100),0))</f>
        <v>0</v>
      </c>
      <c r="AO32" s="68">
        <f>0.75*(11*AO34+MAX(0.06*AO34*(AO33-100),0))</f>
        <v>0</v>
      </c>
      <c r="AP32" s="68">
        <f>0.75*(11*AP34+MAX(0.06*AP34*(AP33-100),0))</f>
        <v>0</v>
      </c>
      <c r="AQ32" s="68">
        <f>0.75*(11*AQ34+MAX(0.06*AQ34*(AQ33-100),0))</f>
        <v>0</v>
      </c>
      <c r="AR32" s="68">
        <f>0.75*(11*AR34+MAX(0.06*AR34*(AR33-100),0))</f>
        <v>0</v>
      </c>
      <c r="AS32" s="68">
        <f>0.75*(11*AS34+MAX(0.06*AS34*(AS33-100),0))</f>
        <v>0</v>
      </c>
      <c r="AT32" s="68">
        <f>0.75*(11*AT34+MAX(0.06*AT34*(AT33-100),0))</f>
        <v>0</v>
      </c>
      <c r="AU32" s="68">
        <f>0.75*(11*AU34+MAX(0.06*AU34*(AU33-100),0))</f>
        <v>0</v>
      </c>
      <c r="AV32" s="68">
        <f>0.75*(11*AV34+MAX(0.06*AV34*(AV33-100),0))</f>
        <v>0</v>
      </c>
      <c r="AW32" s="68">
        <f>0.75*(11*AW34+MAX(0.06*AW34*(AW33-100),0))</f>
        <v>0</v>
      </c>
      <c r="AX32" s="68">
        <f>0.75*(11*AX34+MAX(0.06*AX34*(AX33-100),0))</f>
        <v>0</v>
      </c>
      <c r="AY32" s="68">
        <f>0.75*(11*AY34+MAX(0.06*AY34*(AY33-100),0))</f>
        <v>0</v>
      </c>
      <c r="AZ32" s="340">
        <f>0.75*(11*AZ34+MAX(0.06*AZ34*(AZ33-100),0))</f>
        <v>0</v>
      </c>
      <c r="BA32" s="68">
        <f>0.75*(11*BA34+MAX(0.06*BA34*(BA33-100),0))</f>
        <v>0</v>
      </c>
      <c r="BB32" s="68">
        <f>0.75*(11*BB34+MAX(0.06*BB34*(BB33-100),0))</f>
        <v>0</v>
      </c>
      <c r="BC32" s="68">
        <f>0.75*(11*BC34+MAX(0.06*BC34*(BC33-100),0))</f>
        <v>0</v>
      </c>
      <c r="BD32" s="68">
        <f>0.75*(11*BD34+MAX(0.06*BD34*(BD33-100),0))</f>
        <v>0</v>
      </c>
      <c r="BE32" s="68">
        <f>0.75*(11*BE34+MAX(0.06*BE34*(BE33-100),0))</f>
        <v>0</v>
      </c>
      <c r="BF32" s="68">
        <f>0.75*(11*BF34+MAX(0.06*BF34*(BF33-100),0))</f>
        <v>0</v>
      </c>
      <c r="BG32" s="68">
        <f>0.75*(11*BG34+MAX(0.06*BG34*(BG33-100),0))</f>
        <v>0</v>
      </c>
      <c r="BH32" s="68">
        <f>0.75*(11*BH34+MAX(0.06*BH34*(BH33-100),0))</f>
        <v>0</v>
      </c>
      <c r="BI32" s="68">
        <f>0.75*(11*BI34+MAX(0.06*BI34*(BI33-100),0))</f>
        <v>0</v>
      </c>
      <c r="BJ32" s="68">
        <f>0.75*(11*BJ34+MAX(0.06*BJ34*(BJ33-100),0))</f>
        <v>0</v>
      </c>
      <c r="BK32" s="68">
        <f>0.75*(11*BK34+MAX(0.06*BK34*(BK33-100),0))</f>
        <v>0</v>
      </c>
      <c r="BL32" s="68">
        <f>0.75*(11*BL34+MAX(0.06*BL34*(BL33-100),0))</f>
        <v>0</v>
      </c>
      <c r="BM32" s="68">
        <f>0.75*(11*BM34+MAX(0.06*BM34*(BM33-100),0))</f>
        <v>0</v>
      </c>
      <c r="BN32" s="68">
        <f>0.75*(11*BN34+MAX(0.06*BN34*(BN33-100),0))</f>
        <v>0</v>
      </c>
      <c r="BO32" s="68">
        <f>0.75*(11*BO34+MAX(0.06*BO34*(BO33-100),0))</f>
        <v>0</v>
      </c>
      <c r="BP32" s="68">
        <f>0.75*(11*BP34+MAX(0.06*BP34*(BP33-100),0))</f>
        <v>0</v>
      </c>
      <c r="BQ32" s="68">
        <f>0.75*(11*BQ34+MAX(0.06*BQ34*(BQ33-100),0))</f>
        <v>0</v>
      </c>
      <c r="BR32" s="68">
        <f>0.75*(11*BR34+MAX(0.06*BR34*(BR33-100),0))</f>
        <v>0</v>
      </c>
      <c r="BS32" s="68">
        <f>0.75*(11*BS34+MAX(0.06*BS34*(BS33-100),0))</f>
        <v>0</v>
      </c>
      <c r="BT32" s="69"/>
      <c r="BW32" s="309" t="s">
        <v>439</v>
      </c>
      <c r="BX32" s="1077" cm="1" t="str">
        <f t="array" ref="BX32:BX32">BX31</f>
        <v>0</v>
      </c>
      <c r="BY32" s="1077" t="s">
        <v>433</v>
      </c>
      <c r="BZ32" s="1077" t="s">
        <v>436</v>
      </c>
      <c r="CA32" s="1077" t="s">
        <v>440</v>
      </c>
      <c r="CB32" s="1077" t="s">
        <v>219</v>
      </c>
      <c r="CC32" s="1077"/>
      <c r="CD32" s="1077" t="s">
        <v>303</v>
      </c>
      <c r="CE32" s="1077" t="s">
        <v>331</v>
      </c>
      <c r="CF32" s="1077" t="s">
        <v>423</v>
      </c>
    </row>
    <row s="969" customFormat="1" customHeight="1" ht="16.575" hidden="1">
      <c r="E33" s="180">
        <v>17</v>
      </c>
      <c r="F33" s="175" cm="1" t="str">
        <f t="array" ref="F33:F33">OFFSET(G33,-1,-1)</f>
        <v>0</v>
      </c>
      <c r="U33" s="753" cm="1" t="str">
        <f t="array" ref="U33:U33">U32</f>
        <v>false</v>
      </c>
      <c r="AB33" s="349" t="str">
        <f>AB32&amp;".1"</f>
        <v>2.1.1.1</v>
      </c>
      <c r="AC33" s="350" t="s">
        <v>441</v>
      </c>
      <c r="AD33" s="327" t="s">
        <v>442</v>
      </c>
      <c r="AE33" s="70"/>
      <c r="AF33" s="351"/>
      <c r="AG33" s="70"/>
      <c r="AH33" s="70"/>
      <c r="AI33" s="70"/>
      <c r="AJ33" s="70"/>
      <c r="AK33" s="70"/>
      <c r="AL33" s="70"/>
      <c r="AM33" s="70"/>
      <c r="AN33" s="70"/>
      <c r="AO33" s="70"/>
      <c r="AP33" s="70"/>
      <c r="AQ33" s="70"/>
      <c r="AR33" s="70"/>
      <c r="AS33" s="70"/>
      <c r="AT33" s="70"/>
      <c r="AU33" s="70"/>
      <c r="AV33" s="70"/>
      <c r="AW33" s="70"/>
      <c r="AX33" s="70"/>
      <c r="AY33" s="70"/>
      <c r="AZ33" s="351"/>
      <c r="BA33" s="70"/>
      <c r="BB33" s="70"/>
      <c r="BC33" s="70"/>
      <c r="BD33" s="70"/>
      <c r="BE33" s="70"/>
      <c r="BF33" s="70"/>
      <c r="BG33" s="70"/>
      <c r="BH33" s="70"/>
      <c r="BI33" s="70"/>
      <c r="BJ33" s="70"/>
      <c r="BK33" s="70"/>
      <c r="BL33" s="70"/>
      <c r="BM33" s="70"/>
      <c r="BN33" s="70"/>
      <c r="BO33" s="70"/>
      <c r="BP33" s="70"/>
      <c r="BQ33" s="70"/>
      <c r="BR33" s="70"/>
      <c r="BS33" s="70"/>
      <c r="BT33" s="69"/>
      <c r="BW33" s="309" t="s">
        <v>443</v>
      </c>
      <c r="BX33" s="1077" cm="1" t="str">
        <f t="array" ref="BX33:BX33">BX32</f>
        <v>0</v>
      </c>
      <c r="BY33" s="1077" t="s">
        <v>433</v>
      </c>
      <c r="BZ33" s="1077" t="s">
        <v>436</v>
      </c>
      <c r="CA33" s="1077" t="s">
        <v>440</v>
      </c>
      <c r="CB33" s="1077" t="s">
        <v>255</v>
      </c>
      <c r="CC33" s="1077"/>
      <c r="CD33" s="1077" t="s">
        <v>303</v>
      </c>
      <c r="CE33" s="1077" t="s">
        <v>444</v>
      </c>
      <c r="CF33" s="1077" t="s">
        <v>445</v>
      </c>
    </row>
    <row s="969" customFormat="1" customHeight="1" ht="16.575" hidden="1">
      <c r="E34" s="180">
        <v>17</v>
      </c>
      <c r="F34" s="175" cm="1" t="str">
        <f t="array" ref="F34:F34">OFFSET(G34,-1,-1)</f>
        <v>0</v>
      </c>
      <c r="U34" s="753" cm="1" t="str">
        <f t="array" ref="U34:U34">U33</f>
        <v>false</v>
      </c>
      <c r="AB34" s="349" t="str">
        <f>AB32&amp;".2"</f>
        <v>2.1.1.2</v>
      </c>
      <c r="AC34" s="350" t="s">
        <v>446</v>
      </c>
      <c r="AD34" s="352" t="s">
        <v>447</v>
      </c>
      <c r="AE34" s="71"/>
      <c r="AF34" s="353"/>
      <c r="AG34" s="71"/>
      <c r="AH34" s="71"/>
      <c r="AI34" s="71"/>
      <c r="AJ34" s="71"/>
      <c r="AK34" s="71"/>
      <c r="AL34" s="71"/>
      <c r="AM34" s="71"/>
      <c r="AN34" s="71"/>
      <c r="AO34" s="71"/>
      <c r="AP34" s="71"/>
      <c r="AQ34" s="71"/>
      <c r="AR34" s="71"/>
      <c r="AS34" s="71"/>
      <c r="AT34" s="71"/>
      <c r="AU34" s="71"/>
      <c r="AV34" s="71"/>
      <c r="AW34" s="71"/>
      <c r="AX34" s="71"/>
      <c r="AY34" s="71"/>
      <c r="AZ34" s="353"/>
      <c r="BA34" s="71"/>
      <c r="BB34" s="71"/>
      <c r="BC34" s="71"/>
      <c r="BD34" s="71"/>
      <c r="BE34" s="71"/>
      <c r="BF34" s="71"/>
      <c r="BG34" s="71"/>
      <c r="BH34" s="71"/>
      <c r="BI34" s="71"/>
      <c r="BJ34" s="71"/>
      <c r="BK34" s="71"/>
      <c r="BL34" s="71"/>
      <c r="BM34" s="71"/>
      <c r="BN34" s="71"/>
      <c r="BO34" s="71"/>
      <c r="BP34" s="71"/>
      <c r="BQ34" s="71"/>
      <c r="BR34" s="71"/>
      <c r="BS34" s="71"/>
      <c r="BT34" s="69"/>
      <c r="BW34" s="309" t="s">
        <v>448</v>
      </c>
      <c r="BX34" s="1077" cm="1" t="str">
        <f t="array" ref="BX34:BX34">BX33</f>
        <v>0</v>
      </c>
      <c r="BY34" s="1077" t="s">
        <v>433</v>
      </c>
      <c r="BZ34" s="1077" t="s">
        <v>436</v>
      </c>
      <c r="CA34" s="1077" t="s">
        <v>440</v>
      </c>
      <c r="CB34" s="1077" t="s">
        <v>449</v>
      </c>
      <c r="CC34" s="1077"/>
      <c r="CD34" s="1077" t="s">
        <v>303</v>
      </c>
      <c r="CE34" s="1077" t="s">
        <v>450</v>
      </c>
      <c r="CF34" s="1077" t="s">
        <v>451</v>
      </c>
    </row>
    <row s="969" customFormat="1" customHeight="1" ht="16.575" hidden="1">
      <c r="E35" s="180">
        <v>17</v>
      </c>
      <c r="F35" s="175" cm="1" t="str">
        <f t="array" ref="F35:F35">OFFSET(G35,-1,-1)</f>
        <v>0</v>
      </c>
      <c r="U35" s="753" cm="1" t="str">
        <f t="array" ref="U35:U35">U34</f>
        <v>false</v>
      </c>
      <c r="AB35" s="354" t="s">
        <v>452</v>
      </c>
      <c r="AC35" s="355" t="s">
        <v>453</v>
      </c>
      <c r="AD35" s="339" t="s">
        <v>420</v>
      </c>
      <c r="AE35" s="68">
        <f>(11*AE37+MAX(0.06*AE37*(AE36-100),0))</f>
        <v>0</v>
      </c>
      <c r="AF35" s="340">
        <f>(11*AF37+MAX(0.06*AF37*(AF36-100),0))</f>
        <v>0</v>
      </c>
      <c r="AG35" s="68">
        <f>(11*AG37+MAX(0.06*AG37*(AG36-100),0))</f>
        <v>0</v>
      </c>
      <c r="AH35" s="68">
        <f>(11*AH37+MAX(0.06*AH37*(AH36-100),0))</f>
        <v>0</v>
      </c>
      <c r="AI35" s="68">
        <f>(11*AI37+MAX(0.06*AI37*(AI36-100),0))</f>
        <v>0</v>
      </c>
      <c r="AJ35" s="68">
        <f>(11*AJ37+MAX(0.06*AJ37*(AJ36-100),0))</f>
        <v>0</v>
      </c>
      <c r="AK35" s="68">
        <f>(11*AK37+MAX(0.06*AK37*(AK36-100),0))</f>
        <v>0</v>
      </c>
      <c r="AL35" s="68">
        <f>(11*AL37+MAX(0.06*AL37*(AL36-100),0))</f>
        <v>0</v>
      </c>
      <c r="AM35" s="68">
        <f>(11*AM37+MAX(0.06*AM37*(AM36-100),0))</f>
        <v>0</v>
      </c>
      <c r="AN35" s="68">
        <f>(11*AN37+MAX(0.06*AN37*(AN36-100),0))</f>
        <v>0</v>
      </c>
      <c r="AO35" s="68">
        <f>(11*AO37+MAX(0.06*AO37*(AO36-100),0))</f>
        <v>0</v>
      </c>
      <c r="AP35" s="68">
        <f>(11*AP37+MAX(0.06*AP37*(AP36-100),0))</f>
        <v>0</v>
      </c>
      <c r="AQ35" s="68">
        <f>(11*AQ37+MAX(0.06*AQ37*(AQ36-100),0))</f>
        <v>0</v>
      </c>
      <c r="AR35" s="68">
        <f>(11*AR37+MAX(0.06*AR37*(AR36-100),0))</f>
        <v>0</v>
      </c>
      <c r="AS35" s="68">
        <f>(11*AS37+MAX(0.06*AS37*(AS36-100),0))</f>
        <v>0</v>
      </c>
      <c r="AT35" s="68">
        <f>(11*AT37+MAX(0.06*AT37*(AT36-100),0))</f>
        <v>0</v>
      </c>
      <c r="AU35" s="68">
        <f>(11*AU37+MAX(0.06*AU37*(AU36-100),0))</f>
        <v>0</v>
      </c>
      <c r="AV35" s="68">
        <f>(11*AV37+MAX(0.06*AV37*(AV36-100),0))</f>
        <v>0</v>
      </c>
      <c r="AW35" s="68">
        <f>(11*AW37+MAX(0.06*AW37*(AW36-100),0))</f>
        <v>0</v>
      </c>
      <c r="AX35" s="68">
        <f>(11*AX37+MAX(0.06*AX37*(AX36-100),0))</f>
        <v>0</v>
      </c>
      <c r="AY35" s="68">
        <f>(11*AY37+MAX(0.06*AY37*(AY36-100),0))</f>
        <v>0</v>
      </c>
      <c r="AZ35" s="340">
        <f>(11*AZ37+MAX(0.06*AZ37*(AZ36-100),0))</f>
        <v>0</v>
      </c>
      <c r="BA35" s="68">
        <f>(11*BA37+MAX(0.06*BA37*(BA36-100),0))</f>
        <v>0</v>
      </c>
      <c r="BB35" s="68">
        <f>(11*BB37+MAX(0.06*BB37*(BB36-100),0))</f>
        <v>0</v>
      </c>
      <c r="BC35" s="68">
        <f>(11*BC37+MAX(0.06*BC37*(BC36-100),0))</f>
        <v>0</v>
      </c>
      <c r="BD35" s="68">
        <f>(11*BD37+MAX(0.06*BD37*(BD36-100),0))</f>
        <v>0</v>
      </c>
      <c r="BE35" s="68">
        <f>(11*BE37+MAX(0.06*BE37*(BE36-100),0))</f>
        <v>0</v>
      </c>
      <c r="BF35" s="68">
        <f>(11*BF37+MAX(0.06*BF37*(BF36-100),0))</f>
        <v>0</v>
      </c>
      <c r="BG35" s="68">
        <f>(11*BG37+MAX(0.06*BG37*(BG36-100),0))</f>
        <v>0</v>
      </c>
      <c r="BH35" s="68">
        <f>(11*BH37+MAX(0.06*BH37*(BH36-100),0))</f>
        <v>0</v>
      </c>
      <c r="BI35" s="68">
        <f>(11*BI37+MAX(0.06*BI37*(BI36-100),0))</f>
        <v>0</v>
      </c>
      <c r="BJ35" s="68">
        <f>(11*BJ37+MAX(0.06*BJ37*(BJ36-100),0))</f>
        <v>0</v>
      </c>
      <c r="BK35" s="68">
        <f>(11*BK37+MAX(0.06*BK37*(BK36-100),0))</f>
        <v>0</v>
      </c>
      <c r="BL35" s="68">
        <f>(11*BL37+MAX(0.06*BL37*(BL36-100),0))</f>
        <v>0</v>
      </c>
      <c r="BM35" s="68">
        <f>(11*BM37+MAX(0.06*BM37*(BM36-100),0))</f>
        <v>0</v>
      </c>
      <c r="BN35" s="68">
        <f>(11*BN37+MAX(0.06*BN37*(BN36-100),0))</f>
        <v>0</v>
      </c>
      <c r="BO35" s="68">
        <f>(11*BO37+MAX(0.06*BO37*(BO36-100),0))</f>
        <v>0</v>
      </c>
      <c r="BP35" s="68">
        <f>(11*BP37+MAX(0.06*BP37*(BP36-100),0))</f>
        <v>0</v>
      </c>
      <c r="BQ35" s="68">
        <f>(11*BQ37+MAX(0.06*BQ37*(BQ36-100),0))</f>
        <v>0</v>
      </c>
      <c r="BR35" s="68">
        <f>(11*BR37+MAX(0.06*BR37*(BR36-100),0))</f>
        <v>0</v>
      </c>
      <c r="BS35" s="68">
        <f>(11*BS37+MAX(0.06*BS37*(BS36-100),0))</f>
        <v>0</v>
      </c>
      <c r="BT35" s="69"/>
      <c r="BW35" s="309" t="s">
        <v>454</v>
      </c>
      <c r="BX35" s="1077" cm="1" t="str">
        <f t="array" ref="BX35:BX35">BX34</f>
        <v>0</v>
      </c>
      <c r="BY35" s="1077" t="s">
        <v>433</v>
      </c>
      <c r="BZ35" s="1077" t="s">
        <v>436</v>
      </c>
      <c r="CA35" s="1077" t="s">
        <v>455</v>
      </c>
      <c r="CB35" s="1077" t="s">
        <v>219</v>
      </c>
      <c r="CC35" s="1077"/>
      <c r="CD35" s="1077" t="s">
        <v>303</v>
      </c>
      <c r="CE35" s="1077" t="s">
        <v>331</v>
      </c>
      <c r="CF35" s="1077" t="s">
        <v>423</v>
      </c>
    </row>
    <row s="969" customFormat="1" customHeight="1" ht="16.575" hidden="1">
      <c r="E36" s="180">
        <v>17</v>
      </c>
      <c r="F36" s="175" cm="1" t="str">
        <f t="array" ref="F36:F36">OFFSET(G36,-1,-1)</f>
        <v>0</v>
      </c>
      <c r="U36" s="753" cm="1" t="str">
        <f t="array" ref="U36:U36">U35</f>
        <v>false</v>
      </c>
      <c r="AB36" s="349" t="str">
        <f>AB35&amp;".1"</f>
        <v>2.1.2.1</v>
      </c>
      <c r="AC36" s="350" t="s">
        <v>441</v>
      </c>
      <c r="AD36" s="356" t="s">
        <v>442</v>
      </c>
      <c r="AE36" s="72"/>
      <c r="AF36" s="353"/>
      <c r="AG36" s="71"/>
      <c r="AH36" s="71"/>
      <c r="AI36" s="71"/>
      <c r="AJ36" s="71"/>
      <c r="AK36" s="71"/>
      <c r="AL36" s="71"/>
      <c r="AM36" s="71"/>
      <c r="AN36" s="71"/>
      <c r="AO36" s="71"/>
      <c r="AP36" s="71"/>
      <c r="AQ36" s="71"/>
      <c r="AR36" s="71"/>
      <c r="AS36" s="71"/>
      <c r="AT36" s="71"/>
      <c r="AU36" s="71"/>
      <c r="AV36" s="71"/>
      <c r="AW36" s="71"/>
      <c r="AX36" s="71"/>
      <c r="AY36" s="71"/>
      <c r="AZ36" s="353"/>
      <c r="BA36" s="71"/>
      <c r="BB36" s="71"/>
      <c r="BC36" s="71"/>
      <c r="BD36" s="71"/>
      <c r="BE36" s="71"/>
      <c r="BF36" s="71"/>
      <c r="BG36" s="71"/>
      <c r="BH36" s="71"/>
      <c r="BI36" s="71"/>
      <c r="BJ36" s="71"/>
      <c r="BK36" s="71"/>
      <c r="BL36" s="71"/>
      <c r="BM36" s="71"/>
      <c r="BN36" s="71"/>
      <c r="BO36" s="71"/>
      <c r="BP36" s="71"/>
      <c r="BQ36" s="71"/>
      <c r="BR36" s="71"/>
      <c r="BS36" s="71"/>
      <c r="BT36" s="69"/>
      <c r="BW36" s="309" t="s">
        <v>456</v>
      </c>
      <c r="BX36" s="1077" cm="1" t="str">
        <f t="array" ref="BX36:BX36">BX35</f>
        <v>0</v>
      </c>
      <c r="BY36" s="1077" t="s">
        <v>433</v>
      </c>
      <c r="BZ36" s="1077" t="s">
        <v>436</v>
      </c>
      <c r="CA36" s="1077" t="s">
        <v>455</v>
      </c>
      <c r="CB36" s="1077" t="s">
        <v>255</v>
      </c>
      <c r="CC36" s="1077"/>
      <c r="CD36" s="1077" t="s">
        <v>303</v>
      </c>
      <c r="CE36" s="1077" t="s">
        <v>444</v>
      </c>
      <c r="CF36" s="1077" t="s">
        <v>445</v>
      </c>
    </row>
    <row s="969" customFormat="1" customHeight="1" ht="16.575" hidden="1">
      <c r="E37" s="180">
        <v>17</v>
      </c>
      <c r="F37" s="175" cm="1" t="str">
        <f t="array" ref="F37:F37">OFFSET(G37,-1,-1)</f>
        <v>0</v>
      </c>
      <c r="U37" s="753" cm="1" t="str">
        <f t="array" ref="U37:U37">U36</f>
        <v>false</v>
      </c>
      <c r="AB37" s="349" t="str">
        <f>AB35&amp;".2"</f>
        <v>2.1.2.2</v>
      </c>
      <c r="AC37" s="358" t="s">
        <v>446</v>
      </c>
      <c r="AD37" s="327" t="s">
        <v>447</v>
      </c>
      <c r="AE37" s="71"/>
      <c r="AF37" s="359"/>
      <c r="AG37" s="71"/>
      <c r="AH37" s="71"/>
      <c r="AI37" s="71"/>
      <c r="AJ37" s="71"/>
      <c r="AK37" s="71"/>
      <c r="AL37" s="71"/>
      <c r="AM37" s="71"/>
      <c r="AN37" s="71"/>
      <c r="AO37" s="71"/>
      <c r="AP37" s="71"/>
      <c r="AQ37" s="71"/>
      <c r="AR37" s="71"/>
      <c r="AS37" s="71"/>
      <c r="AT37" s="71"/>
      <c r="AU37" s="71"/>
      <c r="AV37" s="71"/>
      <c r="AW37" s="71"/>
      <c r="AX37" s="71"/>
      <c r="AY37" s="71"/>
      <c r="AZ37" s="353"/>
      <c r="BA37" s="71"/>
      <c r="BB37" s="71"/>
      <c r="BC37" s="71"/>
      <c r="BD37" s="71"/>
      <c r="BE37" s="71"/>
      <c r="BF37" s="71"/>
      <c r="BG37" s="71"/>
      <c r="BH37" s="71"/>
      <c r="BI37" s="71"/>
      <c r="BJ37" s="71"/>
      <c r="BK37" s="71"/>
      <c r="BL37" s="71"/>
      <c r="BM37" s="71"/>
      <c r="BN37" s="71"/>
      <c r="BO37" s="71"/>
      <c r="BP37" s="71"/>
      <c r="BQ37" s="71"/>
      <c r="BR37" s="71"/>
      <c r="BS37" s="71"/>
      <c r="BT37" s="69"/>
      <c r="BW37" s="309" t="s">
        <v>457</v>
      </c>
      <c r="BX37" s="1077" cm="1" t="str">
        <f t="array" ref="BX37:BX37">BX36</f>
        <v>0</v>
      </c>
      <c r="BY37" s="1077" t="s">
        <v>433</v>
      </c>
      <c r="BZ37" s="1077" t="s">
        <v>436</v>
      </c>
      <c r="CA37" s="1077" t="s">
        <v>455</v>
      </c>
      <c r="CB37" s="1077" t="s">
        <v>449</v>
      </c>
      <c r="CC37" s="1077"/>
      <c r="CD37" s="1077" t="s">
        <v>303</v>
      </c>
      <c r="CE37" s="1077" t="s">
        <v>458</v>
      </c>
      <c r="CF37" s="1077" t="s">
        <v>459</v>
      </c>
    </row>
    <row s="969" customFormat="1" customHeight="1" ht="16.575" hidden="1">
      <c r="E38" s="180">
        <v>17</v>
      </c>
      <c r="F38" s="175" cm="1" t="str">
        <f t="array" ref="F38:F38">OFFSET(G38,-1,-1)</f>
        <v>0</v>
      </c>
      <c r="U38" s="753" cm="1" t="str">
        <f t="array" ref="U38:U38">U37</f>
        <v>false</v>
      </c>
      <c r="AB38" s="360" t="s">
        <v>460</v>
      </c>
      <c r="AC38" s="361" t="s">
        <v>461</v>
      </c>
      <c r="AD38" s="360" t="s">
        <v>420</v>
      </c>
      <c r="AE38" s="71">
        <f>1.25*(11*AE40+MAX(0.06*AE40*(AE39-100),0))</f>
        <v>0</v>
      </c>
      <c r="AF38" s="362">
        <f>1.25*(11*AF40+MAX(0.06*AF40*(AF39-100),0))</f>
        <v>0</v>
      </c>
      <c r="AG38" s="68">
        <f>1.25*(11*AG40+MAX(0.06*AG40*(AG39-100),0))</f>
        <v>0</v>
      </c>
      <c r="AH38" s="68">
        <f>1.25*(11*AH40+MAX(0.06*AH40*(AH39-100),0))</f>
        <v>0</v>
      </c>
      <c r="AI38" s="68">
        <f>1.25*(11*AI40+MAX(0.06*AI40*(AI39-100),0))</f>
        <v>0</v>
      </c>
      <c r="AJ38" s="68">
        <f>1.25*(11*AJ40+MAX(0.06*AJ40*(AJ39-100),0))</f>
        <v>0</v>
      </c>
      <c r="AK38" s="68">
        <f>1.25*(11*AK40+MAX(0.06*AK40*(AK39-100),0))</f>
        <v>0</v>
      </c>
      <c r="AL38" s="68">
        <f>1.25*(11*AL40+MAX(0.06*AL40*(AL39-100),0))</f>
        <v>0</v>
      </c>
      <c r="AM38" s="68">
        <f>1.25*(11*AM40+MAX(0.06*AM40*(AM39-100),0))</f>
        <v>0</v>
      </c>
      <c r="AN38" s="68">
        <f>1.25*(11*AN40+MAX(0.06*AN40*(AN39-100),0))</f>
        <v>0</v>
      </c>
      <c r="AO38" s="68">
        <f>1.25*(11*AO40+MAX(0.06*AO40*(AO39-100),0))</f>
        <v>0</v>
      </c>
      <c r="AP38" s="68">
        <f>1.25*(11*AP40+MAX(0.06*AP40*(AP39-100),0))</f>
        <v>0</v>
      </c>
      <c r="AQ38" s="68">
        <f>1.25*(11*AQ40+MAX(0.06*AQ40*(AQ39-100),0))</f>
        <v>0</v>
      </c>
      <c r="AR38" s="68">
        <f>1.25*(11*AR40+MAX(0.06*AR40*(AR39-100),0))</f>
        <v>0</v>
      </c>
      <c r="AS38" s="68">
        <f>1.25*(11*AS40+MAX(0.06*AS40*(AS39-100),0))</f>
        <v>0</v>
      </c>
      <c r="AT38" s="68">
        <f>1.25*(11*AT40+MAX(0.06*AT40*(AT39-100),0))</f>
        <v>0</v>
      </c>
      <c r="AU38" s="68">
        <f>1.25*(11*AU40+MAX(0.06*AU40*(AU39-100),0))</f>
        <v>0</v>
      </c>
      <c r="AV38" s="68">
        <f>1.25*(11*AV40+MAX(0.06*AV40*(AV39-100),0))</f>
        <v>0</v>
      </c>
      <c r="AW38" s="68">
        <f>1.25*(11*AW40+MAX(0.06*AW40*(AW39-100),0))</f>
        <v>0</v>
      </c>
      <c r="AX38" s="68">
        <f>1.25*(11*AX40+MAX(0.06*AX40*(AX39-100),0))</f>
        <v>0</v>
      </c>
      <c r="AY38" s="68">
        <f>1.25*(11*AY40+MAX(0.06*AY40*(AY39-100),0))</f>
        <v>0</v>
      </c>
      <c r="AZ38" s="340">
        <f>1.25*(11*AZ40+MAX(0.06*AZ40*(AZ39-100),0))</f>
        <v>0</v>
      </c>
      <c r="BA38" s="68">
        <f>1.25*(11*BA40+MAX(0.06*BA40*(BA39-100),0))</f>
        <v>0</v>
      </c>
      <c r="BB38" s="68">
        <f>1.25*(11*BB40+MAX(0.06*BB40*(BB39-100),0))</f>
        <v>0</v>
      </c>
      <c r="BC38" s="68">
        <f>1.25*(11*BC40+MAX(0.06*BC40*(BC39-100),0))</f>
        <v>0</v>
      </c>
      <c r="BD38" s="68">
        <f>1.25*(11*BD40+MAX(0.06*BD40*(BD39-100),0))</f>
        <v>0</v>
      </c>
      <c r="BE38" s="68">
        <f>1.25*(11*BE40+MAX(0.06*BE40*(BE39-100),0))</f>
        <v>0</v>
      </c>
      <c r="BF38" s="68">
        <f>1.25*(11*BF40+MAX(0.06*BF40*(BF39-100),0))</f>
        <v>0</v>
      </c>
      <c r="BG38" s="68">
        <f>1.25*(11*BG40+MAX(0.06*BG40*(BG39-100),0))</f>
        <v>0</v>
      </c>
      <c r="BH38" s="68">
        <f>1.25*(11*BH40+MAX(0.06*BH40*(BH39-100),0))</f>
        <v>0</v>
      </c>
      <c r="BI38" s="68">
        <f>1.25*(11*BI40+MAX(0.06*BI40*(BI39-100),0))</f>
        <v>0</v>
      </c>
      <c r="BJ38" s="68">
        <f>1.25*(11*BJ40+MAX(0.06*BJ40*(BJ39-100),0))</f>
        <v>0</v>
      </c>
      <c r="BK38" s="68">
        <f>1.25*(11*BK40+MAX(0.06*BK40*(BK39-100),0))</f>
        <v>0</v>
      </c>
      <c r="BL38" s="68">
        <f>1.25*(11*BL40+MAX(0.06*BL40*(BL39-100),0))</f>
        <v>0</v>
      </c>
      <c r="BM38" s="68">
        <f>1.25*(11*BM40+MAX(0.06*BM40*(BM39-100),0))</f>
        <v>0</v>
      </c>
      <c r="BN38" s="68">
        <f>1.25*(11*BN40+MAX(0.06*BN40*(BN39-100),0))</f>
        <v>0</v>
      </c>
      <c r="BO38" s="68">
        <f>1.25*(11*BO40+MAX(0.06*BO40*(BO39-100),0))</f>
        <v>0</v>
      </c>
      <c r="BP38" s="68">
        <f>1.25*(11*BP40+MAX(0.06*BP40*(BP39-100),0))</f>
        <v>0</v>
      </c>
      <c r="BQ38" s="68">
        <f>1.25*(11*BQ40+MAX(0.06*BQ40*(BQ39-100),0))</f>
        <v>0</v>
      </c>
      <c r="BR38" s="68">
        <f>1.25*(11*BR40+MAX(0.06*BR40*(BR39-100),0))</f>
        <v>0</v>
      </c>
      <c r="BS38" s="68">
        <f>1.25*(11*BS40+MAX(0.06*BS40*(BS39-100),0))</f>
        <v>0</v>
      </c>
      <c r="BT38" s="69"/>
      <c r="BW38" s="309" t="s">
        <v>462</v>
      </c>
      <c r="BX38" s="1077" cm="1" t="str">
        <f t="array" ref="BX38:BX38">BX37</f>
        <v>0</v>
      </c>
      <c r="BY38" s="1077" t="s">
        <v>433</v>
      </c>
      <c r="BZ38" s="1077" t="s">
        <v>436</v>
      </c>
      <c r="CA38" s="1077" t="s">
        <v>463</v>
      </c>
      <c r="CB38" s="1077" t="s">
        <v>219</v>
      </c>
      <c r="CC38" s="1077"/>
      <c r="CD38" s="1077" t="s">
        <v>303</v>
      </c>
      <c r="CE38" s="1077" t="s">
        <v>331</v>
      </c>
      <c r="CF38" s="1077" t="s">
        <v>423</v>
      </c>
    </row>
    <row s="969" customFormat="1" customHeight="1" ht="16.575" hidden="1">
      <c r="E39" s="180">
        <v>17</v>
      </c>
      <c r="F39" s="175" cm="1" t="str">
        <f t="array" ref="F39:F39">OFFSET(G39,-1,-1)</f>
        <v>0</v>
      </c>
      <c r="U39" s="753" cm="1" t="str">
        <f t="array" ref="U39:U39">U38</f>
        <v>false</v>
      </c>
      <c r="AB39" s="349" t="str">
        <f>AB38&amp;".1"</f>
        <v>2.1.3.1</v>
      </c>
      <c r="AC39" s="358" t="s">
        <v>441</v>
      </c>
      <c r="AD39" s="327" t="s">
        <v>442</v>
      </c>
      <c r="AE39" s="71"/>
      <c r="AF39" s="363"/>
      <c r="AG39" s="73"/>
      <c r="AH39" s="73"/>
      <c r="AI39" s="73"/>
      <c r="AJ39" s="73"/>
      <c r="AK39" s="73"/>
      <c r="AL39" s="73"/>
      <c r="AM39" s="73"/>
      <c r="AN39" s="73"/>
      <c r="AO39" s="73"/>
      <c r="AP39" s="73"/>
      <c r="AQ39" s="73"/>
      <c r="AR39" s="73"/>
      <c r="AS39" s="73"/>
      <c r="AT39" s="73"/>
      <c r="AU39" s="73"/>
      <c r="AV39" s="73"/>
      <c r="AW39" s="73"/>
      <c r="AX39" s="73"/>
      <c r="AY39" s="73"/>
      <c r="AZ39" s="363"/>
      <c r="BA39" s="73"/>
      <c r="BB39" s="73"/>
      <c r="BC39" s="73"/>
      <c r="BD39" s="73"/>
      <c r="BE39" s="73"/>
      <c r="BF39" s="73"/>
      <c r="BG39" s="73"/>
      <c r="BH39" s="73"/>
      <c r="BI39" s="73"/>
      <c r="BJ39" s="73"/>
      <c r="BK39" s="73"/>
      <c r="BL39" s="73"/>
      <c r="BM39" s="73"/>
      <c r="BN39" s="73"/>
      <c r="BO39" s="73"/>
      <c r="BP39" s="73"/>
      <c r="BQ39" s="73"/>
      <c r="BR39" s="73"/>
      <c r="BS39" s="73"/>
      <c r="BT39" s="69"/>
      <c r="BW39" s="309" t="s">
        <v>464</v>
      </c>
      <c r="BX39" s="1077" cm="1" t="str">
        <f t="array" ref="BX39:BX39">BX38</f>
        <v>0</v>
      </c>
      <c r="BY39" s="1077" t="s">
        <v>433</v>
      </c>
      <c r="BZ39" s="1077" t="s">
        <v>436</v>
      </c>
      <c r="CA39" s="1077" t="s">
        <v>463</v>
      </c>
      <c r="CB39" s="1077" t="s">
        <v>255</v>
      </c>
      <c r="CC39" s="1077"/>
      <c r="CD39" s="1077" t="s">
        <v>303</v>
      </c>
      <c r="CE39" s="1077" t="s">
        <v>444</v>
      </c>
      <c r="CF39" s="1077" t="s">
        <v>445</v>
      </c>
    </row>
    <row s="969" customFormat="1" customHeight="1" ht="16.575" hidden="1">
      <c r="E40" s="180">
        <v>17</v>
      </c>
      <c r="F40" s="175" cm="1" t="str">
        <f t="array" ref="F40:F40">OFFSET(G40,-1,-1)</f>
        <v>0</v>
      </c>
      <c r="U40" s="753" cm="1" t="str">
        <f t="array" ref="U40:U40">U39</f>
        <v>false</v>
      </c>
      <c r="AB40" s="349" t="str">
        <f>AB38&amp;".2"</f>
        <v>2.1.3.2</v>
      </c>
      <c r="AC40" s="358" t="s">
        <v>446</v>
      </c>
      <c r="AD40" s="327" t="s">
        <v>447</v>
      </c>
      <c r="AE40" s="71"/>
      <c r="AF40" s="359"/>
      <c r="AG40" s="74"/>
      <c r="AH40" s="74"/>
      <c r="AI40" s="74"/>
      <c r="AJ40" s="74"/>
      <c r="AK40" s="74"/>
      <c r="AL40" s="74"/>
      <c r="AM40" s="74"/>
      <c r="AN40" s="74"/>
      <c r="AO40" s="74"/>
      <c r="AP40" s="74"/>
      <c r="AQ40" s="74"/>
      <c r="AR40" s="74"/>
      <c r="AS40" s="74"/>
      <c r="AT40" s="74"/>
      <c r="AU40" s="74"/>
      <c r="AV40" s="74"/>
      <c r="AW40" s="74"/>
      <c r="AX40" s="74"/>
      <c r="AY40" s="74"/>
      <c r="AZ40" s="359"/>
      <c r="BA40" s="74"/>
      <c r="BB40" s="74"/>
      <c r="BC40" s="74"/>
      <c r="BD40" s="74"/>
      <c r="BE40" s="74"/>
      <c r="BF40" s="74"/>
      <c r="BG40" s="74"/>
      <c r="BH40" s="74"/>
      <c r="BI40" s="74"/>
      <c r="BJ40" s="74"/>
      <c r="BK40" s="74"/>
      <c r="BL40" s="74"/>
      <c r="BM40" s="74"/>
      <c r="BN40" s="74"/>
      <c r="BO40" s="74"/>
      <c r="BP40" s="74"/>
      <c r="BQ40" s="74"/>
      <c r="BR40" s="74"/>
      <c r="BS40" s="74"/>
      <c r="BT40" s="69"/>
      <c r="BW40" s="309" t="s">
        <v>465</v>
      </c>
      <c r="BX40" s="1077" cm="1" t="str">
        <f t="array" ref="BX40:BX40">BX39</f>
        <v>0</v>
      </c>
      <c r="BY40" s="1077" t="s">
        <v>433</v>
      </c>
      <c r="BZ40" s="1077" t="s">
        <v>436</v>
      </c>
      <c r="CA40" s="1077" t="s">
        <v>463</v>
      </c>
      <c r="CB40" s="1077" t="s">
        <v>449</v>
      </c>
      <c r="CC40" s="1077"/>
      <c r="CD40" s="1077" t="s">
        <v>303</v>
      </c>
      <c r="CE40" s="1077" t="s">
        <v>466</v>
      </c>
      <c r="CF40" s="1077" t="s">
        <v>467</v>
      </c>
    </row>
    <row s="969" customFormat="1" customHeight="1" ht="16.575" hidden="1">
      <c r="E41" s="180">
        <v>17</v>
      </c>
      <c r="F41" s="175" cm="1" t="str">
        <f t="array" ref="F41:F41">OFFSET(G41,-1,-1)</f>
        <v>0</v>
      </c>
      <c r="H41" s="193" t="s">
        <v>418</v>
      </c>
      <c r="I41" s="193" t="str">
        <f>AC41&amp;"::"&amp;AD41</f>
        <v>Четырехтрубные::УЕ</v>
      </c>
      <c r="U41" s="753" cm="1" t="str">
        <f t="array" ref="U41:U41">U40</f>
        <v>false</v>
      </c>
      <c r="AB41" s="360" t="s">
        <v>468</v>
      </c>
      <c r="AC41" s="361" t="s">
        <v>469</v>
      </c>
      <c r="AD41" s="360" t="s">
        <v>420</v>
      </c>
      <c r="AE41" s="71">
        <f>1.5*(11*AE43+MAX(0.06*AE43*(AE42-100),0))</f>
        <v>0</v>
      </c>
      <c r="AF41" s="362">
        <f>1.5*(11*AF43+MAX(0.06*AF43*(AF42-100),0))</f>
        <v>0</v>
      </c>
      <c r="AG41" s="68">
        <f>1.5*(11*AG43+MAX(0.06*AG43*(AG42-100),0))</f>
        <v>0</v>
      </c>
      <c r="AH41" s="68">
        <f>1.5*(11*AH43+MAX(0.06*AH43*(AH42-100),0))</f>
        <v>0</v>
      </c>
      <c r="AI41" s="68">
        <f>1.5*(11*AI43+MAX(0.06*AI43*(AI42-100),0))</f>
        <v>0</v>
      </c>
      <c r="AJ41" s="68">
        <f>1.5*(11*AJ43+MAX(0.06*AJ43*(AJ42-100),0))</f>
        <v>0</v>
      </c>
      <c r="AK41" s="68">
        <f>1.5*(11*AK43+MAX(0.06*AK43*(AK42-100),0))</f>
        <v>0</v>
      </c>
      <c r="AL41" s="68">
        <f>1.5*(11*AL43+MAX(0.06*AL43*(AL42-100),0))</f>
        <v>0</v>
      </c>
      <c r="AM41" s="68">
        <f>1.5*(11*AM43+MAX(0.06*AM43*(AM42-100),0))</f>
        <v>0</v>
      </c>
      <c r="AN41" s="68">
        <f>1.5*(11*AN43+MAX(0.06*AN43*(AN42-100),0))</f>
        <v>0</v>
      </c>
      <c r="AO41" s="68">
        <f>1.5*(11*AO43+MAX(0.06*AO43*(AO42-100),0))</f>
        <v>0</v>
      </c>
      <c r="AP41" s="68">
        <f>1.5*(11*AP43+MAX(0.06*AP43*(AP42-100),0))</f>
        <v>0</v>
      </c>
      <c r="AQ41" s="68">
        <f>1.5*(11*AQ43+MAX(0.06*AQ43*(AQ42-100),0))</f>
        <v>0</v>
      </c>
      <c r="AR41" s="68">
        <f>1.5*(11*AR43+MAX(0.06*AR43*(AR42-100),0))</f>
        <v>0</v>
      </c>
      <c r="AS41" s="68">
        <f>1.5*(11*AS43+MAX(0.06*AS43*(AS42-100),0))</f>
        <v>0</v>
      </c>
      <c r="AT41" s="68">
        <f>1.5*(11*AT43+MAX(0.06*AT43*(AT42-100),0))</f>
        <v>0</v>
      </c>
      <c r="AU41" s="68">
        <f>1.5*(11*AU43+MAX(0.06*AU43*(AU42-100),0))</f>
        <v>0</v>
      </c>
      <c r="AV41" s="68">
        <f>1.5*(11*AV43+MAX(0.06*AV43*(AV42-100),0))</f>
        <v>0</v>
      </c>
      <c r="AW41" s="68">
        <f>1.5*(11*AW43+MAX(0.06*AW43*(AW42-100),0))</f>
        <v>0</v>
      </c>
      <c r="AX41" s="68">
        <f>1.5*(11*AX43+MAX(0.06*AX43*(AX42-100),0))</f>
        <v>0</v>
      </c>
      <c r="AY41" s="68">
        <f>1.5*(11*AY43+MAX(0.06*AY43*(AY42-100),0))</f>
        <v>0</v>
      </c>
      <c r="AZ41" s="340">
        <f>1.5*(11*AZ43+MAX(0.06*AZ43*(AZ42-100),0))</f>
        <v>0</v>
      </c>
      <c r="BA41" s="68">
        <f>1.5*(11*BA43+MAX(0.06*BA43*(BA42-100),0))</f>
        <v>0</v>
      </c>
      <c r="BB41" s="68">
        <f>1.5*(11*BB43+MAX(0.06*BB43*(BB42-100),0))</f>
        <v>0</v>
      </c>
      <c r="BC41" s="68">
        <f>1.5*(11*BC43+MAX(0.06*BC43*(BC42-100),0))</f>
        <v>0</v>
      </c>
      <c r="BD41" s="68">
        <f>1.5*(11*BD43+MAX(0.06*BD43*(BD42-100),0))</f>
        <v>0</v>
      </c>
      <c r="BE41" s="68">
        <f>1.5*(11*BE43+MAX(0.06*BE43*(BE42-100),0))</f>
        <v>0</v>
      </c>
      <c r="BF41" s="68">
        <f>1.5*(11*BF43+MAX(0.06*BF43*(BF42-100),0))</f>
        <v>0</v>
      </c>
      <c r="BG41" s="68">
        <f>1.5*(11*BG43+MAX(0.06*BG43*(BG42-100),0))</f>
        <v>0</v>
      </c>
      <c r="BH41" s="68">
        <f>1.5*(11*BH43+MAX(0.06*BH43*(BH42-100),0))</f>
        <v>0</v>
      </c>
      <c r="BI41" s="68">
        <f>1.5*(11*BI43+MAX(0.06*BI43*(BI42-100),0))</f>
        <v>0</v>
      </c>
      <c r="BJ41" s="68">
        <f>1.5*(11*BJ43+MAX(0.06*BJ43*(BJ42-100),0))</f>
        <v>0</v>
      </c>
      <c r="BK41" s="68">
        <f>1.5*(11*BK43+MAX(0.06*BK43*(BK42-100),0))</f>
        <v>0</v>
      </c>
      <c r="BL41" s="68">
        <f>1.5*(11*BL43+MAX(0.06*BL43*(BL42-100),0))</f>
        <v>0</v>
      </c>
      <c r="BM41" s="68">
        <f>1.5*(11*BM43+MAX(0.06*BM43*(BM42-100),0))</f>
        <v>0</v>
      </c>
      <c r="BN41" s="68">
        <f>1.5*(11*BN43+MAX(0.06*BN43*(BN42-100),0))</f>
        <v>0</v>
      </c>
      <c r="BO41" s="68">
        <f>1.5*(11*BO43+MAX(0.06*BO43*(BO42-100),0))</f>
        <v>0</v>
      </c>
      <c r="BP41" s="68">
        <f>1.5*(11*BP43+MAX(0.06*BP43*(BP42-100),0))</f>
        <v>0</v>
      </c>
      <c r="BQ41" s="68">
        <f>1.5*(11*BQ43+MAX(0.06*BQ43*(BQ42-100),0))</f>
        <v>0</v>
      </c>
      <c r="BR41" s="68">
        <f>1.5*(11*BR43+MAX(0.06*BR43*(BR42-100),0))</f>
        <v>0</v>
      </c>
      <c r="BS41" s="68">
        <f>1.5*(11*BS43+MAX(0.06*BS43*(BS42-100),0))</f>
        <v>0</v>
      </c>
      <c r="BT41" s="69"/>
      <c r="BW41" s="309" t="s">
        <v>470</v>
      </c>
      <c r="BX41" s="1077" cm="1" t="str">
        <f t="array" ref="BX41:BX41">BX40</f>
        <v>0</v>
      </c>
      <c r="BY41" s="1077" t="s">
        <v>433</v>
      </c>
      <c r="BZ41" s="1077" t="s">
        <v>436</v>
      </c>
      <c r="CA41" s="1077" t="s">
        <v>471</v>
      </c>
      <c r="CB41" s="1077" t="s">
        <v>219</v>
      </c>
      <c r="CC41" s="1077"/>
      <c r="CD41" s="1077" t="s">
        <v>303</v>
      </c>
      <c r="CE41" s="1077" t="s">
        <v>331</v>
      </c>
      <c r="CF41" s="1077" t="s">
        <v>423</v>
      </c>
    </row>
    <row s="969" customFormat="1" customHeight="1" ht="16.575" hidden="1">
      <c r="E42" s="180">
        <v>17</v>
      </c>
      <c r="F42" s="175" cm="1" t="str">
        <f t="array" ref="F42:F42">OFFSET(G42,-1,-1)</f>
        <v>0</v>
      </c>
      <c r="U42" s="753" cm="1" t="str">
        <f t="array" ref="U42:U42">U41</f>
        <v>false</v>
      </c>
      <c r="AB42" s="349" t="str">
        <f>AB41&amp;".1"</f>
        <v>2.1.4.1</v>
      </c>
      <c r="AC42" s="358" t="s">
        <v>441</v>
      </c>
      <c r="AD42" s="327" t="s">
        <v>442</v>
      </c>
      <c r="AE42" s="71"/>
      <c r="AF42" s="359"/>
      <c r="AG42" s="74"/>
      <c r="AH42" s="74"/>
      <c r="AI42" s="74"/>
      <c r="AJ42" s="74"/>
      <c r="AK42" s="74"/>
      <c r="AL42" s="74"/>
      <c r="AM42" s="74"/>
      <c r="AN42" s="74"/>
      <c r="AO42" s="74"/>
      <c r="AP42" s="74"/>
      <c r="AQ42" s="74"/>
      <c r="AR42" s="74"/>
      <c r="AS42" s="74"/>
      <c r="AT42" s="74"/>
      <c r="AU42" s="74"/>
      <c r="AV42" s="74"/>
      <c r="AW42" s="74"/>
      <c r="AX42" s="74"/>
      <c r="AY42" s="74"/>
      <c r="AZ42" s="359"/>
      <c r="BA42" s="74"/>
      <c r="BB42" s="74"/>
      <c r="BC42" s="74"/>
      <c r="BD42" s="74"/>
      <c r="BE42" s="74"/>
      <c r="BF42" s="74"/>
      <c r="BG42" s="74"/>
      <c r="BH42" s="74"/>
      <c r="BI42" s="74"/>
      <c r="BJ42" s="74"/>
      <c r="BK42" s="74"/>
      <c r="BL42" s="74"/>
      <c r="BM42" s="74"/>
      <c r="BN42" s="74"/>
      <c r="BO42" s="74"/>
      <c r="BP42" s="74"/>
      <c r="BQ42" s="74"/>
      <c r="BR42" s="74"/>
      <c r="BS42" s="74"/>
      <c r="BT42" s="69"/>
      <c r="BW42" s="309" t="s">
        <v>472</v>
      </c>
      <c r="BX42" s="1077" cm="1" t="str">
        <f t="array" ref="BX42:BX42">BX41</f>
        <v>0</v>
      </c>
      <c r="BY42" s="1077" t="s">
        <v>433</v>
      </c>
      <c r="BZ42" s="1077" t="s">
        <v>436</v>
      </c>
      <c r="CA42" s="1077" t="s">
        <v>471</v>
      </c>
      <c r="CB42" s="1077" t="s">
        <v>255</v>
      </c>
      <c r="CC42" s="1077"/>
      <c r="CD42" s="1077" t="s">
        <v>303</v>
      </c>
      <c r="CE42" s="1077" t="s">
        <v>444</v>
      </c>
      <c r="CF42" s="1077" t="s">
        <v>445</v>
      </c>
    </row>
    <row s="969" customFormat="1" customHeight="1" ht="16.575" hidden="1">
      <c r="E43" s="180">
        <v>17</v>
      </c>
      <c r="F43" s="175" cm="1" t="str">
        <f t="array" ref="F43:F43">OFFSET(G43,-1,-1)</f>
        <v>0</v>
      </c>
      <c r="U43" s="753" cm="1" t="str">
        <f t="array" ref="U43:U43">U42</f>
        <v>false</v>
      </c>
      <c r="AB43" s="349" t="str">
        <f>AB41&amp;".2"</f>
        <v>2.1.4.2</v>
      </c>
      <c r="AC43" s="358" t="s">
        <v>446</v>
      </c>
      <c r="AD43" s="327" t="s">
        <v>447</v>
      </c>
      <c r="AE43" s="71"/>
      <c r="AF43" s="359"/>
      <c r="AG43" s="74"/>
      <c r="AH43" s="74"/>
      <c r="AI43" s="74"/>
      <c r="AJ43" s="74"/>
      <c r="AK43" s="74"/>
      <c r="AL43" s="74"/>
      <c r="AM43" s="74"/>
      <c r="AN43" s="74"/>
      <c r="AO43" s="74"/>
      <c r="AP43" s="74"/>
      <c r="AQ43" s="74"/>
      <c r="AR43" s="74"/>
      <c r="AS43" s="74"/>
      <c r="AT43" s="74"/>
      <c r="AU43" s="74"/>
      <c r="AV43" s="74"/>
      <c r="AW43" s="74"/>
      <c r="AX43" s="74"/>
      <c r="AY43" s="74"/>
      <c r="AZ43" s="359"/>
      <c r="BA43" s="74"/>
      <c r="BB43" s="74"/>
      <c r="BC43" s="74"/>
      <c r="BD43" s="74"/>
      <c r="BE43" s="74"/>
      <c r="BF43" s="74"/>
      <c r="BG43" s="74"/>
      <c r="BH43" s="74"/>
      <c r="BI43" s="74"/>
      <c r="BJ43" s="74"/>
      <c r="BK43" s="74"/>
      <c r="BL43" s="74"/>
      <c r="BM43" s="74"/>
      <c r="BN43" s="74"/>
      <c r="BO43" s="74"/>
      <c r="BP43" s="74"/>
      <c r="BQ43" s="74"/>
      <c r="BR43" s="74"/>
      <c r="BS43" s="74"/>
      <c r="BT43" s="69"/>
      <c r="BW43" s="309" t="s">
        <v>473</v>
      </c>
      <c r="BX43" s="1077" cm="1" t="str">
        <f t="array" ref="BX43:BX43">BX42</f>
        <v>0</v>
      </c>
      <c r="BY43" s="1077" t="s">
        <v>433</v>
      </c>
      <c r="BZ43" s="1077" t="s">
        <v>436</v>
      </c>
      <c r="CA43" s="1077" t="s">
        <v>471</v>
      </c>
      <c r="CB43" s="1077" t="s">
        <v>449</v>
      </c>
      <c r="CC43" s="1077"/>
      <c r="CD43" s="1077" t="s">
        <v>303</v>
      </c>
      <c r="CE43" s="1077" t="s">
        <v>466</v>
      </c>
      <c r="CF43" s="1077" t="s">
        <v>467</v>
      </c>
    </row>
    <row s="969" customFormat="1" customHeight="1" ht="30.225000000000005" hidden="1">
      <c r="E44" s="180">
        <v>31</v>
      </c>
      <c r="F44" s="175" cm="1" t="str">
        <f t="array" ref="F44:F44">OFFSET(G44,-1,-1)</f>
        <v>0</v>
      </c>
      <c r="U44" s="753" cm="1" t="str">
        <f t="array" ref="U44:U44">U43</f>
        <v>false</v>
      </c>
      <c r="AB44" s="364">
        <v>2.2</v>
      </c>
      <c r="AC44" s="365" t="s">
        <v>474</v>
      </c>
      <c r="AD44" s="327" t="s">
        <v>475</v>
      </c>
      <c r="AE44" s="71"/>
      <c r="AF44" s="359"/>
      <c r="AG44" s="71"/>
      <c r="AH44" s="71"/>
      <c r="AI44" s="71"/>
      <c r="AJ44" s="71"/>
      <c r="AK44" s="71"/>
      <c r="AL44" s="71"/>
      <c r="AM44" s="71"/>
      <c r="AN44" s="71"/>
      <c r="AO44" s="71"/>
      <c r="AP44" s="71"/>
      <c r="AQ44" s="71"/>
      <c r="AR44" s="71"/>
      <c r="AS44" s="71"/>
      <c r="AT44" s="71"/>
      <c r="AU44" s="71"/>
      <c r="AV44" s="71"/>
      <c r="AW44" s="71"/>
      <c r="AX44" s="71"/>
      <c r="AY44" s="71"/>
      <c r="AZ44" s="353"/>
      <c r="BA44" s="71"/>
      <c r="BB44" s="71"/>
      <c r="BC44" s="71"/>
      <c r="BD44" s="71"/>
      <c r="BE44" s="71"/>
      <c r="BF44" s="71"/>
      <c r="BG44" s="71"/>
      <c r="BH44" s="71"/>
      <c r="BI44" s="71"/>
      <c r="BJ44" s="71"/>
      <c r="BK44" s="71"/>
      <c r="BL44" s="71"/>
      <c r="BM44" s="71"/>
      <c r="BN44" s="71"/>
      <c r="BO44" s="71"/>
      <c r="BP44" s="71"/>
      <c r="BQ44" s="71"/>
      <c r="BR44" s="71"/>
      <c r="BS44" s="71"/>
      <c r="BT44" s="69"/>
      <c r="BW44" s="309" t="s">
        <v>476</v>
      </c>
      <c r="BX44" s="1077" cm="1" t="str">
        <f t="array" ref="BX44:BX44">BX43</f>
        <v>0</v>
      </c>
      <c r="BY44" s="1077" t="s">
        <v>433</v>
      </c>
      <c r="BZ44" s="1077" t="s">
        <v>477</v>
      </c>
      <c r="CA44" s="1077"/>
      <c r="CB44" s="1077"/>
      <c r="CC44" s="1077"/>
      <c r="CD44" s="1077" t="s">
        <v>303</v>
      </c>
      <c r="CE44" s="1077" t="s">
        <v>331</v>
      </c>
      <c r="CF44" s="1077" t="s">
        <v>423</v>
      </c>
    </row>
    <row s="969" customFormat="1" customHeight="1" ht="39" hidden="1">
      <c r="E45" s="180">
        <v>40</v>
      </c>
      <c r="F45" s="175" cm="1" t="str">
        <f t="array" ref="F45:F45">OFFSET(G45,-1,-1)</f>
        <v>0</v>
      </c>
      <c r="U45" s="753" cm="1" t="str">
        <f t="array" ref="U45:U45">U44</f>
        <v>false</v>
      </c>
      <c r="AB45" s="366">
        <v>2.3</v>
      </c>
      <c r="AC45" s="367" t="s">
        <v>478</v>
      </c>
      <c r="AD45" s="327" t="s">
        <v>479</v>
      </c>
      <c r="AE45" s="71"/>
      <c r="AF45" s="359"/>
      <c r="AG45" s="71"/>
      <c r="AH45" s="71"/>
      <c r="AI45" s="71"/>
      <c r="AJ45" s="71"/>
      <c r="AK45" s="71"/>
      <c r="AL45" s="71"/>
      <c r="AM45" s="71"/>
      <c r="AN45" s="71"/>
      <c r="AO45" s="71"/>
      <c r="AP45" s="71"/>
      <c r="AQ45" s="71"/>
      <c r="AR45" s="71"/>
      <c r="AS45" s="71"/>
      <c r="AT45" s="71"/>
      <c r="AU45" s="71"/>
      <c r="AV45" s="71"/>
      <c r="AW45" s="71"/>
      <c r="AX45" s="71"/>
      <c r="AY45" s="71"/>
      <c r="AZ45" s="353"/>
      <c r="BA45" s="71"/>
      <c r="BB45" s="71"/>
      <c r="BC45" s="71"/>
      <c r="BD45" s="71"/>
      <c r="BE45" s="71"/>
      <c r="BF45" s="71"/>
      <c r="BG45" s="71"/>
      <c r="BH45" s="71"/>
      <c r="BI45" s="71"/>
      <c r="BJ45" s="71"/>
      <c r="BK45" s="71"/>
      <c r="BL45" s="71"/>
      <c r="BM45" s="71"/>
      <c r="BN45" s="71"/>
      <c r="BO45" s="71"/>
      <c r="BP45" s="71"/>
      <c r="BQ45" s="71"/>
      <c r="BR45" s="71"/>
      <c r="BS45" s="71"/>
      <c r="BT45" s="69"/>
      <c r="BW45" s="309" t="s">
        <v>480</v>
      </c>
      <c r="BX45" s="1077" cm="1" t="str">
        <f t="array" ref="BX45:BX45">BX44</f>
        <v>0</v>
      </c>
      <c r="BY45" s="1077" t="s">
        <v>433</v>
      </c>
      <c r="BZ45" s="1077" t="s">
        <v>481</v>
      </c>
      <c r="CA45" s="1077"/>
      <c r="CB45" s="1077"/>
      <c r="CC45" s="1077"/>
      <c r="CD45" s="1077" t="s">
        <v>303</v>
      </c>
      <c r="CE45" s="1077" t="s">
        <v>331</v>
      </c>
      <c r="CF45" s="1077" t="s">
        <v>423</v>
      </c>
    </row>
    <row s="969" customFormat="1" customHeight="1" ht="48.75" hidden="1">
      <c r="E46" s="180">
        <v>50</v>
      </c>
      <c r="F46" s="175" cm="1" t="str">
        <f t="array" ref="F46:F46">OFFSET(G46,-1,-1)</f>
        <v>0</v>
      </c>
      <c r="H46" s="193" t="s">
        <v>418</v>
      </c>
      <c r="I46" s="193"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753" cm="1" t="str">
        <f t="array" ref="U46:U46">U45</f>
        <v>false</v>
      </c>
      <c r="AB46" s="366">
        <v>2.4</v>
      </c>
      <c r="AC46" s="368" t="s">
        <v>482</v>
      </c>
      <c r="AD46" s="369" t="s">
        <v>426</v>
      </c>
      <c r="AE46" s="75"/>
      <c r="AF46" s="353"/>
      <c r="AG46" s="71"/>
      <c r="AH46" s="71"/>
      <c r="AI46" s="71"/>
      <c r="AJ46" s="71"/>
      <c r="AK46" s="71"/>
      <c r="AL46" s="71"/>
      <c r="AM46" s="71"/>
      <c r="AN46" s="71"/>
      <c r="AO46" s="71"/>
      <c r="AP46" s="71"/>
      <c r="AQ46" s="71"/>
      <c r="AR46" s="71"/>
      <c r="AS46" s="71"/>
      <c r="AT46" s="71"/>
      <c r="AU46" s="71"/>
      <c r="AV46" s="71"/>
      <c r="AW46" s="71"/>
      <c r="AX46" s="71"/>
      <c r="AY46" s="71"/>
      <c r="AZ46" s="353"/>
      <c r="BA46" s="71"/>
      <c r="BB46" s="71"/>
      <c r="BC46" s="71"/>
      <c r="BD46" s="71"/>
      <c r="BE46" s="71"/>
      <c r="BF46" s="71"/>
      <c r="BG46" s="71"/>
      <c r="BH46" s="71"/>
      <c r="BI46" s="71"/>
      <c r="BJ46" s="71"/>
      <c r="BK46" s="71"/>
      <c r="BL46" s="71"/>
      <c r="BM46" s="71"/>
      <c r="BN46" s="71"/>
      <c r="BO46" s="71"/>
      <c r="BP46" s="71"/>
      <c r="BQ46" s="71"/>
      <c r="BR46" s="71"/>
      <c r="BS46" s="71"/>
      <c r="BT46" s="69"/>
      <c r="BW46" s="309" t="s">
        <v>483</v>
      </c>
      <c r="BX46" s="1077" cm="1" t="str">
        <f t="array" ref="BX46:BX46">BX45</f>
        <v>0</v>
      </c>
      <c r="BY46" s="1077" t="s">
        <v>433</v>
      </c>
      <c r="BZ46" s="1077"/>
      <c r="CA46" s="1077"/>
      <c r="CB46" s="1077" t="s">
        <v>255</v>
      </c>
      <c r="CC46" s="1077"/>
      <c r="CD46" s="1077" t="s">
        <v>303</v>
      </c>
      <c r="CE46" s="1077" t="s">
        <v>484</v>
      </c>
      <c r="CF46" s="1077" t="s">
        <v>485</v>
      </c>
    </row>
    <row s="969" customFormat="1" customHeight="1" ht="10.5">
      <c r="A47" s="969"/>
      <c r="B47" s="969"/>
      <c r="C47" s="969"/>
      <c r="D47" s="969"/>
      <c r="E47" s="180">
        <v>11</v>
      </c>
      <c r="F47" s="175" cm="1" t="str">
        <f t="array" ref="F47:F47">Y47</f>
        <v>1</v>
      </c>
      <c r="G47" s="969"/>
      <c r="H47" s="969"/>
      <c r="I47" s="969"/>
      <c r="J47" s="969"/>
      <c r="K47" s="969"/>
      <c r="L47" s="969"/>
      <c r="M47" s="969"/>
      <c r="N47" s="969"/>
      <c r="O47" s="969"/>
      <c r="P47" s="969"/>
      <c r="Q47" s="969"/>
      <c r="R47" s="969"/>
      <c r="S47" s="969"/>
      <c r="T47" s="969"/>
      <c r="U47" s="753">
        <f>Y47&gt;0</f>
        <v>1</v>
      </c>
      <c r="V47" s="969"/>
      <c r="W47" s="175" cm="1" t="str">
        <f t="array" ref="W47:W47">'Список объектов'!$AB$30</f>
        <v>Тариф 1 (Теплоснабжение) - Тариф на тепловую энергию (мощность), поставляемую потребителям (Доп. признак не требуется)</v>
      </c>
      <c r="X47" s="969"/>
      <c r="Y47" s="175" t="s">
        <v>308</v>
      </c>
      <c r="Z47" s="969"/>
      <c r="AA47" s="969"/>
      <c r="AB47" s="334" cm="1" t="str">
        <f t="array" ref="AB47:AB47">IF(ISBLANK('Список объектов'!$AB$30),"",'Список объектов'!$AB$30)</f>
        <v>Тариф 1 (Теплоснабжение) - Тариф на тепловую энергию (мощность), поставляемую потребителям (Доп. признак не требуется)</v>
      </c>
      <c r="AC47" s="335"/>
      <c r="AD47" s="336"/>
      <c r="AE47" s="299"/>
      <c r="AF47" s="299"/>
      <c r="AG47" s="299"/>
      <c r="AH47" s="299"/>
      <c r="AI47" s="299"/>
      <c r="AJ47" s="299"/>
      <c r="AK47" s="299"/>
      <c r="AL47" s="299"/>
      <c r="AM47" s="299"/>
      <c r="AN47" s="299"/>
      <c r="AO47" s="299"/>
      <c r="AP47" s="299"/>
      <c r="AQ47" s="299"/>
      <c r="AR47" s="299"/>
      <c r="AS47" s="299"/>
      <c r="AT47" s="299"/>
      <c r="AU47" s="299"/>
      <c r="AV47" s="299"/>
      <c r="AW47" s="299"/>
      <c r="AX47" s="299"/>
      <c r="AY47" s="299"/>
      <c r="AZ47" s="299"/>
      <c r="BA47" s="299"/>
      <c r="BB47" s="299"/>
      <c r="BC47" s="299"/>
      <c r="BD47" s="299"/>
      <c r="BE47" s="299"/>
      <c r="BF47" s="299"/>
      <c r="BG47" s="299"/>
      <c r="BH47" s="299"/>
      <c r="BI47" s="299"/>
      <c r="BJ47" s="299"/>
      <c r="BK47" s="299"/>
      <c r="BL47" s="299"/>
      <c r="BM47" s="299"/>
      <c r="BN47" s="299"/>
      <c r="BO47" s="299"/>
      <c r="BP47" s="299"/>
      <c r="BQ47" s="299"/>
      <c r="BR47" s="299"/>
      <c r="BS47" s="299"/>
      <c r="BT47" s="299"/>
      <c r="BU47" s="969"/>
      <c r="BV47" s="969"/>
      <c r="BW47" s="309"/>
      <c r="BX47" s="969"/>
      <c r="BY47" s="969"/>
      <c r="BZ47" s="969"/>
      <c r="CA47" s="969"/>
      <c r="CB47" s="969"/>
      <c r="CC47" s="969"/>
      <c r="CD47" s="969"/>
      <c r="CE47" s="969"/>
      <c r="CF47" s="969"/>
    </row>
    <row s="969" customFormat="1" customHeight="1" ht="16.5">
      <c r="A48" s="969"/>
      <c r="B48" s="969"/>
      <c r="C48" s="969"/>
      <c r="D48" s="969"/>
      <c r="E48" s="180">
        <v>17</v>
      </c>
      <c r="F48" s="175" cm="1" t="str">
        <f t="array" ref="F48:F48">OFFSET(G48,-1,-1)</f>
        <v>1</v>
      </c>
      <c r="G48" s="193" t="s">
        <v>417</v>
      </c>
      <c r="H48" s="193" t="s">
        <v>418</v>
      </c>
      <c r="I48" s="193" t="str">
        <f>AC48&amp;"::"&amp;AD48</f>
        <v>Количество условных единиц для производства::УЕ</v>
      </c>
      <c r="J48" s="969"/>
      <c r="K48" s="969"/>
      <c r="L48" s="969"/>
      <c r="M48" s="969"/>
      <c r="N48" s="969"/>
      <c r="O48" s="969"/>
      <c r="P48" s="969"/>
      <c r="Q48" s="969"/>
      <c r="R48" s="969"/>
      <c r="S48" s="969"/>
      <c r="T48" s="969"/>
      <c r="U48" s="753" cm="1" t="str">
        <f t="array" ref="U48:U48">U47</f>
        <v>true</v>
      </c>
      <c r="V48" s="969"/>
      <c r="W48" s="969"/>
      <c r="X48" s="969"/>
      <c r="Y48" s="969"/>
      <c r="Z48" s="969"/>
      <c r="AA48" s="969"/>
      <c r="AB48" s="337">
        <v>1</v>
      </c>
      <c r="AC48" s="338" t="s">
        <v>419</v>
      </c>
      <c r="AD48" s="339" t="s">
        <v>420</v>
      </c>
      <c r="AE48" s="1859" cm="1" t="str">
        <f t="array" ref="AE48:AE48">AE49</f>
        <v>4.32</v>
      </c>
      <c r="AF48" s="340" cm="1" t="str">
        <f t="array" ref="AF48:AF48">AF49</f>
        <v>4.32</v>
      </c>
      <c r="AG48" s="1859" cm="1" t="str">
        <f t="array" ref="AG48:AG48">AG49</f>
        <v>0</v>
      </c>
      <c r="AH48" s="1859" cm="1" t="str">
        <f t="array" ref="AH48:AH48">AH49</f>
        <v>0</v>
      </c>
      <c r="AI48" s="1859" cm="1" t="str">
        <f t="array" ref="AI48:AI48">AI49</f>
        <v>0</v>
      </c>
      <c r="AJ48" s="1859" cm="1" t="str">
        <f t="array" ref="AJ48:AJ48">AJ49</f>
        <v>0</v>
      </c>
      <c r="AK48" s="1859" cm="1" t="str">
        <f t="array" ref="AK48:AK48">AK49</f>
        <v>0</v>
      </c>
      <c r="AL48" s="1859" cm="1" t="str">
        <f t="array" ref="AL48:AL48">AL49</f>
        <v>0</v>
      </c>
      <c r="AM48" s="1859" cm="1" t="str">
        <f t="array" ref="AM48:AM48">AM49</f>
        <v>0</v>
      </c>
      <c r="AN48" s="1859" cm="1" t="str">
        <f t="array" ref="AN48:AN48">AN49</f>
        <v>0</v>
      </c>
      <c r="AO48" s="1859" cm="1" t="str">
        <f t="array" ref="AO48:AO48">AO49</f>
        <v>0</v>
      </c>
      <c r="AP48" s="1859" cm="1" t="str">
        <f t="array" ref="AP48:AP48">AP49</f>
        <v>0</v>
      </c>
      <c r="AQ48" s="1859" cm="1" t="str">
        <f t="array" ref="AQ48:AQ48">AQ49</f>
        <v>0</v>
      </c>
      <c r="AR48" s="1859" cm="1" t="str">
        <f t="array" ref="AR48:AR48">AR49</f>
        <v>0</v>
      </c>
      <c r="AS48" s="1859" cm="1" t="str">
        <f t="array" ref="AS48:AS48">AS49</f>
        <v>0</v>
      </c>
      <c r="AT48" s="1859" cm="1" t="str">
        <f t="array" ref="AT48:AT48">AT49</f>
        <v>0</v>
      </c>
      <c r="AU48" s="1859" cm="1" t="str">
        <f t="array" ref="AU48:AU48">AU49</f>
        <v>0</v>
      </c>
      <c r="AV48" s="1859" cm="1" t="str">
        <f t="array" ref="AV48:AV48">AV49</f>
        <v>0</v>
      </c>
      <c r="AW48" s="1859" cm="1" t="str">
        <f t="array" ref="AW48:AW48">AW49</f>
        <v>0</v>
      </c>
      <c r="AX48" s="1859" cm="1" t="str">
        <f t="array" ref="AX48:AX48">AX49</f>
        <v>0</v>
      </c>
      <c r="AY48" s="1859" cm="1" t="str">
        <f t="array" ref="AY48:AY48">AY49</f>
        <v>0</v>
      </c>
      <c r="AZ48" s="340" cm="1" t="str">
        <f t="array" ref="AZ48:AZ48">AZ49</f>
        <v>4.32</v>
      </c>
      <c r="BA48" s="1859" cm="1" t="str">
        <f t="array" ref="BA48:BA48">BA49</f>
        <v>0</v>
      </c>
      <c r="BB48" s="1859" cm="1" t="str">
        <f t="array" ref="BB48:BB48">BB49</f>
        <v>0</v>
      </c>
      <c r="BC48" s="1859" cm="1" t="str">
        <f t="array" ref="BC48:BC48">BC49</f>
        <v>0</v>
      </c>
      <c r="BD48" s="1859" cm="1" t="str">
        <f t="array" ref="BD48:BD48">BD49</f>
        <v>0</v>
      </c>
      <c r="BE48" s="1859" cm="1" t="str">
        <f t="array" ref="BE48:BE48">BE49</f>
        <v>0</v>
      </c>
      <c r="BF48" s="1859" cm="1" t="str">
        <f t="array" ref="BF48:BF48">BF49</f>
        <v>0</v>
      </c>
      <c r="BG48" s="1859" cm="1" t="str">
        <f t="array" ref="BG48:BG48">BG49</f>
        <v>0</v>
      </c>
      <c r="BH48" s="1859" cm="1" t="str">
        <f t="array" ref="BH48:BH48">BH49</f>
        <v>0</v>
      </c>
      <c r="BI48" s="1859" cm="1" t="str">
        <f t="array" ref="BI48:BI48">BI49</f>
        <v>0</v>
      </c>
      <c r="BJ48" s="1859" cm="1" t="str">
        <f t="array" ref="BJ48:BJ48">BJ49</f>
        <v>0</v>
      </c>
      <c r="BK48" s="1859" cm="1" t="str">
        <f t="array" ref="BK48:BK48">BK49</f>
        <v>0</v>
      </c>
      <c r="BL48" s="1859" cm="1" t="str">
        <f t="array" ref="BL48:BL48">BL49</f>
        <v>0</v>
      </c>
      <c r="BM48" s="1859" cm="1" t="str">
        <f t="array" ref="BM48:BM48">BM49</f>
        <v>0</v>
      </c>
      <c r="BN48" s="1859" cm="1" t="str">
        <f t="array" ref="BN48:BN48">BN49</f>
        <v>0</v>
      </c>
      <c r="BO48" s="1859" cm="1" t="str">
        <f t="array" ref="BO48:BO48">BO49</f>
        <v>0</v>
      </c>
      <c r="BP48" s="1859" cm="1" t="str">
        <f t="array" ref="BP48:BP48">BP49</f>
        <v>0</v>
      </c>
      <c r="BQ48" s="1859" cm="1" t="str">
        <f t="array" ref="BQ48:BQ48">BQ49</f>
        <v>0</v>
      </c>
      <c r="BR48" s="1859" cm="1" t="str">
        <f t="array" ref="BR48:BR48">BR49</f>
        <v>0</v>
      </c>
      <c r="BS48" s="1859" cm="1" t="str">
        <f t="array" ref="BS48:BS48">BS49</f>
        <v>0</v>
      </c>
      <c r="BT48" s="1861"/>
      <c r="BU48" s="969"/>
      <c r="BV48" s="969"/>
      <c r="BW48" s="309" t="s">
        <v>421</v>
      </c>
      <c r="BX48" s="1077" cm="1" t="str">
        <f t="array" ref="BX48:BX48">INDEX('Общие сведения'!$N$170:$N$202,MATCH($F48,'Общие сведения'!$Y$170:$Y$202,0)+1)</f>
        <v>ТЭ.42.31656254.0001</v>
      </c>
      <c r="BY48" s="1077" t="s">
        <v>422</v>
      </c>
      <c r="BZ48" s="1077"/>
      <c r="CA48" s="1077"/>
      <c r="CB48" s="1077" t="s">
        <v>219</v>
      </c>
      <c r="CC48" s="1077"/>
      <c r="CD48" s="1077" t="s">
        <v>303</v>
      </c>
      <c r="CE48" s="1077" t="s">
        <v>331</v>
      </c>
      <c r="CF48" s="1077" t="s">
        <v>423</v>
      </c>
    </row>
    <row s="969" customFormat="1" customHeight="1" ht="16.5">
      <c r="A49" s="969"/>
      <c r="B49" s="969"/>
      <c r="C49" s="969"/>
      <c r="D49" s="969"/>
      <c r="E49" s="180">
        <v>17</v>
      </c>
      <c r="F49" s="175" cm="1" t="str">
        <f t="array" ref="F49:F49">OFFSET(G49,-1,-1)</f>
        <v>1</v>
      </c>
      <c r="G49" s="193" t="s">
        <v>424</v>
      </c>
      <c r="H49" s="193" t="s">
        <v>418</v>
      </c>
      <c r="I49" s="193" t="str">
        <f>AC49&amp;"::"&amp;AD49</f>
        <v>Установленная тепловая мощность::Гкал/час</v>
      </c>
      <c r="J49" s="969"/>
      <c r="K49" s="969"/>
      <c r="L49" s="969"/>
      <c r="M49" s="969"/>
      <c r="N49" s="969"/>
      <c r="O49" s="969"/>
      <c r="P49" s="969"/>
      <c r="Q49" s="969"/>
      <c r="R49" s="969"/>
      <c r="S49" s="969"/>
      <c r="T49" s="969"/>
      <c r="U49" s="753" cm="1" t="str">
        <f t="array" ref="U49:U49">U48</f>
        <v>true</v>
      </c>
      <c r="V49" s="969"/>
      <c r="W49" s="969"/>
      <c r="X49" s="969"/>
      <c r="Y49" s="969"/>
      <c r="Z49" s="969"/>
      <c r="AA49" s="969"/>
      <c r="AB49" s="339">
        <v>1.1</v>
      </c>
      <c r="AC49" s="341" t="s">
        <v>425</v>
      </c>
      <c r="AD49" s="339" t="s">
        <v>426</v>
      </c>
      <c r="AE49" s="1859">
        <v>4.32</v>
      </c>
      <c r="AF49" s="340">
        <v>4.32</v>
      </c>
      <c r="AG49" s="1859"/>
      <c r="AH49" s="1859"/>
      <c r="AI49" s="1859"/>
      <c r="AJ49" s="1859"/>
      <c r="AK49" s="1859"/>
      <c r="AL49" s="1859"/>
      <c r="AM49" s="1859"/>
      <c r="AN49" s="1859"/>
      <c r="AO49" s="1859"/>
      <c r="AP49" s="1859"/>
      <c r="AQ49" s="1859"/>
      <c r="AR49" s="1859"/>
      <c r="AS49" s="1859"/>
      <c r="AT49" s="1859"/>
      <c r="AU49" s="1859"/>
      <c r="AV49" s="1859"/>
      <c r="AW49" s="1859"/>
      <c r="AX49" s="1859"/>
      <c r="AY49" s="1859"/>
      <c r="AZ49" s="340">
        <v>4.32</v>
      </c>
      <c r="BA49" s="1859"/>
      <c r="BB49" s="1859"/>
      <c r="BC49" s="1859"/>
      <c r="BD49" s="1859"/>
      <c r="BE49" s="1859"/>
      <c r="BF49" s="1859"/>
      <c r="BG49" s="1859"/>
      <c r="BH49" s="1859"/>
      <c r="BI49" s="1859"/>
      <c r="BJ49" s="1859"/>
      <c r="BK49" s="1859"/>
      <c r="BL49" s="1859"/>
      <c r="BM49" s="1859"/>
      <c r="BN49" s="1859"/>
      <c r="BO49" s="1859"/>
      <c r="BP49" s="1859"/>
      <c r="BQ49" s="1859"/>
      <c r="BR49" s="1859"/>
      <c r="BS49" s="1859"/>
      <c r="BT49" s="1861"/>
      <c r="BU49" s="969"/>
      <c r="BV49" s="969"/>
      <c r="BW49" s="309" t="s">
        <v>427</v>
      </c>
      <c r="BX49" s="1077" cm="1" t="str">
        <f t="array" ref="BX49:BX49">BX48</f>
        <v>ТЭ.42.31656254.0001</v>
      </c>
      <c r="BY49" s="1077" t="s">
        <v>422</v>
      </c>
      <c r="BZ49" s="1077"/>
      <c r="CA49" s="1077"/>
      <c r="CB49" s="1077" t="s">
        <v>255</v>
      </c>
      <c r="CC49" s="1077"/>
      <c r="CD49" s="1077" t="s">
        <v>303</v>
      </c>
      <c r="CE49" s="1077" t="s">
        <v>428</v>
      </c>
      <c r="CF49" s="1077" t="s">
        <v>429</v>
      </c>
    </row>
    <row s="969" customFormat="1" customHeight="1" ht="16.5">
      <c r="A50" s="969"/>
      <c r="B50" s="969"/>
      <c r="C50" s="969"/>
      <c r="D50" s="969"/>
      <c r="E50" s="180">
        <v>17</v>
      </c>
      <c r="F50" s="175" cm="1" t="str">
        <f t="array" ref="F50:F50">OFFSET(G50,-1,-1)</f>
        <v>1</v>
      </c>
      <c r="G50" s="193" t="s">
        <v>430</v>
      </c>
      <c r="H50" s="969"/>
      <c r="I50" s="969"/>
      <c r="J50" s="969"/>
      <c r="K50" s="969"/>
      <c r="L50" s="969"/>
      <c r="M50" s="969"/>
      <c r="N50" s="969"/>
      <c r="O50" s="969"/>
      <c r="P50" s="969"/>
      <c r="Q50" s="969"/>
      <c r="R50" s="969"/>
      <c r="S50" s="969"/>
      <c r="T50" s="969"/>
      <c r="U50" s="753" cm="1" t="str">
        <f t="array" ref="U50:U50">U49</f>
        <v>true</v>
      </c>
      <c r="V50" s="969"/>
      <c r="W50" s="969"/>
      <c r="X50" s="969"/>
      <c r="Y50" s="969"/>
      <c r="Z50" s="969"/>
      <c r="AA50" s="969"/>
      <c r="AB50" s="342">
        <v>2</v>
      </c>
      <c r="AC50" s="343" t="s">
        <v>431</v>
      </c>
      <c r="AD50" s="339" t="s">
        <v>420</v>
      </c>
      <c r="AE50" s="1859">
        <f>AE51+5*AE64+25*AE65+0.5*AE66</f>
        <v>7.6</v>
      </c>
      <c r="AF50" s="340">
        <f>AF51+5*AF64+25*AF65+0.5*AF66</f>
        <v>7.6</v>
      </c>
      <c r="AG50" s="1859">
        <f>AG51+5*AG64+25*AG65+0.5*AG66</f>
        <v>0</v>
      </c>
      <c r="AH50" s="1859">
        <f>AH51+5*AH64+25*AH65+0.5*AH66</f>
        <v>0</v>
      </c>
      <c r="AI50" s="1859">
        <f>AI51+5*AI64+25*AI65+0.5*AI66</f>
        <v>0</v>
      </c>
      <c r="AJ50" s="1859">
        <f>AJ51+5*AJ64+25*AJ65+0.5*AJ66</f>
        <v>0</v>
      </c>
      <c r="AK50" s="1859">
        <f>AK51+5*AK64+25*AK65+0.5*AK66</f>
        <v>0</v>
      </c>
      <c r="AL50" s="1859">
        <f>AL51+5*AL64+25*AL65+0.5*AL66</f>
        <v>0</v>
      </c>
      <c r="AM50" s="1859">
        <f>AM51+5*AM64+25*AM65+0.5*AM66</f>
        <v>0</v>
      </c>
      <c r="AN50" s="1859">
        <f>AN51+5*AN64+25*AN65+0.5*AN66</f>
        <v>0</v>
      </c>
      <c r="AO50" s="1859">
        <f>AO51+5*AO64+25*AO65+0.5*AO66</f>
        <v>0</v>
      </c>
      <c r="AP50" s="1859">
        <f>AP51+5*AP64+25*AP65+0.5*AP66</f>
        <v>0</v>
      </c>
      <c r="AQ50" s="1859">
        <f>AQ51+5*AQ64+25*AQ65+0.5*AQ66</f>
        <v>0</v>
      </c>
      <c r="AR50" s="1859">
        <f>AR51+5*AR64+25*AR65+0.5*AR66</f>
        <v>0</v>
      </c>
      <c r="AS50" s="1859">
        <f>AS51+5*AS64+25*AS65+0.5*AS66</f>
        <v>0</v>
      </c>
      <c r="AT50" s="1859">
        <f>AT51+5*AT64+25*AT65+0.5*AT66</f>
        <v>0</v>
      </c>
      <c r="AU50" s="1859">
        <f>AU51+5*AU64+25*AU65+0.5*AU66</f>
        <v>0</v>
      </c>
      <c r="AV50" s="1859">
        <f>AV51+5*AV64+25*AV65+0.5*AV66</f>
        <v>0</v>
      </c>
      <c r="AW50" s="1859">
        <f>AW51+5*AW64+25*AW65+0.5*AW66</f>
        <v>0</v>
      </c>
      <c r="AX50" s="1859">
        <f>AX51+5*AX64+25*AX65+0.5*AX66</f>
        <v>0</v>
      </c>
      <c r="AY50" s="1859">
        <f>AY51+5*AY64+25*AY65+0.5*AY66</f>
        <v>0</v>
      </c>
      <c r="AZ50" s="340">
        <f>AZ51+5*AZ64+25*AZ65+0.5*AZ66</f>
        <v>7.6</v>
      </c>
      <c r="BA50" s="1859">
        <f>BA51+5*BA64+25*BA65+0.5*BA66</f>
        <v>0</v>
      </c>
      <c r="BB50" s="1859">
        <f>BB51+5*BB64+25*BB65+0.5*BB66</f>
        <v>0</v>
      </c>
      <c r="BC50" s="1859">
        <f>BC51+5*BC64+25*BC65+0.5*BC66</f>
        <v>0</v>
      </c>
      <c r="BD50" s="1859">
        <f>BD51+5*BD64+25*BD65+0.5*BD66</f>
        <v>0</v>
      </c>
      <c r="BE50" s="1859">
        <f>BE51+5*BE64+25*BE65+0.5*BE66</f>
        <v>0</v>
      </c>
      <c r="BF50" s="1859">
        <f>BF51+5*BF64+25*BF65+0.5*BF66</f>
        <v>0</v>
      </c>
      <c r="BG50" s="1859">
        <f>BG51+5*BG64+25*BG65+0.5*BG66</f>
        <v>0</v>
      </c>
      <c r="BH50" s="1859">
        <f>BH51+5*BH64+25*BH65+0.5*BH66</f>
        <v>0</v>
      </c>
      <c r="BI50" s="1859">
        <f>BI51+5*BI64+25*BI65+0.5*BI66</f>
        <v>0</v>
      </c>
      <c r="BJ50" s="1859">
        <f>BJ51+5*BJ64+25*BJ65+0.5*BJ66</f>
        <v>0</v>
      </c>
      <c r="BK50" s="1859">
        <f>BK51+5*BK64+25*BK65+0.5*BK66</f>
        <v>0</v>
      </c>
      <c r="BL50" s="1859">
        <f>BL51+5*BL64+25*BL65+0.5*BL66</f>
        <v>0</v>
      </c>
      <c r="BM50" s="1859">
        <f>BM51+5*BM64+25*BM65+0.5*BM66</f>
        <v>0</v>
      </c>
      <c r="BN50" s="1859">
        <f>BN51+5*BN64+25*BN65+0.5*BN66</f>
        <v>0</v>
      </c>
      <c r="BO50" s="1859">
        <f>BO51+5*BO64+25*BO65+0.5*BO66</f>
        <v>0</v>
      </c>
      <c r="BP50" s="1859">
        <f>BP51+5*BP64+25*BP65+0.5*BP66</f>
        <v>0</v>
      </c>
      <c r="BQ50" s="1859">
        <f>BQ51+5*BQ64+25*BQ65+0.5*BQ66</f>
        <v>0</v>
      </c>
      <c r="BR50" s="1859">
        <f>BR51+5*BR64+25*BR65+0.5*BR66</f>
        <v>0</v>
      </c>
      <c r="BS50" s="1859">
        <f>BS51+5*BS64+25*BS65+0.5*BS66</f>
        <v>0</v>
      </c>
      <c r="BT50" s="1861"/>
      <c r="BU50" s="969"/>
      <c r="BV50" s="969"/>
      <c r="BW50" s="309" t="s">
        <v>432</v>
      </c>
      <c r="BX50" s="1077" cm="1" t="str">
        <f t="array" ref="BX50:BX50">BX49</f>
        <v>ТЭ.42.31656254.0001</v>
      </c>
      <c r="BY50" s="1077" t="s">
        <v>433</v>
      </c>
      <c r="BZ50" s="1077"/>
      <c r="CA50" s="1077"/>
      <c r="CB50" s="1077" t="s">
        <v>219</v>
      </c>
      <c r="CC50" s="1077"/>
      <c r="CD50" s="1077" t="s">
        <v>303</v>
      </c>
      <c r="CE50" s="1077" t="s">
        <v>331</v>
      </c>
      <c r="CF50" s="1077" t="s">
        <v>423</v>
      </c>
    </row>
    <row s="969" customFormat="1" customHeight="1" ht="16.5">
      <c r="A51" s="969"/>
      <c r="B51" s="969"/>
      <c r="C51" s="969"/>
      <c r="D51" s="969"/>
      <c r="E51" s="180">
        <v>17</v>
      </c>
      <c r="F51" s="175" cm="1" t="str">
        <f t="array" ref="F51:F51">OFFSET(G51,-1,-1)</f>
        <v>1</v>
      </c>
      <c r="G51" s="969"/>
      <c r="H51" s="969"/>
      <c r="I51" s="969"/>
      <c r="J51" s="969"/>
      <c r="K51" s="969"/>
      <c r="L51" s="969"/>
      <c r="M51" s="969"/>
      <c r="N51" s="969"/>
      <c r="O51" s="969"/>
      <c r="P51" s="969"/>
      <c r="Q51" s="969"/>
      <c r="R51" s="969"/>
      <c r="S51" s="969"/>
      <c r="T51" s="969"/>
      <c r="U51" s="753" cm="1" t="str">
        <f t="array" ref="U51:U51">U50</f>
        <v>true</v>
      </c>
      <c r="V51" s="969"/>
      <c r="W51" s="969"/>
      <c r="X51" s="969"/>
      <c r="Y51" s="969"/>
      <c r="Z51" s="969"/>
      <c r="AA51" s="969"/>
      <c r="AB51" s="344">
        <v>2.1</v>
      </c>
      <c r="AC51" s="345" t="s">
        <v>434</v>
      </c>
      <c r="AD51" s="339" t="s">
        <v>420</v>
      </c>
      <c r="AE51" s="346">
        <f>AE52+AE55+AE58+AE61</f>
        <v>7.6</v>
      </c>
      <c r="AF51" s="346">
        <f>AF52+AF55+AF58+AF61</f>
        <v>7.6</v>
      </c>
      <c r="AG51" s="346">
        <f>AG52+AG55+AG58+AG61</f>
        <v>0</v>
      </c>
      <c r="AH51" s="346">
        <f>AH52+AH55+AH58+AH61</f>
        <v>0</v>
      </c>
      <c r="AI51" s="346">
        <f>AI52+AI55+AI58+AI61</f>
        <v>0</v>
      </c>
      <c r="AJ51" s="346">
        <f>AJ52+AJ55+AJ58+AJ61</f>
        <v>0</v>
      </c>
      <c r="AK51" s="346">
        <f>AK52+AK55+AK58+AK61</f>
        <v>0</v>
      </c>
      <c r="AL51" s="346">
        <f>AL52+AL55+AL58+AL61</f>
        <v>0</v>
      </c>
      <c r="AM51" s="346">
        <f>AM52+AM55+AM58+AM61</f>
        <v>0</v>
      </c>
      <c r="AN51" s="346">
        <f>AN52+AN55+AN58+AN61</f>
        <v>0</v>
      </c>
      <c r="AO51" s="346">
        <f>AO52+AO55+AO58+AO61</f>
        <v>0</v>
      </c>
      <c r="AP51" s="346">
        <f>AP52+AP55+AP58+AP61</f>
        <v>0</v>
      </c>
      <c r="AQ51" s="346">
        <f>AQ52+AQ55+AQ58+AQ61</f>
        <v>0</v>
      </c>
      <c r="AR51" s="346">
        <f>AR52+AR55+AR58+AR61</f>
        <v>0</v>
      </c>
      <c r="AS51" s="346">
        <f>AS52+AS55+AS58+AS61</f>
        <v>0</v>
      </c>
      <c r="AT51" s="346">
        <f>AT52+AT55+AT58+AT61</f>
        <v>0</v>
      </c>
      <c r="AU51" s="346">
        <f>AU52+AU55+AU58+AU61</f>
        <v>0</v>
      </c>
      <c r="AV51" s="346">
        <f>AV52+AV55+AV58+AV61</f>
        <v>0</v>
      </c>
      <c r="AW51" s="346">
        <f>AW52+AW55+AW58+AW61</f>
        <v>0</v>
      </c>
      <c r="AX51" s="346">
        <f>AX52+AX55+AX58+AX61</f>
        <v>0</v>
      </c>
      <c r="AY51" s="346">
        <f>AY52+AY55+AY58+AY61</f>
        <v>0</v>
      </c>
      <c r="AZ51" s="346">
        <f>AZ52+AZ55+AZ58+AZ61</f>
        <v>7.6</v>
      </c>
      <c r="BA51" s="346">
        <f>BA52+BA55+BA58+BA61</f>
        <v>0</v>
      </c>
      <c r="BB51" s="346">
        <f>BB52+BB55+BB58+BB61</f>
        <v>0</v>
      </c>
      <c r="BC51" s="346">
        <f>BC52+BC55+BC58+BC61</f>
        <v>0</v>
      </c>
      <c r="BD51" s="346">
        <f>BD52+BD55+BD58+BD61</f>
        <v>0</v>
      </c>
      <c r="BE51" s="346">
        <f>BE52+BE55+BE58+BE61</f>
        <v>0</v>
      </c>
      <c r="BF51" s="346">
        <f>BF52+BF55+BF58+BF61</f>
        <v>0</v>
      </c>
      <c r="BG51" s="346">
        <f>BG52+BG55+BG58+BG61</f>
        <v>0</v>
      </c>
      <c r="BH51" s="346">
        <f>BH52+BH55+BH58+BH61</f>
        <v>0</v>
      </c>
      <c r="BI51" s="346">
        <f>BI52+BI55+BI58+BI61</f>
        <v>0</v>
      </c>
      <c r="BJ51" s="346">
        <f>BJ52+BJ55+BJ58+BJ61</f>
        <v>0</v>
      </c>
      <c r="BK51" s="346">
        <f>BK52+BK55+BK58+BK61</f>
        <v>0</v>
      </c>
      <c r="BL51" s="346">
        <f>BL52+BL55+BL58+BL61</f>
        <v>0</v>
      </c>
      <c r="BM51" s="346">
        <f>BM52+BM55+BM58+BM61</f>
        <v>0</v>
      </c>
      <c r="BN51" s="346">
        <f>BN52+BN55+BN58+BN61</f>
        <v>0</v>
      </c>
      <c r="BO51" s="346">
        <f>BO52+BO55+BO58+BO61</f>
        <v>0</v>
      </c>
      <c r="BP51" s="346">
        <f>BP52+BP55+BP58+BP61</f>
        <v>0</v>
      </c>
      <c r="BQ51" s="346">
        <f>BQ52+BQ55+BQ58+BQ61</f>
        <v>0</v>
      </c>
      <c r="BR51" s="346">
        <f>BR52+BR55+BR58+BR61</f>
        <v>0</v>
      </c>
      <c r="BS51" s="346">
        <f>BS52+BS55+BS58+BS61</f>
        <v>0</v>
      </c>
      <c r="BT51" s="1861"/>
      <c r="BU51" s="969"/>
      <c r="BV51" s="969"/>
      <c r="BW51" s="309" t="s">
        <v>435</v>
      </c>
      <c r="BX51" s="1077" cm="1" t="str">
        <f t="array" ref="BX51:BX51">BX50</f>
        <v>ТЭ.42.31656254.0001</v>
      </c>
      <c r="BY51" s="1077" t="s">
        <v>433</v>
      </c>
      <c r="BZ51" s="1077" t="s">
        <v>436</v>
      </c>
      <c r="CA51" s="1077"/>
      <c r="CB51" s="1077"/>
      <c r="CC51" s="1077"/>
      <c r="CD51" s="1077" t="s">
        <v>303</v>
      </c>
      <c r="CE51" s="1077" t="s">
        <v>331</v>
      </c>
      <c r="CF51" s="1077" t="s">
        <v>423</v>
      </c>
    </row>
    <row s="969" customFormat="1" customHeight="1" ht="16.5">
      <c r="A52" s="969"/>
      <c r="B52" s="969"/>
      <c r="C52" s="969"/>
      <c r="D52" s="969"/>
      <c r="E52" s="180">
        <v>17</v>
      </c>
      <c r="F52" s="175" cm="1" t="str">
        <f t="array" ref="F52:F52">OFFSET(G52,-1,-1)</f>
        <v>1</v>
      </c>
      <c r="G52" s="969"/>
      <c r="H52" s="969"/>
      <c r="I52" s="969"/>
      <c r="J52" s="969"/>
      <c r="K52" s="969"/>
      <c r="L52" s="969"/>
      <c r="M52" s="969"/>
      <c r="N52" s="969"/>
      <c r="O52" s="969"/>
      <c r="P52" s="969"/>
      <c r="Q52" s="969"/>
      <c r="R52" s="969"/>
      <c r="S52" s="969"/>
      <c r="T52" s="969"/>
      <c r="U52" s="753" cm="1" t="str">
        <f t="array" ref="U52:U52">U51</f>
        <v>true</v>
      </c>
      <c r="V52" s="969"/>
      <c r="W52" s="969"/>
      <c r="X52" s="969"/>
      <c r="Y52" s="969"/>
      <c r="Z52" s="969"/>
      <c r="AA52" s="969"/>
      <c r="AB52" s="347" t="s">
        <v>437</v>
      </c>
      <c r="AC52" s="348" t="s">
        <v>438</v>
      </c>
      <c r="AD52" s="339" t="s">
        <v>420</v>
      </c>
      <c r="AE52" s="1859">
        <f>0.75*(11*AE54+MAX(0.06*AE54*(AE53-100),0))</f>
        <v>0</v>
      </c>
      <c r="AF52" s="340">
        <f>0.75*(11*AF54+MAX(0.06*AF54*(AF53-100),0))</f>
        <v>0</v>
      </c>
      <c r="AG52" s="1859">
        <f>0.75*(11*AG54+MAX(0.06*AG54*(AG53-100),0))</f>
        <v>0</v>
      </c>
      <c r="AH52" s="1859">
        <f>0.75*(11*AH54+MAX(0.06*AH54*(AH53-100),0))</f>
        <v>0</v>
      </c>
      <c r="AI52" s="1859">
        <f>0.75*(11*AI54+MAX(0.06*AI54*(AI53-100),0))</f>
        <v>0</v>
      </c>
      <c r="AJ52" s="1859">
        <f>0.75*(11*AJ54+MAX(0.06*AJ54*(AJ53-100),0))</f>
        <v>0</v>
      </c>
      <c r="AK52" s="1859">
        <f>0.75*(11*AK54+MAX(0.06*AK54*(AK53-100),0))</f>
        <v>0</v>
      </c>
      <c r="AL52" s="1859">
        <f>0.75*(11*AL54+MAX(0.06*AL54*(AL53-100),0))</f>
        <v>0</v>
      </c>
      <c r="AM52" s="1859">
        <f>0.75*(11*AM54+MAX(0.06*AM54*(AM53-100),0))</f>
        <v>0</v>
      </c>
      <c r="AN52" s="1859">
        <f>0.75*(11*AN54+MAX(0.06*AN54*(AN53-100),0))</f>
        <v>0</v>
      </c>
      <c r="AO52" s="1859">
        <f>0.75*(11*AO54+MAX(0.06*AO54*(AO53-100),0))</f>
        <v>0</v>
      </c>
      <c r="AP52" s="1859">
        <f>0.75*(11*AP54+MAX(0.06*AP54*(AP53-100),0))</f>
        <v>0</v>
      </c>
      <c r="AQ52" s="1859">
        <f>0.75*(11*AQ54+MAX(0.06*AQ54*(AQ53-100),0))</f>
        <v>0</v>
      </c>
      <c r="AR52" s="1859">
        <f>0.75*(11*AR54+MAX(0.06*AR54*(AR53-100),0))</f>
        <v>0</v>
      </c>
      <c r="AS52" s="1859">
        <f>0.75*(11*AS54+MAX(0.06*AS54*(AS53-100),0))</f>
        <v>0</v>
      </c>
      <c r="AT52" s="1859">
        <f>0.75*(11*AT54+MAX(0.06*AT54*(AT53-100),0))</f>
        <v>0</v>
      </c>
      <c r="AU52" s="1859">
        <f>0.75*(11*AU54+MAX(0.06*AU54*(AU53-100),0))</f>
        <v>0</v>
      </c>
      <c r="AV52" s="1859">
        <f>0.75*(11*AV54+MAX(0.06*AV54*(AV53-100),0))</f>
        <v>0</v>
      </c>
      <c r="AW52" s="1859">
        <f>0.75*(11*AW54+MAX(0.06*AW54*(AW53-100),0))</f>
        <v>0</v>
      </c>
      <c r="AX52" s="1859">
        <f>0.75*(11*AX54+MAX(0.06*AX54*(AX53-100),0))</f>
        <v>0</v>
      </c>
      <c r="AY52" s="1859">
        <f>0.75*(11*AY54+MAX(0.06*AY54*(AY53-100),0))</f>
        <v>0</v>
      </c>
      <c r="AZ52" s="340">
        <f>0.75*(11*AZ54+MAX(0.06*AZ54*(AZ53-100),0))</f>
        <v>0</v>
      </c>
      <c r="BA52" s="1859">
        <f>0.75*(11*BA54+MAX(0.06*BA54*(BA53-100),0))</f>
        <v>0</v>
      </c>
      <c r="BB52" s="1859">
        <f>0.75*(11*BB54+MAX(0.06*BB54*(BB53-100),0))</f>
        <v>0</v>
      </c>
      <c r="BC52" s="1859">
        <f>0.75*(11*BC54+MAX(0.06*BC54*(BC53-100),0))</f>
        <v>0</v>
      </c>
      <c r="BD52" s="1859">
        <f>0.75*(11*BD54+MAX(0.06*BD54*(BD53-100),0))</f>
        <v>0</v>
      </c>
      <c r="BE52" s="1859">
        <f>0.75*(11*BE54+MAX(0.06*BE54*(BE53-100),0))</f>
        <v>0</v>
      </c>
      <c r="BF52" s="1859">
        <f>0.75*(11*BF54+MAX(0.06*BF54*(BF53-100),0))</f>
        <v>0</v>
      </c>
      <c r="BG52" s="1859">
        <f>0.75*(11*BG54+MAX(0.06*BG54*(BG53-100),0))</f>
        <v>0</v>
      </c>
      <c r="BH52" s="1859">
        <f>0.75*(11*BH54+MAX(0.06*BH54*(BH53-100),0))</f>
        <v>0</v>
      </c>
      <c r="BI52" s="1859">
        <f>0.75*(11*BI54+MAX(0.06*BI54*(BI53-100),0))</f>
        <v>0</v>
      </c>
      <c r="BJ52" s="1859">
        <f>0.75*(11*BJ54+MAX(0.06*BJ54*(BJ53-100),0))</f>
        <v>0</v>
      </c>
      <c r="BK52" s="1859">
        <f>0.75*(11*BK54+MAX(0.06*BK54*(BK53-100),0))</f>
        <v>0</v>
      </c>
      <c r="BL52" s="1859">
        <f>0.75*(11*BL54+MAX(0.06*BL54*(BL53-100),0))</f>
        <v>0</v>
      </c>
      <c r="BM52" s="1859">
        <f>0.75*(11*BM54+MAX(0.06*BM54*(BM53-100),0))</f>
        <v>0</v>
      </c>
      <c r="BN52" s="1859">
        <f>0.75*(11*BN54+MAX(0.06*BN54*(BN53-100),0))</f>
        <v>0</v>
      </c>
      <c r="BO52" s="1859">
        <f>0.75*(11*BO54+MAX(0.06*BO54*(BO53-100),0))</f>
        <v>0</v>
      </c>
      <c r="BP52" s="1859">
        <f>0.75*(11*BP54+MAX(0.06*BP54*(BP53-100),0))</f>
        <v>0</v>
      </c>
      <c r="BQ52" s="1859">
        <f>0.75*(11*BQ54+MAX(0.06*BQ54*(BQ53-100),0))</f>
        <v>0</v>
      </c>
      <c r="BR52" s="1859">
        <f>0.75*(11*BR54+MAX(0.06*BR54*(BR53-100),0))</f>
        <v>0</v>
      </c>
      <c r="BS52" s="1859">
        <f>0.75*(11*BS54+MAX(0.06*BS54*(BS53-100),0))</f>
        <v>0</v>
      </c>
      <c r="BT52" s="1861"/>
      <c r="BU52" s="969"/>
      <c r="BV52" s="969"/>
      <c r="BW52" s="309" t="s">
        <v>439</v>
      </c>
      <c r="BX52" s="1077" cm="1" t="str">
        <f t="array" ref="BX52:BX52">BX51</f>
        <v>ТЭ.42.31656254.0001</v>
      </c>
      <c r="BY52" s="1077" t="s">
        <v>433</v>
      </c>
      <c r="BZ52" s="1077" t="s">
        <v>436</v>
      </c>
      <c r="CA52" s="1077" t="s">
        <v>440</v>
      </c>
      <c r="CB52" s="1077" t="s">
        <v>219</v>
      </c>
      <c r="CC52" s="1077"/>
      <c r="CD52" s="1077" t="s">
        <v>303</v>
      </c>
      <c r="CE52" s="1077" t="s">
        <v>331</v>
      </c>
      <c r="CF52" s="1077" t="s">
        <v>423</v>
      </c>
    </row>
    <row s="969" customFormat="1" customHeight="1" ht="16.5">
      <c r="A53" s="969"/>
      <c r="B53" s="969"/>
      <c r="C53" s="969"/>
      <c r="D53" s="969"/>
      <c r="E53" s="180">
        <v>17</v>
      </c>
      <c r="F53" s="175" cm="1" t="str">
        <f t="array" ref="F53:F53">OFFSET(G53,-1,-1)</f>
        <v>1</v>
      </c>
      <c r="G53" s="969"/>
      <c r="H53" s="969"/>
      <c r="I53" s="969"/>
      <c r="J53" s="969"/>
      <c r="K53" s="969"/>
      <c r="L53" s="969"/>
      <c r="M53" s="969"/>
      <c r="N53" s="969"/>
      <c r="O53" s="969"/>
      <c r="P53" s="969"/>
      <c r="Q53" s="969"/>
      <c r="R53" s="969"/>
      <c r="S53" s="969"/>
      <c r="T53" s="969"/>
      <c r="U53" s="753" cm="1" t="str">
        <f t="array" ref="U53:U53">U52</f>
        <v>true</v>
      </c>
      <c r="V53" s="969"/>
      <c r="W53" s="969"/>
      <c r="X53" s="969"/>
      <c r="Y53" s="969"/>
      <c r="Z53" s="969"/>
      <c r="AA53" s="969"/>
      <c r="AB53" s="349" t="str">
        <f>AB52&amp;".1"</f>
        <v>2.1.1.1</v>
      </c>
      <c r="AC53" s="350" t="s">
        <v>441</v>
      </c>
      <c r="AD53" s="327" t="s">
        <v>442</v>
      </c>
      <c r="AE53" s="1862"/>
      <c r="AF53" s="351"/>
      <c r="AG53" s="1862"/>
      <c r="AH53" s="1862"/>
      <c r="AI53" s="1862"/>
      <c r="AJ53" s="1862"/>
      <c r="AK53" s="1862"/>
      <c r="AL53" s="1862"/>
      <c r="AM53" s="1862"/>
      <c r="AN53" s="1862"/>
      <c r="AO53" s="1862"/>
      <c r="AP53" s="1862"/>
      <c r="AQ53" s="1862"/>
      <c r="AR53" s="1862"/>
      <c r="AS53" s="1862"/>
      <c r="AT53" s="1862"/>
      <c r="AU53" s="1862"/>
      <c r="AV53" s="1862"/>
      <c r="AW53" s="1862"/>
      <c r="AX53" s="1862"/>
      <c r="AY53" s="1862"/>
      <c r="AZ53" s="351"/>
      <c r="BA53" s="1862"/>
      <c r="BB53" s="1862"/>
      <c r="BC53" s="1862"/>
      <c r="BD53" s="1862"/>
      <c r="BE53" s="1862"/>
      <c r="BF53" s="1862"/>
      <c r="BG53" s="1862"/>
      <c r="BH53" s="1862"/>
      <c r="BI53" s="1862"/>
      <c r="BJ53" s="1862"/>
      <c r="BK53" s="1862"/>
      <c r="BL53" s="1862"/>
      <c r="BM53" s="1862"/>
      <c r="BN53" s="1862"/>
      <c r="BO53" s="1862"/>
      <c r="BP53" s="1862"/>
      <c r="BQ53" s="1862"/>
      <c r="BR53" s="1862"/>
      <c r="BS53" s="1862"/>
      <c r="BT53" s="1861"/>
      <c r="BU53" s="969"/>
      <c r="BV53" s="969"/>
      <c r="BW53" s="309" t="s">
        <v>443</v>
      </c>
      <c r="BX53" s="1077" cm="1" t="str">
        <f t="array" ref="BX53:BX53">BX52</f>
        <v>ТЭ.42.31656254.0001</v>
      </c>
      <c r="BY53" s="1077" t="s">
        <v>433</v>
      </c>
      <c r="BZ53" s="1077" t="s">
        <v>436</v>
      </c>
      <c r="CA53" s="1077" t="s">
        <v>440</v>
      </c>
      <c r="CB53" s="1077" t="s">
        <v>255</v>
      </c>
      <c r="CC53" s="1077"/>
      <c r="CD53" s="1077" t="s">
        <v>303</v>
      </c>
      <c r="CE53" s="1077" t="s">
        <v>444</v>
      </c>
      <c r="CF53" s="1077" t="s">
        <v>445</v>
      </c>
    </row>
    <row s="969" customFormat="1" customHeight="1" ht="16.5">
      <c r="A54" s="969"/>
      <c r="B54" s="969"/>
      <c r="C54" s="969"/>
      <c r="D54" s="969"/>
      <c r="E54" s="180">
        <v>17</v>
      </c>
      <c r="F54" s="175" cm="1" t="str">
        <f t="array" ref="F54:F54">OFFSET(G54,-1,-1)</f>
        <v>1</v>
      </c>
      <c r="G54" s="969"/>
      <c r="H54" s="969"/>
      <c r="I54" s="969"/>
      <c r="J54" s="969"/>
      <c r="K54" s="969"/>
      <c r="L54" s="969"/>
      <c r="M54" s="969"/>
      <c r="N54" s="969"/>
      <c r="O54" s="969"/>
      <c r="P54" s="969"/>
      <c r="Q54" s="969"/>
      <c r="R54" s="969"/>
      <c r="S54" s="969"/>
      <c r="T54" s="969"/>
      <c r="U54" s="753" cm="1" t="str">
        <f t="array" ref="U54:U54">U53</f>
        <v>true</v>
      </c>
      <c r="V54" s="969"/>
      <c r="W54" s="969"/>
      <c r="X54" s="969"/>
      <c r="Y54" s="969"/>
      <c r="Z54" s="969"/>
      <c r="AA54" s="969"/>
      <c r="AB54" s="349" t="str">
        <f>AB52&amp;".2"</f>
        <v>2.1.1.2</v>
      </c>
      <c r="AC54" s="350" t="s">
        <v>446</v>
      </c>
      <c r="AD54" s="352" t="s">
        <v>447</v>
      </c>
      <c r="AE54" s="1864"/>
      <c r="AF54" s="353"/>
      <c r="AG54" s="1864"/>
      <c r="AH54" s="1864"/>
      <c r="AI54" s="1864"/>
      <c r="AJ54" s="1864"/>
      <c r="AK54" s="1864"/>
      <c r="AL54" s="1864"/>
      <c r="AM54" s="1864"/>
      <c r="AN54" s="1864"/>
      <c r="AO54" s="1864"/>
      <c r="AP54" s="1864"/>
      <c r="AQ54" s="1864"/>
      <c r="AR54" s="1864"/>
      <c r="AS54" s="1864"/>
      <c r="AT54" s="1864"/>
      <c r="AU54" s="1864"/>
      <c r="AV54" s="1864"/>
      <c r="AW54" s="1864"/>
      <c r="AX54" s="1864"/>
      <c r="AY54" s="1864"/>
      <c r="AZ54" s="353"/>
      <c r="BA54" s="1864"/>
      <c r="BB54" s="1864"/>
      <c r="BC54" s="1864"/>
      <c r="BD54" s="1864"/>
      <c r="BE54" s="1864"/>
      <c r="BF54" s="1864"/>
      <c r="BG54" s="1864"/>
      <c r="BH54" s="1864"/>
      <c r="BI54" s="1864"/>
      <c r="BJ54" s="1864"/>
      <c r="BK54" s="1864"/>
      <c r="BL54" s="1864"/>
      <c r="BM54" s="1864"/>
      <c r="BN54" s="1864"/>
      <c r="BO54" s="1864"/>
      <c r="BP54" s="1864"/>
      <c r="BQ54" s="1864"/>
      <c r="BR54" s="1864"/>
      <c r="BS54" s="1864"/>
      <c r="BT54" s="1861"/>
      <c r="BU54" s="969"/>
      <c r="BV54" s="969"/>
      <c r="BW54" s="309" t="s">
        <v>448</v>
      </c>
      <c r="BX54" s="1077" cm="1" t="str">
        <f t="array" ref="BX54:BX54">BX53</f>
        <v>ТЭ.42.31656254.0001</v>
      </c>
      <c r="BY54" s="1077" t="s">
        <v>433</v>
      </c>
      <c r="BZ54" s="1077" t="s">
        <v>436</v>
      </c>
      <c r="CA54" s="1077" t="s">
        <v>440</v>
      </c>
      <c r="CB54" s="1077" t="s">
        <v>449</v>
      </c>
      <c r="CC54" s="1077"/>
      <c r="CD54" s="1077" t="s">
        <v>303</v>
      </c>
      <c r="CE54" s="1077" t="s">
        <v>450</v>
      </c>
      <c r="CF54" s="1077" t="s">
        <v>451</v>
      </c>
    </row>
    <row s="969" customFormat="1" customHeight="1" ht="16.5">
      <c r="A55" s="969"/>
      <c r="B55" s="969"/>
      <c r="C55" s="969"/>
      <c r="D55" s="969"/>
      <c r="E55" s="180">
        <v>17</v>
      </c>
      <c r="F55" s="175" cm="1" t="str">
        <f t="array" ref="F55:F55">OFFSET(G55,-1,-1)</f>
        <v>1</v>
      </c>
      <c r="G55" s="969"/>
      <c r="H55" s="969"/>
      <c r="I55" s="969"/>
      <c r="J55" s="969"/>
      <c r="K55" s="969"/>
      <c r="L55" s="969"/>
      <c r="M55" s="969"/>
      <c r="N55" s="969"/>
      <c r="O55" s="969"/>
      <c r="P55" s="969"/>
      <c r="Q55" s="969"/>
      <c r="R55" s="969"/>
      <c r="S55" s="969"/>
      <c r="T55" s="969"/>
      <c r="U55" s="753" cm="1" t="str">
        <f t="array" ref="U55:U55">U54</f>
        <v>true</v>
      </c>
      <c r="V55" s="969"/>
      <c r="W55" s="969"/>
      <c r="X55" s="969"/>
      <c r="Y55" s="969"/>
      <c r="Z55" s="969"/>
      <c r="AA55" s="969"/>
      <c r="AB55" s="354" t="s">
        <v>452</v>
      </c>
      <c r="AC55" s="355" t="s">
        <v>453</v>
      </c>
      <c r="AD55" s="339" t="s">
        <v>420</v>
      </c>
      <c r="AE55" s="1859">
        <f>(11*AE57+MAX(0.06*AE57*(AE56-100),0))</f>
        <v>7.6</v>
      </c>
      <c r="AF55" s="340">
        <f>(11*AF57+MAX(0.06*AF57*(AF56-100),0))</f>
        <v>7.6</v>
      </c>
      <c r="AG55" s="1859">
        <f>(11*AG57+MAX(0.06*AG57*(AG56-100),0))</f>
        <v>0</v>
      </c>
      <c r="AH55" s="1859">
        <f>(11*AH57+MAX(0.06*AH57*(AH56-100),0))</f>
        <v>0</v>
      </c>
      <c r="AI55" s="1859">
        <f>(11*AI57+MAX(0.06*AI57*(AI56-100),0))</f>
        <v>0</v>
      </c>
      <c r="AJ55" s="1859">
        <f>(11*AJ57+MAX(0.06*AJ57*(AJ56-100),0))</f>
        <v>0</v>
      </c>
      <c r="AK55" s="1859">
        <f>(11*AK57+MAX(0.06*AK57*(AK56-100),0))</f>
        <v>0</v>
      </c>
      <c r="AL55" s="1859">
        <f>(11*AL57+MAX(0.06*AL57*(AL56-100),0))</f>
        <v>0</v>
      </c>
      <c r="AM55" s="1859">
        <f>(11*AM57+MAX(0.06*AM57*(AM56-100),0))</f>
        <v>0</v>
      </c>
      <c r="AN55" s="1859">
        <f>(11*AN57+MAX(0.06*AN57*(AN56-100),0))</f>
        <v>0</v>
      </c>
      <c r="AO55" s="1859">
        <f>(11*AO57+MAX(0.06*AO57*(AO56-100),0))</f>
        <v>0</v>
      </c>
      <c r="AP55" s="1859">
        <f>(11*AP57+MAX(0.06*AP57*(AP56-100),0))</f>
        <v>0</v>
      </c>
      <c r="AQ55" s="1859">
        <f>(11*AQ57+MAX(0.06*AQ57*(AQ56-100),0))</f>
        <v>0</v>
      </c>
      <c r="AR55" s="1859">
        <f>(11*AR57+MAX(0.06*AR57*(AR56-100),0))</f>
        <v>0</v>
      </c>
      <c r="AS55" s="1859">
        <f>(11*AS57+MAX(0.06*AS57*(AS56-100),0))</f>
        <v>0</v>
      </c>
      <c r="AT55" s="1859">
        <f>(11*AT57+MAX(0.06*AT57*(AT56-100),0))</f>
        <v>0</v>
      </c>
      <c r="AU55" s="1859">
        <f>(11*AU57+MAX(0.06*AU57*(AU56-100),0))</f>
        <v>0</v>
      </c>
      <c r="AV55" s="1859">
        <f>(11*AV57+MAX(0.06*AV57*(AV56-100),0))</f>
        <v>0</v>
      </c>
      <c r="AW55" s="1859">
        <f>(11*AW57+MAX(0.06*AW57*(AW56-100),0))</f>
        <v>0</v>
      </c>
      <c r="AX55" s="1859">
        <f>(11*AX57+MAX(0.06*AX57*(AX56-100),0))</f>
        <v>0</v>
      </c>
      <c r="AY55" s="1859">
        <f>(11*AY57+MAX(0.06*AY57*(AY56-100),0))</f>
        <v>0</v>
      </c>
      <c r="AZ55" s="340">
        <f>(11*AZ57+MAX(0.06*AZ57*(AZ56-100),0))</f>
        <v>7.6</v>
      </c>
      <c r="BA55" s="1859">
        <f>(11*BA57+MAX(0.06*BA57*(BA56-100),0))</f>
        <v>0</v>
      </c>
      <c r="BB55" s="1859">
        <f>(11*BB57+MAX(0.06*BB57*(BB56-100),0))</f>
        <v>0</v>
      </c>
      <c r="BC55" s="1859">
        <f>(11*BC57+MAX(0.06*BC57*(BC56-100),0))</f>
        <v>0</v>
      </c>
      <c r="BD55" s="1859">
        <f>(11*BD57+MAX(0.06*BD57*(BD56-100),0))</f>
        <v>0</v>
      </c>
      <c r="BE55" s="1859">
        <f>(11*BE57+MAX(0.06*BE57*(BE56-100),0))</f>
        <v>0</v>
      </c>
      <c r="BF55" s="1859">
        <f>(11*BF57+MAX(0.06*BF57*(BF56-100),0))</f>
        <v>0</v>
      </c>
      <c r="BG55" s="1859">
        <f>(11*BG57+MAX(0.06*BG57*(BG56-100),0))</f>
        <v>0</v>
      </c>
      <c r="BH55" s="1859">
        <f>(11*BH57+MAX(0.06*BH57*(BH56-100),0))</f>
        <v>0</v>
      </c>
      <c r="BI55" s="1859">
        <f>(11*BI57+MAX(0.06*BI57*(BI56-100),0))</f>
        <v>0</v>
      </c>
      <c r="BJ55" s="1859">
        <f>(11*BJ57+MAX(0.06*BJ57*(BJ56-100),0))</f>
        <v>0</v>
      </c>
      <c r="BK55" s="1859">
        <f>(11*BK57+MAX(0.06*BK57*(BK56-100),0))</f>
        <v>0</v>
      </c>
      <c r="BL55" s="1859">
        <f>(11*BL57+MAX(0.06*BL57*(BL56-100),0))</f>
        <v>0</v>
      </c>
      <c r="BM55" s="1859">
        <f>(11*BM57+MAX(0.06*BM57*(BM56-100),0))</f>
        <v>0</v>
      </c>
      <c r="BN55" s="1859">
        <f>(11*BN57+MAX(0.06*BN57*(BN56-100),0))</f>
        <v>0</v>
      </c>
      <c r="BO55" s="1859">
        <f>(11*BO57+MAX(0.06*BO57*(BO56-100),0))</f>
        <v>0</v>
      </c>
      <c r="BP55" s="1859">
        <f>(11*BP57+MAX(0.06*BP57*(BP56-100),0))</f>
        <v>0</v>
      </c>
      <c r="BQ55" s="1859">
        <f>(11*BQ57+MAX(0.06*BQ57*(BQ56-100),0))</f>
        <v>0</v>
      </c>
      <c r="BR55" s="1859">
        <f>(11*BR57+MAX(0.06*BR57*(BR56-100),0))</f>
        <v>0</v>
      </c>
      <c r="BS55" s="1859">
        <f>(11*BS57+MAX(0.06*BS57*(BS56-100),0))</f>
        <v>0</v>
      </c>
      <c r="BT55" s="1861"/>
      <c r="BU55" s="969"/>
      <c r="BV55" s="969"/>
      <c r="BW55" s="309" t="s">
        <v>454</v>
      </c>
      <c r="BX55" s="1077" cm="1" t="str">
        <f t="array" ref="BX55:BX55">BX54</f>
        <v>ТЭ.42.31656254.0001</v>
      </c>
      <c r="BY55" s="1077" t="s">
        <v>433</v>
      </c>
      <c r="BZ55" s="1077" t="s">
        <v>436</v>
      </c>
      <c r="CA55" s="1077" t="s">
        <v>455</v>
      </c>
      <c r="CB55" s="1077" t="s">
        <v>219</v>
      </c>
      <c r="CC55" s="1077"/>
      <c r="CD55" s="1077" t="s">
        <v>303</v>
      </c>
      <c r="CE55" s="1077" t="s">
        <v>331</v>
      </c>
      <c r="CF55" s="1077" t="s">
        <v>423</v>
      </c>
    </row>
    <row s="969" customFormat="1" customHeight="1" ht="16.5">
      <c r="A56" s="969"/>
      <c r="B56" s="969"/>
      <c r="C56" s="969"/>
      <c r="D56" s="969"/>
      <c r="E56" s="180">
        <v>17</v>
      </c>
      <c r="F56" s="175" cm="1" t="str">
        <f t="array" ref="F56:F56">OFFSET(G56,-1,-1)</f>
        <v>1</v>
      </c>
      <c r="G56" s="969"/>
      <c r="H56" s="969"/>
      <c r="I56" s="969"/>
      <c r="J56" s="969"/>
      <c r="K56" s="969"/>
      <c r="L56" s="969"/>
      <c r="M56" s="969"/>
      <c r="N56" s="969"/>
      <c r="O56" s="969"/>
      <c r="P56" s="969"/>
      <c r="Q56" s="969"/>
      <c r="R56" s="969"/>
      <c r="S56" s="969"/>
      <c r="T56" s="969"/>
      <c r="U56" s="753" cm="1" t="str">
        <f t="array" ref="U56:U56">U55</f>
        <v>true</v>
      </c>
      <c r="V56" s="969"/>
      <c r="W56" s="969"/>
      <c r="X56" s="969"/>
      <c r="Y56" s="969"/>
      <c r="Z56" s="969"/>
      <c r="AA56" s="969"/>
      <c r="AB56" s="349" t="str">
        <f>AB55&amp;".1"</f>
        <v>2.1.2.1</v>
      </c>
      <c r="AC56" s="350" t="s">
        <v>441</v>
      </c>
      <c r="AD56" s="356" t="s">
        <v>442</v>
      </c>
      <c r="AE56" s="1866">
        <v>250</v>
      </c>
      <c r="AF56" s="353">
        <v>250</v>
      </c>
      <c r="AG56" s="1864"/>
      <c r="AH56" s="1864"/>
      <c r="AI56" s="1864"/>
      <c r="AJ56" s="1864"/>
      <c r="AK56" s="1864"/>
      <c r="AL56" s="1864"/>
      <c r="AM56" s="1864"/>
      <c r="AN56" s="1864"/>
      <c r="AO56" s="1864"/>
      <c r="AP56" s="1864"/>
      <c r="AQ56" s="1864"/>
      <c r="AR56" s="1864"/>
      <c r="AS56" s="1864"/>
      <c r="AT56" s="1864"/>
      <c r="AU56" s="1864"/>
      <c r="AV56" s="1864"/>
      <c r="AW56" s="1864"/>
      <c r="AX56" s="1864"/>
      <c r="AY56" s="1864"/>
      <c r="AZ56" s="353">
        <v>250</v>
      </c>
      <c r="BA56" s="1864"/>
      <c r="BB56" s="1864"/>
      <c r="BC56" s="1864"/>
      <c r="BD56" s="1864"/>
      <c r="BE56" s="1864"/>
      <c r="BF56" s="1864"/>
      <c r="BG56" s="1864"/>
      <c r="BH56" s="1864"/>
      <c r="BI56" s="1864"/>
      <c r="BJ56" s="1864"/>
      <c r="BK56" s="1864"/>
      <c r="BL56" s="1864"/>
      <c r="BM56" s="1864"/>
      <c r="BN56" s="1864"/>
      <c r="BO56" s="1864"/>
      <c r="BP56" s="1864"/>
      <c r="BQ56" s="1864"/>
      <c r="BR56" s="1864"/>
      <c r="BS56" s="1864"/>
      <c r="BT56" s="1861"/>
      <c r="BU56" s="969"/>
      <c r="BV56" s="969"/>
      <c r="BW56" s="309" t="s">
        <v>456</v>
      </c>
      <c r="BX56" s="1077" cm="1" t="str">
        <f t="array" ref="BX56:BX56">BX55</f>
        <v>ТЭ.42.31656254.0001</v>
      </c>
      <c r="BY56" s="1077" t="s">
        <v>433</v>
      </c>
      <c r="BZ56" s="1077" t="s">
        <v>436</v>
      </c>
      <c r="CA56" s="1077" t="s">
        <v>455</v>
      </c>
      <c r="CB56" s="1077" t="s">
        <v>255</v>
      </c>
      <c r="CC56" s="1077"/>
      <c r="CD56" s="1077" t="s">
        <v>303</v>
      </c>
      <c r="CE56" s="1077" t="s">
        <v>444</v>
      </c>
      <c r="CF56" s="1077" t="s">
        <v>445</v>
      </c>
    </row>
    <row s="969" customFormat="1" customHeight="1" ht="16.5">
      <c r="A57" s="969"/>
      <c r="B57" s="969"/>
      <c r="C57" s="969"/>
      <c r="D57" s="969"/>
      <c r="E57" s="180">
        <v>17</v>
      </c>
      <c r="F57" s="175" cm="1" t="str">
        <f t="array" ref="F57:F57">OFFSET(G57,-1,-1)</f>
        <v>1</v>
      </c>
      <c r="G57" s="969"/>
      <c r="H57" s="969"/>
      <c r="I57" s="969"/>
      <c r="J57" s="969"/>
      <c r="K57" s="969"/>
      <c r="L57" s="969"/>
      <c r="M57" s="969"/>
      <c r="N57" s="969"/>
      <c r="O57" s="969"/>
      <c r="P57" s="969"/>
      <c r="Q57" s="969"/>
      <c r="R57" s="969"/>
      <c r="S57" s="969"/>
      <c r="T57" s="969"/>
      <c r="U57" s="753" cm="1" t="str">
        <f t="array" ref="U57:U57">U56</f>
        <v>true</v>
      </c>
      <c r="V57" s="969"/>
      <c r="W57" s="969"/>
      <c r="X57" s="969"/>
      <c r="Y57" s="969"/>
      <c r="Z57" s="969"/>
      <c r="AA57" s="969"/>
      <c r="AB57" s="349" t="str">
        <f>AB55&amp;".2"</f>
        <v>2.1.2.2</v>
      </c>
      <c r="AC57" s="358" t="s">
        <v>446</v>
      </c>
      <c r="AD57" s="327" t="s">
        <v>447</v>
      </c>
      <c r="AE57" s="1864">
        <v>0.38</v>
      </c>
      <c r="AF57" s="359">
        <v>0.38</v>
      </c>
      <c r="AG57" s="1864"/>
      <c r="AH57" s="1864"/>
      <c r="AI57" s="1864"/>
      <c r="AJ57" s="1864"/>
      <c r="AK57" s="1864"/>
      <c r="AL57" s="1864"/>
      <c r="AM57" s="1864"/>
      <c r="AN57" s="1864"/>
      <c r="AO57" s="1864"/>
      <c r="AP57" s="1864"/>
      <c r="AQ57" s="1864"/>
      <c r="AR57" s="1864"/>
      <c r="AS57" s="1864"/>
      <c r="AT57" s="1864"/>
      <c r="AU57" s="1864"/>
      <c r="AV57" s="1864"/>
      <c r="AW57" s="1864"/>
      <c r="AX57" s="1864"/>
      <c r="AY57" s="1864"/>
      <c r="AZ57" s="353">
        <v>0.38</v>
      </c>
      <c r="BA57" s="1864"/>
      <c r="BB57" s="1864"/>
      <c r="BC57" s="1864"/>
      <c r="BD57" s="1864"/>
      <c r="BE57" s="1864"/>
      <c r="BF57" s="1864"/>
      <c r="BG57" s="1864"/>
      <c r="BH57" s="1864"/>
      <c r="BI57" s="1864"/>
      <c r="BJ57" s="1864"/>
      <c r="BK57" s="1864"/>
      <c r="BL57" s="1864"/>
      <c r="BM57" s="1864"/>
      <c r="BN57" s="1864"/>
      <c r="BO57" s="1864"/>
      <c r="BP57" s="1864"/>
      <c r="BQ57" s="1864"/>
      <c r="BR57" s="1864"/>
      <c r="BS57" s="1864"/>
      <c r="BT57" s="1861"/>
      <c r="BU57" s="969"/>
      <c r="BV57" s="969"/>
      <c r="BW57" s="309" t="s">
        <v>457</v>
      </c>
      <c r="BX57" s="1077" cm="1" t="str">
        <f t="array" ref="BX57:BX57">BX56</f>
        <v>ТЭ.42.31656254.0001</v>
      </c>
      <c r="BY57" s="1077" t="s">
        <v>433</v>
      </c>
      <c r="BZ57" s="1077" t="s">
        <v>436</v>
      </c>
      <c r="CA57" s="1077" t="s">
        <v>455</v>
      </c>
      <c r="CB57" s="1077" t="s">
        <v>449</v>
      </c>
      <c r="CC57" s="1077"/>
      <c r="CD57" s="1077" t="s">
        <v>303</v>
      </c>
      <c r="CE57" s="1077" t="s">
        <v>458</v>
      </c>
      <c r="CF57" s="1077" t="s">
        <v>459</v>
      </c>
    </row>
    <row s="969" customFormat="1" customHeight="1" ht="16.5">
      <c r="A58" s="969"/>
      <c r="B58" s="969"/>
      <c r="C58" s="969"/>
      <c r="D58" s="969"/>
      <c r="E58" s="180">
        <v>17</v>
      </c>
      <c r="F58" s="175" cm="1" t="str">
        <f t="array" ref="F58:F58">OFFSET(G58,-1,-1)</f>
        <v>1</v>
      </c>
      <c r="G58" s="969"/>
      <c r="H58" s="969"/>
      <c r="I58" s="969"/>
      <c r="J58" s="969"/>
      <c r="K58" s="969"/>
      <c r="L58" s="969"/>
      <c r="M58" s="969"/>
      <c r="N58" s="969"/>
      <c r="O58" s="969"/>
      <c r="P58" s="969"/>
      <c r="Q58" s="969"/>
      <c r="R58" s="969"/>
      <c r="S58" s="969"/>
      <c r="T58" s="969"/>
      <c r="U58" s="753" cm="1" t="str">
        <f t="array" ref="U58:U58">U57</f>
        <v>true</v>
      </c>
      <c r="V58" s="969"/>
      <c r="W58" s="969"/>
      <c r="X58" s="969"/>
      <c r="Y58" s="969"/>
      <c r="Z58" s="969"/>
      <c r="AA58" s="969"/>
      <c r="AB58" s="360" t="s">
        <v>460</v>
      </c>
      <c r="AC58" s="361" t="s">
        <v>461</v>
      </c>
      <c r="AD58" s="360" t="s">
        <v>420</v>
      </c>
      <c r="AE58" s="1864">
        <f>1.25*(11*AE60+MAX(0.06*AE60*(AE59-100),0))</f>
        <v>0</v>
      </c>
      <c r="AF58" s="362">
        <f>1.25*(11*AF60+MAX(0.06*AF60*(AF59-100),0))</f>
        <v>0</v>
      </c>
      <c r="AG58" s="1859">
        <f>1.25*(11*AG60+MAX(0.06*AG60*(AG59-100),0))</f>
        <v>0</v>
      </c>
      <c r="AH58" s="1859">
        <f>1.25*(11*AH60+MAX(0.06*AH60*(AH59-100),0))</f>
        <v>0</v>
      </c>
      <c r="AI58" s="1859">
        <f>1.25*(11*AI60+MAX(0.06*AI60*(AI59-100),0))</f>
        <v>0</v>
      </c>
      <c r="AJ58" s="1859">
        <f>1.25*(11*AJ60+MAX(0.06*AJ60*(AJ59-100),0))</f>
        <v>0</v>
      </c>
      <c r="AK58" s="1859">
        <f>1.25*(11*AK60+MAX(0.06*AK60*(AK59-100),0))</f>
        <v>0</v>
      </c>
      <c r="AL58" s="1859">
        <f>1.25*(11*AL60+MAX(0.06*AL60*(AL59-100),0))</f>
        <v>0</v>
      </c>
      <c r="AM58" s="1859">
        <f>1.25*(11*AM60+MAX(0.06*AM60*(AM59-100),0))</f>
        <v>0</v>
      </c>
      <c r="AN58" s="1859">
        <f>1.25*(11*AN60+MAX(0.06*AN60*(AN59-100),0))</f>
        <v>0</v>
      </c>
      <c r="AO58" s="1859">
        <f>1.25*(11*AO60+MAX(0.06*AO60*(AO59-100),0))</f>
        <v>0</v>
      </c>
      <c r="AP58" s="1859">
        <f>1.25*(11*AP60+MAX(0.06*AP60*(AP59-100),0))</f>
        <v>0</v>
      </c>
      <c r="AQ58" s="1859">
        <f>1.25*(11*AQ60+MAX(0.06*AQ60*(AQ59-100),0))</f>
        <v>0</v>
      </c>
      <c r="AR58" s="1859">
        <f>1.25*(11*AR60+MAX(0.06*AR60*(AR59-100),0))</f>
        <v>0</v>
      </c>
      <c r="AS58" s="1859">
        <f>1.25*(11*AS60+MAX(0.06*AS60*(AS59-100),0))</f>
        <v>0</v>
      </c>
      <c r="AT58" s="1859">
        <f>1.25*(11*AT60+MAX(0.06*AT60*(AT59-100),0))</f>
        <v>0</v>
      </c>
      <c r="AU58" s="1859">
        <f>1.25*(11*AU60+MAX(0.06*AU60*(AU59-100),0))</f>
        <v>0</v>
      </c>
      <c r="AV58" s="1859">
        <f>1.25*(11*AV60+MAX(0.06*AV60*(AV59-100),0))</f>
        <v>0</v>
      </c>
      <c r="AW58" s="1859">
        <f>1.25*(11*AW60+MAX(0.06*AW60*(AW59-100),0))</f>
        <v>0</v>
      </c>
      <c r="AX58" s="1859">
        <f>1.25*(11*AX60+MAX(0.06*AX60*(AX59-100),0))</f>
        <v>0</v>
      </c>
      <c r="AY58" s="1859">
        <f>1.25*(11*AY60+MAX(0.06*AY60*(AY59-100),0))</f>
        <v>0</v>
      </c>
      <c r="AZ58" s="340">
        <f>1.25*(11*AZ60+MAX(0.06*AZ60*(AZ59-100),0))</f>
        <v>0</v>
      </c>
      <c r="BA58" s="1859">
        <f>1.25*(11*BA60+MAX(0.06*BA60*(BA59-100),0))</f>
        <v>0</v>
      </c>
      <c r="BB58" s="1859">
        <f>1.25*(11*BB60+MAX(0.06*BB60*(BB59-100),0))</f>
        <v>0</v>
      </c>
      <c r="BC58" s="1859">
        <f>1.25*(11*BC60+MAX(0.06*BC60*(BC59-100),0))</f>
        <v>0</v>
      </c>
      <c r="BD58" s="1859">
        <f>1.25*(11*BD60+MAX(0.06*BD60*(BD59-100),0))</f>
        <v>0</v>
      </c>
      <c r="BE58" s="1859">
        <f>1.25*(11*BE60+MAX(0.06*BE60*(BE59-100),0))</f>
        <v>0</v>
      </c>
      <c r="BF58" s="1859">
        <f>1.25*(11*BF60+MAX(0.06*BF60*(BF59-100),0))</f>
        <v>0</v>
      </c>
      <c r="BG58" s="1859">
        <f>1.25*(11*BG60+MAX(0.06*BG60*(BG59-100),0))</f>
        <v>0</v>
      </c>
      <c r="BH58" s="1859">
        <f>1.25*(11*BH60+MAX(0.06*BH60*(BH59-100),0))</f>
        <v>0</v>
      </c>
      <c r="BI58" s="1859">
        <f>1.25*(11*BI60+MAX(0.06*BI60*(BI59-100),0))</f>
        <v>0</v>
      </c>
      <c r="BJ58" s="1859">
        <f>1.25*(11*BJ60+MAX(0.06*BJ60*(BJ59-100),0))</f>
        <v>0</v>
      </c>
      <c r="BK58" s="1859">
        <f>1.25*(11*BK60+MAX(0.06*BK60*(BK59-100),0))</f>
        <v>0</v>
      </c>
      <c r="BL58" s="1859">
        <f>1.25*(11*BL60+MAX(0.06*BL60*(BL59-100),0))</f>
        <v>0</v>
      </c>
      <c r="BM58" s="1859">
        <f>1.25*(11*BM60+MAX(0.06*BM60*(BM59-100),0))</f>
        <v>0</v>
      </c>
      <c r="BN58" s="1859">
        <f>1.25*(11*BN60+MAX(0.06*BN60*(BN59-100),0))</f>
        <v>0</v>
      </c>
      <c r="BO58" s="1859">
        <f>1.25*(11*BO60+MAX(0.06*BO60*(BO59-100),0))</f>
        <v>0</v>
      </c>
      <c r="BP58" s="1859">
        <f>1.25*(11*BP60+MAX(0.06*BP60*(BP59-100),0))</f>
        <v>0</v>
      </c>
      <c r="BQ58" s="1859">
        <f>1.25*(11*BQ60+MAX(0.06*BQ60*(BQ59-100),0))</f>
        <v>0</v>
      </c>
      <c r="BR58" s="1859">
        <f>1.25*(11*BR60+MAX(0.06*BR60*(BR59-100),0))</f>
        <v>0</v>
      </c>
      <c r="BS58" s="1859">
        <f>1.25*(11*BS60+MAX(0.06*BS60*(BS59-100),0))</f>
        <v>0</v>
      </c>
      <c r="BT58" s="1861"/>
      <c r="BU58" s="969"/>
      <c r="BV58" s="969"/>
      <c r="BW58" s="309" t="s">
        <v>462</v>
      </c>
      <c r="BX58" s="1077" cm="1" t="str">
        <f t="array" ref="BX58:BX58">BX57</f>
        <v>ТЭ.42.31656254.0001</v>
      </c>
      <c r="BY58" s="1077" t="s">
        <v>433</v>
      </c>
      <c r="BZ58" s="1077" t="s">
        <v>436</v>
      </c>
      <c r="CA58" s="1077" t="s">
        <v>463</v>
      </c>
      <c r="CB58" s="1077" t="s">
        <v>219</v>
      </c>
      <c r="CC58" s="1077"/>
      <c r="CD58" s="1077" t="s">
        <v>303</v>
      </c>
      <c r="CE58" s="1077" t="s">
        <v>331</v>
      </c>
      <c r="CF58" s="1077" t="s">
        <v>423</v>
      </c>
    </row>
    <row s="969" customFormat="1" customHeight="1" ht="16.5">
      <c r="A59" s="969"/>
      <c r="B59" s="969"/>
      <c r="C59" s="969"/>
      <c r="D59" s="969"/>
      <c r="E59" s="180">
        <v>17</v>
      </c>
      <c r="F59" s="175" cm="1" t="str">
        <f t="array" ref="F59:F59">OFFSET(G59,-1,-1)</f>
        <v>1</v>
      </c>
      <c r="G59" s="969"/>
      <c r="H59" s="969"/>
      <c r="I59" s="969"/>
      <c r="J59" s="969"/>
      <c r="K59" s="969"/>
      <c r="L59" s="969"/>
      <c r="M59" s="969"/>
      <c r="N59" s="969"/>
      <c r="O59" s="969"/>
      <c r="P59" s="969"/>
      <c r="Q59" s="969"/>
      <c r="R59" s="969"/>
      <c r="S59" s="969"/>
      <c r="T59" s="969"/>
      <c r="U59" s="753" cm="1" t="str">
        <f t="array" ref="U59:U59">U58</f>
        <v>true</v>
      </c>
      <c r="V59" s="969"/>
      <c r="W59" s="969"/>
      <c r="X59" s="969"/>
      <c r="Y59" s="969"/>
      <c r="Z59" s="969"/>
      <c r="AA59" s="969"/>
      <c r="AB59" s="349" t="str">
        <f>AB58&amp;".1"</f>
        <v>2.1.3.1</v>
      </c>
      <c r="AC59" s="358" t="s">
        <v>441</v>
      </c>
      <c r="AD59" s="327" t="s">
        <v>442</v>
      </c>
      <c r="AE59" s="1864"/>
      <c r="AF59" s="363"/>
      <c r="AG59" s="1870"/>
      <c r="AH59" s="1870"/>
      <c r="AI59" s="1870"/>
      <c r="AJ59" s="1870"/>
      <c r="AK59" s="1870"/>
      <c r="AL59" s="1870"/>
      <c r="AM59" s="1870"/>
      <c r="AN59" s="1870"/>
      <c r="AO59" s="1870"/>
      <c r="AP59" s="1870"/>
      <c r="AQ59" s="1870"/>
      <c r="AR59" s="1870"/>
      <c r="AS59" s="1870"/>
      <c r="AT59" s="1870"/>
      <c r="AU59" s="1870"/>
      <c r="AV59" s="1870"/>
      <c r="AW59" s="1870"/>
      <c r="AX59" s="1870"/>
      <c r="AY59" s="1870"/>
      <c r="AZ59" s="363"/>
      <c r="BA59" s="1870"/>
      <c r="BB59" s="1870"/>
      <c r="BC59" s="1870"/>
      <c r="BD59" s="1870"/>
      <c r="BE59" s="1870"/>
      <c r="BF59" s="1870"/>
      <c r="BG59" s="1870"/>
      <c r="BH59" s="1870"/>
      <c r="BI59" s="1870"/>
      <c r="BJ59" s="1870"/>
      <c r="BK59" s="1870"/>
      <c r="BL59" s="1870"/>
      <c r="BM59" s="1870"/>
      <c r="BN59" s="1870"/>
      <c r="BO59" s="1870"/>
      <c r="BP59" s="1870"/>
      <c r="BQ59" s="1870"/>
      <c r="BR59" s="1870"/>
      <c r="BS59" s="1870"/>
      <c r="BT59" s="1861"/>
      <c r="BU59" s="969"/>
      <c r="BV59" s="969"/>
      <c r="BW59" s="309" t="s">
        <v>464</v>
      </c>
      <c r="BX59" s="1077" cm="1" t="str">
        <f t="array" ref="BX59:BX59">BX58</f>
        <v>ТЭ.42.31656254.0001</v>
      </c>
      <c r="BY59" s="1077" t="s">
        <v>433</v>
      </c>
      <c r="BZ59" s="1077" t="s">
        <v>436</v>
      </c>
      <c r="CA59" s="1077" t="s">
        <v>463</v>
      </c>
      <c r="CB59" s="1077" t="s">
        <v>255</v>
      </c>
      <c r="CC59" s="1077"/>
      <c r="CD59" s="1077" t="s">
        <v>303</v>
      </c>
      <c r="CE59" s="1077" t="s">
        <v>444</v>
      </c>
      <c r="CF59" s="1077" t="s">
        <v>445</v>
      </c>
    </row>
    <row s="969" customFormat="1" customHeight="1" ht="16.5">
      <c r="A60" s="969"/>
      <c r="B60" s="969"/>
      <c r="C60" s="969"/>
      <c r="D60" s="969"/>
      <c r="E60" s="180">
        <v>17</v>
      </c>
      <c r="F60" s="175" cm="1" t="str">
        <f t="array" ref="F60:F60">OFFSET(G60,-1,-1)</f>
        <v>1</v>
      </c>
      <c r="G60" s="969"/>
      <c r="H60" s="969"/>
      <c r="I60" s="969"/>
      <c r="J60" s="969"/>
      <c r="K60" s="969"/>
      <c r="L60" s="969"/>
      <c r="M60" s="969"/>
      <c r="N60" s="969"/>
      <c r="O60" s="969"/>
      <c r="P60" s="969"/>
      <c r="Q60" s="969"/>
      <c r="R60" s="969"/>
      <c r="S60" s="969"/>
      <c r="T60" s="969"/>
      <c r="U60" s="753" cm="1" t="str">
        <f t="array" ref="U60:U60">U59</f>
        <v>true</v>
      </c>
      <c r="V60" s="969"/>
      <c r="W60" s="969"/>
      <c r="X60" s="969"/>
      <c r="Y60" s="969"/>
      <c r="Z60" s="969"/>
      <c r="AA60" s="969"/>
      <c r="AB60" s="349" t="str">
        <f>AB58&amp;".2"</f>
        <v>2.1.3.2</v>
      </c>
      <c r="AC60" s="358" t="s">
        <v>446</v>
      </c>
      <c r="AD60" s="327" t="s">
        <v>447</v>
      </c>
      <c r="AE60" s="1864"/>
      <c r="AF60" s="359"/>
      <c r="AG60" s="1871"/>
      <c r="AH60" s="1871"/>
      <c r="AI60" s="1871"/>
      <c r="AJ60" s="1871"/>
      <c r="AK60" s="1871"/>
      <c r="AL60" s="1871"/>
      <c r="AM60" s="1871"/>
      <c r="AN60" s="1871"/>
      <c r="AO60" s="1871"/>
      <c r="AP60" s="1871"/>
      <c r="AQ60" s="1871"/>
      <c r="AR60" s="1871"/>
      <c r="AS60" s="1871"/>
      <c r="AT60" s="1871"/>
      <c r="AU60" s="1871"/>
      <c r="AV60" s="1871"/>
      <c r="AW60" s="1871"/>
      <c r="AX60" s="1871"/>
      <c r="AY60" s="1871"/>
      <c r="AZ60" s="359"/>
      <c r="BA60" s="1871"/>
      <c r="BB60" s="1871"/>
      <c r="BC60" s="1871"/>
      <c r="BD60" s="1871"/>
      <c r="BE60" s="1871"/>
      <c r="BF60" s="1871"/>
      <c r="BG60" s="1871"/>
      <c r="BH60" s="1871"/>
      <c r="BI60" s="1871"/>
      <c r="BJ60" s="1871"/>
      <c r="BK60" s="1871"/>
      <c r="BL60" s="1871"/>
      <c r="BM60" s="1871"/>
      <c r="BN60" s="1871"/>
      <c r="BO60" s="1871"/>
      <c r="BP60" s="1871"/>
      <c r="BQ60" s="1871"/>
      <c r="BR60" s="1871"/>
      <c r="BS60" s="1871"/>
      <c r="BT60" s="1861"/>
      <c r="BU60" s="969"/>
      <c r="BV60" s="969"/>
      <c r="BW60" s="309" t="s">
        <v>465</v>
      </c>
      <c r="BX60" s="1077" cm="1" t="str">
        <f t="array" ref="BX60:BX60">BX59</f>
        <v>ТЭ.42.31656254.0001</v>
      </c>
      <c r="BY60" s="1077" t="s">
        <v>433</v>
      </c>
      <c r="BZ60" s="1077" t="s">
        <v>436</v>
      </c>
      <c r="CA60" s="1077" t="s">
        <v>463</v>
      </c>
      <c r="CB60" s="1077" t="s">
        <v>449</v>
      </c>
      <c r="CC60" s="1077"/>
      <c r="CD60" s="1077" t="s">
        <v>303</v>
      </c>
      <c r="CE60" s="1077" t="s">
        <v>466</v>
      </c>
      <c r="CF60" s="1077" t="s">
        <v>467</v>
      </c>
    </row>
    <row s="969" customFormat="1" customHeight="1" ht="16.5">
      <c r="A61" s="969"/>
      <c r="B61" s="969"/>
      <c r="C61" s="969"/>
      <c r="D61" s="969"/>
      <c r="E61" s="180">
        <v>17</v>
      </c>
      <c r="F61" s="175" cm="1" t="str">
        <f t="array" ref="F61:F61">OFFSET(G61,-1,-1)</f>
        <v>1</v>
      </c>
      <c r="G61" s="969"/>
      <c r="H61" s="193" t="s">
        <v>418</v>
      </c>
      <c r="I61" s="193" t="str">
        <f>AC61&amp;"::"&amp;AD61</f>
        <v>Четырехтрубные::УЕ</v>
      </c>
      <c r="J61" s="969"/>
      <c r="K61" s="969"/>
      <c r="L61" s="969"/>
      <c r="M61" s="969"/>
      <c r="N61" s="969"/>
      <c r="O61" s="969"/>
      <c r="P61" s="969"/>
      <c r="Q61" s="969"/>
      <c r="R61" s="969"/>
      <c r="S61" s="969"/>
      <c r="T61" s="969"/>
      <c r="U61" s="753" cm="1" t="str">
        <f t="array" ref="U61:U61">U60</f>
        <v>true</v>
      </c>
      <c r="V61" s="969"/>
      <c r="W61" s="969"/>
      <c r="X61" s="969"/>
      <c r="Y61" s="969"/>
      <c r="Z61" s="969"/>
      <c r="AA61" s="969"/>
      <c r="AB61" s="360" t="s">
        <v>468</v>
      </c>
      <c r="AC61" s="361" t="s">
        <v>469</v>
      </c>
      <c r="AD61" s="360" t="s">
        <v>420</v>
      </c>
      <c r="AE61" s="1864">
        <f>1.5*(11*AE63+MAX(0.06*AE63*(AE62-100),0))</f>
        <v>0</v>
      </c>
      <c r="AF61" s="362">
        <f>1.5*(11*AF63+MAX(0.06*AF63*(AF62-100),0))</f>
        <v>0</v>
      </c>
      <c r="AG61" s="1859">
        <f>1.5*(11*AG63+MAX(0.06*AG63*(AG62-100),0))</f>
        <v>0</v>
      </c>
      <c r="AH61" s="1859">
        <f>1.5*(11*AH63+MAX(0.06*AH63*(AH62-100),0))</f>
        <v>0</v>
      </c>
      <c r="AI61" s="1859">
        <f>1.5*(11*AI63+MAX(0.06*AI63*(AI62-100),0))</f>
        <v>0</v>
      </c>
      <c r="AJ61" s="1859">
        <f>1.5*(11*AJ63+MAX(0.06*AJ63*(AJ62-100),0))</f>
        <v>0</v>
      </c>
      <c r="AK61" s="1859">
        <f>1.5*(11*AK63+MAX(0.06*AK63*(AK62-100),0))</f>
        <v>0</v>
      </c>
      <c r="AL61" s="1859">
        <f>1.5*(11*AL63+MAX(0.06*AL63*(AL62-100),0))</f>
        <v>0</v>
      </c>
      <c r="AM61" s="1859">
        <f>1.5*(11*AM63+MAX(0.06*AM63*(AM62-100),0))</f>
        <v>0</v>
      </c>
      <c r="AN61" s="1859">
        <f>1.5*(11*AN63+MAX(0.06*AN63*(AN62-100),0))</f>
        <v>0</v>
      </c>
      <c r="AO61" s="1859">
        <f>1.5*(11*AO63+MAX(0.06*AO63*(AO62-100),0))</f>
        <v>0</v>
      </c>
      <c r="AP61" s="1859">
        <f>1.5*(11*AP63+MAX(0.06*AP63*(AP62-100),0))</f>
        <v>0</v>
      </c>
      <c r="AQ61" s="1859">
        <f>1.5*(11*AQ63+MAX(0.06*AQ63*(AQ62-100),0))</f>
        <v>0</v>
      </c>
      <c r="AR61" s="1859">
        <f>1.5*(11*AR63+MAX(0.06*AR63*(AR62-100),0))</f>
        <v>0</v>
      </c>
      <c r="AS61" s="1859">
        <f>1.5*(11*AS63+MAX(0.06*AS63*(AS62-100),0))</f>
        <v>0</v>
      </c>
      <c r="AT61" s="1859">
        <f>1.5*(11*AT63+MAX(0.06*AT63*(AT62-100),0))</f>
        <v>0</v>
      </c>
      <c r="AU61" s="1859">
        <f>1.5*(11*AU63+MAX(0.06*AU63*(AU62-100),0))</f>
        <v>0</v>
      </c>
      <c r="AV61" s="1859">
        <f>1.5*(11*AV63+MAX(0.06*AV63*(AV62-100),0))</f>
        <v>0</v>
      </c>
      <c r="AW61" s="1859">
        <f>1.5*(11*AW63+MAX(0.06*AW63*(AW62-100),0))</f>
        <v>0</v>
      </c>
      <c r="AX61" s="1859">
        <f>1.5*(11*AX63+MAX(0.06*AX63*(AX62-100),0))</f>
        <v>0</v>
      </c>
      <c r="AY61" s="1859">
        <f>1.5*(11*AY63+MAX(0.06*AY63*(AY62-100),0))</f>
        <v>0</v>
      </c>
      <c r="AZ61" s="340">
        <f>1.5*(11*AZ63+MAX(0.06*AZ63*(AZ62-100),0))</f>
        <v>0</v>
      </c>
      <c r="BA61" s="1859">
        <f>1.5*(11*BA63+MAX(0.06*BA63*(BA62-100),0))</f>
        <v>0</v>
      </c>
      <c r="BB61" s="1859">
        <f>1.5*(11*BB63+MAX(0.06*BB63*(BB62-100),0))</f>
        <v>0</v>
      </c>
      <c r="BC61" s="1859">
        <f>1.5*(11*BC63+MAX(0.06*BC63*(BC62-100),0))</f>
        <v>0</v>
      </c>
      <c r="BD61" s="1859">
        <f>1.5*(11*BD63+MAX(0.06*BD63*(BD62-100),0))</f>
        <v>0</v>
      </c>
      <c r="BE61" s="1859">
        <f>1.5*(11*BE63+MAX(0.06*BE63*(BE62-100),0))</f>
        <v>0</v>
      </c>
      <c r="BF61" s="1859">
        <f>1.5*(11*BF63+MAX(0.06*BF63*(BF62-100),0))</f>
        <v>0</v>
      </c>
      <c r="BG61" s="1859">
        <f>1.5*(11*BG63+MAX(0.06*BG63*(BG62-100),0))</f>
        <v>0</v>
      </c>
      <c r="BH61" s="1859">
        <f>1.5*(11*BH63+MAX(0.06*BH63*(BH62-100),0))</f>
        <v>0</v>
      </c>
      <c r="BI61" s="1859">
        <f>1.5*(11*BI63+MAX(0.06*BI63*(BI62-100),0))</f>
        <v>0</v>
      </c>
      <c r="BJ61" s="1859">
        <f>1.5*(11*BJ63+MAX(0.06*BJ63*(BJ62-100),0))</f>
        <v>0</v>
      </c>
      <c r="BK61" s="1859">
        <f>1.5*(11*BK63+MAX(0.06*BK63*(BK62-100),0))</f>
        <v>0</v>
      </c>
      <c r="BL61" s="1859">
        <f>1.5*(11*BL63+MAX(0.06*BL63*(BL62-100),0))</f>
        <v>0</v>
      </c>
      <c r="BM61" s="1859">
        <f>1.5*(11*BM63+MAX(0.06*BM63*(BM62-100),0))</f>
        <v>0</v>
      </c>
      <c r="BN61" s="1859">
        <f>1.5*(11*BN63+MAX(0.06*BN63*(BN62-100),0))</f>
        <v>0</v>
      </c>
      <c r="BO61" s="1859">
        <f>1.5*(11*BO63+MAX(0.06*BO63*(BO62-100),0))</f>
        <v>0</v>
      </c>
      <c r="BP61" s="1859">
        <f>1.5*(11*BP63+MAX(0.06*BP63*(BP62-100),0))</f>
        <v>0</v>
      </c>
      <c r="BQ61" s="1859">
        <f>1.5*(11*BQ63+MAX(0.06*BQ63*(BQ62-100),0))</f>
        <v>0</v>
      </c>
      <c r="BR61" s="1859">
        <f>1.5*(11*BR63+MAX(0.06*BR63*(BR62-100),0))</f>
        <v>0</v>
      </c>
      <c r="BS61" s="1859">
        <f>1.5*(11*BS63+MAX(0.06*BS63*(BS62-100),0))</f>
        <v>0</v>
      </c>
      <c r="BT61" s="1861"/>
      <c r="BU61" s="969"/>
      <c r="BV61" s="969"/>
      <c r="BW61" s="309" t="s">
        <v>470</v>
      </c>
      <c r="BX61" s="1077" cm="1" t="str">
        <f t="array" ref="BX61:BX61">BX60</f>
        <v>ТЭ.42.31656254.0001</v>
      </c>
      <c r="BY61" s="1077" t="s">
        <v>433</v>
      </c>
      <c r="BZ61" s="1077" t="s">
        <v>436</v>
      </c>
      <c r="CA61" s="1077" t="s">
        <v>471</v>
      </c>
      <c r="CB61" s="1077" t="s">
        <v>219</v>
      </c>
      <c r="CC61" s="1077"/>
      <c r="CD61" s="1077" t="s">
        <v>303</v>
      </c>
      <c r="CE61" s="1077" t="s">
        <v>331</v>
      </c>
      <c r="CF61" s="1077" t="s">
        <v>423</v>
      </c>
    </row>
    <row s="969" customFormat="1" customHeight="1" ht="16.5">
      <c r="A62" s="969"/>
      <c r="B62" s="969"/>
      <c r="C62" s="969"/>
      <c r="D62" s="969"/>
      <c r="E62" s="180">
        <v>17</v>
      </c>
      <c r="F62" s="175" cm="1" t="str">
        <f t="array" ref="F62:F62">OFFSET(G62,-1,-1)</f>
        <v>1</v>
      </c>
      <c r="G62" s="969"/>
      <c r="H62" s="969"/>
      <c r="I62" s="969"/>
      <c r="J62" s="969"/>
      <c r="K62" s="969"/>
      <c r="L62" s="969"/>
      <c r="M62" s="969"/>
      <c r="N62" s="969"/>
      <c r="O62" s="969"/>
      <c r="P62" s="969"/>
      <c r="Q62" s="969"/>
      <c r="R62" s="969"/>
      <c r="S62" s="969"/>
      <c r="T62" s="969"/>
      <c r="U62" s="753" cm="1" t="str">
        <f t="array" ref="U62:U62">U61</f>
        <v>true</v>
      </c>
      <c r="V62" s="969"/>
      <c r="W62" s="969"/>
      <c r="X62" s="969"/>
      <c r="Y62" s="969"/>
      <c r="Z62" s="969"/>
      <c r="AA62" s="969"/>
      <c r="AB62" s="349" t="str">
        <f>AB61&amp;".1"</f>
        <v>2.1.4.1</v>
      </c>
      <c r="AC62" s="358" t="s">
        <v>441</v>
      </c>
      <c r="AD62" s="327" t="s">
        <v>442</v>
      </c>
      <c r="AE62" s="1864"/>
      <c r="AF62" s="359"/>
      <c r="AG62" s="1871"/>
      <c r="AH62" s="1871"/>
      <c r="AI62" s="1871"/>
      <c r="AJ62" s="1871"/>
      <c r="AK62" s="1871"/>
      <c r="AL62" s="1871"/>
      <c r="AM62" s="1871"/>
      <c r="AN62" s="1871"/>
      <c r="AO62" s="1871"/>
      <c r="AP62" s="1871"/>
      <c r="AQ62" s="1871"/>
      <c r="AR62" s="1871"/>
      <c r="AS62" s="1871"/>
      <c r="AT62" s="1871"/>
      <c r="AU62" s="1871"/>
      <c r="AV62" s="1871"/>
      <c r="AW62" s="1871"/>
      <c r="AX62" s="1871"/>
      <c r="AY62" s="1871"/>
      <c r="AZ62" s="359"/>
      <c r="BA62" s="1871"/>
      <c r="BB62" s="1871"/>
      <c r="BC62" s="1871"/>
      <c r="BD62" s="1871"/>
      <c r="BE62" s="1871"/>
      <c r="BF62" s="1871"/>
      <c r="BG62" s="1871"/>
      <c r="BH62" s="1871"/>
      <c r="BI62" s="1871"/>
      <c r="BJ62" s="1871"/>
      <c r="BK62" s="1871"/>
      <c r="BL62" s="1871"/>
      <c r="BM62" s="1871"/>
      <c r="BN62" s="1871"/>
      <c r="BO62" s="1871"/>
      <c r="BP62" s="1871"/>
      <c r="BQ62" s="1871"/>
      <c r="BR62" s="1871"/>
      <c r="BS62" s="1871"/>
      <c r="BT62" s="1861"/>
      <c r="BU62" s="969"/>
      <c r="BV62" s="969"/>
      <c r="BW62" s="309" t="s">
        <v>472</v>
      </c>
      <c r="BX62" s="1077" cm="1" t="str">
        <f t="array" ref="BX62:BX62">BX61</f>
        <v>ТЭ.42.31656254.0001</v>
      </c>
      <c r="BY62" s="1077" t="s">
        <v>433</v>
      </c>
      <c r="BZ62" s="1077" t="s">
        <v>436</v>
      </c>
      <c r="CA62" s="1077" t="s">
        <v>471</v>
      </c>
      <c r="CB62" s="1077" t="s">
        <v>255</v>
      </c>
      <c r="CC62" s="1077"/>
      <c r="CD62" s="1077" t="s">
        <v>303</v>
      </c>
      <c r="CE62" s="1077" t="s">
        <v>444</v>
      </c>
      <c r="CF62" s="1077" t="s">
        <v>445</v>
      </c>
    </row>
    <row s="969" customFormat="1" customHeight="1" ht="16.5">
      <c r="A63" s="969"/>
      <c r="B63" s="969"/>
      <c r="C63" s="969"/>
      <c r="D63" s="969"/>
      <c r="E63" s="180">
        <v>17</v>
      </c>
      <c r="F63" s="175" cm="1" t="str">
        <f t="array" ref="F63:F63">OFFSET(G63,-1,-1)</f>
        <v>1</v>
      </c>
      <c r="G63" s="969"/>
      <c r="H63" s="969"/>
      <c r="I63" s="969"/>
      <c r="J63" s="969"/>
      <c r="K63" s="969"/>
      <c r="L63" s="969"/>
      <c r="M63" s="969"/>
      <c r="N63" s="969"/>
      <c r="O63" s="969"/>
      <c r="P63" s="969"/>
      <c r="Q63" s="969"/>
      <c r="R63" s="969"/>
      <c r="S63" s="969"/>
      <c r="T63" s="969"/>
      <c r="U63" s="753" cm="1" t="str">
        <f t="array" ref="U63:U63">U62</f>
        <v>true</v>
      </c>
      <c r="V63" s="969"/>
      <c r="W63" s="969"/>
      <c r="X63" s="969"/>
      <c r="Y63" s="969"/>
      <c r="Z63" s="969"/>
      <c r="AA63" s="969"/>
      <c r="AB63" s="349" t="str">
        <f>AB61&amp;".2"</f>
        <v>2.1.4.2</v>
      </c>
      <c r="AC63" s="358" t="s">
        <v>446</v>
      </c>
      <c r="AD63" s="327" t="s">
        <v>447</v>
      </c>
      <c r="AE63" s="1864"/>
      <c r="AF63" s="359"/>
      <c r="AG63" s="1871"/>
      <c r="AH63" s="1871"/>
      <c r="AI63" s="1871"/>
      <c r="AJ63" s="1871"/>
      <c r="AK63" s="1871"/>
      <c r="AL63" s="1871"/>
      <c r="AM63" s="1871"/>
      <c r="AN63" s="1871"/>
      <c r="AO63" s="1871"/>
      <c r="AP63" s="1871"/>
      <c r="AQ63" s="1871"/>
      <c r="AR63" s="1871"/>
      <c r="AS63" s="1871"/>
      <c r="AT63" s="1871"/>
      <c r="AU63" s="1871"/>
      <c r="AV63" s="1871"/>
      <c r="AW63" s="1871"/>
      <c r="AX63" s="1871"/>
      <c r="AY63" s="1871"/>
      <c r="AZ63" s="359"/>
      <c r="BA63" s="1871"/>
      <c r="BB63" s="1871"/>
      <c r="BC63" s="1871"/>
      <c r="BD63" s="1871"/>
      <c r="BE63" s="1871"/>
      <c r="BF63" s="1871"/>
      <c r="BG63" s="1871"/>
      <c r="BH63" s="1871"/>
      <c r="BI63" s="1871"/>
      <c r="BJ63" s="1871"/>
      <c r="BK63" s="1871"/>
      <c r="BL63" s="1871"/>
      <c r="BM63" s="1871"/>
      <c r="BN63" s="1871"/>
      <c r="BO63" s="1871"/>
      <c r="BP63" s="1871"/>
      <c r="BQ63" s="1871"/>
      <c r="BR63" s="1871"/>
      <c r="BS63" s="1871"/>
      <c r="BT63" s="1861"/>
      <c r="BU63" s="969"/>
      <c r="BV63" s="969"/>
      <c r="BW63" s="309" t="s">
        <v>473</v>
      </c>
      <c r="BX63" s="1077" cm="1" t="str">
        <f t="array" ref="BX63:BX63">BX62</f>
        <v>ТЭ.42.31656254.0001</v>
      </c>
      <c r="BY63" s="1077" t="s">
        <v>433</v>
      </c>
      <c r="BZ63" s="1077" t="s">
        <v>436</v>
      </c>
      <c r="CA63" s="1077" t="s">
        <v>471</v>
      </c>
      <c r="CB63" s="1077" t="s">
        <v>449</v>
      </c>
      <c r="CC63" s="1077"/>
      <c r="CD63" s="1077" t="s">
        <v>303</v>
      </c>
      <c r="CE63" s="1077" t="s">
        <v>466</v>
      </c>
      <c r="CF63" s="1077" t="s">
        <v>467</v>
      </c>
    </row>
    <row s="969" customFormat="1" customHeight="1" ht="30">
      <c r="A64" s="969"/>
      <c r="B64" s="969"/>
      <c r="C64" s="969"/>
      <c r="D64" s="969"/>
      <c r="E64" s="180">
        <v>31</v>
      </c>
      <c r="F64" s="175" cm="1" t="str">
        <f t="array" ref="F64:F64">OFFSET(G64,-1,-1)</f>
        <v>1</v>
      </c>
      <c r="G64" s="969"/>
      <c r="H64" s="969"/>
      <c r="I64" s="969"/>
      <c r="J64" s="969"/>
      <c r="K64" s="969"/>
      <c r="L64" s="969"/>
      <c r="M64" s="969"/>
      <c r="N64" s="969"/>
      <c r="O64" s="969"/>
      <c r="P64" s="969"/>
      <c r="Q64" s="969"/>
      <c r="R64" s="969"/>
      <c r="S64" s="969"/>
      <c r="T64" s="969"/>
      <c r="U64" s="753" cm="1" t="str">
        <f t="array" ref="U64:U64">U63</f>
        <v>true</v>
      </c>
      <c r="V64" s="969"/>
      <c r="W64" s="969"/>
      <c r="X64" s="969"/>
      <c r="Y64" s="969"/>
      <c r="Z64" s="969"/>
      <c r="AA64" s="969"/>
      <c r="AB64" s="364">
        <v>2.2</v>
      </c>
      <c r="AC64" s="365" t="s">
        <v>474</v>
      </c>
      <c r="AD64" s="327" t="s">
        <v>475</v>
      </c>
      <c r="AE64" s="1864"/>
      <c r="AF64" s="359"/>
      <c r="AG64" s="1864"/>
      <c r="AH64" s="1864"/>
      <c r="AI64" s="1864"/>
      <c r="AJ64" s="1864"/>
      <c r="AK64" s="1864"/>
      <c r="AL64" s="1864"/>
      <c r="AM64" s="1864"/>
      <c r="AN64" s="1864"/>
      <c r="AO64" s="1864"/>
      <c r="AP64" s="1864"/>
      <c r="AQ64" s="1864"/>
      <c r="AR64" s="1864"/>
      <c r="AS64" s="1864"/>
      <c r="AT64" s="1864"/>
      <c r="AU64" s="1864"/>
      <c r="AV64" s="1864"/>
      <c r="AW64" s="1864"/>
      <c r="AX64" s="1864"/>
      <c r="AY64" s="1864"/>
      <c r="AZ64" s="353"/>
      <c r="BA64" s="1864"/>
      <c r="BB64" s="1864"/>
      <c r="BC64" s="1864"/>
      <c r="BD64" s="1864"/>
      <c r="BE64" s="1864"/>
      <c r="BF64" s="1864"/>
      <c r="BG64" s="1864"/>
      <c r="BH64" s="1864"/>
      <c r="BI64" s="1864"/>
      <c r="BJ64" s="1864"/>
      <c r="BK64" s="1864"/>
      <c r="BL64" s="1864"/>
      <c r="BM64" s="1864"/>
      <c r="BN64" s="1864"/>
      <c r="BO64" s="1864"/>
      <c r="BP64" s="1864"/>
      <c r="BQ64" s="1864"/>
      <c r="BR64" s="1864"/>
      <c r="BS64" s="1864"/>
      <c r="BT64" s="1861"/>
      <c r="BU64" s="969"/>
      <c r="BV64" s="969"/>
      <c r="BW64" s="309" t="s">
        <v>476</v>
      </c>
      <c r="BX64" s="1077" cm="1" t="str">
        <f t="array" ref="BX64:BX64">BX63</f>
        <v>ТЭ.42.31656254.0001</v>
      </c>
      <c r="BY64" s="1077" t="s">
        <v>433</v>
      </c>
      <c r="BZ64" s="1077" t="s">
        <v>477</v>
      </c>
      <c r="CA64" s="1077"/>
      <c r="CB64" s="1077"/>
      <c r="CC64" s="1077"/>
      <c r="CD64" s="1077" t="s">
        <v>303</v>
      </c>
      <c r="CE64" s="1077" t="s">
        <v>331</v>
      </c>
      <c r="CF64" s="1077" t="s">
        <v>423</v>
      </c>
    </row>
    <row s="969" customFormat="1" customHeight="1" ht="39">
      <c r="A65" s="969"/>
      <c r="B65" s="969"/>
      <c r="C65" s="969"/>
      <c r="D65" s="969"/>
      <c r="E65" s="180">
        <v>40</v>
      </c>
      <c r="F65" s="175" cm="1" t="str">
        <f t="array" ref="F65:F65">OFFSET(G65,-1,-1)</f>
        <v>1</v>
      </c>
      <c r="G65" s="969"/>
      <c r="H65" s="969"/>
      <c r="I65" s="969"/>
      <c r="J65" s="969"/>
      <c r="K65" s="969"/>
      <c r="L65" s="969"/>
      <c r="M65" s="969"/>
      <c r="N65" s="969"/>
      <c r="O65" s="969"/>
      <c r="P65" s="969"/>
      <c r="Q65" s="969"/>
      <c r="R65" s="969"/>
      <c r="S65" s="969"/>
      <c r="T65" s="969"/>
      <c r="U65" s="753" cm="1" t="str">
        <f t="array" ref="U65:U65">U64</f>
        <v>true</v>
      </c>
      <c r="V65" s="969"/>
      <c r="W65" s="969"/>
      <c r="X65" s="969"/>
      <c r="Y65" s="969"/>
      <c r="Z65" s="969"/>
      <c r="AA65" s="969"/>
      <c r="AB65" s="366">
        <v>2.3</v>
      </c>
      <c r="AC65" s="367" t="s">
        <v>478</v>
      </c>
      <c r="AD65" s="327" t="s">
        <v>479</v>
      </c>
      <c r="AE65" s="1864"/>
      <c r="AF65" s="359"/>
      <c r="AG65" s="1864"/>
      <c r="AH65" s="1864"/>
      <c r="AI65" s="1864"/>
      <c r="AJ65" s="1864"/>
      <c r="AK65" s="1864"/>
      <c r="AL65" s="1864"/>
      <c r="AM65" s="1864"/>
      <c r="AN65" s="1864"/>
      <c r="AO65" s="1864"/>
      <c r="AP65" s="1864"/>
      <c r="AQ65" s="1864"/>
      <c r="AR65" s="1864"/>
      <c r="AS65" s="1864"/>
      <c r="AT65" s="1864"/>
      <c r="AU65" s="1864"/>
      <c r="AV65" s="1864"/>
      <c r="AW65" s="1864"/>
      <c r="AX65" s="1864"/>
      <c r="AY65" s="1864"/>
      <c r="AZ65" s="353"/>
      <c r="BA65" s="1864"/>
      <c r="BB65" s="1864"/>
      <c r="BC65" s="1864"/>
      <c r="BD65" s="1864"/>
      <c r="BE65" s="1864"/>
      <c r="BF65" s="1864"/>
      <c r="BG65" s="1864"/>
      <c r="BH65" s="1864"/>
      <c r="BI65" s="1864"/>
      <c r="BJ65" s="1864"/>
      <c r="BK65" s="1864"/>
      <c r="BL65" s="1864"/>
      <c r="BM65" s="1864"/>
      <c r="BN65" s="1864"/>
      <c r="BO65" s="1864"/>
      <c r="BP65" s="1864"/>
      <c r="BQ65" s="1864"/>
      <c r="BR65" s="1864"/>
      <c r="BS65" s="1864"/>
      <c r="BT65" s="1861"/>
      <c r="BU65" s="969"/>
      <c r="BV65" s="969"/>
      <c r="BW65" s="309" t="s">
        <v>480</v>
      </c>
      <c r="BX65" s="1077" cm="1" t="str">
        <f t="array" ref="BX65:BX65">BX64</f>
        <v>ТЭ.42.31656254.0001</v>
      </c>
      <c r="BY65" s="1077" t="s">
        <v>433</v>
      </c>
      <c r="BZ65" s="1077" t="s">
        <v>481</v>
      </c>
      <c r="CA65" s="1077"/>
      <c r="CB65" s="1077"/>
      <c r="CC65" s="1077"/>
      <c r="CD65" s="1077" t="s">
        <v>303</v>
      </c>
      <c r="CE65" s="1077" t="s">
        <v>331</v>
      </c>
      <c r="CF65" s="1077" t="s">
        <v>423</v>
      </c>
    </row>
    <row s="969" customFormat="1" customHeight="1" ht="48.75">
      <c r="A66" s="969"/>
      <c r="B66" s="969"/>
      <c r="C66" s="969"/>
      <c r="D66" s="969"/>
      <c r="E66" s="180">
        <v>50</v>
      </c>
      <c r="F66" s="175" cm="1" t="str">
        <f t="array" ref="F66:F66">OFFSET(G66,-1,-1)</f>
        <v>1</v>
      </c>
      <c r="G66" s="969"/>
      <c r="H66" s="193" t="s">
        <v>418</v>
      </c>
      <c r="I66" s="193"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969"/>
      <c r="K66" s="969"/>
      <c r="L66" s="969"/>
      <c r="M66" s="969"/>
      <c r="N66" s="969"/>
      <c r="O66" s="969"/>
      <c r="P66" s="969"/>
      <c r="Q66" s="969"/>
      <c r="R66" s="969"/>
      <c r="S66" s="969"/>
      <c r="T66" s="969"/>
      <c r="U66" s="753" cm="1" t="str">
        <f t="array" ref="U66:U66">U65</f>
        <v>true</v>
      </c>
      <c r="V66" s="969"/>
      <c r="W66" s="969"/>
      <c r="X66" s="969"/>
      <c r="Y66" s="969"/>
      <c r="Z66" s="969"/>
      <c r="AA66" s="969"/>
      <c r="AB66" s="366">
        <v>2.4</v>
      </c>
      <c r="AC66" s="368" t="s">
        <v>482</v>
      </c>
      <c r="AD66" s="369" t="s">
        <v>426</v>
      </c>
      <c r="AE66" s="1872"/>
      <c r="AF66" s="353"/>
      <c r="AG66" s="1864"/>
      <c r="AH66" s="1864"/>
      <c r="AI66" s="1864"/>
      <c r="AJ66" s="1864"/>
      <c r="AK66" s="1864"/>
      <c r="AL66" s="1864"/>
      <c r="AM66" s="1864"/>
      <c r="AN66" s="1864"/>
      <c r="AO66" s="1864"/>
      <c r="AP66" s="1864"/>
      <c r="AQ66" s="1864"/>
      <c r="AR66" s="1864"/>
      <c r="AS66" s="1864"/>
      <c r="AT66" s="1864"/>
      <c r="AU66" s="1864"/>
      <c r="AV66" s="1864"/>
      <c r="AW66" s="1864"/>
      <c r="AX66" s="1864"/>
      <c r="AY66" s="1864"/>
      <c r="AZ66" s="353"/>
      <c r="BA66" s="1864"/>
      <c r="BB66" s="1864"/>
      <c r="BC66" s="1864"/>
      <c r="BD66" s="1864"/>
      <c r="BE66" s="1864"/>
      <c r="BF66" s="1864"/>
      <c r="BG66" s="1864"/>
      <c r="BH66" s="1864"/>
      <c r="BI66" s="1864"/>
      <c r="BJ66" s="1864"/>
      <c r="BK66" s="1864"/>
      <c r="BL66" s="1864"/>
      <c r="BM66" s="1864"/>
      <c r="BN66" s="1864"/>
      <c r="BO66" s="1864"/>
      <c r="BP66" s="1864"/>
      <c r="BQ66" s="1864"/>
      <c r="BR66" s="1864"/>
      <c r="BS66" s="1864"/>
      <c r="BT66" s="1861"/>
      <c r="BU66" s="969"/>
      <c r="BV66" s="969"/>
      <c r="BW66" s="309" t="s">
        <v>483</v>
      </c>
      <c r="BX66" s="1077" cm="1" t="str">
        <f t="array" ref="BX66:BX66">BX65</f>
        <v>ТЭ.42.31656254.0001</v>
      </c>
      <c r="BY66" s="1077" t="s">
        <v>433</v>
      </c>
      <c r="BZ66" s="1077"/>
      <c r="CA66" s="1077"/>
      <c r="CB66" s="1077" t="s">
        <v>255</v>
      </c>
      <c r="CC66" s="1077"/>
      <c r="CD66" s="1077" t="s">
        <v>303</v>
      </c>
      <c r="CE66" s="1077" t="s">
        <v>484</v>
      </c>
      <c r="CF66" s="1077" t="s">
        <v>485</v>
      </c>
    </row>
    <row s="969" customFormat="1" customHeight="1" ht="10.725000000000001">
      <c r="A67" s="371"/>
      <c r="B67" s="175"/>
      <c r="C67" s="175"/>
      <c r="D67" s="175"/>
      <c r="E67" s="180">
        <v>11</v>
      </c>
      <c r="F67" s="175"/>
      <c r="G67" s="193"/>
      <c r="H67" s="193"/>
      <c r="I67" s="193"/>
      <c r="J67" s="193"/>
      <c r="K67" s="193"/>
      <c r="L67" s="193"/>
      <c r="M67" s="193"/>
      <c r="N67" s="193"/>
      <c r="O67" s="193"/>
      <c r="P67" s="193"/>
      <c r="Q67" s="193"/>
      <c r="R67" s="193"/>
      <c r="S67" s="193"/>
      <c r="T67" s="193"/>
      <c r="U67" s="175"/>
      <c r="V67" s="175" t="s">
        <v>191</v>
      </c>
      <c r="W67" s="176" t="s">
        <v>486</v>
      </c>
      <c r="X67" s="175"/>
      <c r="Y67" s="175"/>
      <c r="Z67" s="175"/>
      <c r="AA67" s="318"/>
      <c r="AB67" s="289"/>
      <c r="AC67" s="289"/>
      <c r="AD67" s="289"/>
      <c r="AE67" s="291"/>
      <c r="AF67" s="289"/>
      <c r="AG67" s="289"/>
      <c r="AH67" s="289"/>
      <c r="AI67" s="289"/>
      <c r="AJ67" s="289"/>
      <c r="AK67" s="289"/>
      <c r="AL67" s="289"/>
      <c r="AM67" s="289"/>
      <c r="AN67" s="289"/>
      <c r="AO67" s="289"/>
      <c r="AP67" s="289"/>
      <c r="AQ67" s="289"/>
      <c r="AR67" s="289"/>
      <c r="AS67" s="289"/>
      <c r="AT67" s="289"/>
      <c r="AU67" s="289"/>
      <c r="AV67" s="289"/>
      <c r="AW67" s="289"/>
      <c r="AX67" s="289"/>
      <c r="AY67" s="289"/>
      <c r="AZ67" s="289"/>
      <c r="BA67" s="289"/>
      <c r="BB67" s="289"/>
      <c r="BC67" s="289"/>
      <c r="BD67" s="289"/>
      <c r="BE67" s="289"/>
      <c r="BF67" s="289"/>
      <c r="BG67" s="289"/>
      <c r="BH67" s="289"/>
      <c r="BI67" s="289"/>
      <c r="BJ67" s="289"/>
      <c r="BK67" s="289"/>
      <c r="BL67" s="289"/>
      <c r="BM67" s="289"/>
      <c r="BN67" s="289"/>
      <c r="BO67" s="289"/>
      <c r="BP67" s="289"/>
      <c r="BQ67" s="289"/>
      <c r="BR67" s="289"/>
      <c r="BS67" s="289"/>
      <c r="BT67" s="291"/>
      <c r="BU67" s="318"/>
      <c r="BW67" s="309"/>
      <c r="BX67" s="1150"/>
      <c r="BY67" s="1150"/>
      <c r="BZ67" s="1150"/>
      <c r="CA67" s="1150"/>
      <c r="CB67" s="1150"/>
      <c r="CC67" s="1720"/>
      <c r="CD67" s="1150"/>
      <c r="CE67" s="1150"/>
      <c r="CF67" s="1150"/>
    </row>
  </sheetData>
  <sheetProtection formatColumns="0" formatRows="0" insertRows="0" deleteColumns="0" deleteRows="0" sort="0" autoFilter="0" insertColumns="1"/>
  <mergeCells count="10">
    <mergeCell ref="Z27:Z46"/>
    <mergeCell ref="Y27:Y46"/>
    <mergeCell ref="AB22:BT22"/>
    <mergeCell ref="AE23:AF23"/>
    <mergeCell ref="BT24:BT25"/>
    <mergeCell ref="AB24:AB25"/>
    <mergeCell ref="AC24:AC25"/>
    <mergeCell ref="AD24:AD25"/>
    <mergeCell ref="Z47:Z66"/>
    <mergeCell ref="Y47:Y66"/>
  </mergeCell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9BA81D-E3DD-A9E7-7468-9DD5ADF61AFF}" mc:Ignorable="x14ac xr xr2 xr3">
  <sheetPr>
    <tabColor theme="3" tint="0.6"/>
    <outlinePr summaryRight="0" summaryBelow="0"/>
    <pageSetUpPr fitToPage="1"/>
  </sheetPr>
  <dimension ref="A1:CK87"/>
  <sheetViews>
    <sheetView showGridLines="0" workbookViewId="0">
      <pane xSplit="30" ySplit="25" topLeftCell="AE26" activePane="bottomRight" state="frozen"/>
      <selection pane="bottomLeft" activeCell="A26" sqref="A26"/>
      <selection pane="topRight" activeCell="AE1" sqref="AE1"/>
      <selection pane="bottomRight" activeCell="AY57" sqref="AY57"/>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8" style="1548" width="3.57421875" hidden="1" customWidth="1"/>
    <col min="19" max="19" style="1548" width="5.8515625" hidden="1" customWidth="1"/>
    <col min="20" max="20" style="1548" width="6.7109375" hidden="1" customWidth="1"/>
    <col min="21" max="21" style="1548" width="6.00390625" hidden="1" customWidth="1"/>
    <col min="22" max="22" style="1548" width="6.28125" hidden="1" customWidth="1"/>
    <col min="23" max="23" style="1548" width="6.421875" hidden="1" customWidth="1"/>
    <col min="24" max="24" style="1548" width="5.8515625" hidden="1" customWidth="1"/>
    <col min="25" max="25" style="1548" width="6.140625" hidden="1" customWidth="1"/>
    <col min="26" max="26" style="1548" width="5.421875" hidden="1" customWidth="1"/>
    <col min="27" max="27" style="1727" width="3.00390625" customWidth="1"/>
    <col min="28" max="28" style="183" width="6.00390625" customWidth="1"/>
    <col min="29" max="29" style="421" width="52.00390625" customWidth="1"/>
    <col min="30" max="30" style="1727" width="14.00390625" customWidth="1"/>
    <col min="31" max="31" style="1727" width="15.00390625" customWidth="1"/>
    <col min="32" max="50" style="1727" width="15.00390625" hidden="1" customWidth="1"/>
    <col min="51" max="51" style="1727" width="15.00390625" customWidth="1"/>
    <col min="52" max="70" style="1727" width="15.00390625" hidden="1" customWidth="1"/>
    <col min="71" max="71" style="1727" width="3.00390625" customWidth="1"/>
    <col min="72" max="72" style="969" width="9.140625" hidden="1"/>
    <col min="73" max="75" style="1142" width="9.140625" hidden="1"/>
    <col min="76" max="77" style="372" width="9.140625" hidden="1"/>
    <col min="78" max="89" width="9.140625" hidden="1"/>
  </cols>
  <sheetData>
    <row s="1548" customFormat="1" customHeight="1" ht="11.25" hidden="1">
      <c r="A1" s="371"/>
      <c r="F1" s="753" t="s">
        <v>84</v>
      </c>
      <c r="T1" s="753" t="s">
        <v>85</v>
      </c>
      <c r="U1" s="753" t="s">
        <v>91</v>
      </c>
      <c r="V1" s="753" t="s">
        <v>86</v>
      </c>
      <c r="W1" s="753" t="s">
        <v>87</v>
      </c>
      <c r="X1" s="753" t="s">
        <v>88</v>
      </c>
      <c r="Y1" s="753" t="s">
        <v>89</v>
      </c>
      <c r="Z1" s="753" t="s">
        <v>93</v>
      </c>
      <c r="AA1" s="753" t="s">
        <v>90</v>
      </c>
      <c r="AC1" s="753" t="s">
        <v>92</v>
      </c>
      <c r="AF1" s="1548"/>
      <c r="AG1" s="1548"/>
      <c r="AH1" s="1548"/>
      <c r="AI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U1" s="309" t="s">
        <v>336</v>
      </c>
      <c r="BV1" s="309" t="s">
        <v>337</v>
      </c>
      <c r="BW1" s="309" t="s">
        <v>338</v>
      </c>
      <c r="BX1" s="372" t="s">
        <v>341</v>
      </c>
      <c r="BY1" s="372" t="s">
        <v>342</v>
      </c>
      <c r="BZ1" s="1150" t="s">
        <v>94</v>
      </c>
      <c r="CA1" s="1499" t="s">
        <v>110</v>
      </c>
      <c r="CB1" s="1150" t="s">
        <v>487</v>
      </c>
      <c r="CC1" s="1150" t="s">
        <v>400</v>
      </c>
      <c r="CD1" s="1150" t="s">
        <v>488</v>
      </c>
      <c r="CE1" s="1150" t="s">
        <v>489</v>
      </c>
      <c r="CF1" s="1150" t="s">
        <v>490</v>
      </c>
      <c r="CG1" s="1150" t="s">
        <v>491</v>
      </c>
      <c r="CH1" s="1499" t="s">
        <v>111</v>
      </c>
      <c r="CI1" s="1150" t="s">
        <v>112</v>
      </c>
      <c r="CJ1" s="1150" t="s">
        <v>113</v>
      </c>
      <c r="CK1" s="1150" t="s">
        <v>114</v>
      </c>
    </row>
    <row s="1548" customFormat="1" customHeight="1" ht="11.25" hidden="1">
      <c r="A2" s="371"/>
      <c r="B2" s="179" t="s">
        <v>16</v>
      </c>
      <c r="AC2" s="176"/>
      <c r="AE2" s="179" cm="1" t="str">
        <f t="array" ref="AE2:AE2">isOrgDeclare</f>
        <v>true</v>
      </c>
      <c r="AF2" s="179">
        <f>AND(AF9&lt;=last_year_vis,isOrgDeclare)</f>
        <v>0</v>
      </c>
      <c r="AG2" s="179">
        <f>AND(AG9&lt;=last_year_vis,isOrgDeclare)</f>
        <v>0</v>
      </c>
      <c r="AH2" s="179">
        <f>AND(AH9&lt;=last_year_vis,isOrgDeclare)</f>
        <v>0</v>
      </c>
      <c r="AI2" s="179">
        <f>AND(AI9&lt;=last_year_vis,isOrgDeclare)</f>
        <v>0</v>
      </c>
      <c r="AJ2" s="179">
        <f>AND(AJ9&lt;=last_year_vis,isOrgDeclare)</f>
        <v>0</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AY9&lt;=last_year_vis</f>
        <v>1</v>
      </c>
      <c r="AZ2" s="179">
        <f>AZ9&lt;=last_year_vis</f>
        <v>0</v>
      </c>
      <c r="BA2" s="179">
        <f>BA9&lt;=last_year_vis</f>
        <v>0</v>
      </c>
      <c r="BB2" s="179">
        <f>BB9&lt;=last_year_vis</f>
        <v>0</v>
      </c>
      <c r="BC2" s="179">
        <f>BC9&lt;=last_year_vis</f>
        <v>0</v>
      </c>
      <c r="BD2" s="179">
        <f>BD9&lt;=last_year_vis</f>
        <v>0</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U2" s="309"/>
      <c r="BV2" s="309"/>
      <c r="BW2" s="309"/>
      <c r="BX2" s="372"/>
      <c r="BY2" s="372"/>
      <c r="BZ2" s="1066"/>
      <c r="CA2" s="1066"/>
      <c r="CB2" s="1066"/>
      <c r="CC2" s="1066"/>
      <c r="CD2" s="1066"/>
      <c r="CE2" s="1066"/>
      <c r="CF2" s="1066"/>
      <c r="CG2" s="1066"/>
      <c r="CH2" s="1066"/>
      <c r="CI2" s="1066"/>
      <c r="CJ2" s="1066"/>
      <c r="CK2" s="1066"/>
    </row>
    <row s="1548" customFormat="1" customHeight="1" ht="11.25" hidden="1">
      <c r="A3" s="371"/>
      <c r="AC3" s="176"/>
      <c r="AF3" s="1548"/>
      <c r="AG3" s="1548"/>
      <c r="AH3" s="1548"/>
      <c r="AI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U3" s="309"/>
      <c r="BV3" s="309"/>
      <c r="BW3" s="309"/>
      <c r="BX3" s="372"/>
      <c r="BY3" s="372"/>
      <c r="BZ3" s="277"/>
      <c r="CA3" s="277"/>
      <c r="CB3" s="277"/>
      <c r="CC3" s="277"/>
      <c r="CD3" s="277"/>
      <c r="CE3" s="277"/>
      <c r="CF3" s="277"/>
      <c r="CG3" s="277"/>
      <c r="CH3" s="277"/>
      <c r="CI3" s="277"/>
      <c r="CJ3" s="277"/>
      <c r="CK3" s="277"/>
    </row>
    <row s="1548" customFormat="1" customHeight="1" ht="11.25" hidden="1">
      <c r="A4" s="371"/>
      <c r="AC4" s="176"/>
      <c r="AF4" s="1548"/>
      <c r="AG4" s="1548"/>
      <c r="AH4" s="1548"/>
      <c r="AI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U4" s="309"/>
      <c r="BV4" s="309"/>
      <c r="BW4" s="309"/>
      <c r="BX4" s="372"/>
      <c r="BY4" s="372"/>
      <c r="BZ4" s="277"/>
      <c r="CA4" s="277"/>
      <c r="CB4" s="277"/>
      <c r="CC4" s="277"/>
      <c r="CD4" s="277"/>
      <c r="CE4" s="277"/>
      <c r="CF4" s="277"/>
      <c r="CG4" s="277"/>
      <c r="CH4" s="277"/>
      <c r="CI4" s="277"/>
      <c r="CJ4" s="277"/>
      <c r="CK4" s="277"/>
    </row>
    <row s="1718" customFormat="1" customHeight="1" ht="11.25" hidden="1">
      <c r="A5" s="371"/>
      <c r="B5" s="175"/>
      <c r="C5" s="175"/>
      <c r="D5" s="175"/>
      <c r="E5" s="180" t="s">
        <v>17</v>
      </c>
      <c r="AA5" s="284">
        <v>3</v>
      </c>
      <c r="AB5" s="180">
        <v>6</v>
      </c>
      <c r="AC5" s="284">
        <v>52</v>
      </c>
      <c r="AD5" s="180">
        <v>14</v>
      </c>
      <c r="AE5" s="180">
        <v>15</v>
      </c>
      <c r="AF5" s="180">
        <v>15</v>
      </c>
      <c r="AG5" s="180">
        <v>15</v>
      </c>
      <c r="AH5" s="180">
        <v>15</v>
      </c>
      <c r="AI5" s="180">
        <v>15</v>
      </c>
      <c r="AJ5" s="180">
        <v>15</v>
      </c>
      <c r="AK5" s="180">
        <v>15</v>
      </c>
      <c r="AL5" s="180">
        <v>15</v>
      </c>
      <c r="AM5" s="180">
        <v>15</v>
      </c>
      <c r="AN5" s="180">
        <v>15</v>
      </c>
      <c r="AO5" s="180">
        <v>15</v>
      </c>
      <c r="AP5" s="180">
        <v>15</v>
      </c>
      <c r="AQ5" s="180">
        <v>15</v>
      </c>
      <c r="AR5" s="180">
        <v>15</v>
      </c>
      <c r="AS5" s="180">
        <v>15</v>
      </c>
      <c r="AT5" s="180">
        <v>15</v>
      </c>
      <c r="AU5" s="180">
        <v>15</v>
      </c>
      <c r="AV5" s="180">
        <v>15</v>
      </c>
      <c r="AW5" s="180">
        <v>15</v>
      </c>
      <c r="AX5" s="180">
        <v>15</v>
      </c>
      <c r="AY5" s="180">
        <v>15</v>
      </c>
      <c r="AZ5" s="180">
        <v>15</v>
      </c>
      <c r="BA5" s="180">
        <v>15</v>
      </c>
      <c r="BB5" s="180">
        <v>15</v>
      </c>
      <c r="BC5" s="180">
        <v>15</v>
      </c>
      <c r="BD5" s="180">
        <v>15</v>
      </c>
      <c r="BE5" s="180">
        <v>15</v>
      </c>
      <c r="BF5" s="180">
        <v>15</v>
      </c>
      <c r="BG5" s="180">
        <v>15</v>
      </c>
      <c r="BH5" s="180">
        <v>15</v>
      </c>
      <c r="BI5" s="180">
        <v>15</v>
      </c>
      <c r="BJ5" s="180">
        <v>15</v>
      </c>
      <c r="BK5" s="180">
        <v>15</v>
      </c>
      <c r="BL5" s="180">
        <v>15</v>
      </c>
      <c r="BM5" s="180">
        <v>15</v>
      </c>
      <c r="BN5" s="180">
        <v>15</v>
      </c>
      <c r="BO5" s="180">
        <v>15</v>
      </c>
      <c r="BP5" s="180">
        <v>15</v>
      </c>
      <c r="BQ5" s="180">
        <v>15</v>
      </c>
      <c r="BR5" s="180">
        <v>15</v>
      </c>
      <c r="BS5" s="180">
        <v>3</v>
      </c>
      <c r="BU5" s="309"/>
      <c r="BV5" s="309"/>
      <c r="BW5" s="309"/>
      <c r="BX5" s="372"/>
      <c r="BY5" s="372"/>
      <c r="BZ5" s="1067"/>
      <c r="CA5" s="1067"/>
      <c r="CB5" s="1067"/>
      <c r="CC5" s="1067"/>
      <c r="CD5" s="1067"/>
      <c r="CE5" s="1067"/>
      <c r="CF5" s="1067"/>
      <c r="CG5" s="1067"/>
      <c r="CH5" s="1067"/>
      <c r="CI5" s="1067"/>
      <c r="CJ5" s="1067"/>
      <c r="CK5" s="1067"/>
    </row>
    <row s="1548" customFormat="1" customHeight="1" ht="11.25" hidden="1">
      <c r="A6" s="371"/>
      <c r="E6" s="180"/>
      <c r="AC6" s="176"/>
      <c r="AF6" s="1548"/>
      <c r="AG6" s="1548"/>
      <c r="AH6" s="1548"/>
      <c r="AI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U6" s="309"/>
      <c r="BV6" s="309"/>
      <c r="BW6" s="309"/>
      <c r="BX6" s="372"/>
      <c r="BY6" s="372"/>
      <c r="BZ6" s="277"/>
      <c r="CA6" s="277"/>
      <c r="CB6" s="277"/>
      <c r="CC6" s="277"/>
      <c r="CD6" s="277"/>
      <c r="CE6" s="277"/>
      <c r="CF6" s="277"/>
      <c r="CG6" s="277"/>
      <c r="CH6" s="277"/>
      <c r="CI6" s="277"/>
      <c r="CJ6" s="277"/>
      <c r="CK6" s="277"/>
    </row>
    <row s="1659" customFormat="1" customHeight="1" ht="11.25" hidden="1">
      <c r="A7" s="371"/>
      <c r="B7" s="175"/>
      <c r="C7" s="175"/>
      <c r="D7" s="175"/>
      <c r="E7" s="180"/>
      <c r="G7" s="175"/>
      <c r="H7" s="175"/>
      <c r="I7" s="175"/>
      <c r="J7" s="175"/>
      <c r="K7" s="175"/>
      <c r="L7" s="175"/>
      <c r="M7" s="175"/>
      <c r="N7" s="175"/>
      <c r="O7" s="175"/>
      <c r="P7" s="175"/>
      <c r="Q7" s="175"/>
      <c r="R7" s="175"/>
      <c r="S7" s="175"/>
      <c r="Y7" s="175"/>
      <c r="AC7" s="308"/>
      <c r="AF7" s="1659"/>
      <c r="AG7" s="1659"/>
      <c r="AH7" s="1659"/>
      <c r="AI7" s="1659"/>
      <c r="AJ7" s="1659"/>
      <c r="AK7" s="1659"/>
      <c r="AL7" s="1659"/>
      <c r="AM7" s="1659"/>
      <c r="AN7" s="1659"/>
      <c r="AO7" s="1659"/>
      <c r="AP7" s="1659"/>
      <c r="AQ7" s="1659"/>
      <c r="AR7" s="1659"/>
      <c r="AS7" s="1659"/>
      <c r="AT7" s="1659"/>
      <c r="AU7" s="1659"/>
      <c r="AV7" s="1659"/>
      <c r="AW7" s="1659"/>
      <c r="AX7" s="1659"/>
      <c r="AY7" s="1659"/>
      <c r="AZ7" s="1659"/>
      <c r="BA7" s="1659"/>
      <c r="BB7" s="1659"/>
      <c r="BC7" s="1659"/>
      <c r="BD7" s="1659"/>
      <c r="BE7" s="1659"/>
      <c r="BF7" s="1659"/>
      <c r="BG7" s="1659"/>
      <c r="BH7" s="1659"/>
      <c r="BI7" s="1659"/>
      <c r="BJ7" s="1659"/>
      <c r="BK7" s="1659"/>
      <c r="BL7" s="1659"/>
      <c r="BM7" s="1659"/>
      <c r="BN7" s="1659"/>
      <c r="BO7" s="1659"/>
      <c r="BP7" s="1659"/>
      <c r="BQ7" s="1659"/>
      <c r="BR7" s="1659"/>
      <c r="BU7" s="309"/>
      <c r="BV7" s="309"/>
      <c r="BW7" s="309"/>
      <c r="BX7" s="372"/>
      <c r="BY7" s="372"/>
      <c r="BZ7" s="286"/>
      <c r="CA7" s="286"/>
      <c r="CB7" s="286"/>
      <c r="CC7" s="286"/>
      <c r="CD7" s="286"/>
      <c r="CE7" s="286"/>
      <c r="CF7" s="286"/>
      <c r="CG7" s="286"/>
      <c r="CH7" s="286"/>
      <c r="CI7" s="286"/>
      <c r="CJ7" s="286"/>
      <c r="CK7" s="286"/>
    </row>
    <row s="1659" customFormat="1" customHeight="1" ht="11.25" hidden="1">
      <c r="A8" s="371"/>
      <c r="B8" s="175"/>
      <c r="C8" s="175"/>
      <c r="D8" s="175"/>
      <c r="E8" s="180"/>
      <c r="G8" s="175"/>
      <c r="H8" s="175"/>
      <c r="I8" s="175"/>
      <c r="J8" s="175"/>
      <c r="K8" s="175"/>
      <c r="L8" s="175"/>
      <c r="M8" s="175"/>
      <c r="N8" s="175"/>
      <c r="O8" s="175"/>
      <c r="P8" s="175"/>
      <c r="Q8" s="175"/>
      <c r="R8" s="175"/>
      <c r="S8" s="175"/>
      <c r="Y8" s="175"/>
      <c r="AC8" s="308"/>
      <c r="AF8" s="1659"/>
      <c r="AG8" s="1659"/>
      <c r="AH8" s="1659"/>
      <c r="AI8" s="1659"/>
      <c r="AJ8" s="1659"/>
      <c r="AK8" s="1659"/>
      <c r="AL8" s="1659"/>
      <c r="AM8" s="1659"/>
      <c r="AN8" s="1659"/>
      <c r="AO8" s="1659"/>
      <c r="AP8" s="1659"/>
      <c r="AQ8" s="1659"/>
      <c r="AR8" s="1659"/>
      <c r="AS8" s="1659"/>
      <c r="AT8" s="1659"/>
      <c r="AU8" s="1659"/>
      <c r="AV8" s="1659"/>
      <c r="AW8" s="1659"/>
      <c r="AX8" s="1659"/>
      <c r="AY8" s="1659"/>
      <c r="AZ8" s="1659"/>
      <c r="BA8" s="1659"/>
      <c r="BB8" s="1659"/>
      <c r="BC8" s="1659"/>
      <c r="BD8" s="1659"/>
      <c r="BE8" s="1659"/>
      <c r="BF8" s="1659"/>
      <c r="BG8" s="1659"/>
      <c r="BH8" s="1659"/>
      <c r="BI8" s="1659"/>
      <c r="BJ8" s="1659"/>
      <c r="BK8" s="1659"/>
      <c r="BL8" s="1659"/>
      <c r="BM8" s="1659"/>
      <c r="BN8" s="1659"/>
      <c r="BO8" s="1659"/>
      <c r="BP8" s="1659"/>
      <c r="BQ8" s="1659"/>
      <c r="BR8" s="1659"/>
      <c r="BU8" s="309"/>
      <c r="BV8" s="309"/>
      <c r="BW8" s="309"/>
      <c r="BX8" s="372"/>
      <c r="BY8" s="372"/>
      <c r="BZ8" s="286"/>
      <c r="CA8" s="286"/>
      <c r="CB8" s="286"/>
      <c r="CC8" s="286"/>
      <c r="CD8" s="286"/>
      <c r="CE8" s="286"/>
      <c r="CF8" s="286"/>
      <c r="CG8" s="286"/>
      <c r="CH8" s="286"/>
      <c r="CI8" s="286"/>
      <c r="CJ8" s="286"/>
      <c r="CK8" s="286"/>
    </row>
    <row s="1143" customFormat="1" customHeight="1" ht="11.25" hidden="1">
      <c r="A9" s="309" t="s">
        <v>403</v>
      </c>
      <c r="AE9" s="312" cm="1" t="str">
        <f t="array" ref="AE9:AE9">god</f>
        <v>2027</v>
      </c>
      <c r="AF9" s="312">
        <f>god+1</f>
        <v>2028</v>
      </c>
      <c r="AG9" s="312">
        <f>god+2</f>
        <v>2029</v>
      </c>
      <c r="AH9" s="312">
        <f>god+3</f>
        <v>2030</v>
      </c>
      <c r="AI9" s="312">
        <f>god+4</f>
        <v>2031</v>
      </c>
      <c r="AJ9" s="312">
        <f>god+5</f>
        <v>2032</v>
      </c>
      <c r="AK9" s="312">
        <f>god+6</f>
        <v>2033</v>
      </c>
      <c r="AL9" s="312">
        <f>god+7</f>
        <v>2034</v>
      </c>
      <c r="AM9" s="312">
        <f>god+8</f>
        <v>2035</v>
      </c>
      <c r="AN9" s="312">
        <f>god+9</f>
        <v>2036</v>
      </c>
      <c r="AO9" s="312">
        <f>god+10</f>
        <v>2037</v>
      </c>
      <c r="AP9" s="312">
        <f>god+11</f>
        <v>2038</v>
      </c>
      <c r="AQ9" s="312">
        <f>god+12</f>
        <v>2039</v>
      </c>
      <c r="AR9" s="312">
        <f>god+13</f>
        <v>2040</v>
      </c>
      <c r="AS9" s="312">
        <f>god+14</f>
        <v>2041</v>
      </c>
      <c r="AT9" s="312">
        <f>god+15</f>
        <v>2042</v>
      </c>
      <c r="AU9" s="312">
        <f>god+16</f>
        <v>2043</v>
      </c>
      <c r="AV9" s="312">
        <f>god+17</f>
        <v>2044</v>
      </c>
      <c r="AW9" s="312">
        <f>god+18</f>
        <v>2045</v>
      </c>
      <c r="AX9" s="312">
        <f>god+19</f>
        <v>2046</v>
      </c>
      <c r="AY9" s="312" cm="1" t="str">
        <f t="array" ref="AY9:AY9">god</f>
        <v>2027</v>
      </c>
      <c r="AZ9" s="312">
        <f>god+1</f>
        <v>2028</v>
      </c>
      <c r="BA9" s="312">
        <f>god+2</f>
        <v>2029</v>
      </c>
      <c r="BB9" s="312">
        <f>god+3</f>
        <v>2030</v>
      </c>
      <c r="BC9" s="312">
        <f>god+4</f>
        <v>2031</v>
      </c>
      <c r="BD9" s="312">
        <f>god+5</f>
        <v>2032</v>
      </c>
      <c r="BE9" s="312">
        <f>god+6</f>
        <v>2033</v>
      </c>
      <c r="BF9" s="312">
        <f>god+7</f>
        <v>2034</v>
      </c>
      <c r="BG9" s="312">
        <f>god+8</f>
        <v>2035</v>
      </c>
      <c r="BH9" s="312">
        <f>god+9</f>
        <v>2036</v>
      </c>
      <c r="BI9" s="312">
        <f>god+10</f>
        <v>2037</v>
      </c>
      <c r="BJ9" s="312">
        <f>god+11</f>
        <v>2038</v>
      </c>
      <c r="BK9" s="312">
        <f>god+12</f>
        <v>2039</v>
      </c>
      <c r="BL9" s="312">
        <f>god+13</f>
        <v>2040</v>
      </c>
      <c r="BM9" s="312">
        <f>god+14</f>
        <v>2041</v>
      </c>
      <c r="BN9" s="312">
        <f>god+15</f>
        <v>2042</v>
      </c>
      <c r="BO9" s="312">
        <f>god+16</f>
        <v>2043</v>
      </c>
      <c r="BP9" s="312">
        <f>god+17</f>
        <v>2044</v>
      </c>
      <c r="BQ9" s="312">
        <f>god+18</f>
        <v>2045</v>
      </c>
      <c r="BR9" s="312">
        <f>god+19</f>
        <v>2046</v>
      </c>
      <c r="BU9" s="309"/>
      <c r="BV9" s="309"/>
      <c r="BW9" s="309"/>
      <c r="BX9" s="309"/>
      <c r="BY9" s="309"/>
      <c r="BZ9" s="1153"/>
      <c r="CA9" s="1153"/>
      <c r="CB9" s="1153"/>
      <c r="CC9" s="1153"/>
      <c r="CD9" s="1153"/>
      <c r="CE9" s="1153"/>
      <c r="CF9" s="1153"/>
      <c r="CG9" s="1153"/>
      <c r="CH9" s="1153"/>
      <c r="CI9" s="1153"/>
      <c r="CJ9" s="1153"/>
      <c r="CK9" s="1153"/>
    </row>
    <row s="1143" customFormat="1" customHeight="1" ht="11.25" hidden="1">
      <c r="A10" s="309" t="s">
        <v>404</v>
      </c>
      <c r="AE10" s="312" cm="1" t="str">
        <f t="array" ref="AE10:AE10">AE25</f>
        <v>Предложение организации</v>
      </c>
      <c r="AF10" s="312" cm="1" t="str">
        <f t="array" ref="AF10:AF10">AF25</f>
        <v>Предложение организации</v>
      </c>
      <c r="AG10" s="312" cm="1" t="str">
        <f t="array" ref="AG10:AG10">AG25</f>
        <v>Предложение организации</v>
      </c>
      <c r="AH10" s="312" cm="1" t="str">
        <f t="array" ref="AH10:AH10">AH25</f>
        <v>Предложение организации</v>
      </c>
      <c r="AI10" s="312" cm="1" t="str">
        <f t="array" ref="AI10:AI10">AI25</f>
        <v>Предложение организации</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Принято органом регулирования</v>
      </c>
      <c r="AZ10" s="312" cm="1" t="str">
        <f t="array" ref="AZ10:AZ10">AZ25</f>
        <v>Принято органом регулирования</v>
      </c>
      <c r="BA10" s="312" cm="1" t="str">
        <f t="array" ref="BA10:BA10">BA25</f>
        <v>Принято органом регулирования</v>
      </c>
      <c r="BB10" s="312" cm="1" t="str">
        <f t="array" ref="BB10:BB10">BB25</f>
        <v>Принято органом регулирования</v>
      </c>
      <c r="BC10" s="312" cm="1" t="str">
        <f t="array" ref="BC10:BC10">BC25</f>
        <v>Принято органом регулирования</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U10" s="309"/>
      <c r="BV10" s="309"/>
      <c r="BW10" s="309"/>
      <c r="BX10" s="309"/>
      <c r="BY10" s="309"/>
      <c r="BZ10" s="1153"/>
      <c r="CA10" s="1153"/>
      <c r="CB10" s="1153"/>
      <c r="CC10" s="1153"/>
      <c r="CD10" s="1153"/>
      <c r="CE10" s="1153"/>
      <c r="CF10" s="1153"/>
      <c r="CG10" s="1153"/>
      <c r="CH10" s="1153"/>
      <c r="CI10" s="1153"/>
      <c r="CJ10" s="1153"/>
      <c r="CK10" s="1153"/>
    </row>
    <row s="1143" customFormat="1" customHeight="1" ht="11.25" hidden="1">
      <c r="A11" s="309" t="s">
        <v>350</v>
      </c>
      <c r="AC11" s="326" t="s">
        <v>338</v>
      </c>
      <c r="AF11" s="1143"/>
      <c r="AG11" s="1143"/>
      <c r="AH11" s="1143"/>
      <c r="AI11" s="1143"/>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U11" s="309"/>
      <c r="BV11" s="309"/>
      <c r="BW11" s="309"/>
      <c r="BX11" s="309"/>
      <c r="BY11" s="309"/>
      <c r="BZ11" s="1153"/>
      <c r="CA11" s="1153"/>
      <c r="CB11" s="1153"/>
      <c r="CC11" s="1153"/>
      <c r="CD11" s="1153"/>
      <c r="CE11" s="1153"/>
      <c r="CF11" s="1153"/>
      <c r="CG11" s="1153"/>
      <c r="CH11" s="1153"/>
      <c r="CI11" s="1153"/>
      <c r="CJ11" s="1153"/>
      <c r="CK11" s="1153"/>
    </row>
    <row s="1548" customFormat="1" customHeight="1" ht="11.25" hidden="1">
      <c r="A12" s="978" t="s">
        <v>492</v>
      </c>
      <c r="E12" s="180"/>
      <c r="AC12" s="1088" t="s">
        <v>493</v>
      </c>
      <c r="AF12" s="1548"/>
      <c r="AG12" s="1548"/>
      <c r="AH12" s="1548"/>
      <c r="AI12" s="1548"/>
      <c r="AJ12" s="1548"/>
      <c r="AK12" s="1548"/>
      <c r="AL12" s="1548"/>
      <c r="AM12" s="1548"/>
      <c r="AN12" s="1548"/>
      <c r="AO12" s="1548"/>
      <c r="AP12" s="1548"/>
      <c r="AQ12" s="1548"/>
      <c r="AR12" s="1548"/>
      <c r="AS12" s="1548"/>
      <c r="AT12" s="1548"/>
      <c r="AU12" s="1548"/>
      <c r="AV12" s="1548"/>
      <c r="AW12" s="1548"/>
      <c r="AX12" s="1548"/>
      <c r="AY12" s="1548"/>
      <c r="AZ12" s="1548"/>
      <c r="BA12" s="1548"/>
      <c r="BB12" s="1548"/>
      <c r="BC12" s="1548"/>
      <c r="BD12" s="1548"/>
      <c r="BE12" s="1548"/>
      <c r="BF12" s="1548"/>
      <c r="BG12" s="1548"/>
      <c r="BH12" s="1548"/>
      <c r="BI12" s="1548"/>
      <c r="BJ12" s="1548"/>
      <c r="BK12" s="1548"/>
      <c r="BL12" s="1548"/>
      <c r="BM12" s="1548"/>
      <c r="BN12" s="1548"/>
      <c r="BO12" s="1548"/>
      <c r="BP12" s="1548"/>
      <c r="BQ12" s="1548"/>
      <c r="BR12" s="1548"/>
      <c r="BU12" s="309"/>
      <c r="BV12" s="309"/>
      <c r="BW12" s="309"/>
      <c r="BX12" s="372"/>
      <c r="BY12" s="372"/>
      <c r="BZ12" s="277"/>
      <c r="CA12" s="277"/>
      <c r="CB12" s="277"/>
      <c r="CC12" s="277"/>
      <c r="CD12" s="277"/>
      <c r="CE12" s="277"/>
      <c r="CF12" s="277"/>
      <c r="CG12" s="277"/>
      <c r="CH12" s="277"/>
      <c r="CI12" s="277"/>
      <c r="CJ12" s="277"/>
      <c r="CK12" s="277"/>
    </row>
    <row s="1548" customFormat="1" customHeight="1" ht="11.25" hidden="1">
      <c r="A13" s="371"/>
      <c r="E13" s="180"/>
      <c r="AC13" s="176"/>
      <c r="AF13" s="1548"/>
      <c r="AG13" s="1548"/>
      <c r="AH13" s="1548"/>
      <c r="AI13" s="1548"/>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U13" s="309"/>
      <c r="BV13" s="309"/>
      <c r="BW13" s="309"/>
      <c r="BX13" s="372"/>
      <c r="BY13" s="372"/>
      <c r="BZ13" s="277"/>
      <c r="CA13" s="277"/>
      <c r="CB13" s="277"/>
      <c r="CC13" s="277"/>
      <c r="CD13" s="277"/>
      <c r="CE13" s="277"/>
      <c r="CF13" s="277"/>
      <c r="CG13" s="277"/>
      <c r="CH13" s="277"/>
      <c r="CI13" s="277"/>
      <c r="CJ13" s="277"/>
      <c r="CK13" s="277"/>
    </row>
    <row s="1548" customFormat="1" customHeight="1" ht="11.25" hidden="1">
      <c r="A14" s="371" t="s">
        <v>406</v>
      </c>
      <c r="E14" s="180"/>
      <c r="AC14" s="176"/>
      <c r="AE14" s="1072" t="s">
        <v>408</v>
      </c>
      <c r="AF14" s="1072" t="s">
        <v>408</v>
      </c>
      <c r="AG14" s="1072" t="s">
        <v>408</v>
      </c>
      <c r="AH14" s="1072" t="s">
        <v>408</v>
      </c>
      <c r="AI14" s="1072" t="s">
        <v>408</v>
      </c>
      <c r="AJ14" s="1072" t="s">
        <v>408</v>
      </c>
      <c r="AK14" s="1072" t="s">
        <v>408</v>
      </c>
      <c r="AL14" s="1072" t="s">
        <v>408</v>
      </c>
      <c r="AM14" s="1072" t="s">
        <v>408</v>
      </c>
      <c r="AN14" s="1072" t="s">
        <v>408</v>
      </c>
      <c r="AO14" s="1072" t="s">
        <v>408</v>
      </c>
      <c r="AP14" s="1072" t="s">
        <v>408</v>
      </c>
      <c r="AQ14" s="1072" t="s">
        <v>408</v>
      </c>
      <c r="AR14" s="1072" t="s">
        <v>408</v>
      </c>
      <c r="AS14" s="1072" t="s">
        <v>408</v>
      </c>
      <c r="AT14" s="1072" t="s">
        <v>408</v>
      </c>
      <c r="AU14" s="1072" t="s">
        <v>408</v>
      </c>
      <c r="AV14" s="1072" t="s">
        <v>408</v>
      </c>
      <c r="AW14" s="1072" t="s">
        <v>408</v>
      </c>
      <c r="AX14" s="1072" t="s">
        <v>408</v>
      </c>
      <c r="AY14" s="1072" t="s">
        <v>407</v>
      </c>
      <c r="AZ14" s="1072" t="s">
        <v>407</v>
      </c>
      <c r="BA14" s="1072" t="s">
        <v>407</v>
      </c>
      <c r="BB14" s="1072" t="s">
        <v>407</v>
      </c>
      <c r="BC14" s="1072" t="s">
        <v>407</v>
      </c>
      <c r="BD14" s="1072" t="s">
        <v>407</v>
      </c>
      <c r="BE14" s="1072" t="s">
        <v>407</v>
      </c>
      <c r="BF14" s="1072" t="s">
        <v>407</v>
      </c>
      <c r="BG14" s="1072" t="s">
        <v>407</v>
      </c>
      <c r="BH14" s="1072" t="s">
        <v>407</v>
      </c>
      <c r="BI14" s="1072" t="s">
        <v>407</v>
      </c>
      <c r="BJ14" s="1072" t="s">
        <v>407</v>
      </c>
      <c r="BK14" s="1072" t="s">
        <v>407</v>
      </c>
      <c r="BL14" s="1072" t="s">
        <v>407</v>
      </c>
      <c r="BM14" s="1072" t="s">
        <v>407</v>
      </c>
      <c r="BN14" s="1072" t="s">
        <v>407</v>
      </c>
      <c r="BO14" s="1072" t="s">
        <v>407</v>
      </c>
      <c r="BP14" s="1072" t="s">
        <v>407</v>
      </c>
      <c r="BQ14" s="1072" t="s">
        <v>407</v>
      </c>
      <c r="BR14" s="1072" t="s">
        <v>407</v>
      </c>
      <c r="BU14" s="309"/>
      <c r="BV14" s="309"/>
      <c r="BW14" s="309"/>
      <c r="BX14" s="372"/>
      <c r="BY14" s="372"/>
      <c r="BZ14" s="0"/>
      <c r="CA14" s="0"/>
      <c r="CB14" s="0"/>
      <c r="CC14" s="0"/>
      <c r="CD14" s="0"/>
      <c r="CE14" s="0"/>
      <c r="CF14" s="0"/>
      <c r="CG14" s="0"/>
      <c r="CH14" s="0"/>
      <c r="CI14" s="0"/>
      <c r="CJ14" s="0"/>
      <c r="CK14" s="0"/>
    </row>
    <row s="1548" customFormat="1" customHeight="1" ht="11.25" hidden="1">
      <c r="A15" s="371" t="s">
        <v>409</v>
      </c>
      <c r="E15" s="180"/>
      <c r="AC15" s="176"/>
      <c r="AE15" s="1072" t="s">
        <v>411</v>
      </c>
      <c r="AF15" s="1072" t="s">
        <v>411</v>
      </c>
      <c r="AG15" s="1072" t="s">
        <v>411</v>
      </c>
      <c r="AH15" s="1072" t="s">
        <v>411</v>
      </c>
      <c r="AI15" s="1072" t="s">
        <v>411</v>
      </c>
      <c r="AJ15" s="1072" t="s">
        <v>411</v>
      </c>
      <c r="AK15" s="1072" t="s">
        <v>411</v>
      </c>
      <c r="AL15" s="1072" t="s">
        <v>411</v>
      </c>
      <c r="AM15" s="1072" t="s">
        <v>411</v>
      </c>
      <c r="AN15" s="1072" t="s">
        <v>411</v>
      </c>
      <c r="AO15" s="1072" t="s">
        <v>411</v>
      </c>
      <c r="AP15" s="1072" t="s">
        <v>411</v>
      </c>
      <c r="AQ15" s="1072" t="s">
        <v>411</v>
      </c>
      <c r="AR15" s="1072" t="s">
        <v>411</v>
      </c>
      <c r="AS15" s="1072" t="s">
        <v>411</v>
      </c>
      <c r="AT15" s="1072" t="s">
        <v>411</v>
      </c>
      <c r="AU15" s="1072" t="s">
        <v>411</v>
      </c>
      <c r="AV15" s="1072" t="s">
        <v>411</v>
      </c>
      <c r="AW15" s="1072" t="s">
        <v>411</v>
      </c>
      <c r="AX15" s="1072" t="s">
        <v>411</v>
      </c>
      <c r="AY15" s="1072" t="s">
        <v>410</v>
      </c>
      <c r="AZ15" s="1072" t="s">
        <v>410</v>
      </c>
      <c r="BA15" s="1072" t="s">
        <v>410</v>
      </c>
      <c r="BB15" s="1072" t="s">
        <v>410</v>
      </c>
      <c r="BC15" s="1072" t="s">
        <v>410</v>
      </c>
      <c r="BD15" s="1072" t="s">
        <v>410</v>
      </c>
      <c r="BE15" s="1072" t="s">
        <v>410</v>
      </c>
      <c r="BF15" s="1072" t="s">
        <v>410</v>
      </c>
      <c r="BG15" s="1072" t="s">
        <v>410</v>
      </c>
      <c r="BH15" s="1072" t="s">
        <v>410</v>
      </c>
      <c r="BI15" s="1072" t="s">
        <v>410</v>
      </c>
      <c r="BJ15" s="1072" t="s">
        <v>410</v>
      </c>
      <c r="BK15" s="1072" t="s">
        <v>410</v>
      </c>
      <c r="BL15" s="1072" t="s">
        <v>410</v>
      </c>
      <c r="BM15" s="1072" t="s">
        <v>410</v>
      </c>
      <c r="BN15" s="1072" t="s">
        <v>410</v>
      </c>
      <c r="BO15" s="1072" t="s">
        <v>410</v>
      </c>
      <c r="BP15" s="1072" t="s">
        <v>410</v>
      </c>
      <c r="BQ15" s="1072" t="s">
        <v>410</v>
      </c>
      <c r="BR15" s="1072" t="s">
        <v>410</v>
      </c>
      <c r="BU15" s="309"/>
      <c r="BV15" s="309"/>
      <c r="BW15" s="309"/>
      <c r="BX15" s="372"/>
      <c r="BY15" s="372"/>
      <c r="BZ15" s="0"/>
      <c r="CA15" s="0"/>
      <c r="CB15" s="0"/>
      <c r="CC15" s="0"/>
      <c r="CD15" s="0"/>
      <c r="CE15" s="0"/>
      <c r="CF15" s="0"/>
      <c r="CG15" s="0"/>
      <c r="CH15" s="0"/>
      <c r="CI15" s="0"/>
      <c r="CJ15" s="0"/>
      <c r="CK15" s="0"/>
    </row>
    <row s="1548" customFormat="1" customHeight="1" ht="11.25" hidden="1">
      <c r="A16" s="371" t="s">
        <v>109</v>
      </c>
      <c r="E16" s="180"/>
      <c r="AC16" s="176"/>
      <c r="AE16" s="1148" t="str">
        <f>"389.0."&amp;AE9-2010&amp;"."</f>
        <v>389.0.17.</v>
      </c>
      <c r="AF16" s="1148" t="str">
        <f>"389.0."&amp;AF9-2010&amp;"."</f>
        <v>389.0.18.</v>
      </c>
      <c r="AG16" s="1148" t="str">
        <f>"389.0."&amp;AG9-2010&amp;"."</f>
        <v>389.0.19.</v>
      </c>
      <c r="AH16" s="1148" t="str">
        <f>"389.0."&amp;AH9-2010&amp;"."</f>
        <v>389.0.20.</v>
      </c>
      <c r="AI16" s="1148" t="str">
        <f>"389.0."&amp;AI9-2010&amp;"."</f>
        <v>389.0.21.</v>
      </c>
      <c r="AJ16" s="1148" t="str">
        <f>"389.0."&amp;AJ9-2010&amp;"."</f>
        <v>389.0.22.</v>
      </c>
      <c r="AK16" s="1148" t="str">
        <f>"389.0."&amp;AK9-2010&amp;"."</f>
        <v>389.0.23.</v>
      </c>
      <c r="AL16" s="1148" t="str">
        <f>"389.0."&amp;AL9-2010&amp;"."</f>
        <v>389.0.24.</v>
      </c>
      <c r="AM16" s="1148" t="str">
        <f>"389.0."&amp;AM9-2010&amp;"."</f>
        <v>389.0.25.</v>
      </c>
      <c r="AN16" s="1148" t="str">
        <f>"389.0."&amp;AN9-2010&amp;"."</f>
        <v>389.0.26.</v>
      </c>
      <c r="AO16" s="1148" t="str">
        <f>"389.0."&amp;AO9-2010&amp;"."</f>
        <v>389.0.27.</v>
      </c>
      <c r="AP16" s="1148" t="str">
        <f>"389.0."&amp;AP9-2010&amp;"."</f>
        <v>389.0.28.</v>
      </c>
      <c r="AQ16" s="1148" t="str">
        <f>"389.0."&amp;AQ9-2010&amp;"."</f>
        <v>389.0.29.</v>
      </c>
      <c r="AR16" s="1148" t="str">
        <f>"389.0."&amp;AR9-2010&amp;"."</f>
        <v>389.0.30.</v>
      </c>
      <c r="AS16" s="1148" t="str">
        <f>"389.0."&amp;AS9-2010&amp;"."</f>
        <v>389.0.31.</v>
      </c>
      <c r="AT16" s="1148" t="str">
        <f>"389.0."&amp;AT9-2010&amp;"."</f>
        <v>389.0.32.</v>
      </c>
      <c r="AU16" s="1148" t="str">
        <f>"389.0."&amp;AU9-2010&amp;"."</f>
        <v>389.0.33.</v>
      </c>
      <c r="AV16" s="1148" t="str">
        <f>"389.0."&amp;AV9-2010&amp;"."</f>
        <v>389.0.34.</v>
      </c>
      <c r="AW16" s="1148" t="str">
        <f>"389.0."&amp;AW9-2010&amp;"."</f>
        <v>389.0.35.</v>
      </c>
      <c r="AX16" s="1148" t="str">
        <f>"389.0."&amp;AX9-2010&amp;"."</f>
        <v>389.0.36.</v>
      </c>
      <c r="AY16" s="1148" t="str">
        <f>"389.0."&amp;AY9-2010&amp;"."</f>
        <v>389.0.17.</v>
      </c>
      <c r="AZ16" s="1148" t="str">
        <f>"389.0."&amp;AZ9-2010&amp;"."</f>
        <v>389.0.18.</v>
      </c>
      <c r="BA16" s="1148" t="str">
        <f>"389.0."&amp;BA9-2010&amp;"."</f>
        <v>389.0.19.</v>
      </c>
      <c r="BB16" s="1148" t="str">
        <f>"389.0."&amp;BB9-2010&amp;"."</f>
        <v>389.0.20.</v>
      </c>
      <c r="BC16" s="1148" t="str">
        <f>"389.0."&amp;BC9-2010&amp;"."</f>
        <v>389.0.21.</v>
      </c>
      <c r="BD16" s="1148" t="str">
        <f>"389.0."&amp;BD9-2010&amp;"."</f>
        <v>389.0.22.</v>
      </c>
      <c r="BE16" s="1148" t="str">
        <f>"389.0."&amp;BE9-2010&amp;"."</f>
        <v>389.0.23.</v>
      </c>
      <c r="BF16" s="1148" t="str">
        <f>"389.0."&amp;BF9-2010&amp;"."</f>
        <v>389.0.24.</v>
      </c>
      <c r="BG16" s="1148" t="str">
        <f>"389.0."&amp;BG9-2010&amp;"."</f>
        <v>389.0.25.</v>
      </c>
      <c r="BH16" s="1148" t="str">
        <f>"389.0."&amp;BH9-2010&amp;"."</f>
        <v>389.0.26.</v>
      </c>
      <c r="BI16" s="1148" t="str">
        <f>"389.0."&amp;BI9-2010&amp;"."</f>
        <v>389.0.27.</v>
      </c>
      <c r="BJ16" s="1148" t="str">
        <f>"389.0."&amp;BJ9-2010&amp;"."</f>
        <v>389.0.28.</v>
      </c>
      <c r="BK16" s="1148" t="str">
        <f>"389.0."&amp;BK9-2010&amp;"."</f>
        <v>389.0.29.</v>
      </c>
      <c r="BL16" s="1148" t="str">
        <f>"389.0."&amp;BL9-2010&amp;"."</f>
        <v>389.0.30.</v>
      </c>
      <c r="BM16" s="1148" t="str">
        <f>"389.0."&amp;BM9-2010&amp;"."</f>
        <v>389.0.31.</v>
      </c>
      <c r="BN16" s="1148" t="str">
        <f>"389.0."&amp;BN9-2010&amp;"."</f>
        <v>389.0.32.</v>
      </c>
      <c r="BO16" s="1148" t="str">
        <f>"389.0."&amp;BO9-2010&amp;"."</f>
        <v>389.0.33.</v>
      </c>
      <c r="BP16" s="1148" t="str">
        <f>"389.0."&amp;BP9-2010&amp;"."</f>
        <v>389.0.34.</v>
      </c>
      <c r="BQ16" s="1148" t="str">
        <f>"389.0."&amp;BQ9-2010&amp;"."</f>
        <v>389.0.35.</v>
      </c>
      <c r="BR16" s="1148" t="str">
        <f>"389.0."&amp;BR9-2010&amp;"."</f>
        <v>389.0.36.</v>
      </c>
      <c r="BU16" s="309"/>
      <c r="BV16" s="309"/>
      <c r="BW16" s="309"/>
      <c r="BX16" s="372"/>
      <c r="BY16" s="372"/>
      <c r="BZ16" s="0"/>
      <c r="CA16" s="0"/>
      <c r="CB16" s="0"/>
      <c r="CC16" s="0"/>
      <c r="CD16" s="0"/>
      <c r="CE16" s="0"/>
      <c r="CF16" s="0"/>
      <c r="CG16" s="0"/>
      <c r="CH16" s="0"/>
      <c r="CI16" s="0"/>
      <c r="CJ16" s="0"/>
      <c r="CK16" s="0"/>
    </row>
    <row s="1548" customFormat="1" customHeight="1" ht="11.25" hidden="1">
      <c r="A17" s="371" t="s">
        <v>351</v>
      </c>
      <c r="E17" s="180"/>
      <c r="AC17" s="176"/>
      <c r="AF17" s="1548"/>
      <c r="AG17" s="1548"/>
      <c r="AH17" s="1548"/>
      <c r="AI17" s="1548"/>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U17" s="309"/>
      <c r="BV17" s="309"/>
      <c r="BW17" s="309"/>
      <c r="BX17" s="372"/>
      <c r="BY17" s="372"/>
      <c r="BZ17" s="0"/>
      <c r="CA17" s="0"/>
      <c r="CB17" s="0"/>
      <c r="CC17" s="0"/>
      <c r="CD17" s="0"/>
      <c r="CE17" s="0"/>
      <c r="CF17" s="0"/>
      <c r="CG17" s="0"/>
      <c r="CH17" s="0"/>
      <c r="CI17" s="0"/>
      <c r="CJ17" s="0"/>
      <c r="CK17" s="0"/>
    </row>
    <row s="1548" customFormat="1" customHeight="1" ht="11.25" hidden="1">
      <c r="A18" s="371" t="s">
        <v>352</v>
      </c>
      <c r="E18" s="180"/>
      <c r="AC18" s="176"/>
      <c r="AF18" s="1548"/>
      <c r="AG18" s="1548"/>
      <c r="AH18" s="1548"/>
      <c r="AI18" s="1548"/>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U18" s="309"/>
      <c r="BV18" s="309"/>
      <c r="BW18" s="309"/>
      <c r="BX18" s="372"/>
      <c r="BY18" s="372"/>
      <c r="BZ18" s="0"/>
      <c r="CA18" s="0"/>
      <c r="CB18" s="0"/>
      <c r="CC18" s="0"/>
      <c r="CD18" s="0"/>
      <c r="CE18" s="0"/>
      <c r="CF18" s="0"/>
      <c r="CG18" s="0"/>
      <c r="CH18" s="0"/>
      <c r="CI18" s="0"/>
      <c r="CJ18" s="0"/>
      <c r="CK18" s="0"/>
    </row>
    <row s="1548" customFormat="1" customHeight="1" ht="11.25" hidden="1">
      <c r="A19" s="371" t="s">
        <v>379</v>
      </c>
      <c r="E19" s="180"/>
      <c r="AC19" s="176"/>
      <c r="AF19" s="1548"/>
      <c r="AG19" s="1548"/>
      <c r="AH19" s="1548"/>
      <c r="AI19" s="1548"/>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U19" s="309"/>
      <c r="BV19" s="309"/>
      <c r="BW19" s="309"/>
      <c r="BX19" s="372"/>
      <c r="BY19" s="372"/>
      <c r="BZ19" s="0"/>
      <c r="CA19" s="0"/>
      <c r="CB19" s="0"/>
      <c r="CC19" s="0"/>
      <c r="CD19" s="0"/>
      <c r="CE19" s="0"/>
      <c r="CF19" s="0"/>
      <c r="CG19" s="0"/>
      <c r="CH19" s="0"/>
      <c r="CI19" s="0"/>
      <c r="CJ19" s="0"/>
      <c r="CK19" s="0"/>
    </row>
    <row s="1548" customFormat="1" customHeight="1" ht="11.25" hidden="1">
      <c r="A20" s="371"/>
      <c r="E20" s="180"/>
      <c r="AC20" s="176"/>
      <c r="AF20" s="1548"/>
      <c r="AG20" s="1548"/>
      <c r="AH20" s="1548"/>
      <c r="AI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U20" s="309"/>
      <c r="BV20" s="309"/>
      <c r="BW20" s="309"/>
      <c r="BX20" s="372"/>
      <c r="BY20" s="372"/>
      <c r="BZ20" s="277"/>
      <c r="CA20" s="277"/>
      <c r="CB20" s="277"/>
      <c r="CC20" s="277"/>
      <c r="CD20" s="277"/>
      <c r="CE20" s="277"/>
      <c r="CF20" s="277"/>
      <c r="CG20" s="277"/>
      <c r="CH20" s="277"/>
      <c r="CI20" s="277"/>
      <c r="CJ20" s="277"/>
      <c r="CK20" s="277"/>
    </row>
    <row customHeight="1" ht="14.625">
      <c r="E21" s="180">
        <v>15</v>
      </c>
      <c r="AA21" s="182"/>
      <c r="AC21" s="278" cm="1" t="str">
        <f t="array" ref="AC21:AC21">tpl_title</f>
        <v>Кемеровская область / 2027 / ООО "КК-ИНВЕСТ" (ИНН:1901133713, КПП:190101001) / ДПР: 2025-2027</v>
      </c>
      <c r="AD21" s="371"/>
      <c r="AF21" s="1727"/>
      <c r="AG21" s="1727"/>
      <c r="AH21" s="1727"/>
      <c r="AI21" s="1727"/>
      <c r="AJ21" s="1727"/>
      <c r="AK21" s="1727"/>
      <c r="AL21" s="1727"/>
      <c r="AM21" s="1727"/>
      <c r="AN21" s="1727"/>
      <c r="AO21" s="1727"/>
      <c r="AP21" s="1727"/>
      <c r="AQ21" s="1727"/>
      <c r="AR21" s="1727"/>
      <c r="AS21" s="1727"/>
      <c r="AT21" s="1727"/>
      <c r="AU21" s="1727"/>
      <c r="AV21" s="1727"/>
      <c r="AW21" s="1727"/>
      <c r="AX21" s="1727"/>
      <c r="AY21" s="1727"/>
      <c r="AZ21" s="1727"/>
      <c r="BA21" s="1727"/>
      <c r="BB21" s="1727"/>
      <c r="BC21" s="1727"/>
      <c r="BD21" s="1727"/>
      <c r="BE21" s="1727"/>
      <c r="BF21" s="1727"/>
      <c r="BG21" s="1727"/>
      <c r="BH21" s="1727"/>
      <c r="BI21" s="1727"/>
      <c r="BJ21" s="1727"/>
      <c r="BK21" s="1727"/>
      <c r="BL21" s="1727"/>
      <c r="BM21" s="1727"/>
      <c r="BN21" s="1727"/>
      <c r="BO21" s="1727"/>
      <c r="BP21" s="1727"/>
      <c r="BQ21" s="1727"/>
      <c r="BR21" s="1727"/>
    </row>
    <row customHeight="1" ht="21.450000000000003">
      <c r="E22" s="180">
        <v>22</v>
      </c>
      <c r="AB22" s="373" t="s">
        <v>30</v>
      </c>
      <c r="AC22" s="374"/>
      <c r="AD22" s="374"/>
      <c r="AE22" s="375"/>
      <c r="AF22" s="375"/>
      <c r="AG22" s="375"/>
      <c r="AH22" s="375"/>
      <c r="AI22" s="375"/>
      <c r="AJ22" s="375"/>
      <c r="AK22" s="375"/>
      <c r="AL22" s="375"/>
      <c r="AM22" s="375"/>
      <c r="AN22" s="375"/>
      <c r="AO22" s="375"/>
      <c r="AP22" s="375"/>
      <c r="AQ22" s="375"/>
      <c r="AR22" s="375"/>
      <c r="AS22" s="375"/>
      <c r="AT22" s="375"/>
      <c r="AU22" s="375"/>
      <c r="AV22" s="375"/>
      <c r="AW22" s="375"/>
      <c r="AX22" s="375"/>
      <c r="AY22" s="375"/>
      <c r="AZ22" s="375"/>
      <c r="BA22" s="375"/>
      <c r="BB22" s="375"/>
      <c r="BC22" s="375"/>
      <c r="BD22" s="375"/>
      <c r="BE22" s="375"/>
      <c r="BF22" s="375"/>
      <c r="BG22" s="375"/>
      <c r="BH22" s="375"/>
      <c r="BI22" s="375"/>
      <c r="BJ22" s="375"/>
      <c r="BK22" s="375"/>
      <c r="BL22" s="375"/>
      <c r="BM22" s="375"/>
      <c r="BN22" s="375"/>
      <c r="BO22" s="375"/>
      <c r="BP22" s="375"/>
      <c r="BQ22" s="375"/>
      <c r="BR22" s="375"/>
    </row>
    <row s="376" customFormat="1" customHeight="1" ht="10.725000000000001">
      <c r="A23" s="371"/>
      <c r="B23" s="175"/>
      <c r="C23" s="175"/>
      <c r="D23" s="175"/>
      <c r="E23" s="180">
        <v>11</v>
      </c>
      <c r="F23" s="175"/>
      <c r="G23" s="175"/>
      <c r="H23" s="175"/>
      <c r="I23" s="175"/>
      <c r="J23" s="175"/>
      <c r="K23" s="175"/>
      <c r="L23" s="175"/>
      <c r="M23" s="175"/>
      <c r="N23" s="175"/>
      <c r="O23" s="175"/>
      <c r="P23" s="175"/>
      <c r="Q23" s="175"/>
      <c r="R23" s="175"/>
      <c r="S23" s="175"/>
      <c r="T23" s="175"/>
      <c r="U23" s="175"/>
      <c r="V23" s="175"/>
      <c r="W23" s="175"/>
      <c r="X23" s="175"/>
      <c r="Y23" s="175"/>
      <c r="Z23" s="175"/>
      <c r="AB23" s="377"/>
      <c r="AC23" s="378"/>
      <c r="AD23" s="175"/>
      <c r="AE23" s="379"/>
      <c r="AF23" s="379"/>
      <c r="AG23" s="379"/>
      <c r="AH23" s="379"/>
      <c r="AI23" s="379"/>
      <c r="AJ23" s="379"/>
      <c r="AK23" s="379"/>
      <c r="AL23" s="379"/>
      <c r="AM23" s="379"/>
      <c r="AN23" s="379"/>
      <c r="AO23" s="379"/>
      <c r="AP23" s="379"/>
      <c r="AQ23" s="379"/>
      <c r="AR23" s="379"/>
      <c r="AS23" s="379"/>
      <c r="AT23" s="379"/>
      <c r="AU23" s="379"/>
      <c r="AV23" s="379"/>
      <c r="AW23" s="379"/>
      <c r="AX23" s="379"/>
      <c r="AY23" s="379"/>
      <c r="AZ23" s="379"/>
      <c r="BA23" s="379"/>
      <c r="BB23" s="379"/>
      <c r="BC23" s="379"/>
      <c r="BD23" s="379"/>
      <c r="BE23" s="379"/>
      <c r="BF23" s="379"/>
      <c r="BG23" s="379"/>
      <c r="BH23" s="379"/>
      <c r="BI23" s="379"/>
      <c r="BJ23" s="379"/>
      <c r="BK23" s="379"/>
      <c r="BL23" s="379"/>
      <c r="BM23" s="379"/>
      <c r="BN23" s="379"/>
      <c r="BO23" s="379"/>
      <c r="BP23" s="379"/>
      <c r="BQ23" s="379"/>
      <c r="BR23" s="379"/>
      <c r="BS23" s="379"/>
      <c r="BU23" s="309"/>
      <c r="BV23" s="309"/>
      <c r="BW23" s="309"/>
      <c r="BX23" s="372"/>
      <c r="BY23" s="372"/>
      <c r="BZ23" s="379"/>
      <c r="CA23" s="379"/>
      <c r="CB23" s="379"/>
      <c r="CC23" s="379"/>
      <c r="CD23" s="379"/>
      <c r="CE23" s="379"/>
      <c r="CF23" s="379"/>
      <c r="CG23" s="379"/>
      <c r="CH23" s="379"/>
      <c r="CI23" s="379"/>
      <c r="CJ23" s="379"/>
      <c r="CK23" s="379"/>
    </row>
    <row customHeight="1" ht="14.625">
      <c r="E24" s="180">
        <v>15</v>
      </c>
      <c r="AB24" s="1589" t="s">
        <v>355</v>
      </c>
      <c r="AC24" s="1589" t="s">
        <v>493</v>
      </c>
      <c r="AD24" s="1591" t="s">
        <v>413</v>
      </c>
      <c r="AE24" s="382" t="str">
        <f>god&amp;" год"</f>
        <v>2027 год</v>
      </c>
      <c r="AF24" s="383" t="str">
        <f>god+1&amp;" год"</f>
        <v>2028 год</v>
      </c>
      <c r="AG24" s="382" t="str">
        <f>god+2&amp;" год"</f>
        <v>2029 год</v>
      </c>
      <c r="AH24" s="382" t="str">
        <f>god+3&amp;" год"</f>
        <v>2030 год</v>
      </c>
      <c r="AI24" s="382" t="str">
        <f>god+4&amp;" год"</f>
        <v>2031 год</v>
      </c>
      <c r="AJ24" s="382" t="str">
        <f>god+5&amp;" год"</f>
        <v>2032 год</v>
      </c>
      <c r="AK24" s="382" t="str">
        <f>god+6&amp;" год"</f>
        <v>2033 год</v>
      </c>
      <c r="AL24" s="382" t="str">
        <f>god+7&amp;" год"</f>
        <v>2034 год</v>
      </c>
      <c r="AM24" s="382" t="str">
        <f>god+8&amp;" год"</f>
        <v>2035 год</v>
      </c>
      <c r="AN24" s="382" t="str">
        <f>god+9&amp;" год"</f>
        <v>2036 год</v>
      </c>
      <c r="AO24" s="382" t="str">
        <f>god+10&amp;" год"</f>
        <v>2037 год</v>
      </c>
      <c r="AP24" s="382" t="str">
        <f>god+11&amp;" год"</f>
        <v>2038 год</v>
      </c>
      <c r="AQ24" s="382" t="str">
        <f>god+12&amp;" год"</f>
        <v>2039 год</v>
      </c>
      <c r="AR24" s="382" t="str">
        <f>god+13&amp;" год"</f>
        <v>2040 год</v>
      </c>
      <c r="AS24" s="382" t="str">
        <f>god+14&amp;" год"</f>
        <v>2041 год</v>
      </c>
      <c r="AT24" s="382" t="str">
        <f>god+15&amp;" год"</f>
        <v>2042 год</v>
      </c>
      <c r="AU24" s="382" t="str">
        <f>god+16&amp;" год"</f>
        <v>2043 год</v>
      </c>
      <c r="AV24" s="382" t="str">
        <f>god+17&amp;" год"</f>
        <v>2044 год</v>
      </c>
      <c r="AW24" s="382" t="str">
        <f>god+18&amp;" год"</f>
        <v>2045 год</v>
      </c>
      <c r="AX24" s="382" t="str">
        <f>god+19&amp;" год"</f>
        <v>2046 год</v>
      </c>
      <c r="AY24" s="384" t="str">
        <f>god&amp;" год"</f>
        <v>2027 год</v>
      </c>
      <c r="AZ24" s="384" t="str">
        <f>god+1&amp;" год"</f>
        <v>2028 год</v>
      </c>
      <c r="BA24" s="384" t="str">
        <f>god+2&amp;" год"</f>
        <v>2029 год</v>
      </c>
      <c r="BB24" s="384" t="str">
        <f>god+3&amp;" год"</f>
        <v>2030 год</v>
      </c>
      <c r="BC24" s="384" t="str">
        <f>god+4&amp;" год"</f>
        <v>2031 год</v>
      </c>
      <c r="BD24" s="384" t="str">
        <f>god+5&amp;" год"</f>
        <v>2032 год</v>
      </c>
      <c r="BE24" s="384" t="str">
        <f>god+6&amp;" год"</f>
        <v>2033 год</v>
      </c>
      <c r="BF24" s="384" t="str">
        <f>god+7&amp;" год"</f>
        <v>2034 год</v>
      </c>
      <c r="BG24" s="384" t="str">
        <f>god+8&amp;" год"</f>
        <v>2035 год</v>
      </c>
      <c r="BH24" s="384" t="str">
        <f>god+9&amp;" год"</f>
        <v>2036 год</v>
      </c>
      <c r="BI24" s="384" t="str">
        <f>god+10&amp;" год"</f>
        <v>2037 год</v>
      </c>
      <c r="BJ24" s="384" t="str">
        <f>god+11&amp;" год"</f>
        <v>2038 год</v>
      </c>
      <c r="BK24" s="384" t="str">
        <f>god+12&amp;" год"</f>
        <v>2039 год</v>
      </c>
      <c r="BL24" s="384" t="str">
        <f>god+13&amp;" год"</f>
        <v>2040 год</v>
      </c>
      <c r="BM24" s="384" t="str">
        <f>god+14&amp;" год"</f>
        <v>2041 год</v>
      </c>
      <c r="BN24" s="384" t="str">
        <f>god+15&amp;" год"</f>
        <v>2042 год</v>
      </c>
      <c r="BO24" s="384" t="str">
        <f>god+16&amp;" год"</f>
        <v>2043 год</v>
      </c>
      <c r="BP24" s="384" t="str">
        <f>god+17&amp;" год"</f>
        <v>2044 год</v>
      </c>
      <c r="BQ24" s="384" t="str">
        <f>god+18&amp;" год"</f>
        <v>2045 год</v>
      </c>
      <c r="BR24" s="384" t="str">
        <f>god+19&amp;" год"</f>
        <v>2046 год</v>
      </c>
    </row>
    <row customHeight="1" ht="67.275">
      <c r="E25" s="180">
        <v>69</v>
      </c>
      <c r="AB25" s="1590"/>
      <c r="AC25" s="1589"/>
      <c r="AD25" s="1591"/>
      <c r="AE25" s="382" t="s">
        <v>416</v>
      </c>
      <c r="AF25" s="383" t="s">
        <v>416</v>
      </c>
      <c r="AG25" s="382" t="s">
        <v>416</v>
      </c>
      <c r="AH25" s="382" t="s">
        <v>416</v>
      </c>
      <c r="AI25" s="382" t="s">
        <v>416</v>
      </c>
      <c r="AJ25" s="382" t="s">
        <v>416</v>
      </c>
      <c r="AK25" s="382" t="s">
        <v>416</v>
      </c>
      <c r="AL25" s="382" t="s">
        <v>416</v>
      </c>
      <c r="AM25" s="382" t="s">
        <v>416</v>
      </c>
      <c r="AN25" s="382" t="s">
        <v>416</v>
      </c>
      <c r="AO25" s="382" t="s">
        <v>416</v>
      </c>
      <c r="AP25" s="382" t="s">
        <v>416</v>
      </c>
      <c r="AQ25" s="382" t="s">
        <v>416</v>
      </c>
      <c r="AR25" s="382" t="s">
        <v>416</v>
      </c>
      <c r="AS25" s="382" t="s">
        <v>416</v>
      </c>
      <c r="AT25" s="382" t="s">
        <v>416</v>
      </c>
      <c r="AU25" s="382" t="s">
        <v>416</v>
      </c>
      <c r="AV25" s="382" t="s">
        <v>416</v>
      </c>
      <c r="AW25" s="382" t="s">
        <v>416</v>
      </c>
      <c r="AX25" s="382" t="s">
        <v>416</v>
      </c>
      <c r="AY25" s="384" t="s">
        <v>415</v>
      </c>
      <c r="AZ25" s="384" t="s">
        <v>415</v>
      </c>
      <c r="BA25" s="384" t="s">
        <v>415</v>
      </c>
      <c r="BB25" s="384" t="s">
        <v>415</v>
      </c>
      <c r="BC25" s="384" t="s">
        <v>415</v>
      </c>
      <c r="BD25" s="384" t="s">
        <v>415</v>
      </c>
      <c r="BE25" s="384" t="s">
        <v>415</v>
      </c>
      <c r="BF25" s="384" t="s">
        <v>415</v>
      </c>
      <c r="BG25" s="384" t="s">
        <v>415</v>
      </c>
      <c r="BH25" s="384" t="s">
        <v>415</v>
      </c>
      <c r="BI25" s="384" t="s">
        <v>415</v>
      </c>
      <c r="BJ25" s="384" t="s">
        <v>415</v>
      </c>
      <c r="BK25" s="384" t="s">
        <v>415</v>
      </c>
      <c r="BL25" s="384" t="s">
        <v>415</v>
      </c>
      <c r="BM25" s="384" t="s">
        <v>415</v>
      </c>
      <c r="BN25" s="384" t="s">
        <v>415</v>
      </c>
      <c r="BO25" s="384" t="s">
        <v>415</v>
      </c>
      <c r="BP25" s="384" t="s">
        <v>415</v>
      </c>
      <c r="BQ25" s="384" t="s">
        <v>415</v>
      </c>
      <c r="BR25" s="384" t="s">
        <v>415</v>
      </c>
    </row>
    <row customHeight="1" ht="23.400000000000002">
      <c r="E26" s="180">
        <v>24</v>
      </c>
      <c r="AB26" s="385"/>
      <c r="AC26" s="386" t="s">
        <v>494</v>
      </c>
      <c r="AD26" s="387" t="s">
        <v>495</v>
      </c>
      <c r="AE26" s="388">
        <v>22</v>
      </c>
      <c r="AF26" s="1880"/>
      <c r="AG26" s="1880"/>
      <c r="AH26" s="1880"/>
      <c r="AI26" s="1880"/>
      <c r="AJ26" s="1880"/>
      <c r="AK26" s="1880"/>
      <c r="AL26" s="1880"/>
      <c r="AM26" s="1880"/>
      <c r="AN26" s="1880"/>
      <c r="AO26" s="1880"/>
      <c r="AP26" s="1880"/>
      <c r="AQ26" s="1880"/>
      <c r="AR26" s="1880"/>
      <c r="AS26" s="1880"/>
      <c r="AT26" s="1880"/>
      <c r="AU26" s="1880"/>
      <c r="AV26" s="1880"/>
      <c r="AW26" s="1880"/>
      <c r="AX26" s="1880"/>
      <c r="AY26" s="388">
        <v>22</v>
      </c>
      <c r="AZ26" s="1880"/>
      <c r="BA26" s="1880"/>
      <c r="BB26" s="1880"/>
      <c r="BC26" s="1880"/>
      <c r="BD26" s="1880"/>
      <c r="BE26" s="1880"/>
      <c r="BF26" s="1880"/>
      <c r="BG26" s="1880"/>
      <c r="BH26" s="1880"/>
      <c r="BI26" s="1880"/>
      <c r="BJ26" s="1880"/>
      <c r="BK26" s="1880"/>
      <c r="BL26" s="1880"/>
      <c r="BM26" s="1880"/>
      <c r="BN26" s="1880"/>
      <c r="BO26" s="1880"/>
      <c r="BP26" s="1880"/>
      <c r="BQ26" s="1880"/>
      <c r="BR26" s="1880"/>
      <c r="BU26" s="309" t="s">
        <v>496</v>
      </c>
      <c r="BZ26" s="1076"/>
      <c r="CA26" s="1076"/>
      <c r="CB26" s="1076"/>
      <c r="CC26" s="1076"/>
      <c r="CD26" s="1076"/>
      <c r="CE26" s="1076"/>
      <c r="CF26" s="1076"/>
      <c r="CG26" s="1076"/>
      <c r="CH26" s="1076"/>
      <c r="CI26" s="1152" t="s">
        <v>303</v>
      </c>
      <c r="CJ26" s="1152" t="s">
        <v>497</v>
      </c>
      <c r="CK26" s="1152" t="s">
        <v>498</v>
      </c>
    </row>
    <row customHeight="1" ht="23.25" hidden="1">
      <c r="E27" s="965">
        <v>0</v>
      </c>
      <c r="AB27" s="239"/>
      <c r="AC27" s="239"/>
      <c r="AD27" s="239"/>
      <c r="AE27" s="279"/>
      <c r="AF27" s="279"/>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c r="BM27" s="279"/>
      <c r="BN27" s="279"/>
      <c r="BO27" s="279"/>
      <c r="BP27" s="279"/>
      <c r="BQ27" s="279"/>
      <c r="BR27" s="279"/>
      <c r="BZ27" s="1076"/>
      <c r="CA27" s="1076"/>
      <c r="CB27" s="1076"/>
      <c r="CC27" s="1076"/>
      <c r="CD27" s="1076"/>
      <c r="CE27" s="1076"/>
      <c r="CF27" s="1076"/>
      <c r="CG27" s="1076"/>
      <c r="CH27" s="1076"/>
      <c r="CI27" s="1076"/>
      <c r="CJ27" s="1076"/>
      <c r="CK27" s="1076"/>
    </row>
    <row s="308" customFormat="1" customHeight="1" ht="10.725000000000001" hidden="1">
      <c r="E28" s="284">
        <v>11</v>
      </c>
      <c r="F28" s="175" cm="1" t="str">
        <f t="array" ref="F28:F28">X28</f>
        <v>0</v>
      </c>
      <c r="T28" s="973">
        <f>F28&gt;0</f>
        <v>0</v>
      </c>
      <c r="V28" s="176" t="s">
        <v>266</v>
      </c>
      <c r="X28" s="176">
        <v>0</v>
      </c>
      <c r="AB28" s="319" cm="1" t="str">
        <f t="array" ref="AB28:AB28">INDEX('Общие сведения'!$AG$169:$AG$202,MATCH($F28,'Общие сведения'!$Y$169:$Y$202,0))</f>
        <v>Тариф 0 (Теплоснабжение) - </v>
      </c>
      <c r="AC28" s="298"/>
      <c r="AD28" s="299"/>
      <c r="AE28" s="299"/>
      <c r="AF28" s="299"/>
      <c r="AG28" s="299"/>
      <c r="AH28" s="299"/>
      <c r="AI28" s="299"/>
      <c r="AJ28" s="299"/>
      <c r="AK28" s="299"/>
      <c r="AL28" s="299"/>
      <c r="AM28" s="299"/>
      <c r="AN28" s="299"/>
      <c r="AO28" s="299"/>
      <c r="AP28" s="299"/>
      <c r="AQ28" s="299"/>
      <c r="AR28" s="299"/>
      <c r="AS28" s="299"/>
      <c r="AT28" s="299"/>
      <c r="AU28" s="299"/>
      <c r="AV28" s="299"/>
      <c r="AW28" s="299"/>
      <c r="AX28" s="299"/>
      <c r="AY28" s="299"/>
      <c r="AZ28" s="299"/>
      <c r="BA28" s="299"/>
      <c r="BB28" s="299"/>
      <c r="BC28" s="299"/>
      <c r="BD28" s="299"/>
      <c r="BE28" s="299"/>
      <c r="BF28" s="299"/>
      <c r="BG28" s="299"/>
      <c r="BH28" s="299"/>
      <c r="BI28" s="299"/>
      <c r="BJ28" s="299"/>
      <c r="BK28" s="299"/>
      <c r="BL28" s="299"/>
      <c r="BM28" s="299"/>
      <c r="BN28" s="299"/>
      <c r="BO28" s="299"/>
      <c r="BP28" s="299"/>
      <c r="BQ28" s="299"/>
      <c r="BR28" s="299"/>
      <c r="BU28" s="309"/>
      <c r="BV28" s="310"/>
      <c r="BW28" s="310"/>
      <c r="BX28" s="281"/>
      <c r="BY28" s="281"/>
      <c r="BZ28" s="1077"/>
      <c r="CA28" s="1077"/>
      <c r="CB28" s="1077"/>
      <c r="CC28" s="1077"/>
      <c r="CD28" s="1077"/>
      <c r="CE28" s="1077"/>
      <c r="CF28" s="1077"/>
      <c r="CG28" s="1077"/>
      <c r="CH28" s="1154"/>
      <c r="CI28" s="1077"/>
      <c r="CJ28" s="1077"/>
      <c r="CK28" s="1154"/>
    </row>
    <row customHeight="1" ht="10.725000000000001" hidden="1">
      <c r="E29" s="180">
        <v>11</v>
      </c>
      <c r="F29" s="175" cm="1" t="str">
        <f t="array" ref="F29:F29">OFFSET(G29,-1,-1)</f>
        <v>0</v>
      </c>
      <c r="T29" s="973">
        <f>F29&gt;0</f>
        <v>0</v>
      </c>
      <c r="AB29" s="390"/>
      <c r="AC29" s="391" t="s">
        <v>499</v>
      </c>
      <c r="AD29" s="392"/>
      <c r="AE29" s="393"/>
      <c r="AF29" s="393"/>
      <c r="AG29" s="393"/>
      <c r="AH29" s="393"/>
      <c r="AI29" s="393"/>
      <c r="AJ29" s="393"/>
      <c r="AK29" s="393"/>
      <c r="AL29" s="393"/>
      <c r="AM29" s="393"/>
      <c r="AN29" s="393"/>
      <c r="AO29" s="393"/>
      <c r="AP29" s="393"/>
      <c r="AQ29" s="393"/>
      <c r="AR29" s="393"/>
      <c r="AS29" s="393"/>
      <c r="AT29" s="393"/>
      <c r="AU29" s="393"/>
      <c r="AV29" s="393"/>
      <c r="AW29" s="393"/>
      <c r="AX29" s="393"/>
      <c r="AY29" s="393"/>
      <c r="AZ29" s="393"/>
      <c r="BA29" s="393"/>
      <c r="BB29" s="393"/>
      <c r="BC29" s="393"/>
      <c r="BD29" s="393"/>
      <c r="BE29" s="393"/>
      <c r="BF29" s="393"/>
      <c r="BG29" s="393"/>
      <c r="BH29" s="393"/>
      <c r="BI29" s="393"/>
      <c r="BJ29" s="393"/>
      <c r="BK29" s="393"/>
      <c r="BL29" s="393"/>
      <c r="BM29" s="393"/>
      <c r="BN29" s="393"/>
      <c r="BO29" s="393"/>
      <c r="BP29" s="393"/>
      <c r="BQ29" s="393"/>
      <c r="BR29" s="393"/>
      <c r="BZ29" s="1077"/>
      <c r="CA29" s="1077"/>
      <c r="CB29" s="1077"/>
      <c r="CC29" s="1077"/>
      <c r="CD29" s="1077"/>
      <c r="CE29" s="1077"/>
      <c r="CF29" s="1077"/>
      <c r="CG29" s="1077"/>
      <c r="CH29" s="1076"/>
      <c r="CI29" s="1077"/>
      <c r="CJ29" s="1077"/>
      <c r="CK29" s="1076"/>
    </row>
    <row customHeight="1" ht="16.575" hidden="1">
      <c r="E30" s="180">
        <v>17</v>
      </c>
      <c r="F30" s="175" cm="1" t="str">
        <f t="array" ref="F30:F30">OFFSET(G30,-1,-1)</f>
        <v>0</v>
      </c>
      <c r="G30" s="175" t="s">
        <v>500</v>
      </c>
      <c r="T30" s="979">
        <f>AND(F30&gt;0,method_reg&lt;&gt;"Метод экономически обоснованных расходов")</f>
        <v>0</v>
      </c>
      <c r="AB30" s="394">
        <v>1</v>
      </c>
      <c r="AC30" s="395" t="s">
        <v>501</v>
      </c>
      <c r="AD30" s="387" t="s">
        <v>495</v>
      </c>
      <c r="AE30" s="76">
        <v>1</v>
      </c>
      <c r="AF30" s="76">
        <v>1</v>
      </c>
      <c r="AG30" s="76">
        <v>1</v>
      </c>
      <c r="AH30" s="76">
        <v>1</v>
      </c>
      <c r="AI30" s="76">
        <v>1</v>
      </c>
      <c r="AJ30" s="76">
        <v>1</v>
      </c>
      <c r="AK30" s="76">
        <v>1</v>
      </c>
      <c r="AL30" s="76">
        <v>1</v>
      </c>
      <c r="AM30" s="76">
        <v>1</v>
      </c>
      <c r="AN30" s="76">
        <v>1</v>
      </c>
      <c r="AO30" s="76">
        <v>1</v>
      </c>
      <c r="AP30" s="76">
        <v>1</v>
      </c>
      <c r="AQ30" s="76">
        <v>1</v>
      </c>
      <c r="AR30" s="76">
        <v>1</v>
      </c>
      <c r="AS30" s="76">
        <v>1</v>
      </c>
      <c r="AT30" s="76">
        <v>1</v>
      </c>
      <c r="AU30" s="76">
        <v>1</v>
      </c>
      <c r="AV30" s="76">
        <v>1</v>
      </c>
      <c r="AW30" s="76">
        <v>1</v>
      </c>
      <c r="AX30" s="76">
        <v>1</v>
      </c>
      <c r="AY30" s="396">
        <v>1</v>
      </c>
      <c r="AZ30" s="76">
        <v>1</v>
      </c>
      <c r="BA30" s="76">
        <v>1</v>
      </c>
      <c r="BB30" s="76">
        <v>1</v>
      </c>
      <c r="BC30" s="76">
        <v>1</v>
      </c>
      <c r="BD30" s="76">
        <v>1</v>
      </c>
      <c r="BE30" s="76">
        <v>1</v>
      </c>
      <c r="BF30" s="76">
        <v>1</v>
      </c>
      <c r="BG30" s="76">
        <v>1</v>
      </c>
      <c r="BH30" s="76">
        <v>1</v>
      </c>
      <c r="BI30" s="76">
        <v>1</v>
      </c>
      <c r="BJ30" s="76">
        <v>1</v>
      </c>
      <c r="BK30" s="76">
        <v>1</v>
      </c>
      <c r="BL30" s="76">
        <v>1</v>
      </c>
      <c r="BM30" s="76">
        <v>1</v>
      </c>
      <c r="BN30" s="76">
        <v>1</v>
      </c>
      <c r="BO30" s="76">
        <v>1</v>
      </c>
      <c r="BP30" s="76">
        <v>1</v>
      </c>
      <c r="BQ30" s="76">
        <v>1</v>
      </c>
      <c r="BR30" s="76">
        <v>1</v>
      </c>
      <c r="BU30" s="309" t="s">
        <v>502</v>
      </c>
      <c r="BZ30" s="1077" cm="1" t="str">
        <f t="array" ref="BZ30:BZ30">INDEX('Общие сведения'!$N$170:$N$202,MATCH($F30,'Общие сведения'!$Y$170:$Y$202,0)+1)</f>
        <v>0</v>
      </c>
      <c r="CA30" s="1077" t="s">
        <v>503</v>
      </c>
      <c r="CB30" s="1077"/>
      <c r="CC30" s="1077"/>
      <c r="CD30" s="1077"/>
      <c r="CE30" s="1077"/>
      <c r="CF30" s="1077"/>
      <c r="CG30" s="1077"/>
      <c r="CH30" s="1076"/>
      <c r="CI30" s="1077" t="s">
        <v>303</v>
      </c>
      <c r="CJ30" s="1077" t="s">
        <v>504</v>
      </c>
      <c r="CK30" s="1077" t="s">
        <v>505</v>
      </c>
    </row>
    <row customHeight="1" ht="29.25" hidden="1">
      <c r="E31" s="180">
        <v>30</v>
      </c>
      <c r="F31" s="175" cm="1" t="str">
        <f t="array" ref="F31:F31">OFFSET(G31,-1,-1)</f>
        <v>0</v>
      </c>
      <c r="T31" s="979">
        <f>AND(F31&gt;0,method_reg&lt;&gt;"Метод экономически обоснованных расходов")</f>
        <v>0</v>
      </c>
      <c r="AB31" s="397">
        <v>2</v>
      </c>
      <c r="AC31" s="398" t="s">
        <v>506</v>
      </c>
      <c r="AD31" s="399"/>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c r="BM31" s="77"/>
      <c r="BN31" s="77"/>
      <c r="BO31" s="77"/>
      <c r="BP31" s="77"/>
      <c r="BQ31" s="77"/>
      <c r="BR31" s="77"/>
      <c r="BZ31" s="1077" cm="1" t="str">
        <f t="array" ref="BZ31:BZ31">OFFSET(BY31,-1,1)</f>
        <v>0</v>
      </c>
      <c r="CA31" s="1077"/>
      <c r="CB31" s="1077"/>
      <c r="CC31" s="1077"/>
      <c r="CD31" s="1077"/>
      <c r="CE31" s="1077"/>
      <c r="CF31" s="1077"/>
      <c r="CG31" s="1077"/>
      <c r="CH31" s="1076"/>
      <c r="CI31" s="1077"/>
      <c r="CJ31" s="1077"/>
      <c r="CK31" s="1076"/>
    </row>
    <row customHeight="1" ht="17.25" hidden="1">
      <c r="E32" s="965">
        <v>0</v>
      </c>
      <c r="F32" s="175" cm="1" t="str">
        <f t="array" ref="F32:F32">OFFSET(G32,-1,-1)</f>
        <v>0</v>
      </c>
      <c r="T32" s="979">
        <f>AND(F32&gt;0,method_reg&lt;&gt;"Метод экономически обоснованных расходов")</f>
        <v>0</v>
      </c>
      <c r="AB32" s="401"/>
      <c r="AC32" s="398"/>
      <c r="AD32" s="399"/>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I32" s="77"/>
      <c r="BJ32" s="77"/>
      <c r="BK32" s="77"/>
      <c r="BL32" s="77"/>
      <c r="BM32" s="77"/>
      <c r="BN32" s="77"/>
      <c r="BO32" s="77"/>
      <c r="BP32" s="77"/>
      <c r="BQ32" s="77"/>
      <c r="BR32" s="77"/>
      <c r="BZ32" s="1077" cm="1" t="str">
        <f t="array" ref="BZ32:BZ32">OFFSET(BY32,-1,1)</f>
        <v>0</v>
      </c>
      <c r="CA32" s="1077"/>
      <c r="CB32" s="1077"/>
      <c r="CC32" s="1077"/>
      <c r="CD32" s="1077"/>
      <c r="CE32" s="1077"/>
      <c r="CF32" s="1077"/>
      <c r="CG32" s="1077"/>
      <c r="CH32" s="1076"/>
      <c r="CI32" s="1077"/>
      <c r="CJ32" s="1077"/>
      <c r="CK32" s="1076"/>
    </row>
    <row customHeight="1" ht="16.575" hidden="1">
      <c r="E33" s="180">
        <v>17</v>
      </c>
      <c r="F33" s="175" cm="1" t="str">
        <f t="array" ref="F33:F33">OFFSET(G33,-1,-1)</f>
        <v>0</v>
      </c>
      <c r="T33" s="979">
        <f>AND(F33&gt;0,Y33&gt;0,method_reg&lt;&gt;"Метод экономически обоснованных расходов")</f>
        <v>0</v>
      </c>
      <c r="W33" s="175" t="s">
        <v>189</v>
      </c>
      <c r="Y33" s="175">
        <v>0</v>
      </c>
      <c r="AA33" s="477" t="s">
        <v>171</v>
      </c>
      <c r="AB33" s="402" t="str">
        <f>"2."&amp;Y33</f>
        <v>2.0</v>
      </c>
      <c r="AC33" s="78"/>
      <c r="AD33" s="403" t="s">
        <v>495</v>
      </c>
      <c r="AE33" s="79"/>
      <c r="AF33" s="79"/>
      <c r="AG33" s="79"/>
      <c r="AH33" s="79"/>
      <c r="AI33" s="79"/>
      <c r="AJ33" s="79"/>
      <c r="AK33" s="79"/>
      <c r="AL33" s="79"/>
      <c r="AM33" s="79"/>
      <c r="AN33" s="79"/>
      <c r="AO33" s="79"/>
      <c r="AP33" s="79"/>
      <c r="AQ33" s="79"/>
      <c r="AR33" s="79"/>
      <c r="AS33" s="79"/>
      <c r="AT33" s="79"/>
      <c r="AU33" s="79"/>
      <c r="AV33" s="79"/>
      <c r="AW33" s="79"/>
      <c r="AX33" s="79"/>
      <c r="AY33" s="404"/>
      <c r="AZ33" s="79"/>
      <c r="BA33" s="79"/>
      <c r="BB33" s="79"/>
      <c r="BC33" s="79"/>
      <c r="BD33" s="79"/>
      <c r="BE33" s="79"/>
      <c r="BF33" s="79"/>
      <c r="BG33" s="79"/>
      <c r="BH33" s="79"/>
      <c r="BI33" s="79"/>
      <c r="BJ33" s="79"/>
      <c r="BK33" s="79"/>
      <c r="BL33" s="79"/>
      <c r="BM33" s="79"/>
      <c r="BN33" s="79"/>
      <c r="BO33" s="79"/>
      <c r="BP33" s="79"/>
      <c r="BQ33" s="79"/>
      <c r="BR33" s="79"/>
      <c r="BU33" s="309" t="s">
        <v>507</v>
      </c>
      <c r="BV33" s="309" t="s">
        <v>508</v>
      </c>
      <c r="BW33" s="309" cm="1" t="str">
        <f t="array" ref="BW33:BW33">AC33</f>
        <v>0</v>
      </c>
      <c r="BY33" s="372" t="b">
        <v>1</v>
      </c>
      <c r="BZ33" s="1077" cm="1" t="str">
        <f t="array" ref="BZ33:BZ33">OFFSET(BY33,-1,1)</f>
        <v>0</v>
      </c>
      <c r="CA33" s="1077" t="s">
        <v>509</v>
      </c>
      <c r="CB33" s="1076"/>
      <c r="CC33" s="1076"/>
      <c r="CD33" s="1076"/>
      <c r="CE33" s="1076"/>
      <c r="CF33" s="1076"/>
      <c r="CG33" s="1076"/>
      <c r="CH33" s="1155" cm="1" t="str">
        <f t="array" ref="CH33:CH33">$AC33</f>
        <v>0</v>
      </c>
      <c r="CI33" s="1077" t="s">
        <v>303</v>
      </c>
      <c r="CJ33" s="1077" t="s">
        <v>504</v>
      </c>
      <c r="CK33" s="1077" t="s">
        <v>505</v>
      </c>
    </row>
    <row customHeight="1" ht="16.575" hidden="1">
      <c r="E34" s="180">
        <v>17</v>
      </c>
      <c r="F34" s="175" cm="1" t="str">
        <f t="array" ref="F34:F34">OFFSET(G34,-1,-1)</f>
        <v>0</v>
      </c>
      <c r="T34" s="979">
        <f>AND(F34&gt;0,method_reg&lt;&gt;"Метод экономически обоснованных расходов")</f>
        <v>0</v>
      </c>
      <c r="W34" s="980" t="s">
        <v>510</v>
      </c>
      <c r="AB34" s="405"/>
      <c r="AC34" s="406" t="s">
        <v>191</v>
      </c>
      <c r="AD34" s="407"/>
      <c r="AE34" s="407"/>
      <c r="AF34" s="407"/>
      <c r="AG34" s="407"/>
      <c r="AH34" s="407"/>
      <c r="AI34" s="407"/>
      <c r="AJ34" s="407"/>
      <c r="AK34" s="407"/>
      <c r="AL34" s="407"/>
      <c r="AM34" s="407"/>
      <c r="AN34" s="407"/>
      <c r="AO34" s="407"/>
      <c r="AP34" s="407"/>
      <c r="AQ34" s="407"/>
      <c r="AR34" s="407"/>
      <c r="AS34" s="407"/>
      <c r="AT34" s="407"/>
      <c r="AU34" s="407"/>
      <c r="AV34" s="407"/>
      <c r="AW34" s="407"/>
      <c r="AX34" s="407"/>
      <c r="AY34" s="407"/>
      <c r="AZ34" s="407"/>
      <c r="BA34" s="407"/>
      <c r="BB34" s="407"/>
      <c r="BC34" s="407"/>
      <c r="BD34" s="407"/>
      <c r="BE34" s="407"/>
      <c r="BF34" s="407"/>
      <c r="BG34" s="407"/>
      <c r="BH34" s="407"/>
      <c r="BI34" s="407"/>
      <c r="BJ34" s="407"/>
      <c r="BK34" s="407"/>
      <c r="BL34" s="407"/>
      <c r="BM34" s="407"/>
      <c r="BN34" s="407"/>
      <c r="BO34" s="407"/>
      <c r="BP34" s="407"/>
      <c r="BQ34" s="407"/>
      <c r="BR34" s="408"/>
      <c r="BX34" s="372" t="s">
        <v>508</v>
      </c>
      <c r="BZ34" s="1077" cm="1" t="str">
        <f t="array" ref="BZ34:BZ34">OFFSET(BY34,-1,1)</f>
        <v>0</v>
      </c>
      <c r="CA34" s="1077"/>
      <c r="CB34" s="1077"/>
      <c r="CC34" s="1077"/>
      <c r="CD34" s="1077"/>
      <c r="CE34" s="1077"/>
      <c r="CF34" s="1077"/>
      <c r="CG34" s="1077"/>
      <c r="CH34" s="1076"/>
      <c r="CI34" s="1077"/>
      <c r="CJ34" s="1077"/>
      <c r="CK34" s="1076"/>
    </row>
    <row customHeight="1" ht="16.575" hidden="1">
      <c r="E35" s="180">
        <v>17</v>
      </c>
      <c r="F35" s="175" cm="1" t="str">
        <f t="array" ref="F35:F35">OFFSET(G35,-1,-1)</f>
        <v>0</v>
      </c>
      <c r="G35" s="175" t="s">
        <v>511</v>
      </c>
      <c r="T35" s="973">
        <f>F35&gt;0</f>
        <v>0</v>
      </c>
      <c r="AB35" s="409">
        <v>3</v>
      </c>
      <c r="AC35" s="410" t="s">
        <v>512</v>
      </c>
      <c r="AD35" s="411" t="s">
        <v>495</v>
      </c>
      <c r="AE35" s="80"/>
      <c r="AF35" s="80"/>
      <c r="AG35" s="80"/>
      <c r="AH35" s="80"/>
      <c r="AI35" s="80"/>
      <c r="AJ35" s="80"/>
      <c r="AK35" s="80"/>
      <c r="AL35" s="80"/>
      <c r="AM35" s="80"/>
      <c r="AN35" s="80"/>
      <c r="AO35" s="80"/>
      <c r="AP35" s="80"/>
      <c r="AQ35" s="80"/>
      <c r="AR35" s="80"/>
      <c r="AS35" s="80"/>
      <c r="AT35" s="80"/>
      <c r="AU35" s="80"/>
      <c r="AV35" s="80"/>
      <c r="AW35" s="80"/>
      <c r="AX35" s="80"/>
      <c r="AY35" s="388"/>
      <c r="AZ35" s="80"/>
      <c r="BA35" s="80"/>
      <c r="BB35" s="80"/>
      <c r="BC35" s="80"/>
      <c r="BD35" s="80"/>
      <c r="BE35" s="80"/>
      <c r="BF35" s="80"/>
      <c r="BG35" s="80"/>
      <c r="BH35" s="80"/>
      <c r="BI35" s="80"/>
      <c r="BJ35" s="80"/>
      <c r="BK35" s="80"/>
      <c r="BL35" s="80"/>
      <c r="BM35" s="80"/>
      <c r="BN35" s="80"/>
      <c r="BO35" s="80"/>
      <c r="BP35" s="80"/>
      <c r="BQ35" s="80"/>
      <c r="BR35" s="80"/>
      <c r="BU35" s="309" t="s">
        <v>513</v>
      </c>
      <c r="BZ35" s="1077" cm="1" t="str">
        <f t="array" ref="BZ35:BZ35">OFFSET(BY35,-1,1)</f>
        <v>0</v>
      </c>
      <c r="CA35" s="1076"/>
      <c r="CB35" s="1076"/>
      <c r="CC35" s="1076"/>
      <c r="CD35" s="1076"/>
      <c r="CE35" s="1076"/>
      <c r="CF35" s="1076"/>
      <c r="CG35" s="1076"/>
      <c r="CH35" s="1076"/>
      <c r="CI35" s="1077" t="s">
        <v>303</v>
      </c>
      <c r="CJ35" s="1077" t="s">
        <v>514</v>
      </c>
      <c r="CK35" s="1077" t="s">
        <v>515</v>
      </c>
    </row>
    <row customHeight="1" ht="16.575" hidden="1">
      <c r="E36" s="180">
        <v>17</v>
      </c>
      <c r="F36" s="175" cm="1" t="str">
        <f t="array" ref="F36:F36">OFFSET(G36,-1,-1)</f>
        <v>0</v>
      </c>
      <c r="T36" s="973">
        <f>F36&gt;0</f>
        <v>0</v>
      </c>
      <c r="AB36" s="412">
        <v>4</v>
      </c>
      <c r="AC36" s="413" t="s">
        <v>516</v>
      </c>
      <c r="AD36" s="414" t="s">
        <v>495</v>
      </c>
      <c r="AE36" s="76"/>
      <c r="AF36" s="76"/>
      <c r="AG36" s="76"/>
      <c r="AH36" s="76"/>
      <c r="AI36" s="76"/>
      <c r="AJ36" s="76"/>
      <c r="AK36" s="76"/>
      <c r="AL36" s="76"/>
      <c r="AM36" s="76"/>
      <c r="AN36" s="76"/>
      <c r="AO36" s="76"/>
      <c r="AP36" s="76"/>
      <c r="AQ36" s="76"/>
      <c r="AR36" s="76"/>
      <c r="AS36" s="76"/>
      <c r="AT36" s="76"/>
      <c r="AU36" s="76"/>
      <c r="AV36" s="76"/>
      <c r="AW36" s="76"/>
      <c r="AX36" s="76"/>
      <c r="AY36" s="396"/>
      <c r="AZ36" s="76"/>
      <c r="BA36" s="76"/>
      <c r="BB36" s="76"/>
      <c r="BC36" s="76"/>
      <c r="BD36" s="76"/>
      <c r="BE36" s="76"/>
      <c r="BF36" s="76"/>
      <c r="BG36" s="76"/>
      <c r="BH36" s="76"/>
      <c r="BI36" s="76"/>
      <c r="BJ36" s="76"/>
      <c r="BK36" s="76"/>
      <c r="BL36" s="76"/>
      <c r="BM36" s="76"/>
      <c r="BN36" s="76"/>
      <c r="BO36" s="76"/>
      <c r="BP36" s="76"/>
      <c r="BQ36" s="76"/>
      <c r="BR36" s="76"/>
      <c r="BU36" s="309" t="s">
        <v>517</v>
      </c>
      <c r="BZ36" s="1077" cm="1" t="str">
        <f t="array" ref="BZ36:BZ36">OFFSET(BY36,-1,1)</f>
        <v>0</v>
      </c>
      <c r="CA36" s="1076"/>
      <c r="CB36" s="1077" t="s">
        <v>518</v>
      </c>
      <c r="CC36" s="1076"/>
      <c r="CD36" s="1076"/>
      <c r="CE36" s="1076"/>
      <c r="CF36" s="1076"/>
      <c r="CG36" s="1076"/>
      <c r="CH36" s="1076"/>
      <c r="CI36" s="1077" t="s">
        <v>303</v>
      </c>
      <c r="CJ36" s="1077" t="s">
        <v>519</v>
      </c>
      <c r="CK36" s="1077" t="s">
        <v>520</v>
      </c>
    </row>
    <row customHeight="1" ht="29.25" hidden="1">
      <c r="E37" s="180">
        <v>30</v>
      </c>
      <c r="F37" s="175" cm="1" t="str">
        <f t="array" ref="F37:F37">OFFSET(G37,-1,-1)</f>
        <v>0</v>
      </c>
      <c r="T37" s="973">
        <f>F37&gt;0</f>
        <v>0</v>
      </c>
      <c r="AB37" s="412">
        <v>5</v>
      </c>
      <c r="AC37" s="415" t="s">
        <v>521</v>
      </c>
      <c r="AD37" s="414" t="s">
        <v>495</v>
      </c>
      <c r="AE37" s="76"/>
      <c r="AF37" s="76"/>
      <c r="AG37" s="76"/>
      <c r="AH37" s="76"/>
      <c r="AI37" s="76"/>
      <c r="AJ37" s="76"/>
      <c r="AK37" s="76"/>
      <c r="AL37" s="76"/>
      <c r="AM37" s="76"/>
      <c r="AN37" s="76"/>
      <c r="AO37" s="76"/>
      <c r="AP37" s="76"/>
      <c r="AQ37" s="76"/>
      <c r="AR37" s="76"/>
      <c r="AS37" s="76"/>
      <c r="AT37" s="76"/>
      <c r="AU37" s="76"/>
      <c r="AV37" s="76"/>
      <c r="AW37" s="76"/>
      <c r="AX37" s="76"/>
      <c r="AY37" s="396"/>
      <c r="AZ37" s="76"/>
      <c r="BA37" s="76"/>
      <c r="BB37" s="76"/>
      <c r="BC37" s="76"/>
      <c r="BD37" s="76"/>
      <c r="BE37" s="76"/>
      <c r="BF37" s="76"/>
      <c r="BG37" s="76"/>
      <c r="BH37" s="76"/>
      <c r="BI37" s="76"/>
      <c r="BJ37" s="76"/>
      <c r="BK37" s="76"/>
      <c r="BL37" s="76"/>
      <c r="BM37" s="76"/>
      <c r="BN37" s="76"/>
      <c r="BO37" s="76"/>
      <c r="BP37" s="76"/>
      <c r="BQ37" s="76"/>
      <c r="BR37" s="76"/>
      <c r="BU37" s="309" t="s">
        <v>522</v>
      </c>
      <c r="BZ37" s="1077" cm="1" t="str">
        <f t="array" ref="BZ37:BZ37">OFFSET(BY37,-1,1)</f>
        <v>0</v>
      </c>
      <c r="CA37" s="1076"/>
      <c r="CB37" s="1076"/>
      <c r="CC37" s="1076"/>
      <c r="CD37" s="1076"/>
      <c r="CE37" s="1076"/>
      <c r="CF37" s="1076"/>
      <c r="CG37" s="1076"/>
      <c r="CH37" s="1076"/>
      <c r="CI37" s="1077" t="s">
        <v>303</v>
      </c>
      <c r="CJ37" s="1077" t="s">
        <v>523</v>
      </c>
      <c r="CK37" s="1077" t="s">
        <v>524</v>
      </c>
    </row>
    <row customHeight="1" ht="16.575" hidden="1">
      <c r="E38" s="180">
        <v>17</v>
      </c>
      <c r="F38" s="175" cm="1" t="str">
        <f t="array" ref="F38:F38">OFFSET(G38,-1,-1)</f>
        <v>0</v>
      </c>
      <c r="T38" s="973">
        <f>F38&gt;0</f>
        <v>0</v>
      </c>
      <c r="AB38" s="412">
        <v>6</v>
      </c>
      <c r="AC38" s="415" t="s">
        <v>525</v>
      </c>
      <c r="AD38" s="414" t="s">
        <v>495</v>
      </c>
      <c r="AE38" s="76"/>
      <c r="AF38" s="76"/>
      <c r="AG38" s="76"/>
      <c r="AH38" s="76"/>
      <c r="AI38" s="76"/>
      <c r="AJ38" s="76"/>
      <c r="AK38" s="76"/>
      <c r="AL38" s="76"/>
      <c r="AM38" s="76"/>
      <c r="AN38" s="76"/>
      <c r="AO38" s="76"/>
      <c r="AP38" s="76"/>
      <c r="AQ38" s="76"/>
      <c r="AR38" s="76"/>
      <c r="AS38" s="76"/>
      <c r="AT38" s="76"/>
      <c r="AU38" s="76"/>
      <c r="AV38" s="76"/>
      <c r="AW38" s="76"/>
      <c r="AX38" s="76"/>
      <c r="AY38" s="396"/>
      <c r="AZ38" s="76"/>
      <c r="BA38" s="76"/>
      <c r="BB38" s="76"/>
      <c r="BC38" s="76"/>
      <c r="BD38" s="76"/>
      <c r="BE38" s="76"/>
      <c r="BF38" s="76"/>
      <c r="BG38" s="76"/>
      <c r="BH38" s="76"/>
      <c r="BI38" s="76"/>
      <c r="BJ38" s="76"/>
      <c r="BK38" s="76"/>
      <c r="BL38" s="76"/>
      <c r="BM38" s="76"/>
      <c r="BN38" s="76"/>
      <c r="BO38" s="76"/>
      <c r="BP38" s="76"/>
      <c r="BQ38" s="76"/>
      <c r="BR38" s="76"/>
      <c r="BU38" s="309" t="s">
        <v>526</v>
      </c>
      <c r="BZ38" s="1077" cm="1" t="str">
        <f t="array" ref="BZ38:BZ38">OFFSET(BY38,-1,1)</f>
        <v>0</v>
      </c>
      <c r="CA38" s="1076"/>
      <c r="CB38" s="1076"/>
      <c r="CC38" s="1076"/>
      <c r="CD38" s="1077" t="s">
        <v>527</v>
      </c>
      <c r="CE38" s="1076"/>
      <c r="CF38" s="1076"/>
      <c r="CG38" s="1076"/>
      <c r="CH38" s="1076"/>
      <c r="CI38" s="1077" t="s">
        <v>303</v>
      </c>
      <c r="CJ38" s="1077" t="s">
        <v>519</v>
      </c>
      <c r="CK38" s="1077" t="s">
        <v>520</v>
      </c>
    </row>
    <row customHeight="1" ht="16.575" hidden="1">
      <c r="E39" s="180">
        <v>17</v>
      </c>
      <c r="F39" s="175" cm="1" t="str">
        <f t="array" ref="F39:F39">OFFSET(G39,-1,-1)</f>
        <v>0</v>
      </c>
      <c r="T39" s="973">
        <f>F39&gt;0</f>
        <v>0</v>
      </c>
      <c r="AB39" s="412">
        <v>7</v>
      </c>
      <c r="AC39" s="415" t="s">
        <v>528</v>
      </c>
      <c r="AD39" s="414" t="s">
        <v>495</v>
      </c>
      <c r="AE39" s="76"/>
      <c r="AF39" s="76"/>
      <c r="AG39" s="76"/>
      <c r="AH39" s="76"/>
      <c r="AI39" s="76"/>
      <c r="AJ39" s="76"/>
      <c r="AK39" s="76"/>
      <c r="AL39" s="76"/>
      <c r="AM39" s="76"/>
      <c r="AN39" s="76"/>
      <c r="AO39" s="76"/>
      <c r="AP39" s="76"/>
      <c r="AQ39" s="76"/>
      <c r="AR39" s="76"/>
      <c r="AS39" s="76"/>
      <c r="AT39" s="76"/>
      <c r="AU39" s="76"/>
      <c r="AV39" s="76"/>
      <c r="AW39" s="76"/>
      <c r="AX39" s="76"/>
      <c r="AY39" s="396"/>
      <c r="AZ39" s="76"/>
      <c r="BA39" s="76"/>
      <c r="BB39" s="76"/>
      <c r="BC39" s="76"/>
      <c r="BD39" s="76"/>
      <c r="BE39" s="76"/>
      <c r="BF39" s="76"/>
      <c r="BG39" s="76"/>
      <c r="BH39" s="76"/>
      <c r="BI39" s="76"/>
      <c r="BJ39" s="76"/>
      <c r="BK39" s="76"/>
      <c r="BL39" s="76"/>
      <c r="BM39" s="76"/>
      <c r="BN39" s="76"/>
      <c r="BO39" s="76"/>
      <c r="BP39" s="76"/>
      <c r="BQ39" s="76"/>
      <c r="BR39" s="76"/>
      <c r="BU39" s="309" t="s">
        <v>529</v>
      </c>
      <c r="BZ39" s="1077" cm="1" t="str">
        <f t="array" ref="BZ39:BZ39">OFFSET(BY39,-1,1)</f>
        <v>0</v>
      </c>
      <c r="CA39" s="1076"/>
      <c r="CB39" s="1076"/>
      <c r="CC39" s="1076"/>
      <c r="CD39" s="1076"/>
      <c r="CE39" s="1077" t="s">
        <v>530</v>
      </c>
      <c r="CF39" s="1076"/>
      <c r="CG39" s="1076"/>
      <c r="CH39" s="1076"/>
      <c r="CI39" s="1077" t="s">
        <v>303</v>
      </c>
      <c r="CJ39" s="1077" t="s">
        <v>519</v>
      </c>
      <c r="CK39" s="1077" t="s">
        <v>520</v>
      </c>
    </row>
    <row customHeight="1" ht="16.575" hidden="1">
      <c r="E40" s="180">
        <v>17</v>
      </c>
      <c r="F40" s="175" cm="1" t="str">
        <f t="array" ref="F40:F40">OFFSET(G40,-1,-1)</f>
        <v>0</v>
      </c>
      <c r="T40" s="973">
        <f>F40&gt;0</f>
        <v>0</v>
      </c>
      <c r="AB40" s="412">
        <v>8</v>
      </c>
      <c r="AC40" s="415" t="s">
        <v>531</v>
      </c>
      <c r="AD40" s="414" t="s">
        <v>495</v>
      </c>
      <c r="AE40" s="76"/>
      <c r="AF40" s="76"/>
      <c r="AG40" s="76"/>
      <c r="AH40" s="76"/>
      <c r="AI40" s="76"/>
      <c r="AJ40" s="76"/>
      <c r="AK40" s="76"/>
      <c r="AL40" s="76"/>
      <c r="AM40" s="76"/>
      <c r="AN40" s="76"/>
      <c r="AO40" s="76"/>
      <c r="AP40" s="76"/>
      <c r="AQ40" s="76"/>
      <c r="AR40" s="76"/>
      <c r="AS40" s="76"/>
      <c r="AT40" s="76"/>
      <c r="AU40" s="76"/>
      <c r="AV40" s="76"/>
      <c r="AW40" s="76"/>
      <c r="AX40" s="76"/>
      <c r="AY40" s="396"/>
      <c r="AZ40" s="76"/>
      <c r="BA40" s="76"/>
      <c r="BB40" s="76"/>
      <c r="BC40" s="76"/>
      <c r="BD40" s="76"/>
      <c r="BE40" s="76"/>
      <c r="BF40" s="76"/>
      <c r="BG40" s="76"/>
      <c r="BH40" s="76"/>
      <c r="BI40" s="76"/>
      <c r="BJ40" s="76"/>
      <c r="BK40" s="76"/>
      <c r="BL40" s="76"/>
      <c r="BM40" s="76"/>
      <c r="BN40" s="76"/>
      <c r="BO40" s="76"/>
      <c r="BP40" s="76"/>
      <c r="BQ40" s="76"/>
      <c r="BR40" s="76"/>
      <c r="BU40" s="309" t="s">
        <v>532</v>
      </c>
      <c r="BZ40" s="1077" cm="1" t="str">
        <f t="array" ref="BZ40:BZ40">OFFSET(BY40,-1,1)</f>
        <v>0</v>
      </c>
      <c r="CA40" s="1076"/>
      <c r="CB40" s="1076"/>
      <c r="CC40" s="1077" t="s">
        <v>533</v>
      </c>
      <c r="CD40" s="1077" t="s">
        <v>527</v>
      </c>
      <c r="CE40" s="1076"/>
      <c r="CF40" s="1076"/>
      <c r="CG40" s="1076"/>
      <c r="CH40" s="1076"/>
      <c r="CI40" s="1077" t="s">
        <v>303</v>
      </c>
      <c r="CJ40" s="1077" t="s">
        <v>519</v>
      </c>
      <c r="CK40" s="1077" t="s">
        <v>520</v>
      </c>
    </row>
    <row customHeight="1" ht="16.575" hidden="1">
      <c r="E41" s="180">
        <v>17</v>
      </c>
      <c r="F41" s="175" cm="1" t="str">
        <f t="array" ref="F41:F41">OFFSET(G41,-1,-1)</f>
        <v>0</v>
      </c>
      <c r="T41" s="973">
        <f>F41&gt;0</f>
        <v>0</v>
      </c>
      <c r="AB41" s="412">
        <v>9</v>
      </c>
      <c r="AC41" s="415" t="s">
        <v>534</v>
      </c>
      <c r="AD41" s="380" t="s">
        <v>535</v>
      </c>
      <c r="AE41" s="76">
        <f>7900</f>
        <v>7900</v>
      </c>
      <c r="AF41" s="76">
        <f>7900</f>
        <v>7900</v>
      </c>
      <c r="AG41" s="76">
        <f>7900</f>
        <v>7900</v>
      </c>
      <c r="AH41" s="76">
        <f>7900</f>
        <v>7900</v>
      </c>
      <c r="AI41" s="76">
        <f>7900</f>
        <v>7900</v>
      </c>
      <c r="AJ41" s="76">
        <f>7900</f>
        <v>7900</v>
      </c>
      <c r="AK41" s="76">
        <f>7900</f>
        <v>7900</v>
      </c>
      <c r="AL41" s="76">
        <f>7900</f>
        <v>7900</v>
      </c>
      <c r="AM41" s="76">
        <f>7900</f>
        <v>7900</v>
      </c>
      <c r="AN41" s="76">
        <f>7900</f>
        <v>7900</v>
      </c>
      <c r="AO41" s="76">
        <f>7900</f>
        <v>7900</v>
      </c>
      <c r="AP41" s="76">
        <f>7900</f>
        <v>7900</v>
      </c>
      <c r="AQ41" s="76">
        <f>7900</f>
        <v>7900</v>
      </c>
      <c r="AR41" s="76">
        <f>7900</f>
        <v>7900</v>
      </c>
      <c r="AS41" s="76">
        <f>7900</f>
        <v>7900</v>
      </c>
      <c r="AT41" s="76">
        <f>7900</f>
        <v>7900</v>
      </c>
      <c r="AU41" s="76">
        <f>7900</f>
        <v>7900</v>
      </c>
      <c r="AV41" s="76">
        <f>7900</f>
        <v>7900</v>
      </c>
      <c r="AW41" s="76">
        <f>7900</f>
        <v>7900</v>
      </c>
      <c r="AX41" s="76">
        <f>7900</f>
        <v>7900</v>
      </c>
      <c r="AY41" s="396">
        <f>7900</f>
        <v>7900</v>
      </c>
      <c r="AZ41" s="76">
        <f>7900</f>
        <v>7900</v>
      </c>
      <c r="BA41" s="76">
        <f>7900</f>
        <v>7900</v>
      </c>
      <c r="BB41" s="76">
        <f>7900</f>
        <v>7900</v>
      </c>
      <c r="BC41" s="76">
        <f>7900</f>
        <v>7900</v>
      </c>
      <c r="BD41" s="76">
        <f>7900</f>
        <v>7900</v>
      </c>
      <c r="BE41" s="76">
        <f>7900</f>
        <v>7900</v>
      </c>
      <c r="BF41" s="76">
        <f>7900</f>
        <v>7900</v>
      </c>
      <c r="BG41" s="76">
        <f>7900</f>
        <v>7900</v>
      </c>
      <c r="BH41" s="76">
        <f>7900</f>
        <v>7900</v>
      </c>
      <c r="BI41" s="76">
        <f>7900</f>
        <v>7900</v>
      </c>
      <c r="BJ41" s="76">
        <f>7900</f>
        <v>7900</v>
      </c>
      <c r="BK41" s="76">
        <f>7900</f>
        <v>7900</v>
      </c>
      <c r="BL41" s="76">
        <f>7900</f>
        <v>7900</v>
      </c>
      <c r="BM41" s="76">
        <f>7900</f>
        <v>7900</v>
      </c>
      <c r="BN41" s="76">
        <f>7900</f>
        <v>7900</v>
      </c>
      <c r="BO41" s="76">
        <f>7900</f>
        <v>7900</v>
      </c>
      <c r="BP41" s="76">
        <f>7900</f>
        <v>7900</v>
      </c>
      <c r="BQ41" s="76">
        <f>7900</f>
        <v>7900</v>
      </c>
      <c r="BR41" s="76">
        <f>7900</f>
        <v>7900</v>
      </c>
      <c r="BU41" s="309" t="s">
        <v>536</v>
      </c>
      <c r="BZ41" s="1077" cm="1" t="str">
        <f t="array" ref="BZ41:BZ41">OFFSET(BY41,-1,1)</f>
        <v>0</v>
      </c>
      <c r="CA41" s="1076"/>
      <c r="CB41" s="1076"/>
      <c r="CC41" s="1076"/>
      <c r="CD41" s="1077" t="s">
        <v>527</v>
      </c>
      <c r="CE41" s="1076"/>
      <c r="CF41" s="1076"/>
      <c r="CG41" s="1076"/>
      <c r="CH41" s="1076"/>
      <c r="CI41" s="1077" t="s">
        <v>303</v>
      </c>
      <c r="CJ41" s="1077" t="s">
        <v>537</v>
      </c>
      <c r="CK41" s="1077" t="s">
        <v>538</v>
      </c>
    </row>
    <row customHeight="1" ht="16.575" hidden="1">
      <c r="E42" s="180">
        <v>17</v>
      </c>
      <c r="F42" s="175" cm="1" t="str">
        <f t="array" ref="F42:F42">OFFSET(G42,-1,-1)</f>
        <v>0</v>
      </c>
      <c r="T42" s="973">
        <f>F42&gt;0</f>
        <v>0</v>
      </c>
      <c r="AB42" s="412">
        <v>10</v>
      </c>
      <c r="AC42" s="415" t="s">
        <v>539</v>
      </c>
      <c r="AD42" s="380" t="s">
        <v>540</v>
      </c>
      <c r="AE42" s="76"/>
      <c r="AF42" s="76"/>
      <c r="AG42" s="76"/>
      <c r="AH42" s="76"/>
      <c r="AI42" s="76"/>
      <c r="AJ42" s="76"/>
      <c r="AK42" s="76"/>
      <c r="AL42" s="76"/>
      <c r="AM42" s="76"/>
      <c r="AN42" s="76"/>
      <c r="AO42" s="76"/>
      <c r="AP42" s="76"/>
      <c r="AQ42" s="76"/>
      <c r="AR42" s="76"/>
      <c r="AS42" s="76"/>
      <c r="AT42" s="76"/>
      <c r="AU42" s="76"/>
      <c r="AV42" s="76"/>
      <c r="AW42" s="76"/>
      <c r="AX42" s="76"/>
      <c r="AY42" s="396"/>
      <c r="AZ42" s="76"/>
      <c r="BA42" s="76"/>
      <c r="BB42" s="76"/>
      <c r="BC42" s="76"/>
      <c r="BD42" s="76"/>
      <c r="BE42" s="76"/>
      <c r="BF42" s="76"/>
      <c r="BG42" s="76"/>
      <c r="BH42" s="76"/>
      <c r="BI42" s="76"/>
      <c r="BJ42" s="76"/>
      <c r="BK42" s="76"/>
      <c r="BL42" s="76"/>
      <c r="BM42" s="76"/>
      <c r="BN42" s="76"/>
      <c r="BO42" s="76"/>
      <c r="BP42" s="76"/>
      <c r="BQ42" s="76"/>
      <c r="BR42" s="76"/>
      <c r="BU42" s="309" t="s">
        <v>541</v>
      </c>
      <c r="BZ42" s="1077" cm="1" t="str">
        <f t="array" ref="BZ42:BZ42">OFFSET(BY42,-1,1)</f>
        <v>0</v>
      </c>
      <c r="CA42" s="1076"/>
      <c r="CB42" s="1076"/>
      <c r="CC42" s="1076"/>
      <c r="CD42" s="1077" t="s">
        <v>527</v>
      </c>
      <c r="CE42" s="1076"/>
      <c r="CF42" s="1076"/>
      <c r="CG42" s="1076"/>
      <c r="CH42" s="1076"/>
      <c r="CI42" s="1077" t="s">
        <v>303</v>
      </c>
      <c r="CJ42" s="1077" t="s">
        <v>542</v>
      </c>
      <c r="CK42" s="1077" t="s">
        <v>543</v>
      </c>
    </row>
    <row customHeight="1" ht="16.575" hidden="1">
      <c r="E43" s="180">
        <v>17</v>
      </c>
      <c r="F43" s="175" cm="1" t="str">
        <f t="array" ref="F43:F43">OFFSET(G43,-1,-1)</f>
        <v>0</v>
      </c>
      <c r="T43" s="973">
        <f>F43&gt;0</f>
        <v>0</v>
      </c>
      <c r="AB43" s="412">
        <v>11</v>
      </c>
      <c r="AC43" s="415" t="s">
        <v>544</v>
      </c>
      <c r="AD43" s="380" t="s">
        <v>545</v>
      </c>
      <c r="AE43" s="76">
        <f>7000</f>
        <v>7000</v>
      </c>
      <c r="AF43" s="76">
        <f>7000</f>
        <v>7000</v>
      </c>
      <c r="AG43" s="76">
        <f>7000</f>
        <v>7000</v>
      </c>
      <c r="AH43" s="76">
        <f>7000</f>
        <v>7000</v>
      </c>
      <c r="AI43" s="76">
        <f>7000</f>
        <v>7000</v>
      </c>
      <c r="AJ43" s="76">
        <f>7000</f>
        <v>7000</v>
      </c>
      <c r="AK43" s="76">
        <f>7000</f>
        <v>7000</v>
      </c>
      <c r="AL43" s="76">
        <f>7000</f>
        <v>7000</v>
      </c>
      <c r="AM43" s="76">
        <f>7000</f>
        <v>7000</v>
      </c>
      <c r="AN43" s="76">
        <f>7000</f>
        <v>7000</v>
      </c>
      <c r="AO43" s="76">
        <f>7000</f>
        <v>7000</v>
      </c>
      <c r="AP43" s="76">
        <f>7000</f>
        <v>7000</v>
      </c>
      <c r="AQ43" s="76">
        <f>7000</f>
        <v>7000</v>
      </c>
      <c r="AR43" s="76">
        <f>7000</f>
        <v>7000</v>
      </c>
      <c r="AS43" s="76">
        <f>7000</f>
        <v>7000</v>
      </c>
      <c r="AT43" s="76">
        <f>7000</f>
        <v>7000</v>
      </c>
      <c r="AU43" s="76">
        <f>7000</f>
        <v>7000</v>
      </c>
      <c r="AV43" s="76">
        <f>7000</f>
        <v>7000</v>
      </c>
      <c r="AW43" s="76">
        <f>7000</f>
        <v>7000</v>
      </c>
      <c r="AX43" s="76">
        <f>7000</f>
        <v>7000</v>
      </c>
      <c r="AY43" s="396">
        <f>7000</f>
        <v>7000</v>
      </c>
      <c r="AZ43" s="76">
        <f>7000</f>
        <v>7000</v>
      </c>
      <c r="BA43" s="76">
        <f>7000</f>
        <v>7000</v>
      </c>
      <c r="BB43" s="76">
        <f>7000</f>
        <v>7000</v>
      </c>
      <c r="BC43" s="76">
        <f>7000</f>
        <v>7000</v>
      </c>
      <c r="BD43" s="76">
        <f>7000</f>
        <v>7000</v>
      </c>
      <c r="BE43" s="76">
        <f>7000</f>
        <v>7000</v>
      </c>
      <c r="BF43" s="76">
        <f>7000</f>
        <v>7000</v>
      </c>
      <c r="BG43" s="76">
        <f>7000</f>
        <v>7000</v>
      </c>
      <c r="BH43" s="76">
        <f>7000</f>
        <v>7000</v>
      </c>
      <c r="BI43" s="76">
        <f>7000</f>
        <v>7000</v>
      </c>
      <c r="BJ43" s="76">
        <f>7000</f>
        <v>7000</v>
      </c>
      <c r="BK43" s="76">
        <f>7000</f>
        <v>7000</v>
      </c>
      <c r="BL43" s="76">
        <f>7000</f>
        <v>7000</v>
      </c>
      <c r="BM43" s="76">
        <f>7000</f>
        <v>7000</v>
      </c>
      <c r="BN43" s="76">
        <f>7000</f>
        <v>7000</v>
      </c>
      <c r="BO43" s="76">
        <f>7000</f>
        <v>7000</v>
      </c>
      <c r="BP43" s="76">
        <f>7000</f>
        <v>7000</v>
      </c>
      <c r="BQ43" s="76">
        <f>7000</f>
        <v>7000</v>
      </c>
      <c r="BR43" s="76">
        <f>7000</f>
        <v>7000</v>
      </c>
      <c r="BU43" s="309" t="s">
        <v>546</v>
      </c>
      <c r="BZ43" s="1077" cm="1" t="str">
        <f t="array" ref="BZ43:BZ43">OFFSET(BY43,-1,1)</f>
        <v>0</v>
      </c>
      <c r="CA43" s="1076"/>
      <c r="CB43" s="1076"/>
      <c r="CC43" s="1076"/>
      <c r="CD43" s="1076"/>
      <c r="CE43" s="1076"/>
      <c r="CF43" s="1077" t="s">
        <v>547</v>
      </c>
      <c r="CG43" s="1076"/>
      <c r="CH43" s="1076"/>
      <c r="CI43" s="1077" t="s">
        <v>303</v>
      </c>
      <c r="CJ43" s="1077" t="s">
        <v>548</v>
      </c>
      <c r="CK43" s="1077" t="s">
        <v>549</v>
      </c>
    </row>
    <row customHeight="1" ht="16.575" hidden="1">
      <c r="E44" s="180">
        <v>17</v>
      </c>
      <c r="F44" s="175" cm="1" t="str">
        <f t="array" ref="F44:F44">OFFSET(G44,-1,-1)</f>
        <v>0</v>
      </c>
      <c r="T44" s="973">
        <f>F44&gt;0</f>
        <v>0</v>
      </c>
      <c r="AB44" s="412">
        <v>12</v>
      </c>
      <c r="AC44" s="415" t="s">
        <v>550</v>
      </c>
      <c r="AD44" s="414" t="s">
        <v>495</v>
      </c>
      <c r="AE44" s="76"/>
      <c r="AF44" s="76"/>
      <c r="AG44" s="76"/>
      <c r="AH44" s="76"/>
      <c r="AI44" s="76"/>
      <c r="AJ44" s="76"/>
      <c r="AK44" s="76"/>
      <c r="AL44" s="76"/>
      <c r="AM44" s="76"/>
      <c r="AN44" s="76"/>
      <c r="AO44" s="76"/>
      <c r="AP44" s="76"/>
      <c r="AQ44" s="76"/>
      <c r="AR44" s="76"/>
      <c r="AS44" s="76"/>
      <c r="AT44" s="76"/>
      <c r="AU44" s="76"/>
      <c r="AV44" s="76"/>
      <c r="AW44" s="76"/>
      <c r="AX44" s="76"/>
      <c r="AY44" s="396"/>
      <c r="AZ44" s="76"/>
      <c r="BA44" s="76"/>
      <c r="BB44" s="76"/>
      <c r="BC44" s="76"/>
      <c r="BD44" s="76"/>
      <c r="BE44" s="76"/>
      <c r="BF44" s="76"/>
      <c r="BG44" s="76"/>
      <c r="BH44" s="76"/>
      <c r="BI44" s="76"/>
      <c r="BJ44" s="76"/>
      <c r="BK44" s="76"/>
      <c r="BL44" s="76"/>
      <c r="BM44" s="76"/>
      <c r="BN44" s="76"/>
      <c r="BO44" s="76"/>
      <c r="BP44" s="76"/>
      <c r="BQ44" s="76"/>
      <c r="BR44" s="76"/>
      <c r="BU44" s="309" t="s">
        <v>551</v>
      </c>
      <c r="BZ44" s="1077" cm="1" t="str">
        <f t="array" ref="BZ44:BZ44">OFFSET(BY44,-1,1)</f>
        <v>0</v>
      </c>
      <c r="CA44" s="1076"/>
      <c r="CB44" s="1076"/>
      <c r="CC44" s="1076"/>
      <c r="CD44" s="1076"/>
      <c r="CE44" s="1076"/>
      <c r="CF44" s="1076"/>
      <c r="CG44" s="1077" t="s">
        <v>552</v>
      </c>
      <c r="CH44" s="1076"/>
      <c r="CI44" s="1077" t="s">
        <v>303</v>
      </c>
      <c r="CJ44" s="1077" t="s">
        <v>519</v>
      </c>
      <c r="CK44" s="1077" t="s">
        <v>520</v>
      </c>
    </row>
    <row customHeight="1" ht="16.575" hidden="1">
      <c r="E45" s="180">
        <v>17</v>
      </c>
      <c r="F45" s="175" cm="1" t="str">
        <f t="array" ref="F45:F45">OFFSET(G45,-1,-1)</f>
        <v>0</v>
      </c>
      <c r="T45" s="973">
        <f>F45&gt;0</f>
        <v>0</v>
      </c>
      <c r="AB45" s="412">
        <v>13</v>
      </c>
      <c r="AC45" s="415" t="s">
        <v>553</v>
      </c>
      <c r="AD45" s="414" t="s">
        <v>495</v>
      </c>
      <c r="AE45" s="76"/>
      <c r="AF45" s="76"/>
      <c r="AG45" s="76"/>
      <c r="AH45" s="76"/>
      <c r="AI45" s="76"/>
      <c r="AJ45" s="76"/>
      <c r="AK45" s="76"/>
      <c r="AL45" s="76"/>
      <c r="AM45" s="76"/>
      <c r="AN45" s="76"/>
      <c r="AO45" s="76"/>
      <c r="AP45" s="76"/>
      <c r="AQ45" s="76"/>
      <c r="AR45" s="76"/>
      <c r="AS45" s="76"/>
      <c r="AT45" s="76"/>
      <c r="AU45" s="76"/>
      <c r="AV45" s="76"/>
      <c r="AW45" s="76"/>
      <c r="AX45" s="76"/>
      <c r="AY45" s="396"/>
      <c r="AZ45" s="76"/>
      <c r="BA45" s="76"/>
      <c r="BB45" s="76"/>
      <c r="BC45" s="76"/>
      <c r="BD45" s="76"/>
      <c r="BE45" s="76"/>
      <c r="BF45" s="76"/>
      <c r="BG45" s="76"/>
      <c r="BH45" s="76"/>
      <c r="BI45" s="76"/>
      <c r="BJ45" s="76"/>
      <c r="BK45" s="76"/>
      <c r="BL45" s="76"/>
      <c r="BM45" s="76"/>
      <c r="BN45" s="76"/>
      <c r="BO45" s="76"/>
      <c r="BP45" s="76"/>
      <c r="BQ45" s="76"/>
      <c r="BR45" s="76"/>
      <c r="BU45" s="309" t="s">
        <v>554</v>
      </c>
      <c r="BZ45" s="1077" cm="1" t="str">
        <f t="array" ref="BZ45:BZ45">OFFSET(BY45,-1,1)</f>
        <v>0</v>
      </c>
      <c r="CA45" s="1076"/>
      <c r="CB45" s="1076"/>
      <c r="CC45" s="1076"/>
      <c r="CD45" s="1076"/>
      <c r="CE45" s="1076"/>
      <c r="CF45" s="1076"/>
      <c r="CG45" s="1077" t="s">
        <v>555</v>
      </c>
      <c r="CH45" s="1076"/>
      <c r="CI45" s="1077" t="s">
        <v>303</v>
      </c>
      <c r="CJ45" s="1077" t="s">
        <v>519</v>
      </c>
      <c r="CK45" s="1077" t="s">
        <v>520</v>
      </c>
    </row>
    <row customHeight="1" ht="16.575" hidden="1">
      <c r="E46" s="180">
        <v>17</v>
      </c>
      <c r="F46" s="175" cm="1" t="str">
        <f t="array" ref="F46:F46">OFFSET(G46,-1,-1)</f>
        <v>0</v>
      </c>
      <c r="T46" s="973">
        <f>F46&gt;0</f>
        <v>0</v>
      </c>
      <c r="AB46" s="412">
        <v>14</v>
      </c>
      <c r="AC46" s="415" t="s">
        <v>556</v>
      </c>
      <c r="AD46" s="414" t="s">
        <v>495</v>
      </c>
      <c r="AE46" s="76"/>
      <c r="AF46" s="76"/>
      <c r="AG46" s="76"/>
      <c r="AH46" s="76"/>
      <c r="AI46" s="76"/>
      <c r="AJ46" s="76"/>
      <c r="AK46" s="76"/>
      <c r="AL46" s="76"/>
      <c r="AM46" s="76"/>
      <c r="AN46" s="76"/>
      <c r="AO46" s="76"/>
      <c r="AP46" s="76"/>
      <c r="AQ46" s="76"/>
      <c r="AR46" s="76"/>
      <c r="AS46" s="76"/>
      <c r="AT46" s="76"/>
      <c r="AU46" s="76"/>
      <c r="AV46" s="76"/>
      <c r="AW46" s="76"/>
      <c r="AX46" s="76"/>
      <c r="AY46" s="396"/>
      <c r="AZ46" s="76"/>
      <c r="BA46" s="76"/>
      <c r="BB46" s="76"/>
      <c r="BC46" s="76"/>
      <c r="BD46" s="76"/>
      <c r="BE46" s="76"/>
      <c r="BF46" s="76"/>
      <c r="BG46" s="76"/>
      <c r="BH46" s="76"/>
      <c r="BI46" s="76"/>
      <c r="BJ46" s="76"/>
      <c r="BK46" s="76"/>
      <c r="BL46" s="76"/>
      <c r="BM46" s="76"/>
      <c r="BN46" s="76"/>
      <c r="BO46" s="76"/>
      <c r="BP46" s="76"/>
      <c r="BQ46" s="76"/>
      <c r="BR46" s="76"/>
      <c r="BU46" s="309" t="s">
        <v>557</v>
      </c>
      <c r="BZ46" s="1077" cm="1" t="str">
        <f t="array" ref="BZ46:BZ46">OFFSET(BY46,-1,1)</f>
        <v>0</v>
      </c>
      <c r="CA46" s="1076"/>
      <c r="CB46" s="1076"/>
      <c r="CC46" s="1076"/>
      <c r="CD46" s="1076"/>
      <c r="CE46" s="1076"/>
      <c r="CF46" s="1076"/>
      <c r="CG46" s="1077" t="s">
        <v>558</v>
      </c>
      <c r="CH46" s="1076"/>
      <c r="CI46" s="1077" t="s">
        <v>303</v>
      </c>
      <c r="CJ46" s="1077" t="s">
        <v>519</v>
      </c>
      <c r="CK46" s="1077" t="s">
        <v>520</v>
      </c>
    </row>
    <row customHeight="1" ht="16.575" hidden="1">
      <c r="E47" s="180">
        <v>17</v>
      </c>
      <c r="F47" s="175" cm="1" t="str">
        <f t="array" ref="F47:F47">OFFSET(G47,-1,-1)</f>
        <v>0</v>
      </c>
      <c r="T47" s="973">
        <f>F47&gt;0</f>
        <v>0</v>
      </c>
      <c r="AB47" s="412">
        <v>15</v>
      </c>
      <c r="AC47" s="415" t="s">
        <v>559</v>
      </c>
      <c r="AD47" s="414" t="s">
        <v>495</v>
      </c>
      <c r="AE47" s="76"/>
      <c r="AF47" s="76"/>
      <c r="AG47" s="76"/>
      <c r="AH47" s="76"/>
      <c r="AI47" s="76"/>
      <c r="AJ47" s="76"/>
      <c r="AK47" s="76"/>
      <c r="AL47" s="76"/>
      <c r="AM47" s="76"/>
      <c r="AN47" s="76"/>
      <c r="AO47" s="76"/>
      <c r="AP47" s="76"/>
      <c r="AQ47" s="76"/>
      <c r="AR47" s="76"/>
      <c r="AS47" s="76"/>
      <c r="AT47" s="76"/>
      <c r="AU47" s="76"/>
      <c r="AV47" s="76"/>
      <c r="AW47" s="76"/>
      <c r="AX47" s="76"/>
      <c r="AY47" s="396"/>
      <c r="AZ47" s="76"/>
      <c r="BA47" s="76"/>
      <c r="BB47" s="76"/>
      <c r="BC47" s="76"/>
      <c r="BD47" s="76"/>
      <c r="BE47" s="76"/>
      <c r="BF47" s="76"/>
      <c r="BG47" s="76"/>
      <c r="BH47" s="76"/>
      <c r="BI47" s="76"/>
      <c r="BJ47" s="76"/>
      <c r="BK47" s="76"/>
      <c r="BL47" s="76"/>
      <c r="BM47" s="76"/>
      <c r="BN47" s="76"/>
      <c r="BO47" s="76"/>
      <c r="BP47" s="76"/>
      <c r="BQ47" s="76"/>
      <c r="BR47" s="76"/>
      <c r="BU47" s="309" t="s">
        <v>560</v>
      </c>
      <c r="BZ47" s="1077" cm="1" t="str">
        <f t="array" ref="BZ47:BZ47">OFFSET(BY47,-1,1)</f>
        <v>0</v>
      </c>
      <c r="CA47" s="1076"/>
      <c r="CB47" s="1076"/>
      <c r="CC47" s="1076"/>
      <c r="CD47" s="1076"/>
      <c r="CE47" s="1076"/>
      <c r="CF47" s="1076"/>
      <c r="CG47" s="1077" t="s">
        <v>561</v>
      </c>
      <c r="CH47" s="1076"/>
      <c r="CI47" s="1077" t="s">
        <v>303</v>
      </c>
      <c r="CJ47" s="1077" t="s">
        <v>519</v>
      </c>
      <c r="CK47" s="1077" t="s">
        <v>520</v>
      </c>
    </row>
    <row customHeight="1" ht="16.575" hidden="1">
      <c r="E48" s="180">
        <v>17</v>
      </c>
      <c r="F48" s="175" cm="1" t="str">
        <f t="array" ref="F48:F48">OFFSET(G48,-1,-1)</f>
        <v>0</v>
      </c>
      <c r="G48" s="175" t="s">
        <v>562</v>
      </c>
      <c r="T48" s="979">
        <f>AND(F48&gt;0,method_reg&lt;&gt;"Метод экономически обоснованных расходов")</f>
        <v>0</v>
      </c>
      <c r="AB48" s="412">
        <v>16</v>
      </c>
      <c r="AC48" s="416" t="s">
        <v>563</v>
      </c>
      <c r="AD48" s="387"/>
      <c r="AE48" s="76"/>
      <c r="AF48" s="76"/>
      <c r="AG48" s="76"/>
      <c r="AH48" s="76"/>
      <c r="AI48" s="76"/>
      <c r="AJ48" s="76"/>
      <c r="AK48" s="76"/>
      <c r="AL48" s="76"/>
      <c r="AM48" s="76"/>
      <c r="AN48" s="76"/>
      <c r="AO48" s="76"/>
      <c r="AP48" s="76"/>
      <c r="AQ48" s="76"/>
      <c r="AR48" s="76"/>
      <c r="AS48" s="76"/>
      <c r="AT48" s="76"/>
      <c r="AU48" s="76"/>
      <c r="AV48" s="76"/>
      <c r="AW48" s="76"/>
      <c r="AX48" s="76"/>
      <c r="AY48" s="396"/>
      <c r="AZ48" s="76"/>
      <c r="BA48" s="76"/>
      <c r="BB48" s="76"/>
      <c r="BC48" s="76"/>
      <c r="BD48" s="76"/>
      <c r="BE48" s="76"/>
      <c r="BF48" s="76"/>
      <c r="BG48" s="76"/>
      <c r="BH48" s="76"/>
      <c r="BI48" s="76"/>
      <c r="BJ48" s="76"/>
      <c r="BK48" s="76"/>
      <c r="BL48" s="76"/>
      <c r="BM48" s="76"/>
      <c r="BN48" s="76"/>
      <c r="BO48" s="76"/>
      <c r="BP48" s="76"/>
      <c r="BQ48" s="76"/>
      <c r="BR48" s="76"/>
      <c r="BU48" s="309" t="s">
        <v>564</v>
      </c>
      <c r="BZ48" s="1077" cm="1" t="str">
        <f t="array" ref="BZ48:BZ48">OFFSET(BY48,-1,1)</f>
        <v>0</v>
      </c>
      <c r="CA48" s="1076"/>
      <c r="CB48" s="1076"/>
      <c r="CC48" s="1076"/>
      <c r="CD48" s="1076"/>
      <c r="CE48" s="1076"/>
      <c r="CF48" s="1076"/>
      <c r="CG48" s="1076"/>
      <c r="CH48" s="1076"/>
      <c r="CI48" s="1077" t="s">
        <v>303</v>
      </c>
      <c r="CJ48" s="1077" t="s">
        <v>565</v>
      </c>
      <c r="CK48" s="1077" t="s">
        <v>566</v>
      </c>
    </row>
    <row customHeight="1" ht="29.25" hidden="1">
      <c r="E49" s="180">
        <v>30</v>
      </c>
      <c r="F49" s="175" cm="1" t="str">
        <f t="array" ref="F49:F49">OFFSET(G49,-1,-1)</f>
        <v>0</v>
      </c>
      <c r="G49" s="175" t="s">
        <v>567</v>
      </c>
      <c r="T49" s="979">
        <f>AND(F49&gt;0,method_reg&lt;&gt;"Метод экономически обоснованных расходов")</f>
        <v>0</v>
      </c>
      <c r="AB49" s="412">
        <v>17</v>
      </c>
      <c r="AC49" s="417" t="s">
        <v>568</v>
      </c>
      <c r="AD49" s="418"/>
      <c r="AE49" s="76">
        <f>0.75</f>
        <v>0.75</v>
      </c>
      <c r="AF49" s="76">
        <f>0.75</f>
        <v>0.75</v>
      </c>
      <c r="AG49" s="76">
        <f>0.75</f>
        <v>0.75</v>
      </c>
      <c r="AH49" s="76">
        <f>0.75</f>
        <v>0.75</v>
      </c>
      <c r="AI49" s="76">
        <f>0.75</f>
        <v>0.75</v>
      </c>
      <c r="AJ49" s="76">
        <f>0.75</f>
        <v>0.75</v>
      </c>
      <c r="AK49" s="76">
        <f>0.75</f>
        <v>0.75</v>
      </c>
      <c r="AL49" s="76">
        <f>0.75</f>
        <v>0.75</v>
      </c>
      <c r="AM49" s="76">
        <f>0.75</f>
        <v>0.75</v>
      </c>
      <c r="AN49" s="76">
        <f>0.75</f>
        <v>0.75</v>
      </c>
      <c r="AO49" s="76">
        <f>0.75</f>
        <v>0.75</v>
      </c>
      <c r="AP49" s="76">
        <f>0.75</f>
        <v>0.75</v>
      </c>
      <c r="AQ49" s="76">
        <f>0.75</f>
        <v>0.75</v>
      </c>
      <c r="AR49" s="76">
        <f>0.75</f>
        <v>0.75</v>
      </c>
      <c r="AS49" s="76">
        <f>0.75</f>
        <v>0.75</v>
      </c>
      <c r="AT49" s="76">
        <f>0.75</f>
        <v>0.75</v>
      </c>
      <c r="AU49" s="76">
        <f>0.75</f>
        <v>0.75</v>
      </c>
      <c r="AV49" s="76">
        <f>0.75</f>
        <v>0.75</v>
      </c>
      <c r="AW49" s="76">
        <f>0.75</f>
        <v>0.75</v>
      </c>
      <c r="AX49" s="76">
        <f>0.75</f>
        <v>0.75</v>
      </c>
      <c r="AY49" s="396">
        <f>0.75</f>
        <v>0.75</v>
      </c>
      <c r="AZ49" s="76">
        <f>0.75</f>
        <v>0.75</v>
      </c>
      <c r="BA49" s="76">
        <f>0.75</f>
        <v>0.75</v>
      </c>
      <c r="BB49" s="76">
        <f>0.75</f>
        <v>0.75</v>
      </c>
      <c r="BC49" s="76">
        <f>0.75</f>
        <v>0.75</v>
      </c>
      <c r="BD49" s="76">
        <f>0.75</f>
        <v>0.75</v>
      </c>
      <c r="BE49" s="76">
        <f>0.75</f>
        <v>0.75</v>
      </c>
      <c r="BF49" s="76">
        <f>0.75</f>
        <v>0.75</v>
      </c>
      <c r="BG49" s="76">
        <f>0.75</f>
        <v>0.75</v>
      </c>
      <c r="BH49" s="76">
        <f>0.75</f>
        <v>0.75</v>
      </c>
      <c r="BI49" s="76">
        <f>0.75</f>
        <v>0.75</v>
      </c>
      <c r="BJ49" s="76">
        <f>0.75</f>
        <v>0.75</v>
      </c>
      <c r="BK49" s="76">
        <f>0.75</f>
        <v>0.75</v>
      </c>
      <c r="BL49" s="76">
        <f>0.75</f>
        <v>0.75</v>
      </c>
      <c r="BM49" s="76">
        <f>0.75</f>
        <v>0.75</v>
      </c>
      <c r="BN49" s="76">
        <f>0.75</f>
        <v>0.75</v>
      </c>
      <c r="BO49" s="76">
        <f>0.75</f>
        <v>0.75</v>
      </c>
      <c r="BP49" s="76">
        <f>0.75</f>
        <v>0.75</v>
      </c>
      <c r="BQ49" s="76">
        <f>0.75</f>
        <v>0.75</v>
      </c>
      <c r="BR49" s="76">
        <f>0.75</f>
        <v>0.75</v>
      </c>
      <c r="BU49" s="309" t="s">
        <v>569</v>
      </c>
      <c r="BZ49" s="1077" cm="1" t="str">
        <f t="array" ref="BZ49:BZ49">OFFSET(BY49,-1,1)</f>
        <v>0</v>
      </c>
      <c r="CA49" s="1076"/>
      <c r="CB49" s="1076"/>
      <c r="CC49" s="1076"/>
      <c r="CD49" s="1076"/>
      <c r="CE49" s="1076"/>
      <c r="CF49" s="1076"/>
      <c r="CG49" s="1076"/>
      <c r="CH49" s="1076"/>
      <c r="CI49" s="1077" t="s">
        <v>303</v>
      </c>
      <c r="CJ49" s="1077" t="s">
        <v>570</v>
      </c>
      <c r="CK49" s="1077" t="s">
        <v>571</v>
      </c>
    </row>
    <row customHeight="1" ht="16.575" hidden="1">
      <c r="E50" s="180">
        <v>17</v>
      </c>
      <c r="F50" s="175" cm="1" t="str">
        <f t="array" ref="F50:F50">OFFSET(G50,-1,-1)</f>
        <v>0</v>
      </c>
      <c r="T50" s="979">
        <f>AND(F50&gt;0,Y50&gt;0,method_reg&lt;&gt;"Метод экономически обоснованных расходов")</f>
        <v>0</v>
      </c>
      <c r="W50" s="175" t="s">
        <v>189</v>
      </c>
      <c r="Y50" s="175">
        <v>0</v>
      </c>
      <c r="AA50" s="477" t="s">
        <v>171</v>
      </c>
      <c r="AB50" s="402"/>
      <c r="AC50" s="78"/>
      <c r="AD50" s="403" t="s">
        <v>495</v>
      </c>
      <c r="AE50" s="79"/>
      <c r="AF50" s="79"/>
      <c r="AG50" s="79"/>
      <c r="AH50" s="79"/>
      <c r="AI50" s="79"/>
      <c r="AJ50" s="79"/>
      <c r="AK50" s="79"/>
      <c r="AL50" s="79"/>
      <c r="AM50" s="79"/>
      <c r="AN50" s="79"/>
      <c r="AO50" s="79"/>
      <c r="AP50" s="79"/>
      <c r="AQ50" s="79"/>
      <c r="AR50" s="79"/>
      <c r="AS50" s="79"/>
      <c r="AT50" s="79"/>
      <c r="AU50" s="79"/>
      <c r="AV50" s="79"/>
      <c r="AW50" s="79"/>
      <c r="AX50" s="79"/>
      <c r="AY50" s="404"/>
      <c r="AZ50" s="79"/>
      <c r="BA50" s="79"/>
      <c r="BB50" s="79"/>
      <c r="BC50" s="79"/>
      <c r="BD50" s="79"/>
      <c r="BE50" s="79"/>
      <c r="BF50" s="79"/>
      <c r="BG50" s="79"/>
      <c r="BH50" s="79"/>
      <c r="BI50" s="79"/>
      <c r="BJ50" s="79"/>
      <c r="BK50" s="79"/>
      <c r="BL50" s="79"/>
      <c r="BM50" s="79"/>
      <c r="BN50" s="79"/>
      <c r="BO50" s="79"/>
      <c r="BP50" s="79"/>
      <c r="BQ50" s="79"/>
      <c r="BR50" s="79"/>
      <c r="BU50" s="309" t="s">
        <v>572</v>
      </c>
      <c r="BV50" s="309" t="s">
        <v>573</v>
      </c>
      <c r="BW50" s="309" cm="1" t="str">
        <f t="array" ref="BW50:BW50">AC50</f>
        <v>0</v>
      </c>
      <c r="BY50" s="372" t="b">
        <v>1</v>
      </c>
      <c r="BZ50" s="1077" cm="1" t="str">
        <f t="array" ref="BZ50:BZ50">OFFSET(BY50,-1,1)</f>
        <v>0</v>
      </c>
      <c r="CA50" s="1076"/>
      <c r="CB50" s="1076"/>
      <c r="CC50" s="1076"/>
      <c r="CD50" s="1076"/>
      <c r="CE50" s="1076"/>
      <c r="CF50" s="1076"/>
      <c r="CG50" s="1076"/>
      <c r="CH50" s="1076" cm="1" t="str">
        <f t="array" ref="CH50:CH50">AC50</f>
        <v>0</v>
      </c>
      <c r="CI50" s="1077" t="s">
        <v>303</v>
      </c>
      <c r="CJ50" s="1077" t="s">
        <v>570</v>
      </c>
      <c r="CK50" s="1077" t="s">
        <v>571</v>
      </c>
    </row>
    <row customHeight="1" ht="16.575" hidden="1">
      <c r="E51" s="180">
        <v>17</v>
      </c>
      <c r="F51" s="175" cm="1" t="str">
        <f t="array" ref="F51:F51">OFFSET(G51,-1,-1)</f>
        <v>0</v>
      </c>
      <c r="T51" s="979">
        <f>AND(F51&gt;0,method_reg&lt;&gt;"Метод экономически обоснованных расходов")</f>
        <v>0</v>
      </c>
      <c r="W51" s="980" t="s">
        <v>510</v>
      </c>
      <c r="AB51" s="405"/>
      <c r="AC51" s="406" t="s">
        <v>574</v>
      </c>
      <c r="AD51" s="407"/>
      <c r="AE51" s="407"/>
      <c r="AF51" s="407"/>
      <c r="AG51" s="407"/>
      <c r="AH51" s="407"/>
      <c r="AI51" s="407"/>
      <c r="AJ51" s="407"/>
      <c r="AK51" s="407"/>
      <c r="AL51" s="407"/>
      <c r="AM51" s="407"/>
      <c r="AN51" s="407"/>
      <c r="AO51" s="407"/>
      <c r="AP51" s="407"/>
      <c r="AQ51" s="407"/>
      <c r="AR51" s="407"/>
      <c r="AS51" s="407"/>
      <c r="AT51" s="407"/>
      <c r="AU51" s="407"/>
      <c r="AV51" s="407"/>
      <c r="AW51" s="407"/>
      <c r="AX51" s="407"/>
      <c r="AY51" s="407"/>
      <c r="AZ51" s="407"/>
      <c r="BA51" s="407"/>
      <c r="BB51" s="407"/>
      <c r="BC51" s="407"/>
      <c r="BD51" s="407"/>
      <c r="BE51" s="407"/>
      <c r="BF51" s="407"/>
      <c r="BG51" s="407"/>
      <c r="BH51" s="407"/>
      <c r="BI51" s="407"/>
      <c r="BJ51" s="407"/>
      <c r="BK51" s="407"/>
      <c r="BL51" s="407"/>
      <c r="BM51" s="407"/>
      <c r="BN51" s="407"/>
      <c r="BO51" s="407"/>
      <c r="BP51" s="407"/>
      <c r="BQ51" s="407"/>
      <c r="BR51" s="408"/>
      <c r="BX51" s="372" t="s">
        <v>573</v>
      </c>
      <c r="BZ51" s="1077" cm="1" t="str">
        <f t="array" ref="BZ51:BZ51">OFFSET(BY51,-1,1)</f>
        <v>0</v>
      </c>
      <c r="CA51" s="1076"/>
      <c r="CB51" s="1076"/>
      <c r="CC51" s="1076"/>
      <c r="CD51" s="1076"/>
      <c r="CE51" s="1076"/>
      <c r="CF51" s="1076"/>
      <c r="CG51" s="1076"/>
      <c r="CH51" s="1076"/>
      <c r="CI51" s="1076"/>
      <c r="CJ51" s="1076"/>
      <c r="CK51" s="1076"/>
    </row>
    <row customHeight="1" ht="16.575" hidden="1">
      <c r="E52" s="180">
        <v>17</v>
      </c>
      <c r="F52" s="175" cm="1" t="str">
        <f t="array" ref="F52:F52">OFFSET(G52,-1,-1)</f>
        <v>0</v>
      </c>
      <c r="T52" s="973">
        <f>F52&gt;0</f>
        <v>0</v>
      </c>
      <c r="AB52" s="1002">
        <v>18</v>
      </c>
      <c r="AC52" s="391" t="s">
        <v>575</v>
      </c>
      <c r="AD52" s="392"/>
      <c r="AE52" s="419"/>
      <c r="AF52" s="419"/>
      <c r="AG52" s="419"/>
      <c r="AH52" s="419"/>
      <c r="AI52" s="419"/>
      <c r="AJ52" s="419"/>
      <c r="AK52" s="419"/>
      <c r="AL52" s="419"/>
      <c r="AM52" s="419"/>
      <c r="AN52" s="419"/>
      <c r="AO52" s="419"/>
      <c r="AP52" s="419"/>
      <c r="AQ52" s="419"/>
      <c r="AR52" s="419"/>
      <c r="AS52" s="419"/>
      <c r="AT52" s="419"/>
      <c r="AU52" s="419"/>
      <c r="AV52" s="419"/>
      <c r="AW52" s="419"/>
      <c r="AX52" s="419"/>
      <c r="AY52" s="419"/>
      <c r="AZ52" s="419"/>
      <c r="BA52" s="419"/>
      <c r="BB52" s="419"/>
      <c r="BC52" s="419"/>
      <c r="BD52" s="419"/>
      <c r="BE52" s="419"/>
      <c r="BF52" s="419"/>
      <c r="BG52" s="419"/>
      <c r="BH52" s="419"/>
      <c r="BI52" s="419"/>
      <c r="BJ52" s="419"/>
      <c r="BK52" s="419"/>
      <c r="BL52" s="419"/>
      <c r="BM52" s="419"/>
      <c r="BN52" s="419"/>
      <c r="BO52" s="419"/>
      <c r="BP52" s="419"/>
      <c r="BQ52" s="419"/>
      <c r="BR52" s="419"/>
      <c r="BZ52" s="1077" cm="1" t="str">
        <f t="array" ref="BZ52:BZ52">OFFSET(BY52,-1,1)</f>
        <v>0</v>
      </c>
      <c r="CA52" s="1076"/>
      <c r="CB52" s="1076"/>
      <c r="CC52" s="1076"/>
      <c r="CD52" s="1076"/>
      <c r="CE52" s="1076"/>
      <c r="CF52" s="1076"/>
      <c r="CG52" s="1076"/>
      <c r="CH52" s="1076"/>
      <c r="CI52" s="1076"/>
      <c r="CJ52" s="1076"/>
      <c r="CK52" s="1076"/>
    </row>
    <row customHeight="1" ht="16.575" hidden="1">
      <c r="E53" s="180">
        <v>17</v>
      </c>
      <c r="F53" s="175" cm="1" t="str">
        <f t="array" ref="F53:F53">OFFSET(G53,-1,-1)</f>
        <v>0</v>
      </c>
      <c r="G53" s="175" t="s">
        <v>576</v>
      </c>
      <c r="T53" s="973">
        <f>F53&gt;0</f>
        <v>0</v>
      </c>
      <c r="AB53" s="339">
        <v>18.1</v>
      </c>
      <c r="AC53" s="420" t="s">
        <v>577</v>
      </c>
      <c r="AD53" s="387" t="s">
        <v>495</v>
      </c>
      <c r="AE53" s="76"/>
      <c r="AF53" s="76"/>
      <c r="AG53" s="76"/>
      <c r="AH53" s="76"/>
      <c r="AI53" s="76"/>
      <c r="AJ53" s="76"/>
      <c r="AK53" s="76"/>
      <c r="AL53" s="76"/>
      <c r="AM53" s="76"/>
      <c r="AN53" s="76"/>
      <c r="AO53" s="76"/>
      <c r="AP53" s="76"/>
      <c r="AQ53" s="76"/>
      <c r="AR53" s="76"/>
      <c r="AS53" s="76"/>
      <c r="AT53" s="76"/>
      <c r="AU53" s="76"/>
      <c r="AV53" s="76"/>
      <c r="AW53" s="76"/>
      <c r="AX53" s="76"/>
      <c r="AY53" s="396"/>
      <c r="AZ53" s="76"/>
      <c r="BA53" s="76"/>
      <c r="BB53" s="76"/>
      <c r="BC53" s="76"/>
      <c r="BD53" s="76"/>
      <c r="BE53" s="76"/>
      <c r="BF53" s="76"/>
      <c r="BG53" s="76"/>
      <c r="BH53" s="76"/>
      <c r="BI53" s="76"/>
      <c r="BJ53" s="76"/>
      <c r="BK53" s="76"/>
      <c r="BL53" s="76"/>
      <c r="BM53" s="76"/>
      <c r="BN53" s="76"/>
      <c r="BO53" s="76"/>
      <c r="BP53" s="76"/>
      <c r="BQ53" s="76"/>
      <c r="BR53" s="76"/>
      <c r="BU53" s="309" t="s">
        <v>578</v>
      </c>
      <c r="BZ53" s="1077" cm="1" t="str">
        <f t="array" ref="BZ53:BZ53">OFFSET(BY53,-1,1)</f>
        <v>0</v>
      </c>
      <c r="CA53" s="1076"/>
      <c r="CB53" s="1076"/>
      <c r="CC53" s="1076"/>
      <c r="CD53" s="1076"/>
      <c r="CE53" s="1076"/>
      <c r="CF53" s="1076"/>
      <c r="CG53" s="1076"/>
      <c r="CH53" s="1076"/>
      <c r="CI53" s="1077" t="s">
        <v>303</v>
      </c>
      <c r="CJ53" s="1077" t="s">
        <v>579</v>
      </c>
      <c r="CK53" s="1077" t="s">
        <v>580</v>
      </c>
    </row>
    <row customHeight="1" ht="16.575" hidden="1">
      <c r="E54" s="180">
        <v>17</v>
      </c>
      <c r="F54" s="175" cm="1" t="str">
        <f t="array" ref="F54:F54">OFFSET(G54,-1,-1)</f>
        <v>0</v>
      </c>
      <c r="T54" s="973">
        <f>F54&gt;0</f>
        <v>0</v>
      </c>
      <c r="AB54" s="339">
        <v>18.2</v>
      </c>
      <c r="AC54" s="417" t="s">
        <v>581</v>
      </c>
      <c r="AD54" s="387" t="s">
        <v>495</v>
      </c>
      <c r="AE54" s="76"/>
      <c r="AF54" s="76"/>
      <c r="AG54" s="76"/>
      <c r="AH54" s="76"/>
      <c r="AI54" s="76"/>
      <c r="AJ54" s="76"/>
      <c r="AK54" s="76"/>
      <c r="AL54" s="76"/>
      <c r="AM54" s="76"/>
      <c r="AN54" s="76"/>
      <c r="AO54" s="76"/>
      <c r="AP54" s="76"/>
      <c r="AQ54" s="76"/>
      <c r="AR54" s="76"/>
      <c r="AS54" s="76"/>
      <c r="AT54" s="76"/>
      <c r="AU54" s="76"/>
      <c r="AV54" s="76"/>
      <c r="AW54" s="76"/>
      <c r="AX54" s="76"/>
      <c r="AY54" s="396"/>
      <c r="AZ54" s="76"/>
      <c r="BA54" s="76"/>
      <c r="BB54" s="76"/>
      <c r="BC54" s="76"/>
      <c r="BD54" s="76"/>
      <c r="BE54" s="76"/>
      <c r="BF54" s="76"/>
      <c r="BG54" s="76"/>
      <c r="BH54" s="76"/>
      <c r="BI54" s="76"/>
      <c r="BJ54" s="76"/>
      <c r="BK54" s="76"/>
      <c r="BL54" s="76"/>
      <c r="BM54" s="76"/>
      <c r="BN54" s="76"/>
      <c r="BO54" s="76"/>
      <c r="BP54" s="76"/>
      <c r="BQ54" s="76"/>
      <c r="BR54" s="76"/>
      <c r="BU54" s="309" t="s">
        <v>582</v>
      </c>
      <c r="BZ54" s="1077" cm="1" t="str">
        <f t="array" ref="BZ54:BZ54">OFFSET(BY54,-1,1)</f>
        <v>0</v>
      </c>
      <c r="CA54" s="1076"/>
      <c r="CB54" s="1076"/>
      <c r="CC54" s="1076"/>
      <c r="CD54" s="1076"/>
      <c r="CE54" s="1076"/>
      <c r="CF54" s="1076"/>
      <c r="CG54" s="1076"/>
      <c r="CH54" s="1076"/>
      <c r="CI54" s="1077" t="s">
        <v>303</v>
      </c>
      <c r="CJ54" s="1077" t="s">
        <v>583</v>
      </c>
      <c r="CK54" s="1077" t="s">
        <v>584</v>
      </c>
    </row>
    <row customHeight="1" ht="16.575" hidden="1">
      <c r="E55" s="180">
        <v>17</v>
      </c>
      <c r="F55" s="175" cm="1" t="str">
        <f t="array" ref="F55:F55">OFFSET(G55,-1,-1)</f>
        <v>0</v>
      </c>
      <c r="T55" s="973">
        <f>F55&gt;0</f>
        <v>0</v>
      </c>
      <c r="AB55" s="339">
        <v>18.3</v>
      </c>
      <c r="AC55" s="417" t="s">
        <v>585</v>
      </c>
      <c r="AD55" s="387" t="s">
        <v>495</v>
      </c>
      <c r="AE55" s="76"/>
      <c r="AF55" s="76"/>
      <c r="AG55" s="76"/>
      <c r="AH55" s="76"/>
      <c r="AI55" s="76"/>
      <c r="AJ55" s="76"/>
      <c r="AK55" s="76"/>
      <c r="AL55" s="76"/>
      <c r="AM55" s="76"/>
      <c r="AN55" s="76"/>
      <c r="AO55" s="76"/>
      <c r="AP55" s="76"/>
      <c r="AQ55" s="76"/>
      <c r="AR55" s="76"/>
      <c r="AS55" s="76"/>
      <c r="AT55" s="76"/>
      <c r="AU55" s="76"/>
      <c r="AV55" s="76"/>
      <c r="AW55" s="76"/>
      <c r="AX55" s="76"/>
      <c r="AY55" s="396"/>
      <c r="AZ55" s="76"/>
      <c r="BA55" s="76"/>
      <c r="BB55" s="76"/>
      <c r="BC55" s="76"/>
      <c r="BD55" s="76"/>
      <c r="BE55" s="76"/>
      <c r="BF55" s="76"/>
      <c r="BG55" s="76"/>
      <c r="BH55" s="76"/>
      <c r="BI55" s="76"/>
      <c r="BJ55" s="76"/>
      <c r="BK55" s="76"/>
      <c r="BL55" s="76"/>
      <c r="BM55" s="76"/>
      <c r="BN55" s="76"/>
      <c r="BO55" s="76"/>
      <c r="BP55" s="76"/>
      <c r="BQ55" s="76"/>
      <c r="BR55" s="76"/>
      <c r="BU55" s="309" t="s">
        <v>586</v>
      </c>
      <c r="BZ55" s="1077" cm="1" t="str">
        <f t="array" ref="BZ55:BZ55">OFFSET(BY55,-1,1)</f>
        <v>0</v>
      </c>
      <c r="CA55" s="1076"/>
      <c r="CB55" s="1076"/>
      <c r="CC55" s="1076"/>
      <c r="CD55" s="1076"/>
      <c r="CE55" s="1076"/>
      <c r="CF55" s="1076"/>
      <c r="CG55" s="1076"/>
      <c r="CH55" s="1076"/>
      <c r="CI55" s="1077" t="s">
        <v>303</v>
      </c>
      <c r="CJ55" s="1077" t="s">
        <v>587</v>
      </c>
      <c r="CK55" s="1077" t="s">
        <v>588</v>
      </c>
    </row>
    <row customHeight="1" ht="16.575" hidden="1">
      <c r="E56" s="180">
        <v>17</v>
      </c>
      <c r="F56" s="175" cm="1" t="str">
        <f t="array" ref="F56:F56">OFFSET(G56,-1,-1)</f>
        <v>0</v>
      </c>
      <c r="T56" s="973">
        <f>F56&gt;0</f>
        <v>0</v>
      </c>
      <c r="AB56" s="339">
        <v>18.4</v>
      </c>
      <c r="AC56" s="417" t="s">
        <v>589</v>
      </c>
      <c r="AD56" s="387" t="s">
        <v>495</v>
      </c>
      <c r="AE56" s="76"/>
      <c r="AF56" s="76"/>
      <c r="AG56" s="76"/>
      <c r="AH56" s="76"/>
      <c r="AI56" s="76"/>
      <c r="AJ56" s="76"/>
      <c r="AK56" s="76"/>
      <c r="AL56" s="76"/>
      <c r="AM56" s="76"/>
      <c r="AN56" s="76"/>
      <c r="AO56" s="76"/>
      <c r="AP56" s="76"/>
      <c r="AQ56" s="76"/>
      <c r="AR56" s="76"/>
      <c r="AS56" s="76"/>
      <c r="AT56" s="76"/>
      <c r="AU56" s="76"/>
      <c r="AV56" s="76"/>
      <c r="AW56" s="76"/>
      <c r="AX56" s="76"/>
      <c r="AY56" s="396"/>
      <c r="AZ56" s="76"/>
      <c r="BA56" s="76"/>
      <c r="BB56" s="76"/>
      <c r="BC56" s="76"/>
      <c r="BD56" s="76"/>
      <c r="BE56" s="76"/>
      <c r="BF56" s="76"/>
      <c r="BG56" s="76"/>
      <c r="BH56" s="76"/>
      <c r="BI56" s="76"/>
      <c r="BJ56" s="76"/>
      <c r="BK56" s="76"/>
      <c r="BL56" s="76"/>
      <c r="BM56" s="76"/>
      <c r="BN56" s="76"/>
      <c r="BO56" s="76"/>
      <c r="BP56" s="76"/>
      <c r="BQ56" s="76"/>
      <c r="BR56" s="76"/>
      <c r="BU56" s="309" t="s">
        <v>590</v>
      </c>
      <c r="BZ56" s="1077" cm="1" t="str">
        <f t="array" ref="BZ56:BZ56">OFFSET(BY56,-1,1)</f>
        <v>0</v>
      </c>
      <c r="CA56" s="1076"/>
      <c r="CB56" s="1076"/>
      <c r="CC56" s="1076"/>
      <c r="CD56" s="1076"/>
      <c r="CE56" s="1076"/>
      <c r="CF56" s="1076"/>
      <c r="CG56" s="1076"/>
      <c r="CH56" s="1076"/>
      <c r="CI56" s="1077" t="s">
        <v>303</v>
      </c>
      <c r="CJ56" s="1077" t="s">
        <v>591</v>
      </c>
      <c r="CK56" s="1077" t="s">
        <v>592</v>
      </c>
    </row>
    <row s="308" customFormat="1" customHeight="1" ht="10.5">
      <c r="A57" s="308"/>
      <c r="B57" s="308"/>
      <c r="C57" s="308"/>
      <c r="D57" s="308"/>
      <c r="E57" s="284">
        <v>11</v>
      </c>
      <c r="F57" s="175" cm="1" t="str">
        <f t="array" ref="F57:F57">X57</f>
        <v>1</v>
      </c>
      <c r="G57" s="308"/>
      <c r="H57" s="308"/>
      <c r="I57" s="308"/>
      <c r="J57" s="308"/>
      <c r="K57" s="308"/>
      <c r="L57" s="308"/>
      <c r="M57" s="308"/>
      <c r="N57" s="308"/>
      <c r="O57" s="308"/>
      <c r="P57" s="308"/>
      <c r="Q57" s="308"/>
      <c r="R57" s="308"/>
      <c r="S57" s="308"/>
      <c r="T57" s="973">
        <f>F57&gt;0</f>
        <v>1</v>
      </c>
      <c r="U57" s="308"/>
      <c r="V57" s="176" cm="1" t="str">
        <f t="array" ref="V57:V57">'Расчет УЕ'!$AB$47</f>
        <v>Тариф 1 (Теплоснабжение) - Тариф на тепловую энергию (мощность), поставляемую потребителям (Доп. признак не требуется)</v>
      </c>
      <c r="W57" s="308"/>
      <c r="X57" s="176" t="s">
        <v>308</v>
      </c>
      <c r="Y57" s="308"/>
      <c r="Z57" s="308"/>
      <c r="AA57" s="308"/>
      <c r="AB57" s="319" cm="1" t="str">
        <f t="array" ref="AB57:AB57">IF(ISBLANK('Расчет УЕ'!$AB$47),"",'Расчет УЕ'!$AB$47)</f>
        <v>Тариф 1 (Теплоснабжение) - Тариф на тепловую энергию (мощность), поставляемую потребителям (Доп. признак не требуется)</v>
      </c>
      <c r="AC57" s="298"/>
      <c r="AD57" s="299"/>
      <c r="AE57" s="299"/>
      <c r="AF57" s="299"/>
      <c r="AG57" s="299"/>
      <c r="AH57" s="299"/>
      <c r="AI57" s="299"/>
      <c r="AJ57" s="299"/>
      <c r="AK57" s="299"/>
      <c r="AL57" s="299"/>
      <c r="AM57" s="299"/>
      <c r="AN57" s="299"/>
      <c r="AO57" s="299"/>
      <c r="AP57" s="299"/>
      <c r="AQ57" s="299"/>
      <c r="AR57" s="299"/>
      <c r="AS57" s="299"/>
      <c r="AT57" s="299"/>
      <c r="AU57" s="299"/>
      <c r="AV57" s="299"/>
      <c r="AW57" s="299"/>
      <c r="AX57" s="299"/>
      <c r="AY57" s="299"/>
      <c r="AZ57" s="299"/>
      <c r="BA57" s="299"/>
      <c r="BB57" s="299"/>
      <c r="BC57" s="299"/>
      <c r="BD57" s="299"/>
      <c r="BE57" s="299"/>
      <c r="BF57" s="299"/>
      <c r="BG57" s="299"/>
      <c r="BH57" s="299"/>
      <c r="BI57" s="299"/>
      <c r="BJ57" s="299"/>
      <c r="BK57" s="299"/>
      <c r="BL57" s="299"/>
      <c r="BM57" s="299"/>
      <c r="BN57" s="299"/>
      <c r="BO57" s="299"/>
      <c r="BP57" s="299"/>
      <c r="BQ57" s="299"/>
      <c r="BR57" s="299"/>
      <c r="BS57" s="308"/>
      <c r="BT57" s="308"/>
      <c r="BU57" s="309"/>
      <c r="BV57" s="310"/>
      <c r="BW57" s="310"/>
      <c r="BX57" s="281"/>
      <c r="BY57" s="281"/>
      <c r="BZ57" s="1077"/>
      <c r="CA57" s="1077"/>
      <c r="CB57" s="1077"/>
      <c r="CC57" s="1077"/>
      <c r="CD57" s="1077"/>
      <c r="CE57" s="1077"/>
      <c r="CF57" s="1077"/>
      <c r="CG57" s="1077"/>
      <c r="CH57" s="1154"/>
      <c r="CI57" s="1077"/>
      <c r="CJ57" s="1077"/>
      <c r="CK57" s="1154"/>
    </row>
    <row s="1751" customFormat="1" customHeight="1" ht="10.5">
      <c r="A58" s="371"/>
      <c r="B58" s="1548"/>
      <c r="C58" s="1548"/>
      <c r="D58" s="1548"/>
      <c r="E58" s="180">
        <v>11</v>
      </c>
      <c r="F58" s="175" cm="1" t="str">
        <f t="array" ref="F58:F58">OFFSET(G58,-1,-1)</f>
        <v>1</v>
      </c>
      <c r="G58" s="1548"/>
      <c r="H58" s="1548"/>
      <c r="I58" s="1548"/>
      <c r="J58" s="1548"/>
      <c r="K58" s="1548"/>
      <c r="L58" s="1548"/>
      <c r="M58" s="1548"/>
      <c r="N58" s="1548"/>
      <c r="O58" s="1548"/>
      <c r="P58" s="1548"/>
      <c r="Q58" s="1548"/>
      <c r="R58" s="1548"/>
      <c r="S58" s="1548"/>
      <c r="T58" s="973">
        <f>F58&gt;0</f>
        <v>1</v>
      </c>
      <c r="U58" s="1548"/>
      <c r="V58" s="1548"/>
      <c r="W58" s="1548"/>
      <c r="X58" s="1548"/>
      <c r="Y58" s="1548"/>
      <c r="Z58" s="1548"/>
      <c r="AA58" s="1727"/>
      <c r="AB58" s="390"/>
      <c r="AC58" s="391" t="s">
        <v>499</v>
      </c>
      <c r="AD58" s="392"/>
      <c r="AE58" s="393"/>
      <c r="AF58" s="393"/>
      <c r="AG58" s="393"/>
      <c r="AH58" s="393"/>
      <c r="AI58" s="393"/>
      <c r="AJ58" s="393"/>
      <c r="AK58" s="393"/>
      <c r="AL58" s="393"/>
      <c r="AM58" s="393"/>
      <c r="AN58" s="393"/>
      <c r="AO58" s="393"/>
      <c r="AP58" s="393"/>
      <c r="AQ58" s="393"/>
      <c r="AR58" s="393"/>
      <c r="AS58" s="393"/>
      <c r="AT58" s="393"/>
      <c r="AU58" s="393"/>
      <c r="AV58" s="393"/>
      <c r="AW58" s="393"/>
      <c r="AX58" s="393"/>
      <c r="AY58" s="393"/>
      <c r="AZ58" s="393"/>
      <c r="BA58" s="393"/>
      <c r="BB58" s="393"/>
      <c r="BC58" s="393"/>
      <c r="BD58" s="393"/>
      <c r="BE58" s="393"/>
      <c r="BF58" s="393"/>
      <c r="BG58" s="393"/>
      <c r="BH58" s="393"/>
      <c r="BI58" s="393"/>
      <c r="BJ58" s="393"/>
      <c r="BK58" s="393"/>
      <c r="BL58" s="393"/>
      <c r="BM58" s="393"/>
      <c r="BN58" s="393"/>
      <c r="BO58" s="393"/>
      <c r="BP58" s="393"/>
      <c r="BQ58" s="393"/>
      <c r="BR58" s="393"/>
      <c r="BS58" s="1727"/>
      <c r="BT58" s="969"/>
      <c r="BU58" s="1142"/>
      <c r="BV58" s="1142"/>
      <c r="BW58" s="1142"/>
      <c r="BX58" s="372"/>
      <c r="BY58" s="372"/>
      <c r="BZ58" s="1077"/>
      <c r="CA58" s="1077"/>
      <c r="CB58" s="1077"/>
      <c r="CC58" s="1077"/>
      <c r="CD58" s="1077"/>
      <c r="CE58" s="1077"/>
      <c r="CF58" s="1077"/>
      <c r="CG58" s="1077"/>
      <c r="CH58" s="1076"/>
      <c r="CI58" s="1077"/>
      <c r="CJ58" s="1077"/>
      <c r="CK58" s="1076"/>
    </row>
    <row s="1751" customFormat="1" customHeight="1" ht="16.5">
      <c r="A59" s="371"/>
      <c r="B59" s="1548"/>
      <c r="C59" s="1548"/>
      <c r="D59" s="1548"/>
      <c r="E59" s="180">
        <v>17</v>
      </c>
      <c r="F59" s="175" cm="1" t="str">
        <f t="array" ref="F59:F59">OFFSET(G59,-1,-1)</f>
        <v>1</v>
      </c>
      <c r="G59" s="175" t="s">
        <v>500</v>
      </c>
      <c r="H59" s="1548"/>
      <c r="I59" s="1548"/>
      <c r="J59" s="1548"/>
      <c r="K59" s="1548"/>
      <c r="L59" s="1548"/>
      <c r="M59" s="1548"/>
      <c r="N59" s="1548"/>
      <c r="O59" s="1548"/>
      <c r="P59" s="1548"/>
      <c r="Q59" s="1548"/>
      <c r="R59" s="1548"/>
      <c r="S59" s="1548"/>
      <c r="T59" s="979">
        <f>AND(F59&gt;0,method_reg&lt;&gt;"Метод экономически обоснованных расходов")</f>
        <v>1</v>
      </c>
      <c r="U59" s="1548"/>
      <c r="V59" s="1548"/>
      <c r="W59" s="1548"/>
      <c r="X59" s="1548"/>
      <c r="Y59" s="1548"/>
      <c r="Z59" s="1548"/>
      <c r="AA59" s="1727"/>
      <c r="AB59" s="394">
        <v>1</v>
      </c>
      <c r="AC59" s="395" t="s">
        <v>501</v>
      </c>
      <c r="AD59" s="387" t="s">
        <v>495</v>
      </c>
      <c r="AE59" s="1882">
        <v>1</v>
      </c>
      <c r="AF59" s="1882">
        <v>1</v>
      </c>
      <c r="AG59" s="1882">
        <v>1</v>
      </c>
      <c r="AH59" s="1882">
        <v>1</v>
      </c>
      <c r="AI59" s="1882">
        <v>1</v>
      </c>
      <c r="AJ59" s="1882">
        <v>1</v>
      </c>
      <c r="AK59" s="1882">
        <v>1</v>
      </c>
      <c r="AL59" s="1882">
        <v>1</v>
      </c>
      <c r="AM59" s="1882">
        <v>1</v>
      </c>
      <c r="AN59" s="1882">
        <v>1</v>
      </c>
      <c r="AO59" s="1882">
        <v>1</v>
      </c>
      <c r="AP59" s="1882">
        <v>1</v>
      </c>
      <c r="AQ59" s="1882">
        <v>1</v>
      </c>
      <c r="AR59" s="1882">
        <v>1</v>
      </c>
      <c r="AS59" s="1882">
        <v>1</v>
      </c>
      <c r="AT59" s="1882">
        <v>1</v>
      </c>
      <c r="AU59" s="1882">
        <v>1</v>
      </c>
      <c r="AV59" s="1882">
        <v>1</v>
      </c>
      <c r="AW59" s="1882">
        <v>1</v>
      </c>
      <c r="AX59" s="1882">
        <v>1</v>
      </c>
      <c r="AY59" s="396">
        <v>1</v>
      </c>
      <c r="AZ59" s="1882">
        <v>1</v>
      </c>
      <c r="BA59" s="1882">
        <v>1</v>
      </c>
      <c r="BB59" s="1882">
        <v>1</v>
      </c>
      <c r="BC59" s="1882">
        <v>1</v>
      </c>
      <c r="BD59" s="1882">
        <v>1</v>
      </c>
      <c r="BE59" s="1882">
        <v>1</v>
      </c>
      <c r="BF59" s="1882">
        <v>1</v>
      </c>
      <c r="BG59" s="1882">
        <v>1</v>
      </c>
      <c r="BH59" s="1882">
        <v>1</v>
      </c>
      <c r="BI59" s="1882">
        <v>1</v>
      </c>
      <c r="BJ59" s="1882">
        <v>1</v>
      </c>
      <c r="BK59" s="1882">
        <v>1</v>
      </c>
      <c r="BL59" s="1882">
        <v>1</v>
      </c>
      <c r="BM59" s="1882">
        <v>1</v>
      </c>
      <c r="BN59" s="1882">
        <v>1</v>
      </c>
      <c r="BO59" s="1882">
        <v>1</v>
      </c>
      <c r="BP59" s="1882">
        <v>1</v>
      </c>
      <c r="BQ59" s="1882">
        <v>1</v>
      </c>
      <c r="BR59" s="1882">
        <v>1</v>
      </c>
      <c r="BS59" s="1727"/>
      <c r="BT59" s="969"/>
      <c r="BU59" s="309" t="s">
        <v>502</v>
      </c>
      <c r="BV59" s="1142"/>
      <c r="BW59" s="1142"/>
      <c r="BX59" s="372"/>
      <c r="BY59" s="372"/>
      <c r="BZ59" s="1077" cm="1" t="str">
        <f t="array" ref="BZ59:BZ59">INDEX('Общие сведения'!$N$170:$N$202,MATCH($F59,'Общие сведения'!$Y$170:$Y$202,0)+1)</f>
        <v>ТЭ.42.31656254.0001</v>
      </c>
      <c r="CA59" s="1077" t="s">
        <v>503</v>
      </c>
      <c r="CB59" s="1077"/>
      <c r="CC59" s="1077"/>
      <c r="CD59" s="1077"/>
      <c r="CE59" s="1077"/>
      <c r="CF59" s="1077"/>
      <c r="CG59" s="1077"/>
      <c r="CH59" s="1076"/>
      <c r="CI59" s="1077" t="s">
        <v>303</v>
      </c>
      <c r="CJ59" s="1077" t="s">
        <v>504</v>
      </c>
      <c r="CK59" s="1077" t="s">
        <v>505</v>
      </c>
    </row>
    <row s="1751" customFormat="1" customHeight="1" ht="29.25">
      <c r="A60" s="371"/>
      <c r="B60" s="1548"/>
      <c r="C60" s="1548"/>
      <c r="D60" s="1548"/>
      <c r="E60" s="180">
        <v>30</v>
      </c>
      <c r="F60" s="175" cm="1" t="str">
        <f t="array" ref="F60:F60">OFFSET(G60,-1,-1)</f>
        <v>1</v>
      </c>
      <c r="G60" s="1548"/>
      <c r="H60" s="1548"/>
      <c r="I60" s="1548"/>
      <c r="J60" s="1548"/>
      <c r="K60" s="1548"/>
      <c r="L60" s="1548"/>
      <c r="M60" s="1548"/>
      <c r="N60" s="1548"/>
      <c r="O60" s="1548"/>
      <c r="P60" s="1548"/>
      <c r="Q60" s="1548"/>
      <c r="R60" s="1548"/>
      <c r="S60" s="1548"/>
      <c r="T60" s="979">
        <f>AND(F60&gt;0,method_reg&lt;&gt;"Метод экономически обоснованных расходов")</f>
        <v>1</v>
      </c>
      <c r="U60" s="1548"/>
      <c r="V60" s="1548"/>
      <c r="W60" s="1548"/>
      <c r="X60" s="1548"/>
      <c r="Y60" s="1548"/>
      <c r="Z60" s="1548"/>
      <c r="AA60" s="1727"/>
      <c r="AB60" s="397">
        <v>2</v>
      </c>
      <c r="AC60" s="398" t="s">
        <v>506</v>
      </c>
      <c r="AD60" s="399"/>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1727"/>
      <c r="BT60" s="969"/>
      <c r="BU60" s="1142"/>
      <c r="BV60" s="1142"/>
      <c r="BW60" s="1142"/>
      <c r="BX60" s="372"/>
      <c r="BY60" s="372"/>
      <c r="BZ60" s="1077" cm="1" t="str">
        <f t="array" ref="BZ60:BZ60">OFFSET(BY60,-1,1)</f>
        <v>ТЭ.42.31656254.0001</v>
      </c>
      <c r="CA60" s="1077"/>
      <c r="CB60" s="1077"/>
      <c r="CC60" s="1077"/>
      <c r="CD60" s="1077"/>
      <c r="CE60" s="1077"/>
      <c r="CF60" s="1077"/>
      <c r="CG60" s="1077"/>
      <c r="CH60" s="1076"/>
      <c r="CI60" s="1077"/>
      <c r="CJ60" s="1077"/>
      <c r="CK60" s="1076"/>
    </row>
    <row s="1751" customFormat="1" customHeight="1" ht="17.25" hidden="1">
      <c r="A61" s="371"/>
      <c r="B61" s="1548"/>
      <c r="C61" s="1548"/>
      <c r="D61" s="1548"/>
      <c r="E61" s="965">
        <v>0</v>
      </c>
      <c r="F61" s="175" cm="1" t="str">
        <f t="array" ref="F61:F61">OFFSET(G61,-1,-1)</f>
        <v>1</v>
      </c>
      <c r="G61" s="1548"/>
      <c r="H61" s="1548"/>
      <c r="I61" s="1548"/>
      <c r="J61" s="1548"/>
      <c r="K61" s="1548"/>
      <c r="L61" s="1548"/>
      <c r="M61" s="1548"/>
      <c r="N61" s="1548"/>
      <c r="O61" s="1548"/>
      <c r="P61" s="1548"/>
      <c r="Q61" s="1548"/>
      <c r="R61" s="1548"/>
      <c r="S61" s="1548"/>
      <c r="T61" s="979">
        <f>AND(F61&gt;0,method_reg&lt;&gt;"Метод экономически обоснованных расходов")</f>
        <v>1</v>
      </c>
      <c r="U61" s="1548"/>
      <c r="V61" s="1548"/>
      <c r="W61" s="1548"/>
      <c r="X61" s="1548"/>
      <c r="Y61" s="1548"/>
      <c r="Z61" s="1548"/>
      <c r="AA61" s="1727"/>
      <c r="AB61" s="401"/>
      <c r="AC61" s="398"/>
      <c r="AD61" s="399"/>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c r="BP61" s="77"/>
      <c r="BQ61" s="77"/>
      <c r="BR61" s="77"/>
      <c r="BS61" s="1727"/>
      <c r="BT61" s="969"/>
      <c r="BU61" s="1142"/>
      <c r="BV61" s="1142"/>
      <c r="BW61" s="1142"/>
      <c r="BX61" s="372"/>
      <c r="BY61" s="372"/>
      <c r="BZ61" s="1077" cm="1" t="str">
        <f t="array" ref="BZ61:BZ61">OFFSET(BY61,-1,1)</f>
        <v>ТЭ.42.31656254.0001</v>
      </c>
      <c r="CA61" s="1077"/>
      <c r="CB61" s="1077"/>
      <c r="CC61" s="1077"/>
      <c r="CD61" s="1077"/>
      <c r="CE61" s="1077"/>
      <c r="CF61" s="1077"/>
      <c r="CG61" s="1077"/>
      <c r="CH61" s="1076"/>
      <c r="CI61" s="1077"/>
      <c r="CJ61" s="1077"/>
      <c r="CK61" s="1076"/>
    </row>
    <row s="1751" customFormat="1" customHeight="1" ht="16.5" hidden="1">
      <c r="A62" s="371"/>
      <c r="B62" s="1548"/>
      <c r="C62" s="1548"/>
      <c r="D62" s="1548"/>
      <c r="E62" s="180">
        <v>17</v>
      </c>
      <c r="F62" s="175" cm="1" t="str">
        <f t="array" ref="F62:F62">OFFSET(G62,-1,-1)</f>
        <v>1</v>
      </c>
      <c r="G62" s="1548"/>
      <c r="H62" s="1548"/>
      <c r="I62" s="1548"/>
      <c r="J62" s="1548"/>
      <c r="K62" s="1548"/>
      <c r="L62" s="1548"/>
      <c r="M62" s="1548"/>
      <c r="N62" s="1548"/>
      <c r="O62" s="1548"/>
      <c r="P62" s="1548"/>
      <c r="Q62" s="1548"/>
      <c r="R62" s="1548"/>
      <c r="S62" s="1548"/>
      <c r="T62" s="979">
        <f>AND(F62&gt;0,Y62&gt;0,method_reg&lt;&gt;"Метод экономически обоснованных расходов")</f>
        <v>0</v>
      </c>
      <c r="U62" s="1548"/>
      <c r="V62" s="1548"/>
      <c r="W62" s="175" t="s">
        <v>189</v>
      </c>
      <c r="X62" s="1548"/>
      <c r="Y62" s="175">
        <v>0</v>
      </c>
      <c r="Z62" s="1548"/>
      <c r="AA62" s="477" t="s">
        <v>171</v>
      </c>
      <c r="AB62" s="402" t="str">
        <f>"2."&amp;Y62</f>
        <v>2.0</v>
      </c>
      <c r="AC62" s="78"/>
      <c r="AD62" s="403" t="s">
        <v>495</v>
      </c>
      <c r="AE62" s="79"/>
      <c r="AF62" s="79"/>
      <c r="AG62" s="79"/>
      <c r="AH62" s="79"/>
      <c r="AI62" s="79"/>
      <c r="AJ62" s="79"/>
      <c r="AK62" s="79"/>
      <c r="AL62" s="79"/>
      <c r="AM62" s="79"/>
      <c r="AN62" s="79"/>
      <c r="AO62" s="79"/>
      <c r="AP62" s="79"/>
      <c r="AQ62" s="79"/>
      <c r="AR62" s="79"/>
      <c r="AS62" s="79"/>
      <c r="AT62" s="79"/>
      <c r="AU62" s="79"/>
      <c r="AV62" s="79"/>
      <c r="AW62" s="79"/>
      <c r="AX62" s="79"/>
      <c r="AY62" s="404"/>
      <c r="AZ62" s="79"/>
      <c r="BA62" s="79"/>
      <c r="BB62" s="79"/>
      <c r="BC62" s="79"/>
      <c r="BD62" s="79"/>
      <c r="BE62" s="79"/>
      <c r="BF62" s="79"/>
      <c r="BG62" s="79"/>
      <c r="BH62" s="79"/>
      <c r="BI62" s="79"/>
      <c r="BJ62" s="79"/>
      <c r="BK62" s="79"/>
      <c r="BL62" s="79"/>
      <c r="BM62" s="79"/>
      <c r="BN62" s="79"/>
      <c r="BO62" s="79"/>
      <c r="BP62" s="79"/>
      <c r="BQ62" s="79"/>
      <c r="BR62" s="79"/>
      <c r="BS62" s="1727"/>
      <c r="BT62" s="969"/>
      <c r="BU62" s="309" t="s">
        <v>507</v>
      </c>
      <c r="BV62" s="309" t="s">
        <v>508</v>
      </c>
      <c r="BW62" s="309" cm="1" t="str">
        <f t="array" ref="BW62:BW62">AC62</f>
        <v>0</v>
      </c>
      <c r="BX62" s="372"/>
      <c r="BY62" s="372" t="b">
        <v>1</v>
      </c>
      <c r="BZ62" s="1077" cm="1" t="str">
        <f t="array" ref="BZ62:BZ62">OFFSET(BY62,-1,1)</f>
        <v>ТЭ.42.31656254.0001</v>
      </c>
      <c r="CA62" s="1077" t="s">
        <v>509</v>
      </c>
      <c r="CB62" s="1076"/>
      <c r="CC62" s="1076"/>
      <c r="CD62" s="1076"/>
      <c r="CE62" s="1076"/>
      <c r="CF62" s="1076"/>
      <c r="CG62" s="1076"/>
      <c r="CH62" s="1155" cm="1" t="str">
        <f t="array" ref="CH62:CH62">$AC62</f>
        <v>0</v>
      </c>
      <c r="CI62" s="1077" t="s">
        <v>303</v>
      </c>
      <c r="CJ62" s="1077" t="s">
        <v>504</v>
      </c>
      <c r="CK62" s="1077" t="s">
        <v>505</v>
      </c>
    </row>
    <row s="1751" customFormat="1" customHeight="1" ht="16.5">
      <c r="A63" s="371"/>
      <c r="B63" s="1548"/>
      <c r="C63" s="1548"/>
      <c r="D63" s="1548"/>
      <c r="E63" s="180">
        <v>17</v>
      </c>
      <c r="F63" s="175" cm="1" t="str">
        <f t="array" ref="F63:F63">OFFSET(G63,-1,-1)</f>
        <v>1</v>
      </c>
      <c r="G63" s="1548"/>
      <c r="H63" s="1548"/>
      <c r="I63" s="1548"/>
      <c r="J63" s="1548"/>
      <c r="K63" s="1548"/>
      <c r="L63" s="1548"/>
      <c r="M63" s="1548"/>
      <c r="N63" s="1548"/>
      <c r="O63" s="1548"/>
      <c r="P63" s="1548"/>
      <c r="Q63" s="1548"/>
      <c r="R63" s="1548"/>
      <c r="S63" s="1548"/>
      <c r="T63" s="979">
        <f>AND(F63&gt;0,method_reg&lt;&gt;"Метод экономически обоснованных расходов")</f>
        <v>1</v>
      </c>
      <c r="U63" s="1548"/>
      <c r="V63" s="1548"/>
      <c r="W63" s="980" t="s">
        <v>510</v>
      </c>
      <c r="X63" s="1548"/>
      <c r="Y63" s="1548"/>
      <c r="Z63" s="1548"/>
      <c r="AA63" s="1727"/>
      <c r="AB63" s="405"/>
      <c r="AC63" s="406" t="s">
        <v>191</v>
      </c>
      <c r="AD63" s="407"/>
      <c r="AE63" s="407"/>
      <c r="AF63" s="407"/>
      <c r="AG63" s="407"/>
      <c r="AH63" s="407"/>
      <c r="AI63" s="407"/>
      <c r="AJ63" s="407"/>
      <c r="AK63" s="407"/>
      <c r="AL63" s="407"/>
      <c r="AM63" s="407"/>
      <c r="AN63" s="407"/>
      <c r="AO63" s="407"/>
      <c r="AP63" s="407"/>
      <c r="AQ63" s="407"/>
      <c r="AR63" s="407"/>
      <c r="AS63" s="407"/>
      <c r="AT63" s="407"/>
      <c r="AU63" s="407"/>
      <c r="AV63" s="407"/>
      <c r="AW63" s="407"/>
      <c r="AX63" s="407"/>
      <c r="AY63" s="407"/>
      <c r="AZ63" s="407"/>
      <c r="BA63" s="407"/>
      <c r="BB63" s="407"/>
      <c r="BC63" s="407"/>
      <c r="BD63" s="407"/>
      <c r="BE63" s="407"/>
      <c r="BF63" s="407"/>
      <c r="BG63" s="407"/>
      <c r="BH63" s="407"/>
      <c r="BI63" s="407"/>
      <c r="BJ63" s="407"/>
      <c r="BK63" s="407"/>
      <c r="BL63" s="407"/>
      <c r="BM63" s="407"/>
      <c r="BN63" s="407"/>
      <c r="BO63" s="407"/>
      <c r="BP63" s="407"/>
      <c r="BQ63" s="407"/>
      <c r="BR63" s="408"/>
      <c r="BS63" s="1727"/>
      <c r="BT63" s="969"/>
      <c r="BU63" s="1142"/>
      <c r="BV63" s="1142"/>
      <c r="BW63" s="1142"/>
      <c r="BX63" s="372" t="s">
        <v>508</v>
      </c>
      <c r="BY63" s="372"/>
      <c r="BZ63" s="1077" cm="1" t="str">
        <f t="array" ref="BZ63:BZ63">OFFSET(BY63,-1,1)</f>
        <v>ТЭ.42.31656254.0001</v>
      </c>
      <c r="CA63" s="1077"/>
      <c r="CB63" s="1077"/>
      <c r="CC63" s="1077"/>
      <c r="CD63" s="1077"/>
      <c r="CE63" s="1077"/>
      <c r="CF63" s="1077"/>
      <c r="CG63" s="1077"/>
      <c r="CH63" s="1076"/>
      <c r="CI63" s="1077"/>
      <c r="CJ63" s="1077"/>
      <c r="CK63" s="1076"/>
    </row>
    <row s="1751" customFormat="1" customHeight="1" ht="16.5">
      <c r="A64" s="371"/>
      <c r="B64" s="1548"/>
      <c r="C64" s="1548"/>
      <c r="D64" s="1548"/>
      <c r="E64" s="180">
        <v>17</v>
      </c>
      <c r="F64" s="175" cm="1" t="str">
        <f t="array" ref="F64:F64">OFFSET(G64,-1,-1)</f>
        <v>1</v>
      </c>
      <c r="G64" s="175" t="s">
        <v>511</v>
      </c>
      <c r="H64" s="1548"/>
      <c r="I64" s="1548"/>
      <c r="J64" s="1548"/>
      <c r="K64" s="1548"/>
      <c r="L64" s="1548"/>
      <c r="M64" s="1548"/>
      <c r="N64" s="1548"/>
      <c r="O64" s="1548"/>
      <c r="P64" s="1548"/>
      <c r="Q64" s="1548"/>
      <c r="R64" s="1548"/>
      <c r="S64" s="1548"/>
      <c r="T64" s="973">
        <f>F64&gt;0</f>
        <v>1</v>
      </c>
      <c r="U64" s="1548"/>
      <c r="V64" s="1548"/>
      <c r="W64" s="1548"/>
      <c r="X64" s="1548"/>
      <c r="Y64" s="1548"/>
      <c r="Z64" s="1548"/>
      <c r="AA64" s="1727"/>
      <c r="AB64" s="409">
        <v>3</v>
      </c>
      <c r="AC64" s="410" t="s">
        <v>512</v>
      </c>
      <c r="AD64" s="411" t="s">
        <v>495</v>
      </c>
      <c r="AE64" s="1884">
        <v>5</v>
      </c>
      <c r="AF64" s="1884"/>
      <c r="AG64" s="1884"/>
      <c r="AH64" s="1884"/>
      <c r="AI64" s="1884"/>
      <c r="AJ64" s="1884"/>
      <c r="AK64" s="1884"/>
      <c r="AL64" s="1884"/>
      <c r="AM64" s="1884"/>
      <c r="AN64" s="1884"/>
      <c r="AO64" s="1884"/>
      <c r="AP64" s="1884"/>
      <c r="AQ64" s="1884"/>
      <c r="AR64" s="1884"/>
      <c r="AS64" s="1884"/>
      <c r="AT64" s="1884"/>
      <c r="AU64" s="1884"/>
      <c r="AV64" s="1884"/>
      <c r="AW64" s="1884"/>
      <c r="AX64" s="1884"/>
      <c r="AY64" s="388">
        <v>5</v>
      </c>
      <c r="AZ64" s="1884"/>
      <c r="BA64" s="1884"/>
      <c r="BB64" s="1884"/>
      <c r="BC64" s="1884"/>
      <c r="BD64" s="1884"/>
      <c r="BE64" s="1884"/>
      <c r="BF64" s="1884"/>
      <c r="BG64" s="1884"/>
      <c r="BH64" s="1884"/>
      <c r="BI64" s="1884"/>
      <c r="BJ64" s="1884"/>
      <c r="BK64" s="1884"/>
      <c r="BL64" s="1884"/>
      <c r="BM64" s="1884"/>
      <c r="BN64" s="1884"/>
      <c r="BO64" s="1884"/>
      <c r="BP64" s="1884"/>
      <c r="BQ64" s="1884"/>
      <c r="BR64" s="1884"/>
      <c r="BS64" s="1727"/>
      <c r="BT64" s="969"/>
      <c r="BU64" s="309" t="s">
        <v>513</v>
      </c>
      <c r="BV64" s="1142"/>
      <c r="BW64" s="1142"/>
      <c r="BX64" s="372"/>
      <c r="BY64" s="372"/>
      <c r="BZ64" s="1077" cm="1" t="str">
        <f t="array" ref="BZ64:BZ64">OFFSET(BY64,-1,1)</f>
        <v>ТЭ.42.31656254.0001</v>
      </c>
      <c r="CA64" s="1076"/>
      <c r="CB64" s="1076"/>
      <c r="CC64" s="1076"/>
      <c r="CD64" s="1076"/>
      <c r="CE64" s="1076"/>
      <c r="CF64" s="1076"/>
      <c r="CG64" s="1076"/>
      <c r="CH64" s="1076"/>
      <c r="CI64" s="1077" t="s">
        <v>303</v>
      </c>
      <c r="CJ64" s="1077" t="s">
        <v>514</v>
      </c>
      <c r="CK64" s="1077" t="s">
        <v>515</v>
      </c>
    </row>
    <row s="1751" customFormat="1" customHeight="1" ht="16.5">
      <c r="A65" s="371"/>
      <c r="B65" s="1548"/>
      <c r="C65" s="1548"/>
      <c r="D65" s="1548"/>
      <c r="E65" s="180">
        <v>17</v>
      </c>
      <c r="F65" s="175" cm="1" t="str">
        <f t="array" ref="F65:F65">OFFSET(G65,-1,-1)</f>
        <v>1</v>
      </c>
      <c r="G65" s="1548"/>
      <c r="H65" s="1548"/>
      <c r="I65" s="1548"/>
      <c r="J65" s="1548"/>
      <c r="K65" s="1548"/>
      <c r="L65" s="1548"/>
      <c r="M65" s="1548"/>
      <c r="N65" s="1548"/>
      <c r="O65" s="1548"/>
      <c r="P65" s="1548"/>
      <c r="Q65" s="1548"/>
      <c r="R65" s="1548"/>
      <c r="S65" s="1548"/>
      <c r="T65" s="973">
        <f>F65&gt;0</f>
        <v>1</v>
      </c>
      <c r="U65" s="1548"/>
      <c r="V65" s="1548"/>
      <c r="W65" s="1548"/>
      <c r="X65" s="1548"/>
      <c r="Y65" s="1548"/>
      <c r="Z65" s="1548"/>
      <c r="AA65" s="1727"/>
      <c r="AB65" s="412">
        <v>4</v>
      </c>
      <c r="AC65" s="413" t="s">
        <v>516</v>
      </c>
      <c r="AD65" s="414" t="s">
        <v>495</v>
      </c>
      <c r="AE65" s="1882"/>
      <c r="AF65" s="1882"/>
      <c r="AG65" s="1882"/>
      <c r="AH65" s="1882"/>
      <c r="AI65" s="1882"/>
      <c r="AJ65" s="1882"/>
      <c r="AK65" s="1882"/>
      <c r="AL65" s="1882"/>
      <c r="AM65" s="1882"/>
      <c r="AN65" s="1882"/>
      <c r="AO65" s="1882"/>
      <c r="AP65" s="1882"/>
      <c r="AQ65" s="1882"/>
      <c r="AR65" s="1882"/>
      <c r="AS65" s="1882"/>
      <c r="AT65" s="1882"/>
      <c r="AU65" s="1882"/>
      <c r="AV65" s="1882"/>
      <c r="AW65" s="1882"/>
      <c r="AX65" s="1882"/>
      <c r="AY65" s="396">
        <v>12.8</v>
      </c>
      <c r="AZ65" s="1882"/>
      <c r="BA65" s="1882"/>
      <c r="BB65" s="1882"/>
      <c r="BC65" s="1882"/>
      <c r="BD65" s="1882"/>
      <c r="BE65" s="1882"/>
      <c r="BF65" s="1882"/>
      <c r="BG65" s="1882"/>
      <c r="BH65" s="1882"/>
      <c r="BI65" s="1882"/>
      <c r="BJ65" s="1882"/>
      <c r="BK65" s="1882"/>
      <c r="BL65" s="1882"/>
      <c r="BM65" s="1882"/>
      <c r="BN65" s="1882"/>
      <c r="BO65" s="1882"/>
      <c r="BP65" s="1882"/>
      <c r="BQ65" s="1882"/>
      <c r="BR65" s="1882"/>
      <c r="BS65" s="1727"/>
      <c r="BT65" s="969"/>
      <c r="BU65" s="309" t="s">
        <v>517</v>
      </c>
      <c r="BV65" s="1142"/>
      <c r="BW65" s="1142"/>
      <c r="BX65" s="372"/>
      <c r="BY65" s="372"/>
      <c r="BZ65" s="1077" cm="1" t="str">
        <f t="array" ref="BZ65:BZ65">OFFSET(BY65,-1,1)</f>
        <v>ТЭ.42.31656254.0001</v>
      </c>
      <c r="CA65" s="1076"/>
      <c r="CB65" s="1077" t="s">
        <v>518</v>
      </c>
      <c r="CC65" s="1076"/>
      <c r="CD65" s="1076"/>
      <c r="CE65" s="1076"/>
      <c r="CF65" s="1076"/>
      <c r="CG65" s="1076"/>
      <c r="CH65" s="1076"/>
      <c r="CI65" s="1077" t="s">
        <v>303</v>
      </c>
      <c r="CJ65" s="1077" t="s">
        <v>519</v>
      </c>
      <c r="CK65" s="1077" t="s">
        <v>520</v>
      </c>
    </row>
    <row s="1751" customFormat="1" customHeight="1" ht="29.25">
      <c r="A66" s="371"/>
      <c r="B66" s="1548"/>
      <c r="C66" s="1548"/>
      <c r="D66" s="1548"/>
      <c r="E66" s="180">
        <v>30</v>
      </c>
      <c r="F66" s="175" cm="1" t="str">
        <f t="array" ref="F66:F66">OFFSET(G66,-1,-1)</f>
        <v>1</v>
      </c>
      <c r="G66" s="1548"/>
      <c r="H66" s="1548"/>
      <c r="I66" s="1548"/>
      <c r="J66" s="1548"/>
      <c r="K66" s="1548"/>
      <c r="L66" s="1548"/>
      <c r="M66" s="1548"/>
      <c r="N66" s="1548"/>
      <c r="O66" s="1548"/>
      <c r="P66" s="1548"/>
      <c r="Q66" s="1548"/>
      <c r="R66" s="1548"/>
      <c r="S66" s="1548"/>
      <c r="T66" s="973">
        <f>F66&gt;0</f>
        <v>1</v>
      </c>
      <c r="U66" s="1548"/>
      <c r="V66" s="1548"/>
      <c r="W66" s="1548"/>
      <c r="X66" s="1548"/>
      <c r="Y66" s="1548"/>
      <c r="Z66" s="1548"/>
      <c r="AA66" s="1727"/>
      <c r="AB66" s="412">
        <v>5</v>
      </c>
      <c r="AC66" s="415" t="s">
        <v>521</v>
      </c>
      <c r="AD66" s="414" t="s">
        <v>495</v>
      </c>
      <c r="AE66" s="1882"/>
      <c r="AF66" s="1882"/>
      <c r="AG66" s="1882"/>
      <c r="AH66" s="1882"/>
      <c r="AI66" s="1882"/>
      <c r="AJ66" s="1882"/>
      <c r="AK66" s="1882"/>
      <c r="AL66" s="1882"/>
      <c r="AM66" s="1882"/>
      <c r="AN66" s="1882"/>
      <c r="AO66" s="1882"/>
      <c r="AP66" s="1882"/>
      <c r="AQ66" s="1882"/>
      <c r="AR66" s="1882"/>
      <c r="AS66" s="1882"/>
      <c r="AT66" s="1882"/>
      <c r="AU66" s="1882"/>
      <c r="AV66" s="1882"/>
      <c r="AW66" s="1882"/>
      <c r="AX66" s="1882"/>
      <c r="AY66" s="396"/>
      <c r="AZ66" s="1882"/>
      <c r="BA66" s="1882"/>
      <c r="BB66" s="1882"/>
      <c r="BC66" s="1882"/>
      <c r="BD66" s="1882"/>
      <c r="BE66" s="1882"/>
      <c r="BF66" s="1882"/>
      <c r="BG66" s="1882"/>
      <c r="BH66" s="1882"/>
      <c r="BI66" s="1882"/>
      <c r="BJ66" s="1882"/>
      <c r="BK66" s="1882"/>
      <c r="BL66" s="1882"/>
      <c r="BM66" s="1882"/>
      <c r="BN66" s="1882"/>
      <c r="BO66" s="1882"/>
      <c r="BP66" s="1882"/>
      <c r="BQ66" s="1882"/>
      <c r="BR66" s="1882"/>
      <c r="BS66" s="1727"/>
      <c r="BT66" s="969"/>
      <c r="BU66" s="309" t="s">
        <v>522</v>
      </c>
      <c r="BV66" s="1142"/>
      <c r="BW66" s="1142"/>
      <c r="BX66" s="372"/>
      <c r="BY66" s="372"/>
      <c r="BZ66" s="1077" cm="1" t="str">
        <f t="array" ref="BZ66:BZ66">OFFSET(BY66,-1,1)</f>
        <v>ТЭ.42.31656254.0001</v>
      </c>
      <c r="CA66" s="1076"/>
      <c r="CB66" s="1076"/>
      <c r="CC66" s="1076"/>
      <c r="CD66" s="1076"/>
      <c r="CE66" s="1076"/>
      <c r="CF66" s="1076"/>
      <c r="CG66" s="1076"/>
      <c r="CH66" s="1076"/>
      <c r="CI66" s="1077" t="s">
        <v>303</v>
      </c>
      <c r="CJ66" s="1077" t="s">
        <v>523</v>
      </c>
      <c r="CK66" s="1077" t="s">
        <v>524</v>
      </c>
    </row>
    <row s="1751" customFormat="1" customHeight="1" ht="16.5">
      <c r="A67" s="371"/>
      <c r="B67" s="1548"/>
      <c r="C67" s="1548"/>
      <c r="D67" s="1548"/>
      <c r="E67" s="180">
        <v>17</v>
      </c>
      <c r="F67" s="175" cm="1" t="str">
        <f t="array" ref="F67:F67">OFFSET(G67,-1,-1)</f>
        <v>1</v>
      </c>
      <c r="G67" s="1548"/>
      <c r="H67" s="1548"/>
      <c r="I67" s="1548"/>
      <c r="J67" s="1548"/>
      <c r="K67" s="1548"/>
      <c r="L67" s="1548"/>
      <c r="M67" s="1548"/>
      <c r="N67" s="1548"/>
      <c r="O67" s="1548"/>
      <c r="P67" s="1548"/>
      <c r="Q67" s="1548"/>
      <c r="R67" s="1548"/>
      <c r="S67" s="1548"/>
      <c r="T67" s="973">
        <f>F67&gt;0</f>
        <v>1</v>
      </c>
      <c r="U67" s="1548"/>
      <c r="V67" s="1548"/>
      <c r="W67" s="1548"/>
      <c r="X67" s="1548"/>
      <c r="Y67" s="1548"/>
      <c r="Z67" s="1548"/>
      <c r="AA67" s="1727"/>
      <c r="AB67" s="412">
        <v>6</v>
      </c>
      <c r="AC67" s="415" t="s">
        <v>525</v>
      </c>
      <c r="AD67" s="414" t="s">
        <v>495</v>
      </c>
      <c r="AE67" s="1882"/>
      <c r="AF67" s="1882"/>
      <c r="AG67" s="1882"/>
      <c r="AH67" s="1882"/>
      <c r="AI67" s="1882"/>
      <c r="AJ67" s="1882"/>
      <c r="AK67" s="1882"/>
      <c r="AL67" s="1882"/>
      <c r="AM67" s="1882"/>
      <c r="AN67" s="1882"/>
      <c r="AO67" s="1882"/>
      <c r="AP67" s="1882"/>
      <c r="AQ67" s="1882"/>
      <c r="AR67" s="1882"/>
      <c r="AS67" s="1882"/>
      <c r="AT67" s="1882"/>
      <c r="AU67" s="1882"/>
      <c r="AV67" s="1882"/>
      <c r="AW67" s="1882"/>
      <c r="AX67" s="1882"/>
      <c r="AY67" s="396"/>
      <c r="AZ67" s="1882"/>
      <c r="BA67" s="1882"/>
      <c r="BB67" s="1882"/>
      <c r="BC67" s="1882"/>
      <c r="BD67" s="1882"/>
      <c r="BE67" s="1882"/>
      <c r="BF67" s="1882"/>
      <c r="BG67" s="1882"/>
      <c r="BH67" s="1882"/>
      <c r="BI67" s="1882"/>
      <c r="BJ67" s="1882"/>
      <c r="BK67" s="1882"/>
      <c r="BL67" s="1882"/>
      <c r="BM67" s="1882"/>
      <c r="BN67" s="1882"/>
      <c r="BO67" s="1882"/>
      <c r="BP67" s="1882"/>
      <c r="BQ67" s="1882"/>
      <c r="BR67" s="1882"/>
      <c r="BS67" s="1727"/>
      <c r="BT67" s="969"/>
      <c r="BU67" s="309" t="s">
        <v>526</v>
      </c>
      <c r="BV67" s="1142"/>
      <c r="BW67" s="1142"/>
      <c r="BX67" s="372"/>
      <c r="BY67" s="372"/>
      <c r="BZ67" s="1077" cm="1" t="str">
        <f t="array" ref="BZ67:BZ67">OFFSET(BY67,-1,1)</f>
        <v>ТЭ.42.31656254.0001</v>
      </c>
      <c r="CA67" s="1076"/>
      <c r="CB67" s="1076"/>
      <c r="CC67" s="1076"/>
      <c r="CD67" s="1077" t="s">
        <v>527</v>
      </c>
      <c r="CE67" s="1076"/>
      <c r="CF67" s="1076"/>
      <c r="CG67" s="1076"/>
      <c r="CH67" s="1076"/>
      <c r="CI67" s="1077" t="s">
        <v>303</v>
      </c>
      <c r="CJ67" s="1077" t="s">
        <v>519</v>
      </c>
      <c r="CK67" s="1077" t="s">
        <v>520</v>
      </c>
    </row>
    <row s="1751" customFormat="1" customHeight="1" ht="16.5">
      <c r="A68" s="371"/>
      <c r="B68" s="1548"/>
      <c r="C68" s="1548"/>
      <c r="D68" s="1548"/>
      <c r="E68" s="180">
        <v>17</v>
      </c>
      <c r="F68" s="175" cm="1" t="str">
        <f t="array" ref="F68:F68">OFFSET(G68,-1,-1)</f>
        <v>1</v>
      </c>
      <c r="G68" s="1548"/>
      <c r="H68" s="1548"/>
      <c r="I68" s="1548"/>
      <c r="J68" s="1548"/>
      <c r="K68" s="1548"/>
      <c r="L68" s="1548"/>
      <c r="M68" s="1548"/>
      <c r="N68" s="1548"/>
      <c r="O68" s="1548"/>
      <c r="P68" s="1548"/>
      <c r="Q68" s="1548"/>
      <c r="R68" s="1548"/>
      <c r="S68" s="1548"/>
      <c r="T68" s="973">
        <f>F68&gt;0</f>
        <v>1</v>
      </c>
      <c r="U68" s="1548"/>
      <c r="V68" s="1548"/>
      <c r="W68" s="1548"/>
      <c r="X68" s="1548"/>
      <c r="Y68" s="1548"/>
      <c r="Z68" s="1548"/>
      <c r="AA68" s="1727"/>
      <c r="AB68" s="412">
        <v>7</v>
      </c>
      <c r="AC68" s="415" t="s">
        <v>528</v>
      </c>
      <c r="AD68" s="414" t="s">
        <v>495</v>
      </c>
      <c r="AE68" s="1882"/>
      <c r="AF68" s="1882"/>
      <c r="AG68" s="1882"/>
      <c r="AH68" s="1882"/>
      <c r="AI68" s="1882"/>
      <c r="AJ68" s="1882"/>
      <c r="AK68" s="1882"/>
      <c r="AL68" s="1882"/>
      <c r="AM68" s="1882"/>
      <c r="AN68" s="1882"/>
      <c r="AO68" s="1882"/>
      <c r="AP68" s="1882"/>
      <c r="AQ68" s="1882"/>
      <c r="AR68" s="1882"/>
      <c r="AS68" s="1882"/>
      <c r="AT68" s="1882"/>
      <c r="AU68" s="1882"/>
      <c r="AV68" s="1882"/>
      <c r="AW68" s="1882"/>
      <c r="AX68" s="1882"/>
      <c r="AY68" s="396"/>
      <c r="AZ68" s="1882"/>
      <c r="BA68" s="1882"/>
      <c r="BB68" s="1882"/>
      <c r="BC68" s="1882"/>
      <c r="BD68" s="1882"/>
      <c r="BE68" s="1882"/>
      <c r="BF68" s="1882"/>
      <c r="BG68" s="1882"/>
      <c r="BH68" s="1882"/>
      <c r="BI68" s="1882"/>
      <c r="BJ68" s="1882"/>
      <c r="BK68" s="1882"/>
      <c r="BL68" s="1882"/>
      <c r="BM68" s="1882"/>
      <c r="BN68" s="1882"/>
      <c r="BO68" s="1882"/>
      <c r="BP68" s="1882"/>
      <c r="BQ68" s="1882"/>
      <c r="BR68" s="1882"/>
      <c r="BS68" s="1727"/>
      <c r="BT68" s="969"/>
      <c r="BU68" s="309" t="s">
        <v>529</v>
      </c>
      <c r="BV68" s="1142"/>
      <c r="BW68" s="1142"/>
      <c r="BX68" s="372"/>
      <c r="BY68" s="372"/>
      <c r="BZ68" s="1077" cm="1" t="str">
        <f t="array" ref="BZ68:BZ68">OFFSET(BY68,-1,1)</f>
        <v>ТЭ.42.31656254.0001</v>
      </c>
      <c r="CA68" s="1076"/>
      <c r="CB68" s="1076"/>
      <c r="CC68" s="1076"/>
      <c r="CD68" s="1076"/>
      <c r="CE68" s="1077" t="s">
        <v>530</v>
      </c>
      <c r="CF68" s="1076"/>
      <c r="CG68" s="1076"/>
      <c r="CH68" s="1076"/>
      <c r="CI68" s="1077" t="s">
        <v>303</v>
      </c>
      <c r="CJ68" s="1077" t="s">
        <v>519</v>
      </c>
      <c r="CK68" s="1077" t="s">
        <v>520</v>
      </c>
    </row>
    <row s="1751" customFormat="1" customHeight="1" ht="16.5">
      <c r="A69" s="371"/>
      <c r="B69" s="1548"/>
      <c r="C69" s="1548"/>
      <c r="D69" s="1548"/>
      <c r="E69" s="180">
        <v>17</v>
      </c>
      <c r="F69" s="175" cm="1" t="str">
        <f t="array" ref="F69:F69">OFFSET(G69,-1,-1)</f>
        <v>1</v>
      </c>
      <c r="G69" s="1548"/>
      <c r="H69" s="1548"/>
      <c r="I69" s="1548"/>
      <c r="J69" s="1548"/>
      <c r="K69" s="1548"/>
      <c r="L69" s="1548"/>
      <c r="M69" s="1548"/>
      <c r="N69" s="1548"/>
      <c r="O69" s="1548"/>
      <c r="P69" s="1548"/>
      <c r="Q69" s="1548"/>
      <c r="R69" s="1548"/>
      <c r="S69" s="1548"/>
      <c r="T69" s="973">
        <f>F69&gt;0</f>
        <v>1</v>
      </c>
      <c r="U69" s="1548"/>
      <c r="V69" s="1548"/>
      <c r="W69" s="1548"/>
      <c r="X69" s="1548"/>
      <c r="Y69" s="1548"/>
      <c r="Z69" s="1548"/>
      <c r="AA69" s="1727"/>
      <c r="AB69" s="412">
        <v>8</v>
      </c>
      <c r="AC69" s="415" t="s">
        <v>531</v>
      </c>
      <c r="AD69" s="414" t="s">
        <v>495</v>
      </c>
      <c r="AE69" s="1882"/>
      <c r="AF69" s="1882"/>
      <c r="AG69" s="1882"/>
      <c r="AH69" s="1882"/>
      <c r="AI69" s="1882"/>
      <c r="AJ69" s="1882"/>
      <c r="AK69" s="1882"/>
      <c r="AL69" s="1882"/>
      <c r="AM69" s="1882"/>
      <c r="AN69" s="1882"/>
      <c r="AO69" s="1882"/>
      <c r="AP69" s="1882"/>
      <c r="AQ69" s="1882"/>
      <c r="AR69" s="1882"/>
      <c r="AS69" s="1882"/>
      <c r="AT69" s="1882"/>
      <c r="AU69" s="1882"/>
      <c r="AV69" s="1882"/>
      <c r="AW69" s="1882"/>
      <c r="AX69" s="1882"/>
      <c r="AY69" s="396"/>
      <c r="AZ69" s="1882"/>
      <c r="BA69" s="1882"/>
      <c r="BB69" s="1882"/>
      <c r="BC69" s="1882"/>
      <c r="BD69" s="1882"/>
      <c r="BE69" s="1882"/>
      <c r="BF69" s="1882"/>
      <c r="BG69" s="1882"/>
      <c r="BH69" s="1882"/>
      <c r="BI69" s="1882"/>
      <c r="BJ69" s="1882"/>
      <c r="BK69" s="1882"/>
      <c r="BL69" s="1882"/>
      <c r="BM69" s="1882"/>
      <c r="BN69" s="1882"/>
      <c r="BO69" s="1882"/>
      <c r="BP69" s="1882"/>
      <c r="BQ69" s="1882"/>
      <c r="BR69" s="1882"/>
      <c r="BS69" s="1727"/>
      <c r="BT69" s="969"/>
      <c r="BU69" s="309" t="s">
        <v>532</v>
      </c>
      <c r="BV69" s="1142"/>
      <c r="BW69" s="1142"/>
      <c r="BX69" s="372"/>
      <c r="BY69" s="372"/>
      <c r="BZ69" s="1077" cm="1" t="str">
        <f t="array" ref="BZ69:BZ69">OFFSET(BY69,-1,1)</f>
        <v>ТЭ.42.31656254.0001</v>
      </c>
      <c r="CA69" s="1076"/>
      <c r="CB69" s="1076"/>
      <c r="CC69" s="1077" t="s">
        <v>533</v>
      </c>
      <c r="CD69" s="1077" t="s">
        <v>527</v>
      </c>
      <c r="CE69" s="1076"/>
      <c r="CF69" s="1076"/>
      <c r="CG69" s="1076"/>
      <c r="CH69" s="1076"/>
      <c r="CI69" s="1077" t="s">
        <v>303</v>
      </c>
      <c r="CJ69" s="1077" t="s">
        <v>519</v>
      </c>
      <c r="CK69" s="1077" t="s">
        <v>520</v>
      </c>
    </row>
    <row s="1751" customFormat="1" customHeight="1" ht="16.5">
      <c r="A70" s="371"/>
      <c r="B70" s="1548"/>
      <c r="C70" s="1548"/>
      <c r="D70" s="1548"/>
      <c r="E70" s="180">
        <v>17</v>
      </c>
      <c r="F70" s="175" cm="1" t="str">
        <f t="array" ref="F70:F70">OFFSET(G70,-1,-1)</f>
        <v>1</v>
      </c>
      <c r="G70" s="1548"/>
      <c r="H70" s="1548"/>
      <c r="I70" s="1548"/>
      <c r="J70" s="1548"/>
      <c r="K70" s="1548"/>
      <c r="L70" s="1548"/>
      <c r="M70" s="1548"/>
      <c r="N70" s="1548"/>
      <c r="O70" s="1548"/>
      <c r="P70" s="1548"/>
      <c r="Q70" s="1548"/>
      <c r="R70" s="1548"/>
      <c r="S70" s="1548"/>
      <c r="T70" s="973">
        <f>F70&gt;0</f>
        <v>1</v>
      </c>
      <c r="U70" s="1548"/>
      <c r="V70" s="1548"/>
      <c r="W70" s="1548"/>
      <c r="X70" s="1548"/>
      <c r="Y70" s="1548"/>
      <c r="Z70" s="1548"/>
      <c r="AA70" s="1727"/>
      <c r="AB70" s="412">
        <v>9</v>
      </c>
      <c r="AC70" s="415" t="s">
        <v>534</v>
      </c>
      <c r="AD70" s="380" t="s">
        <v>535</v>
      </c>
      <c r="AE70" s="1882">
        <f>7900</f>
        <v>7900</v>
      </c>
      <c r="AF70" s="1882">
        <f>7900</f>
        <v>7900</v>
      </c>
      <c r="AG70" s="1882">
        <f>7900</f>
        <v>7900</v>
      </c>
      <c r="AH70" s="1882">
        <f>7900</f>
        <v>7900</v>
      </c>
      <c r="AI70" s="1882">
        <f>7900</f>
        <v>7900</v>
      </c>
      <c r="AJ70" s="1882">
        <f>7900</f>
        <v>7900</v>
      </c>
      <c r="AK70" s="1882">
        <f>7900</f>
        <v>7900</v>
      </c>
      <c r="AL70" s="1882">
        <f>7900</f>
        <v>7900</v>
      </c>
      <c r="AM70" s="1882">
        <f>7900</f>
        <v>7900</v>
      </c>
      <c r="AN70" s="1882">
        <f>7900</f>
        <v>7900</v>
      </c>
      <c r="AO70" s="1882">
        <f>7900</f>
        <v>7900</v>
      </c>
      <c r="AP70" s="1882">
        <f>7900</f>
        <v>7900</v>
      </c>
      <c r="AQ70" s="1882">
        <f>7900</f>
        <v>7900</v>
      </c>
      <c r="AR70" s="1882">
        <f>7900</f>
        <v>7900</v>
      </c>
      <c r="AS70" s="1882">
        <f>7900</f>
        <v>7900</v>
      </c>
      <c r="AT70" s="1882">
        <f>7900</f>
        <v>7900</v>
      </c>
      <c r="AU70" s="1882">
        <f>7900</f>
        <v>7900</v>
      </c>
      <c r="AV70" s="1882">
        <f>7900</f>
        <v>7900</v>
      </c>
      <c r="AW70" s="1882">
        <f>7900</f>
        <v>7900</v>
      </c>
      <c r="AX70" s="1882">
        <f>7900</f>
        <v>7900</v>
      </c>
      <c r="AY70" s="396">
        <f>7900</f>
        <v>7900</v>
      </c>
      <c r="AZ70" s="1882">
        <f>7900</f>
        <v>7900</v>
      </c>
      <c r="BA70" s="1882">
        <f>7900</f>
        <v>7900</v>
      </c>
      <c r="BB70" s="1882">
        <f>7900</f>
        <v>7900</v>
      </c>
      <c r="BC70" s="1882">
        <f>7900</f>
        <v>7900</v>
      </c>
      <c r="BD70" s="1882">
        <f>7900</f>
        <v>7900</v>
      </c>
      <c r="BE70" s="1882">
        <f>7900</f>
        <v>7900</v>
      </c>
      <c r="BF70" s="1882">
        <f>7900</f>
        <v>7900</v>
      </c>
      <c r="BG70" s="1882">
        <f>7900</f>
        <v>7900</v>
      </c>
      <c r="BH70" s="1882">
        <f>7900</f>
        <v>7900</v>
      </c>
      <c r="BI70" s="1882">
        <f>7900</f>
        <v>7900</v>
      </c>
      <c r="BJ70" s="1882">
        <f>7900</f>
        <v>7900</v>
      </c>
      <c r="BK70" s="1882">
        <f>7900</f>
        <v>7900</v>
      </c>
      <c r="BL70" s="1882">
        <f>7900</f>
        <v>7900</v>
      </c>
      <c r="BM70" s="1882">
        <f>7900</f>
        <v>7900</v>
      </c>
      <c r="BN70" s="1882">
        <f>7900</f>
        <v>7900</v>
      </c>
      <c r="BO70" s="1882">
        <f>7900</f>
        <v>7900</v>
      </c>
      <c r="BP70" s="1882">
        <f>7900</f>
        <v>7900</v>
      </c>
      <c r="BQ70" s="1882">
        <f>7900</f>
        <v>7900</v>
      </c>
      <c r="BR70" s="1882">
        <f>7900</f>
        <v>7900</v>
      </c>
      <c r="BS70" s="1727"/>
      <c r="BT70" s="969"/>
      <c r="BU70" s="309" t="s">
        <v>536</v>
      </c>
      <c r="BV70" s="1142"/>
      <c r="BW70" s="1142"/>
      <c r="BX70" s="372"/>
      <c r="BY70" s="372"/>
      <c r="BZ70" s="1077" cm="1" t="str">
        <f t="array" ref="BZ70:BZ70">OFFSET(BY70,-1,1)</f>
        <v>ТЭ.42.31656254.0001</v>
      </c>
      <c r="CA70" s="1076"/>
      <c r="CB70" s="1076"/>
      <c r="CC70" s="1076"/>
      <c r="CD70" s="1077" t="s">
        <v>527</v>
      </c>
      <c r="CE70" s="1076"/>
      <c r="CF70" s="1076"/>
      <c r="CG70" s="1076"/>
      <c r="CH70" s="1076"/>
      <c r="CI70" s="1077" t="s">
        <v>303</v>
      </c>
      <c r="CJ70" s="1077" t="s">
        <v>537</v>
      </c>
      <c r="CK70" s="1077" t="s">
        <v>538</v>
      </c>
    </row>
    <row s="1751" customFormat="1" customHeight="1" ht="16.5">
      <c r="A71" s="371"/>
      <c r="B71" s="1548"/>
      <c r="C71" s="1548"/>
      <c r="D71" s="1548"/>
      <c r="E71" s="180">
        <v>17</v>
      </c>
      <c r="F71" s="175" cm="1" t="str">
        <f t="array" ref="F71:F71">OFFSET(G71,-1,-1)</f>
        <v>1</v>
      </c>
      <c r="G71" s="1548"/>
      <c r="H71" s="1548"/>
      <c r="I71" s="1548"/>
      <c r="J71" s="1548"/>
      <c r="K71" s="1548"/>
      <c r="L71" s="1548"/>
      <c r="M71" s="1548"/>
      <c r="N71" s="1548"/>
      <c r="O71" s="1548"/>
      <c r="P71" s="1548"/>
      <c r="Q71" s="1548"/>
      <c r="R71" s="1548"/>
      <c r="S71" s="1548"/>
      <c r="T71" s="973">
        <f>F71&gt;0</f>
        <v>1</v>
      </c>
      <c r="U71" s="1548"/>
      <c r="V71" s="1548"/>
      <c r="W71" s="1548"/>
      <c r="X71" s="1548"/>
      <c r="Y71" s="1548"/>
      <c r="Z71" s="1548"/>
      <c r="AA71" s="1727"/>
      <c r="AB71" s="412">
        <v>10</v>
      </c>
      <c r="AC71" s="415" t="s">
        <v>539</v>
      </c>
      <c r="AD71" s="380" t="s">
        <v>540</v>
      </c>
      <c r="AE71" s="1882"/>
      <c r="AF71" s="1882"/>
      <c r="AG71" s="1882"/>
      <c r="AH71" s="1882"/>
      <c r="AI71" s="1882"/>
      <c r="AJ71" s="1882"/>
      <c r="AK71" s="1882"/>
      <c r="AL71" s="1882"/>
      <c r="AM71" s="1882"/>
      <c r="AN71" s="1882"/>
      <c r="AO71" s="1882"/>
      <c r="AP71" s="1882"/>
      <c r="AQ71" s="1882"/>
      <c r="AR71" s="1882"/>
      <c r="AS71" s="1882"/>
      <c r="AT71" s="1882"/>
      <c r="AU71" s="1882"/>
      <c r="AV71" s="1882"/>
      <c r="AW71" s="1882"/>
      <c r="AX71" s="1882"/>
      <c r="AY71" s="396"/>
      <c r="AZ71" s="1882"/>
      <c r="BA71" s="1882"/>
      <c r="BB71" s="1882"/>
      <c r="BC71" s="1882"/>
      <c r="BD71" s="1882"/>
      <c r="BE71" s="1882"/>
      <c r="BF71" s="1882"/>
      <c r="BG71" s="1882"/>
      <c r="BH71" s="1882"/>
      <c r="BI71" s="1882"/>
      <c r="BJ71" s="1882"/>
      <c r="BK71" s="1882"/>
      <c r="BL71" s="1882"/>
      <c r="BM71" s="1882"/>
      <c r="BN71" s="1882"/>
      <c r="BO71" s="1882"/>
      <c r="BP71" s="1882"/>
      <c r="BQ71" s="1882"/>
      <c r="BR71" s="1882"/>
      <c r="BS71" s="1727"/>
      <c r="BT71" s="969"/>
      <c r="BU71" s="309" t="s">
        <v>541</v>
      </c>
      <c r="BV71" s="1142"/>
      <c r="BW71" s="1142"/>
      <c r="BX71" s="372"/>
      <c r="BY71" s="372"/>
      <c r="BZ71" s="1077" cm="1" t="str">
        <f t="array" ref="BZ71:BZ71">OFFSET(BY71,-1,1)</f>
        <v>ТЭ.42.31656254.0001</v>
      </c>
      <c r="CA71" s="1076"/>
      <c r="CB71" s="1076"/>
      <c r="CC71" s="1076"/>
      <c r="CD71" s="1077" t="s">
        <v>527</v>
      </c>
      <c r="CE71" s="1076"/>
      <c r="CF71" s="1076"/>
      <c r="CG71" s="1076"/>
      <c r="CH71" s="1076"/>
      <c r="CI71" s="1077" t="s">
        <v>303</v>
      </c>
      <c r="CJ71" s="1077" t="s">
        <v>542</v>
      </c>
      <c r="CK71" s="1077" t="s">
        <v>543</v>
      </c>
    </row>
    <row s="1751" customFormat="1" customHeight="1" ht="16.5">
      <c r="A72" s="371"/>
      <c r="B72" s="1548"/>
      <c r="C72" s="1548"/>
      <c r="D72" s="1548"/>
      <c r="E72" s="180">
        <v>17</v>
      </c>
      <c r="F72" s="175" cm="1" t="str">
        <f t="array" ref="F72:F72">OFFSET(G72,-1,-1)</f>
        <v>1</v>
      </c>
      <c r="G72" s="1548"/>
      <c r="H72" s="1548"/>
      <c r="I72" s="1548"/>
      <c r="J72" s="1548"/>
      <c r="K72" s="1548"/>
      <c r="L72" s="1548"/>
      <c r="M72" s="1548"/>
      <c r="N72" s="1548"/>
      <c r="O72" s="1548"/>
      <c r="P72" s="1548"/>
      <c r="Q72" s="1548"/>
      <c r="R72" s="1548"/>
      <c r="S72" s="1548"/>
      <c r="T72" s="973">
        <f>F72&gt;0</f>
        <v>1</v>
      </c>
      <c r="U72" s="1548"/>
      <c r="V72" s="1548"/>
      <c r="W72" s="1548"/>
      <c r="X72" s="1548"/>
      <c r="Y72" s="1548"/>
      <c r="Z72" s="1548"/>
      <c r="AA72" s="1727"/>
      <c r="AB72" s="412">
        <v>11</v>
      </c>
      <c r="AC72" s="415" t="s">
        <v>544</v>
      </c>
      <c r="AD72" s="380" t="s">
        <v>545</v>
      </c>
      <c r="AE72" s="1882">
        <f>7000</f>
        <v>7000</v>
      </c>
      <c r="AF72" s="1882">
        <f>7000</f>
        <v>7000</v>
      </c>
      <c r="AG72" s="1882">
        <f>7000</f>
        <v>7000</v>
      </c>
      <c r="AH72" s="1882">
        <f>7000</f>
        <v>7000</v>
      </c>
      <c r="AI72" s="1882">
        <f>7000</f>
        <v>7000</v>
      </c>
      <c r="AJ72" s="1882">
        <f>7000</f>
        <v>7000</v>
      </c>
      <c r="AK72" s="1882">
        <f>7000</f>
        <v>7000</v>
      </c>
      <c r="AL72" s="1882">
        <f>7000</f>
        <v>7000</v>
      </c>
      <c r="AM72" s="1882">
        <f>7000</f>
        <v>7000</v>
      </c>
      <c r="AN72" s="1882">
        <f>7000</f>
        <v>7000</v>
      </c>
      <c r="AO72" s="1882">
        <f>7000</f>
        <v>7000</v>
      </c>
      <c r="AP72" s="1882">
        <f>7000</f>
        <v>7000</v>
      </c>
      <c r="AQ72" s="1882">
        <f>7000</f>
        <v>7000</v>
      </c>
      <c r="AR72" s="1882">
        <f>7000</f>
        <v>7000</v>
      </c>
      <c r="AS72" s="1882">
        <f>7000</f>
        <v>7000</v>
      </c>
      <c r="AT72" s="1882">
        <f>7000</f>
        <v>7000</v>
      </c>
      <c r="AU72" s="1882">
        <f>7000</f>
        <v>7000</v>
      </c>
      <c r="AV72" s="1882">
        <f>7000</f>
        <v>7000</v>
      </c>
      <c r="AW72" s="1882">
        <f>7000</f>
        <v>7000</v>
      </c>
      <c r="AX72" s="1882">
        <f>7000</f>
        <v>7000</v>
      </c>
      <c r="AY72" s="396">
        <f>7000</f>
        <v>7000</v>
      </c>
      <c r="AZ72" s="1882">
        <f>7000</f>
        <v>7000</v>
      </c>
      <c r="BA72" s="1882">
        <f>7000</f>
        <v>7000</v>
      </c>
      <c r="BB72" s="1882">
        <f>7000</f>
        <v>7000</v>
      </c>
      <c r="BC72" s="1882">
        <f>7000</f>
        <v>7000</v>
      </c>
      <c r="BD72" s="1882">
        <f>7000</f>
        <v>7000</v>
      </c>
      <c r="BE72" s="1882">
        <f>7000</f>
        <v>7000</v>
      </c>
      <c r="BF72" s="1882">
        <f>7000</f>
        <v>7000</v>
      </c>
      <c r="BG72" s="1882">
        <f>7000</f>
        <v>7000</v>
      </c>
      <c r="BH72" s="1882">
        <f>7000</f>
        <v>7000</v>
      </c>
      <c r="BI72" s="1882">
        <f>7000</f>
        <v>7000</v>
      </c>
      <c r="BJ72" s="1882">
        <f>7000</f>
        <v>7000</v>
      </c>
      <c r="BK72" s="1882">
        <f>7000</f>
        <v>7000</v>
      </c>
      <c r="BL72" s="1882">
        <f>7000</f>
        <v>7000</v>
      </c>
      <c r="BM72" s="1882">
        <f>7000</f>
        <v>7000</v>
      </c>
      <c r="BN72" s="1882">
        <f>7000</f>
        <v>7000</v>
      </c>
      <c r="BO72" s="1882">
        <f>7000</f>
        <v>7000</v>
      </c>
      <c r="BP72" s="1882">
        <f>7000</f>
        <v>7000</v>
      </c>
      <c r="BQ72" s="1882">
        <f>7000</f>
        <v>7000</v>
      </c>
      <c r="BR72" s="1882">
        <f>7000</f>
        <v>7000</v>
      </c>
      <c r="BS72" s="1727"/>
      <c r="BT72" s="969"/>
      <c r="BU72" s="309" t="s">
        <v>546</v>
      </c>
      <c r="BV72" s="1142"/>
      <c r="BW72" s="1142"/>
      <c r="BX72" s="372"/>
      <c r="BY72" s="372"/>
      <c r="BZ72" s="1077" cm="1" t="str">
        <f t="array" ref="BZ72:BZ72">OFFSET(BY72,-1,1)</f>
        <v>ТЭ.42.31656254.0001</v>
      </c>
      <c r="CA72" s="1076"/>
      <c r="CB72" s="1076"/>
      <c r="CC72" s="1076"/>
      <c r="CD72" s="1076"/>
      <c r="CE72" s="1076"/>
      <c r="CF72" s="1077" t="s">
        <v>547</v>
      </c>
      <c r="CG72" s="1076"/>
      <c r="CH72" s="1076"/>
      <c r="CI72" s="1077" t="s">
        <v>303</v>
      </c>
      <c r="CJ72" s="1077" t="s">
        <v>548</v>
      </c>
      <c r="CK72" s="1077" t="s">
        <v>549</v>
      </c>
    </row>
    <row s="1751" customFormat="1" customHeight="1" ht="16.5">
      <c r="A73" s="371"/>
      <c r="B73" s="1548"/>
      <c r="C73" s="1548"/>
      <c r="D73" s="1548"/>
      <c r="E73" s="180">
        <v>17</v>
      </c>
      <c r="F73" s="175" cm="1" t="str">
        <f t="array" ref="F73:F73">OFFSET(G73,-1,-1)</f>
        <v>1</v>
      </c>
      <c r="G73" s="1548"/>
      <c r="H73" s="1548"/>
      <c r="I73" s="1548"/>
      <c r="J73" s="1548"/>
      <c r="K73" s="1548"/>
      <c r="L73" s="1548"/>
      <c r="M73" s="1548"/>
      <c r="N73" s="1548"/>
      <c r="O73" s="1548"/>
      <c r="P73" s="1548"/>
      <c r="Q73" s="1548"/>
      <c r="R73" s="1548"/>
      <c r="S73" s="1548"/>
      <c r="T73" s="973">
        <f>F73&gt;0</f>
        <v>1</v>
      </c>
      <c r="U73" s="1548"/>
      <c r="V73" s="1548"/>
      <c r="W73" s="1548"/>
      <c r="X73" s="1548"/>
      <c r="Y73" s="1548"/>
      <c r="Z73" s="1548"/>
      <c r="AA73" s="1727"/>
      <c r="AB73" s="412">
        <v>12</v>
      </c>
      <c r="AC73" s="415" t="s">
        <v>550</v>
      </c>
      <c r="AD73" s="414" t="s">
        <v>495</v>
      </c>
      <c r="AE73" s="1882"/>
      <c r="AF73" s="1882"/>
      <c r="AG73" s="1882"/>
      <c r="AH73" s="1882"/>
      <c r="AI73" s="1882"/>
      <c r="AJ73" s="1882"/>
      <c r="AK73" s="1882"/>
      <c r="AL73" s="1882"/>
      <c r="AM73" s="1882"/>
      <c r="AN73" s="1882"/>
      <c r="AO73" s="1882"/>
      <c r="AP73" s="1882"/>
      <c r="AQ73" s="1882"/>
      <c r="AR73" s="1882"/>
      <c r="AS73" s="1882"/>
      <c r="AT73" s="1882"/>
      <c r="AU73" s="1882"/>
      <c r="AV73" s="1882"/>
      <c r="AW73" s="1882"/>
      <c r="AX73" s="1882"/>
      <c r="AY73" s="396"/>
      <c r="AZ73" s="1882"/>
      <c r="BA73" s="1882"/>
      <c r="BB73" s="1882"/>
      <c r="BC73" s="1882"/>
      <c r="BD73" s="1882"/>
      <c r="BE73" s="1882"/>
      <c r="BF73" s="1882"/>
      <c r="BG73" s="1882"/>
      <c r="BH73" s="1882"/>
      <c r="BI73" s="1882"/>
      <c r="BJ73" s="1882"/>
      <c r="BK73" s="1882"/>
      <c r="BL73" s="1882"/>
      <c r="BM73" s="1882"/>
      <c r="BN73" s="1882"/>
      <c r="BO73" s="1882"/>
      <c r="BP73" s="1882"/>
      <c r="BQ73" s="1882"/>
      <c r="BR73" s="1882"/>
      <c r="BS73" s="1727"/>
      <c r="BT73" s="969"/>
      <c r="BU73" s="309" t="s">
        <v>551</v>
      </c>
      <c r="BV73" s="1142"/>
      <c r="BW73" s="1142"/>
      <c r="BX73" s="372"/>
      <c r="BY73" s="372"/>
      <c r="BZ73" s="1077" cm="1" t="str">
        <f t="array" ref="BZ73:BZ73">OFFSET(BY73,-1,1)</f>
        <v>ТЭ.42.31656254.0001</v>
      </c>
      <c r="CA73" s="1076"/>
      <c r="CB73" s="1076"/>
      <c r="CC73" s="1076"/>
      <c r="CD73" s="1076"/>
      <c r="CE73" s="1076"/>
      <c r="CF73" s="1076"/>
      <c r="CG73" s="1077" t="s">
        <v>552</v>
      </c>
      <c r="CH73" s="1076"/>
      <c r="CI73" s="1077" t="s">
        <v>303</v>
      </c>
      <c r="CJ73" s="1077" t="s">
        <v>519</v>
      </c>
      <c r="CK73" s="1077" t="s">
        <v>520</v>
      </c>
    </row>
    <row s="1751" customFormat="1" customHeight="1" ht="16.5">
      <c r="A74" s="371"/>
      <c r="B74" s="1548"/>
      <c r="C74" s="1548"/>
      <c r="D74" s="1548"/>
      <c r="E74" s="180">
        <v>17</v>
      </c>
      <c r="F74" s="175" cm="1" t="str">
        <f t="array" ref="F74:F74">OFFSET(G74,-1,-1)</f>
        <v>1</v>
      </c>
      <c r="G74" s="1548"/>
      <c r="H74" s="1548"/>
      <c r="I74" s="1548"/>
      <c r="J74" s="1548"/>
      <c r="K74" s="1548"/>
      <c r="L74" s="1548"/>
      <c r="M74" s="1548"/>
      <c r="N74" s="1548"/>
      <c r="O74" s="1548"/>
      <c r="P74" s="1548"/>
      <c r="Q74" s="1548"/>
      <c r="R74" s="1548"/>
      <c r="S74" s="1548"/>
      <c r="T74" s="973">
        <f>F74&gt;0</f>
        <v>1</v>
      </c>
      <c r="U74" s="1548"/>
      <c r="V74" s="1548"/>
      <c r="W74" s="1548"/>
      <c r="X74" s="1548"/>
      <c r="Y74" s="1548"/>
      <c r="Z74" s="1548"/>
      <c r="AA74" s="1727"/>
      <c r="AB74" s="412">
        <v>13</v>
      </c>
      <c r="AC74" s="415" t="s">
        <v>553</v>
      </c>
      <c r="AD74" s="414" t="s">
        <v>495</v>
      </c>
      <c r="AE74" s="1882"/>
      <c r="AF74" s="1882"/>
      <c r="AG74" s="1882"/>
      <c r="AH74" s="1882"/>
      <c r="AI74" s="1882"/>
      <c r="AJ74" s="1882"/>
      <c r="AK74" s="1882"/>
      <c r="AL74" s="1882"/>
      <c r="AM74" s="1882"/>
      <c r="AN74" s="1882"/>
      <c r="AO74" s="1882"/>
      <c r="AP74" s="1882"/>
      <c r="AQ74" s="1882"/>
      <c r="AR74" s="1882"/>
      <c r="AS74" s="1882"/>
      <c r="AT74" s="1882"/>
      <c r="AU74" s="1882"/>
      <c r="AV74" s="1882"/>
      <c r="AW74" s="1882"/>
      <c r="AX74" s="1882"/>
      <c r="AY74" s="396"/>
      <c r="AZ74" s="1882"/>
      <c r="BA74" s="1882"/>
      <c r="BB74" s="1882"/>
      <c r="BC74" s="1882"/>
      <c r="BD74" s="1882"/>
      <c r="BE74" s="1882"/>
      <c r="BF74" s="1882"/>
      <c r="BG74" s="1882"/>
      <c r="BH74" s="1882"/>
      <c r="BI74" s="1882"/>
      <c r="BJ74" s="1882"/>
      <c r="BK74" s="1882"/>
      <c r="BL74" s="1882"/>
      <c r="BM74" s="1882"/>
      <c r="BN74" s="1882"/>
      <c r="BO74" s="1882"/>
      <c r="BP74" s="1882"/>
      <c r="BQ74" s="1882"/>
      <c r="BR74" s="1882"/>
      <c r="BS74" s="1727"/>
      <c r="BT74" s="969"/>
      <c r="BU74" s="309" t="s">
        <v>554</v>
      </c>
      <c r="BV74" s="1142"/>
      <c r="BW74" s="1142"/>
      <c r="BX74" s="372"/>
      <c r="BY74" s="372"/>
      <c r="BZ74" s="1077" cm="1" t="str">
        <f t="array" ref="BZ74:BZ74">OFFSET(BY74,-1,1)</f>
        <v>ТЭ.42.31656254.0001</v>
      </c>
      <c r="CA74" s="1076"/>
      <c r="CB74" s="1076"/>
      <c r="CC74" s="1076"/>
      <c r="CD74" s="1076"/>
      <c r="CE74" s="1076"/>
      <c r="CF74" s="1076"/>
      <c r="CG74" s="1077" t="s">
        <v>555</v>
      </c>
      <c r="CH74" s="1076"/>
      <c r="CI74" s="1077" t="s">
        <v>303</v>
      </c>
      <c r="CJ74" s="1077" t="s">
        <v>519</v>
      </c>
      <c r="CK74" s="1077" t="s">
        <v>520</v>
      </c>
    </row>
    <row s="1751" customFormat="1" customHeight="1" ht="16.5">
      <c r="A75" s="371"/>
      <c r="B75" s="1548"/>
      <c r="C75" s="1548"/>
      <c r="D75" s="1548"/>
      <c r="E75" s="180">
        <v>17</v>
      </c>
      <c r="F75" s="175" cm="1" t="str">
        <f t="array" ref="F75:F75">OFFSET(G75,-1,-1)</f>
        <v>1</v>
      </c>
      <c r="G75" s="1548"/>
      <c r="H75" s="1548"/>
      <c r="I75" s="1548"/>
      <c r="J75" s="1548"/>
      <c r="K75" s="1548"/>
      <c r="L75" s="1548"/>
      <c r="M75" s="1548"/>
      <c r="N75" s="1548"/>
      <c r="O75" s="1548"/>
      <c r="P75" s="1548"/>
      <c r="Q75" s="1548"/>
      <c r="R75" s="1548"/>
      <c r="S75" s="1548"/>
      <c r="T75" s="973">
        <f>F75&gt;0</f>
        <v>1</v>
      </c>
      <c r="U75" s="1548"/>
      <c r="V75" s="1548"/>
      <c r="W75" s="1548"/>
      <c r="X75" s="1548"/>
      <c r="Y75" s="1548"/>
      <c r="Z75" s="1548"/>
      <c r="AA75" s="1727"/>
      <c r="AB75" s="412">
        <v>14</v>
      </c>
      <c r="AC75" s="415" t="s">
        <v>556</v>
      </c>
      <c r="AD75" s="414" t="s">
        <v>495</v>
      </c>
      <c r="AE75" s="1882"/>
      <c r="AF75" s="1882"/>
      <c r="AG75" s="1882"/>
      <c r="AH75" s="1882"/>
      <c r="AI75" s="1882"/>
      <c r="AJ75" s="1882"/>
      <c r="AK75" s="1882"/>
      <c r="AL75" s="1882"/>
      <c r="AM75" s="1882"/>
      <c r="AN75" s="1882"/>
      <c r="AO75" s="1882"/>
      <c r="AP75" s="1882"/>
      <c r="AQ75" s="1882"/>
      <c r="AR75" s="1882"/>
      <c r="AS75" s="1882"/>
      <c r="AT75" s="1882"/>
      <c r="AU75" s="1882"/>
      <c r="AV75" s="1882"/>
      <c r="AW75" s="1882"/>
      <c r="AX75" s="1882"/>
      <c r="AY75" s="396"/>
      <c r="AZ75" s="1882"/>
      <c r="BA75" s="1882"/>
      <c r="BB75" s="1882"/>
      <c r="BC75" s="1882"/>
      <c r="BD75" s="1882"/>
      <c r="BE75" s="1882"/>
      <c r="BF75" s="1882"/>
      <c r="BG75" s="1882"/>
      <c r="BH75" s="1882"/>
      <c r="BI75" s="1882"/>
      <c r="BJ75" s="1882"/>
      <c r="BK75" s="1882"/>
      <c r="BL75" s="1882"/>
      <c r="BM75" s="1882"/>
      <c r="BN75" s="1882"/>
      <c r="BO75" s="1882"/>
      <c r="BP75" s="1882"/>
      <c r="BQ75" s="1882"/>
      <c r="BR75" s="1882"/>
      <c r="BS75" s="1727"/>
      <c r="BT75" s="969"/>
      <c r="BU75" s="309" t="s">
        <v>557</v>
      </c>
      <c r="BV75" s="1142"/>
      <c r="BW75" s="1142"/>
      <c r="BX75" s="372"/>
      <c r="BY75" s="372"/>
      <c r="BZ75" s="1077" cm="1" t="str">
        <f t="array" ref="BZ75:BZ75">OFFSET(BY75,-1,1)</f>
        <v>ТЭ.42.31656254.0001</v>
      </c>
      <c r="CA75" s="1076"/>
      <c r="CB75" s="1076"/>
      <c r="CC75" s="1076"/>
      <c r="CD75" s="1076"/>
      <c r="CE75" s="1076"/>
      <c r="CF75" s="1076"/>
      <c r="CG75" s="1077" t="s">
        <v>558</v>
      </c>
      <c r="CH75" s="1076"/>
      <c r="CI75" s="1077" t="s">
        <v>303</v>
      </c>
      <c r="CJ75" s="1077" t="s">
        <v>519</v>
      </c>
      <c r="CK75" s="1077" t="s">
        <v>520</v>
      </c>
    </row>
    <row s="1751" customFormat="1" customHeight="1" ht="16.5">
      <c r="A76" s="371"/>
      <c r="B76" s="1548"/>
      <c r="C76" s="1548"/>
      <c r="D76" s="1548"/>
      <c r="E76" s="180">
        <v>17</v>
      </c>
      <c r="F76" s="175" cm="1" t="str">
        <f t="array" ref="F76:F76">OFFSET(G76,-1,-1)</f>
        <v>1</v>
      </c>
      <c r="G76" s="1548"/>
      <c r="H76" s="1548"/>
      <c r="I76" s="1548"/>
      <c r="J76" s="1548"/>
      <c r="K76" s="1548"/>
      <c r="L76" s="1548"/>
      <c r="M76" s="1548"/>
      <c r="N76" s="1548"/>
      <c r="O76" s="1548"/>
      <c r="P76" s="1548"/>
      <c r="Q76" s="1548"/>
      <c r="R76" s="1548"/>
      <c r="S76" s="1548"/>
      <c r="T76" s="973">
        <f>F76&gt;0</f>
        <v>1</v>
      </c>
      <c r="U76" s="1548"/>
      <c r="V76" s="1548"/>
      <c r="W76" s="1548"/>
      <c r="X76" s="1548"/>
      <c r="Y76" s="1548"/>
      <c r="Z76" s="1548"/>
      <c r="AA76" s="1727"/>
      <c r="AB76" s="412">
        <v>15</v>
      </c>
      <c r="AC76" s="415" t="s">
        <v>559</v>
      </c>
      <c r="AD76" s="414" t="s">
        <v>495</v>
      </c>
      <c r="AE76" s="1882"/>
      <c r="AF76" s="1882"/>
      <c r="AG76" s="1882"/>
      <c r="AH76" s="1882"/>
      <c r="AI76" s="1882"/>
      <c r="AJ76" s="1882"/>
      <c r="AK76" s="1882"/>
      <c r="AL76" s="1882"/>
      <c r="AM76" s="1882"/>
      <c r="AN76" s="1882"/>
      <c r="AO76" s="1882"/>
      <c r="AP76" s="1882"/>
      <c r="AQ76" s="1882"/>
      <c r="AR76" s="1882"/>
      <c r="AS76" s="1882"/>
      <c r="AT76" s="1882"/>
      <c r="AU76" s="1882"/>
      <c r="AV76" s="1882"/>
      <c r="AW76" s="1882"/>
      <c r="AX76" s="1882"/>
      <c r="AY76" s="396"/>
      <c r="AZ76" s="1882"/>
      <c r="BA76" s="1882"/>
      <c r="BB76" s="1882"/>
      <c r="BC76" s="1882"/>
      <c r="BD76" s="1882"/>
      <c r="BE76" s="1882"/>
      <c r="BF76" s="1882"/>
      <c r="BG76" s="1882"/>
      <c r="BH76" s="1882"/>
      <c r="BI76" s="1882"/>
      <c r="BJ76" s="1882"/>
      <c r="BK76" s="1882"/>
      <c r="BL76" s="1882"/>
      <c r="BM76" s="1882"/>
      <c r="BN76" s="1882"/>
      <c r="BO76" s="1882"/>
      <c r="BP76" s="1882"/>
      <c r="BQ76" s="1882"/>
      <c r="BR76" s="1882"/>
      <c r="BS76" s="1727"/>
      <c r="BT76" s="969"/>
      <c r="BU76" s="309" t="s">
        <v>560</v>
      </c>
      <c r="BV76" s="1142"/>
      <c r="BW76" s="1142"/>
      <c r="BX76" s="372"/>
      <c r="BY76" s="372"/>
      <c r="BZ76" s="1077" cm="1" t="str">
        <f t="array" ref="BZ76:BZ76">OFFSET(BY76,-1,1)</f>
        <v>ТЭ.42.31656254.0001</v>
      </c>
      <c r="CA76" s="1076"/>
      <c r="CB76" s="1076"/>
      <c r="CC76" s="1076"/>
      <c r="CD76" s="1076"/>
      <c r="CE76" s="1076"/>
      <c r="CF76" s="1076"/>
      <c r="CG76" s="1077" t="s">
        <v>561</v>
      </c>
      <c r="CH76" s="1076"/>
      <c r="CI76" s="1077" t="s">
        <v>303</v>
      </c>
      <c r="CJ76" s="1077" t="s">
        <v>519</v>
      </c>
      <c r="CK76" s="1077" t="s">
        <v>520</v>
      </c>
    </row>
    <row s="1751" customFormat="1" customHeight="1" ht="16.5">
      <c r="A77" s="371"/>
      <c r="B77" s="1548"/>
      <c r="C77" s="1548"/>
      <c r="D77" s="1548"/>
      <c r="E77" s="180">
        <v>17</v>
      </c>
      <c r="F77" s="175" cm="1" t="str">
        <f t="array" ref="F77:F77">OFFSET(G77,-1,-1)</f>
        <v>1</v>
      </c>
      <c r="G77" s="175" t="s">
        <v>562</v>
      </c>
      <c r="H77" s="1548"/>
      <c r="I77" s="1548"/>
      <c r="J77" s="1548"/>
      <c r="K77" s="1548"/>
      <c r="L77" s="1548"/>
      <c r="M77" s="1548"/>
      <c r="N77" s="1548"/>
      <c r="O77" s="1548"/>
      <c r="P77" s="1548"/>
      <c r="Q77" s="1548"/>
      <c r="R77" s="1548"/>
      <c r="S77" s="1548"/>
      <c r="T77" s="979">
        <f>AND(F77&gt;0,method_reg&lt;&gt;"Метод экономически обоснованных расходов")</f>
        <v>1</v>
      </c>
      <c r="U77" s="1548"/>
      <c r="V77" s="1548"/>
      <c r="W77" s="1548"/>
      <c r="X77" s="1548"/>
      <c r="Y77" s="1548"/>
      <c r="Z77" s="1548"/>
      <c r="AA77" s="1727"/>
      <c r="AB77" s="412">
        <v>16</v>
      </c>
      <c r="AC77" s="416" t="s">
        <v>563</v>
      </c>
      <c r="AD77" s="387"/>
      <c r="AE77" s="1882"/>
      <c r="AF77" s="1882"/>
      <c r="AG77" s="1882"/>
      <c r="AH77" s="1882"/>
      <c r="AI77" s="1882"/>
      <c r="AJ77" s="1882"/>
      <c r="AK77" s="1882"/>
      <c r="AL77" s="1882"/>
      <c r="AM77" s="1882"/>
      <c r="AN77" s="1882"/>
      <c r="AO77" s="1882"/>
      <c r="AP77" s="1882"/>
      <c r="AQ77" s="1882"/>
      <c r="AR77" s="1882"/>
      <c r="AS77" s="1882"/>
      <c r="AT77" s="1882"/>
      <c r="AU77" s="1882"/>
      <c r="AV77" s="1882"/>
      <c r="AW77" s="1882"/>
      <c r="AX77" s="1882"/>
      <c r="AY77" s="396"/>
      <c r="AZ77" s="1882"/>
      <c r="BA77" s="1882"/>
      <c r="BB77" s="1882"/>
      <c r="BC77" s="1882"/>
      <c r="BD77" s="1882"/>
      <c r="BE77" s="1882"/>
      <c r="BF77" s="1882"/>
      <c r="BG77" s="1882"/>
      <c r="BH77" s="1882"/>
      <c r="BI77" s="1882"/>
      <c r="BJ77" s="1882"/>
      <c r="BK77" s="1882"/>
      <c r="BL77" s="1882"/>
      <c r="BM77" s="1882"/>
      <c r="BN77" s="1882"/>
      <c r="BO77" s="1882"/>
      <c r="BP77" s="1882"/>
      <c r="BQ77" s="1882"/>
      <c r="BR77" s="1882"/>
      <c r="BS77" s="1727"/>
      <c r="BT77" s="969"/>
      <c r="BU77" s="309" t="s">
        <v>564</v>
      </c>
      <c r="BV77" s="1142"/>
      <c r="BW77" s="1142"/>
      <c r="BX77" s="372"/>
      <c r="BY77" s="372"/>
      <c r="BZ77" s="1077" cm="1" t="str">
        <f t="array" ref="BZ77:BZ77">OFFSET(BY77,-1,1)</f>
        <v>ТЭ.42.31656254.0001</v>
      </c>
      <c r="CA77" s="1076"/>
      <c r="CB77" s="1076"/>
      <c r="CC77" s="1076"/>
      <c r="CD77" s="1076"/>
      <c r="CE77" s="1076"/>
      <c r="CF77" s="1076"/>
      <c r="CG77" s="1076"/>
      <c r="CH77" s="1076"/>
      <c r="CI77" s="1077" t="s">
        <v>303</v>
      </c>
      <c r="CJ77" s="1077" t="s">
        <v>565</v>
      </c>
      <c r="CK77" s="1077" t="s">
        <v>566</v>
      </c>
    </row>
    <row s="1751" customFormat="1" customHeight="1" ht="29.25">
      <c r="A78" s="371"/>
      <c r="B78" s="1548"/>
      <c r="C78" s="1548"/>
      <c r="D78" s="1548"/>
      <c r="E78" s="180">
        <v>30</v>
      </c>
      <c r="F78" s="175" cm="1" t="str">
        <f t="array" ref="F78:F78">OFFSET(G78,-1,-1)</f>
        <v>1</v>
      </c>
      <c r="G78" s="175" t="s">
        <v>567</v>
      </c>
      <c r="H78" s="1548"/>
      <c r="I78" s="1548"/>
      <c r="J78" s="1548"/>
      <c r="K78" s="1548"/>
      <c r="L78" s="1548"/>
      <c r="M78" s="1548"/>
      <c r="N78" s="1548"/>
      <c r="O78" s="1548"/>
      <c r="P78" s="1548"/>
      <c r="Q78" s="1548"/>
      <c r="R78" s="1548"/>
      <c r="S78" s="1548"/>
      <c r="T78" s="979">
        <f>AND(F78&gt;0,method_reg&lt;&gt;"Метод экономически обоснованных расходов")</f>
        <v>1</v>
      </c>
      <c r="U78" s="1548"/>
      <c r="V78" s="1548"/>
      <c r="W78" s="1548"/>
      <c r="X78" s="1548"/>
      <c r="Y78" s="1548"/>
      <c r="Z78" s="1548"/>
      <c r="AA78" s="1727"/>
      <c r="AB78" s="412">
        <v>17</v>
      </c>
      <c r="AC78" s="417" t="s">
        <v>568</v>
      </c>
      <c r="AD78" s="418"/>
      <c r="AE78" s="1882">
        <f>0.75</f>
        <v>0.75</v>
      </c>
      <c r="AF78" s="1882">
        <f>0.75</f>
        <v>0.75</v>
      </c>
      <c r="AG78" s="1882">
        <f>0.75</f>
        <v>0.75</v>
      </c>
      <c r="AH78" s="1882">
        <f>0.75</f>
        <v>0.75</v>
      </c>
      <c r="AI78" s="1882">
        <f>0.75</f>
        <v>0.75</v>
      </c>
      <c r="AJ78" s="1882">
        <f>0.75</f>
        <v>0.75</v>
      </c>
      <c r="AK78" s="1882">
        <f>0.75</f>
        <v>0.75</v>
      </c>
      <c r="AL78" s="1882">
        <f>0.75</f>
        <v>0.75</v>
      </c>
      <c r="AM78" s="1882">
        <f>0.75</f>
        <v>0.75</v>
      </c>
      <c r="AN78" s="1882">
        <f>0.75</f>
        <v>0.75</v>
      </c>
      <c r="AO78" s="1882">
        <f>0.75</f>
        <v>0.75</v>
      </c>
      <c r="AP78" s="1882">
        <f>0.75</f>
        <v>0.75</v>
      </c>
      <c r="AQ78" s="1882">
        <f>0.75</f>
        <v>0.75</v>
      </c>
      <c r="AR78" s="1882">
        <f>0.75</f>
        <v>0.75</v>
      </c>
      <c r="AS78" s="1882">
        <f>0.75</f>
        <v>0.75</v>
      </c>
      <c r="AT78" s="1882">
        <f>0.75</f>
        <v>0.75</v>
      </c>
      <c r="AU78" s="1882">
        <f>0.75</f>
        <v>0.75</v>
      </c>
      <c r="AV78" s="1882">
        <f>0.75</f>
        <v>0.75</v>
      </c>
      <c r="AW78" s="1882">
        <f>0.75</f>
        <v>0.75</v>
      </c>
      <c r="AX78" s="1882">
        <f>0.75</f>
        <v>0.75</v>
      </c>
      <c r="AY78" s="396">
        <f>0.75</f>
        <v>0.75</v>
      </c>
      <c r="AZ78" s="1882">
        <f>0.75</f>
        <v>0.75</v>
      </c>
      <c r="BA78" s="1882">
        <f>0.75</f>
        <v>0.75</v>
      </c>
      <c r="BB78" s="1882">
        <f>0.75</f>
        <v>0.75</v>
      </c>
      <c r="BC78" s="1882">
        <f>0.75</f>
        <v>0.75</v>
      </c>
      <c r="BD78" s="1882">
        <f>0.75</f>
        <v>0.75</v>
      </c>
      <c r="BE78" s="1882">
        <f>0.75</f>
        <v>0.75</v>
      </c>
      <c r="BF78" s="1882">
        <f>0.75</f>
        <v>0.75</v>
      </c>
      <c r="BG78" s="1882">
        <f>0.75</f>
        <v>0.75</v>
      </c>
      <c r="BH78" s="1882">
        <f>0.75</f>
        <v>0.75</v>
      </c>
      <c r="BI78" s="1882">
        <f>0.75</f>
        <v>0.75</v>
      </c>
      <c r="BJ78" s="1882">
        <f>0.75</f>
        <v>0.75</v>
      </c>
      <c r="BK78" s="1882">
        <f>0.75</f>
        <v>0.75</v>
      </c>
      <c r="BL78" s="1882">
        <f>0.75</f>
        <v>0.75</v>
      </c>
      <c r="BM78" s="1882">
        <f>0.75</f>
        <v>0.75</v>
      </c>
      <c r="BN78" s="1882">
        <f>0.75</f>
        <v>0.75</v>
      </c>
      <c r="BO78" s="1882">
        <f>0.75</f>
        <v>0.75</v>
      </c>
      <c r="BP78" s="1882">
        <f>0.75</f>
        <v>0.75</v>
      </c>
      <c r="BQ78" s="1882">
        <f>0.75</f>
        <v>0.75</v>
      </c>
      <c r="BR78" s="1882">
        <f>0.75</f>
        <v>0.75</v>
      </c>
      <c r="BS78" s="1727"/>
      <c r="BT78" s="969"/>
      <c r="BU78" s="309" t="s">
        <v>569</v>
      </c>
      <c r="BV78" s="1142"/>
      <c r="BW78" s="1142"/>
      <c r="BX78" s="372"/>
      <c r="BY78" s="372"/>
      <c r="BZ78" s="1077" cm="1" t="str">
        <f t="array" ref="BZ78:BZ78">OFFSET(BY78,-1,1)</f>
        <v>ТЭ.42.31656254.0001</v>
      </c>
      <c r="CA78" s="1076"/>
      <c r="CB78" s="1076"/>
      <c r="CC78" s="1076"/>
      <c r="CD78" s="1076"/>
      <c r="CE78" s="1076"/>
      <c r="CF78" s="1076"/>
      <c r="CG78" s="1076"/>
      <c r="CH78" s="1076"/>
      <c r="CI78" s="1077" t="s">
        <v>303</v>
      </c>
      <c r="CJ78" s="1077" t="s">
        <v>570</v>
      </c>
      <c r="CK78" s="1077" t="s">
        <v>571</v>
      </c>
    </row>
    <row s="1751" customFormat="1" customHeight="1" ht="16.5" hidden="1">
      <c r="A79" s="371"/>
      <c r="B79" s="1548"/>
      <c r="C79" s="1548"/>
      <c r="D79" s="1548"/>
      <c r="E79" s="180">
        <v>17</v>
      </c>
      <c r="F79" s="175" cm="1" t="str">
        <f t="array" ref="F79:F79">OFFSET(G79,-1,-1)</f>
        <v>1</v>
      </c>
      <c r="G79" s="1548"/>
      <c r="H79" s="1548"/>
      <c r="I79" s="1548"/>
      <c r="J79" s="1548"/>
      <c r="K79" s="1548"/>
      <c r="L79" s="1548"/>
      <c r="M79" s="1548"/>
      <c r="N79" s="1548"/>
      <c r="O79" s="1548"/>
      <c r="P79" s="1548"/>
      <c r="Q79" s="1548"/>
      <c r="R79" s="1548"/>
      <c r="S79" s="1548"/>
      <c r="T79" s="979">
        <f>AND(F79&gt;0,Y79&gt;0,method_reg&lt;&gt;"Метод экономически обоснованных расходов")</f>
        <v>0</v>
      </c>
      <c r="U79" s="1548"/>
      <c r="V79" s="1548"/>
      <c r="W79" s="175" t="s">
        <v>189</v>
      </c>
      <c r="X79" s="1548"/>
      <c r="Y79" s="175">
        <v>0</v>
      </c>
      <c r="Z79" s="1548"/>
      <c r="AA79" s="477" t="s">
        <v>171</v>
      </c>
      <c r="AB79" s="402"/>
      <c r="AC79" s="78"/>
      <c r="AD79" s="403" t="s">
        <v>495</v>
      </c>
      <c r="AE79" s="79"/>
      <c r="AF79" s="79"/>
      <c r="AG79" s="79"/>
      <c r="AH79" s="79"/>
      <c r="AI79" s="79"/>
      <c r="AJ79" s="79"/>
      <c r="AK79" s="79"/>
      <c r="AL79" s="79"/>
      <c r="AM79" s="79"/>
      <c r="AN79" s="79"/>
      <c r="AO79" s="79"/>
      <c r="AP79" s="79"/>
      <c r="AQ79" s="79"/>
      <c r="AR79" s="79"/>
      <c r="AS79" s="79"/>
      <c r="AT79" s="79"/>
      <c r="AU79" s="79"/>
      <c r="AV79" s="79"/>
      <c r="AW79" s="79"/>
      <c r="AX79" s="79"/>
      <c r="AY79" s="404"/>
      <c r="AZ79" s="79"/>
      <c r="BA79" s="79"/>
      <c r="BB79" s="79"/>
      <c r="BC79" s="79"/>
      <c r="BD79" s="79"/>
      <c r="BE79" s="79"/>
      <c r="BF79" s="79"/>
      <c r="BG79" s="79"/>
      <c r="BH79" s="79"/>
      <c r="BI79" s="79"/>
      <c r="BJ79" s="79"/>
      <c r="BK79" s="79"/>
      <c r="BL79" s="79"/>
      <c r="BM79" s="79"/>
      <c r="BN79" s="79"/>
      <c r="BO79" s="79"/>
      <c r="BP79" s="79"/>
      <c r="BQ79" s="79"/>
      <c r="BR79" s="79"/>
      <c r="BS79" s="1727"/>
      <c r="BT79" s="969"/>
      <c r="BU79" s="309" t="s">
        <v>572</v>
      </c>
      <c r="BV79" s="309" t="s">
        <v>573</v>
      </c>
      <c r="BW79" s="309" cm="1" t="str">
        <f t="array" ref="BW79:BW79">AC79</f>
        <v>0</v>
      </c>
      <c r="BX79" s="372"/>
      <c r="BY79" s="372" t="b">
        <v>1</v>
      </c>
      <c r="BZ79" s="1077" cm="1" t="str">
        <f t="array" ref="BZ79:BZ79">OFFSET(BY79,-1,1)</f>
        <v>ТЭ.42.31656254.0001</v>
      </c>
      <c r="CA79" s="1076"/>
      <c r="CB79" s="1076"/>
      <c r="CC79" s="1076"/>
      <c r="CD79" s="1076"/>
      <c r="CE79" s="1076"/>
      <c r="CF79" s="1076"/>
      <c r="CG79" s="1076"/>
      <c r="CH79" s="1076" cm="1" t="str">
        <f t="array" ref="CH79:CH79">AC79</f>
        <v>0</v>
      </c>
      <c r="CI79" s="1077" t="s">
        <v>303</v>
      </c>
      <c r="CJ79" s="1077" t="s">
        <v>570</v>
      </c>
      <c r="CK79" s="1077" t="s">
        <v>571</v>
      </c>
    </row>
    <row s="1751" customFormat="1" customHeight="1" ht="16.5">
      <c r="A80" s="371"/>
      <c r="B80" s="1548"/>
      <c r="C80" s="1548"/>
      <c r="D80" s="1548"/>
      <c r="E80" s="180">
        <v>17</v>
      </c>
      <c r="F80" s="175" cm="1" t="str">
        <f t="array" ref="F80:F80">OFFSET(G80,-1,-1)</f>
        <v>1</v>
      </c>
      <c r="G80" s="1548"/>
      <c r="H80" s="1548"/>
      <c r="I80" s="1548"/>
      <c r="J80" s="1548"/>
      <c r="K80" s="1548"/>
      <c r="L80" s="1548"/>
      <c r="M80" s="1548"/>
      <c r="N80" s="1548"/>
      <c r="O80" s="1548"/>
      <c r="P80" s="1548"/>
      <c r="Q80" s="1548"/>
      <c r="R80" s="1548"/>
      <c r="S80" s="1548"/>
      <c r="T80" s="979">
        <f>AND(F80&gt;0,method_reg&lt;&gt;"Метод экономически обоснованных расходов")</f>
        <v>1</v>
      </c>
      <c r="U80" s="1548"/>
      <c r="V80" s="1548"/>
      <c r="W80" s="980" t="s">
        <v>510</v>
      </c>
      <c r="X80" s="1548"/>
      <c r="Y80" s="1548"/>
      <c r="Z80" s="1548"/>
      <c r="AA80" s="1727"/>
      <c r="AB80" s="405"/>
      <c r="AC80" s="406" t="s">
        <v>574</v>
      </c>
      <c r="AD80" s="407"/>
      <c r="AE80" s="407"/>
      <c r="AF80" s="407"/>
      <c r="AG80" s="407"/>
      <c r="AH80" s="407"/>
      <c r="AI80" s="407"/>
      <c r="AJ80" s="407"/>
      <c r="AK80" s="407"/>
      <c r="AL80" s="407"/>
      <c r="AM80" s="407"/>
      <c r="AN80" s="407"/>
      <c r="AO80" s="407"/>
      <c r="AP80" s="407"/>
      <c r="AQ80" s="407"/>
      <c r="AR80" s="407"/>
      <c r="AS80" s="407"/>
      <c r="AT80" s="407"/>
      <c r="AU80" s="407"/>
      <c r="AV80" s="407"/>
      <c r="AW80" s="407"/>
      <c r="AX80" s="407"/>
      <c r="AY80" s="407"/>
      <c r="AZ80" s="407"/>
      <c r="BA80" s="407"/>
      <c r="BB80" s="407"/>
      <c r="BC80" s="407"/>
      <c r="BD80" s="407"/>
      <c r="BE80" s="407"/>
      <c r="BF80" s="407"/>
      <c r="BG80" s="407"/>
      <c r="BH80" s="407"/>
      <c r="BI80" s="407"/>
      <c r="BJ80" s="407"/>
      <c r="BK80" s="407"/>
      <c r="BL80" s="407"/>
      <c r="BM80" s="407"/>
      <c r="BN80" s="407"/>
      <c r="BO80" s="407"/>
      <c r="BP80" s="407"/>
      <c r="BQ80" s="407"/>
      <c r="BR80" s="408"/>
      <c r="BS80" s="1727"/>
      <c r="BT80" s="969"/>
      <c r="BU80" s="1142"/>
      <c r="BV80" s="1142"/>
      <c r="BW80" s="1142"/>
      <c r="BX80" s="372" t="s">
        <v>573</v>
      </c>
      <c r="BY80" s="372"/>
      <c r="BZ80" s="1077" cm="1" t="str">
        <f t="array" ref="BZ80:BZ80">OFFSET(BY80,-1,1)</f>
        <v>ТЭ.42.31656254.0001</v>
      </c>
      <c r="CA80" s="1076"/>
      <c r="CB80" s="1076"/>
      <c r="CC80" s="1076"/>
      <c r="CD80" s="1076"/>
      <c r="CE80" s="1076"/>
      <c r="CF80" s="1076"/>
      <c r="CG80" s="1076"/>
      <c r="CH80" s="1076"/>
      <c r="CI80" s="1076"/>
      <c r="CJ80" s="1076"/>
      <c r="CK80" s="1076"/>
    </row>
    <row s="1751" customFormat="1" customHeight="1" ht="16.5">
      <c r="A81" s="371"/>
      <c r="B81" s="1548"/>
      <c r="C81" s="1548"/>
      <c r="D81" s="1548"/>
      <c r="E81" s="180">
        <v>17</v>
      </c>
      <c r="F81" s="175" cm="1" t="str">
        <f t="array" ref="F81:F81">OFFSET(G81,-1,-1)</f>
        <v>1</v>
      </c>
      <c r="G81" s="1548"/>
      <c r="H81" s="1548"/>
      <c r="I81" s="1548"/>
      <c r="J81" s="1548"/>
      <c r="K81" s="1548"/>
      <c r="L81" s="1548"/>
      <c r="M81" s="1548"/>
      <c r="N81" s="1548"/>
      <c r="O81" s="1548"/>
      <c r="P81" s="1548"/>
      <c r="Q81" s="1548"/>
      <c r="R81" s="1548"/>
      <c r="S81" s="1548"/>
      <c r="T81" s="973">
        <f>F81&gt;0</f>
        <v>1</v>
      </c>
      <c r="U81" s="1548"/>
      <c r="V81" s="1548"/>
      <c r="W81" s="1548"/>
      <c r="X81" s="1548"/>
      <c r="Y81" s="1548"/>
      <c r="Z81" s="1548"/>
      <c r="AA81" s="1727"/>
      <c r="AB81" s="1002">
        <v>18</v>
      </c>
      <c r="AC81" s="391" t="s">
        <v>575</v>
      </c>
      <c r="AD81" s="392"/>
      <c r="AE81" s="419"/>
      <c r="AF81" s="419"/>
      <c r="AG81" s="419"/>
      <c r="AH81" s="419"/>
      <c r="AI81" s="419"/>
      <c r="AJ81" s="419"/>
      <c r="AK81" s="419"/>
      <c r="AL81" s="419"/>
      <c r="AM81" s="419"/>
      <c r="AN81" s="419"/>
      <c r="AO81" s="419"/>
      <c r="AP81" s="419"/>
      <c r="AQ81" s="419"/>
      <c r="AR81" s="419"/>
      <c r="AS81" s="419"/>
      <c r="AT81" s="419"/>
      <c r="AU81" s="419"/>
      <c r="AV81" s="419"/>
      <c r="AW81" s="419"/>
      <c r="AX81" s="419"/>
      <c r="AY81" s="419"/>
      <c r="AZ81" s="419"/>
      <c r="BA81" s="419"/>
      <c r="BB81" s="419"/>
      <c r="BC81" s="419"/>
      <c r="BD81" s="419"/>
      <c r="BE81" s="419"/>
      <c r="BF81" s="419"/>
      <c r="BG81" s="419"/>
      <c r="BH81" s="419"/>
      <c r="BI81" s="419"/>
      <c r="BJ81" s="419"/>
      <c r="BK81" s="419"/>
      <c r="BL81" s="419"/>
      <c r="BM81" s="419"/>
      <c r="BN81" s="419"/>
      <c r="BO81" s="419"/>
      <c r="BP81" s="419"/>
      <c r="BQ81" s="419"/>
      <c r="BR81" s="419"/>
      <c r="BS81" s="1727"/>
      <c r="BT81" s="969"/>
      <c r="BU81" s="1142"/>
      <c r="BV81" s="1142"/>
      <c r="BW81" s="1142"/>
      <c r="BX81" s="372"/>
      <c r="BY81" s="372"/>
      <c r="BZ81" s="1077" cm="1" t="str">
        <f t="array" ref="BZ81:BZ81">OFFSET(BY81,-1,1)</f>
        <v>ТЭ.42.31656254.0001</v>
      </c>
      <c r="CA81" s="1076"/>
      <c r="CB81" s="1076"/>
      <c r="CC81" s="1076"/>
      <c r="CD81" s="1076"/>
      <c r="CE81" s="1076"/>
      <c r="CF81" s="1076"/>
      <c r="CG81" s="1076"/>
      <c r="CH81" s="1076"/>
      <c r="CI81" s="1076"/>
      <c r="CJ81" s="1076"/>
      <c r="CK81" s="1076"/>
    </row>
    <row s="1751" customFormat="1" customHeight="1" ht="16.5">
      <c r="A82" s="371"/>
      <c r="B82" s="1548"/>
      <c r="C82" s="1548"/>
      <c r="D82" s="1548"/>
      <c r="E82" s="180">
        <v>17</v>
      </c>
      <c r="F82" s="175" cm="1" t="str">
        <f t="array" ref="F82:F82">OFFSET(G82,-1,-1)</f>
        <v>1</v>
      </c>
      <c r="G82" s="175" t="s">
        <v>576</v>
      </c>
      <c r="H82" s="1548"/>
      <c r="I82" s="1548"/>
      <c r="J82" s="1548"/>
      <c r="K82" s="1548"/>
      <c r="L82" s="1548"/>
      <c r="M82" s="1548"/>
      <c r="N82" s="1548"/>
      <c r="O82" s="1548"/>
      <c r="P82" s="1548"/>
      <c r="Q82" s="1548"/>
      <c r="R82" s="1548"/>
      <c r="S82" s="1548"/>
      <c r="T82" s="973">
        <f>F82&gt;0</f>
        <v>1</v>
      </c>
      <c r="U82" s="1548"/>
      <c r="V82" s="1548"/>
      <c r="W82" s="1548"/>
      <c r="X82" s="1548"/>
      <c r="Y82" s="1548"/>
      <c r="Z82" s="1548"/>
      <c r="AA82" s="1727"/>
      <c r="AB82" s="339">
        <v>18.1</v>
      </c>
      <c r="AC82" s="420" t="s">
        <v>577</v>
      </c>
      <c r="AD82" s="387" t="s">
        <v>495</v>
      </c>
      <c r="AE82" s="1882">
        <v>30.5</v>
      </c>
      <c r="AF82" s="1882"/>
      <c r="AG82" s="1882"/>
      <c r="AH82" s="1882"/>
      <c r="AI82" s="1882"/>
      <c r="AJ82" s="1882"/>
      <c r="AK82" s="1882"/>
      <c r="AL82" s="1882"/>
      <c r="AM82" s="1882"/>
      <c r="AN82" s="1882"/>
      <c r="AO82" s="1882"/>
      <c r="AP82" s="1882"/>
      <c r="AQ82" s="1882"/>
      <c r="AR82" s="1882"/>
      <c r="AS82" s="1882"/>
      <c r="AT82" s="1882"/>
      <c r="AU82" s="1882"/>
      <c r="AV82" s="1882"/>
      <c r="AW82" s="1882"/>
      <c r="AX82" s="1882"/>
      <c r="AY82" s="396">
        <v>30.2</v>
      </c>
      <c r="AZ82" s="1882"/>
      <c r="BA82" s="1882"/>
      <c r="BB82" s="1882"/>
      <c r="BC82" s="1882"/>
      <c r="BD82" s="1882"/>
      <c r="BE82" s="1882"/>
      <c r="BF82" s="1882"/>
      <c r="BG82" s="1882"/>
      <c r="BH82" s="1882"/>
      <c r="BI82" s="1882"/>
      <c r="BJ82" s="1882"/>
      <c r="BK82" s="1882"/>
      <c r="BL82" s="1882"/>
      <c r="BM82" s="1882"/>
      <c r="BN82" s="1882"/>
      <c r="BO82" s="1882"/>
      <c r="BP82" s="1882"/>
      <c r="BQ82" s="1882"/>
      <c r="BR82" s="1882"/>
      <c r="BS82" s="1727"/>
      <c r="BT82" s="969"/>
      <c r="BU82" s="309" t="s">
        <v>578</v>
      </c>
      <c r="BV82" s="1142"/>
      <c r="BW82" s="1142"/>
      <c r="BX82" s="372"/>
      <c r="BY82" s="372"/>
      <c r="BZ82" s="1077" cm="1" t="str">
        <f t="array" ref="BZ82:BZ82">OFFSET(BY82,-1,1)</f>
        <v>ТЭ.42.31656254.0001</v>
      </c>
      <c r="CA82" s="1076"/>
      <c r="CB82" s="1076"/>
      <c r="CC82" s="1076"/>
      <c r="CD82" s="1076"/>
      <c r="CE82" s="1076"/>
      <c r="CF82" s="1076"/>
      <c r="CG82" s="1076"/>
      <c r="CH82" s="1076"/>
      <c r="CI82" s="1077" t="s">
        <v>303</v>
      </c>
      <c r="CJ82" s="1077" t="s">
        <v>579</v>
      </c>
      <c r="CK82" s="1077" t="s">
        <v>580</v>
      </c>
    </row>
    <row s="1751" customFormat="1" customHeight="1" ht="16.5">
      <c r="A83" s="371"/>
      <c r="B83" s="1548"/>
      <c r="C83" s="1548"/>
      <c r="D83" s="1548"/>
      <c r="E83" s="180">
        <v>17</v>
      </c>
      <c r="F83" s="175" cm="1" t="str">
        <f t="array" ref="F83:F83">OFFSET(G83,-1,-1)</f>
        <v>1</v>
      </c>
      <c r="G83" s="1548"/>
      <c r="H83" s="1548"/>
      <c r="I83" s="1548"/>
      <c r="J83" s="1548"/>
      <c r="K83" s="1548"/>
      <c r="L83" s="1548"/>
      <c r="M83" s="1548"/>
      <c r="N83" s="1548"/>
      <c r="O83" s="1548"/>
      <c r="P83" s="1548"/>
      <c r="Q83" s="1548"/>
      <c r="R83" s="1548"/>
      <c r="S83" s="1548"/>
      <c r="T83" s="973">
        <f>F83&gt;0</f>
        <v>1</v>
      </c>
      <c r="U83" s="1548"/>
      <c r="V83" s="1548"/>
      <c r="W83" s="1548"/>
      <c r="X83" s="1548"/>
      <c r="Y83" s="1548"/>
      <c r="Z83" s="1548"/>
      <c r="AA83" s="1727"/>
      <c r="AB83" s="339">
        <v>18.2</v>
      </c>
      <c r="AC83" s="417" t="s">
        <v>581</v>
      </c>
      <c r="AD83" s="387" t="s">
        <v>495</v>
      </c>
      <c r="AE83" s="1882"/>
      <c r="AF83" s="1882"/>
      <c r="AG83" s="1882"/>
      <c r="AH83" s="1882"/>
      <c r="AI83" s="1882"/>
      <c r="AJ83" s="1882"/>
      <c r="AK83" s="1882"/>
      <c r="AL83" s="1882"/>
      <c r="AM83" s="1882"/>
      <c r="AN83" s="1882"/>
      <c r="AO83" s="1882"/>
      <c r="AP83" s="1882"/>
      <c r="AQ83" s="1882"/>
      <c r="AR83" s="1882"/>
      <c r="AS83" s="1882"/>
      <c r="AT83" s="1882"/>
      <c r="AU83" s="1882"/>
      <c r="AV83" s="1882"/>
      <c r="AW83" s="1882"/>
      <c r="AX83" s="1882"/>
      <c r="AY83" s="396"/>
      <c r="AZ83" s="1882"/>
      <c r="BA83" s="1882"/>
      <c r="BB83" s="1882"/>
      <c r="BC83" s="1882"/>
      <c r="BD83" s="1882"/>
      <c r="BE83" s="1882"/>
      <c r="BF83" s="1882"/>
      <c r="BG83" s="1882"/>
      <c r="BH83" s="1882"/>
      <c r="BI83" s="1882"/>
      <c r="BJ83" s="1882"/>
      <c r="BK83" s="1882"/>
      <c r="BL83" s="1882"/>
      <c r="BM83" s="1882"/>
      <c r="BN83" s="1882"/>
      <c r="BO83" s="1882"/>
      <c r="BP83" s="1882"/>
      <c r="BQ83" s="1882"/>
      <c r="BR83" s="1882"/>
      <c r="BS83" s="1727"/>
      <c r="BT83" s="969"/>
      <c r="BU83" s="309" t="s">
        <v>582</v>
      </c>
      <c r="BV83" s="1142"/>
      <c r="BW83" s="1142"/>
      <c r="BX83" s="372"/>
      <c r="BY83" s="372"/>
      <c r="BZ83" s="1077" cm="1" t="str">
        <f t="array" ref="BZ83:BZ83">OFFSET(BY83,-1,1)</f>
        <v>ТЭ.42.31656254.0001</v>
      </c>
      <c r="CA83" s="1076"/>
      <c r="CB83" s="1076"/>
      <c r="CC83" s="1076"/>
      <c r="CD83" s="1076"/>
      <c r="CE83" s="1076"/>
      <c r="CF83" s="1076"/>
      <c r="CG83" s="1076"/>
      <c r="CH83" s="1076"/>
      <c r="CI83" s="1077" t="s">
        <v>303</v>
      </c>
      <c r="CJ83" s="1077" t="s">
        <v>583</v>
      </c>
      <c r="CK83" s="1077" t="s">
        <v>584</v>
      </c>
    </row>
    <row s="1751" customFormat="1" customHeight="1" ht="16.5">
      <c r="A84" s="371"/>
      <c r="B84" s="1548"/>
      <c r="C84" s="1548"/>
      <c r="D84" s="1548"/>
      <c r="E84" s="180">
        <v>17</v>
      </c>
      <c r="F84" s="175" cm="1" t="str">
        <f t="array" ref="F84:F84">OFFSET(G84,-1,-1)</f>
        <v>1</v>
      </c>
      <c r="G84" s="1548"/>
      <c r="H84" s="1548"/>
      <c r="I84" s="1548"/>
      <c r="J84" s="1548"/>
      <c r="K84" s="1548"/>
      <c r="L84" s="1548"/>
      <c r="M84" s="1548"/>
      <c r="N84" s="1548"/>
      <c r="O84" s="1548"/>
      <c r="P84" s="1548"/>
      <c r="Q84" s="1548"/>
      <c r="R84" s="1548"/>
      <c r="S84" s="1548"/>
      <c r="T84" s="973">
        <f>F84&gt;0</f>
        <v>1</v>
      </c>
      <c r="U84" s="1548"/>
      <c r="V84" s="1548"/>
      <c r="W84" s="1548"/>
      <c r="X84" s="1548"/>
      <c r="Y84" s="1548"/>
      <c r="Z84" s="1548"/>
      <c r="AA84" s="1727"/>
      <c r="AB84" s="339">
        <v>18.3</v>
      </c>
      <c r="AC84" s="417" t="s">
        <v>585</v>
      </c>
      <c r="AD84" s="387" t="s">
        <v>495</v>
      </c>
      <c r="AE84" s="1882"/>
      <c r="AF84" s="1882"/>
      <c r="AG84" s="1882"/>
      <c r="AH84" s="1882"/>
      <c r="AI84" s="1882"/>
      <c r="AJ84" s="1882"/>
      <c r="AK84" s="1882"/>
      <c r="AL84" s="1882"/>
      <c r="AM84" s="1882"/>
      <c r="AN84" s="1882"/>
      <c r="AO84" s="1882"/>
      <c r="AP84" s="1882"/>
      <c r="AQ84" s="1882"/>
      <c r="AR84" s="1882"/>
      <c r="AS84" s="1882"/>
      <c r="AT84" s="1882"/>
      <c r="AU84" s="1882"/>
      <c r="AV84" s="1882"/>
      <c r="AW84" s="1882"/>
      <c r="AX84" s="1882"/>
      <c r="AY84" s="396"/>
      <c r="AZ84" s="1882"/>
      <c r="BA84" s="1882"/>
      <c r="BB84" s="1882"/>
      <c r="BC84" s="1882"/>
      <c r="BD84" s="1882"/>
      <c r="BE84" s="1882"/>
      <c r="BF84" s="1882"/>
      <c r="BG84" s="1882"/>
      <c r="BH84" s="1882"/>
      <c r="BI84" s="1882"/>
      <c r="BJ84" s="1882"/>
      <c r="BK84" s="1882"/>
      <c r="BL84" s="1882"/>
      <c r="BM84" s="1882"/>
      <c r="BN84" s="1882"/>
      <c r="BO84" s="1882"/>
      <c r="BP84" s="1882"/>
      <c r="BQ84" s="1882"/>
      <c r="BR84" s="1882"/>
      <c r="BS84" s="1727"/>
      <c r="BT84" s="969"/>
      <c r="BU84" s="309" t="s">
        <v>586</v>
      </c>
      <c r="BV84" s="1142"/>
      <c r="BW84" s="1142"/>
      <c r="BX84" s="372"/>
      <c r="BY84" s="372"/>
      <c r="BZ84" s="1077" cm="1" t="str">
        <f t="array" ref="BZ84:BZ84">OFFSET(BY84,-1,1)</f>
        <v>ТЭ.42.31656254.0001</v>
      </c>
      <c r="CA84" s="1076"/>
      <c r="CB84" s="1076"/>
      <c r="CC84" s="1076"/>
      <c r="CD84" s="1076"/>
      <c r="CE84" s="1076"/>
      <c r="CF84" s="1076"/>
      <c r="CG84" s="1076"/>
      <c r="CH84" s="1076"/>
      <c r="CI84" s="1077" t="s">
        <v>303</v>
      </c>
      <c r="CJ84" s="1077" t="s">
        <v>587</v>
      </c>
      <c r="CK84" s="1077" t="s">
        <v>588</v>
      </c>
    </row>
    <row s="1751" customFormat="1" customHeight="1" ht="16.5">
      <c r="A85" s="371"/>
      <c r="B85" s="1548"/>
      <c r="C85" s="1548"/>
      <c r="D85" s="1548"/>
      <c r="E85" s="180">
        <v>17</v>
      </c>
      <c r="F85" s="175" cm="1" t="str">
        <f t="array" ref="F85:F85">OFFSET(G85,-1,-1)</f>
        <v>1</v>
      </c>
      <c r="G85" s="1548"/>
      <c r="H85" s="1548"/>
      <c r="I85" s="1548"/>
      <c r="J85" s="1548"/>
      <c r="K85" s="1548"/>
      <c r="L85" s="1548"/>
      <c r="M85" s="1548"/>
      <c r="N85" s="1548"/>
      <c r="O85" s="1548"/>
      <c r="P85" s="1548"/>
      <c r="Q85" s="1548"/>
      <c r="R85" s="1548"/>
      <c r="S85" s="1548"/>
      <c r="T85" s="973">
        <f>F85&gt;0</f>
        <v>1</v>
      </c>
      <c r="U85" s="1548"/>
      <c r="V85" s="1548"/>
      <c r="W85" s="1548"/>
      <c r="X85" s="1548"/>
      <c r="Y85" s="1548"/>
      <c r="Z85" s="1548"/>
      <c r="AA85" s="1727"/>
      <c r="AB85" s="339">
        <v>18.4</v>
      </c>
      <c r="AC85" s="417" t="s">
        <v>589</v>
      </c>
      <c r="AD85" s="387" t="s">
        <v>495</v>
      </c>
      <c r="AE85" s="1882"/>
      <c r="AF85" s="1882"/>
      <c r="AG85" s="1882"/>
      <c r="AH85" s="1882"/>
      <c r="AI85" s="1882"/>
      <c r="AJ85" s="1882"/>
      <c r="AK85" s="1882"/>
      <c r="AL85" s="1882"/>
      <c r="AM85" s="1882"/>
      <c r="AN85" s="1882"/>
      <c r="AO85" s="1882"/>
      <c r="AP85" s="1882"/>
      <c r="AQ85" s="1882"/>
      <c r="AR85" s="1882"/>
      <c r="AS85" s="1882"/>
      <c r="AT85" s="1882"/>
      <c r="AU85" s="1882"/>
      <c r="AV85" s="1882"/>
      <c r="AW85" s="1882"/>
      <c r="AX85" s="1882"/>
      <c r="AY85" s="396"/>
      <c r="AZ85" s="1882"/>
      <c r="BA85" s="1882"/>
      <c r="BB85" s="1882"/>
      <c r="BC85" s="1882"/>
      <c r="BD85" s="1882"/>
      <c r="BE85" s="1882"/>
      <c r="BF85" s="1882"/>
      <c r="BG85" s="1882"/>
      <c r="BH85" s="1882"/>
      <c r="BI85" s="1882"/>
      <c r="BJ85" s="1882"/>
      <c r="BK85" s="1882"/>
      <c r="BL85" s="1882"/>
      <c r="BM85" s="1882"/>
      <c r="BN85" s="1882"/>
      <c r="BO85" s="1882"/>
      <c r="BP85" s="1882"/>
      <c r="BQ85" s="1882"/>
      <c r="BR85" s="1882"/>
      <c r="BS85" s="1727"/>
      <c r="BT85" s="969"/>
      <c r="BU85" s="309" t="s">
        <v>590</v>
      </c>
      <c r="BV85" s="1142"/>
      <c r="BW85" s="1142"/>
      <c r="BX85" s="372"/>
      <c r="BY85" s="372"/>
      <c r="BZ85" s="1077" cm="1" t="str">
        <f t="array" ref="BZ85:BZ85">OFFSET(BY85,-1,1)</f>
        <v>ТЭ.42.31656254.0001</v>
      </c>
      <c r="CA85" s="1076"/>
      <c r="CB85" s="1076"/>
      <c r="CC85" s="1076"/>
      <c r="CD85" s="1076"/>
      <c r="CE85" s="1076"/>
      <c r="CF85" s="1076"/>
      <c r="CG85" s="1076"/>
      <c r="CH85" s="1076"/>
      <c r="CI85" s="1077" t="s">
        <v>303</v>
      </c>
      <c r="CJ85" s="1077" t="s">
        <v>591</v>
      </c>
      <c r="CK85" s="1077" t="s">
        <v>592</v>
      </c>
    </row>
    <row customHeight="1" ht="10.725000000000001">
      <c r="E86" s="180">
        <v>11</v>
      </c>
      <c r="U86" s="175" t="s">
        <v>191</v>
      </c>
      <c r="V86" s="176" t="s">
        <v>593</v>
      </c>
      <c r="AC86" s="318"/>
      <c r="AF86" s="1727"/>
      <c r="AG86" s="1727"/>
      <c r="AH86" s="1727"/>
      <c r="AI86" s="1727"/>
      <c r="AJ86" s="1727"/>
      <c r="AK86" s="1727"/>
      <c r="AL86" s="1727"/>
      <c r="AM86" s="1727"/>
      <c r="AN86" s="1727"/>
      <c r="AO86" s="1727"/>
      <c r="AP86" s="1727"/>
      <c r="AQ86" s="1727"/>
      <c r="AR86" s="1727"/>
      <c r="AS86" s="1727"/>
      <c r="AT86" s="1727"/>
      <c r="AU86" s="1727"/>
      <c r="AV86" s="1727"/>
      <c r="AW86" s="1727"/>
      <c r="AX86" s="1727"/>
      <c r="AY86" s="1727"/>
      <c r="AZ86" s="1727"/>
      <c r="BA86" s="1727"/>
      <c r="BB86" s="1727"/>
      <c r="BC86" s="1727"/>
      <c r="BD86" s="1727"/>
      <c r="BE86" s="1727"/>
      <c r="BF86" s="1727"/>
      <c r="BG86" s="1727"/>
      <c r="BH86" s="1727"/>
      <c r="BI86" s="1727"/>
      <c r="BJ86" s="1727"/>
      <c r="BK86" s="1727"/>
      <c r="BL86" s="1727"/>
      <c r="BM86" s="1727"/>
      <c r="BN86" s="1727"/>
      <c r="BO86" s="1727"/>
      <c r="BP86" s="1727"/>
      <c r="BQ86" s="1727"/>
      <c r="BR86" s="1727"/>
      <c r="BS86" s="318"/>
    </row>
    <row customHeight="1" ht="10.725000000000001" hidden="1">
      <c r="E87" s="180">
        <v>11</v>
      </c>
      <c r="AC87" s="318"/>
      <c r="AF87" s="1727"/>
      <c r="AG87" s="1727"/>
      <c r="AH87" s="1727"/>
      <c r="AI87" s="1727"/>
      <c r="AJ87" s="1727"/>
      <c r="AK87" s="1727"/>
      <c r="AL87" s="1727"/>
      <c r="AM87" s="1727"/>
      <c r="AN87" s="1727"/>
      <c r="AO87" s="1727"/>
      <c r="AP87" s="1727"/>
      <c r="AQ87" s="1727"/>
      <c r="AR87" s="1727"/>
      <c r="AS87" s="1727"/>
      <c r="AT87" s="1727"/>
      <c r="AU87" s="1727"/>
      <c r="AV87" s="1727"/>
      <c r="AW87" s="1727"/>
      <c r="AX87" s="1727"/>
      <c r="AY87" s="1727"/>
      <c r="AZ87" s="1727"/>
      <c r="BA87" s="1727"/>
      <c r="BB87" s="1727"/>
      <c r="BC87" s="1727"/>
      <c r="BD87" s="1727"/>
      <c r="BE87" s="1727"/>
      <c r="BF87" s="1727"/>
      <c r="BG87" s="1727"/>
      <c r="BH87" s="1727"/>
      <c r="BI87" s="1727"/>
      <c r="BJ87" s="1727"/>
      <c r="BK87" s="1727"/>
      <c r="BL87" s="1727"/>
      <c r="BM87" s="1727"/>
      <c r="BN87" s="1727"/>
      <c r="BO87" s="1727"/>
      <c r="BP87" s="1727"/>
      <c r="BQ87" s="1727"/>
      <c r="BR87" s="1727"/>
    </row>
  </sheetData>
  <sheetProtection formatColumns="0" formatRows="0" insertRows="0" deleteColumns="0" deleteRows="0" sort="0" autoFilter="0" insertColumns="1"/>
  <mergeCells count="7">
    <mergeCell ref="AB24:AB25"/>
    <mergeCell ref="AC24:AC25"/>
    <mergeCell ref="AD24:AD25"/>
    <mergeCell ref="Z28:Z56"/>
    <mergeCell ref="X28:X56"/>
    <mergeCell ref="Z57:Z85"/>
    <mergeCell ref="X57:X85"/>
  </mergeCells>
  <dataValidations count="2">
    <dataValidation type="decimal" allowBlank="1" showErrorMessage="1" errorTitle="Ошибка" error="Допускается ввод только неотрицательных чисел!" sqref="AE31:BR32 AE60 AF60 AG60 AH60 AI60 AJ60 AK60 AL60 AM60 AN60 AO60 AP60 AQ60 AR60 AS60 AT60 AU60 AV60 AW60 AX60 AY60 AZ60 BA60 BB60 BC60 BD60 BE60 BF60 BG60 BH60 BI60 BJ60 BK60 BL60 BM60 BN60 BO60 BP60 BQ60 BR60 AE61 AF61 AG61 AH61 AI61 AJ61 AK61 AL61 AM61 AN61 AO61 AP61 AQ61 AR61 AS61 AT61 AU61 AV61 AW61 AX61 AY61 AZ61 BA61 BB61 BC61 BD61 BE61 BF61 BG61 BH61 BI61 BJ61 BK61 BL61 BM61 BN61 BO61 BP61 BQ61 BR61">
      <formula1>0</formula1>
      <formula2>9.99999999999999E+23</formula2>
    </dataValidation>
    <dataValidation type="decimal" allowBlank="1" showErrorMessage="1" errorTitle="Ошибка" error="Допускается ввод только действительных чисел!" sqref="AE26:BR26 AE35:BR50 BR53:BR56 BR59 BR62 BR64:BR79 BR82:BR85 BQ53:BQ56 BQ59 BQ62 BQ64:BQ79 BQ82:BQ85 BP53:BP56 BP59 BP62 BP64:BP79 BP82:BP85 BO53:BO56 BO59 BO62 BO64:BO79 BO82:BO85 BN53:BN56 BN59 BN62 BN64:BN79 BN82:BN85 BM53:BM56 BM59 BM62 BM64:BM79 BM82:BM85 BL53:BL56 BL59 BL62 BL64:BL79 BL82:BL85 BK53:BK56 BK59 BK62 BK64:BK79 BK82:BK85 BJ53:BJ56 BJ59 BJ62 BJ64:BJ79 BJ82:BJ85 BI53:BI56 BI59 BI62 BI64:BI79 BI82:BI85 BH53:BH56 BH59 BH62 BH64:BH79 BH82:BH85 BG53:BG56 BG59 BG62 BG64:BG79 BG82:BG85 BF53:BF56 BF59 BF62 BF64:BF79 BF82:BF85 BE53:BE56 BE59 BE62 BE64:BE79 BE82:BE85 BD53:BD56 BD59 BD62 BD64:BD79 BD82:BD85 BC53:BC56 BC59 BC62 BC64:BC79 BC82:BC85 BB53:BB56 BB59 BB62 BB64:BB79 BB82:BB85 BA53:BA56 BA59 BA62 BA64:BA79 BA82:BA85 AZ53:AZ56 AZ59 AZ62 AZ64:AZ79 AZ82:AZ85 AY53:AY56 AY59 AY62 AY64:AY79 AY82:AY85 AX53:AX56 AX59 AX62 AX64:AX79 AX82:AX85 AW53:AW56 AW59 AW62 AW64:AW79 AW82:AW85 AV53:AV56 AV59 AV62 AV64:AV79 AV82:AV85 AU53:AU56 AU59 AU62 AU64:AU79 AU82:AU85 AT53:AT56 AT59 AT62 AT64:AT79 AT82:AT85 AS53:AS56 AS59 AS62 AS64:AS79 AS82:AS85 AR53:AR56 AR59 AR62 AR64:AR79 AR82:AR85 AQ53:AQ56 AQ59 AQ62 AQ64:AQ79 AQ82:AQ85 AP53:AP56 AP59 AP62 AP64:AP79 AP82:AP85 AO53:AO56 AO59 AO62 AO64:AO79 AO82:AO85 AN53:AN56 AN59 AN62 AN64:AN79 AN82:AN85 AM53:AM56 AM59 AM62 AM64:AM79 AM82:AM85 AL53:AL56 AL59 AL62 AL64:AL79 AL82:AL85 AK53:AK56 AK59 AK62 AK64:AK79 AK82:AK85 AJ53:AJ56 AJ59 AJ62 AJ64:AJ79 AJ82:AJ85 AI53:AI56 AI59 AI62 AI64:AI79 AI82:AI85 AH53:AH56 AH59 AH62 AH64:AH79 AH82:AH85 AG53:AG56 AG59 AG62 AG64:AG79 AG82:AG85 AF53:AF56 AF59 AF62 AF64:AF79 AF82:AF85 AE53:AE56 AE59 AE62 AE64:AE79 AE82:AE85 AE33:BR33 AE30:BR30">
      <formula1>-9.99999999999999E+23</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F01A8-6A03-6006-8AD8-97A1204196F1}" mc:Ignorable="x14ac xr xr2 xr3">
  <sheetPr>
    <tabColor theme="3" tint="0.6"/>
    <outlinePr summaryRight="0" summaryBelow="0"/>
    <pageSetUpPr fitToPage="1"/>
  </sheetPr>
  <dimension ref="A1:CD43"/>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8" style="1548" width="3.57421875" hidden="1" customWidth="1"/>
    <col min="19" max="19" style="1548" width="5.8515625" hidden="1" customWidth="1"/>
    <col min="20" max="20" style="1548" width="3.57421875" hidden="1" customWidth="1"/>
    <col min="21" max="21" style="1548" width="6.7109375" hidden="1" customWidth="1"/>
    <col min="22" max="22" style="1548" width="6.00390625" hidden="1" customWidth="1"/>
    <col min="23" max="23" style="1548" width="6.28125" hidden="1" customWidth="1"/>
    <col min="24" max="24" style="1548" width="6.421875" hidden="1" customWidth="1"/>
    <col min="25" max="25" style="1548" width="5.8515625" hidden="1" customWidth="1"/>
    <col min="26" max="26" style="1548" width="5.421875" hidden="1" customWidth="1"/>
    <col min="27" max="27" style="1727" width="3.00390625" customWidth="1"/>
    <col min="28" max="28" style="183" width="6.00390625" customWidth="1"/>
    <col min="29" max="29" style="421" width="52.00390625" customWidth="1"/>
    <col min="30" max="30" style="421" width="28.00390625" customWidth="1"/>
    <col min="31" max="31" style="1727" width="14.00390625" customWidth="1"/>
    <col min="32" max="34" style="1727" width="15.00390625" customWidth="1"/>
    <col min="35" max="51" style="1727" width="15.00390625" hidden="1" customWidth="1"/>
    <col min="52" max="54" style="1727" width="15.00390625" customWidth="1"/>
    <col min="55" max="71" style="1727" width="15.00390625" hidden="1" customWidth="1"/>
    <col min="72" max="72" style="1727" width="3.00390625" customWidth="1"/>
    <col min="73" max="73" style="969" width="9.140625" hidden="1"/>
    <col min="74" max="74" style="1145" width="9.140625" hidden="1"/>
    <col min="75" max="82" width="9.140625" hidden="1"/>
  </cols>
  <sheetData>
    <row s="1548" customFormat="1" customHeight="1" ht="11.25" hidden="1">
      <c r="A1" s="371"/>
      <c r="F1" s="753" t="s">
        <v>84</v>
      </c>
      <c r="U1" s="753" t="s">
        <v>85</v>
      </c>
      <c r="V1" s="753" t="s">
        <v>91</v>
      </c>
      <c r="W1" s="753" t="s">
        <v>86</v>
      </c>
      <c r="Y1" s="753" t="s">
        <v>88</v>
      </c>
      <c r="Z1" s="753" t="s">
        <v>93</v>
      </c>
      <c r="AG1" s="1548"/>
      <c r="AH1" s="1548"/>
      <c r="AI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V1" s="1143" t="s">
        <v>336</v>
      </c>
      <c r="BW1" s="1150" t="s">
        <v>94</v>
      </c>
      <c r="BX1" s="1150" t="s">
        <v>594</v>
      </c>
      <c r="BY1" s="1150" t="s">
        <v>409</v>
      </c>
      <c r="BZ1" s="1150" t="s">
        <v>595</v>
      </c>
      <c r="CA1" s="1150" t="s">
        <v>97</v>
      </c>
      <c r="CB1" s="1150" t="s">
        <v>112</v>
      </c>
      <c r="CC1" s="1150" t="s">
        <v>113</v>
      </c>
      <c r="CD1" s="1150" t="s">
        <v>114</v>
      </c>
    </row>
    <row s="1548" customFormat="1" customHeight="1" ht="11.25" hidden="1">
      <c r="A2" s="371"/>
      <c r="B2" s="179" t="s">
        <v>16</v>
      </c>
      <c r="AC2" s="176"/>
      <c r="AD2" s="176"/>
      <c r="AF2" s="179" cm="1" t="str">
        <f t="array" ref="AF2:AF2">isOrgDeclare</f>
        <v>true</v>
      </c>
      <c r="AG2" s="179">
        <f>AND(AG9&lt;=last_year_vis,isOrgDeclare)</f>
        <v>1</v>
      </c>
      <c r="AH2" s="179">
        <f>AND(AH9&lt;=last_year_vis,isOrgDeclare)</f>
        <v>1</v>
      </c>
      <c r="AI2" s="179">
        <f>AND(AI9&lt;=last_year_vis,isOrgDeclare)</f>
        <v>0</v>
      </c>
      <c r="AJ2" s="179">
        <f>AND(AJ9&lt;=last_year_vis,isOrgDeclare)</f>
        <v>0</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AZ9&lt;=last_year_vis</f>
        <v>1</v>
      </c>
      <c r="BA2" s="179">
        <f>BA9&lt;=last_year_vis</f>
        <v>1</v>
      </c>
      <c r="BB2" s="179">
        <f>BB9&lt;=last_year_vis</f>
        <v>1</v>
      </c>
      <c r="BC2" s="179">
        <f>BC9&lt;=last_year_vis</f>
        <v>0</v>
      </c>
      <c r="BD2" s="179">
        <f>BD9&lt;=last_year_vis</f>
        <v>0</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V2" s="1142"/>
      <c r="BW2" s="1066"/>
      <c r="BX2" s="1066"/>
      <c r="BY2" s="1066"/>
      <c r="BZ2" s="1066"/>
      <c r="CA2" s="1066"/>
      <c r="CB2" s="1066"/>
      <c r="CC2" s="1066"/>
      <c r="CD2" s="1066"/>
    </row>
    <row s="1548" customFormat="1" customHeight="1" ht="11.25" hidden="1">
      <c r="A3" s="371"/>
      <c r="AC3" s="176"/>
      <c r="AD3" s="176"/>
      <c r="AG3" s="1548"/>
      <c r="AH3" s="1548"/>
      <c r="AI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V3" s="1142"/>
      <c r="BW3" s="277"/>
      <c r="BX3" s="277"/>
      <c r="BY3" s="277"/>
      <c r="BZ3" s="277"/>
      <c r="CA3" s="277"/>
      <c r="CB3" s="277"/>
      <c r="CC3" s="277"/>
      <c r="CD3" s="277"/>
    </row>
    <row s="1548" customFormat="1" customHeight="1" ht="11.25" hidden="1">
      <c r="A4" s="371"/>
      <c r="AC4" s="176"/>
      <c r="AD4" s="176"/>
      <c r="AG4" s="1548"/>
      <c r="AH4" s="1548"/>
      <c r="AI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V4" s="1142"/>
      <c r="BW4" s="277"/>
      <c r="BX4" s="277"/>
      <c r="BY4" s="277"/>
      <c r="BZ4" s="277"/>
      <c r="CA4" s="277"/>
      <c r="CB4" s="277"/>
      <c r="CC4" s="277"/>
      <c r="CD4" s="277"/>
    </row>
    <row s="1718" customFormat="1" customHeight="1" ht="11.25" hidden="1">
      <c r="A5" s="371"/>
      <c r="B5" s="175"/>
      <c r="C5" s="175"/>
      <c r="D5" s="175"/>
      <c r="E5" s="180" t="s">
        <v>17</v>
      </c>
      <c r="AA5" s="284">
        <v>3</v>
      </c>
      <c r="AB5" s="180">
        <v>6</v>
      </c>
      <c r="AC5" s="284">
        <v>52</v>
      </c>
      <c r="AD5" s="284">
        <v>28</v>
      </c>
      <c r="AE5" s="180">
        <v>14</v>
      </c>
      <c r="AF5" s="180">
        <v>15</v>
      </c>
      <c r="AG5" s="180">
        <v>15</v>
      </c>
      <c r="AH5" s="180">
        <v>15</v>
      </c>
      <c r="AI5" s="180">
        <v>15</v>
      </c>
      <c r="AJ5" s="180">
        <v>15</v>
      </c>
      <c r="AK5" s="180">
        <v>15</v>
      </c>
      <c r="AL5" s="180">
        <v>15</v>
      </c>
      <c r="AM5" s="180">
        <v>15</v>
      </c>
      <c r="AN5" s="180">
        <v>15</v>
      </c>
      <c r="AO5" s="180">
        <v>15</v>
      </c>
      <c r="AP5" s="180">
        <v>15</v>
      </c>
      <c r="AQ5" s="180">
        <v>15</v>
      </c>
      <c r="AR5" s="180">
        <v>15</v>
      </c>
      <c r="AS5" s="180">
        <v>15</v>
      </c>
      <c r="AT5" s="180">
        <v>15</v>
      </c>
      <c r="AU5" s="180">
        <v>15</v>
      </c>
      <c r="AV5" s="180">
        <v>15</v>
      </c>
      <c r="AW5" s="180">
        <v>15</v>
      </c>
      <c r="AX5" s="180">
        <v>15</v>
      </c>
      <c r="AY5" s="180">
        <v>15</v>
      </c>
      <c r="AZ5" s="180">
        <v>15</v>
      </c>
      <c r="BA5" s="180">
        <v>15</v>
      </c>
      <c r="BB5" s="180">
        <v>15</v>
      </c>
      <c r="BC5" s="180">
        <v>15</v>
      </c>
      <c r="BD5" s="180">
        <v>15</v>
      </c>
      <c r="BE5" s="180">
        <v>15</v>
      </c>
      <c r="BF5" s="180">
        <v>15</v>
      </c>
      <c r="BG5" s="180">
        <v>15</v>
      </c>
      <c r="BH5" s="180">
        <v>15</v>
      </c>
      <c r="BI5" s="180">
        <v>15</v>
      </c>
      <c r="BJ5" s="180">
        <v>15</v>
      </c>
      <c r="BK5" s="180">
        <v>15</v>
      </c>
      <c r="BL5" s="180">
        <v>15</v>
      </c>
      <c r="BM5" s="180">
        <v>15</v>
      </c>
      <c r="BN5" s="180">
        <v>15</v>
      </c>
      <c r="BO5" s="180">
        <v>15</v>
      </c>
      <c r="BP5" s="180">
        <v>15</v>
      </c>
      <c r="BQ5" s="180">
        <v>15</v>
      </c>
      <c r="BR5" s="180">
        <v>15</v>
      </c>
      <c r="BS5" s="180">
        <v>15</v>
      </c>
      <c r="BT5" s="180">
        <v>3</v>
      </c>
      <c r="BV5" s="1142"/>
      <c r="BW5" s="1067"/>
      <c r="BX5" s="1067"/>
      <c r="BY5" s="1067"/>
      <c r="BZ5" s="1067"/>
      <c r="CA5" s="1067"/>
      <c r="CB5" s="1067"/>
      <c r="CC5" s="1067"/>
      <c r="CD5" s="1067"/>
    </row>
    <row s="1548" customFormat="1" customHeight="1" ht="11.25" hidden="1">
      <c r="A6" s="371"/>
      <c r="E6" s="180"/>
      <c r="AC6" s="176"/>
      <c r="AD6" s="176"/>
      <c r="AG6" s="1548"/>
      <c r="AH6" s="1548"/>
      <c r="AI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V6" s="1142"/>
      <c r="BW6" s="277"/>
      <c r="BX6" s="277"/>
      <c r="BY6" s="277"/>
      <c r="BZ6" s="277"/>
      <c r="CA6" s="277"/>
      <c r="CB6" s="277"/>
      <c r="CC6" s="277"/>
      <c r="CD6" s="277"/>
    </row>
    <row s="1659" customFormat="1" customHeight="1" ht="11.25" hidden="1">
      <c r="A7" s="371"/>
      <c r="B7" s="175"/>
      <c r="C7" s="175"/>
      <c r="D7" s="175"/>
      <c r="E7" s="180"/>
      <c r="G7" s="175"/>
      <c r="H7" s="175"/>
      <c r="I7" s="175"/>
      <c r="J7" s="175"/>
      <c r="K7" s="175"/>
      <c r="L7" s="175"/>
      <c r="M7" s="175"/>
      <c r="N7" s="175"/>
      <c r="O7" s="175"/>
      <c r="P7" s="175"/>
      <c r="Q7" s="175"/>
      <c r="R7" s="175"/>
      <c r="S7" s="175"/>
      <c r="T7" s="175"/>
      <c r="AC7" s="308"/>
      <c r="AD7" s="308"/>
      <c r="AG7" s="1659"/>
      <c r="AH7" s="1659"/>
      <c r="AI7" s="1659"/>
      <c r="AJ7" s="1659"/>
      <c r="AK7" s="1659"/>
      <c r="AL7" s="1659"/>
      <c r="AM7" s="1659"/>
      <c r="AN7" s="1659"/>
      <c r="AO7" s="1659"/>
      <c r="AP7" s="1659"/>
      <c r="AQ7" s="1659"/>
      <c r="AR7" s="1659"/>
      <c r="AS7" s="1659"/>
      <c r="AT7" s="1659"/>
      <c r="AU7" s="1659"/>
      <c r="AV7" s="1659"/>
      <c r="AW7" s="1659"/>
      <c r="AX7" s="1659"/>
      <c r="AY7" s="1659"/>
      <c r="AZ7" s="1659"/>
      <c r="BA7" s="1659"/>
      <c r="BB7" s="1659"/>
      <c r="BC7" s="1659"/>
      <c r="BD7" s="1659"/>
      <c r="BE7" s="1659"/>
      <c r="BF7" s="1659"/>
      <c r="BG7" s="1659"/>
      <c r="BH7" s="1659"/>
      <c r="BI7" s="1659"/>
      <c r="BJ7" s="1659"/>
      <c r="BK7" s="1659"/>
      <c r="BL7" s="1659"/>
      <c r="BM7" s="1659"/>
      <c r="BN7" s="1659"/>
      <c r="BO7" s="1659"/>
      <c r="BP7" s="1659"/>
      <c r="BQ7" s="1659"/>
      <c r="BR7" s="1659"/>
      <c r="BS7" s="1659"/>
      <c r="BV7" s="1142"/>
      <c r="BW7" s="286"/>
      <c r="BX7" s="286"/>
      <c r="BY7" s="286"/>
      <c r="BZ7" s="286"/>
      <c r="CA7" s="286"/>
      <c r="CB7" s="286"/>
      <c r="CC7" s="286"/>
      <c r="CD7" s="286"/>
    </row>
    <row s="1659" customFormat="1" customHeight="1" ht="11.25" hidden="1">
      <c r="A8" s="371"/>
      <c r="B8" s="175"/>
      <c r="C8" s="175"/>
      <c r="D8" s="175"/>
      <c r="E8" s="180"/>
      <c r="G8" s="175"/>
      <c r="H8" s="175"/>
      <c r="I8" s="175"/>
      <c r="J8" s="175"/>
      <c r="K8" s="175"/>
      <c r="L8" s="175"/>
      <c r="M8" s="175"/>
      <c r="N8" s="175"/>
      <c r="O8" s="175"/>
      <c r="P8" s="175"/>
      <c r="Q8" s="175"/>
      <c r="R8" s="175"/>
      <c r="S8" s="175"/>
      <c r="T8" s="175"/>
      <c r="AC8" s="308"/>
      <c r="AD8" s="308"/>
      <c r="AG8" s="1659"/>
      <c r="AH8" s="1659"/>
      <c r="AI8" s="1659"/>
      <c r="AJ8" s="1659"/>
      <c r="AK8" s="1659"/>
      <c r="AL8" s="1659"/>
      <c r="AM8" s="1659"/>
      <c r="AN8" s="1659"/>
      <c r="AO8" s="1659"/>
      <c r="AP8" s="1659"/>
      <c r="AQ8" s="1659"/>
      <c r="AR8" s="1659"/>
      <c r="AS8" s="1659"/>
      <c r="AT8" s="1659"/>
      <c r="AU8" s="1659"/>
      <c r="AV8" s="1659"/>
      <c r="AW8" s="1659"/>
      <c r="AX8" s="1659"/>
      <c r="AY8" s="1659"/>
      <c r="AZ8" s="1659"/>
      <c r="BA8" s="1659"/>
      <c r="BB8" s="1659"/>
      <c r="BC8" s="1659"/>
      <c r="BD8" s="1659"/>
      <c r="BE8" s="1659"/>
      <c r="BF8" s="1659"/>
      <c r="BG8" s="1659"/>
      <c r="BH8" s="1659"/>
      <c r="BI8" s="1659"/>
      <c r="BJ8" s="1659"/>
      <c r="BK8" s="1659"/>
      <c r="BL8" s="1659"/>
      <c r="BM8" s="1659"/>
      <c r="BN8" s="1659"/>
      <c r="BO8" s="1659"/>
      <c r="BP8" s="1659"/>
      <c r="BQ8" s="1659"/>
      <c r="BR8" s="1659"/>
      <c r="BS8" s="1659"/>
      <c r="BV8" s="1142"/>
      <c r="BW8" s="286"/>
      <c r="BX8" s="286"/>
      <c r="BY8" s="286"/>
      <c r="BZ8" s="286"/>
      <c r="CA8" s="286"/>
      <c r="CB8" s="286"/>
      <c r="CC8" s="286"/>
      <c r="CD8" s="286"/>
    </row>
    <row s="1143" customFormat="1" customHeight="1" ht="11.25" hidden="1">
      <c r="A9" s="1142" t="s">
        <v>403</v>
      </c>
      <c r="AF9" s="1143" cm="1" t="str">
        <f t="array" ref="AF9:AF9">first_year</f>
        <v>2025</v>
      </c>
      <c r="AG9" s="1143">
        <f>first_year+1</f>
        <v>2026</v>
      </c>
      <c r="AH9" s="1143">
        <f>first_year+2</f>
        <v>2027</v>
      </c>
      <c r="AI9" s="1143">
        <f>first_year+3</f>
        <v>2028</v>
      </c>
      <c r="AJ9" s="1143">
        <f>first_year+4</f>
        <v>2029</v>
      </c>
      <c r="AK9" s="1143">
        <f>first_year+5</f>
        <v>2030</v>
      </c>
      <c r="AL9" s="1143">
        <f>first_year+6</f>
        <v>2031</v>
      </c>
      <c r="AM9" s="1143">
        <f>first_year+7</f>
        <v>2032</v>
      </c>
      <c r="AN9" s="1143">
        <f>first_year+8</f>
        <v>2033</v>
      </c>
      <c r="AO9" s="1143">
        <f>first_year+9</f>
        <v>2034</v>
      </c>
      <c r="AP9" s="1143">
        <f>first_year+10</f>
        <v>2035</v>
      </c>
      <c r="AQ9" s="1143">
        <f>first_year+11</f>
        <v>2036</v>
      </c>
      <c r="AR9" s="1143">
        <f>first_year+12</f>
        <v>2037</v>
      </c>
      <c r="AS9" s="1143">
        <f>first_year+13</f>
        <v>2038</v>
      </c>
      <c r="AT9" s="1143">
        <f>first_year+14</f>
        <v>2039</v>
      </c>
      <c r="AU9" s="1143">
        <f>first_year+15</f>
        <v>2040</v>
      </c>
      <c r="AV9" s="1143">
        <f>first_year+16</f>
        <v>2041</v>
      </c>
      <c r="AW9" s="1143">
        <f>first_year+17</f>
        <v>2042</v>
      </c>
      <c r="AX9" s="1143">
        <f>first_year+18</f>
        <v>2043</v>
      </c>
      <c r="AY9" s="1143">
        <f>first_year+19</f>
        <v>2044</v>
      </c>
      <c r="AZ9" s="1143" cm="1" t="str">
        <f t="array" ref="AZ9:AZ9">first_year</f>
        <v>2025</v>
      </c>
      <c r="BA9" s="1143">
        <f>first_year+1</f>
        <v>2026</v>
      </c>
      <c r="BB9" s="1143">
        <f>first_year+2</f>
        <v>2027</v>
      </c>
      <c r="BC9" s="1143">
        <f>first_year+3</f>
        <v>2028</v>
      </c>
      <c r="BD9" s="1143">
        <f>first_year+4</f>
        <v>2029</v>
      </c>
      <c r="BE9" s="1143">
        <f>first_year+5</f>
        <v>2030</v>
      </c>
      <c r="BF9" s="1143">
        <f>first_year+6</f>
        <v>2031</v>
      </c>
      <c r="BG9" s="1143">
        <f>first_year+7</f>
        <v>2032</v>
      </c>
      <c r="BH9" s="1143">
        <f>first_year+8</f>
        <v>2033</v>
      </c>
      <c r="BI9" s="1143">
        <f>first_year+9</f>
        <v>2034</v>
      </c>
      <c r="BJ9" s="1143">
        <f>first_year+10</f>
        <v>2035</v>
      </c>
      <c r="BK9" s="1143">
        <f>first_year+11</f>
        <v>2036</v>
      </c>
      <c r="BL9" s="1143">
        <f>first_year+12</f>
        <v>2037</v>
      </c>
      <c r="BM9" s="1143">
        <f>first_year+13</f>
        <v>2038</v>
      </c>
      <c r="BN9" s="1143">
        <f>first_year+14</f>
        <v>2039</v>
      </c>
      <c r="BO9" s="1143">
        <f>first_year+15</f>
        <v>2040</v>
      </c>
      <c r="BP9" s="1143">
        <f>first_year+16</f>
        <v>2041</v>
      </c>
      <c r="BQ9" s="1143">
        <f>first_year+17</f>
        <v>2042</v>
      </c>
      <c r="BR9" s="1143">
        <f>first_year+18</f>
        <v>2043</v>
      </c>
      <c r="BS9" s="1143">
        <f>first_year+19</f>
        <v>2044</v>
      </c>
      <c r="BV9" s="1142"/>
      <c r="BW9" s="1156"/>
      <c r="BX9" s="1156"/>
      <c r="BY9" s="1156"/>
      <c r="BZ9" s="1156"/>
      <c r="CA9" s="1156"/>
      <c r="CB9" s="1156"/>
      <c r="CC9" s="1156"/>
      <c r="CD9" s="1156"/>
    </row>
    <row s="1143" customFormat="1" customHeight="1" ht="11.25" hidden="1">
      <c r="A10" s="1142" t="s">
        <v>404</v>
      </c>
      <c r="AF10" s="1143" cm="1" t="str">
        <f t="array" ref="AF10:AF10">AF25</f>
        <v>Предложение организации</v>
      </c>
      <c r="AG10" s="1143" cm="1" t="str">
        <f t="array" ref="AG10:AG10">AG25</f>
        <v>Предложение организации</v>
      </c>
      <c r="AH10" s="1143" cm="1" t="str">
        <f t="array" ref="AH10:AH10">AH25</f>
        <v>Предложение организации</v>
      </c>
      <c r="AI10" s="1143" cm="1" t="str">
        <f t="array" ref="AI10:AI10">AI25</f>
        <v>Предложение организации</v>
      </c>
      <c r="AJ10" s="1143" cm="1" t="str">
        <f t="array" ref="AJ10:AJ10">AJ25</f>
        <v>Предложение организации</v>
      </c>
      <c r="AK10" s="1143" cm="1" t="str">
        <f t="array" ref="AK10:AK10">AK25</f>
        <v>Предложение организации</v>
      </c>
      <c r="AL10" s="1143" cm="1" t="str">
        <f t="array" ref="AL10:AL10">AL25</f>
        <v>Предложение организации</v>
      </c>
      <c r="AM10" s="1143" cm="1" t="str">
        <f t="array" ref="AM10:AM10">AM25</f>
        <v>Предложение организации</v>
      </c>
      <c r="AN10" s="1143" cm="1" t="str">
        <f t="array" ref="AN10:AN10">AN25</f>
        <v>Предложение организации</v>
      </c>
      <c r="AO10" s="1143" cm="1" t="str">
        <f t="array" ref="AO10:AO10">AO25</f>
        <v>Предложение организации</v>
      </c>
      <c r="AP10" s="1143" cm="1" t="str">
        <f t="array" ref="AP10:AP10">AP25</f>
        <v>Предложение организации</v>
      </c>
      <c r="AQ10" s="1143" cm="1" t="str">
        <f t="array" ref="AQ10:AQ10">AQ25</f>
        <v>Предложение организации</v>
      </c>
      <c r="AR10" s="1143" cm="1" t="str">
        <f t="array" ref="AR10:AR10">AR25</f>
        <v>Предложение организации</v>
      </c>
      <c r="AS10" s="1143" cm="1" t="str">
        <f t="array" ref="AS10:AS10">AS25</f>
        <v>Предложение организации</v>
      </c>
      <c r="AT10" s="1143" cm="1" t="str">
        <f t="array" ref="AT10:AT10">AT25</f>
        <v>Предложение организации</v>
      </c>
      <c r="AU10" s="1143" cm="1" t="str">
        <f t="array" ref="AU10:AU10">AU25</f>
        <v>Предложение организации</v>
      </c>
      <c r="AV10" s="1143" cm="1" t="str">
        <f t="array" ref="AV10:AV10">AV25</f>
        <v>Предложение организации</v>
      </c>
      <c r="AW10" s="1143" cm="1" t="str">
        <f t="array" ref="AW10:AW10">AW25</f>
        <v>Предложение организации</v>
      </c>
      <c r="AX10" s="1143" cm="1" t="str">
        <f t="array" ref="AX10:AX10">AX25</f>
        <v>Предложение организации</v>
      </c>
      <c r="AY10" s="1143" cm="1" t="str">
        <f t="array" ref="AY10:AY10">AY25</f>
        <v>Предложение организации</v>
      </c>
      <c r="AZ10" s="1143" cm="1" t="str">
        <f t="array" ref="AZ10:AZ10">AZ25</f>
        <v>Принято органом регулирования</v>
      </c>
      <c r="BA10" s="1143" cm="1" t="str">
        <f t="array" ref="BA10:BA10">BA25</f>
        <v>Принято органом регулирования</v>
      </c>
      <c r="BB10" s="1143" cm="1" t="str">
        <f t="array" ref="BB10:BB10">BB25</f>
        <v>Принято органом регулирования</v>
      </c>
      <c r="BC10" s="1143" cm="1" t="str">
        <f t="array" ref="BC10:BC10">BC25</f>
        <v>Принято органом регулирования</v>
      </c>
      <c r="BD10" s="1143" cm="1" t="str">
        <f t="array" ref="BD10:BD10">BD25</f>
        <v>Принято органом регулирования</v>
      </c>
      <c r="BE10" s="1143" cm="1" t="str">
        <f t="array" ref="BE10:BE10">BE25</f>
        <v>Принято органом регулирования</v>
      </c>
      <c r="BF10" s="1143" cm="1" t="str">
        <f t="array" ref="BF10:BF10">BF25</f>
        <v>Принято органом регулирования</v>
      </c>
      <c r="BG10" s="1143" cm="1" t="str">
        <f t="array" ref="BG10:BG10">BG25</f>
        <v>Принято органом регулирования</v>
      </c>
      <c r="BH10" s="1143" cm="1" t="str">
        <f t="array" ref="BH10:BH10">BH25</f>
        <v>Принято органом регулирования</v>
      </c>
      <c r="BI10" s="1143" cm="1" t="str">
        <f t="array" ref="BI10:BI10">BI25</f>
        <v>Принято органом регулирования</v>
      </c>
      <c r="BJ10" s="1143" cm="1" t="str">
        <f t="array" ref="BJ10:BJ10">BJ25</f>
        <v>Принято органом регулирования</v>
      </c>
      <c r="BK10" s="1143" cm="1" t="str">
        <f t="array" ref="BK10:BK10">BK25</f>
        <v>Принято органом регулирования</v>
      </c>
      <c r="BL10" s="1143" cm="1" t="str">
        <f t="array" ref="BL10:BL10">BL25</f>
        <v>Принято органом регулирования</v>
      </c>
      <c r="BM10" s="1143" cm="1" t="str">
        <f t="array" ref="BM10:BM10">BM25</f>
        <v>Принято органом регулирования</v>
      </c>
      <c r="BN10" s="1143" cm="1" t="str">
        <f t="array" ref="BN10:BN10">BN25</f>
        <v>Принято органом регулирования</v>
      </c>
      <c r="BO10" s="1143" cm="1" t="str">
        <f t="array" ref="BO10:BO10">BO25</f>
        <v>Принято органом регулирования</v>
      </c>
      <c r="BP10" s="1143" cm="1" t="str">
        <f t="array" ref="BP10:BP10">BP25</f>
        <v>Принято органом регулирования</v>
      </c>
      <c r="BQ10" s="1143" cm="1" t="str">
        <f t="array" ref="BQ10:BQ10">BQ25</f>
        <v>Принято органом регулирования</v>
      </c>
      <c r="BR10" s="1143" cm="1" t="str">
        <f t="array" ref="BR10:BR10">BR25</f>
        <v>Принято органом регулирования</v>
      </c>
      <c r="BS10" s="1143" cm="1" t="str">
        <f t="array" ref="BS10:BS10">BS25</f>
        <v>Принято органом регулирования</v>
      </c>
      <c r="BV10" s="1142"/>
      <c r="BW10" s="1156"/>
      <c r="BX10" s="1156"/>
      <c r="BY10" s="1156"/>
      <c r="BZ10" s="1156"/>
      <c r="CA10" s="1156"/>
      <c r="CB10" s="1156"/>
      <c r="CC10" s="1156"/>
      <c r="CD10" s="1156"/>
    </row>
    <row s="1548" customFormat="1" customHeight="1" ht="11.25" hidden="1">
      <c r="A11" s="371"/>
      <c r="E11" s="180"/>
      <c r="AC11" s="176"/>
      <c r="AD11" s="176"/>
      <c r="AG11" s="1548"/>
      <c r="AH11" s="1548"/>
      <c r="AI11" s="1548"/>
      <c r="AJ11" s="1548"/>
      <c r="AK11" s="1548"/>
      <c r="AL11" s="1548"/>
      <c r="AM11" s="1548"/>
      <c r="AN11" s="1548"/>
      <c r="AO11" s="1548"/>
      <c r="AP11" s="1548"/>
      <c r="AQ11" s="1548"/>
      <c r="AR11" s="1548"/>
      <c r="AS11" s="1548"/>
      <c r="AT11" s="1548"/>
      <c r="AU11" s="1548"/>
      <c r="AV11" s="1548"/>
      <c r="AW11" s="1548"/>
      <c r="AX11" s="1548"/>
      <c r="AY11" s="1548"/>
      <c r="AZ11" s="1548"/>
      <c r="BA11" s="1548"/>
      <c r="BB11" s="1548"/>
      <c r="BC11" s="1548"/>
      <c r="BD11" s="1548"/>
      <c r="BE11" s="1548"/>
      <c r="BF11" s="1548"/>
      <c r="BG11" s="1548"/>
      <c r="BH11" s="1548"/>
      <c r="BI11" s="1548"/>
      <c r="BJ11" s="1548"/>
      <c r="BK11" s="1548"/>
      <c r="BL11" s="1548"/>
      <c r="BM11" s="1548"/>
      <c r="BN11" s="1548"/>
      <c r="BO11" s="1548"/>
      <c r="BP11" s="1548"/>
      <c r="BQ11" s="1548"/>
      <c r="BR11" s="1548"/>
      <c r="BS11" s="1548"/>
      <c r="BV11" s="1142"/>
      <c r="BW11" s="277"/>
      <c r="BX11" s="277"/>
      <c r="BY11" s="277"/>
      <c r="BZ11" s="277"/>
      <c r="CA11" s="277"/>
      <c r="CB11" s="277"/>
      <c r="CC11" s="277"/>
      <c r="CD11" s="277"/>
    </row>
    <row s="1548" customFormat="1" customHeight="1" ht="11.25" hidden="1">
      <c r="A12" s="371"/>
      <c r="E12" s="180"/>
      <c r="AC12" s="176"/>
      <c r="AD12" s="176"/>
      <c r="AG12" s="1548"/>
      <c r="AH12" s="1548"/>
      <c r="AI12" s="1548"/>
      <c r="AJ12" s="1548"/>
      <c r="AK12" s="1548"/>
      <c r="AL12" s="1548"/>
      <c r="AM12" s="1548"/>
      <c r="AN12" s="1548"/>
      <c r="AO12" s="1548"/>
      <c r="AP12" s="1548"/>
      <c r="AQ12" s="1548"/>
      <c r="AR12" s="1548"/>
      <c r="AS12" s="1548"/>
      <c r="AT12" s="1548"/>
      <c r="AU12" s="1548"/>
      <c r="AV12" s="1548"/>
      <c r="AW12" s="1548"/>
      <c r="AX12" s="1548"/>
      <c r="AY12" s="1548"/>
      <c r="AZ12" s="1548"/>
      <c r="BA12" s="1548"/>
      <c r="BB12" s="1548"/>
      <c r="BC12" s="1548"/>
      <c r="BD12" s="1548"/>
      <c r="BE12" s="1548"/>
      <c r="BF12" s="1548"/>
      <c r="BG12" s="1548"/>
      <c r="BH12" s="1548"/>
      <c r="BI12" s="1548"/>
      <c r="BJ12" s="1548"/>
      <c r="BK12" s="1548"/>
      <c r="BL12" s="1548"/>
      <c r="BM12" s="1548"/>
      <c r="BN12" s="1548"/>
      <c r="BO12" s="1548"/>
      <c r="BP12" s="1548"/>
      <c r="BQ12" s="1548"/>
      <c r="BR12" s="1548"/>
      <c r="BS12" s="1548"/>
      <c r="BV12" s="1142"/>
      <c r="BW12" s="277"/>
      <c r="BX12" s="277"/>
      <c r="BY12" s="277"/>
      <c r="BZ12" s="277"/>
      <c r="CA12" s="277"/>
      <c r="CB12" s="277"/>
      <c r="CC12" s="277"/>
      <c r="CD12" s="277"/>
    </row>
    <row s="1548" customFormat="1" customHeight="1" ht="11.25" hidden="1">
      <c r="A13" s="371"/>
      <c r="E13" s="180"/>
      <c r="AC13" s="176"/>
      <c r="AD13" s="176"/>
      <c r="AG13" s="1548"/>
      <c r="AH13" s="1548"/>
      <c r="AI13" s="1548"/>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S13" s="1548"/>
      <c r="BV13" s="1142"/>
      <c r="BW13" s="277"/>
      <c r="BX13" s="277"/>
      <c r="BY13" s="277"/>
      <c r="BZ13" s="277"/>
      <c r="CA13" s="277"/>
      <c r="CB13" s="277"/>
      <c r="CC13" s="277"/>
      <c r="CD13" s="277"/>
    </row>
    <row s="1548" customFormat="1" customHeight="1" ht="11.25" hidden="1">
      <c r="A14" s="371" t="s">
        <v>406</v>
      </c>
      <c r="E14" s="180"/>
      <c r="AC14" s="176"/>
      <c r="AD14" s="176"/>
      <c r="AF14" s="1072" t="s">
        <v>408</v>
      </c>
      <c r="AG14" s="1072" t="s">
        <v>408</v>
      </c>
      <c r="AH14" s="1072" t="s">
        <v>408</v>
      </c>
      <c r="AI14" s="1072" t="s">
        <v>408</v>
      </c>
      <c r="AJ14" s="1072" t="s">
        <v>408</v>
      </c>
      <c r="AK14" s="1072" t="s">
        <v>408</v>
      </c>
      <c r="AL14" s="1072" t="s">
        <v>408</v>
      </c>
      <c r="AM14" s="1072" t="s">
        <v>408</v>
      </c>
      <c r="AN14" s="1072" t="s">
        <v>408</v>
      </c>
      <c r="AO14" s="1072" t="s">
        <v>408</v>
      </c>
      <c r="AP14" s="1072" t="s">
        <v>408</v>
      </c>
      <c r="AQ14" s="1072" t="s">
        <v>408</v>
      </c>
      <c r="AR14" s="1072" t="s">
        <v>408</v>
      </c>
      <c r="AS14" s="1072" t="s">
        <v>408</v>
      </c>
      <c r="AT14" s="1072" t="s">
        <v>408</v>
      </c>
      <c r="AU14" s="1072" t="s">
        <v>408</v>
      </c>
      <c r="AV14" s="1072" t="s">
        <v>408</v>
      </c>
      <c r="AW14" s="1072" t="s">
        <v>408</v>
      </c>
      <c r="AX14" s="1072" t="s">
        <v>408</v>
      </c>
      <c r="AY14" s="1072" t="s">
        <v>408</v>
      </c>
      <c r="AZ14" s="1072" t="s">
        <v>407</v>
      </c>
      <c r="BA14" s="1072" t="s">
        <v>407</v>
      </c>
      <c r="BB14" s="1072" t="s">
        <v>407</v>
      </c>
      <c r="BC14" s="1072" t="s">
        <v>407</v>
      </c>
      <c r="BD14" s="1072" t="s">
        <v>407</v>
      </c>
      <c r="BE14" s="1072" t="s">
        <v>407</v>
      </c>
      <c r="BF14" s="1072" t="s">
        <v>407</v>
      </c>
      <c r="BG14" s="1072" t="s">
        <v>407</v>
      </c>
      <c r="BH14" s="1072" t="s">
        <v>407</v>
      </c>
      <c r="BI14" s="1072" t="s">
        <v>407</v>
      </c>
      <c r="BJ14" s="1072" t="s">
        <v>407</v>
      </c>
      <c r="BK14" s="1072" t="s">
        <v>407</v>
      </c>
      <c r="BL14" s="1072" t="s">
        <v>407</v>
      </c>
      <c r="BM14" s="1072" t="s">
        <v>407</v>
      </c>
      <c r="BN14" s="1072" t="s">
        <v>407</v>
      </c>
      <c r="BO14" s="1072" t="s">
        <v>407</v>
      </c>
      <c r="BP14" s="1072" t="s">
        <v>407</v>
      </c>
      <c r="BQ14" s="1072" t="s">
        <v>407</v>
      </c>
      <c r="BR14" s="1072" t="s">
        <v>407</v>
      </c>
      <c r="BS14" s="1072" t="s">
        <v>407</v>
      </c>
      <c r="BV14" s="1142"/>
      <c r="BW14" s="0"/>
      <c r="BX14" s="0"/>
      <c r="BY14" s="0"/>
      <c r="BZ14" s="0"/>
      <c r="CA14" s="0"/>
      <c r="CB14" s="0"/>
      <c r="CC14" s="0"/>
      <c r="CD14" s="0"/>
    </row>
    <row s="1548" customFormat="1" customHeight="1" ht="11.25" hidden="1">
      <c r="A15" s="371" t="s">
        <v>109</v>
      </c>
      <c r="E15" s="180"/>
      <c r="AC15" s="176"/>
      <c r="AD15" s="176"/>
      <c r="AF15" s="1072" t="str">
        <f>"389.0."&amp;AF9-2010&amp;"."</f>
        <v>389.0.15.</v>
      </c>
      <c r="AG15" s="1072" t="str">
        <f>"389.0."&amp;AG9-2010&amp;"."</f>
        <v>389.0.16.</v>
      </c>
      <c r="AH15" s="1072" t="str">
        <f>"389.0."&amp;AH9-2010&amp;"."</f>
        <v>389.0.17.</v>
      </c>
      <c r="AI15" s="1072" t="str">
        <f>"389.0."&amp;AI9-2010&amp;"."</f>
        <v>389.0.18.</v>
      </c>
      <c r="AJ15" s="1072" t="str">
        <f>"389.0."&amp;AJ9-2010&amp;"."</f>
        <v>389.0.19.</v>
      </c>
      <c r="AK15" s="1072" t="str">
        <f>"389.0."&amp;AK9-2010&amp;"."</f>
        <v>389.0.20.</v>
      </c>
      <c r="AL15" s="1072" t="str">
        <f>"389.0."&amp;AL9-2010&amp;"."</f>
        <v>389.0.21.</v>
      </c>
      <c r="AM15" s="1072" t="str">
        <f>"389.0."&amp;AM9-2010&amp;"."</f>
        <v>389.0.22.</v>
      </c>
      <c r="AN15" s="1072" t="str">
        <f>"389.0."&amp;AN9-2010&amp;"."</f>
        <v>389.0.23.</v>
      </c>
      <c r="AO15" s="1072" t="str">
        <f>"389.0."&amp;AO9-2010&amp;"."</f>
        <v>389.0.24.</v>
      </c>
      <c r="AP15" s="1072" t="str">
        <f>"389.0."&amp;AP9-2010&amp;"."</f>
        <v>389.0.25.</v>
      </c>
      <c r="AQ15" s="1072" t="str">
        <f>"389.0."&amp;AQ9-2010&amp;"."</f>
        <v>389.0.26.</v>
      </c>
      <c r="AR15" s="1072" t="str">
        <f>"389.0."&amp;AR9-2010&amp;"."</f>
        <v>389.0.27.</v>
      </c>
      <c r="AS15" s="1072" t="str">
        <f>"389.0."&amp;AS9-2010&amp;"."</f>
        <v>389.0.28.</v>
      </c>
      <c r="AT15" s="1072" t="str">
        <f>"389.0."&amp;AT9-2010&amp;"."</f>
        <v>389.0.29.</v>
      </c>
      <c r="AU15" s="1072" t="str">
        <f>"389.0."&amp;AU9-2010&amp;"."</f>
        <v>389.0.30.</v>
      </c>
      <c r="AV15" s="1072" t="str">
        <f>"389.0."&amp;AV9-2010&amp;"."</f>
        <v>389.0.31.</v>
      </c>
      <c r="AW15" s="1072" t="str">
        <f>"389.0."&amp;AW9-2010&amp;"."</f>
        <v>389.0.32.</v>
      </c>
      <c r="AX15" s="1072" t="str">
        <f>"389.0."&amp;AX9-2010&amp;"."</f>
        <v>389.0.33.</v>
      </c>
      <c r="AY15" s="1072" t="str">
        <f>"389.0."&amp;AY9-2010&amp;"."</f>
        <v>389.0.34.</v>
      </c>
      <c r="AZ15" s="1072" t="str">
        <f>"389.0."&amp;AZ9-2010&amp;"."</f>
        <v>389.0.15.</v>
      </c>
      <c r="BA15" s="1072" t="str">
        <f>"389.0."&amp;BA9-2010&amp;"."</f>
        <v>389.0.16.</v>
      </c>
      <c r="BB15" s="1072" t="str">
        <f>"389.0."&amp;BB9-2010&amp;"."</f>
        <v>389.0.17.</v>
      </c>
      <c r="BC15" s="1072" t="str">
        <f>"389.0."&amp;BC9-2010&amp;"."</f>
        <v>389.0.18.</v>
      </c>
      <c r="BD15" s="1072" t="str">
        <f>"389.0."&amp;BD9-2010&amp;"."</f>
        <v>389.0.19.</v>
      </c>
      <c r="BE15" s="1072" t="str">
        <f>"389.0."&amp;BE9-2010&amp;"."</f>
        <v>389.0.20.</v>
      </c>
      <c r="BF15" s="1072" t="str">
        <f>"389.0."&amp;BF9-2010&amp;"."</f>
        <v>389.0.21.</v>
      </c>
      <c r="BG15" s="1072" t="str">
        <f>"389.0."&amp;BG9-2010&amp;"."</f>
        <v>389.0.22.</v>
      </c>
      <c r="BH15" s="1072" t="str">
        <f>"389.0."&amp;BH9-2010&amp;"."</f>
        <v>389.0.23.</v>
      </c>
      <c r="BI15" s="1072" t="str">
        <f>"389.0."&amp;BI9-2010&amp;"."</f>
        <v>389.0.24.</v>
      </c>
      <c r="BJ15" s="1072" t="str">
        <f>"389.0."&amp;BJ9-2010&amp;"."</f>
        <v>389.0.25.</v>
      </c>
      <c r="BK15" s="1072" t="str">
        <f>"389.0."&amp;BK9-2010&amp;"."</f>
        <v>389.0.26.</v>
      </c>
      <c r="BL15" s="1072" t="str">
        <f>"389.0."&amp;BL9-2010&amp;"."</f>
        <v>389.0.27.</v>
      </c>
      <c r="BM15" s="1072" t="str">
        <f>"389.0."&amp;BM9-2010&amp;"."</f>
        <v>389.0.28.</v>
      </c>
      <c r="BN15" s="1072" t="str">
        <f>"389.0."&amp;BN9-2010&amp;"."</f>
        <v>389.0.29.</v>
      </c>
      <c r="BO15" s="1072" t="str">
        <f>"389.0."&amp;BO9-2010&amp;"."</f>
        <v>389.0.30.</v>
      </c>
      <c r="BP15" s="1072" t="str">
        <f>"389.0."&amp;BP9-2010&amp;"."</f>
        <v>389.0.31.</v>
      </c>
      <c r="BQ15" s="1072" t="str">
        <f>"389.0."&amp;BQ9-2010&amp;"."</f>
        <v>389.0.32.</v>
      </c>
      <c r="BR15" s="1072" t="str">
        <f>"389.0."&amp;BR9-2010&amp;"."</f>
        <v>389.0.33.</v>
      </c>
      <c r="BS15" s="1072" t="str">
        <f>"389.0."&amp;BS9-2010&amp;"."</f>
        <v>389.0.34.</v>
      </c>
      <c r="BV15" s="1142"/>
      <c r="BW15" s="0"/>
      <c r="BX15" s="0"/>
      <c r="BY15" s="0"/>
      <c r="BZ15" s="0"/>
      <c r="CA15" s="0"/>
      <c r="CB15" s="0"/>
      <c r="CC15" s="0"/>
      <c r="CD15" s="0"/>
    </row>
    <row s="1548" customFormat="1" customHeight="1" ht="11.25" hidden="1">
      <c r="A16" s="371" t="s">
        <v>351</v>
      </c>
      <c r="E16" s="180"/>
      <c r="AC16" s="176"/>
      <c r="AD16" s="176"/>
      <c r="AG16" s="1548"/>
      <c r="AH16" s="1548"/>
      <c r="AI16" s="1548"/>
      <c r="AJ16" s="1548"/>
      <c r="AK16" s="1548"/>
      <c r="AL16" s="1548"/>
      <c r="AM16" s="1548"/>
      <c r="AN16" s="1548"/>
      <c r="AO16" s="1548"/>
      <c r="AP16" s="1548"/>
      <c r="AQ16" s="1548"/>
      <c r="AR16" s="1548"/>
      <c r="AS16" s="1548"/>
      <c r="AT16" s="1548"/>
      <c r="AU16" s="1548"/>
      <c r="AV16" s="1548"/>
      <c r="AW16" s="1548"/>
      <c r="AX16" s="1548"/>
      <c r="AY16" s="1548"/>
      <c r="AZ16" s="1548"/>
      <c r="BA16" s="1548"/>
      <c r="BB16" s="1548"/>
      <c r="BC16" s="1548"/>
      <c r="BD16" s="1548"/>
      <c r="BE16" s="1548"/>
      <c r="BF16" s="1548"/>
      <c r="BG16" s="1548"/>
      <c r="BH16" s="1548"/>
      <c r="BI16" s="1548"/>
      <c r="BJ16" s="1548"/>
      <c r="BK16" s="1548"/>
      <c r="BL16" s="1548"/>
      <c r="BM16" s="1548"/>
      <c r="BN16" s="1548"/>
      <c r="BO16" s="1548"/>
      <c r="BP16" s="1548"/>
      <c r="BQ16" s="1548"/>
      <c r="BR16" s="1548"/>
      <c r="BS16" s="1548"/>
      <c r="BV16" s="1142"/>
      <c r="BW16" s="0"/>
      <c r="BX16" s="0"/>
      <c r="BY16" s="0"/>
      <c r="BZ16" s="0"/>
      <c r="CA16" s="0"/>
      <c r="CB16" s="0"/>
      <c r="CC16" s="0"/>
      <c r="CD16" s="0"/>
    </row>
    <row s="1548" customFormat="1" customHeight="1" ht="11.25" hidden="1">
      <c r="A17" s="371" t="s">
        <v>352</v>
      </c>
      <c r="E17" s="180"/>
      <c r="AC17" s="176"/>
      <c r="AD17" s="176"/>
      <c r="AG17" s="1548"/>
      <c r="AH17" s="1548"/>
      <c r="AI17" s="1548"/>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S17" s="1548"/>
      <c r="BV17" s="1142"/>
      <c r="BW17" s="0"/>
      <c r="BX17" s="0"/>
      <c r="BY17" s="0"/>
      <c r="BZ17" s="0"/>
      <c r="CA17" s="0"/>
      <c r="CB17" s="0"/>
      <c r="CC17" s="0"/>
      <c r="CD17" s="0"/>
    </row>
    <row s="1548" customFormat="1" customHeight="1" ht="11.25" hidden="1">
      <c r="A18" s="371" t="s">
        <v>379</v>
      </c>
      <c r="E18" s="180"/>
      <c r="AC18" s="176"/>
      <c r="AD18" s="176"/>
      <c r="AG18" s="1548"/>
      <c r="AH18" s="1548"/>
      <c r="AI18" s="1548"/>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S18" s="1548"/>
      <c r="BV18" s="1142"/>
      <c r="BW18" s="0"/>
      <c r="BX18" s="0"/>
      <c r="BY18" s="0"/>
      <c r="BZ18" s="0"/>
      <c r="CA18" s="0"/>
      <c r="CB18" s="0"/>
      <c r="CC18" s="0"/>
      <c r="CD18" s="0"/>
    </row>
    <row s="1548" customFormat="1" customHeight="1" ht="11.25" hidden="1">
      <c r="A19" s="371"/>
      <c r="E19" s="180"/>
      <c r="AC19" s="176"/>
      <c r="AD19" s="176"/>
      <c r="AG19" s="1548"/>
      <c r="AH19" s="1548"/>
      <c r="AI19" s="1548"/>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V19" s="1142"/>
      <c r="BW19" s="277"/>
      <c r="BX19" s="277"/>
      <c r="BY19" s="277"/>
      <c r="BZ19" s="277"/>
      <c r="CA19" s="277"/>
      <c r="CB19" s="277"/>
      <c r="CC19" s="277"/>
      <c r="CD19" s="277"/>
    </row>
    <row s="1548" customFormat="1" customHeight="1" ht="11.25" hidden="1">
      <c r="A20" s="371"/>
      <c r="E20" s="180"/>
      <c r="AC20" s="176"/>
      <c r="AD20" s="176"/>
      <c r="AG20" s="1548"/>
      <c r="AH20" s="1548"/>
      <c r="AI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V20" s="1142"/>
      <c r="BW20" s="277"/>
      <c r="BX20" s="277"/>
      <c r="BY20" s="277"/>
      <c r="BZ20" s="277"/>
      <c r="CA20" s="277"/>
      <c r="CB20" s="277"/>
      <c r="CC20" s="277"/>
      <c r="CD20" s="277"/>
    </row>
    <row customHeight="1" ht="14.625">
      <c r="E21" s="180">
        <v>15</v>
      </c>
      <c r="AA21" s="182"/>
      <c r="AC21" s="278" cm="1" t="str">
        <f t="array" ref="AC21:AC21">tpl_title</f>
        <v>Кемеровская область / 2027 / ООО "КК-ИНВЕСТ" (ИНН:1901133713, КПП:190101001) / ДПР: 2025-2027</v>
      </c>
      <c r="AD21" s="278"/>
      <c r="AE21" s="371"/>
      <c r="AG21" s="1727"/>
      <c r="AH21" s="1727"/>
      <c r="AI21" s="1727"/>
      <c r="AJ21" s="1727"/>
      <c r="AK21" s="1727"/>
      <c r="AL21" s="1727"/>
      <c r="AM21" s="1727"/>
      <c r="AN21" s="1727"/>
      <c r="AO21" s="1727"/>
      <c r="AP21" s="1727"/>
      <c r="AQ21" s="1727"/>
      <c r="AR21" s="1727"/>
      <c r="AS21" s="1727"/>
      <c r="AT21" s="1727"/>
      <c r="AU21" s="1727"/>
      <c r="AV21" s="1727"/>
      <c r="AW21" s="1727"/>
      <c r="AX21" s="1727"/>
      <c r="AY21" s="1727"/>
      <c r="AZ21" s="1727"/>
      <c r="BA21" s="1727"/>
      <c r="BB21" s="1727"/>
      <c r="BC21" s="1727"/>
      <c r="BD21" s="1727"/>
      <c r="BE21" s="1727"/>
      <c r="BF21" s="1727"/>
      <c r="BG21" s="1727"/>
      <c r="BH21" s="1727"/>
      <c r="BI21" s="1727"/>
      <c r="BJ21" s="1727"/>
      <c r="BK21" s="1727"/>
      <c r="BL21" s="1727"/>
      <c r="BM21" s="1727"/>
      <c r="BN21" s="1727"/>
      <c r="BO21" s="1727"/>
      <c r="BP21" s="1727"/>
      <c r="BQ21" s="1727"/>
      <c r="BR21" s="1727"/>
      <c r="BS21" s="1727"/>
    </row>
    <row customHeight="1" ht="21.450000000000003">
      <c r="E22" s="180">
        <v>22</v>
      </c>
      <c r="AB22" s="373" t="s">
        <v>30</v>
      </c>
      <c r="AC22" s="374"/>
      <c r="AD22" s="374"/>
      <c r="AE22" s="374"/>
      <c r="AF22" s="375"/>
      <c r="AG22" s="375"/>
      <c r="AH22" s="375"/>
      <c r="AI22" s="375"/>
      <c r="AJ22" s="375"/>
      <c r="AK22" s="375"/>
      <c r="AL22" s="375"/>
      <c r="AM22" s="375"/>
      <c r="AN22" s="375"/>
      <c r="AO22" s="375"/>
      <c r="AP22" s="375"/>
      <c r="AQ22" s="375"/>
      <c r="AR22" s="375"/>
      <c r="AS22" s="375"/>
      <c r="AT22" s="375"/>
      <c r="AU22" s="375"/>
      <c r="AV22" s="375"/>
      <c r="AW22" s="375"/>
      <c r="AX22" s="375"/>
      <c r="AY22" s="375"/>
      <c r="AZ22" s="375"/>
      <c r="BA22" s="375"/>
      <c r="BB22" s="375"/>
      <c r="BC22" s="375"/>
      <c r="BD22" s="375"/>
      <c r="BE22" s="375"/>
      <c r="BF22" s="375"/>
      <c r="BG22" s="375"/>
      <c r="BH22" s="375"/>
      <c r="BI22" s="375"/>
      <c r="BJ22" s="375"/>
      <c r="BK22" s="375"/>
      <c r="BL22" s="375"/>
      <c r="BM22" s="375"/>
      <c r="BN22" s="375"/>
      <c r="BO22" s="375"/>
      <c r="BP22" s="375"/>
      <c r="BQ22" s="375"/>
      <c r="BR22" s="375"/>
      <c r="BS22" s="375"/>
    </row>
    <row s="376" customFormat="1" customHeight="1" ht="10.725000000000001">
      <c r="A23" s="371"/>
      <c r="B23" s="175"/>
      <c r="C23" s="175"/>
      <c r="D23" s="175"/>
      <c r="E23" s="180">
        <v>11</v>
      </c>
      <c r="F23" s="175"/>
      <c r="G23" s="175"/>
      <c r="H23" s="175"/>
      <c r="I23" s="175"/>
      <c r="J23" s="175"/>
      <c r="K23" s="175"/>
      <c r="L23" s="175"/>
      <c r="M23" s="175"/>
      <c r="N23" s="175"/>
      <c r="O23" s="175"/>
      <c r="P23" s="175"/>
      <c r="Q23" s="175"/>
      <c r="R23" s="175"/>
      <c r="S23" s="175"/>
      <c r="T23" s="175"/>
      <c r="U23" s="175"/>
      <c r="V23" s="175"/>
      <c r="W23" s="175"/>
      <c r="X23" s="175"/>
      <c r="Y23" s="175"/>
      <c r="Z23" s="175"/>
      <c r="AB23" s="377"/>
      <c r="AC23" s="378"/>
      <c r="AD23" s="378"/>
      <c r="AE23" s="175"/>
      <c r="AF23" s="379"/>
      <c r="AG23" s="379"/>
      <c r="AH23" s="379"/>
      <c r="AI23" s="379"/>
      <c r="AJ23" s="379"/>
      <c r="AK23" s="379"/>
      <c r="AL23" s="379"/>
      <c r="AM23" s="379"/>
      <c r="AN23" s="379"/>
      <c r="AO23" s="379"/>
      <c r="AP23" s="379"/>
      <c r="AQ23" s="379"/>
      <c r="AR23" s="379"/>
      <c r="AS23" s="379"/>
      <c r="AT23" s="379"/>
      <c r="AU23" s="379"/>
      <c r="AV23" s="379"/>
      <c r="AW23" s="379"/>
      <c r="AX23" s="379"/>
      <c r="AY23" s="379"/>
      <c r="AZ23" s="379"/>
      <c r="BA23" s="379"/>
      <c r="BB23" s="379"/>
      <c r="BC23" s="379"/>
      <c r="BD23" s="379"/>
      <c r="BE23" s="379"/>
      <c r="BF23" s="379"/>
      <c r="BG23" s="379"/>
      <c r="BH23" s="379"/>
      <c r="BI23" s="379"/>
      <c r="BJ23" s="379"/>
      <c r="BK23" s="379"/>
      <c r="BL23" s="379"/>
      <c r="BM23" s="379"/>
      <c r="BN23" s="379"/>
      <c r="BO23" s="379"/>
      <c r="BP23" s="379"/>
      <c r="BQ23" s="379"/>
      <c r="BR23" s="379"/>
      <c r="BS23" s="379"/>
      <c r="BT23" s="379"/>
      <c r="BV23" s="1145"/>
      <c r="BW23" s="379"/>
      <c r="BX23" s="379"/>
      <c r="BY23" s="379"/>
      <c r="BZ23" s="379"/>
      <c r="CA23" s="379"/>
      <c r="CB23" s="379"/>
      <c r="CC23" s="379"/>
      <c r="CD23" s="379"/>
    </row>
    <row customHeight="1" ht="14.625">
      <c r="E24" s="180">
        <v>15</v>
      </c>
      <c r="AB24" s="1589" t="s">
        <v>355</v>
      </c>
      <c r="AC24" s="1589" t="s">
        <v>493</v>
      </c>
      <c r="AD24" s="1590" t="s">
        <v>596</v>
      </c>
      <c r="AE24" s="1589" t="s">
        <v>413</v>
      </c>
      <c r="AF24" s="422" t="str">
        <f>first_year&amp;" год"</f>
        <v>2025 год</v>
      </c>
      <c r="AG24" s="422" t="str">
        <f>first_year+1&amp;" год"</f>
        <v>2026 год</v>
      </c>
      <c r="AH24" s="422" t="str">
        <f>first_year+2&amp;" год"</f>
        <v>2027 год</v>
      </c>
      <c r="AI24" s="422" t="str">
        <f>first_year+3&amp;" год"</f>
        <v>2028 год</v>
      </c>
      <c r="AJ24" s="422" t="str">
        <f>first_year+4&amp;" год"</f>
        <v>2029 год</v>
      </c>
      <c r="AK24" s="329" t="str">
        <f>first_year+5&amp;" год"</f>
        <v>2030 год</v>
      </c>
      <c r="AL24" s="329" t="str">
        <f>first_year+6&amp;" год"</f>
        <v>2031 год</v>
      </c>
      <c r="AM24" s="329" t="str">
        <f>first_year+7&amp;" год"</f>
        <v>2032 год</v>
      </c>
      <c r="AN24" s="329" t="str">
        <f>first_year+8&amp;" год"</f>
        <v>2033 год</v>
      </c>
      <c r="AO24" s="329" t="str">
        <f>first_year+9&amp;" год"</f>
        <v>2034 год</v>
      </c>
      <c r="AP24" s="329" t="str">
        <f>first_year+10&amp;" год"</f>
        <v>2035 год</v>
      </c>
      <c r="AQ24" s="329" t="str">
        <f>first_year+11&amp;" год"</f>
        <v>2036 год</v>
      </c>
      <c r="AR24" s="329" t="str">
        <f>first_year+12&amp;" год"</f>
        <v>2037 год</v>
      </c>
      <c r="AS24" s="329" t="str">
        <f>first_year+13&amp;" год"</f>
        <v>2038 год</v>
      </c>
      <c r="AT24" s="329" t="str">
        <f>first_year+14&amp;" год"</f>
        <v>2039 год</v>
      </c>
      <c r="AU24" s="329" t="str">
        <f>first_year+15&amp;" год"</f>
        <v>2040 год</v>
      </c>
      <c r="AV24" s="329" t="str">
        <f>first_year+16&amp;" год"</f>
        <v>2041 год</v>
      </c>
      <c r="AW24" s="329" t="str">
        <f>first_year+17&amp;" год"</f>
        <v>2042 год</v>
      </c>
      <c r="AX24" s="329" t="str">
        <f>first_year+18&amp;" год"</f>
        <v>2043 год</v>
      </c>
      <c r="AY24" s="329" t="str">
        <f>first_year+19&amp;" год"</f>
        <v>2044 год</v>
      </c>
      <c r="AZ24" s="328" t="str">
        <f>first_year&amp;" год"</f>
        <v>2025 год</v>
      </c>
      <c r="BA24" s="328" t="str">
        <f>first_year+1&amp;" год"</f>
        <v>2026 год</v>
      </c>
      <c r="BB24" s="328" t="str">
        <f>first_year+2&amp;" год"</f>
        <v>2027 год</v>
      </c>
      <c r="BC24" s="328" t="str">
        <f>first_year+3&amp;" год"</f>
        <v>2028 год</v>
      </c>
      <c r="BD24" s="328" t="str">
        <f>first_year+4&amp;" год"</f>
        <v>2029 год</v>
      </c>
      <c r="BE24" s="328" t="str">
        <f>first_year+5&amp;" год"</f>
        <v>2030 год</v>
      </c>
      <c r="BF24" s="424" t="str">
        <f>first_year+6&amp;" год"</f>
        <v>2031 год</v>
      </c>
      <c r="BG24" s="1013" t="str">
        <f>first_year+7&amp;" год"</f>
        <v>2032 год</v>
      </c>
      <c r="BH24" s="1013" t="str">
        <f>first_year+8&amp;" год"</f>
        <v>2033 год</v>
      </c>
      <c r="BI24" s="1013" t="str">
        <f>first_year+9&amp;" год"</f>
        <v>2034 год</v>
      </c>
      <c r="BJ24" s="1013" t="str">
        <f>first_year+10&amp;" год"</f>
        <v>2035 год</v>
      </c>
      <c r="BK24" s="1013" t="str">
        <f>first_year+11&amp;" год"</f>
        <v>2036 год</v>
      </c>
      <c r="BL24" s="1013" t="str">
        <f>first_year+12&amp;" год"</f>
        <v>2037 год</v>
      </c>
      <c r="BM24" s="1013" t="str">
        <f>first_year+13&amp;" год"</f>
        <v>2038 год</v>
      </c>
      <c r="BN24" s="1013" t="str">
        <f>first_year+14&amp;" год"</f>
        <v>2039 год</v>
      </c>
      <c r="BO24" s="1013" t="str">
        <f>first_year+15&amp;" год"</f>
        <v>2040 год</v>
      </c>
      <c r="BP24" s="1013" t="str">
        <f>first_year+16&amp;" год"</f>
        <v>2041 год</v>
      </c>
      <c r="BQ24" s="1013" t="str">
        <f>first_year+17&amp;" год"</f>
        <v>2042 год</v>
      </c>
      <c r="BR24" s="1013" t="str">
        <f>first_year+18&amp;" год"</f>
        <v>2043 год</v>
      </c>
      <c r="BS24" s="1013" t="str">
        <f>first_year+19&amp;" год"</f>
        <v>2044 год</v>
      </c>
    </row>
    <row customHeight="1" ht="67.275">
      <c r="E25" s="180">
        <v>69</v>
      </c>
      <c r="AB25" s="1590"/>
      <c r="AC25" s="1589"/>
      <c r="AD25" s="1593"/>
      <c r="AE25" s="1589"/>
      <c r="AF25" s="331" t="s">
        <v>416</v>
      </c>
      <c r="AG25" s="331" t="s">
        <v>416</v>
      </c>
      <c r="AH25" s="331" t="s">
        <v>416</v>
      </c>
      <c r="AI25" s="331" t="s">
        <v>416</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331" t="s">
        <v>416</v>
      </c>
      <c r="AZ25" s="424" t="s">
        <v>415</v>
      </c>
      <c r="BA25" s="424" t="s">
        <v>415</v>
      </c>
      <c r="BB25" s="424" t="s">
        <v>415</v>
      </c>
      <c r="BC25" s="424" t="s">
        <v>415</v>
      </c>
      <c r="BD25" s="424" t="s">
        <v>415</v>
      </c>
      <c r="BE25" s="424" t="s">
        <v>415</v>
      </c>
      <c r="BF25" s="424" t="s">
        <v>415</v>
      </c>
      <c r="BG25" s="1013" t="s">
        <v>415</v>
      </c>
      <c r="BH25" s="1013" t="s">
        <v>415</v>
      </c>
      <c r="BI25" s="1013" t="s">
        <v>415</v>
      </c>
      <c r="BJ25" s="1013" t="s">
        <v>415</v>
      </c>
      <c r="BK25" s="1013" t="s">
        <v>415</v>
      </c>
      <c r="BL25" s="1013" t="s">
        <v>415</v>
      </c>
      <c r="BM25" s="1013" t="s">
        <v>415</v>
      </c>
      <c r="BN25" s="1013" t="s">
        <v>415</v>
      </c>
      <c r="BO25" s="1013" t="s">
        <v>415</v>
      </c>
      <c r="BP25" s="1013" t="s">
        <v>415</v>
      </c>
      <c r="BQ25" s="1013" t="s">
        <v>415</v>
      </c>
      <c r="BR25" s="1013" t="s">
        <v>415</v>
      </c>
      <c r="BS25" s="1013" t="s">
        <v>415</v>
      </c>
    </row>
    <row customHeight="1" ht="23.400000000000002">
      <c r="E26" s="180">
        <v>24</v>
      </c>
      <c r="AB26" s="385"/>
      <c r="AC26" s="386" t="s">
        <v>494</v>
      </c>
      <c r="AD26" s="386"/>
      <c r="AE26" s="387" t="s">
        <v>495</v>
      </c>
      <c r="AF26" s="425"/>
      <c r="AG26" s="425"/>
      <c r="AH26" s="425"/>
      <c r="AI26" s="1890"/>
      <c r="AJ26" s="1890"/>
      <c r="AK26" s="1890"/>
      <c r="AL26" s="1890"/>
      <c r="AM26" s="1890"/>
      <c r="AN26" s="1890"/>
      <c r="AO26" s="1890"/>
      <c r="AP26" s="1890"/>
      <c r="AQ26" s="1890"/>
      <c r="AR26" s="1890"/>
      <c r="AS26" s="1890"/>
      <c r="AT26" s="1890"/>
      <c r="AU26" s="1890"/>
      <c r="AV26" s="1890"/>
      <c r="AW26" s="1890"/>
      <c r="AX26" s="1890"/>
      <c r="AY26" s="1890"/>
      <c r="AZ26" s="425"/>
      <c r="BA26" s="425"/>
      <c r="BB26" s="425"/>
      <c r="BC26" s="1890"/>
      <c r="BD26" s="1890"/>
      <c r="BE26" s="1890"/>
      <c r="BF26" s="1890"/>
      <c r="BG26" s="1891"/>
      <c r="BH26" s="1891"/>
      <c r="BI26" s="1891"/>
      <c r="BJ26" s="1891"/>
      <c r="BK26" s="1891"/>
      <c r="BL26" s="1891"/>
      <c r="BM26" s="1891"/>
      <c r="BN26" s="1891"/>
      <c r="BO26" s="1891"/>
      <c r="BP26" s="1891"/>
      <c r="BQ26" s="1891"/>
      <c r="BR26" s="1891"/>
      <c r="BS26" s="1891"/>
    </row>
    <row customHeight="1" ht="23.25" hidden="1">
      <c r="E27" s="965">
        <v>0</v>
      </c>
      <c r="AB27" s="239"/>
      <c r="AC27" s="239"/>
      <c r="AD27" s="239"/>
      <c r="AE27" s="239"/>
      <c r="AF27" s="279"/>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c r="BM27" s="279"/>
      <c r="BN27" s="279"/>
      <c r="BO27" s="279"/>
      <c r="BP27" s="279"/>
      <c r="BQ27" s="279"/>
      <c r="BR27" s="279"/>
      <c r="BS27" s="279"/>
    </row>
    <row s="308" customFormat="1" customHeight="1" ht="10.725000000000001" hidden="1">
      <c r="E28" s="284">
        <v>11</v>
      </c>
      <c r="F28" s="175" cm="1" t="str">
        <f t="array" ref="F28:F28">Y28</f>
        <v>0</v>
      </c>
      <c r="U28" s="973">
        <f>F28&gt;0</f>
        <v>0</v>
      </c>
      <c r="W28" s="176" t="s">
        <v>266</v>
      </c>
      <c r="Y28" s="176">
        <v>0</v>
      </c>
      <c r="AB28" s="319" cm="1" t="str">
        <f t="array" ref="AB28:AB28">INDEX('Общие сведения'!$AG$169:$AG$202,MATCH($F28,'Общие сведения'!$Y$169:$Y$202,0))</f>
        <v>Тариф 0 (Теплоснабжение) - </v>
      </c>
      <c r="AC28" s="298"/>
      <c r="AD28" s="298"/>
      <c r="AE28" s="299"/>
      <c r="AF28" s="299"/>
      <c r="AG28" s="299"/>
      <c r="AH28" s="299"/>
      <c r="AI28" s="299"/>
      <c r="AJ28" s="299"/>
      <c r="AK28" s="299"/>
      <c r="AL28" s="299"/>
      <c r="AM28" s="299"/>
      <c r="AN28" s="299"/>
      <c r="AO28" s="299"/>
      <c r="AP28" s="299"/>
      <c r="AQ28" s="299"/>
      <c r="AR28" s="299"/>
      <c r="AS28" s="299"/>
      <c r="AT28" s="299"/>
      <c r="AU28" s="299"/>
      <c r="AV28" s="299"/>
      <c r="AW28" s="299"/>
      <c r="AX28" s="299"/>
      <c r="AY28" s="299"/>
      <c r="AZ28" s="299"/>
      <c r="BA28" s="299"/>
      <c r="BB28" s="299"/>
      <c r="BC28" s="299"/>
      <c r="BD28" s="299"/>
      <c r="BE28" s="299"/>
      <c r="BF28" s="299"/>
      <c r="BG28" s="299"/>
      <c r="BH28" s="299"/>
      <c r="BI28" s="299"/>
      <c r="BJ28" s="299"/>
      <c r="BK28" s="299"/>
      <c r="BL28" s="299"/>
      <c r="BM28" s="299"/>
      <c r="BN28" s="299"/>
      <c r="BO28" s="299"/>
      <c r="BP28" s="299"/>
      <c r="BQ28" s="299"/>
      <c r="BR28" s="299"/>
      <c r="BS28" s="299"/>
      <c r="BV28" s="309"/>
    </row>
    <row customHeight="1" ht="10.725000000000001" hidden="1">
      <c r="E29" s="180">
        <v>11</v>
      </c>
      <c r="F29" s="175" cm="1" t="str">
        <f t="array" ref="F29:F29">OFFSET(G29,-1,-1)</f>
        <v>0</v>
      </c>
      <c r="U29" s="973">
        <f>F29&gt;0</f>
        <v>0</v>
      </c>
      <c r="AB29" s="390"/>
      <c r="AC29" s="391" t="s">
        <v>499</v>
      </c>
      <c r="AD29" s="391"/>
      <c r="AE29" s="392"/>
      <c r="AF29" s="393"/>
      <c r="AG29" s="393"/>
      <c r="AH29" s="393"/>
      <c r="AI29" s="393"/>
      <c r="AJ29" s="393"/>
      <c r="AK29" s="393"/>
      <c r="AL29" s="393"/>
      <c r="AM29" s="393"/>
      <c r="AN29" s="393"/>
      <c r="AO29" s="393"/>
      <c r="AP29" s="393"/>
      <c r="AQ29" s="393"/>
      <c r="AR29" s="393"/>
      <c r="AS29" s="393"/>
      <c r="AT29" s="393"/>
      <c r="AU29" s="393"/>
      <c r="AV29" s="393"/>
      <c r="AW29" s="393"/>
      <c r="AX29" s="393"/>
      <c r="AY29" s="393"/>
      <c r="AZ29" s="393"/>
      <c r="BA29" s="393"/>
      <c r="BB29" s="393"/>
      <c r="BC29" s="393"/>
      <c r="BD29" s="393"/>
      <c r="BE29" s="393"/>
      <c r="BF29" s="393"/>
      <c r="BG29" s="393"/>
      <c r="BH29" s="393"/>
      <c r="BI29" s="393"/>
      <c r="BJ29" s="393"/>
      <c r="BK29" s="393"/>
      <c r="BL29" s="393"/>
      <c r="BM29" s="393"/>
      <c r="BN29" s="393"/>
      <c r="BO29" s="393"/>
      <c r="BP29" s="393"/>
      <c r="BQ29" s="393"/>
      <c r="BR29" s="393"/>
      <c r="BS29" s="393"/>
    </row>
    <row customHeight="1" ht="16.575" hidden="1">
      <c r="E30" s="180">
        <v>17</v>
      </c>
      <c r="F30" s="175" cm="1" t="str">
        <f t="array" ref="F30:F30">OFFSET(G30,-1,-1)</f>
        <v>0</v>
      </c>
      <c r="U30" s="973">
        <f>F30&gt;0</f>
        <v>0</v>
      </c>
      <c r="AB30" s="320">
        <v>1</v>
      </c>
      <c r="AC30" s="427" t="s">
        <v>597</v>
      </c>
      <c r="AD30" s="327" t="s">
        <v>598</v>
      </c>
      <c r="AE30" s="387" t="s">
        <v>495</v>
      </c>
      <c r="AF30" s="81"/>
      <c r="AG30" s="425"/>
      <c r="AH30" s="425"/>
      <c r="AI30" s="81"/>
      <c r="AJ30" s="81"/>
      <c r="AK30" s="81"/>
      <c r="AL30" s="81"/>
      <c r="AM30" s="81"/>
      <c r="AN30" s="81"/>
      <c r="AO30" s="81"/>
      <c r="AP30" s="81"/>
      <c r="AQ30" s="81"/>
      <c r="AR30" s="81"/>
      <c r="AS30" s="81"/>
      <c r="AT30" s="81"/>
      <c r="AU30" s="81"/>
      <c r="AV30" s="81"/>
      <c r="AW30" s="81"/>
      <c r="AX30" s="81"/>
      <c r="AY30" s="81"/>
      <c r="AZ30" s="425"/>
      <c r="BA30" s="425"/>
      <c r="BB30" s="425"/>
      <c r="BC30" s="81"/>
      <c r="BD30" s="81"/>
      <c r="BE30" s="81"/>
      <c r="BF30" s="81"/>
      <c r="BG30" s="81"/>
      <c r="BH30" s="81"/>
      <c r="BI30" s="81"/>
      <c r="BJ30" s="81"/>
      <c r="BK30" s="81"/>
      <c r="BL30" s="81"/>
      <c r="BM30" s="81"/>
      <c r="BN30" s="81"/>
      <c r="BO30" s="81"/>
      <c r="BP30" s="81"/>
      <c r="BQ30" s="81"/>
      <c r="BR30" s="81"/>
      <c r="BS30" s="81"/>
      <c r="BV30" s="975" t="s">
        <v>599</v>
      </c>
      <c r="BW30" s="1077" cm="1" t="str">
        <f t="array" ref="BW30:BW30">INDEX('Общие сведения'!$N$170:$N$202,MATCH($F30,'Общие сведения'!$Y$170:$Y$202,0)+1)</f>
        <v>0</v>
      </c>
      <c r="BX30" s="1077" t="s">
        <v>600</v>
      </c>
      <c r="BY30" s="1076"/>
      <c r="BZ30" s="1076"/>
      <c r="CA30" s="1077" t="s">
        <v>601</v>
      </c>
      <c r="CB30" s="1077" t="s">
        <v>303</v>
      </c>
      <c r="CC30" s="1077" t="s">
        <v>514</v>
      </c>
      <c r="CD30" s="1077" t="s">
        <v>515</v>
      </c>
    </row>
    <row customHeight="1" ht="16.575" hidden="1">
      <c r="E31" s="180">
        <v>17</v>
      </c>
      <c r="F31" s="175" cm="1" t="str">
        <f t="array" ref="F31:F31">OFFSET(G31,-1,-1)</f>
        <v>0</v>
      </c>
      <c r="U31" s="973">
        <f>F31&gt;0</f>
        <v>0</v>
      </c>
      <c r="AB31" s="320">
        <v>2</v>
      </c>
      <c r="AC31" s="427"/>
      <c r="AD31" s="327" t="s">
        <v>602</v>
      </c>
      <c r="AE31" s="387" t="s">
        <v>495</v>
      </c>
      <c r="AF31" s="428"/>
      <c r="AG31" s="425" cm="1" t="str">
        <f t="array" ref="AG31:AG31">AG30</f>
        <v>0</v>
      </c>
      <c r="AH31" s="429">
        <f>(1+AG31)*(1+AH30)-1</f>
        <v>0</v>
      </c>
      <c r="AI31" s="82">
        <f>(1+AH31)*(1+AI30)-1</f>
        <v>0</v>
      </c>
      <c r="AJ31" s="82">
        <f>(1+AI31)*(1+AJ30)-1</f>
        <v>0</v>
      </c>
      <c r="AK31" s="82">
        <f>(1+AJ31)*(1+AK30)-1</f>
        <v>0</v>
      </c>
      <c r="AL31" s="82">
        <f>(1+AK31)*(1+AL30)-1</f>
        <v>0</v>
      </c>
      <c r="AM31" s="82">
        <f>(1+AL31)*(1+AM30)-1</f>
        <v>0</v>
      </c>
      <c r="AN31" s="82">
        <f>(1+AM31)*(1+AN30)-1</f>
        <v>0</v>
      </c>
      <c r="AO31" s="82">
        <f>(1+AN31)*(1+AO30)-1</f>
        <v>0</v>
      </c>
      <c r="AP31" s="82">
        <f>(1+AO31)*(1+AP30)-1</f>
        <v>0</v>
      </c>
      <c r="AQ31" s="82">
        <f>(1+AP31)*(1+AQ30)-1</f>
        <v>0</v>
      </c>
      <c r="AR31" s="82">
        <f>(1+AQ31)*(1+AR30)-1</f>
        <v>0</v>
      </c>
      <c r="AS31" s="82">
        <f>(1+AR31)*(1+AS30)-1</f>
        <v>0</v>
      </c>
      <c r="AT31" s="82">
        <f>(1+AS31)*(1+AT30)-1</f>
        <v>0</v>
      </c>
      <c r="AU31" s="82">
        <f>(1+AT31)*(1+AU30)-1</f>
        <v>0</v>
      </c>
      <c r="AV31" s="82">
        <f>(1+AU31)*(1+AV30)-1</f>
        <v>0</v>
      </c>
      <c r="AW31" s="82">
        <f>(1+AV31)*(1+AW30)-1</f>
        <v>0</v>
      </c>
      <c r="AX31" s="82">
        <f>(1+AW31)*(1+AX30)-1</f>
        <v>0</v>
      </c>
      <c r="AY31" s="82">
        <f>(1+AX31)*(1+AY30)-1</f>
        <v>0</v>
      </c>
      <c r="AZ31" s="428"/>
      <c r="BA31" s="425" cm="1" t="str">
        <f t="array" ref="BA31:BA31">BA30</f>
        <v>0</v>
      </c>
      <c r="BB31" s="429">
        <f>(1+BA31)*(1+BB30)-1</f>
        <v>0</v>
      </c>
      <c r="BC31" s="82">
        <f>(1+BB31)*(1+BC30)-1</f>
        <v>0</v>
      </c>
      <c r="BD31" s="82">
        <f>(1+BC31)*(1+BD30)-1</f>
        <v>0</v>
      </c>
      <c r="BE31" s="82">
        <f>(1+BD31)*(1+BE30)-1</f>
        <v>0</v>
      </c>
      <c r="BF31" s="82">
        <f>(1+BE31)*(1+BF30)-1</f>
        <v>0</v>
      </c>
      <c r="BG31" s="82">
        <f>(1+BF31)*(1+BG30)-1</f>
        <v>0</v>
      </c>
      <c r="BH31" s="82">
        <f>(1+BG31)*(1+BH30)-1</f>
        <v>0</v>
      </c>
      <c r="BI31" s="82">
        <f>(1+BH31)*(1+BI30)-1</f>
        <v>0</v>
      </c>
      <c r="BJ31" s="82">
        <f>(1+BI31)*(1+BJ30)-1</f>
        <v>0</v>
      </c>
      <c r="BK31" s="82">
        <f>(1+BJ31)*(1+BK30)-1</f>
        <v>0</v>
      </c>
      <c r="BL31" s="82">
        <f>(1+BK31)*(1+BL30)-1</f>
        <v>0</v>
      </c>
      <c r="BM31" s="82">
        <f>(1+BL31)*(1+BM30)-1</f>
        <v>0</v>
      </c>
      <c r="BN31" s="82">
        <f>(1+BM31)*(1+BN30)-1</f>
        <v>0</v>
      </c>
      <c r="BO31" s="82">
        <f>(1+BN31)*(1+BO30)-1</f>
        <v>0</v>
      </c>
      <c r="BP31" s="82">
        <f>(1+BO31)*(1+BP30)-1</f>
        <v>0</v>
      </c>
      <c r="BQ31" s="82">
        <f>(1+BP31)*(1+BQ30)-1</f>
        <v>0</v>
      </c>
      <c r="BR31" s="82">
        <f>(1+BQ31)*(1+BR30)-1</f>
        <v>0</v>
      </c>
      <c r="BS31" s="82">
        <f>(1+BR31)*(1+BS30)-1</f>
        <v>0</v>
      </c>
      <c r="BV31" s="975" t="s">
        <v>603</v>
      </c>
      <c r="BW31" s="1077" cm="1" t="str">
        <f t="array" ref="BW31:BW31">BW30</f>
        <v>0</v>
      </c>
      <c r="BX31" s="1077" t="s">
        <v>600</v>
      </c>
      <c r="BY31" s="1076"/>
      <c r="BZ31" s="1077" t="s">
        <v>604</v>
      </c>
      <c r="CA31" s="1076"/>
      <c r="CB31" s="1077" t="s">
        <v>303</v>
      </c>
      <c r="CC31" s="1077" t="s">
        <v>514</v>
      </c>
      <c r="CD31" s="1077" t="s">
        <v>515</v>
      </c>
    </row>
    <row customHeight="1" ht="16.575" hidden="1">
      <c r="E32" s="180">
        <v>17</v>
      </c>
      <c r="F32" s="175" cm="1" t="str">
        <f t="array" ref="F32:F32">OFFSET(G32,-1,-1)</f>
        <v>0</v>
      </c>
      <c r="U32" s="973">
        <f>F32&gt;0</f>
        <v>0</v>
      </c>
      <c r="AB32" s="320">
        <v>3</v>
      </c>
      <c r="AC32" s="427" t="s">
        <v>605</v>
      </c>
      <c r="AD32" s="327" t="s">
        <v>598</v>
      </c>
      <c r="AE32" s="387" t="s">
        <v>495</v>
      </c>
      <c r="AF32" s="81"/>
      <c r="AG32" s="425"/>
      <c r="AH32" s="425"/>
      <c r="AI32" s="81"/>
      <c r="AJ32" s="81"/>
      <c r="AK32" s="81"/>
      <c r="AL32" s="81"/>
      <c r="AM32" s="81"/>
      <c r="AN32" s="81"/>
      <c r="AO32" s="81"/>
      <c r="AP32" s="81"/>
      <c r="AQ32" s="81"/>
      <c r="AR32" s="81"/>
      <c r="AS32" s="81"/>
      <c r="AT32" s="81"/>
      <c r="AU32" s="81"/>
      <c r="AV32" s="81"/>
      <c r="AW32" s="81"/>
      <c r="AX32" s="81"/>
      <c r="AY32" s="81"/>
      <c r="AZ32" s="425"/>
      <c r="BA32" s="425"/>
      <c r="BB32" s="425"/>
      <c r="BC32" s="81"/>
      <c r="BD32" s="81"/>
      <c r="BE32" s="81"/>
      <c r="BF32" s="81"/>
      <c r="BG32" s="81"/>
      <c r="BH32" s="81"/>
      <c r="BI32" s="81"/>
      <c r="BJ32" s="81"/>
      <c r="BK32" s="81"/>
      <c r="BL32" s="81"/>
      <c r="BM32" s="81"/>
      <c r="BN32" s="81"/>
      <c r="BO32" s="81"/>
      <c r="BP32" s="81"/>
      <c r="BQ32" s="81"/>
      <c r="BR32" s="81"/>
      <c r="BS32" s="81"/>
      <c r="BV32" s="975" t="s">
        <v>606</v>
      </c>
      <c r="BW32" s="1077" cm="1" t="str">
        <f t="array" ref="BW32:BW32">BW31</f>
        <v>0</v>
      </c>
      <c r="BX32" s="1076"/>
      <c r="BY32" s="1077" t="s">
        <v>607</v>
      </c>
      <c r="BZ32" s="1076"/>
      <c r="CA32" s="1077" t="s">
        <v>601</v>
      </c>
      <c r="CB32" s="1077" t="s">
        <v>303</v>
      </c>
      <c r="CC32" s="1077" t="s">
        <v>514</v>
      </c>
      <c r="CD32" s="1077" t="s">
        <v>515</v>
      </c>
    </row>
    <row customHeight="1" ht="16.575" hidden="1">
      <c r="E33" s="180">
        <v>17</v>
      </c>
      <c r="F33" s="175" cm="1" t="str">
        <f t="array" ref="F33:F33">OFFSET(G33,-1,-1)</f>
        <v>0</v>
      </c>
      <c r="U33" s="973">
        <f>F33&gt;0</f>
        <v>0</v>
      </c>
      <c r="AB33" s="320">
        <v>4</v>
      </c>
      <c r="AC33" s="427"/>
      <c r="AD33" s="327" t="s">
        <v>602</v>
      </c>
      <c r="AE33" s="387" t="s">
        <v>495</v>
      </c>
      <c r="AF33" s="428"/>
      <c r="AG33" s="425" cm="1" t="str">
        <f t="array" ref="AG33:AG33">AG32</f>
        <v>0</v>
      </c>
      <c r="AH33" s="429">
        <f>(1+AG33)*(1+AH32)-1</f>
        <v>0</v>
      </c>
      <c r="AI33" s="82">
        <f>(1+AH33)*(1+AI32)-1</f>
        <v>0</v>
      </c>
      <c r="AJ33" s="82">
        <f>(1+AI33)*(1+AJ32)-1</f>
        <v>0</v>
      </c>
      <c r="AK33" s="82">
        <f>(1+AJ33)*(1+AK32)-1</f>
        <v>0</v>
      </c>
      <c r="AL33" s="82">
        <f>(1+AK33)*(1+AL32)-1</f>
        <v>0</v>
      </c>
      <c r="AM33" s="82">
        <f>(1+AL33)*(1+AM32)-1</f>
        <v>0</v>
      </c>
      <c r="AN33" s="82">
        <f>(1+AM33)*(1+AN32)-1</f>
        <v>0</v>
      </c>
      <c r="AO33" s="82">
        <f>(1+AN33)*(1+AO32)-1</f>
        <v>0</v>
      </c>
      <c r="AP33" s="82">
        <f>(1+AO33)*(1+AP32)-1</f>
        <v>0</v>
      </c>
      <c r="AQ33" s="82">
        <f>(1+AP33)*(1+AQ32)-1</f>
        <v>0</v>
      </c>
      <c r="AR33" s="82">
        <f>(1+AQ33)*(1+AR32)-1</f>
        <v>0</v>
      </c>
      <c r="AS33" s="82">
        <f>(1+AR33)*(1+AS32)-1</f>
        <v>0</v>
      </c>
      <c r="AT33" s="82">
        <f>(1+AS33)*(1+AT32)-1</f>
        <v>0</v>
      </c>
      <c r="AU33" s="82">
        <f>(1+AT33)*(1+AU32)-1</f>
        <v>0</v>
      </c>
      <c r="AV33" s="82">
        <f>(1+AU33)*(1+AV32)-1</f>
        <v>0</v>
      </c>
      <c r="AW33" s="82">
        <f>(1+AV33)*(1+AW32)-1</f>
        <v>0</v>
      </c>
      <c r="AX33" s="82">
        <f>(1+AW33)*(1+AX32)-1</f>
        <v>0</v>
      </c>
      <c r="AY33" s="82">
        <f>(1+AX33)*(1+AY32)-1</f>
        <v>0</v>
      </c>
      <c r="AZ33" s="428"/>
      <c r="BA33" s="425" cm="1" t="str">
        <f t="array" ref="BA33:BA33">BA32</f>
        <v>0</v>
      </c>
      <c r="BB33" s="429">
        <f>(1+BA33)*(1+BB32)-1</f>
        <v>0</v>
      </c>
      <c r="BC33" s="82">
        <f>(1+BB33)*(1+BC32)-1</f>
        <v>0</v>
      </c>
      <c r="BD33" s="82">
        <f>(1+BC33)*(1+BD32)-1</f>
        <v>0</v>
      </c>
      <c r="BE33" s="82">
        <f>(1+BD33)*(1+BE32)-1</f>
        <v>0</v>
      </c>
      <c r="BF33" s="82">
        <f>(1+BE33)*(1+BF32)-1</f>
        <v>0</v>
      </c>
      <c r="BG33" s="82">
        <f>(1+BF33)*(1+BG32)-1</f>
        <v>0</v>
      </c>
      <c r="BH33" s="82">
        <f>(1+BG33)*(1+BH32)-1</f>
        <v>0</v>
      </c>
      <c r="BI33" s="82">
        <f>(1+BH33)*(1+BI32)-1</f>
        <v>0</v>
      </c>
      <c r="BJ33" s="82">
        <f>(1+BI33)*(1+BJ32)-1</f>
        <v>0</v>
      </c>
      <c r="BK33" s="82">
        <f>(1+BJ33)*(1+BK32)-1</f>
        <v>0</v>
      </c>
      <c r="BL33" s="82">
        <f>(1+BK33)*(1+BL32)-1</f>
        <v>0</v>
      </c>
      <c r="BM33" s="82">
        <f>(1+BL33)*(1+BM32)-1</f>
        <v>0</v>
      </c>
      <c r="BN33" s="82">
        <f>(1+BM33)*(1+BN32)-1</f>
        <v>0</v>
      </c>
      <c r="BO33" s="82">
        <f>(1+BN33)*(1+BO32)-1</f>
        <v>0</v>
      </c>
      <c r="BP33" s="82">
        <f>(1+BO33)*(1+BP32)-1</f>
        <v>0</v>
      </c>
      <c r="BQ33" s="82">
        <f>(1+BP33)*(1+BQ32)-1</f>
        <v>0</v>
      </c>
      <c r="BR33" s="82">
        <f>(1+BQ33)*(1+BR32)-1</f>
        <v>0</v>
      </c>
      <c r="BS33" s="82">
        <f>(1+BR33)*(1+BS32)-1</f>
        <v>0</v>
      </c>
      <c r="BV33" s="975" t="s">
        <v>608</v>
      </c>
      <c r="BW33" s="1077" cm="1" t="str">
        <f t="array" ref="BW33:BW33">BW32</f>
        <v>0</v>
      </c>
      <c r="BX33" s="1076"/>
      <c r="BY33" s="1077" t="s">
        <v>607</v>
      </c>
      <c r="BZ33" s="1077" t="s">
        <v>604</v>
      </c>
      <c r="CA33" s="1076"/>
      <c r="CB33" s="1077" t="s">
        <v>303</v>
      </c>
      <c r="CC33" s="1077" t="s">
        <v>514</v>
      </c>
      <c r="CD33" s="1077" t="s">
        <v>515</v>
      </c>
    </row>
    <row customHeight="1" ht="16.575" hidden="1">
      <c r="E34" s="180">
        <v>17</v>
      </c>
      <c r="F34" s="175" cm="1" t="str">
        <f t="array" ref="F34:F34">OFFSET(G34,-1,-1)</f>
        <v>0</v>
      </c>
      <c r="U34" s="973">
        <f>F34&gt;0</f>
        <v>0</v>
      </c>
      <c r="AB34" s="320">
        <v>5</v>
      </c>
      <c r="AC34" s="427" t="s">
        <v>609</v>
      </c>
      <c r="AD34" s="427"/>
      <c r="AE34" s="387" t="s">
        <v>495</v>
      </c>
      <c r="AF34" s="81"/>
      <c r="AG34" s="425"/>
      <c r="AH34" s="425"/>
      <c r="AI34" s="81"/>
      <c r="AJ34" s="81"/>
      <c r="AK34" s="81"/>
      <c r="AL34" s="81"/>
      <c r="AM34" s="81"/>
      <c r="AN34" s="81"/>
      <c r="AO34" s="81"/>
      <c r="AP34" s="81"/>
      <c r="AQ34" s="81"/>
      <c r="AR34" s="81"/>
      <c r="AS34" s="81"/>
      <c r="AT34" s="81"/>
      <c r="AU34" s="81"/>
      <c r="AV34" s="81"/>
      <c r="AW34" s="81"/>
      <c r="AX34" s="81"/>
      <c r="AY34" s="81"/>
      <c r="AZ34" s="425"/>
      <c r="BA34" s="425"/>
      <c r="BB34" s="425"/>
      <c r="BC34" s="81"/>
      <c r="BD34" s="81"/>
      <c r="BE34" s="81"/>
      <c r="BF34" s="81"/>
      <c r="BG34" s="81"/>
      <c r="BH34" s="81"/>
      <c r="BI34" s="81"/>
      <c r="BJ34" s="81"/>
      <c r="BK34" s="81"/>
      <c r="BL34" s="81"/>
      <c r="BM34" s="81"/>
      <c r="BN34" s="81"/>
      <c r="BO34" s="81"/>
      <c r="BP34" s="81"/>
      <c r="BQ34" s="81"/>
      <c r="BR34" s="81"/>
      <c r="BS34" s="81"/>
      <c r="BV34" s="975" t="s">
        <v>610</v>
      </c>
      <c r="BW34" s="1077" cm="1" t="str">
        <f t="array" ref="BW34:BW34">BW33</f>
        <v>0</v>
      </c>
      <c r="BX34" s="1076"/>
      <c r="BY34" s="1076"/>
      <c r="BZ34" s="1076"/>
      <c r="CA34" s="1076"/>
      <c r="CB34" s="1077" t="s">
        <v>303</v>
      </c>
      <c r="CC34" s="1077" t="s">
        <v>611</v>
      </c>
      <c r="CD34" s="1077" t="s">
        <v>612</v>
      </c>
    </row>
    <row s="308" customFormat="1" customHeight="1" ht="10.5">
      <c r="A35" s="308"/>
      <c r="B35" s="308"/>
      <c r="C35" s="308"/>
      <c r="D35" s="308"/>
      <c r="E35" s="284">
        <v>11</v>
      </c>
      <c r="F35" s="175" cm="1" t="str">
        <f t="array" ref="F35:F35">Y35</f>
        <v>1</v>
      </c>
      <c r="G35" s="308"/>
      <c r="H35" s="308"/>
      <c r="I35" s="308"/>
      <c r="J35" s="308"/>
      <c r="K35" s="308"/>
      <c r="L35" s="308"/>
      <c r="M35" s="308"/>
      <c r="N35" s="308"/>
      <c r="O35" s="308"/>
      <c r="P35" s="308"/>
      <c r="Q35" s="308"/>
      <c r="R35" s="308"/>
      <c r="S35" s="308"/>
      <c r="T35" s="308"/>
      <c r="U35" s="973">
        <f>F35&gt;0</f>
        <v>1</v>
      </c>
      <c r="V35" s="308"/>
      <c r="W35" s="176" cm="1" t="str">
        <f t="array" ref="W35:W35">Сценарии!$AB$57</f>
        <v>Тариф 1 (Теплоснабжение) - Тариф на тепловую энергию (мощность), поставляемую потребителям (Доп. признак не требуется)</v>
      </c>
      <c r="X35" s="308"/>
      <c r="Y35" s="176" t="s">
        <v>308</v>
      </c>
      <c r="Z35" s="308"/>
      <c r="AA35" s="308"/>
      <c r="AB35" s="319" cm="1" t="str">
        <f t="array" ref="AB35:AB35">IF(ISBLANK(Сценарии!$AB$57),"",Сценарии!$AB$57)</f>
        <v>Тариф 1 (Теплоснабжение) - Тариф на тепловую энергию (мощность), поставляемую потребителям (Доп. признак не требуется)</v>
      </c>
      <c r="AC35" s="298"/>
      <c r="AD35" s="298"/>
      <c r="AE35" s="299"/>
      <c r="AF35" s="299"/>
      <c r="AG35" s="299"/>
      <c r="AH35" s="299"/>
      <c r="AI35" s="299"/>
      <c r="AJ35" s="299"/>
      <c r="AK35" s="299"/>
      <c r="AL35" s="299"/>
      <c r="AM35" s="299"/>
      <c r="AN35" s="299"/>
      <c r="AO35" s="299"/>
      <c r="AP35" s="299"/>
      <c r="AQ35" s="299"/>
      <c r="AR35" s="299"/>
      <c r="AS35" s="299"/>
      <c r="AT35" s="299"/>
      <c r="AU35" s="299"/>
      <c r="AV35" s="299"/>
      <c r="AW35" s="299"/>
      <c r="AX35" s="299"/>
      <c r="AY35" s="299"/>
      <c r="AZ35" s="299"/>
      <c r="BA35" s="299"/>
      <c r="BB35" s="299"/>
      <c r="BC35" s="299"/>
      <c r="BD35" s="299"/>
      <c r="BE35" s="299"/>
      <c r="BF35" s="299"/>
      <c r="BG35" s="299"/>
      <c r="BH35" s="299"/>
      <c r="BI35" s="299"/>
      <c r="BJ35" s="299"/>
      <c r="BK35" s="299"/>
      <c r="BL35" s="299"/>
      <c r="BM35" s="299"/>
      <c r="BN35" s="299"/>
      <c r="BO35" s="299"/>
      <c r="BP35" s="299"/>
      <c r="BQ35" s="299"/>
      <c r="BR35" s="299"/>
      <c r="BS35" s="299"/>
      <c r="BT35" s="308"/>
      <c r="BU35" s="308"/>
      <c r="BV35" s="309"/>
      <c r="BW35" s="308"/>
      <c r="BX35" s="308"/>
      <c r="BY35" s="308"/>
      <c r="BZ35" s="308"/>
      <c r="CA35" s="308"/>
      <c r="CB35" s="308"/>
      <c r="CC35" s="308"/>
      <c r="CD35" s="308"/>
    </row>
    <row s="1751" customFormat="1" customHeight="1" ht="10.5">
      <c r="A36" s="371"/>
      <c r="B36" s="1548"/>
      <c r="C36" s="1548"/>
      <c r="D36" s="1548"/>
      <c r="E36" s="180">
        <v>11</v>
      </c>
      <c r="F36" s="175" cm="1" t="str">
        <f t="array" ref="F36:F36">OFFSET(G36,-1,-1)</f>
        <v>1</v>
      </c>
      <c r="G36" s="1548"/>
      <c r="H36" s="1548"/>
      <c r="I36" s="1548"/>
      <c r="J36" s="1548"/>
      <c r="K36" s="1548"/>
      <c r="L36" s="1548"/>
      <c r="M36" s="1548"/>
      <c r="N36" s="1548"/>
      <c r="O36" s="1548"/>
      <c r="P36" s="1548"/>
      <c r="Q36" s="1548"/>
      <c r="R36" s="1548"/>
      <c r="S36" s="1548"/>
      <c r="T36" s="1548"/>
      <c r="U36" s="973">
        <f>F36&gt;0</f>
        <v>1</v>
      </c>
      <c r="V36" s="1548"/>
      <c r="W36" s="1548"/>
      <c r="X36" s="1548"/>
      <c r="Y36" s="1548"/>
      <c r="Z36" s="1548"/>
      <c r="AA36" s="1727"/>
      <c r="AB36" s="390"/>
      <c r="AC36" s="391" t="s">
        <v>499</v>
      </c>
      <c r="AD36" s="391"/>
      <c r="AE36" s="392"/>
      <c r="AF36" s="393"/>
      <c r="AG36" s="393"/>
      <c r="AH36" s="393"/>
      <c r="AI36" s="393"/>
      <c r="AJ36" s="393"/>
      <c r="AK36" s="393"/>
      <c r="AL36" s="393"/>
      <c r="AM36" s="393"/>
      <c r="AN36" s="393"/>
      <c r="AO36" s="393"/>
      <c r="AP36" s="393"/>
      <c r="AQ36" s="393"/>
      <c r="AR36" s="393"/>
      <c r="AS36" s="393"/>
      <c r="AT36" s="393"/>
      <c r="AU36" s="393"/>
      <c r="AV36" s="393"/>
      <c r="AW36" s="393"/>
      <c r="AX36" s="393"/>
      <c r="AY36" s="393"/>
      <c r="AZ36" s="393"/>
      <c r="BA36" s="393"/>
      <c r="BB36" s="393"/>
      <c r="BC36" s="393"/>
      <c r="BD36" s="393"/>
      <c r="BE36" s="393"/>
      <c r="BF36" s="393"/>
      <c r="BG36" s="393"/>
      <c r="BH36" s="393"/>
      <c r="BI36" s="393"/>
      <c r="BJ36" s="393"/>
      <c r="BK36" s="393"/>
      <c r="BL36" s="393"/>
      <c r="BM36" s="393"/>
      <c r="BN36" s="393"/>
      <c r="BO36" s="393"/>
      <c r="BP36" s="393"/>
      <c r="BQ36" s="393"/>
      <c r="BR36" s="393"/>
      <c r="BS36" s="393"/>
      <c r="BT36" s="1727"/>
      <c r="BU36" s="969"/>
      <c r="BV36" s="1145"/>
      <c r="BW36" s="1751"/>
      <c r="BX36" s="1751"/>
      <c r="BY36" s="1751"/>
      <c r="BZ36" s="1751"/>
      <c r="CA36" s="1751"/>
      <c r="CB36" s="1751"/>
      <c r="CC36" s="1751"/>
      <c r="CD36" s="1751"/>
    </row>
    <row s="1751" customFormat="1" customHeight="1" ht="16.5">
      <c r="A37" s="371"/>
      <c r="B37" s="1548"/>
      <c r="C37" s="1548"/>
      <c r="D37" s="1548"/>
      <c r="E37" s="180">
        <v>17</v>
      </c>
      <c r="F37" s="175" cm="1" t="str">
        <f t="array" ref="F37:F37">OFFSET(G37,-1,-1)</f>
        <v>1</v>
      </c>
      <c r="G37" s="1548"/>
      <c r="H37" s="1548"/>
      <c r="I37" s="1548"/>
      <c r="J37" s="1548"/>
      <c r="K37" s="1548"/>
      <c r="L37" s="1548"/>
      <c r="M37" s="1548"/>
      <c r="N37" s="1548"/>
      <c r="O37" s="1548"/>
      <c r="P37" s="1548"/>
      <c r="Q37" s="1548"/>
      <c r="R37" s="1548"/>
      <c r="S37" s="1548"/>
      <c r="T37" s="1548"/>
      <c r="U37" s="973">
        <f>F37&gt;0</f>
        <v>1</v>
      </c>
      <c r="V37" s="1548"/>
      <c r="W37" s="1548"/>
      <c r="X37" s="1548"/>
      <c r="Y37" s="1548"/>
      <c r="Z37" s="1548"/>
      <c r="AA37" s="1727"/>
      <c r="AB37" s="320">
        <v>1</v>
      </c>
      <c r="AC37" s="427" t="s">
        <v>613</v>
      </c>
      <c r="AD37" s="327" t="s">
        <v>598</v>
      </c>
      <c r="AE37" s="387" t="s">
        <v>495</v>
      </c>
      <c r="AF37" s="1892"/>
      <c r="AG37" s="425"/>
      <c r="AH37" s="425"/>
      <c r="AI37" s="1892"/>
      <c r="AJ37" s="1892"/>
      <c r="AK37" s="1892"/>
      <c r="AL37" s="1892"/>
      <c r="AM37" s="1892"/>
      <c r="AN37" s="1892"/>
      <c r="AO37" s="1892"/>
      <c r="AP37" s="1892"/>
      <c r="AQ37" s="1892"/>
      <c r="AR37" s="1892"/>
      <c r="AS37" s="1892"/>
      <c r="AT37" s="1892"/>
      <c r="AU37" s="1892"/>
      <c r="AV37" s="1892"/>
      <c r="AW37" s="1892"/>
      <c r="AX37" s="1892"/>
      <c r="AY37" s="1892"/>
      <c r="AZ37" s="425"/>
      <c r="BA37" s="425"/>
      <c r="BB37" s="425"/>
      <c r="BC37" s="1892"/>
      <c r="BD37" s="1892"/>
      <c r="BE37" s="1892"/>
      <c r="BF37" s="1892"/>
      <c r="BG37" s="1892"/>
      <c r="BH37" s="1892"/>
      <c r="BI37" s="1892"/>
      <c r="BJ37" s="1892"/>
      <c r="BK37" s="1892"/>
      <c r="BL37" s="1892"/>
      <c r="BM37" s="1892"/>
      <c r="BN37" s="1892"/>
      <c r="BO37" s="1892"/>
      <c r="BP37" s="1892"/>
      <c r="BQ37" s="1892"/>
      <c r="BR37" s="1892"/>
      <c r="BS37" s="1892"/>
      <c r="BT37" s="1727"/>
      <c r="BU37" s="969"/>
      <c r="BV37" s="975" t="s">
        <v>599</v>
      </c>
      <c r="BW37" s="1077" cm="1" t="str">
        <f t="array" ref="BW37:BW37">INDEX('Общие сведения'!$N$170:$N$202,MATCH($F37,'Общие сведения'!$Y$170:$Y$202,0)+1)</f>
        <v>ТЭ.42.31656254.0001</v>
      </c>
      <c r="BX37" s="1077" t="s">
        <v>600</v>
      </c>
      <c r="BY37" s="1076"/>
      <c r="BZ37" s="1076"/>
      <c r="CA37" s="1077" t="s">
        <v>601</v>
      </c>
      <c r="CB37" s="1077" t="s">
        <v>303</v>
      </c>
      <c r="CC37" s="1077" t="s">
        <v>514</v>
      </c>
      <c r="CD37" s="1077" t="s">
        <v>515</v>
      </c>
    </row>
    <row s="1751" customFormat="1" customHeight="1" ht="16.5">
      <c r="A38" s="371"/>
      <c r="B38" s="1548"/>
      <c r="C38" s="1548"/>
      <c r="D38" s="1548"/>
      <c r="E38" s="180">
        <v>17</v>
      </c>
      <c r="F38" s="175" cm="1" t="str">
        <f t="array" ref="F38:F38">OFFSET(G38,-1,-1)</f>
        <v>1</v>
      </c>
      <c r="G38" s="1548"/>
      <c r="H38" s="1548"/>
      <c r="I38" s="1548"/>
      <c r="J38" s="1548"/>
      <c r="K38" s="1548"/>
      <c r="L38" s="1548"/>
      <c r="M38" s="1548"/>
      <c r="N38" s="1548"/>
      <c r="O38" s="1548"/>
      <c r="P38" s="1548"/>
      <c r="Q38" s="1548"/>
      <c r="R38" s="1548"/>
      <c r="S38" s="1548"/>
      <c r="T38" s="1548"/>
      <c r="U38" s="973">
        <f>F38&gt;0</f>
        <v>1</v>
      </c>
      <c r="V38" s="1548"/>
      <c r="W38" s="1548"/>
      <c r="X38" s="1548"/>
      <c r="Y38" s="1548"/>
      <c r="Z38" s="1548"/>
      <c r="AA38" s="1727"/>
      <c r="AB38" s="320">
        <v>2</v>
      </c>
      <c r="AC38" s="427"/>
      <c r="AD38" s="327" t="s">
        <v>602</v>
      </c>
      <c r="AE38" s="387" t="s">
        <v>495</v>
      </c>
      <c r="AF38" s="428"/>
      <c r="AG38" s="425" cm="1" t="str">
        <f t="array" ref="AG38:AG38">AG37</f>
        <v>0</v>
      </c>
      <c r="AH38" s="429">
        <f>(1+AG38)*(1+AH37)-1</f>
        <v>0</v>
      </c>
      <c r="AI38" s="1894">
        <f>(1+AH38)*(1+AI37)-1</f>
        <v>0</v>
      </c>
      <c r="AJ38" s="1894">
        <f>(1+AI38)*(1+AJ37)-1</f>
        <v>0</v>
      </c>
      <c r="AK38" s="1894">
        <f>(1+AJ38)*(1+AK37)-1</f>
        <v>0</v>
      </c>
      <c r="AL38" s="1894">
        <f>(1+AK38)*(1+AL37)-1</f>
        <v>0</v>
      </c>
      <c r="AM38" s="1894">
        <f>(1+AL38)*(1+AM37)-1</f>
        <v>0</v>
      </c>
      <c r="AN38" s="1894">
        <f>(1+AM38)*(1+AN37)-1</f>
        <v>0</v>
      </c>
      <c r="AO38" s="1894">
        <f>(1+AN38)*(1+AO37)-1</f>
        <v>0</v>
      </c>
      <c r="AP38" s="1894">
        <f>(1+AO38)*(1+AP37)-1</f>
        <v>0</v>
      </c>
      <c r="AQ38" s="1894">
        <f>(1+AP38)*(1+AQ37)-1</f>
        <v>0</v>
      </c>
      <c r="AR38" s="1894">
        <f>(1+AQ38)*(1+AR37)-1</f>
        <v>0</v>
      </c>
      <c r="AS38" s="1894">
        <f>(1+AR38)*(1+AS37)-1</f>
        <v>0</v>
      </c>
      <c r="AT38" s="1894">
        <f>(1+AS38)*(1+AT37)-1</f>
        <v>0</v>
      </c>
      <c r="AU38" s="1894">
        <f>(1+AT38)*(1+AU37)-1</f>
        <v>0</v>
      </c>
      <c r="AV38" s="1894">
        <f>(1+AU38)*(1+AV37)-1</f>
        <v>0</v>
      </c>
      <c r="AW38" s="1894">
        <f>(1+AV38)*(1+AW37)-1</f>
        <v>0</v>
      </c>
      <c r="AX38" s="1894">
        <f>(1+AW38)*(1+AX37)-1</f>
        <v>0</v>
      </c>
      <c r="AY38" s="1894">
        <f>(1+AX38)*(1+AY37)-1</f>
        <v>0</v>
      </c>
      <c r="AZ38" s="428"/>
      <c r="BA38" s="425" cm="1" t="str">
        <f t="array" ref="BA38:BA38">BA37</f>
        <v>0</v>
      </c>
      <c r="BB38" s="429">
        <f>(1+BA38)*(1+BB37)-1</f>
        <v>0</v>
      </c>
      <c r="BC38" s="1894">
        <f>(1+BB38)*(1+BC37)-1</f>
        <v>0</v>
      </c>
      <c r="BD38" s="1894">
        <f>(1+BC38)*(1+BD37)-1</f>
        <v>0</v>
      </c>
      <c r="BE38" s="1894">
        <f>(1+BD38)*(1+BE37)-1</f>
        <v>0</v>
      </c>
      <c r="BF38" s="1894">
        <f>(1+BE38)*(1+BF37)-1</f>
        <v>0</v>
      </c>
      <c r="BG38" s="1894">
        <f>(1+BF38)*(1+BG37)-1</f>
        <v>0</v>
      </c>
      <c r="BH38" s="1894">
        <f>(1+BG38)*(1+BH37)-1</f>
        <v>0</v>
      </c>
      <c r="BI38" s="1894">
        <f>(1+BH38)*(1+BI37)-1</f>
        <v>0</v>
      </c>
      <c r="BJ38" s="1894">
        <f>(1+BI38)*(1+BJ37)-1</f>
        <v>0</v>
      </c>
      <c r="BK38" s="1894">
        <f>(1+BJ38)*(1+BK37)-1</f>
        <v>0</v>
      </c>
      <c r="BL38" s="1894">
        <f>(1+BK38)*(1+BL37)-1</f>
        <v>0</v>
      </c>
      <c r="BM38" s="1894">
        <f>(1+BL38)*(1+BM37)-1</f>
        <v>0</v>
      </c>
      <c r="BN38" s="1894">
        <f>(1+BM38)*(1+BN37)-1</f>
        <v>0</v>
      </c>
      <c r="BO38" s="1894">
        <f>(1+BN38)*(1+BO37)-1</f>
        <v>0</v>
      </c>
      <c r="BP38" s="1894">
        <f>(1+BO38)*(1+BP37)-1</f>
        <v>0</v>
      </c>
      <c r="BQ38" s="1894">
        <f>(1+BP38)*(1+BQ37)-1</f>
        <v>0</v>
      </c>
      <c r="BR38" s="1894">
        <f>(1+BQ38)*(1+BR37)-1</f>
        <v>0</v>
      </c>
      <c r="BS38" s="1894">
        <f>(1+BR38)*(1+BS37)-1</f>
        <v>0</v>
      </c>
      <c r="BT38" s="1727"/>
      <c r="BU38" s="969"/>
      <c r="BV38" s="975" t="s">
        <v>603</v>
      </c>
      <c r="BW38" s="1077" cm="1" t="str">
        <f t="array" ref="BW38:BW38">BW37</f>
        <v>ТЭ.42.31656254.0001</v>
      </c>
      <c r="BX38" s="1077" t="s">
        <v>600</v>
      </c>
      <c r="BY38" s="1076"/>
      <c r="BZ38" s="1077" t="s">
        <v>604</v>
      </c>
      <c r="CA38" s="1076"/>
      <c r="CB38" s="1077" t="s">
        <v>303</v>
      </c>
      <c r="CC38" s="1077" t="s">
        <v>514</v>
      </c>
      <c r="CD38" s="1077" t="s">
        <v>515</v>
      </c>
    </row>
    <row s="1751" customFormat="1" customHeight="1" ht="16.5">
      <c r="A39" s="371"/>
      <c r="B39" s="1548"/>
      <c r="C39" s="1548"/>
      <c r="D39" s="1548"/>
      <c r="E39" s="180">
        <v>17</v>
      </c>
      <c r="F39" s="175" cm="1" t="str">
        <f t="array" ref="F39:F39">OFFSET(G39,-1,-1)</f>
        <v>1</v>
      </c>
      <c r="G39" s="1548"/>
      <c r="H39" s="1548"/>
      <c r="I39" s="1548"/>
      <c r="J39" s="1548"/>
      <c r="K39" s="1548"/>
      <c r="L39" s="1548"/>
      <c r="M39" s="1548"/>
      <c r="N39" s="1548"/>
      <c r="O39" s="1548"/>
      <c r="P39" s="1548"/>
      <c r="Q39" s="1548"/>
      <c r="R39" s="1548"/>
      <c r="S39" s="1548"/>
      <c r="T39" s="1548"/>
      <c r="U39" s="973">
        <f>F39&gt;0</f>
        <v>1</v>
      </c>
      <c r="V39" s="1548"/>
      <c r="W39" s="1548"/>
      <c r="X39" s="1548"/>
      <c r="Y39" s="1548"/>
      <c r="Z39" s="1548"/>
      <c r="AA39" s="1727"/>
      <c r="AB39" s="320">
        <v>3</v>
      </c>
      <c r="AC39" s="427" t="s">
        <v>605</v>
      </c>
      <c r="AD39" s="327" t="s">
        <v>598</v>
      </c>
      <c r="AE39" s="387" t="s">
        <v>495</v>
      </c>
      <c r="AF39" s="1892"/>
      <c r="AG39" s="425"/>
      <c r="AH39" s="425"/>
      <c r="AI39" s="1892"/>
      <c r="AJ39" s="1892"/>
      <c r="AK39" s="1892"/>
      <c r="AL39" s="1892"/>
      <c r="AM39" s="1892"/>
      <c r="AN39" s="1892"/>
      <c r="AO39" s="1892"/>
      <c r="AP39" s="1892"/>
      <c r="AQ39" s="1892"/>
      <c r="AR39" s="1892"/>
      <c r="AS39" s="1892"/>
      <c r="AT39" s="1892"/>
      <c r="AU39" s="1892"/>
      <c r="AV39" s="1892"/>
      <c r="AW39" s="1892"/>
      <c r="AX39" s="1892"/>
      <c r="AY39" s="1892"/>
      <c r="AZ39" s="425"/>
      <c r="BA39" s="425"/>
      <c r="BB39" s="425"/>
      <c r="BC39" s="1892"/>
      <c r="BD39" s="1892"/>
      <c r="BE39" s="1892"/>
      <c r="BF39" s="1892"/>
      <c r="BG39" s="1892"/>
      <c r="BH39" s="1892"/>
      <c r="BI39" s="1892"/>
      <c r="BJ39" s="1892"/>
      <c r="BK39" s="1892"/>
      <c r="BL39" s="1892"/>
      <c r="BM39" s="1892"/>
      <c r="BN39" s="1892"/>
      <c r="BO39" s="1892"/>
      <c r="BP39" s="1892"/>
      <c r="BQ39" s="1892"/>
      <c r="BR39" s="1892"/>
      <c r="BS39" s="1892"/>
      <c r="BT39" s="1727"/>
      <c r="BU39" s="969"/>
      <c r="BV39" s="975" t="s">
        <v>606</v>
      </c>
      <c r="BW39" s="1077" cm="1" t="str">
        <f t="array" ref="BW39:BW39">BW38</f>
        <v>ТЭ.42.31656254.0001</v>
      </c>
      <c r="BX39" s="1076"/>
      <c r="BY39" s="1077" t="s">
        <v>607</v>
      </c>
      <c r="BZ39" s="1076"/>
      <c r="CA39" s="1077" t="s">
        <v>601</v>
      </c>
      <c r="CB39" s="1077" t="s">
        <v>303</v>
      </c>
      <c r="CC39" s="1077" t="s">
        <v>514</v>
      </c>
      <c r="CD39" s="1077" t="s">
        <v>515</v>
      </c>
    </row>
    <row s="1751" customFormat="1" customHeight="1" ht="16.5">
      <c r="A40" s="371"/>
      <c r="B40" s="1548"/>
      <c r="C40" s="1548"/>
      <c r="D40" s="1548"/>
      <c r="E40" s="180">
        <v>17</v>
      </c>
      <c r="F40" s="175" cm="1" t="str">
        <f t="array" ref="F40:F40">OFFSET(G40,-1,-1)</f>
        <v>1</v>
      </c>
      <c r="G40" s="1548"/>
      <c r="H40" s="1548"/>
      <c r="I40" s="1548"/>
      <c r="J40" s="1548"/>
      <c r="K40" s="1548"/>
      <c r="L40" s="1548"/>
      <c r="M40" s="1548"/>
      <c r="N40" s="1548"/>
      <c r="O40" s="1548"/>
      <c r="P40" s="1548"/>
      <c r="Q40" s="1548"/>
      <c r="R40" s="1548"/>
      <c r="S40" s="1548"/>
      <c r="T40" s="1548"/>
      <c r="U40" s="973">
        <f>F40&gt;0</f>
        <v>1</v>
      </c>
      <c r="V40" s="1548"/>
      <c r="W40" s="1548"/>
      <c r="X40" s="1548"/>
      <c r="Y40" s="1548"/>
      <c r="Z40" s="1548"/>
      <c r="AA40" s="1727"/>
      <c r="AB40" s="320">
        <v>4</v>
      </c>
      <c r="AC40" s="427"/>
      <c r="AD40" s="327" t="s">
        <v>602</v>
      </c>
      <c r="AE40" s="387" t="s">
        <v>495</v>
      </c>
      <c r="AF40" s="428"/>
      <c r="AG40" s="425" cm="1" t="str">
        <f t="array" ref="AG40:AG40">AG39</f>
        <v>0</v>
      </c>
      <c r="AH40" s="429">
        <f>(1+AG40)*(1+AH39)-1</f>
        <v>0</v>
      </c>
      <c r="AI40" s="1894">
        <f>(1+AH40)*(1+AI39)-1</f>
        <v>0</v>
      </c>
      <c r="AJ40" s="1894">
        <f>(1+AI40)*(1+AJ39)-1</f>
        <v>0</v>
      </c>
      <c r="AK40" s="1894">
        <f>(1+AJ40)*(1+AK39)-1</f>
        <v>0</v>
      </c>
      <c r="AL40" s="1894">
        <f>(1+AK40)*(1+AL39)-1</f>
        <v>0</v>
      </c>
      <c r="AM40" s="1894">
        <f>(1+AL40)*(1+AM39)-1</f>
        <v>0</v>
      </c>
      <c r="AN40" s="1894">
        <f>(1+AM40)*(1+AN39)-1</f>
        <v>0</v>
      </c>
      <c r="AO40" s="1894">
        <f>(1+AN40)*(1+AO39)-1</f>
        <v>0</v>
      </c>
      <c r="AP40" s="1894">
        <f>(1+AO40)*(1+AP39)-1</f>
        <v>0</v>
      </c>
      <c r="AQ40" s="1894">
        <f>(1+AP40)*(1+AQ39)-1</f>
        <v>0</v>
      </c>
      <c r="AR40" s="1894">
        <f>(1+AQ40)*(1+AR39)-1</f>
        <v>0</v>
      </c>
      <c r="AS40" s="1894">
        <f>(1+AR40)*(1+AS39)-1</f>
        <v>0</v>
      </c>
      <c r="AT40" s="1894">
        <f>(1+AS40)*(1+AT39)-1</f>
        <v>0</v>
      </c>
      <c r="AU40" s="1894">
        <f>(1+AT40)*(1+AU39)-1</f>
        <v>0</v>
      </c>
      <c r="AV40" s="1894">
        <f>(1+AU40)*(1+AV39)-1</f>
        <v>0</v>
      </c>
      <c r="AW40" s="1894">
        <f>(1+AV40)*(1+AW39)-1</f>
        <v>0</v>
      </c>
      <c r="AX40" s="1894">
        <f>(1+AW40)*(1+AX39)-1</f>
        <v>0</v>
      </c>
      <c r="AY40" s="1894">
        <f>(1+AX40)*(1+AY39)-1</f>
        <v>0</v>
      </c>
      <c r="AZ40" s="428"/>
      <c r="BA40" s="425" cm="1" t="str">
        <f t="array" ref="BA40:BA40">BA39</f>
        <v>0</v>
      </c>
      <c r="BB40" s="429">
        <f>(1+BA40)*(1+BB39)-1</f>
        <v>0</v>
      </c>
      <c r="BC40" s="1894">
        <f>(1+BB40)*(1+BC39)-1</f>
        <v>0</v>
      </c>
      <c r="BD40" s="1894">
        <f>(1+BC40)*(1+BD39)-1</f>
        <v>0</v>
      </c>
      <c r="BE40" s="1894">
        <f>(1+BD40)*(1+BE39)-1</f>
        <v>0</v>
      </c>
      <c r="BF40" s="1894">
        <f>(1+BE40)*(1+BF39)-1</f>
        <v>0</v>
      </c>
      <c r="BG40" s="1894">
        <f>(1+BF40)*(1+BG39)-1</f>
        <v>0</v>
      </c>
      <c r="BH40" s="1894">
        <f>(1+BG40)*(1+BH39)-1</f>
        <v>0</v>
      </c>
      <c r="BI40" s="1894">
        <f>(1+BH40)*(1+BI39)-1</f>
        <v>0</v>
      </c>
      <c r="BJ40" s="1894">
        <f>(1+BI40)*(1+BJ39)-1</f>
        <v>0</v>
      </c>
      <c r="BK40" s="1894">
        <f>(1+BJ40)*(1+BK39)-1</f>
        <v>0</v>
      </c>
      <c r="BL40" s="1894">
        <f>(1+BK40)*(1+BL39)-1</f>
        <v>0</v>
      </c>
      <c r="BM40" s="1894">
        <f>(1+BL40)*(1+BM39)-1</f>
        <v>0</v>
      </c>
      <c r="BN40" s="1894">
        <f>(1+BM40)*(1+BN39)-1</f>
        <v>0</v>
      </c>
      <c r="BO40" s="1894">
        <f>(1+BN40)*(1+BO39)-1</f>
        <v>0</v>
      </c>
      <c r="BP40" s="1894">
        <f>(1+BO40)*(1+BP39)-1</f>
        <v>0</v>
      </c>
      <c r="BQ40" s="1894">
        <f>(1+BP40)*(1+BQ39)-1</f>
        <v>0</v>
      </c>
      <c r="BR40" s="1894">
        <f>(1+BQ40)*(1+BR39)-1</f>
        <v>0</v>
      </c>
      <c r="BS40" s="1894">
        <f>(1+BR40)*(1+BS39)-1</f>
        <v>0</v>
      </c>
      <c r="BT40" s="1727"/>
      <c r="BU40" s="969"/>
      <c r="BV40" s="975" t="s">
        <v>608</v>
      </c>
      <c r="BW40" s="1077" cm="1" t="str">
        <f t="array" ref="BW40:BW40">BW39</f>
        <v>ТЭ.42.31656254.0001</v>
      </c>
      <c r="BX40" s="1076"/>
      <c r="BY40" s="1077" t="s">
        <v>607</v>
      </c>
      <c r="BZ40" s="1077" t="s">
        <v>604</v>
      </c>
      <c r="CA40" s="1076"/>
      <c r="CB40" s="1077" t="s">
        <v>303</v>
      </c>
      <c r="CC40" s="1077" t="s">
        <v>514</v>
      </c>
      <c r="CD40" s="1077" t="s">
        <v>515</v>
      </c>
    </row>
    <row s="1751" customFormat="1" customHeight="1" ht="16.5">
      <c r="A41" s="371"/>
      <c r="B41" s="1548"/>
      <c r="C41" s="1548"/>
      <c r="D41" s="1548"/>
      <c r="E41" s="180">
        <v>17</v>
      </c>
      <c r="F41" s="175" cm="1" t="str">
        <f t="array" ref="F41:F41">OFFSET(G41,-1,-1)</f>
        <v>1</v>
      </c>
      <c r="G41" s="1548"/>
      <c r="H41" s="1548"/>
      <c r="I41" s="1548"/>
      <c r="J41" s="1548"/>
      <c r="K41" s="1548"/>
      <c r="L41" s="1548"/>
      <c r="M41" s="1548"/>
      <c r="N41" s="1548"/>
      <c r="O41" s="1548"/>
      <c r="P41" s="1548"/>
      <c r="Q41" s="1548"/>
      <c r="R41" s="1548"/>
      <c r="S41" s="1548"/>
      <c r="T41" s="1548"/>
      <c r="U41" s="973">
        <f>F41&gt;0</f>
        <v>1</v>
      </c>
      <c r="V41" s="1548"/>
      <c r="W41" s="1548"/>
      <c r="X41" s="1548"/>
      <c r="Y41" s="1548"/>
      <c r="Z41" s="1548"/>
      <c r="AA41" s="1727"/>
      <c r="AB41" s="320">
        <v>5</v>
      </c>
      <c r="AC41" s="427" t="s">
        <v>609</v>
      </c>
      <c r="AD41" s="427"/>
      <c r="AE41" s="387" t="s">
        <v>495</v>
      </c>
      <c r="AF41" s="1892"/>
      <c r="AG41" s="425"/>
      <c r="AH41" s="425"/>
      <c r="AI41" s="1892"/>
      <c r="AJ41" s="1892"/>
      <c r="AK41" s="1892"/>
      <c r="AL41" s="1892"/>
      <c r="AM41" s="1892"/>
      <c r="AN41" s="1892"/>
      <c r="AO41" s="1892"/>
      <c r="AP41" s="1892"/>
      <c r="AQ41" s="1892"/>
      <c r="AR41" s="1892"/>
      <c r="AS41" s="1892"/>
      <c r="AT41" s="1892"/>
      <c r="AU41" s="1892"/>
      <c r="AV41" s="1892"/>
      <c r="AW41" s="1892"/>
      <c r="AX41" s="1892"/>
      <c r="AY41" s="1892"/>
      <c r="AZ41" s="425"/>
      <c r="BA41" s="425"/>
      <c r="BB41" s="425"/>
      <c r="BC41" s="1892"/>
      <c r="BD41" s="1892"/>
      <c r="BE41" s="1892"/>
      <c r="BF41" s="1892"/>
      <c r="BG41" s="1892"/>
      <c r="BH41" s="1892"/>
      <c r="BI41" s="1892"/>
      <c r="BJ41" s="1892"/>
      <c r="BK41" s="1892"/>
      <c r="BL41" s="1892"/>
      <c r="BM41" s="1892"/>
      <c r="BN41" s="1892"/>
      <c r="BO41" s="1892"/>
      <c r="BP41" s="1892"/>
      <c r="BQ41" s="1892"/>
      <c r="BR41" s="1892"/>
      <c r="BS41" s="1892"/>
      <c r="BT41" s="1727"/>
      <c r="BU41" s="969"/>
      <c r="BV41" s="975" t="s">
        <v>610</v>
      </c>
      <c r="BW41" s="1077" cm="1" t="str">
        <f t="array" ref="BW41:BW41">BW40</f>
        <v>ТЭ.42.31656254.0001</v>
      </c>
      <c r="BX41" s="1076"/>
      <c r="BY41" s="1076"/>
      <c r="BZ41" s="1076"/>
      <c r="CA41" s="1076"/>
      <c r="CB41" s="1077" t="s">
        <v>303</v>
      </c>
      <c r="CC41" s="1077" t="s">
        <v>611</v>
      </c>
      <c r="CD41" s="1077" t="s">
        <v>612</v>
      </c>
    </row>
    <row customHeight="1" ht="10.725000000000001">
      <c r="E42" s="180">
        <v>11</v>
      </c>
      <c r="V42" s="175" t="s">
        <v>191</v>
      </c>
      <c r="W42" s="176" t="s">
        <v>614</v>
      </c>
      <c r="AC42" s="318"/>
      <c r="AD42" s="318"/>
      <c r="AG42" s="1727"/>
      <c r="AH42" s="1727"/>
      <c r="AI42" s="1727"/>
      <c r="AJ42" s="1727"/>
      <c r="AK42" s="1727"/>
      <c r="AL42" s="1727"/>
      <c r="AM42" s="1727"/>
      <c r="AN42" s="1727"/>
      <c r="AO42" s="1727"/>
      <c r="AP42" s="1727"/>
      <c r="AQ42" s="1727"/>
      <c r="AR42" s="1727"/>
      <c r="AS42" s="1727"/>
      <c r="AT42" s="1727"/>
      <c r="AU42" s="1727"/>
      <c r="AV42" s="1727"/>
      <c r="AW42" s="1727"/>
      <c r="AX42" s="1727"/>
      <c r="AY42" s="1727"/>
      <c r="AZ42" s="1727"/>
      <c r="BA42" s="1727"/>
      <c r="BB42" s="1727"/>
      <c r="BC42" s="1727"/>
      <c r="BD42" s="1727"/>
      <c r="BE42" s="1727"/>
      <c r="BF42" s="1727"/>
      <c r="BG42" s="1727"/>
      <c r="BH42" s="1727"/>
      <c r="BI42" s="1727"/>
      <c r="BJ42" s="1727"/>
      <c r="BK42" s="1727"/>
      <c r="BL42" s="1727"/>
      <c r="BM42" s="1727"/>
      <c r="BN42" s="1727"/>
      <c r="BO42" s="1727"/>
      <c r="BP42" s="1727"/>
      <c r="BQ42" s="1727"/>
      <c r="BR42" s="1727"/>
      <c r="BS42" s="1727"/>
      <c r="BT42" s="318"/>
    </row>
    <row customHeight="1" ht="10.725000000000001" hidden="1">
      <c r="E43" s="180">
        <v>11</v>
      </c>
      <c r="AC43" s="318"/>
      <c r="AD43" s="318"/>
      <c r="AG43" s="1727"/>
      <c r="AH43" s="1727"/>
      <c r="AI43" s="1727"/>
      <c r="AJ43" s="1727"/>
      <c r="AK43" s="1727"/>
      <c r="AL43" s="1727"/>
      <c r="AM43" s="1727"/>
      <c r="AN43" s="1727"/>
      <c r="AO43" s="1727"/>
      <c r="AP43" s="1727"/>
      <c r="AQ43" s="1727"/>
      <c r="AR43" s="1727"/>
      <c r="AS43" s="1727"/>
      <c r="AT43" s="1727"/>
      <c r="AU43" s="1727"/>
      <c r="AV43" s="1727"/>
      <c r="AW43" s="1727"/>
      <c r="AX43" s="1727"/>
      <c r="AY43" s="1727"/>
      <c r="AZ43" s="1727"/>
      <c r="BA43" s="1727"/>
      <c r="BB43" s="1727"/>
      <c r="BC43" s="1727"/>
      <c r="BD43" s="1727"/>
      <c r="BE43" s="1727"/>
      <c r="BF43" s="1727"/>
      <c r="BG43" s="1727"/>
      <c r="BH43" s="1727"/>
      <c r="BI43" s="1727"/>
      <c r="BJ43" s="1727"/>
      <c r="BK43" s="1727"/>
      <c r="BL43" s="1727"/>
      <c r="BM43" s="1727"/>
      <c r="BN43" s="1727"/>
      <c r="BO43" s="1727"/>
      <c r="BP43" s="1727"/>
      <c r="BQ43" s="1727"/>
      <c r="BR43" s="1727"/>
      <c r="BS43" s="1727"/>
    </row>
  </sheetData>
  <sheetProtection formatColumns="0" formatRows="0" insertRows="0" deleteColumns="0" deleteRows="0" sort="0" autoFilter="0" insertColumns="1"/>
  <mergeCells count="14">
    <mergeCell ref="AB24:AB25"/>
    <mergeCell ref="AC24:AC25"/>
    <mergeCell ref="AE24:AE25"/>
    <mergeCell ref="Y28:Y34"/>
    <mergeCell ref="Z28:Z34"/>
    <mergeCell ref="AC30:AC31"/>
    <mergeCell ref="AC32:AC33"/>
    <mergeCell ref="AC34:AD34"/>
    <mergeCell ref="AD24:AD25"/>
    <mergeCell ref="Y35:Y41"/>
    <mergeCell ref="Z35:Z41"/>
    <mergeCell ref="AC37:AC38"/>
    <mergeCell ref="AC39:AC40"/>
    <mergeCell ref="AC41:AD41"/>
  </mergeCells>
  <dataValidations count="2">
    <dataValidation type="decimal" allowBlank="1" showErrorMessage="1" errorTitle="Ошибка" error="Допускается ввод только неотрицательных чисел!" sqref="AF31 AZ33 AF33 AZ31 AF38 AZ38 AF40 AZ40">
      <formula1>0</formula1>
      <formula2>9.99999999999999E+23</formula2>
    </dataValidation>
    <dataValidation type="decimal" allowBlank="1" showErrorMessage="1" errorTitle="Ошибка" error="Допускается ввод только действительных чисел!" sqref="AG33:AY33 BA31:BS31 AG31:AY31 AF30:BS30 AF26:BS26 AF32:BS32 BS34 BS37:BS41 BR34 BR37:BR41 BQ34 BQ37:BQ41 BP34 BP37:BP41 BO34 BO37:BO41 BN34 BN37:BN41 BM34 BM37:BM41 BL34 BL37:BL41 BK34 BK37:BK41 BJ34 BJ37:BJ41 BI34 BI37:BI41 BH34 BH37:BH41 BG34 BG37:BG41 BF34 BF37:BF41 BE34 BE37:BE41 BD34 BD37:BD41 BC34 BC37:BC41 BB34 BB37:BB41 BA34 BA37:BA41 AZ34 AZ37 AZ39 AZ41 AY34 AY37:AY41 AX34 AX37:AX41 AW34 AW37:AW41 AV34 AV37:AV41 AU34 AU37:AU41 AT34 AT37:AT41 AS34 AS37:AS41 AR34 AR37:AR41 AQ34 AQ37:AQ41 AP34 AP37:AP41 AO34 AO37:AO41 AN34 AN37:AN41 AM34 AM37:AM41 AL34 AL37:AL41 AK34 AK37:AK41 AJ34 AJ37:AJ41 AI34 AI37:AI41 AH34 AH37:AH41 AG34 AG37:AG41 AF34 AF37 AF39 AF41 BA33:BS33">
      <formula1>-9.99999999999999E+23</formula1>
      <formula2>9.99999999999999E+23</formula2>
    </dataValidation>
  </dataValidations>
  <pageMargins left="0.35" right="0.35" top="0.40" bottom="0.40" header="0.31" footer="0.31"/>
  <pageSetup paperSize="9" scale="17"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3DF208-FC27-01D8-7528-04029963F5B4}" mc:Ignorable="x14ac xr xr2 xr3">
  <sheetPr>
    <tabColor theme="6" tint="0.4"/>
    <outlinePr summaryRight="0" summaryBelow="0"/>
    <pageSetUpPr fitToPage="1"/>
  </sheetPr>
  <dimension ref="A1:CL170"/>
  <sheetViews>
    <sheetView showGridLines="0" workbookViewId="0">
      <pane xSplit="30" ySplit="27" topLeftCell="AE144" activePane="bottomRight" state="frozen"/>
      <selection pane="bottomLeft" activeCell="A28" sqref="A28"/>
      <selection pane="topRight" activeCell="AE1" sqref="AE1"/>
      <selection pane="bottomRight" activeCell="AB167" sqref="AB167:BW167"/>
    </sheetView>
  </sheetViews>
  <sheetFormatPr defaultColWidth="9.140625" customHeight="1" defaultRowHeight="11.25"/>
  <cols>
    <col min="1" max="1" style="371" width="7.851562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8.42187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85" width="9.00390625" customWidth="1"/>
    <col min="29" max="29" style="285" width="61.00390625" customWidth="1"/>
    <col min="30" max="30" style="285" width="10.00390625" customWidth="1"/>
    <col min="31" max="35" style="286" width="13.00390625" customWidth="1"/>
    <col min="36" max="54" style="286" width="13.00390625" hidden="1" customWidth="1"/>
    <col min="55" max="55" style="286" width="13.00390625" customWidth="1"/>
    <col min="56" max="74" style="286" width="13.00390625" hidden="1" customWidth="1"/>
    <col min="75" max="75" style="285" width="20.00390625" customWidth="1"/>
    <col min="76" max="76" style="286" width="3.00390625" customWidth="1"/>
    <col min="77" max="77" style="1659" width="9.140625" hidden="1"/>
    <col min="78" max="78" style="1142" width="9.140625" hidden="1"/>
    <col min="79" max="90" width="9.140625" hidden="1"/>
  </cols>
  <sheetData>
    <row s="1548" customFormat="1" customHeight="1" ht="11.25" hidden="1">
      <c r="A1" s="371">
        <f>OR(T27:T164)</f>
        <v>1</v>
      </c>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I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Z1" s="1142" t="s">
        <v>336</v>
      </c>
      <c r="CA1" s="1150" t="s">
        <v>94</v>
      </c>
      <c r="CB1" s="1150" t="s">
        <v>615</v>
      </c>
      <c r="CC1" s="1150" t="s">
        <v>616</v>
      </c>
      <c r="CD1" s="1150" t="s">
        <v>617</v>
      </c>
      <c r="CE1" s="1150" t="s">
        <v>618</v>
      </c>
      <c r="CF1" s="1150" t="s">
        <v>619</v>
      </c>
      <c r="CG1" s="1150" t="s">
        <v>620</v>
      </c>
      <c r="CH1" s="1150" t="s">
        <v>105</v>
      </c>
      <c r="CI1" s="1150" t="s">
        <v>110</v>
      </c>
      <c r="CJ1" s="1150" t="s">
        <v>112</v>
      </c>
      <c r="CK1" s="1150" t="s">
        <v>113</v>
      </c>
      <c r="CL1" s="1150" t="s">
        <v>114</v>
      </c>
    </row>
    <row s="1548" customFormat="1" customHeight="1" ht="11.25" hidden="1">
      <c r="A2" s="371"/>
      <c r="B2" s="179" t="s">
        <v>16</v>
      </c>
      <c r="G2" s="193"/>
      <c r="H2" s="193"/>
      <c r="I2" s="193"/>
      <c r="J2" s="193"/>
      <c r="K2" s="193"/>
      <c r="L2" s="193"/>
      <c r="M2" s="193"/>
      <c r="N2" s="193"/>
      <c r="O2" s="193"/>
      <c r="P2" s="193"/>
      <c r="Q2" s="193"/>
      <c r="R2" s="193"/>
      <c r="S2" s="193"/>
      <c r="AB2" s="176"/>
      <c r="AC2" s="176"/>
      <c r="AD2" s="176"/>
      <c r="AF2" s="179" cm="1" t="str">
        <f t="array" ref="AF2:AF2">isOrgDeclare</f>
        <v>true</v>
      </c>
      <c r="AI2" s="179">
        <f>AND(AI9&lt;=last_year_vis,isOrgDeclare)</f>
        <v>1</v>
      </c>
      <c r="AJ2" s="179">
        <f>AND(AJ9&lt;=last_year_vis,isOrgDeclare)</f>
        <v>0</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BC9&lt;=last_year_vis</f>
        <v>1</v>
      </c>
      <c r="BD2" s="179">
        <f>BD9&lt;=last_year_vis</f>
        <v>0</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W2" s="176"/>
      <c r="BZ2" s="1142"/>
      <c r="CA2" s="1066"/>
      <c r="CB2" s="1066"/>
      <c r="CC2" s="1066"/>
      <c r="CD2" s="1066"/>
      <c r="CE2" s="1066"/>
      <c r="CF2" s="1066"/>
      <c r="CG2" s="1066"/>
      <c r="CH2" s="1066"/>
      <c r="CI2" s="1066"/>
      <c r="CJ2" s="1066"/>
      <c r="CK2" s="1066"/>
      <c r="CL2" s="1066"/>
    </row>
    <row s="1548" customFormat="1" customHeight="1" ht="11.25" hidden="1">
      <c r="A3" s="371"/>
      <c r="G3" s="193"/>
      <c r="H3" s="193"/>
      <c r="I3" s="193"/>
      <c r="J3" s="193"/>
      <c r="K3" s="193"/>
      <c r="L3" s="193"/>
      <c r="M3" s="193"/>
      <c r="N3" s="193"/>
      <c r="O3" s="193"/>
      <c r="P3" s="193"/>
      <c r="Q3" s="193"/>
      <c r="R3" s="193"/>
      <c r="S3" s="193"/>
      <c r="AB3" s="176"/>
      <c r="AC3" s="176"/>
      <c r="AD3" s="176"/>
      <c r="AI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W3" s="176"/>
      <c r="BZ3" s="1142"/>
      <c r="CA3" s="277"/>
      <c r="CB3" s="277"/>
      <c r="CC3" s="277"/>
      <c r="CD3" s="277"/>
      <c r="CE3" s="277"/>
      <c r="CF3" s="277"/>
      <c r="CG3" s="277"/>
      <c r="CH3" s="277"/>
      <c r="CI3" s="277"/>
      <c r="CJ3" s="277"/>
      <c r="CK3" s="277"/>
      <c r="CL3" s="277"/>
    </row>
    <row s="1548" customFormat="1" customHeight="1" ht="11.25" hidden="1">
      <c r="A4" s="371"/>
      <c r="G4" s="193"/>
      <c r="H4" s="193"/>
      <c r="I4" s="193"/>
      <c r="J4" s="193"/>
      <c r="K4" s="193"/>
      <c r="L4" s="193"/>
      <c r="M4" s="193"/>
      <c r="N4" s="193"/>
      <c r="O4" s="193"/>
      <c r="P4" s="193"/>
      <c r="Q4" s="193"/>
      <c r="R4" s="193"/>
      <c r="S4" s="193"/>
      <c r="AB4" s="176"/>
      <c r="AC4" s="176"/>
      <c r="AD4" s="176"/>
      <c r="AI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W4" s="176"/>
      <c r="BZ4" s="1142"/>
      <c r="CA4" s="277"/>
      <c r="CB4" s="277"/>
      <c r="CC4" s="277"/>
      <c r="CD4" s="277"/>
      <c r="CE4" s="277"/>
      <c r="CF4" s="277"/>
      <c r="CG4" s="277"/>
      <c r="CH4" s="277"/>
      <c r="CI4" s="277"/>
      <c r="CJ4" s="277"/>
      <c r="CK4" s="277"/>
      <c r="CL4" s="277"/>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284">
        <v>9</v>
      </c>
      <c r="AC5" s="284">
        <v>61</v>
      </c>
      <c r="AD5" s="284">
        <v>10</v>
      </c>
      <c r="AE5" s="180">
        <v>13</v>
      </c>
      <c r="AF5" s="180">
        <v>13</v>
      </c>
      <c r="AG5" s="180">
        <v>13</v>
      </c>
      <c r="AH5" s="180">
        <v>13</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284">
        <v>20</v>
      </c>
      <c r="BX5" s="180">
        <v>3</v>
      </c>
      <c r="BZ5" s="1142"/>
      <c r="CA5" s="1067"/>
      <c r="CB5" s="1067"/>
      <c r="CC5" s="1067"/>
      <c r="CD5" s="1067"/>
      <c r="CE5" s="1067"/>
      <c r="CF5" s="1067"/>
      <c r="CG5" s="1067"/>
      <c r="CH5" s="1067"/>
      <c r="CI5" s="1067"/>
      <c r="CJ5" s="1067"/>
      <c r="CK5" s="1067"/>
      <c r="CL5" s="1067"/>
    </row>
    <row s="1548" customFormat="1" customHeight="1" ht="11.25" hidden="1">
      <c r="A6" s="371"/>
      <c r="E6" s="180"/>
      <c r="G6" s="193"/>
      <c r="H6" s="193"/>
      <c r="I6" s="193"/>
      <c r="J6" s="193"/>
      <c r="K6" s="193"/>
      <c r="L6" s="193"/>
      <c r="M6" s="193"/>
      <c r="N6" s="193"/>
      <c r="O6" s="193"/>
      <c r="P6" s="193"/>
      <c r="Q6" s="193"/>
      <c r="R6" s="193"/>
      <c r="S6" s="193"/>
      <c r="AB6" s="176"/>
      <c r="AC6" s="176"/>
      <c r="AD6" s="176"/>
      <c r="AI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W6" s="176"/>
      <c r="BZ6" s="1142"/>
      <c r="CA6" s="277"/>
      <c r="CB6" s="277"/>
      <c r="CC6" s="277"/>
      <c r="CD6" s="277"/>
      <c r="CE6" s="277"/>
      <c r="CF6" s="277"/>
      <c r="CG6" s="277"/>
      <c r="CH6" s="277"/>
      <c r="CI6" s="277"/>
      <c r="CJ6" s="277"/>
      <c r="CK6" s="277"/>
      <c r="CL6" s="277"/>
    </row>
    <row customHeight="1" ht="11.25" hidden="1">
      <c r="F7" s="193"/>
      <c r="T7" s="193"/>
      <c r="U7" s="193"/>
      <c r="V7" s="193"/>
      <c r="W7" s="193"/>
      <c r="X7" s="193"/>
      <c r="Y7" s="193"/>
      <c r="Z7" s="193"/>
      <c r="AA7" s="193"/>
      <c r="AB7" s="308"/>
      <c r="AC7" s="308"/>
      <c r="AD7" s="308"/>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308"/>
      <c r="BX7" s="193"/>
    </row>
    <row customHeight="1" ht="11.25" hidden="1">
      <c r="F8" s="193"/>
      <c r="T8" s="193"/>
      <c r="U8" s="193"/>
      <c r="V8" s="193"/>
      <c r="W8" s="193"/>
      <c r="X8" s="193"/>
      <c r="Y8" s="193"/>
      <c r="Z8" s="193"/>
      <c r="AA8" s="193"/>
      <c r="AB8" s="308"/>
      <c r="AC8" s="308"/>
      <c r="AD8" s="308"/>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93"/>
      <c r="BQ8" s="193"/>
      <c r="BR8" s="193"/>
      <c r="BS8" s="193"/>
      <c r="BT8" s="193"/>
      <c r="BU8" s="193"/>
      <c r="BV8" s="193"/>
      <c r="BW8" s="308"/>
      <c r="BX8" s="193"/>
    </row>
    <row s="1143" customFormat="1" customHeight="1" ht="11.25" hidden="1">
      <c r="A9" s="309" t="s">
        <v>403</v>
      </c>
      <c r="AE9" s="312">
        <f>god-2</f>
        <v>2025</v>
      </c>
      <c r="AF9" s="312">
        <f>god-2</f>
        <v>2025</v>
      </c>
      <c r="AG9" s="312">
        <f>god-2</f>
        <v>2025</v>
      </c>
      <c r="AH9" s="312">
        <f>god-1</f>
        <v>2026</v>
      </c>
      <c r="AI9" s="312" cm="1" t="str">
        <f t="array" ref="AI9:AI9">god</f>
        <v>2027</v>
      </c>
      <c r="AJ9" s="312">
        <f>god+1</f>
        <v>2028</v>
      </c>
      <c r="AK9" s="312">
        <f>god+2</f>
        <v>2029</v>
      </c>
      <c r="AL9" s="312">
        <f>god+3</f>
        <v>2030</v>
      </c>
      <c r="AM9" s="312">
        <f>god+4</f>
        <v>2031</v>
      </c>
      <c r="AN9" s="312">
        <f>god+5</f>
        <v>2032</v>
      </c>
      <c r="AO9" s="312">
        <f>god+6</f>
        <v>2033</v>
      </c>
      <c r="AP9" s="312">
        <f>god+7</f>
        <v>2034</v>
      </c>
      <c r="AQ9" s="312">
        <f>god+8</f>
        <v>2035</v>
      </c>
      <c r="AR9" s="312">
        <f>god+9</f>
        <v>2036</v>
      </c>
      <c r="AS9" s="312">
        <f>god+10</f>
        <v>2037</v>
      </c>
      <c r="AT9" s="312">
        <f>god+11</f>
        <v>2038</v>
      </c>
      <c r="AU9" s="312">
        <f>god+12</f>
        <v>2039</v>
      </c>
      <c r="AV9" s="312">
        <f>god+13</f>
        <v>2040</v>
      </c>
      <c r="AW9" s="312">
        <f>god+14</f>
        <v>2041</v>
      </c>
      <c r="AX9" s="312">
        <f>god+15</f>
        <v>2042</v>
      </c>
      <c r="AY9" s="312">
        <f>god+16</f>
        <v>2043</v>
      </c>
      <c r="AZ9" s="312">
        <f>god+17</f>
        <v>2044</v>
      </c>
      <c r="BA9" s="312">
        <f>god+18</f>
        <v>2045</v>
      </c>
      <c r="BB9" s="312">
        <f>god+19</f>
        <v>2046</v>
      </c>
      <c r="BC9" s="312" cm="1" t="str">
        <f t="array" ref="BC9:BC9">god</f>
        <v>2027</v>
      </c>
      <c r="BD9" s="312">
        <f>god+1</f>
        <v>2028</v>
      </c>
      <c r="BE9" s="312">
        <f>god+2</f>
        <v>2029</v>
      </c>
      <c r="BF9" s="312">
        <f>god+3</f>
        <v>2030</v>
      </c>
      <c r="BG9" s="312">
        <f>god+4</f>
        <v>2031</v>
      </c>
      <c r="BH9" s="312">
        <f>god+5</f>
        <v>2032</v>
      </c>
      <c r="BI9" s="312">
        <f>god+6</f>
        <v>2033</v>
      </c>
      <c r="BJ9" s="312">
        <f>god+7</f>
        <v>2034</v>
      </c>
      <c r="BK9" s="312">
        <f>god+8</f>
        <v>2035</v>
      </c>
      <c r="BL9" s="312">
        <f>god+9</f>
        <v>2036</v>
      </c>
      <c r="BM9" s="312">
        <f>god+10</f>
        <v>2037</v>
      </c>
      <c r="BN9" s="312">
        <f>god+11</f>
        <v>2038</v>
      </c>
      <c r="BO9" s="312">
        <f>god+12</f>
        <v>2039</v>
      </c>
      <c r="BP9" s="312">
        <f>god+13</f>
        <v>2040</v>
      </c>
      <c r="BQ9" s="312">
        <f>god+14</f>
        <v>2041</v>
      </c>
      <c r="BR9" s="312">
        <f>god+15</f>
        <v>2042</v>
      </c>
      <c r="BS9" s="312">
        <f>god+16</f>
        <v>2043</v>
      </c>
      <c r="BT9" s="312">
        <f>god+17</f>
        <v>2044</v>
      </c>
      <c r="BU9" s="312">
        <f>god+18</f>
        <v>2045</v>
      </c>
      <c r="BV9" s="312">
        <f>god+19</f>
        <v>2046</v>
      </c>
      <c r="BZ9" s="1142"/>
      <c r="CA9" s="1153"/>
      <c r="CB9" s="1153"/>
      <c r="CC9" s="1153"/>
      <c r="CD9" s="1153"/>
      <c r="CE9" s="1153"/>
      <c r="CF9" s="1153"/>
      <c r="CG9" s="1153"/>
      <c r="CH9" s="1153"/>
      <c r="CI9" s="1153"/>
      <c r="CJ9" s="1153"/>
      <c r="CK9" s="1153"/>
      <c r="CL9" s="1153"/>
    </row>
    <row s="1143" customFormat="1" customHeight="1" ht="11.25" hidden="1">
      <c r="A10" s="309" t="s">
        <v>404</v>
      </c>
      <c r="AE10" s="312" cm="1" t="str">
        <f t="array" ref="AE10:AE10">AE26</f>
        <v>Принято органом регулирования</v>
      </c>
      <c r="AF10" s="312" cm="1" t="str">
        <f t="array" ref="AF10:AF10">AF26</f>
        <v>Факт по данным организации</v>
      </c>
      <c r="AG10" s="312" cm="1" t="str">
        <f t="array" ref="AG10:AG10">AG26</f>
        <v>Факт, принятый органом регулирования</v>
      </c>
      <c r="AH10" s="312" cm="1" t="str">
        <f t="array" ref="AH10:AH10">AH26</f>
        <v>Принято органом регулирования</v>
      </c>
      <c r="AI10" s="312" cm="1" t="str">
        <f t="array" ref="AI10:AI10">AI26</f>
        <v>Предложение организации</v>
      </c>
      <c r="AJ10" s="312" cm="1" t="str">
        <f t="array" ref="AJ10:AJ10">AJ26</f>
        <v>Предложение организации</v>
      </c>
      <c r="AK10" s="312" cm="1" t="str">
        <f t="array" ref="AK10:AK10">AK26</f>
        <v>Предложение организации</v>
      </c>
      <c r="AL10" s="312" cm="1" t="str">
        <f t="array" ref="AL10:AL10">AL26</f>
        <v>Предложение организации</v>
      </c>
      <c r="AM10" s="312" cm="1" t="str">
        <f t="array" ref="AM10:AM10">AM26</f>
        <v>Предложение организации</v>
      </c>
      <c r="AN10" s="312" cm="1" t="str">
        <f t="array" ref="AN10:AN10">AN26</f>
        <v>Предложение организации</v>
      </c>
      <c r="AO10" s="312" cm="1" t="str">
        <f t="array" ref="AO10:AO10">AO26</f>
        <v>Предложение организации</v>
      </c>
      <c r="AP10" s="312" cm="1" t="str">
        <f t="array" ref="AP10:AP10">AP26</f>
        <v>Предложение организации</v>
      </c>
      <c r="AQ10" s="312" cm="1" t="str">
        <f t="array" ref="AQ10:AQ10">AQ26</f>
        <v>Предложение организации</v>
      </c>
      <c r="AR10" s="312" cm="1" t="str">
        <f t="array" ref="AR10:AR10">AR26</f>
        <v>Предложение организации</v>
      </c>
      <c r="AS10" s="312" cm="1" t="str">
        <f t="array" ref="AS10:AS10">AS26</f>
        <v>Предложение организации</v>
      </c>
      <c r="AT10" s="312" cm="1" t="str">
        <f t="array" ref="AT10:AT10">AT26</f>
        <v>Предложение организации</v>
      </c>
      <c r="AU10" s="312" cm="1" t="str">
        <f t="array" ref="AU10:AU10">AU26</f>
        <v>Предложение организации</v>
      </c>
      <c r="AV10" s="312" cm="1" t="str">
        <f t="array" ref="AV10:AV10">AV26</f>
        <v>Предложение организации</v>
      </c>
      <c r="AW10" s="312" cm="1" t="str">
        <f t="array" ref="AW10:AW10">AW26</f>
        <v>Предложение организации</v>
      </c>
      <c r="AX10" s="312" cm="1" t="str">
        <f t="array" ref="AX10:AX10">AX26</f>
        <v>Предложение организации</v>
      </c>
      <c r="AY10" s="312" cm="1" t="str">
        <f t="array" ref="AY10:AY10">AY26</f>
        <v>Предложение организации</v>
      </c>
      <c r="AZ10" s="312" cm="1" t="str">
        <f t="array" ref="AZ10:AZ10">AZ26</f>
        <v>Предложение организации</v>
      </c>
      <c r="BA10" s="312" cm="1" t="str">
        <f t="array" ref="BA10:BA10">BA26</f>
        <v>Предложение организации</v>
      </c>
      <c r="BB10" s="312" cm="1" t="str">
        <f t="array" ref="BB10:BB10">BB26</f>
        <v>Предложение организации</v>
      </c>
      <c r="BC10" s="312" cm="1" t="str">
        <f t="array" ref="BC10:BC10">BC26</f>
        <v>Принято органом регулирования</v>
      </c>
      <c r="BD10" s="312" cm="1" t="str">
        <f t="array" ref="BD10:BD10">BD26</f>
        <v>Принято органом регулирования</v>
      </c>
      <c r="BE10" s="312" cm="1" t="str">
        <f t="array" ref="BE10:BE10">BE26</f>
        <v>Принято органом регулирования</v>
      </c>
      <c r="BF10" s="312" cm="1" t="str">
        <f t="array" ref="BF10:BF10">BF26</f>
        <v>Принято органом регулирования</v>
      </c>
      <c r="BG10" s="312" cm="1" t="str">
        <f t="array" ref="BG10:BG10">BG26</f>
        <v>Принято органом регулирования</v>
      </c>
      <c r="BH10" s="312" cm="1" t="str">
        <f t="array" ref="BH10:BH10">BH26</f>
        <v>Принято органом регулирования</v>
      </c>
      <c r="BI10" s="312" cm="1" t="str">
        <f t="array" ref="BI10:BI10">BI26</f>
        <v>Принято органом регулирования</v>
      </c>
      <c r="BJ10" s="312" cm="1" t="str">
        <f t="array" ref="BJ10:BJ10">BJ26</f>
        <v>Принято органом регулирования</v>
      </c>
      <c r="BK10" s="312" cm="1" t="str">
        <f t="array" ref="BK10:BK10">BK26</f>
        <v>Принято органом регулирования</v>
      </c>
      <c r="BL10" s="312" cm="1" t="str">
        <f t="array" ref="BL10:BL10">BL26</f>
        <v>Принято органом регулирования</v>
      </c>
      <c r="BM10" s="312" cm="1" t="str">
        <f t="array" ref="BM10:BM10">BM26</f>
        <v>Принято органом регулирования</v>
      </c>
      <c r="BN10" s="312" cm="1" t="str">
        <f t="array" ref="BN10:BN10">BN26</f>
        <v>Принято органом регулирования</v>
      </c>
      <c r="BO10" s="312" cm="1" t="str">
        <f t="array" ref="BO10:BO10">BO26</f>
        <v>Принято органом регулирования</v>
      </c>
      <c r="BP10" s="312" cm="1" t="str">
        <f t="array" ref="BP10:BP10">BP26</f>
        <v>Принято органом регулирования</v>
      </c>
      <c r="BQ10" s="312" cm="1" t="str">
        <f t="array" ref="BQ10:BQ10">BQ26</f>
        <v>Принято органом регулирования</v>
      </c>
      <c r="BR10" s="312" cm="1" t="str">
        <f t="array" ref="BR10:BR10">BR26</f>
        <v>Принято органом регулирования</v>
      </c>
      <c r="BS10" s="312" cm="1" t="str">
        <f t="array" ref="BS10:BS10">BS26</f>
        <v>Принято органом регулирования</v>
      </c>
      <c r="BT10" s="312" cm="1" t="str">
        <f t="array" ref="BT10:BT10">BT26</f>
        <v>Принято органом регулирования</v>
      </c>
      <c r="BU10" s="312" cm="1" t="str">
        <f t="array" ref="BU10:BU10">BU26</f>
        <v>Принято органом регулирования</v>
      </c>
      <c r="BV10" s="312" cm="1" t="str">
        <f t="array" ref="BV10:BV10">BV26</f>
        <v>Принято органом регулирования</v>
      </c>
      <c r="BZ10" s="1142"/>
      <c r="CA10" s="1153"/>
      <c r="CB10" s="1153"/>
      <c r="CC10" s="1153"/>
      <c r="CD10" s="1153"/>
      <c r="CE10" s="1153"/>
      <c r="CF10" s="1153"/>
      <c r="CG10" s="1153"/>
      <c r="CH10" s="1153"/>
      <c r="CI10" s="1153"/>
      <c r="CJ10" s="1153"/>
      <c r="CK10" s="1153"/>
      <c r="CL10" s="1153"/>
    </row>
    <row s="1143" customFormat="1" customHeight="1" ht="11.25" hidden="1">
      <c r="A11" s="309" t="s">
        <v>405</v>
      </c>
      <c r="G11" s="483"/>
      <c r="H11" s="483"/>
      <c r="I11" s="483"/>
      <c r="J11" s="483"/>
      <c r="K11" s="483"/>
      <c r="L11" s="483"/>
      <c r="M11" s="483"/>
      <c r="N11" s="483"/>
      <c r="O11" s="483"/>
      <c r="P11" s="483"/>
      <c r="Q11" s="483"/>
      <c r="R11" s="483"/>
      <c r="S11" s="483"/>
      <c r="AB11" s="326"/>
      <c r="AC11" s="326"/>
      <c r="AD11" s="326"/>
      <c r="AI11" s="1143"/>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326" cm="1" t="str">
        <f t="array" ref="BW11:BW11">BW25</f>
        <v>Ссылка на правовую норму (основание для принятия показателя в расчет тарифа)</v>
      </c>
      <c r="BZ11" s="1142"/>
      <c r="CA11" s="1153"/>
      <c r="CB11" s="1153"/>
      <c r="CC11" s="1153"/>
      <c r="CD11" s="1153"/>
      <c r="CE11" s="1153"/>
      <c r="CF11" s="1153"/>
      <c r="CG11" s="1153"/>
      <c r="CH11" s="1153"/>
      <c r="CI11" s="1153"/>
      <c r="CJ11" s="1153"/>
      <c r="CK11" s="1153"/>
      <c r="CL11" s="1153"/>
    </row>
    <row s="1548" customFormat="1" customHeight="1" ht="11.25" hidden="1">
      <c r="A12" s="371"/>
      <c r="E12" s="180"/>
      <c r="G12" s="193"/>
      <c r="H12" s="193"/>
      <c r="I12" s="193"/>
      <c r="J12" s="193"/>
      <c r="K12" s="193"/>
      <c r="L12" s="193"/>
      <c r="M12" s="193"/>
      <c r="N12" s="193"/>
      <c r="O12" s="193"/>
      <c r="P12" s="193"/>
      <c r="Q12" s="193"/>
      <c r="R12" s="193"/>
      <c r="S12" s="193"/>
      <c r="AB12" s="176"/>
      <c r="AC12" s="176"/>
      <c r="AD12" s="176"/>
      <c r="AI12" s="1548"/>
      <c r="AJ12" s="1548"/>
      <c r="AK12" s="1548"/>
      <c r="AL12" s="1548"/>
      <c r="AM12" s="1548"/>
      <c r="AN12" s="1548"/>
      <c r="AO12" s="1548"/>
      <c r="AP12" s="1548"/>
      <c r="AQ12" s="1548"/>
      <c r="AR12" s="1548"/>
      <c r="AS12" s="1548"/>
      <c r="AT12" s="1548"/>
      <c r="AU12" s="1548"/>
      <c r="AV12" s="1548"/>
      <c r="AW12" s="1548"/>
      <c r="AX12" s="1548"/>
      <c r="AY12" s="1548"/>
      <c r="AZ12" s="1548"/>
      <c r="BA12" s="1548"/>
      <c r="BB12" s="1548"/>
      <c r="BC12" s="1548"/>
      <c r="BD12" s="1548"/>
      <c r="BE12" s="1548"/>
      <c r="BF12" s="1548"/>
      <c r="BG12" s="1548"/>
      <c r="BH12" s="1548"/>
      <c r="BI12" s="1548"/>
      <c r="BJ12" s="1548"/>
      <c r="BK12" s="1548"/>
      <c r="BL12" s="1548"/>
      <c r="BM12" s="1548"/>
      <c r="BN12" s="1548"/>
      <c r="BO12" s="1548"/>
      <c r="BP12" s="1548"/>
      <c r="BQ12" s="1548"/>
      <c r="BR12" s="1548"/>
      <c r="BS12" s="1548"/>
      <c r="BT12" s="1548"/>
      <c r="BU12" s="1548"/>
      <c r="BV12" s="1548"/>
      <c r="BW12" s="176"/>
      <c r="BZ12" s="1142"/>
      <c r="CA12" s="277"/>
      <c r="CB12" s="277"/>
      <c r="CC12" s="277"/>
      <c r="CD12" s="277"/>
      <c r="CE12" s="277"/>
      <c r="CF12" s="277"/>
      <c r="CG12" s="277"/>
      <c r="CH12" s="277"/>
      <c r="CI12" s="277"/>
      <c r="CJ12" s="277"/>
      <c r="CK12" s="277"/>
      <c r="CL12" s="277"/>
    </row>
    <row s="1548" customFormat="1" customHeight="1" ht="11.25" hidden="1">
      <c r="A13" s="371"/>
      <c r="E13" s="180"/>
      <c r="G13" s="193"/>
      <c r="H13" s="193"/>
      <c r="I13" s="193"/>
      <c r="J13" s="193"/>
      <c r="K13" s="193"/>
      <c r="L13" s="193"/>
      <c r="M13" s="193"/>
      <c r="N13" s="193"/>
      <c r="O13" s="193"/>
      <c r="P13" s="193"/>
      <c r="Q13" s="193"/>
      <c r="R13" s="193"/>
      <c r="S13" s="193"/>
      <c r="AB13" s="176"/>
      <c r="AC13" s="176"/>
      <c r="AD13" s="176"/>
      <c r="AI13" s="1548"/>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S13" s="1548"/>
      <c r="BT13" s="1548"/>
      <c r="BU13" s="1548"/>
      <c r="BV13" s="1548"/>
      <c r="BW13" s="176"/>
      <c r="BZ13" s="1142"/>
      <c r="CA13" s="277"/>
      <c r="CB13" s="277"/>
      <c r="CC13" s="277"/>
      <c r="CD13" s="277"/>
      <c r="CE13" s="277"/>
      <c r="CF13" s="277"/>
      <c r="CG13" s="277"/>
      <c r="CH13" s="277"/>
      <c r="CI13" s="277"/>
      <c r="CJ13" s="277"/>
      <c r="CK13" s="277"/>
      <c r="CL13" s="277"/>
    </row>
    <row s="1548" customFormat="1" customHeight="1" ht="11.25" hidden="1">
      <c r="A14" s="371" t="s">
        <v>406</v>
      </c>
      <c r="E14" s="180"/>
      <c r="G14" s="193"/>
      <c r="H14" s="193"/>
      <c r="I14" s="193"/>
      <c r="J14" s="193"/>
      <c r="K14" s="193"/>
      <c r="L14" s="193"/>
      <c r="M14" s="193"/>
      <c r="N14" s="193"/>
      <c r="O14" s="193"/>
      <c r="P14" s="193"/>
      <c r="Q14" s="193"/>
      <c r="R14" s="193"/>
      <c r="S14" s="193"/>
      <c r="AB14" s="176"/>
      <c r="AC14" s="176"/>
      <c r="AE14" s="1072" t="s">
        <v>407</v>
      </c>
      <c r="AF14" s="1072" t="s">
        <v>408</v>
      </c>
      <c r="AG14" s="1072" t="s">
        <v>407</v>
      </c>
      <c r="AH14" s="1072" t="s">
        <v>407</v>
      </c>
      <c r="AI14" s="1072" t="s">
        <v>408</v>
      </c>
      <c r="AJ14" s="1072" t="s">
        <v>408</v>
      </c>
      <c r="AK14" s="1072" t="s">
        <v>408</v>
      </c>
      <c r="AL14" s="1072" t="s">
        <v>408</v>
      </c>
      <c r="AM14" s="1072" t="s">
        <v>408</v>
      </c>
      <c r="AN14" s="1072" t="s">
        <v>408</v>
      </c>
      <c r="AO14" s="1072" t="s">
        <v>408</v>
      </c>
      <c r="AP14" s="1072" t="s">
        <v>408</v>
      </c>
      <c r="AQ14" s="1072" t="s">
        <v>408</v>
      </c>
      <c r="AR14" s="1072" t="s">
        <v>408</v>
      </c>
      <c r="AS14" s="1072" t="s">
        <v>408</v>
      </c>
      <c r="AT14" s="1072" t="s">
        <v>408</v>
      </c>
      <c r="AU14" s="1072" t="s">
        <v>408</v>
      </c>
      <c r="AV14" s="1072" t="s">
        <v>408</v>
      </c>
      <c r="AW14" s="1072" t="s">
        <v>408</v>
      </c>
      <c r="AX14" s="1072" t="s">
        <v>408</v>
      </c>
      <c r="AY14" s="1072" t="s">
        <v>408</v>
      </c>
      <c r="AZ14" s="1072" t="s">
        <v>408</v>
      </c>
      <c r="BA14" s="1072" t="s">
        <v>408</v>
      </c>
      <c r="BB14" s="1072" t="s">
        <v>408</v>
      </c>
      <c r="BC14" s="1072" t="s">
        <v>407</v>
      </c>
      <c r="BD14" s="1072" t="s">
        <v>407</v>
      </c>
      <c r="BE14" s="1072" t="s">
        <v>407</v>
      </c>
      <c r="BF14" s="1072" t="s">
        <v>407</v>
      </c>
      <c r="BG14" s="1072" t="s">
        <v>407</v>
      </c>
      <c r="BH14" s="1072" t="s">
        <v>407</v>
      </c>
      <c r="BI14" s="1072" t="s">
        <v>407</v>
      </c>
      <c r="BJ14" s="1072" t="s">
        <v>407</v>
      </c>
      <c r="BK14" s="1072" t="s">
        <v>407</v>
      </c>
      <c r="BL14" s="1072" t="s">
        <v>407</v>
      </c>
      <c r="BM14" s="1072" t="s">
        <v>407</v>
      </c>
      <c r="BN14" s="1072" t="s">
        <v>407</v>
      </c>
      <c r="BO14" s="1072" t="s">
        <v>407</v>
      </c>
      <c r="BP14" s="1072" t="s">
        <v>407</v>
      </c>
      <c r="BQ14" s="1072" t="s">
        <v>407</v>
      </c>
      <c r="BR14" s="1072" t="s">
        <v>407</v>
      </c>
      <c r="BS14" s="1072" t="s">
        <v>407</v>
      </c>
      <c r="BT14" s="1072" t="s">
        <v>407</v>
      </c>
      <c r="BU14" s="1072" t="s">
        <v>407</v>
      </c>
      <c r="BV14" s="1072" t="s">
        <v>407</v>
      </c>
      <c r="BW14" s="1088"/>
      <c r="BZ14" s="1142"/>
      <c r="CA14" s="0"/>
      <c r="CB14" s="0"/>
      <c r="CC14" s="0"/>
      <c r="CD14" s="0"/>
      <c r="CE14" s="0"/>
      <c r="CF14" s="0"/>
      <c r="CG14" s="0"/>
      <c r="CH14" s="0"/>
      <c r="CI14" s="0"/>
      <c r="CJ14" s="0"/>
      <c r="CK14" s="0"/>
      <c r="CL14" s="0"/>
    </row>
    <row s="1548" customFormat="1" customHeight="1" ht="11.25" hidden="1">
      <c r="A15" s="371" t="s">
        <v>409</v>
      </c>
      <c r="E15" s="180"/>
      <c r="G15" s="193"/>
      <c r="H15" s="193"/>
      <c r="I15" s="193"/>
      <c r="J15" s="193"/>
      <c r="K15" s="193"/>
      <c r="L15" s="193"/>
      <c r="M15" s="193"/>
      <c r="N15" s="193"/>
      <c r="O15" s="193"/>
      <c r="P15" s="193"/>
      <c r="Q15" s="193"/>
      <c r="R15" s="193"/>
      <c r="S15" s="193"/>
      <c r="AB15" s="176"/>
      <c r="AC15" s="176"/>
      <c r="AD15" s="176"/>
      <c r="AE15" s="1072" t="s">
        <v>410</v>
      </c>
      <c r="AF15" s="1072" t="s">
        <v>621</v>
      </c>
      <c r="AG15" s="1072" t="s">
        <v>621</v>
      </c>
      <c r="AH15" s="1072" t="s">
        <v>410</v>
      </c>
      <c r="AI15" s="1072" t="s">
        <v>411</v>
      </c>
      <c r="AJ15" s="1072" t="s">
        <v>411</v>
      </c>
      <c r="AK15" s="1072" t="s">
        <v>411</v>
      </c>
      <c r="AL15" s="1072" t="s">
        <v>411</v>
      </c>
      <c r="AM15" s="1072" t="s">
        <v>411</v>
      </c>
      <c r="AN15" s="1072" t="s">
        <v>411</v>
      </c>
      <c r="AO15" s="1072" t="s">
        <v>411</v>
      </c>
      <c r="AP15" s="1072" t="s">
        <v>411</v>
      </c>
      <c r="AQ15" s="1072" t="s">
        <v>411</v>
      </c>
      <c r="AR15" s="1072" t="s">
        <v>411</v>
      </c>
      <c r="AS15" s="1072" t="s">
        <v>411</v>
      </c>
      <c r="AT15" s="1072" t="s">
        <v>411</v>
      </c>
      <c r="AU15" s="1072" t="s">
        <v>411</v>
      </c>
      <c r="AV15" s="1072" t="s">
        <v>411</v>
      </c>
      <c r="AW15" s="1072" t="s">
        <v>411</v>
      </c>
      <c r="AX15" s="1072" t="s">
        <v>411</v>
      </c>
      <c r="AY15" s="1072" t="s">
        <v>411</v>
      </c>
      <c r="AZ15" s="1072" t="s">
        <v>411</v>
      </c>
      <c r="BA15" s="1072" t="s">
        <v>411</v>
      </c>
      <c r="BB15" s="1072" t="s">
        <v>411</v>
      </c>
      <c r="BC15" s="1072" t="s">
        <v>410</v>
      </c>
      <c r="BD15" s="1072" t="s">
        <v>410</v>
      </c>
      <c r="BE15" s="1072" t="s">
        <v>410</v>
      </c>
      <c r="BF15" s="1072" t="s">
        <v>410</v>
      </c>
      <c r="BG15" s="1072" t="s">
        <v>410</v>
      </c>
      <c r="BH15" s="1072" t="s">
        <v>410</v>
      </c>
      <c r="BI15" s="1072" t="s">
        <v>410</v>
      </c>
      <c r="BJ15" s="1072" t="s">
        <v>410</v>
      </c>
      <c r="BK15" s="1072" t="s">
        <v>410</v>
      </c>
      <c r="BL15" s="1072" t="s">
        <v>410</v>
      </c>
      <c r="BM15" s="1072" t="s">
        <v>410</v>
      </c>
      <c r="BN15" s="1072" t="s">
        <v>410</v>
      </c>
      <c r="BO15" s="1072" t="s">
        <v>410</v>
      </c>
      <c r="BP15" s="1072" t="s">
        <v>410</v>
      </c>
      <c r="BQ15" s="1072" t="s">
        <v>410</v>
      </c>
      <c r="BR15" s="1072" t="s">
        <v>410</v>
      </c>
      <c r="BS15" s="1072" t="s">
        <v>410</v>
      </c>
      <c r="BT15" s="1072" t="s">
        <v>410</v>
      </c>
      <c r="BU15" s="1072" t="s">
        <v>410</v>
      </c>
      <c r="BV15" s="1072" t="s">
        <v>410</v>
      </c>
      <c r="BW15" s="1088"/>
      <c r="BZ15" s="1142"/>
      <c r="CA15" s="0"/>
      <c r="CB15" s="0"/>
      <c r="CC15" s="0"/>
      <c r="CD15" s="0"/>
      <c r="CE15" s="0"/>
      <c r="CF15" s="0"/>
      <c r="CG15" s="0"/>
      <c r="CH15" s="0"/>
      <c r="CI15" s="0"/>
      <c r="CJ15" s="0"/>
      <c r="CK15" s="0"/>
      <c r="CL15" s="0"/>
    </row>
    <row s="1548" customFormat="1" customHeight="1" ht="11.25" hidden="1">
      <c r="A16" s="371" t="s">
        <v>109</v>
      </c>
      <c r="E16" s="180"/>
      <c r="G16" s="193"/>
      <c r="H16" s="193"/>
      <c r="I16" s="193"/>
      <c r="J16" s="193"/>
      <c r="K16" s="193"/>
      <c r="L16" s="193"/>
      <c r="M16" s="193"/>
      <c r="N16" s="193"/>
      <c r="O16" s="193"/>
      <c r="P16" s="193"/>
      <c r="Q16" s="193"/>
      <c r="R16" s="193"/>
      <c r="S16" s="193"/>
      <c r="AB16" s="176"/>
      <c r="AC16" s="176"/>
      <c r="AD16" s="176"/>
      <c r="AE16" s="1072" t="str">
        <f>"389.0."&amp;AE9-2010&amp;"."</f>
        <v>389.0.15.</v>
      </c>
      <c r="AF16" s="1072" t="str">
        <f>"389.0."&amp;AF9-2010&amp;"."</f>
        <v>389.0.15.</v>
      </c>
      <c r="AG16" s="1072" t="str">
        <f>"389.0."&amp;AG9-2010&amp;"."</f>
        <v>389.0.15.</v>
      </c>
      <c r="AH16" s="1072" t="str">
        <f>"389.0."&amp;AH9-2010&amp;"."</f>
        <v>389.0.16.</v>
      </c>
      <c r="AI16" s="1072" t="str">
        <f>"389.0."&amp;AI9-2010&amp;"."</f>
        <v>389.0.17.</v>
      </c>
      <c r="AJ16" s="1072" t="str">
        <f>"389.0."&amp;AJ9-2010&amp;"."</f>
        <v>389.0.18.</v>
      </c>
      <c r="AK16" s="1072" t="str">
        <f>"389.0."&amp;AK9-2010&amp;"."</f>
        <v>389.0.19.</v>
      </c>
      <c r="AL16" s="1072" t="str">
        <f>"389.0."&amp;AL9-2010&amp;"."</f>
        <v>389.0.20.</v>
      </c>
      <c r="AM16" s="1072" t="str">
        <f>"389.0."&amp;AM9-2010&amp;"."</f>
        <v>389.0.21.</v>
      </c>
      <c r="AN16" s="1072" t="str">
        <f>"389.0."&amp;AN9-2010&amp;"."</f>
        <v>389.0.22.</v>
      </c>
      <c r="AO16" s="1072" t="str">
        <f>"389.0."&amp;AO9-2010&amp;"."</f>
        <v>389.0.23.</v>
      </c>
      <c r="AP16" s="1072" t="str">
        <f>"389.0."&amp;AP9-2010&amp;"."</f>
        <v>389.0.24.</v>
      </c>
      <c r="AQ16" s="1072" t="str">
        <f>"389.0."&amp;AQ9-2010&amp;"."</f>
        <v>389.0.25.</v>
      </c>
      <c r="AR16" s="1072" t="str">
        <f>"389.0."&amp;AR9-2010&amp;"."</f>
        <v>389.0.26.</v>
      </c>
      <c r="AS16" s="1072" t="str">
        <f>"389.0."&amp;AS9-2010&amp;"."</f>
        <v>389.0.27.</v>
      </c>
      <c r="AT16" s="1072" t="str">
        <f>"389.0."&amp;AT9-2010&amp;"."</f>
        <v>389.0.28.</v>
      </c>
      <c r="AU16" s="1072" t="str">
        <f>"389.0."&amp;AU9-2010&amp;"."</f>
        <v>389.0.29.</v>
      </c>
      <c r="AV16" s="1072" t="str">
        <f>"389.0."&amp;AV9-2010&amp;"."</f>
        <v>389.0.30.</v>
      </c>
      <c r="AW16" s="1072" t="str">
        <f>"389.0."&amp;AW9-2010&amp;"."</f>
        <v>389.0.31.</v>
      </c>
      <c r="AX16" s="1072" t="str">
        <f>"389.0."&amp;AX9-2010&amp;"."</f>
        <v>389.0.32.</v>
      </c>
      <c r="AY16" s="1072" t="str">
        <f>"389.0."&amp;AY9-2010&amp;"."</f>
        <v>389.0.33.</v>
      </c>
      <c r="AZ16" s="1072" t="str">
        <f>"389.0."&amp;AZ9-2010&amp;"."</f>
        <v>389.0.34.</v>
      </c>
      <c r="BA16" s="1072" t="str">
        <f>"389.0."&amp;BA9-2010&amp;"."</f>
        <v>389.0.35.</v>
      </c>
      <c r="BB16" s="1072" t="str">
        <f>"389.0."&amp;BB9-2010&amp;"."</f>
        <v>389.0.36.</v>
      </c>
      <c r="BC16" s="1072" t="str">
        <f>"389.0."&amp;BC9-2010&amp;"."</f>
        <v>389.0.17.</v>
      </c>
      <c r="BD16" s="1072" t="str">
        <f>"389.0."&amp;BD9-2010&amp;"."</f>
        <v>389.0.18.</v>
      </c>
      <c r="BE16" s="1072" t="str">
        <f>"389.0."&amp;BE9-2010&amp;"."</f>
        <v>389.0.19.</v>
      </c>
      <c r="BF16" s="1072" t="str">
        <f>"389.0."&amp;BF9-2010&amp;"."</f>
        <v>389.0.20.</v>
      </c>
      <c r="BG16" s="1072" t="str">
        <f>"389.0."&amp;BG9-2010&amp;"."</f>
        <v>389.0.21.</v>
      </c>
      <c r="BH16" s="1072" t="str">
        <f>"389.0."&amp;BH9-2010&amp;"."</f>
        <v>389.0.22.</v>
      </c>
      <c r="BI16" s="1072" t="str">
        <f>"389.0."&amp;BI9-2010&amp;"."</f>
        <v>389.0.23.</v>
      </c>
      <c r="BJ16" s="1072" t="str">
        <f>"389.0."&amp;BJ9-2010&amp;"."</f>
        <v>389.0.24.</v>
      </c>
      <c r="BK16" s="1072" t="str">
        <f>"389.0."&amp;BK9-2010&amp;"."</f>
        <v>389.0.25.</v>
      </c>
      <c r="BL16" s="1072" t="str">
        <f>"389.0."&amp;BL9-2010&amp;"."</f>
        <v>389.0.26.</v>
      </c>
      <c r="BM16" s="1072" t="str">
        <f>"389.0."&amp;BM9-2010&amp;"."</f>
        <v>389.0.27.</v>
      </c>
      <c r="BN16" s="1072" t="str">
        <f>"389.0."&amp;BN9-2010&amp;"."</f>
        <v>389.0.28.</v>
      </c>
      <c r="BO16" s="1072" t="str">
        <f>"389.0."&amp;BO9-2010&amp;"."</f>
        <v>389.0.29.</v>
      </c>
      <c r="BP16" s="1072" t="str">
        <f>"389.0."&amp;BP9-2010&amp;"."</f>
        <v>389.0.30.</v>
      </c>
      <c r="BQ16" s="1072" t="str">
        <f>"389.0."&amp;BQ9-2010&amp;"."</f>
        <v>389.0.31.</v>
      </c>
      <c r="BR16" s="1072" t="str">
        <f>"389.0."&amp;BR9-2010&amp;"."</f>
        <v>389.0.32.</v>
      </c>
      <c r="BS16" s="1072" t="str">
        <f>"389.0."&amp;BS9-2010&amp;"."</f>
        <v>389.0.33.</v>
      </c>
      <c r="BT16" s="1072" t="str">
        <f>"389.0."&amp;BT9-2010&amp;"."</f>
        <v>389.0.34.</v>
      </c>
      <c r="BU16" s="1072" t="str">
        <f>"389.0."&amp;BU9-2010&amp;"."</f>
        <v>389.0.35.</v>
      </c>
      <c r="BV16" s="1072" t="str">
        <f>"389.0."&amp;BV9-2010&amp;"."</f>
        <v>389.0.36.</v>
      </c>
      <c r="BW16" s="1088"/>
      <c r="BZ16" s="1142"/>
      <c r="CA16" s="0"/>
      <c r="CB16" s="0"/>
      <c r="CC16" s="0"/>
      <c r="CD16" s="0"/>
      <c r="CE16" s="0"/>
      <c r="CF16" s="0"/>
      <c r="CG16" s="0"/>
      <c r="CH16" s="0"/>
      <c r="CI16" s="0"/>
      <c r="CJ16" s="0"/>
      <c r="CK16" s="0"/>
      <c r="CL16" s="0"/>
    </row>
    <row s="1548" customFormat="1" customHeight="1" ht="11.25" hidden="1">
      <c r="A17" s="371" t="s">
        <v>351</v>
      </c>
      <c r="E17" s="180"/>
      <c r="G17" s="193"/>
      <c r="H17" s="193"/>
      <c r="I17" s="193"/>
      <c r="J17" s="193"/>
      <c r="K17" s="193"/>
      <c r="L17" s="193"/>
      <c r="M17" s="193"/>
      <c r="N17" s="193"/>
      <c r="O17" s="193"/>
      <c r="P17" s="193"/>
      <c r="Q17" s="193"/>
      <c r="R17" s="193"/>
      <c r="S17" s="193"/>
      <c r="AB17" s="176"/>
      <c r="AC17" s="176"/>
      <c r="AD17" s="176"/>
      <c r="AE17" s="1072"/>
      <c r="AF17" s="1072"/>
      <c r="AG17" s="1072"/>
      <c r="AH17" s="1072"/>
      <c r="AI17" s="1072"/>
      <c r="AJ17" s="1072"/>
      <c r="AK17" s="1072"/>
      <c r="AL17" s="1072"/>
      <c r="AM17" s="1072"/>
      <c r="AN17" s="1072"/>
      <c r="AO17" s="1072"/>
      <c r="AP17" s="1072"/>
      <c r="AQ17" s="1072"/>
      <c r="AR17" s="1072"/>
      <c r="AS17" s="1072"/>
      <c r="AT17" s="1072"/>
      <c r="AU17" s="1072"/>
      <c r="AV17" s="1072"/>
      <c r="AW17" s="1072"/>
      <c r="AX17" s="1072"/>
      <c r="AY17" s="1072"/>
      <c r="AZ17" s="1072"/>
      <c r="BA17" s="1072"/>
      <c r="BB17" s="1072"/>
      <c r="BC17" s="1072"/>
      <c r="BD17" s="1072"/>
      <c r="BE17" s="1072"/>
      <c r="BF17" s="1072"/>
      <c r="BG17" s="1072"/>
      <c r="BH17" s="1072"/>
      <c r="BI17" s="1072"/>
      <c r="BJ17" s="1072"/>
      <c r="BK17" s="1072"/>
      <c r="BL17" s="1072"/>
      <c r="BM17" s="1072"/>
      <c r="BN17" s="1072"/>
      <c r="BO17" s="1072"/>
      <c r="BP17" s="1072"/>
      <c r="BQ17" s="1072"/>
      <c r="BR17" s="1072"/>
      <c r="BS17" s="1072"/>
      <c r="BT17" s="1072"/>
      <c r="BU17" s="1072"/>
      <c r="BV17" s="1072"/>
      <c r="BW17" s="1072" t="s">
        <v>178</v>
      </c>
      <c r="BZ17" s="1142"/>
      <c r="CA17" s="0"/>
      <c r="CB17" s="0"/>
      <c r="CC17" s="0"/>
      <c r="CD17" s="0"/>
      <c r="CE17" s="0"/>
      <c r="CF17" s="0"/>
      <c r="CG17" s="0"/>
      <c r="CH17" s="0"/>
      <c r="CI17" s="0"/>
      <c r="CJ17" s="0"/>
      <c r="CK17" s="0"/>
      <c r="CL17" s="0"/>
    </row>
    <row s="1548" customFormat="1" customHeight="1" ht="11.25" hidden="1">
      <c r="A18" s="371" t="s">
        <v>352</v>
      </c>
      <c r="E18" s="180"/>
      <c r="G18" s="193"/>
      <c r="H18" s="193"/>
      <c r="I18" s="193"/>
      <c r="J18" s="193"/>
      <c r="K18" s="193"/>
      <c r="L18" s="193"/>
      <c r="M18" s="193"/>
      <c r="N18" s="193"/>
      <c r="O18" s="193"/>
      <c r="P18" s="193"/>
      <c r="Q18" s="193"/>
      <c r="R18" s="193"/>
      <c r="S18" s="193"/>
      <c r="AB18" s="176"/>
      <c r="AC18" s="176"/>
      <c r="AD18" s="176"/>
      <c r="AE18" s="1072"/>
      <c r="AF18" s="1072"/>
      <c r="AG18" s="1072"/>
      <c r="AH18" s="1072"/>
      <c r="AI18" s="1072"/>
      <c r="AJ18" s="1072"/>
      <c r="AK18" s="1072"/>
      <c r="AL18" s="1072"/>
      <c r="AM18" s="1072"/>
      <c r="AN18" s="1072"/>
      <c r="AO18" s="1072"/>
      <c r="AP18" s="1072"/>
      <c r="AQ18" s="1072"/>
      <c r="AR18" s="1072"/>
      <c r="AS18" s="1072"/>
      <c r="AT18" s="1072"/>
      <c r="AU18" s="1072"/>
      <c r="AV18" s="1072"/>
      <c r="AW18" s="1072"/>
      <c r="AX18" s="1072"/>
      <c r="AY18" s="1072"/>
      <c r="AZ18" s="1072"/>
      <c r="BA18" s="1072"/>
      <c r="BB18" s="1072"/>
      <c r="BC18" s="1072"/>
      <c r="BD18" s="1072"/>
      <c r="BE18" s="1072"/>
      <c r="BF18" s="1072"/>
      <c r="BG18" s="1072"/>
      <c r="BH18" s="1072"/>
      <c r="BI18" s="1072"/>
      <c r="BJ18" s="1072"/>
      <c r="BK18" s="1072"/>
      <c r="BL18" s="1072"/>
      <c r="BM18" s="1072"/>
      <c r="BN18" s="1072"/>
      <c r="BO18" s="1072"/>
      <c r="BP18" s="1072"/>
      <c r="BQ18" s="1072"/>
      <c r="BR18" s="1072"/>
      <c r="BS18" s="1072"/>
      <c r="BT18" s="1072"/>
      <c r="BU18" s="1072"/>
      <c r="BV18" s="1072"/>
      <c r="BW18" s="1072" t="s">
        <v>622</v>
      </c>
      <c r="BZ18" s="1142"/>
      <c r="CA18" s="0"/>
      <c r="CB18" s="0"/>
      <c r="CC18" s="0"/>
      <c r="CD18" s="0"/>
      <c r="CE18" s="0"/>
      <c r="CF18" s="0"/>
      <c r="CG18" s="0"/>
      <c r="CH18" s="0"/>
      <c r="CI18" s="0"/>
      <c r="CJ18" s="0"/>
      <c r="CK18" s="0"/>
      <c r="CL18" s="0"/>
    </row>
    <row s="1548" customFormat="1" customHeight="1" ht="11.25" hidden="1">
      <c r="A19" s="371" t="s">
        <v>379</v>
      </c>
      <c r="E19" s="180"/>
      <c r="G19" s="193"/>
      <c r="H19" s="193"/>
      <c r="I19" s="193"/>
      <c r="J19" s="193"/>
      <c r="K19" s="193"/>
      <c r="L19" s="193"/>
      <c r="M19" s="193"/>
      <c r="N19" s="193"/>
      <c r="O19" s="193"/>
      <c r="P19" s="193"/>
      <c r="Q19" s="193"/>
      <c r="R19" s="193"/>
      <c r="S19" s="193"/>
      <c r="AB19" s="176"/>
      <c r="AC19" s="176"/>
      <c r="AD19" s="176"/>
      <c r="AE19" s="1072"/>
      <c r="AF19" s="1072"/>
      <c r="AG19" s="1072"/>
      <c r="AH19" s="1072"/>
      <c r="AI19" s="1072"/>
      <c r="AJ19" s="1072"/>
      <c r="AK19" s="1072"/>
      <c r="AL19" s="1072"/>
      <c r="AM19" s="1072"/>
      <c r="AN19" s="1072"/>
      <c r="AO19" s="1072"/>
      <c r="AP19" s="1072"/>
      <c r="AQ19" s="1072"/>
      <c r="AR19" s="1072"/>
      <c r="AS19" s="1072"/>
      <c r="AT19" s="1072"/>
      <c r="AU19" s="1072"/>
      <c r="AV19" s="1072"/>
      <c r="AW19" s="1072"/>
      <c r="AX19" s="1072"/>
      <c r="AY19" s="1072"/>
      <c r="AZ19" s="1072"/>
      <c r="BA19" s="1072"/>
      <c r="BB19" s="1072"/>
      <c r="BC19" s="1072"/>
      <c r="BD19" s="1072"/>
      <c r="BE19" s="1072"/>
      <c r="BF19" s="1072"/>
      <c r="BG19" s="1072"/>
      <c r="BH19" s="1072"/>
      <c r="BI19" s="1072"/>
      <c r="BJ19" s="1072"/>
      <c r="BK19" s="1072"/>
      <c r="BL19" s="1072"/>
      <c r="BM19" s="1072"/>
      <c r="BN19" s="1072"/>
      <c r="BO19" s="1072"/>
      <c r="BP19" s="1072"/>
      <c r="BQ19" s="1072"/>
      <c r="BR19" s="1072"/>
      <c r="BS19" s="1072"/>
      <c r="BT19" s="1072"/>
      <c r="BU19" s="1072"/>
      <c r="BV19" s="1072"/>
      <c r="BW19" s="1072" t="s">
        <v>623</v>
      </c>
      <c r="BZ19" s="1142"/>
      <c r="CA19" s="0"/>
      <c r="CB19" s="0"/>
      <c r="CC19" s="0"/>
      <c r="CD19" s="0"/>
      <c r="CE19" s="0"/>
      <c r="CF19" s="0"/>
      <c r="CG19" s="0"/>
      <c r="CH19" s="0"/>
      <c r="CI19" s="0"/>
      <c r="CJ19" s="0"/>
      <c r="CK19" s="0"/>
      <c r="CL19" s="0"/>
    </row>
    <row s="1548" customFormat="1" customHeight="1" ht="11.25" hidden="1">
      <c r="A20" s="371"/>
      <c r="E20" s="180"/>
      <c r="G20" s="193"/>
      <c r="H20" s="193"/>
      <c r="I20" s="193"/>
      <c r="J20" s="193"/>
      <c r="K20" s="193"/>
      <c r="L20" s="193"/>
      <c r="M20" s="193"/>
      <c r="N20" s="193"/>
      <c r="O20" s="193"/>
      <c r="P20" s="193"/>
      <c r="Q20" s="193"/>
      <c r="R20" s="193"/>
      <c r="S20" s="193"/>
      <c r="AB20" s="176"/>
      <c r="AC20" s="176"/>
      <c r="AD20" s="176"/>
      <c r="AI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W20" s="176"/>
      <c r="BZ20" s="1142"/>
      <c r="CA20" s="277"/>
      <c r="CB20" s="277"/>
      <c r="CC20" s="277"/>
      <c r="CD20" s="277"/>
      <c r="CE20" s="277"/>
      <c r="CF20" s="277"/>
      <c r="CG20" s="277"/>
      <c r="CH20" s="277"/>
      <c r="CI20" s="277"/>
      <c r="CJ20" s="277"/>
      <c r="CK20" s="277"/>
      <c r="CL20" s="277"/>
    </row>
    <row customHeight="1" ht="14.625">
      <c r="E21" s="180">
        <v>15</v>
      </c>
      <c r="AA21" s="182"/>
      <c r="AC21" s="278" cm="1" t="str">
        <f t="array" ref="AC21:AC21">tpl_title</f>
        <v>Кемеровская область / 2027 / ООО "КК-ИНВЕСТ" (ИНН:1901133713, КПП:190101001) / ДПР: 2025-2027</v>
      </c>
      <c r="AI21" s="286"/>
      <c r="AJ21" s="286"/>
      <c r="AK21" s="286"/>
      <c r="AL21" s="286"/>
      <c r="AM21" s="286"/>
      <c r="AN21" s="286"/>
      <c r="AO21" s="286"/>
      <c r="AP21" s="286"/>
      <c r="AQ21" s="286"/>
      <c r="AR21" s="286"/>
      <c r="AS21" s="286"/>
      <c r="AT21" s="286"/>
      <c r="AU21" s="286"/>
      <c r="AV21" s="286"/>
      <c r="AW21" s="286"/>
      <c r="AX21" s="286"/>
      <c r="AY21" s="286"/>
      <c r="AZ21" s="286"/>
      <c r="BA21" s="286"/>
      <c r="BB21" s="286"/>
      <c r="BC21" s="286"/>
      <c r="BD21" s="286"/>
      <c r="BE21" s="286"/>
      <c r="BF21" s="286"/>
      <c r="BG21" s="286"/>
      <c r="BH21" s="286"/>
      <c r="BI21" s="286"/>
      <c r="BJ21" s="286"/>
      <c r="BK21" s="286"/>
      <c r="BL21" s="286"/>
      <c r="BM21" s="286"/>
      <c r="BN21" s="286"/>
      <c r="BO21" s="286"/>
      <c r="BP21" s="286"/>
      <c r="BQ21" s="286"/>
      <c r="BR21" s="286"/>
      <c r="BS21" s="286"/>
      <c r="BT21" s="286"/>
      <c r="BU21" s="286"/>
      <c r="BV21" s="286"/>
    </row>
    <row s="1659" customFormat="1" customHeight="1" ht="19.5">
      <c r="A22" s="371"/>
      <c r="B22" s="175"/>
      <c r="C22" s="175"/>
      <c r="D22" s="175"/>
      <c r="E22" s="180">
        <v>20</v>
      </c>
      <c r="F22" s="175"/>
      <c r="T22" s="175"/>
      <c r="U22" s="175"/>
      <c r="V22" s="175"/>
      <c r="W22" s="175"/>
      <c r="X22" s="175"/>
      <c r="Y22" s="175"/>
      <c r="Z22" s="175"/>
      <c r="AA22" s="181"/>
      <c r="AB22" s="430" t="s">
        <v>34</v>
      </c>
      <c r="AC22" s="431"/>
      <c r="AD22" s="431"/>
      <c r="AE22" s="431"/>
      <c r="AF22" s="431"/>
      <c r="AG22" s="431"/>
      <c r="AH22" s="431"/>
      <c r="AI22" s="431"/>
      <c r="AJ22" s="431"/>
      <c r="AK22" s="431"/>
      <c r="AL22" s="431"/>
      <c r="AM22" s="431"/>
      <c r="AN22" s="431"/>
      <c r="AO22" s="431"/>
      <c r="AP22" s="431"/>
      <c r="AQ22" s="431"/>
      <c r="AR22" s="431"/>
      <c r="AS22" s="431"/>
      <c r="AT22" s="431"/>
      <c r="AU22" s="431"/>
      <c r="AV22" s="431"/>
      <c r="AW22" s="431"/>
      <c r="AX22" s="431"/>
      <c r="AY22" s="431"/>
      <c r="AZ22" s="431"/>
      <c r="BA22" s="431"/>
      <c r="BB22" s="431"/>
      <c r="BC22" s="431"/>
      <c r="BD22" s="431"/>
      <c r="BE22" s="431"/>
      <c r="BF22" s="431"/>
      <c r="BG22" s="431"/>
      <c r="BH22" s="431"/>
      <c r="BI22" s="431"/>
      <c r="BJ22" s="431"/>
      <c r="BK22" s="431"/>
      <c r="BL22" s="431"/>
      <c r="BM22" s="431"/>
      <c r="BN22" s="431"/>
      <c r="BO22" s="431"/>
      <c r="BP22" s="431"/>
      <c r="BQ22" s="431"/>
      <c r="BR22" s="431"/>
      <c r="BS22" s="431"/>
      <c r="BT22" s="431"/>
      <c r="BU22" s="431"/>
      <c r="BV22" s="431"/>
      <c r="BW22" s="431"/>
      <c r="BX22" s="181"/>
      <c r="BZ22" s="1142"/>
      <c r="CA22" s="181"/>
      <c r="CB22" s="181"/>
      <c r="CC22" s="181"/>
      <c r="CD22" s="181"/>
      <c r="CE22" s="181"/>
      <c r="CF22" s="181"/>
      <c r="CG22" s="181"/>
      <c r="CH22" s="181"/>
      <c r="CI22" s="181"/>
      <c r="CJ22" s="181"/>
      <c r="CK22" s="181"/>
      <c r="CL22" s="181"/>
    </row>
    <row customHeight="1" ht="10.725000000000001">
      <c r="E23" s="180">
        <v>11</v>
      </c>
      <c r="AI23" s="286"/>
      <c r="AJ23" s="286"/>
      <c r="AK23" s="286"/>
      <c r="AL23" s="286"/>
      <c r="AM23" s="286"/>
      <c r="AN23" s="286"/>
      <c r="AO23" s="286"/>
      <c r="AP23" s="286"/>
      <c r="AQ23" s="286"/>
      <c r="AR23" s="286"/>
      <c r="AS23" s="286"/>
      <c r="AT23" s="286"/>
      <c r="AU23" s="286"/>
      <c r="AV23" s="286"/>
      <c r="AW23" s="286"/>
      <c r="AX23" s="286"/>
      <c r="AY23" s="286"/>
      <c r="AZ23" s="286"/>
      <c r="BA23" s="286"/>
      <c r="BB23" s="286"/>
      <c r="BC23" s="286"/>
      <c r="BD23" s="286"/>
      <c r="BE23" s="286"/>
      <c r="BF23" s="286"/>
      <c r="BG23" s="286"/>
      <c r="BH23" s="286"/>
      <c r="BI23" s="286"/>
      <c r="BJ23" s="286"/>
      <c r="BK23" s="286"/>
      <c r="BL23" s="286"/>
      <c r="BM23" s="286"/>
      <c r="BN23" s="286"/>
      <c r="BO23" s="286"/>
      <c r="BP23" s="286"/>
      <c r="BQ23" s="286"/>
      <c r="BR23" s="286"/>
      <c r="BS23" s="286"/>
      <c r="BT23" s="286"/>
      <c r="BU23" s="286"/>
      <c r="BV23" s="286"/>
    </row>
    <row s="1659" customFormat="1" customHeight="1" ht="14.625">
      <c r="A24" s="371"/>
      <c r="B24" s="175"/>
      <c r="C24" s="175"/>
      <c r="D24" s="175"/>
      <c r="E24" s="180">
        <v>15</v>
      </c>
      <c r="F24" s="175"/>
      <c r="T24" s="175"/>
      <c r="U24" s="175"/>
      <c r="V24" s="175"/>
      <c r="W24" s="175"/>
      <c r="X24" s="175"/>
      <c r="Y24" s="175"/>
      <c r="Z24" s="175"/>
      <c r="AA24" s="181"/>
      <c r="AB24" s="1594" t="s">
        <v>624</v>
      </c>
      <c r="AC24" s="1594"/>
      <c r="AD24" s="1594"/>
      <c r="AE24" s="1594"/>
      <c r="AF24" s="1594"/>
      <c r="AG24" s="1594"/>
      <c r="AH24" s="1594"/>
      <c r="AI24" s="1594"/>
      <c r="AJ24" s="1594"/>
      <c r="AK24" s="1594"/>
      <c r="AL24" s="1594"/>
      <c r="AM24" s="1594"/>
      <c r="AN24" s="1594"/>
      <c r="AO24" s="1594"/>
      <c r="AP24" s="1594"/>
      <c r="AQ24" s="1594"/>
      <c r="AR24" s="1594"/>
      <c r="AS24" s="1594"/>
      <c r="AT24" s="1594"/>
      <c r="AU24" s="1594"/>
      <c r="AV24" s="1594"/>
      <c r="AW24" s="1594"/>
      <c r="AX24" s="1594"/>
      <c r="AY24" s="1594"/>
      <c r="AZ24" s="1594"/>
      <c r="BA24" s="1594"/>
      <c r="BB24" s="1594"/>
      <c r="BC24" s="1594"/>
      <c r="BD24" s="1594"/>
      <c r="BE24" s="1594"/>
      <c r="BF24" s="1594"/>
      <c r="BG24" s="1594"/>
      <c r="BH24" s="1594"/>
      <c r="BI24" s="1594"/>
      <c r="BJ24" s="1594"/>
      <c r="BK24" s="1594"/>
      <c r="BL24" s="1594"/>
      <c r="BM24" s="1594"/>
      <c r="BN24" s="1594"/>
      <c r="BO24" s="1594"/>
      <c r="BP24" s="1594"/>
      <c r="BQ24" s="1594"/>
      <c r="BR24" s="1594"/>
      <c r="BS24" s="1594"/>
      <c r="BT24" s="1594"/>
      <c r="BU24" s="1594"/>
      <c r="BV24" s="1594"/>
      <c r="BW24" s="1594"/>
      <c r="BX24" s="181"/>
      <c r="BZ24" s="1142"/>
      <c r="CA24" s="181"/>
      <c r="CB24" s="181"/>
      <c r="CC24" s="181"/>
      <c r="CD24" s="181"/>
      <c r="CE24" s="181"/>
      <c r="CF24" s="181"/>
      <c r="CG24" s="181"/>
      <c r="CH24" s="181"/>
      <c r="CI24" s="181"/>
      <c r="CJ24" s="181"/>
      <c r="CK24" s="181"/>
      <c r="CL24" s="181"/>
    </row>
    <row s="308" customFormat="1" customHeight="1" ht="14.625">
      <c r="A25" s="371"/>
      <c r="B25" s="176"/>
      <c r="C25" s="176"/>
      <c r="D25" s="176"/>
      <c r="E25" s="284">
        <v>15</v>
      </c>
      <c r="F25" s="176"/>
      <c r="T25" s="176"/>
      <c r="U25" s="176"/>
      <c r="V25" s="175"/>
      <c r="W25" s="176"/>
      <c r="X25" s="176"/>
      <c r="Y25" s="176"/>
      <c r="Z25" s="176"/>
      <c r="AA25" s="285"/>
      <c r="AB25" s="1596" t="s">
        <v>355</v>
      </c>
      <c r="AC25" s="1597" t="s">
        <v>412</v>
      </c>
      <c r="AD25" s="1589" t="s">
        <v>413</v>
      </c>
      <c r="AE25" s="432" t="str">
        <f>god-2&amp;" год"</f>
        <v>2025 год</v>
      </c>
      <c r="AF25" s="433" t="str">
        <f>god-2&amp;" год"</f>
        <v>2025 год</v>
      </c>
      <c r="AG25" s="432" t="str">
        <f>god-2&amp;" год"</f>
        <v>2025 год</v>
      </c>
      <c r="AH25" s="330" t="str">
        <f>god-1&amp;" год"</f>
        <v>2026 год</v>
      </c>
      <c r="AI25" s="329" t="str">
        <f>god&amp;" год"</f>
        <v>2027 год</v>
      </c>
      <c r="AJ25" s="329" t="str">
        <f>god+1&amp;" год"</f>
        <v>2028 год</v>
      </c>
      <c r="AK25" s="329" t="str">
        <f>god+2&amp;" год"</f>
        <v>2029 год</v>
      </c>
      <c r="AL25" s="329" t="str">
        <f>god+3&amp;" год"</f>
        <v>2030 год</v>
      </c>
      <c r="AM25" s="329" t="str">
        <f>god+4&amp;" год"</f>
        <v>2031 год</v>
      </c>
      <c r="AN25" s="329" t="str">
        <f>god+5&amp;" год"</f>
        <v>2032 год</v>
      </c>
      <c r="AO25" s="329" t="str">
        <f>god+6&amp;" год"</f>
        <v>2033 год</v>
      </c>
      <c r="AP25" s="329" t="str">
        <f>god+7&amp;" год"</f>
        <v>2034 год</v>
      </c>
      <c r="AQ25" s="329" t="str">
        <f>god+8&amp;" год"</f>
        <v>2035 год</v>
      </c>
      <c r="AR25" s="329" t="str">
        <f>god+9&amp;" год"</f>
        <v>2036 год</v>
      </c>
      <c r="AS25" s="329" t="str">
        <f>god+10&amp;" год"</f>
        <v>2037 год</v>
      </c>
      <c r="AT25" s="329" t="str">
        <f>god+11&amp;" год"</f>
        <v>2038 год</v>
      </c>
      <c r="AU25" s="329" t="str">
        <f>god+12&amp;" год"</f>
        <v>2039 год</v>
      </c>
      <c r="AV25" s="329" t="str">
        <f>god+13&amp;" год"</f>
        <v>2040 год</v>
      </c>
      <c r="AW25" s="329" t="str">
        <f>god+14&amp;" год"</f>
        <v>2041 год</v>
      </c>
      <c r="AX25" s="329" t="str">
        <f>god+15&amp;" год"</f>
        <v>2042 год</v>
      </c>
      <c r="AY25" s="329" t="str">
        <f>god+16&amp;" год"</f>
        <v>2043 год</v>
      </c>
      <c r="AZ25" s="329" t="str">
        <f>god+17&amp;" год"</f>
        <v>2044 год</v>
      </c>
      <c r="BA25" s="329" t="str">
        <f>god+18&amp;" год"</f>
        <v>2045 год</v>
      </c>
      <c r="BB25" s="329" t="str">
        <f>god+19&amp;" год"</f>
        <v>2046 год</v>
      </c>
      <c r="BC25" s="328" t="str">
        <f>god&amp;" год"</f>
        <v>2027 год</v>
      </c>
      <c r="BD25" s="328" t="str">
        <f>god+1&amp;" год"</f>
        <v>2028 год</v>
      </c>
      <c r="BE25" s="328" t="str">
        <f>god+2&amp;" год"</f>
        <v>2029 год</v>
      </c>
      <c r="BF25" s="328" t="str">
        <f>god+3&amp;" год"</f>
        <v>2030 год</v>
      </c>
      <c r="BG25" s="328" t="str">
        <f>god+4&amp;" год"</f>
        <v>2031 год</v>
      </c>
      <c r="BH25" s="328" t="str">
        <f>god+5&amp;" год"</f>
        <v>2032 год</v>
      </c>
      <c r="BI25" s="328" t="str">
        <f>god+6&amp;" год"</f>
        <v>2033 год</v>
      </c>
      <c r="BJ25" s="328" t="str">
        <f>god+7&amp;" год"</f>
        <v>2034 год</v>
      </c>
      <c r="BK25" s="328" t="str">
        <f>god+8&amp;" год"</f>
        <v>2035 год</v>
      </c>
      <c r="BL25" s="328" t="str">
        <f>god+9&amp;" год"</f>
        <v>2036 год</v>
      </c>
      <c r="BM25" s="328" t="str">
        <f>god+10&amp;" год"</f>
        <v>2037 год</v>
      </c>
      <c r="BN25" s="328" t="str">
        <f>god+11&amp;" год"</f>
        <v>2038 год</v>
      </c>
      <c r="BO25" s="328" t="str">
        <f>god+12&amp;" год"</f>
        <v>2039 год</v>
      </c>
      <c r="BP25" s="328" t="str">
        <f>god+13&amp;" год"</f>
        <v>2040 год</v>
      </c>
      <c r="BQ25" s="328" t="str">
        <f>god+14&amp;" год"</f>
        <v>2041 год</v>
      </c>
      <c r="BR25" s="328" t="str">
        <f>god+15&amp;" год"</f>
        <v>2042 год</v>
      </c>
      <c r="BS25" s="328" t="str">
        <f>god+16&amp;" год"</f>
        <v>2043 год</v>
      </c>
      <c r="BT25" s="328" t="str">
        <f>god+17&amp;" год"</f>
        <v>2044 год</v>
      </c>
      <c r="BU25" s="328" t="str">
        <f>god+18&amp;" год"</f>
        <v>2045 год</v>
      </c>
      <c r="BV25" s="328" t="str">
        <f>god+19&amp;" год"</f>
        <v>2046 год</v>
      </c>
      <c r="BW25" s="1595" t="s">
        <v>625</v>
      </c>
      <c r="BX25" s="285"/>
      <c r="BZ25" s="1142"/>
      <c r="CA25" s="285"/>
      <c r="CB25" s="285"/>
      <c r="CC25" s="285"/>
      <c r="CD25" s="285"/>
      <c r="CE25" s="285"/>
      <c r="CF25" s="285"/>
      <c r="CG25" s="285"/>
      <c r="CH25" s="285"/>
      <c r="CI25" s="285"/>
      <c r="CJ25" s="285"/>
      <c r="CK25" s="285"/>
      <c r="CL25" s="285"/>
    </row>
    <row s="308" customFormat="1" customHeight="1" ht="68.25">
      <c r="A26" s="371"/>
      <c r="B26" s="176"/>
      <c r="C26" s="176"/>
      <c r="D26" s="176"/>
      <c r="E26" s="284">
        <v>70</v>
      </c>
      <c r="F26" s="176"/>
      <c r="T26" s="176"/>
      <c r="U26" s="176"/>
      <c r="V26" s="175"/>
      <c r="W26" s="176"/>
      <c r="X26" s="176"/>
      <c r="Y26" s="176"/>
      <c r="Z26" s="176"/>
      <c r="AA26" s="285"/>
      <c r="AB26" s="1596"/>
      <c r="AC26" s="1598"/>
      <c r="AD26" s="1589"/>
      <c r="AE26" s="328" t="s">
        <v>415</v>
      </c>
      <c r="AF26" s="329" t="s">
        <v>626</v>
      </c>
      <c r="AG26" s="328" t="s">
        <v>627</v>
      </c>
      <c r="AH26" s="328" t="s">
        <v>415</v>
      </c>
      <c r="AI26" s="331" t="s">
        <v>416</v>
      </c>
      <c r="AJ26" s="331" t="s">
        <v>416</v>
      </c>
      <c r="AK26" s="331" t="s">
        <v>416</v>
      </c>
      <c r="AL26" s="331" t="s">
        <v>416</v>
      </c>
      <c r="AM26" s="331" t="s">
        <v>416</v>
      </c>
      <c r="AN26" s="331" t="s">
        <v>416</v>
      </c>
      <c r="AO26" s="331" t="s">
        <v>416</v>
      </c>
      <c r="AP26" s="331" t="s">
        <v>416</v>
      </c>
      <c r="AQ26" s="331" t="s">
        <v>416</v>
      </c>
      <c r="AR26" s="331" t="s">
        <v>416</v>
      </c>
      <c r="AS26" s="331" t="s">
        <v>416</v>
      </c>
      <c r="AT26" s="331" t="s">
        <v>416</v>
      </c>
      <c r="AU26" s="331" t="s">
        <v>416</v>
      </c>
      <c r="AV26" s="331" t="s">
        <v>416</v>
      </c>
      <c r="AW26" s="331" t="s">
        <v>416</v>
      </c>
      <c r="AX26" s="331" t="s">
        <v>416</v>
      </c>
      <c r="AY26" s="331" t="s">
        <v>416</v>
      </c>
      <c r="AZ26" s="331" t="s">
        <v>416</v>
      </c>
      <c r="BA26" s="331" t="s">
        <v>416</v>
      </c>
      <c r="BB26" s="331" t="s">
        <v>416</v>
      </c>
      <c r="BC26" s="424" t="s">
        <v>415</v>
      </c>
      <c r="BD26" s="424" t="s">
        <v>415</v>
      </c>
      <c r="BE26" s="424" t="s">
        <v>415</v>
      </c>
      <c r="BF26" s="424" t="s">
        <v>415</v>
      </c>
      <c r="BG26" s="424" t="s">
        <v>415</v>
      </c>
      <c r="BH26" s="424" t="s">
        <v>415</v>
      </c>
      <c r="BI26" s="424" t="s">
        <v>415</v>
      </c>
      <c r="BJ26" s="424" t="s">
        <v>415</v>
      </c>
      <c r="BK26" s="424" t="s">
        <v>415</v>
      </c>
      <c r="BL26" s="424" t="s">
        <v>415</v>
      </c>
      <c r="BM26" s="424" t="s">
        <v>415</v>
      </c>
      <c r="BN26" s="424" t="s">
        <v>415</v>
      </c>
      <c r="BO26" s="424" t="s">
        <v>415</v>
      </c>
      <c r="BP26" s="424" t="s">
        <v>415</v>
      </c>
      <c r="BQ26" s="424" t="s">
        <v>415</v>
      </c>
      <c r="BR26" s="424" t="s">
        <v>415</v>
      </c>
      <c r="BS26" s="424" t="s">
        <v>415</v>
      </c>
      <c r="BT26" s="424" t="s">
        <v>415</v>
      </c>
      <c r="BU26" s="424" t="s">
        <v>415</v>
      </c>
      <c r="BV26" s="424" t="s">
        <v>415</v>
      </c>
      <c r="BW26" s="1595"/>
      <c r="BX26" s="285"/>
      <c r="BZ26" s="1142"/>
      <c r="CA26" s="285"/>
      <c r="CB26" s="285"/>
      <c r="CC26" s="285"/>
      <c r="CD26" s="285"/>
      <c r="CE26" s="285"/>
      <c r="CF26" s="285"/>
      <c r="CG26" s="285"/>
      <c r="CH26" s="285"/>
      <c r="CI26" s="285"/>
      <c r="CJ26" s="285"/>
      <c r="CK26" s="285"/>
      <c r="CL26" s="285"/>
    </row>
    <row s="308" customFormat="1" customHeight="1" ht="69.75" hidden="1">
      <c r="A27" s="371"/>
      <c r="B27" s="176"/>
      <c r="C27" s="176"/>
      <c r="D27" s="176"/>
      <c r="E27" s="966">
        <v>0</v>
      </c>
      <c r="F27" s="176"/>
      <c r="T27" s="176"/>
      <c r="U27" s="176"/>
      <c r="V27" s="175"/>
      <c r="W27" s="176"/>
      <c r="X27" s="176"/>
      <c r="Y27" s="176"/>
      <c r="Z27" s="176"/>
      <c r="AA27" s="285"/>
      <c r="AB27" s="434"/>
      <c r="AC27" s="296"/>
      <c r="AD27" s="239"/>
      <c r="AE27" s="279"/>
      <c r="AF27" s="279"/>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c r="BM27" s="279"/>
      <c r="BN27" s="279"/>
      <c r="BO27" s="279"/>
      <c r="BP27" s="279"/>
      <c r="BQ27" s="279"/>
      <c r="BR27" s="279"/>
      <c r="BS27" s="279"/>
      <c r="BT27" s="279"/>
      <c r="BU27" s="279"/>
      <c r="BV27" s="279"/>
      <c r="BW27" s="279"/>
      <c r="BX27" s="285"/>
      <c r="BZ27" s="1142"/>
      <c r="CA27" s="285"/>
      <c r="CB27" s="285"/>
      <c r="CC27" s="285"/>
      <c r="CD27" s="285"/>
      <c r="CE27" s="285"/>
      <c r="CF27" s="285"/>
      <c r="CG27" s="285"/>
      <c r="CH27" s="285"/>
      <c r="CI27" s="285"/>
      <c r="CJ27" s="285"/>
      <c r="CK27" s="285"/>
      <c r="CL27" s="285"/>
    </row>
    <row customHeight="1" ht="10.725000000000001" hidden="1">
      <c r="E28" s="180">
        <v>11</v>
      </c>
      <c r="F28" s="175" cm="1" t="str">
        <f t="array" ref="F28:F28">X28</f>
        <v>0</v>
      </c>
      <c r="G28" s="193" cm="1" t="str">
        <f t="array" ref="G28:G28">INDEX('Общие сведения'!$AL$169:$AL$202,MATCH($F28,'Общие сведения'!$Y$169:$Y$202,0))</f>
        <v>0</v>
      </c>
      <c r="H28" s="193" cm="1" t="str">
        <f t="array" ref="H28:H28">INDEX('Общие сведения'!$AK$169:$AK$202,MATCH($F28,'Общие сведения'!$Y$169:$Y$202,0))</f>
        <v>0</v>
      </c>
      <c r="T28" s="753">
        <f>AND(X28&gt;0,G28&lt;&gt;"передача тепловой энергии")</f>
        <v>0</v>
      </c>
      <c r="V28" s="175" t="s">
        <v>266</v>
      </c>
      <c r="X28" s="175">
        <v>0</v>
      </c>
      <c r="AB28" s="435" cm="1" t="str">
        <f t="array" ref="AB28:AB28">INDEX('Общие сведения'!$AG$169:$AG$202,MATCH($F28,'Общие сведения'!$Y$169:$Y$202,0))</f>
        <v>Тариф 0 (Теплоснабжение) - </v>
      </c>
      <c r="AC28" s="319"/>
      <c r="AD28" s="319"/>
      <c r="AE28" s="319"/>
      <c r="AF28" s="319"/>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row>
    <row customHeight="1" ht="16.575" hidden="1">
      <c r="E29" s="180">
        <v>17</v>
      </c>
      <c r="F29" s="175" cm="1" t="str">
        <f t="array" ref="F29:F29">OFFSET(G29,-1,-1)</f>
        <v>0</v>
      </c>
      <c r="T29" s="753" cm="1" t="str">
        <f t="array" ref="T29:T29">T28</f>
        <v>false</v>
      </c>
      <c r="AB29" s="436">
        <v>1</v>
      </c>
      <c r="AC29" s="437" t="s">
        <v>628</v>
      </c>
      <c r="AD29" s="384" t="s">
        <v>629</v>
      </c>
      <c r="AE29" s="438">
        <f>AE30+AE33+AE36</f>
        <v>0</v>
      </c>
      <c r="AF29" s="438">
        <f>AF30+AF33+AF36</f>
        <v>0</v>
      </c>
      <c r="AG29" s="438">
        <f>AG30+AG33+AG36</f>
        <v>0</v>
      </c>
      <c r="AH29" s="438">
        <f>AH30+AH33+AH36</f>
        <v>0</v>
      </c>
      <c r="AI29" s="438">
        <f>AI30+AI33+AI36</f>
        <v>0</v>
      </c>
      <c r="AJ29" s="438">
        <f>AJ30+AJ33+AJ36</f>
        <v>0</v>
      </c>
      <c r="AK29" s="438">
        <f>AK30+AK33+AK36</f>
        <v>0</v>
      </c>
      <c r="AL29" s="438">
        <f>AL30+AL33+AL36</f>
        <v>0</v>
      </c>
      <c r="AM29" s="438">
        <f>AM30+AM33+AM36</f>
        <v>0</v>
      </c>
      <c r="AN29" s="438">
        <f>AN30+AN33+AN36</f>
        <v>0</v>
      </c>
      <c r="AO29" s="438">
        <f>AO30+AO33+AO36</f>
        <v>0</v>
      </c>
      <c r="AP29" s="438">
        <f>AP30+AP33+AP36</f>
        <v>0</v>
      </c>
      <c r="AQ29" s="438">
        <f>AQ30+AQ33+AQ36</f>
        <v>0</v>
      </c>
      <c r="AR29" s="438">
        <f>AR30+AR33+AR36</f>
        <v>0</v>
      </c>
      <c r="AS29" s="438">
        <f>AS30+AS33+AS36</f>
        <v>0</v>
      </c>
      <c r="AT29" s="438">
        <f>AT30+AT33+AT36</f>
        <v>0</v>
      </c>
      <c r="AU29" s="438">
        <f>AU30+AU33+AU36</f>
        <v>0</v>
      </c>
      <c r="AV29" s="438">
        <f>AV30+AV33+AV36</f>
        <v>0</v>
      </c>
      <c r="AW29" s="438">
        <f>AW30+AW33+AW36</f>
        <v>0</v>
      </c>
      <c r="AX29" s="438">
        <f>AX30+AX33+AX36</f>
        <v>0</v>
      </c>
      <c r="AY29" s="438">
        <f>AY30+AY33+AY36</f>
        <v>0</v>
      </c>
      <c r="AZ29" s="438">
        <f>AZ30+AZ33+AZ36</f>
        <v>0</v>
      </c>
      <c r="BA29" s="438">
        <f>BA30+BA33+BA36</f>
        <v>0</v>
      </c>
      <c r="BB29" s="438">
        <f>BB30+BB33+BB36</f>
        <v>0</v>
      </c>
      <c r="BC29" s="438">
        <f>BC30+BC33+BC36</f>
        <v>0</v>
      </c>
      <c r="BD29" s="438">
        <f>BD30+BD33+BD36</f>
        <v>0</v>
      </c>
      <c r="BE29" s="438">
        <f>BE30+BE33+BE36</f>
        <v>0</v>
      </c>
      <c r="BF29" s="438">
        <f>BF30+BF33+BF36</f>
        <v>0</v>
      </c>
      <c r="BG29" s="438">
        <f>BG30+BG33+BG36</f>
        <v>0</v>
      </c>
      <c r="BH29" s="438">
        <f>BH30+BH33+BH36</f>
        <v>0</v>
      </c>
      <c r="BI29" s="438">
        <f>BI30+BI33+BI36</f>
        <v>0</v>
      </c>
      <c r="BJ29" s="438">
        <f>BJ30+BJ33+BJ36</f>
        <v>0</v>
      </c>
      <c r="BK29" s="438">
        <f>BK30+BK33+BK36</f>
        <v>0</v>
      </c>
      <c r="BL29" s="438">
        <f>BL30+BL33+BL36</f>
        <v>0</v>
      </c>
      <c r="BM29" s="438">
        <f>BM30+BM33+BM36</f>
        <v>0</v>
      </c>
      <c r="BN29" s="438">
        <f>BN30+BN33+BN36</f>
        <v>0</v>
      </c>
      <c r="BO29" s="438">
        <f>BO30+BO33+BO36</f>
        <v>0</v>
      </c>
      <c r="BP29" s="438">
        <f>BP30+BP33+BP36</f>
        <v>0</v>
      </c>
      <c r="BQ29" s="438">
        <f>BQ30+BQ33+BQ36</f>
        <v>0</v>
      </c>
      <c r="BR29" s="438">
        <f>BR30+BR33+BR36</f>
        <v>0</v>
      </c>
      <c r="BS29" s="438">
        <f>BS30+BS33+BS36</f>
        <v>0</v>
      </c>
      <c r="BT29" s="438">
        <f>BT30+BT33+BT36</f>
        <v>0</v>
      </c>
      <c r="BU29" s="438">
        <f>BU30+BU33+BU36</f>
        <v>0</v>
      </c>
      <c r="BV29" s="438">
        <f>BV30+BV33+BV36</f>
        <v>0</v>
      </c>
      <c r="BW29" s="83"/>
      <c r="BZ29" s="975" t="s">
        <v>630</v>
      </c>
      <c r="CA29" s="1077" cm="1" t="str">
        <f t="array" ref="CA29:CA29">INDEX('Общие сведения'!$N$170:$N$202,MATCH($F29,'Общие сведения'!$Y$170:$Y$202,0)+1)</f>
        <v>0</v>
      </c>
      <c r="CB29" s="1077" t="s">
        <v>631</v>
      </c>
      <c r="CC29" s="1076"/>
      <c r="CD29" s="1076"/>
      <c r="CE29" s="1076"/>
      <c r="CF29" s="1076"/>
      <c r="CG29" s="1076"/>
      <c r="CH29" s="1076"/>
      <c r="CI29" s="1076"/>
      <c r="CJ29" s="1077" t="s">
        <v>303</v>
      </c>
      <c r="CK29" s="1077" t="s">
        <v>632</v>
      </c>
      <c r="CL29" s="1077" t="s">
        <v>633</v>
      </c>
    </row>
    <row customHeight="1" ht="16.575" hidden="1">
      <c r="E30" s="180">
        <v>17</v>
      </c>
      <c r="F30" s="175" cm="1" t="str">
        <f t="array" ref="F30:F30">OFFSET(G30,-1,-1)</f>
        <v>0</v>
      </c>
      <c r="T30" s="753" cm="1" t="str">
        <f t="array" ref="T30:T30">T29</f>
        <v>false</v>
      </c>
      <c r="AB30" s="385" t="str">
        <f>AB29&amp;".1"</f>
        <v>1.1</v>
      </c>
      <c r="AC30" s="368" t="s">
        <v>634</v>
      </c>
      <c r="AD30" s="384" t="s">
        <v>629</v>
      </c>
      <c r="AE30" s="438">
        <f>AE31+AE32</f>
        <v>0</v>
      </c>
      <c r="AF30" s="438">
        <f>AF31+AF32</f>
        <v>0</v>
      </c>
      <c r="AG30" s="438">
        <f>AG31+AG32</f>
        <v>0</v>
      </c>
      <c r="AH30" s="438">
        <f>AH31+AH32</f>
        <v>0</v>
      </c>
      <c r="AI30" s="438">
        <f>AI31+AI32</f>
        <v>0</v>
      </c>
      <c r="AJ30" s="438">
        <f>AJ31+AJ32</f>
        <v>0</v>
      </c>
      <c r="AK30" s="438">
        <f>AK31+AK32</f>
        <v>0</v>
      </c>
      <c r="AL30" s="438">
        <f>AL31+AL32</f>
        <v>0</v>
      </c>
      <c r="AM30" s="438">
        <f>AM31+AM32</f>
        <v>0</v>
      </c>
      <c r="AN30" s="438">
        <f>AN31+AN32</f>
        <v>0</v>
      </c>
      <c r="AO30" s="438">
        <f>AO31+AO32</f>
        <v>0</v>
      </c>
      <c r="AP30" s="438">
        <f>AP31+AP32</f>
        <v>0</v>
      </c>
      <c r="AQ30" s="438">
        <f>AQ31+AQ32</f>
        <v>0</v>
      </c>
      <c r="AR30" s="438">
        <f>AR31+AR32</f>
        <v>0</v>
      </c>
      <c r="AS30" s="438">
        <f>AS31+AS32</f>
        <v>0</v>
      </c>
      <c r="AT30" s="438">
        <f>AT31+AT32</f>
        <v>0</v>
      </c>
      <c r="AU30" s="438">
        <f>AU31+AU32</f>
        <v>0</v>
      </c>
      <c r="AV30" s="438">
        <f>AV31+AV32</f>
        <v>0</v>
      </c>
      <c r="AW30" s="438">
        <f>AW31+AW32</f>
        <v>0</v>
      </c>
      <c r="AX30" s="438">
        <f>AX31+AX32</f>
        <v>0</v>
      </c>
      <c r="AY30" s="438">
        <f>AY31+AY32</f>
        <v>0</v>
      </c>
      <c r="AZ30" s="438">
        <f>AZ31+AZ32</f>
        <v>0</v>
      </c>
      <c r="BA30" s="438">
        <f>BA31+BA32</f>
        <v>0</v>
      </c>
      <c r="BB30" s="438">
        <f>BB31+BB32</f>
        <v>0</v>
      </c>
      <c r="BC30" s="438">
        <f>BC31+BC32</f>
        <v>0</v>
      </c>
      <c r="BD30" s="438">
        <f>BD31+BD32</f>
        <v>0</v>
      </c>
      <c r="BE30" s="438">
        <f>BE31+BE32</f>
        <v>0</v>
      </c>
      <c r="BF30" s="438">
        <f>BF31+BF32</f>
        <v>0</v>
      </c>
      <c r="BG30" s="438">
        <f>BG31+BG32</f>
        <v>0</v>
      </c>
      <c r="BH30" s="438">
        <f>BH31+BH32</f>
        <v>0</v>
      </c>
      <c r="BI30" s="438">
        <f>BI31+BI32</f>
        <v>0</v>
      </c>
      <c r="BJ30" s="438">
        <f>BJ31+BJ32</f>
        <v>0</v>
      </c>
      <c r="BK30" s="438">
        <f>BK31+BK32</f>
        <v>0</v>
      </c>
      <c r="BL30" s="438">
        <f>BL31+BL32</f>
        <v>0</v>
      </c>
      <c r="BM30" s="438">
        <f>BM31+BM32</f>
        <v>0</v>
      </c>
      <c r="BN30" s="438">
        <f>BN31+BN32</f>
        <v>0</v>
      </c>
      <c r="BO30" s="438">
        <f>BO31+BO32</f>
        <v>0</v>
      </c>
      <c r="BP30" s="438">
        <f>BP31+BP32</f>
        <v>0</v>
      </c>
      <c r="BQ30" s="438">
        <f>BQ31+BQ32</f>
        <v>0</v>
      </c>
      <c r="BR30" s="438">
        <f>BR31+BR32</f>
        <v>0</v>
      </c>
      <c r="BS30" s="438">
        <f>BS31+BS32</f>
        <v>0</v>
      </c>
      <c r="BT30" s="438">
        <f>BT31+BT32</f>
        <v>0</v>
      </c>
      <c r="BU30" s="438">
        <f>BU31+BU32</f>
        <v>0</v>
      </c>
      <c r="BV30" s="438">
        <f>BV31+BV32</f>
        <v>0</v>
      </c>
      <c r="BW30" s="83"/>
      <c r="BZ30" s="975" t="s">
        <v>635</v>
      </c>
      <c r="CA30" s="1077" cm="1" t="str">
        <f t="array" ref="CA30:CA30">CA29</f>
        <v>0</v>
      </c>
      <c r="CB30" s="1077" t="s">
        <v>631</v>
      </c>
      <c r="CC30" s="1077" t="s">
        <v>636</v>
      </c>
      <c r="CD30" s="1076"/>
      <c r="CE30" s="1076"/>
      <c r="CF30" s="1076"/>
      <c r="CG30" s="1076"/>
      <c r="CH30" s="1076"/>
      <c r="CI30" s="1076"/>
      <c r="CJ30" s="1077" t="s">
        <v>303</v>
      </c>
      <c r="CK30" s="1077" t="s">
        <v>632</v>
      </c>
      <c r="CL30" s="1077" t="s">
        <v>633</v>
      </c>
    </row>
    <row customHeight="1" ht="16.575" hidden="1">
      <c r="E31" s="180">
        <v>17</v>
      </c>
      <c r="F31" s="175" cm="1" t="str">
        <f t="array" ref="F31:F31">OFFSET(G31,-1,-1)</f>
        <v>0</v>
      </c>
      <c r="T31" s="753" cm="1" t="str">
        <f t="array" ref="T31:T31">T30</f>
        <v>false</v>
      </c>
      <c r="AB31" s="385" t="str">
        <f>AB30&amp;".1"</f>
        <v>1.1.1</v>
      </c>
      <c r="AC31" s="355" t="s">
        <v>637</v>
      </c>
      <c r="AD31" s="384" t="s">
        <v>629</v>
      </c>
      <c r="AE31" s="47"/>
      <c r="AF31" s="47"/>
      <c r="AG31" s="47"/>
      <c r="AH31" s="47"/>
      <c r="AI31" s="439"/>
      <c r="AJ31" s="47"/>
      <c r="AK31" s="47"/>
      <c r="AL31" s="47"/>
      <c r="AM31" s="47"/>
      <c r="AN31" s="47"/>
      <c r="AO31" s="47"/>
      <c r="AP31" s="47"/>
      <c r="AQ31" s="47"/>
      <c r="AR31" s="47"/>
      <c r="AS31" s="47"/>
      <c r="AT31" s="47"/>
      <c r="AU31" s="47"/>
      <c r="AV31" s="47"/>
      <c r="AW31" s="47"/>
      <c r="AX31" s="47"/>
      <c r="AY31" s="47"/>
      <c r="AZ31" s="47"/>
      <c r="BA31" s="47"/>
      <c r="BB31" s="47"/>
      <c r="BC31" s="439"/>
      <c r="BD31" s="47"/>
      <c r="BE31" s="47"/>
      <c r="BF31" s="47"/>
      <c r="BG31" s="47"/>
      <c r="BH31" s="47"/>
      <c r="BI31" s="47"/>
      <c r="BJ31" s="47"/>
      <c r="BK31" s="47"/>
      <c r="BL31" s="47"/>
      <c r="BM31" s="47"/>
      <c r="BN31" s="47"/>
      <c r="BO31" s="47"/>
      <c r="BP31" s="47"/>
      <c r="BQ31" s="47"/>
      <c r="BR31" s="47"/>
      <c r="BS31" s="47"/>
      <c r="BT31" s="47"/>
      <c r="BU31" s="47"/>
      <c r="BV31" s="47"/>
      <c r="BW31" s="83"/>
      <c r="BZ31" s="975" t="s">
        <v>638</v>
      </c>
      <c r="CA31" s="1077" cm="1" t="str">
        <f t="array" ref="CA31:CA31">CA30</f>
        <v>0</v>
      </c>
      <c r="CB31" s="1077" t="s">
        <v>631</v>
      </c>
      <c r="CC31" s="1077" t="s">
        <v>636</v>
      </c>
      <c r="CD31" s="1077" t="s">
        <v>639</v>
      </c>
      <c r="CE31" s="1076"/>
      <c r="CF31" s="1076"/>
      <c r="CG31" s="1076"/>
      <c r="CH31" s="1076"/>
      <c r="CI31" s="1076"/>
      <c r="CJ31" s="1077" t="s">
        <v>303</v>
      </c>
      <c r="CK31" s="1077" t="s">
        <v>632</v>
      </c>
      <c r="CL31" s="1077" t="s">
        <v>633</v>
      </c>
    </row>
    <row customHeight="1" ht="16.575" hidden="1">
      <c r="E32" s="180">
        <v>17</v>
      </c>
      <c r="F32" s="175" cm="1" t="str">
        <f t="array" ref="F32:F32">OFFSET(G32,-1,-1)</f>
        <v>0</v>
      </c>
      <c r="T32" s="753" cm="1" t="str">
        <f t="array" ref="T32:T32">T31</f>
        <v>false</v>
      </c>
      <c r="AB32" s="385" t="str">
        <f>AB30&amp;".2"</f>
        <v>1.1.2</v>
      </c>
      <c r="AC32" s="355" t="s">
        <v>640</v>
      </c>
      <c r="AD32" s="384" t="s">
        <v>629</v>
      </c>
      <c r="AE32" s="47"/>
      <c r="AF32" s="47"/>
      <c r="AG32" s="47"/>
      <c r="AH32" s="47"/>
      <c r="AI32" s="439"/>
      <c r="AJ32" s="47"/>
      <c r="AK32" s="47"/>
      <c r="AL32" s="47"/>
      <c r="AM32" s="47"/>
      <c r="AN32" s="47"/>
      <c r="AO32" s="47"/>
      <c r="AP32" s="47"/>
      <c r="AQ32" s="47"/>
      <c r="AR32" s="47"/>
      <c r="AS32" s="47"/>
      <c r="AT32" s="47"/>
      <c r="AU32" s="47"/>
      <c r="AV32" s="47"/>
      <c r="AW32" s="47"/>
      <c r="AX32" s="47"/>
      <c r="AY32" s="47"/>
      <c r="AZ32" s="47"/>
      <c r="BA32" s="47"/>
      <c r="BB32" s="47"/>
      <c r="BC32" s="439"/>
      <c r="BD32" s="47"/>
      <c r="BE32" s="47"/>
      <c r="BF32" s="47"/>
      <c r="BG32" s="47"/>
      <c r="BH32" s="47"/>
      <c r="BI32" s="47"/>
      <c r="BJ32" s="47"/>
      <c r="BK32" s="47"/>
      <c r="BL32" s="47"/>
      <c r="BM32" s="47"/>
      <c r="BN32" s="47"/>
      <c r="BO32" s="47"/>
      <c r="BP32" s="47"/>
      <c r="BQ32" s="47"/>
      <c r="BR32" s="47"/>
      <c r="BS32" s="47"/>
      <c r="BT32" s="47"/>
      <c r="BU32" s="47"/>
      <c r="BV32" s="47"/>
      <c r="BW32" s="83"/>
      <c r="BZ32" s="975" t="s">
        <v>641</v>
      </c>
      <c r="CA32" s="1077" cm="1" t="str">
        <f t="array" ref="CA32:CA32">CA31</f>
        <v>0</v>
      </c>
      <c r="CB32" s="1077" t="s">
        <v>631</v>
      </c>
      <c r="CC32" s="1077" t="s">
        <v>636</v>
      </c>
      <c r="CD32" s="1077" t="s">
        <v>642</v>
      </c>
      <c r="CE32" s="1076"/>
      <c r="CF32" s="1076"/>
      <c r="CG32" s="1076"/>
      <c r="CH32" s="1076"/>
      <c r="CI32" s="1076"/>
      <c r="CJ32" s="1077" t="s">
        <v>303</v>
      </c>
      <c r="CK32" s="1077" t="s">
        <v>632</v>
      </c>
      <c r="CL32" s="1077" t="s">
        <v>633</v>
      </c>
    </row>
    <row customHeight="1" ht="16.575" hidden="1">
      <c r="E33" s="180">
        <v>17</v>
      </c>
      <c r="F33" s="175" cm="1" t="str">
        <f t="array" ref="F33:F33">OFFSET(G33,-1,-1)</f>
        <v>0</v>
      </c>
      <c r="T33" s="753" cm="1" t="str">
        <f t="array" ref="T33:T33">T32</f>
        <v>false</v>
      </c>
      <c r="AB33" s="385" t="str">
        <f>AB29&amp;".2"</f>
        <v>1.2</v>
      </c>
      <c r="AC33" s="368" t="s">
        <v>643</v>
      </c>
      <c r="AD33" s="384" t="s">
        <v>629</v>
      </c>
      <c r="AE33" s="438">
        <f>AE34+AE35</f>
        <v>0</v>
      </c>
      <c r="AF33" s="438">
        <f>AF34+AF35</f>
        <v>0</v>
      </c>
      <c r="AG33" s="438">
        <f>AG34+AG35</f>
        <v>0</v>
      </c>
      <c r="AH33" s="438">
        <f>AH34+AH35</f>
        <v>0</v>
      </c>
      <c r="AI33" s="438">
        <f>AI34+AI35</f>
        <v>0</v>
      </c>
      <c r="AJ33" s="438">
        <f>AJ34+AJ35</f>
        <v>0</v>
      </c>
      <c r="AK33" s="438">
        <f>AK34+AK35</f>
        <v>0</v>
      </c>
      <c r="AL33" s="438">
        <f>AL34+AL35</f>
        <v>0</v>
      </c>
      <c r="AM33" s="438">
        <f>AM34+AM35</f>
        <v>0</v>
      </c>
      <c r="AN33" s="438">
        <f>AN34+AN35</f>
        <v>0</v>
      </c>
      <c r="AO33" s="438">
        <f>AO34+AO35</f>
        <v>0</v>
      </c>
      <c r="AP33" s="438">
        <f>AP34+AP35</f>
        <v>0</v>
      </c>
      <c r="AQ33" s="438">
        <f>AQ34+AQ35</f>
        <v>0</v>
      </c>
      <c r="AR33" s="438">
        <f>AR34+AR35</f>
        <v>0</v>
      </c>
      <c r="AS33" s="438">
        <f>AS34+AS35</f>
        <v>0</v>
      </c>
      <c r="AT33" s="438">
        <f>AT34+AT35</f>
        <v>0</v>
      </c>
      <c r="AU33" s="438">
        <f>AU34+AU35</f>
        <v>0</v>
      </c>
      <c r="AV33" s="438">
        <f>AV34+AV35</f>
        <v>0</v>
      </c>
      <c r="AW33" s="438">
        <f>AW34+AW35</f>
        <v>0</v>
      </c>
      <c r="AX33" s="438">
        <f>AX34+AX35</f>
        <v>0</v>
      </c>
      <c r="AY33" s="438">
        <f>AY34+AY35</f>
        <v>0</v>
      </c>
      <c r="AZ33" s="438">
        <f>AZ34+AZ35</f>
        <v>0</v>
      </c>
      <c r="BA33" s="438">
        <f>BA34+BA35</f>
        <v>0</v>
      </c>
      <c r="BB33" s="438">
        <f>BB34+BB35</f>
        <v>0</v>
      </c>
      <c r="BC33" s="438">
        <f>BC34+BC35</f>
        <v>0</v>
      </c>
      <c r="BD33" s="438">
        <f>BD34+BD35</f>
        <v>0</v>
      </c>
      <c r="BE33" s="438">
        <f>BE34+BE35</f>
        <v>0</v>
      </c>
      <c r="BF33" s="438">
        <f>BF34+BF35</f>
        <v>0</v>
      </c>
      <c r="BG33" s="438">
        <f>BG34+BG35</f>
        <v>0</v>
      </c>
      <c r="BH33" s="438">
        <f>BH34+BH35</f>
        <v>0</v>
      </c>
      <c r="BI33" s="438">
        <f>BI34+BI35</f>
        <v>0</v>
      </c>
      <c r="BJ33" s="438">
        <f>BJ34+BJ35</f>
        <v>0</v>
      </c>
      <c r="BK33" s="438">
        <f>BK34+BK35</f>
        <v>0</v>
      </c>
      <c r="BL33" s="438">
        <f>BL34+BL35</f>
        <v>0</v>
      </c>
      <c r="BM33" s="438">
        <f>BM34+BM35</f>
        <v>0</v>
      </c>
      <c r="BN33" s="438">
        <f>BN34+BN35</f>
        <v>0</v>
      </c>
      <c r="BO33" s="438">
        <f>BO34+BO35</f>
        <v>0</v>
      </c>
      <c r="BP33" s="438">
        <f>BP34+BP35</f>
        <v>0</v>
      </c>
      <c r="BQ33" s="438">
        <f>BQ34+BQ35</f>
        <v>0</v>
      </c>
      <c r="BR33" s="438">
        <f>BR34+BR35</f>
        <v>0</v>
      </c>
      <c r="BS33" s="438">
        <f>BS34+BS35</f>
        <v>0</v>
      </c>
      <c r="BT33" s="438">
        <f>BT34+BT35</f>
        <v>0</v>
      </c>
      <c r="BU33" s="438">
        <f>BU34+BU35</f>
        <v>0</v>
      </c>
      <c r="BV33" s="438">
        <f>BV34+BV35</f>
        <v>0</v>
      </c>
      <c r="BW33" s="83"/>
      <c r="BZ33" s="975" t="s">
        <v>644</v>
      </c>
      <c r="CA33" s="1077" cm="1" t="str">
        <f t="array" ref="CA33:CA33">CA32</f>
        <v>0</v>
      </c>
      <c r="CB33" s="1077" t="s">
        <v>631</v>
      </c>
      <c r="CC33" s="1077" t="s">
        <v>645</v>
      </c>
      <c r="CD33" s="1076"/>
      <c r="CE33" s="1076"/>
      <c r="CF33" s="1076"/>
      <c r="CG33" s="1076"/>
      <c r="CH33" s="1076"/>
      <c r="CI33" s="1076"/>
      <c r="CJ33" s="1077" t="s">
        <v>303</v>
      </c>
      <c r="CK33" s="1077" t="s">
        <v>632</v>
      </c>
      <c r="CL33" s="1077" t="s">
        <v>633</v>
      </c>
    </row>
    <row customHeight="1" ht="16.575" hidden="1">
      <c r="E34" s="180">
        <v>17</v>
      </c>
      <c r="F34" s="175" cm="1" t="str">
        <f t="array" ref="F34:F34">OFFSET(G34,-1,-1)</f>
        <v>0</v>
      </c>
      <c r="T34" s="753" cm="1" t="str">
        <f t="array" ref="T34:T34">T33</f>
        <v>false</v>
      </c>
      <c r="AB34" s="385" t="str">
        <f>AB33&amp;".1"</f>
        <v>1.2.1</v>
      </c>
      <c r="AC34" s="355" t="s">
        <v>637</v>
      </c>
      <c r="AD34" s="384" t="s">
        <v>629</v>
      </c>
      <c r="AE34" s="47"/>
      <c r="AF34" s="47"/>
      <c r="AG34" s="47"/>
      <c r="AH34" s="47"/>
      <c r="AI34" s="439"/>
      <c r="AJ34" s="47"/>
      <c r="AK34" s="47"/>
      <c r="AL34" s="47"/>
      <c r="AM34" s="47"/>
      <c r="AN34" s="47"/>
      <c r="AO34" s="47"/>
      <c r="AP34" s="47"/>
      <c r="AQ34" s="47"/>
      <c r="AR34" s="47"/>
      <c r="AS34" s="47"/>
      <c r="AT34" s="47"/>
      <c r="AU34" s="47"/>
      <c r="AV34" s="47"/>
      <c r="AW34" s="47"/>
      <c r="AX34" s="47"/>
      <c r="AY34" s="47"/>
      <c r="AZ34" s="47"/>
      <c r="BA34" s="47"/>
      <c r="BB34" s="47"/>
      <c r="BC34" s="439"/>
      <c r="BD34" s="47"/>
      <c r="BE34" s="47"/>
      <c r="BF34" s="47"/>
      <c r="BG34" s="47"/>
      <c r="BH34" s="47"/>
      <c r="BI34" s="47"/>
      <c r="BJ34" s="47"/>
      <c r="BK34" s="47"/>
      <c r="BL34" s="47"/>
      <c r="BM34" s="47"/>
      <c r="BN34" s="47"/>
      <c r="BO34" s="47"/>
      <c r="BP34" s="47"/>
      <c r="BQ34" s="47"/>
      <c r="BR34" s="47"/>
      <c r="BS34" s="47"/>
      <c r="BT34" s="47"/>
      <c r="BU34" s="47"/>
      <c r="BV34" s="47"/>
      <c r="BW34" s="83"/>
      <c r="BZ34" s="975" t="s">
        <v>646</v>
      </c>
      <c r="CA34" s="1077" cm="1" t="str">
        <f t="array" ref="CA34:CA34">CA33</f>
        <v>0</v>
      </c>
      <c r="CB34" s="1077" t="s">
        <v>631</v>
      </c>
      <c r="CC34" s="1077" t="s">
        <v>645</v>
      </c>
      <c r="CD34" s="1077" t="s">
        <v>639</v>
      </c>
      <c r="CE34" s="1076"/>
      <c r="CF34" s="1076"/>
      <c r="CG34" s="1076"/>
      <c r="CH34" s="1076"/>
      <c r="CI34" s="1076"/>
      <c r="CJ34" s="1077" t="s">
        <v>303</v>
      </c>
      <c r="CK34" s="1077" t="s">
        <v>632</v>
      </c>
      <c r="CL34" s="1077" t="s">
        <v>633</v>
      </c>
    </row>
    <row customHeight="1" ht="16.575" hidden="1">
      <c r="E35" s="180">
        <v>17</v>
      </c>
      <c r="F35" s="175" cm="1" t="str">
        <f t="array" ref="F35:F35">OFFSET(G35,-1,-1)</f>
        <v>0</v>
      </c>
      <c r="T35" s="753" cm="1" t="str">
        <f t="array" ref="T35:T35">T34</f>
        <v>false</v>
      </c>
      <c r="AB35" s="385" t="str">
        <f>AB33&amp;".2"</f>
        <v>1.2.2</v>
      </c>
      <c r="AC35" s="355" t="s">
        <v>640</v>
      </c>
      <c r="AD35" s="384" t="s">
        <v>629</v>
      </c>
      <c r="AE35" s="47"/>
      <c r="AF35" s="47"/>
      <c r="AG35" s="47"/>
      <c r="AH35" s="47"/>
      <c r="AI35" s="439"/>
      <c r="AJ35" s="47"/>
      <c r="AK35" s="47"/>
      <c r="AL35" s="47"/>
      <c r="AM35" s="47"/>
      <c r="AN35" s="47"/>
      <c r="AO35" s="47"/>
      <c r="AP35" s="47"/>
      <c r="AQ35" s="47"/>
      <c r="AR35" s="47"/>
      <c r="AS35" s="47"/>
      <c r="AT35" s="47"/>
      <c r="AU35" s="47"/>
      <c r="AV35" s="47"/>
      <c r="AW35" s="47"/>
      <c r="AX35" s="47"/>
      <c r="AY35" s="47"/>
      <c r="AZ35" s="47"/>
      <c r="BA35" s="47"/>
      <c r="BB35" s="47"/>
      <c r="BC35" s="439"/>
      <c r="BD35" s="47"/>
      <c r="BE35" s="47"/>
      <c r="BF35" s="47"/>
      <c r="BG35" s="47"/>
      <c r="BH35" s="47"/>
      <c r="BI35" s="47"/>
      <c r="BJ35" s="47"/>
      <c r="BK35" s="47"/>
      <c r="BL35" s="47"/>
      <c r="BM35" s="47"/>
      <c r="BN35" s="47"/>
      <c r="BO35" s="47"/>
      <c r="BP35" s="47"/>
      <c r="BQ35" s="47"/>
      <c r="BR35" s="47"/>
      <c r="BS35" s="47"/>
      <c r="BT35" s="47"/>
      <c r="BU35" s="47"/>
      <c r="BV35" s="47"/>
      <c r="BW35" s="83"/>
      <c r="BZ35" s="975" t="s">
        <v>647</v>
      </c>
      <c r="CA35" s="1077" cm="1" t="str">
        <f t="array" ref="CA35:CA35">CA34</f>
        <v>0</v>
      </c>
      <c r="CB35" s="1077" t="s">
        <v>631</v>
      </c>
      <c r="CC35" s="1077" t="s">
        <v>645</v>
      </c>
      <c r="CD35" s="1077" t="s">
        <v>642</v>
      </c>
      <c r="CE35" s="1076"/>
      <c r="CF35" s="1076"/>
      <c r="CG35" s="1076"/>
      <c r="CH35" s="1076"/>
      <c r="CI35" s="1076"/>
      <c r="CJ35" s="1077" t="s">
        <v>303</v>
      </c>
      <c r="CK35" s="1077" t="s">
        <v>632</v>
      </c>
      <c r="CL35" s="1077" t="s">
        <v>633</v>
      </c>
    </row>
    <row customHeight="1" ht="16.575" hidden="1">
      <c r="E36" s="180">
        <v>17</v>
      </c>
      <c r="F36" s="175" cm="1" t="str">
        <f t="array" ref="F36:F36">OFFSET(G36,-1,-1)</f>
        <v>0</v>
      </c>
      <c r="T36" s="753" cm="1" t="str">
        <f t="array" ref="T36:T36">T35</f>
        <v>false</v>
      </c>
      <c r="AB36" s="385" t="str">
        <f>AB29&amp;".3"</f>
        <v>1.3</v>
      </c>
      <c r="AC36" s="368" t="s">
        <v>648</v>
      </c>
      <c r="AD36" s="384" t="s">
        <v>629</v>
      </c>
      <c r="AE36" s="47"/>
      <c r="AF36" s="47"/>
      <c r="AG36" s="47"/>
      <c r="AH36" s="47"/>
      <c r="AI36" s="439"/>
      <c r="AJ36" s="47"/>
      <c r="AK36" s="47"/>
      <c r="AL36" s="47"/>
      <c r="AM36" s="47"/>
      <c r="AN36" s="47"/>
      <c r="AO36" s="47"/>
      <c r="AP36" s="47"/>
      <c r="AQ36" s="47"/>
      <c r="AR36" s="47"/>
      <c r="AS36" s="47"/>
      <c r="AT36" s="47"/>
      <c r="AU36" s="47"/>
      <c r="AV36" s="47"/>
      <c r="AW36" s="47"/>
      <c r="AX36" s="47"/>
      <c r="AY36" s="47"/>
      <c r="AZ36" s="47"/>
      <c r="BA36" s="47"/>
      <c r="BB36" s="47"/>
      <c r="BC36" s="439"/>
      <c r="BD36" s="47"/>
      <c r="BE36" s="47"/>
      <c r="BF36" s="47"/>
      <c r="BG36" s="47"/>
      <c r="BH36" s="47"/>
      <c r="BI36" s="47"/>
      <c r="BJ36" s="47"/>
      <c r="BK36" s="47"/>
      <c r="BL36" s="47"/>
      <c r="BM36" s="47"/>
      <c r="BN36" s="47"/>
      <c r="BO36" s="47"/>
      <c r="BP36" s="47"/>
      <c r="BQ36" s="47"/>
      <c r="BR36" s="47"/>
      <c r="BS36" s="47"/>
      <c r="BT36" s="47"/>
      <c r="BU36" s="47"/>
      <c r="BV36" s="47"/>
      <c r="BW36" s="83"/>
      <c r="BZ36" s="975" t="s">
        <v>649</v>
      </c>
      <c r="CA36" s="1077" cm="1" t="str">
        <f t="array" ref="CA36:CA36">CA35</f>
        <v>0</v>
      </c>
      <c r="CB36" s="1077" t="s">
        <v>631</v>
      </c>
      <c r="CC36" s="1077" t="s">
        <v>650</v>
      </c>
      <c r="CD36" s="1076"/>
      <c r="CE36" s="1076"/>
      <c r="CF36" s="1076"/>
      <c r="CG36" s="1076"/>
      <c r="CH36" s="1076"/>
      <c r="CI36" s="1076"/>
      <c r="CJ36" s="1077" t="s">
        <v>303</v>
      </c>
      <c r="CK36" s="1077" t="s">
        <v>632</v>
      </c>
      <c r="CL36" s="1077" t="s">
        <v>633</v>
      </c>
    </row>
    <row customHeight="1" ht="16.575" hidden="1">
      <c r="E37" s="180">
        <v>17</v>
      </c>
      <c r="F37" s="175" cm="1" t="str">
        <f t="array" ref="F37:F37">OFFSET(G37,-1,-1)</f>
        <v>0</v>
      </c>
      <c r="T37" s="753" cm="1" t="str">
        <f t="array" ref="T37:T37">T36</f>
        <v>false</v>
      </c>
      <c r="AB37" s="327">
        <v>2</v>
      </c>
      <c r="AC37" s="440" t="s">
        <v>651</v>
      </c>
      <c r="AD37" s="384" t="s">
        <v>629</v>
      </c>
      <c r="AE37" s="438">
        <f>AE38+AE41+AE44</f>
        <v>0</v>
      </c>
      <c r="AF37" s="438">
        <f>AF38+AF41+AF44</f>
        <v>0</v>
      </c>
      <c r="AG37" s="438">
        <f>AG38+AG41+AG44</f>
        <v>0</v>
      </c>
      <c r="AH37" s="438">
        <f>AH38+AH41+AH44</f>
        <v>0</v>
      </c>
      <c r="AI37" s="438">
        <f>AI38+AI41+AI44</f>
        <v>0</v>
      </c>
      <c r="AJ37" s="438">
        <f>AJ38+AJ41+AJ44</f>
        <v>0</v>
      </c>
      <c r="AK37" s="438">
        <f>AK38+AK41+AK44</f>
        <v>0</v>
      </c>
      <c r="AL37" s="438">
        <f>AL38+AL41+AL44</f>
        <v>0</v>
      </c>
      <c r="AM37" s="438">
        <f>AM38+AM41+AM44</f>
        <v>0</v>
      </c>
      <c r="AN37" s="438">
        <f>AN38+AN41+AN44</f>
        <v>0</v>
      </c>
      <c r="AO37" s="438">
        <f>AO38+AO41+AO44</f>
        <v>0</v>
      </c>
      <c r="AP37" s="438">
        <f>AP38+AP41+AP44</f>
        <v>0</v>
      </c>
      <c r="AQ37" s="438">
        <f>AQ38+AQ41+AQ44</f>
        <v>0</v>
      </c>
      <c r="AR37" s="438">
        <f>AR38+AR41+AR44</f>
        <v>0</v>
      </c>
      <c r="AS37" s="438">
        <f>AS38+AS41+AS44</f>
        <v>0</v>
      </c>
      <c r="AT37" s="438">
        <f>AT38+AT41+AT44</f>
        <v>0</v>
      </c>
      <c r="AU37" s="438">
        <f>AU38+AU41+AU44</f>
        <v>0</v>
      </c>
      <c r="AV37" s="438">
        <f>AV38+AV41+AV44</f>
        <v>0</v>
      </c>
      <c r="AW37" s="438">
        <f>AW38+AW41+AW44</f>
        <v>0</v>
      </c>
      <c r="AX37" s="438">
        <f>AX38+AX41+AX44</f>
        <v>0</v>
      </c>
      <c r="AY37" s="438">
        <f>AY38+AY41+AY44</f>
        <v>0</v>
      </c>
      <c r="AZ37" s="438">
        <f>AZ38+AZ41+AZ44</f>
        <v>0</v>
      </c>
      <c r="BA37" s="438">
        <f>BA38+BA41+BA44</f>
        <v>0</v>
      </c>
      <c r="BB37" s="438">
        <f>BB38+BB41+BB44</f>
        <v>0</v>
      </c>
      <c r="BC37" s="438">
        <f>BC38+BC41+BC44</f>
        <v>0</v>
      </c>
      <c r="BD37" s="438">
        <f>BD38+BD41+BD44</f>
        <v>0</v>
      </c>
      <c r="BE37" s="438">
        <f>BE38+BE41+BE44</f>
        <v>0</v>
      </c>
      <c r="BF37" s="438">
        <f>BF38+BF41+BF44</f>
        <v>0</v>
      </c>
      <c r="BG37" s="438">
        <f>BG38+BG41+BG44</f>
        <v>0</v>
      </c>
      <c r="BH37" s="438">
        <f>BH38+BH41+BH44</f>
        <v>0</v>
      </c>
      <c r="BI37" s="438">
        <f>BI38+BI41+BI44</f>
        <v>0</v>
      </c>
      <c r="BJ37" s="438">
        <f>BJ38+BJ41+BJ44</f>
        <v>0</v>
      </c>
      <c r="BK37" s="438">
        <f>BK38+BK41+BK44</f>
        <v>0</v>
      </c>
      <c r="BL37" s="438">
        <f>BL38+BL41+BL44</f>
        <v>0</v>
      </c>
      <c r="BM37" s="438">
        <f>BM38+BM41+BM44</f>
        <v>0</v>
      </c>
      <c r="BN37" s="438">
        <f>BN38+BN41+BN44</f>
        <v>0</v>
      </c>
      <c r="BO37" s="438">
        <f>BO38+BO41+BO44</f>
        <v>0</v>
      </c>
      <c r="BP37" s="438">
        <f>BP38+BP41+BP44</f>
        <v>0</v>
      </c>
      <c r="BQ37" s="438">
        <f>BQ38+BQ41+BQ44</f>
        <v>0</v>
      </c>
      <c r="BR37" s="438">
        <f>BR38+BR41+BR44</f>
        <v>0</v>
      </c>
      <c r="BS37" s="438">
        <f>BS38+BS41+BS44</f>
        <v>0</v>
      </c>
      <c r="BT37" s="438">
        <f>BT38+BT41+BT44</f>
        <v>0</v>
      </c>
      <c r="BU37" s="438">
        <f>BU38+BU41+BU44</f>
        <v>0</v>
      </c>
      <c r="BV37" s="438">
        <f>BV38+BV41+BV44</f>
        <v>0</v>
      </c>
      <c r="BW37" s="83"/>
      <c r="BZ37" s="975" t="s">
        <v>652</v>
      </c>
      <c r="CA37" s="1077" cm="1" t="str">
        <f t="array" ref="CA37:CA37">CA36</f>
        <v>0</v>
      </c>
      <c r="CB37" s="1076"/>
      <c r="CC37" s="1076"/>
      <c r="CD37" s="1076"/>
      <c r="CE37" s="1076"/>
      <c r="CF37" s="1076"/>
      <c r="CG37" s="1076"/>
      <c r="CH37" s="1076"/>
      <c r="CI37" s="1077" t="s">
        <v>219</v>
      </c>
      <c r="CJ37" s="1077" t="s">
        <v>303</v>
      </c>
      <c r="CK37" s="1077" t="s">
        <v>653</v>
      </c>
      <c r="CL37" s="1077" t="s">
        <v>654</v>
      </c>
    </row>
    <row customHeight="1" ht="16.575" hidden="1">
      <c r="E38" s="180">
        <v>17</v>
      </c>
      <c r="F38" s="175" cm="1" t="str">
        <f t="array" ref="F38:F38">OFFSET(G38,-1,-1)</f>
        <v>0</v>
      </c>
      <c r="T38" s="753" cm="1" t="str">
        <f t="array" ref="T38:T38">T37</f>
        <v>false</v>
      </c>
      <c r="AB38" s="385" t="str">
        <f>AB37&amp;".1"</f>
        <v>2.1</v>
      </c>
      <c r="AC38" s="368" t="s">
        <v>634</v>
      </c>
      <c r="AD38" s="384" t="s">
        <v>629</v>
      </c>
      <c r="AE38" s="438">
        <f>AE39+AE40</f>
        <v>0</v>
      </c>
      <c r="AF38" s="438">
        <f>AF39+AF40</f>
        <v>0</v>
      </c>
      <c r="AG38" s="438">
        <f>AG39+AG40</f>
        <v>0</v>
      </c>
      <c r="AH38" s="438">
        <f>AH39+AH40</f>
        <v>0</v>
      </c>
      <c r="AI38" s="438">
        <f>AI39+AI40</f>
        <v>0</v>
      </c>
      <c r="AJ38" s="438">
        <f>AJ39+AJ40</f>
        <v>0</v>
      </c>
      <c r="AK38" s="438">
        <f>AK39+AK40</f>
        <v>0</v>
      </c>
      <c r="AL38" s="438">
        <f>AL39+AL40</f>
        <v>0</v>
      </c>
      <c r="AM38" s="438">
        <f>AM39+AM40</f>
        <v>0</v>
      </c>
      <c r="AN38" s="438">
        <f>AN39+AN40</f>
        <v>0</v>
      </c>
      <c r="AO38" s="438">
        <f>AO39+AO40</f>
        <v>0</v>
      </c>
      <c r="AP38" s="438">
        <f>AP39+AP40</f>
        <v>0</v>
      </c>
      <c r="AQ38" s="438">
        <f>AQ39+AQ40</f>
        <v>0</v>
      </c>
      <c r="AR38" s="438">
        <f>AR39+AR40</f>
        <v>0</v>
      </c>
      <c r="AS38" s="438">
        <f>AS39+AS40</f>
        <v>0</v>
      </c>
      <c r="AT38" s="438">
        <f>AT39+AT40</f>
        <v>0</v>
      </c>
      <c r="AU38" s="438">
        <f>AU39+AU40</f>
        <v>0</v>
      </c>
      <c r="AV38" s="438">
        <f>AV39+AV40</f>
        <v>0</v>
      </c>
      <c r="AW38" s="438">
        <f>AW39+AW40</f>
        <v>0</v>
      </c>
      <c r="AX38" s="438">
        <f>AX39+AX40</f>
        <v>0</v>
      </c>
      <c r="AY38" s="438">
        <f>AY39+AY40</f>
        <v>0</v>
      </c>
      <c r="AZ38" s="438">
        <f>AZ39+AZ40</f>
        <v>0</v>
      </c>
      <c r="BA38" s="438">
        <f>BA39+BA40</f>
        <v>0</v>
      </c>
      <c r="BB38" s="438">
        <f>BB39+BB40</f>
        <v>0</v>
      </c>
      <c r="BC38" s="438">
        <f>BC39+BC40</f>
        <v>0</v>
      </c>
      <c r="BD38" s="438">
        <f>BD39+BD40</f>
        <v>0</v>
      </c>
      <c r="BE38" s="438">
        <f>BE39+BE40</f>
        <v>0</v>
      </c>
      <c r="BF38" s="438">
        <f>BF39+BF40</f>
        <v>0</v>
      </c>
      <c r="BG38" s="438">
        <f>BG39+BG40</f>
        <v>0</v>
      </c>
      <c r="BH38" s="438">
        <f>BH39+BH40</f>
        <v>0</v>
      </c>
      <c r="BI38" s="438">
        <f>BI39+BI40</f>
        <v>0</v>
      </c>
      <c r="BJ38" s="438">
        <f>BJ39+BJ40</f>
        <v>0</v>
      </c>
      <c r="BK38" s="438">
        <f>BK39+BK40</f>
        <v>0</v>
      </c>
      <c r="BL38" s="438">
        <f>BL39+BL40</f>
        <v>0</v>
      </c>
      <c r="BM38" s="438">
        <f>BM39+BM40</f>
        <v>0</v>
      </c>
      <c r="BN38" s="438">
        <f>BN39+BN40</f>
        <v>0</v>
      </c>
      <c r="BO38" s="438">
        <f>BO39+BO40</f>
        <v>0</v>
      </c>
      <c r="BP38" s="438">
        <f>BP39+BP40</f>
        <v>0</v>
      </c>
      <c r="BQ38" s="438">
        <f>BQ39+BQ40</f>
        <v>0</v>
      </c>
      <c r="BR38" s="438">
        <f>BR39+BR40</f>
        <v>0</v>
      </c>
      <c r="BS38" s="438">
        <f>BS39+BS40</f>
        <v>0</v>
      </c>
      <c r="BT38" s="438">
        <f>BT39+BT40</f>
        <v>0</v>
      </c>
      <c r="BU38" s="438">
        <f>BU39+BU40</f>
        <v>0</v>
      </c>
      <c r="BV38" s="438">
        <f>BV39+BV40</f>
        <v>0</v>
      </c>
      <c r="BW38" s="83"/>
      <c r="BZ38" s="975" t="s">
        <v>655</v>
      </c>
      <c r="CA38" s="1077" cm="1" t="str">
        <f t="array" ref="CA38:CA38">CA37</f>
        <v>0</v>
      </c>
      <c r="CB38" s="1076"/>
      <c r="CC38" s="1077" t="s">
        <v>636</v>
      </c>
      <c r="CD38" s="1076"/>
      <c r="CE38" s="1076"/>
      <c r="CF38" s="1076"/>
      <c r="CG38" s="1076"/>
      <c r="CH38" s="1076"/>
      <c r="CI38" s="1076"/>
      <c r="CJ38" s="1077" t="s">
        <v>303</v>
      </c>
      <c r="CK38" s="1077" t="s">
        <v>653</v>
      </c>
      <c r="CL38" s="1077" t="s">
        <v>654</v>
      </c>
    </row>
    <row customHeight="1" ht="16.575" hidden="1">
      <c r="E39" s="180">
        <v>17</v>
      </c>
      <c r="F39" s="175" cm="1" t="str">
        <f t="array" ref="F39:F39">OFFSET(G39,-1,-1)</f>
        <v>0</v>
      </c>
      <c r="T39" s="753" cm="1" t="str">
        <f t="array" ref="T39:T39">T38</f>
        <v>false</v>
      </c>
      <c r="AB39" s="385" t="str">
        <f>AB38&amp;".1"</f>
        <v>2.1.1</v>
      </c>
      <c r="AC39" s="355" t="s">
        <v>637</v>
      </c>
      <c r="AD39" s="384" t="s">
        <v>629</v>
      </c>
      <c r="AE39" s="47"/>
      <c r="AF39" s="47"/>
      <c r="AG39" s="47"/>
      <c r="AH39" s="47"/>
      <c r="AI39" s="439"/>
      <c r="AJ39" s="47"/>
      <c r="AK39" s="47"/>
      <c r="AL39" s="47"/>
      <c r="AM39" s="47"/>
      <c r="AN39" s="47"/>
      <c r="AO39" s="47"/>
      <c r="AP39" s="47"/>
      <c r="AQ39" s="47"/>
      <c r="AR39" s="47"/>
      <c r="AS39" s="47"/>
      <c r="AT39" s="47"/>
      <c r="AU39" s="47"/>
      <c r="AV39" s="47"/>
      <c r="AW39" s="47"/>
      <c r="AX39" s="47"/>
      <c r="AY39" s="47"/>
      <c r="AZ39" s="47"/>
      <c r="BA39" s="47"/>
      <c r="BB39" s="47"/>
      <c r="BC39" s="439"/>
      <c r="BD39" s="47"/>
      <c r="BE39" s="47"/>
      <c r="BF39" s="47"/>
      <c r="BG39" s="47"/>
      <c r="BH39" s="47"/>
      <c r="BI39" s="47"/>
      <c r="BJ39" s="47"/>
      <c r="BK39" s="47"/>
      <c r="BL39" s="47"/>
      <c r="BM39" s="47"/>
      <c r="BN39" s="47"/>
      <c r="BO39" s="47"/>
      <c r="BP39" s="47"/>
      <c r="BQ39" s="47"/>
      <c r="BR39" s="47"/>
      <c r="BS39" s="47"/>
      <c r="BT39" s="47"/>
      <c r="BU39" s="47"/>
      <c r="BV39" s="47"/>
      <c r="BW39" s="83"/>
      <c r="BZ39" s="975" t="s">
        <v>656</v>
      </c>
      <c r="CA39" s="1077" cm="1" t="str">
        <f t="array" ref="CA39:CA39">CA38</f>
        <v>0</v>
      </c>
      <c r="CB39" s="1076"/>
      <c r="CC39" s="1077" t="s">
        <v>636</v>
      </c>
      <c r="CD39" s="1077" t="s">
        <v>639</v>
      </c>
      <c r="CE39" s="1076"/>
      <c r="CF39" s="1076"/>
      <c r="CG39" s="1076"/>
      <c r="CH39" s="1076"/>
      <c r="CI39" s="1076"/>
      <c r="CJ39" s="1077" t="s">
        <v>303</v>
      </c>
      <c r="CK39" s="1077" t="s">
        <v>653</v>
      </c>
      <c r="CL39" s="1077" t="s">
        <v>654</v>
      </c>
    </row>
    <row customHeight="1" ht="16.575" hidden="1">
      <c r="E40" s="180">
        <v>17</v>
      </c>
      <c r="F40" s="175" cm="1" t="str">
        <f t="array" ref="F40:F40">OFFSET(G40,-1,-1)</f>
        <v>0</v>
      </c>
      <c r="T40" s="753" cm="1" t="str">
        <f t="array" ref="T40:T40">T39</f>
        <v>false</v>
      </c>
      <c r="AB40" s="385" t="str">
        <f>AB38&amp;".2"</f>
        <v>2.1.2</v>
      </c>
      <c r="AC40" s="355" t="s">
        <v>640</v>
      </c>
      <c r="AD40" s="384" t="s">
        <v>629</v>
      </c>
      <c r="AE40" s="47"/>
      <c r="AF40" s="47"/>
      <c r="AG40" s="47"/>
      <c r="AH40" s="47"/>
      <c r="AI40" s="439"/>
      <c r="AJ40" s="47"/>
      <c r="AK40" s="47"/>
      <c r="AL40" s="47"/>
      <c r="AM40" s="47"/>
      <c r="AN40" s="47"/>
      <c r="AO40" s="47"/>
      <c r="AP40" s="47"/>
      <c r="AQ40" s="47"/>
      <c r="AR40" s="47"/>
      <c r="AS40" s="47"/>
      <c r="AT40" s="47"/>
      <c r="AU40" s="47"/>
      <c r="AV40" s="47"/>
      <c r="AW40" s="47"/>
      <c r="AX40" s="47"/>
      <c r="AY40" s="47"/>
      <c r="AZ40" s="47"/>
      <c r="BA40" s="47"/>
      <c r="BB40" s="47"/>
      <c r="BC40" s="439"/>
      <c r="BD40" s="47"/>
      <c r="BE40" s="47"/>
      <c r="BF40" s="47"/>
      <c r="BG40" s="47"/>
      <c r="BH40" s="47"/>
      <c r="BI40" s="47"/>
      <c r="BJ40" s="47"/>
      <c r="BK40" s="47"/>
      <c r="BL40" s="47"/>
      <c r="BM40" s="47"/>
      <c r="BN40" s="47"/>
      <c r="BO40" s="47"/>
      <c r="BP40" s="47"/>
      <c r="BQ40" s="47"/>
      <c r="BR40" s="47"/>
      <c r="BS40" s="47"/>
      <c r="BT40" s="47"/>
      <c r="BU40" s="47"/>
      <c r="BV40" s="47"/>
      <c r="BW40" s="83"/>
      <c r="BZ40" s="975" t="s">
        <v>657</v>
      </c>
      <c r="CA40" s="1077" cm="1" t="str">
        <f t="array" ref="CA40:CA40">CA39</f>
        <v>0</v>
      </c>
      <c r="CB40" s="1076"/>
      <c r="CC40" s="1077" t="s">
        <v>636</v>
      </c>
      <c r="CD40" s="1077" t="s">
        <v>642</v>
      </c>
      <c r="CE40" s="1076"/>
      <c r="CF40" s="1076"/>
      <c r="CG40" s="1076"/>
      <c r="CH40" s="1076"/>
      <c r="CI40" s="1076"/>
      <c r="CJ40" s="1077" t="s">
        <v>303</v>
      </c>
      <c r="CK40" s="1077" t="s">
        <v>653</v>
      </c>
      <c r="CL40" s="1077" t="s">
        <v>654</v>
      </c>
    </row>
    <row customHeight="1" ht="16.575" hidden="1">
      <c r="E41" s="180">
        <v>17</v>
      </c>
      <c r="F41" s="175" cm="1" t="str">
        <f t="array" ref="F41:F41">OFFSET(G41,-1,-1)</f>
        <v>0</v>
      </c>
      <c r="T41" s="753" cm="1" t="str">
        <f t="array" ref="T41:T41">T40</f>
        <v>false</v>
      </c>
      <c r="AB41" s="385">
        <v>2.2</v>
      </c>
      <c r="AC41" s="368" t="s">
        <v>643</v>
      </c>
      <c r="AD41" s="384" t="s">
        <v>629</v>
      </c>
      <c r="AE41" s="438">
        <f>AE42+AE43</f>
        <v>0</v>
      </c>
      <c r="AF41" s="438">
        <f>AF42+AF43</f>
        <v>0</v>
      </c>
      <c r="AG41" s="438">
        <f>AG42+AG43</f>
        <v>0</v>
      </c>
      <c r="AH41" s="438">
        <f>AH42+AH43</f>
        <v>0</v>
      </c>
      <c r="AI41" s="438">
        <f>AI42+AI43</f>
        <v>0</v>
      </c>
      <c r="AJ41" s="438">
        <f>AJ42+AJ43</f>
        <v>0</v>
      </c>
      <c r="AK41" s="438">
        <f>AK42+AK43</f>
        <v>0</v>
      </c>
      <c r="AL41" s="438">
        <f>AL42+AL43</f>
        <v>0</v>
      </c>
      <c r="AM41" s="438">
        <f>AM42+AM43</f>
        <v>0</v>
      </c>
      <c r="AN41" s="438">
        <f>AN42+AN43</f>
        <v>0</v>
      </c>
      <c r="AO41" s="438">
        <f>AO42+AO43</f>
        <v>0</v>
      </c>
      <c r="AP41" s="438">
        <f>AP42+AP43</f>
        <v>0</v>
      </c>
      <c r="AQ41" s="438">
        <f>AQ42+AQ43</f>
        <v>0</v>
      </c>
      <c r="AR41" s="438">
        <f>AR42+AR43</f>
        <v>0</v>
      </c>
      <c r="AS41" s="438">
        <f>AS42+AS43</f>
        <v>0</v>
      </c>
      <c r="AT41" s="438">
        <f>AT42+AT43</f>
        <v>0</v>
      </c>
      <c r="AU41" s="438">
        <f>AU42+AU43</f>
        <v>0</v>
      </c>
      <c r="AV41" s="438">
        <f>AV42+AV43</f>
        <v>0</v>
      </c>
      <c r="AW41" s="438">
        <f>AW42+AW43</f>
        <v>0</v>
      </c>
      <c r="AX41" s="438">
        <f>AX42+AX43</f>
        <v>0</v>
      </c>
      <c r="AY41" s="438">
        <f>AY42+AY43</f>
        <v>0</v>
      </c>
      <c r="AZ41" s="438">
        <f>AZ42+AZ43</f>
        <v>0</v>
      </c>
      <c r="BA41" s="438">
        <f>BA42+BA43</f>
        <v>0</v>
      </c>
      <c r="BB41" s="438">
        <f>BB42+BB43</f>
        <v>0</v>
      </c>
      <c r="BC41" s="438">
        <f>BC42+BC43</f>
        <v>0</v>
      </c>
      <c r="BD41" s="438">
        <f>BD42+BD43</f>
        <v>0</v>
      </c>
      <c r="BE41" s="438">
        <f>BE42+BE43</f>
        <v>0</v>
      </c>
      <c r="BF41" s="438">
        <f>BF42+BF43</f>
        <v>0</v>
      </c>
      <c r="BG41" s="438">
        <f>BG42+BG43</f>
        <v>0</v>
      </c>
      <c r="BH41" s="438">
        <f>BH42+BH43</f>
        <v>0</v>
      </c>
      <c r="BI41" s="438">
        <f>BI42+BI43</f>
        <v>0</v>
      </c>
      <c r="BJ41" s="438">
        <f>BJ42+BJ43</f>
        <v>0</v>
      </c>
      <c r="BK41" s="438">
        <f>BK42+BK43</f>
        <v>0</v>
      </c>
      <c r="BL41" s="438">
        <f>BL42+BL43</f>
        <v>0</v>
      </c>
      <c r="BM41" s="438">
        <f>BM42+BM43</f>
        <v>0</v>
      </c>
      <c r="BN41" s="438">
        <f>BN42+BN43</f>
        <v>0</v>
      </c>
      <c r="BO41" s="438">
        <f>BO42+BO43</f>
        <v>0</v>
      </c>
      <c r="BP41" s="438">
        <f>BP42+BP43</f>
        <v>0</v>
      </c>
      <c r="BQ41" s="438">
        <f>BQ42+BQ43</f>
        <v>0</v>
      </c>
      <c r="BR41" s="438">
        <f>BR42+BR43</f>
        <v>0</v>
      </c>
      <c r="BS41" s="438">
        <f>BS42+BS43</f>
        <v>0</v>
      </c>
      <c r="BT41" s="438">
        <f>BT42+BT43</f>
        <v>0</v>
      </c>
      <c r="BU41" s="438">
        <f>BU42+BU43</f>
        <v>0</v>
      </c>
      <c r="BV41" s="438">
        <f>BV42+BV43</f>
        <v>0</v>
      </c>
      <c r="BW41" s="83"/>
      <c r="BZ41" s="975" t="s">
        <v>658</v>
      </c>
      <c r="CA41" s="1077" cm="1" t="str">
        <f t="array" ref="CA41:CA41">CA40</f>
        <v>0</v>
      </c>
      <c r="CB41" s="1076"/>
      <c r="CC41" s="1077" t="s">
        <v>645</v>
      </c>
      <c r="CD41" s="1076"/>
      <c r="CE41" s="1076"/>
      <c r="CF41" s="1076"/>
      <c r="CG41" s="1076"/>
      <c r="CH41" s="1076"/>
      <c r="CI41" s="1076"/>
      <c r="CJ41" s="1077" t="s">
        <v>303</v>
      </c>
      <c r="CK41" s="1077" t="s">
        <v>653</v>
      </c>
      <c r="CL41" s="1077" t="s">
        <v>654</v>
      </c>
    </row>
    <row customHeight="1" ht="16.575" hidden="1">
      <c r="E42" s="180">
        <v>17</v>
      </c>
      <c r="F42" s="175" cm="1" t="str">
        <f t="array" ref="F42:F42">OFFSET(G42,-1,-1)</f>
        <v>0</v>
      </c>
      <c r="T42" s="753" cm="1" t="str">
        <f t="array" ref="T42:T42">T41</f>
        <v>false</v>
      </c>
      <c r="AB42" s="385" t="s">
        <v>659</v>
      </c>
      <c r="AC42" s="355" t="s">
        <v>637</v>
      </c>
      <c r="AD42" s="384" t="s">
        <v>629</v>
      </c>
      <c r="AE42" s="47"/>
      <c r="AF42" s="47"/>
      <c r="AG42" s="47"/>
      <c r="AH42" s="47"/>
      <c r="AI42" s="439"/>
      <c r="AJ42" s="47"/>
      <c r="AK42" s="47"/>
      <c r="AL42" s="47"/>
      <c r="AM42" s="47"/>
      <c r="AN42" s="47"/>
      <c r="AO42" s="47"/>
      <c r="AP42" s="47"/>
      <c r="AQ42" s="47"/>
      <c r="AR42" s="47"/>
      <c r="AS42" s="47"/>
      <c r="AT42" s="47"/>
      <c r="AU42" s="47"/>
      <c r="AV42" s="47"/>
      <c r="AW42" s="47"/>
      <c r="AX42" s="47"/>
      <c r="AY42" s="47"/>
      <c r="AZ42" s="47"/>
      <c r="BA42" s="47"/>
      <c r="BB42" s="47"/>
      <c r="BC42" s="439"/>
      <c r="BD42" s="47"/>
      <c r="BE42" s="47"/>
      <c r="BF42" s="47"/>
      <c r="BG42" s="47"/>
      <c r="BH42" s="47"/>
      <c r="BI42" s="47"/>
      <c r="BJ42" s="47"/>
      <c r="BK42" s="47"/>
      <c r="BL42" s="47"/>
      <c r="BM42" s="47"/>
      <c r="BN42" s="47"/>
      <c r="BO42" s="47"/>
      <c r="BP42" s="47"/>
      <c r="BQ42" s="47"/>
      <c r="BR42" s="47"/>
      <c r="BS42" s="47"/>
      <c r="BT42" s="47"/>
      <c r="BU42" s="47"/>
      <c r="BV42" s="47"/>
      <c r="BW42" s="83"/>
      <c r="BZ42" s="975" t="s">
        <v>660</v>
      </c>
      <c r="CA42" s="1077" cm="1" t="str">
        <f t="array" ref="CA42:CA42">CA41</f>
        <v>0</v>
      </c>
      <c r="CB42" s="1076"/>
      <c r="CC42" s="1077" t="s">
        <v>645</v>
      </c>
      <c r="CD42" s="1077" t="s">
        <v>639</v>
      </c>
      <c r="CE42" s="1076"/>
      <c r="CF42" s="1076"/>
      <c r="CG42" s="1076"/>
      <c r="CH42" s="1076"/>
      <c r="CI42" s="1076"/>
      <c r="CJ42" s="1077" t="s">
        <v>303</v>
      </c>
      <c r="CK42" s="1077" t="s">
        <v>653</v>
      </c>
      <c r="CL42" s="1077" t="s">
        <v>654</v>
      </c>
    </row>
    <row customHeight="1" ht="16.575" hidden="1">
      <c r="E43" s="180">
        <v>17</v>
      </c>
      <c r="F43" s="175" cm="1" t="str">
        <f t="array" ref="F43:F43">OFFSET(G43,-1,-1)</f>
        <v>0</v>
      </c>
      <c r="T43" s="753" cm="1" t="str">
        <f t="array" ref="T43:T43">T42</f>
        <v>false</v>
      </c>
      <c r="AB43" s="385" t="s">
        <v>661</v>
      </c>
      <c r="AC43" s="355" t="s">
        <v>640</v>
      </c>
      <c r="AD43" s="441" t="s">
        <v>629</v>
      </c>
      <c r="AE43" s="47"/>
      <c r="AF43" s="47"/>
      <c r="AG43" s="47"/>
      <c r="AH43" s="47"/>
      <c r="AI43" s="439"/>
      <c r="AJ43" s="47"/>
      <c r="AK43" s="47"/>
      <c r="AL43" s="47"/>
      <c r="AM43" s="47"/>
      <c r="AN43" s="47"/>
      <c r="AO43" s="47"/>
      <c r="AP43" s="47"/>
      <c r="AQ43" s="47"/>
      <c r="AR43" s="47"/>
      <c r="AS43" s="47"/>
      <c r="AT43" s="47"/>
      <c r="AU43" s="47"/>
      <c r="AV43" s="47"/>
      <c r="AW43" s="47"/>
      <c r="AX43" s="47"/>
      <c r="AY43" s="47"/>
      <c r="AZ43" s="47"/>
      <c r="BA43" s="47"/>
      <c r="BB43" s="47"/>
      <c r="BC43" s="439"/>
      <c r="BD43" s="47"/>
      <c r="BE43" s="47"/>
      <c r="BF43" s="47"/>
      <c r="BG43" s="47"/>
      <c r="BH43" s="47"/>
      <c r="BI43" s="47"/>
      <c r="BJ43" s="47"/>
      <c r="BK43" s="47"/>
      <c r="BL43" s="47"/>
      <c r="BM43" s="47"/>
      <c r="BN43" s="47"/>
      <c r="BO43" s="47"/>
      <c r="BP43" s="47"/>
      <c r="BQ43" s="47"/>
      <c r="BR43" s="47"/>
      <c r="BS43" s="47"/>
      <c r="BT43" s="47"/>
      <c r="BU43" s="47"/>
      <c r="BV43" s="47"/>
      <c r="BW43" s="83"/>
      <c r="BZ43" s="975" t="s">
        <v>662</v>
      </c>
      <c r="CA43" s="1077" cm="1" t="str">
        <f t="array" ref="CA43:CA43">CA42</f>
        <v>0</v>
      </c>
      <c r="CB43" s="1076"/>
      <c r="CC43" s="1077" t="s">
        <v>645</v>
      </c>
      <c r="CD43" s="1077" t="s">
        <v>642</v>
      </c>
      <c r="CE43" s="1076"/>
      <c r="CF43" s="1076"/>
      <c r="CG43" s="1076"/>
      <c r="CH43" s="1076"/>
      <c r="CI43" s="1076"/>
      <c r="CJ43" s="1077" t="s">
        <v>303</v>
      </c>
      <c r="CK43" s="1077" t="s">
        <v>653</v>
      </c>
      <c r="CL43" s="1077" t="s">
        <v>654</v>
      </c>
    </row>
    <row customHeight="1" ht="16.575" hidden="1">
      <c r="E44" s="180">
        <v>17</v>
      </c>
      <c r="F44" s="175" cm="1" t="str">
        <f t="array" ref="F44:F44">OFFSET(G44,-1,-1)</f>
        <v>0</v>
      </c>
      <c r="T44" s="753" cm="1" t="str">
        <f t="array" ref="T44:T44">T43</f>
        <v>false</v>
      </c>
      <c r="AB44" s="385" t="str">
        <f>AB37&amp;".3"</f>
        <v>2.3</v>
      </c>
      <c r="AC44" s="367" t="s">
        <v>648</v>
      </c>
      <c r="AD44" s="384" t="s">
        <v>629</v>
      </c>
      <c r="AE44" s="49"/>
      <c r="AF44" s="49"/>
      <c r="AG44" s="49"/>
      <c r="AH44" s="49"/>
      <c r="AI44" s="443"/>
      <c r="AJ44" s="49"/>
      <c r="AK44" s="49"/>
      <c r="AL44" s="49"/>
      <c r="AM44" s="49"/>
      <c r="AN44" s="49"/>
      <c r="AO44" s="49"/>
      <c r="AP44" s="49"/>
      <c r="AQ44" s="49"/>
      <c r="AR44" s="49"/>
      <c r="AS44" s="49"/>
      <c r="AT44" s="49"/>
      <c r="AU44" s="49"/>
      <c r="AV44" s="49"/>
      <c r="AW44" s="49"/>
      <c r="AX44" s="49"/>
      <c r="AY44" s="49"/>
      <c r="AZ44" s="49"/>
      <c r="BA44" s="49"/>
      <c r="BB44" s="49"/>
      <c r="BC44" s="443"/>
      <c r="BD44" s="49"/>
      <c r="BE44" s="49"/>
      <c r="BF44" s="49"/>
      <c r="BG44" s="49"/>
      <c r="BH44" s="49"/>
      <c r="BI44" s="49"/>
      <c r="BJ44" s="49"/>
      <c r="BK44" s="49"/>
      <c r="BL44" s="49"/>
      <c r="BM44" s="49"/>
      <c r="BN44" s="49"/>
      <c r="BO44" s="49"/>
      <c r="BP44" s="49"/>
      <c r="BQ44" s="49"/>
      <c r="BR44" s="49"/>
      <c r="BS44" s="49"/>
      <c r="BT44" s="49"/>
      <c r="BU44" s="49"/>
      <c r="BV44" s="49"/>
      <c r="BW44" s="83"/>
      <c r="BZ44" s="975" t="s">
        <v>663</v>
      </c>
      <c r="CA44" s="1077" cm="1" t="str">
        <f t="array" ref="CA44:CA44">CA43</f>
        <v>0</v>
      </c>
      <c r="CB44" s="1076"/>
      <c r="CC44" s="1077" t="s">
        <v>650</v>
      </c>
      <c r="CD44" s="1076"/>
      <c r="CE44" s="1076"/>
      <c r="CF44" s="1076"/>
      <c r="CG44" s="1076"/>
      <c r="CH44" s="1076"/>
      <c r="CI44" s="1076"/>
      <c r="CJ44" s="1077" t="s">
        <v>303</v>
      </c>
      <c r="CK44" s="1077" t="s">
        <v>653</v>
      </c>
      <c r="CL44" s="1077" t="s">
        <v>654</v>
      </c>
    </row>
    <row customHeight="1" ht="29.25" hidden="1">
      <c r="E45" s="180">
        <v>30</v>
      </c>
      <c r="F45" s="175" cm="1" t="str">
        <f t="array" ref="F45:F45">OFFSET(G45,-1,-1)</f>
        <v>0</v>
      </c>
      <c r="T45" s="753" cm="1" t="str">
        <f t="array" ref="T45:T45">T44</f>
        <v>false</v>
      </c>
      <c r="AB45" s="436">
        <v>3</v>
      </c>
      <c r="AC45" s="437" t="s">
        <v>664</v>
      </c>
      <c r="AD45" s="384" t="s">
        <v>629</v>
      </c>
      <c r="AE45" s="438">
        <f>AE29-AE37</f>
        <v>0</v>
      </c>
      <c r="AF45" s="438">
        <f>AF29-AF37</f>
        <v>0</v>
      </c>
      <c r="AG45" s="438">
        <f>AG29-AG37</f>
        <v>0</v>
      </c>
      <c r="AH45" s="438">
        <f>AH29-AH37</f>
        <v>0</v>
      </c>
      <c r="AI45" s="438">
        <f>AI29-AI37</f>
        <v>0</v>
      </c>
      <c r="AJ45" s="438">
        <f>AJ29-AJ37</f>
        <v>0</v>
      </c>
      <c r="AK45" s="438">
        <f>AK29-AK37</f>
        <v>0</v>
      </c>
      <c r="AL45" s="438">
        <f>AL29-AL37</f>
        <v>0</v>
      </c>
      <c r="AM45" s="438">
        <f>AM29-AM37</f>
        <v>0</v>
      </c>
      <c r="AN45" s="438">
        <f>AN29-AN37</f>
        <v>0</v>
      </c>
      <c r="AO45" s="438">
        <f>AO29-AO37</f>
        <v>0</v>
      </c>
      <c r="AP45" s="438">
        <f>AP29-AP37</f>
        <v>0</v>
      </c>
      <c r="AQ45" s="438">
        <f>AQ29-AQ37</f>
        <v>0</v>
      </c>
      <c r="AR45" s="438">
        <f>AR29-AR37</f>
        <v>0</v>
      </c>
      <c r="AS45" s="438">
        <f>AS29-AS37</f>
        <v>0</v>
      </c>
      <c r="AT45" s="438">
        <f>AT29-AT37</f>
        <v>0</v>
      </c>
      <c r="AU45" s="438">
        <f>AU29-AU37</f>
        <v>0</v>
      </c>
      <c r="AV45" s="438">
        <f>AV29-AV37</f>
        <v>0</v>
      </c>
      <c r="AW45" s="438">
        <f>AW29-AW37</f>
        <v>0</v>
      </c>
      <c r="AX45" s="438">
        <f>AX29-AX37</f>
        <v>0</v>
      </c>
      <c r="AY45" s="438">
        <f>AY29-AY37</f>
        <v>0</v>
      </c>
      <c r="AZ45" s="438">
        <f>AZ29-AZ37</f>
        <v>0</v>
      </c>
      <c r="BA45" s="438">
        <f>BA29-BA37</f>
        <v>0</v>
      </c>
      <c r="BB45" s="438">
        <f>BB29-BB37</f>
        <v>0</v>
      </c>
      <c r="BC45" s="438">
        <f>BC29-BC37</f>
        <v>0</v>
      </c>
      <c r="BD45" s="438">
        <f>BD29-BD37</f>
        <v>0</v>
      </c>
      <c r="BE45" s="438">
        <f>BE29-BE37</f>
        <v>0</v>
      </c>
      <c r="BF45" s="438">
        <f>BF29-BF37</f>
        <v>0</v>
      </c>
      <c r="BG45" s="438">
        <f>BG29-BG37</f>
        <v>0</v>
      </c>
      <c r="BH45" s="438">
        <f>BH29-BH37</f>
        <v>0</v>
      </c>
      <c r="BI45" s="438">
        <f>BI29-BI37</f>
        <v>0</v>
      </c>
      <c r="BJ45" s="438">
        <f>BJ29-BJ37</f>
        <v>0</v>
      </c>
      <c r="BK45" s="438">
        <f>BK29-BK37</f>
        <v>0</v>
      </c>
      <c r="BL45" s="438">
        <f>BL29-BL37</f>
        <v>0</v>
      </c>
      <c r="BM45" s="438">
        <f>BM29-BM37</f>
        <v>0</v>
      </c>
      <c r="BN45" s="438">
        <f>BN29-BN37</f>
        <v>0</v>
      </c>
      <c r="BO45" s="438">
        <f>BO29-BO37</f>
        <v>0</v>
      </c>
      <c r="BP45" s="438">
        <f>BP29-BP37</f>
        <v>0</v>
      </c>
      <c r="BQ45" s="438">
        <f>BQ29-BQ37</f>
        <v>0</v>
      </c>
      <c r="BR45" s="438">
        <f>BR29-BR37</f>
        <v>0</v>
      </c>
      <c r="BS45" s="438">
        <f>BS29-BS37</f>
        <v>0</v>
      </c>
      <c r="BT45" s="438">
        <f>BT29-BT37</f>
        <v>0</v>
      </c>
      <c r="BU45" s="438">
        <f>BU29-BU37</f>
        <v>0</v>
      </c>
      <c r="BV45" s="438">
        <f>BV29-BV37</f>
        <v>0</v>
      </c>
      <c r="BW45" s="83"/>
      <c r="BZ45" s="975" t="s">
        <v>665</v>
      </c>
      <c r="CA45" s="1077" cm="1" t="str">
        <f t="array" ref="CA45:CA45">CA44</f>
        <v>0</v>
      </c>
      <c r="CB45" s="1076"/>
      <c r="CC45" s="1076"/>
      <c r="CD45" s="1076"/>
      <c r="CE45" s="1076"/>
      <c r="CF45" s="1076"/>
      <c r="CG45" s="1076"/>
      <c r="CH45" s="1077" t="s">
        <v>666</v>
      </c>
      <c r="CI45" s="1076"/>
      <c r="CJ45" s="1077" t="s">
        <v>303</v>
      </c>
      <c r="CK45" s="1077" t="s">
        <v>667</v>
      </c>
      <c r="CL45" s="1077" t="s">
        <v>668</v>
      </c>
    </row>
    <row customHeight="1" ht="16.575" hidden="1">
      <c r="E46" s="180">
        <v>17</v>
      </c>
      <c r="F46" s="175" cm="1" t="str">
        <f t="array" ref="F46:F46">OFFSET(G46,-1,-1)</f>
        <v>0</v>
      </c>
      <c r="T46" s="753" cm="1" t="str">
        <f t="array" ref="T46:T46">T45</f>
        <v>false</v>
      </c>
      <c r="AB46" s="423" t="str">
        <f>AB45&amp;".1"</f>
        <v>3.1</v>
      </c>
      <c r="AC46" s="367" t="s">
        <v>634</v>
      </c>
      <c r="AD46" s="384" t="s">
        <v>629</v>
      </c>
      <c r="AE46" s="444">
        <f>AE30-AE38</f>
        <v>0</v>
      </c>
      <c r="AF46" s="444">
        <f>AF30-AF38</f>
        <v>0</v>
      </c>
      <c r="AG46" s="444">
        <f>AG30-AG38</f>
        <v>0</v>
      </c>
      <c r="AH46" s="444">
        <f>AH30-AH38</f>
        <v>0</v>
      </c>
      <c r="AI46" s="444">
        <f>AI30-AI38</f>
        <v>0</v>
      </c>
      <c r="AJ46" s="444">
        <f>AJ30-AJ38</f>
        <v>0</v>
      </c>
      <c r="AK46" s="444">
        <f>AK30-AK38</f>
        <v>0</v>
      </c>
      <c r="AL46" s="444">
        <f>AL30-AL38</f>
        <v>0</v>
      </c>
      <c r="AM46" s="444">
        <f>AM30-AM38</f>
        <v>0</v>
      </c>
      <c r="AN46" s="444">
        <f>AN30-AN38</f>
        <v>0</v>
      </c>
      <c r="AO46" s="444">
        <f>AO30-AO38</f>
        <v>0</v>
      </c>
      <c r="AP46" s="444">
        <f>AP30-AP38</f>
        <v>0</v>
      </c>
      <c r="AQ46" s="444">
        <f>AQ30-AQ38</f>
        <v>0</v>
      </c>
      <c r="AR46" s="444">
        <f>AR30-AR38</f>
        <v>0</v>
      </c>
      <c r="AS46" s="444">
        <f>AS30-AS38</f>
        <v>0</v>
      </c>
      <c r="AT46" s="444">
        <f>AT30-AT38</f>
        <v>0</v>
      </c>
      <c r="AU46" s="444">
        <f>AU30-AU38</f>
        <v>0</v>
      </c>
      <c r="AV46" s="444">
        <f>AV30-AV38</f>
        <v>0</v>
      </c>
      <c r="AW46" s="444">
        <f>AW30-AW38</f>
        <v>0</v>
      </c>
      <c r="AX46" s="444">
        <f>AX30-AX38</f>
        <v>0</v>
      </c>
      <c r="AY46" s="444">
        <f>AY30-AY38</f>
        <v>0</v>
      </c>
      <c r="AZ46" s="444">
        <f>AZ30-AZ38</f>
        <v>0</v>
      </c>
      <c r="BA46" s="444">
        <f>BA30-BA38</f>
        <v>0</v>
      </c>
      <c r="BB46" s="444">
        <f>BB30-BB38</f>
        <v>0</v>
      </c>
      <c r="BC46" s="444">
        <f>BC30-BC38</f>
        <v>0</v>
      </c>
      <c r="BD46" s="444">
        <f>BD30-BD38</f>
        <v>0</v>
      </c>
      <c r="BE46" s="444">
        <f>BE30-BE38</f>
        <v>0</v>
      </c>
      <c r="BF46" s="444">
        <f>BF30-BF38</f>
        <v>0</v>
      </c>
      <c r="BG46" s="444">
        <f>BG30-BG38</f>
        <v>0</v>
      </c>
      <c r="BH46" s="444">
        <f>BH30-BH38</f>
        <v>0</v>
      </c>
      <c r="BI46" s="444">
        <f>BI30-BI38</f>
        <v>0</v>
      </c>
      <c r="BJ46" s="444">
        <f>BJ30-BJ38</f>
        <v>0</v>
      </c>
      <c r="BK46" s="444">
        <f>BK30-BK38</f>
        <v>0</v>
      </c>
      <c r="BL46" s="444">
        <f>BL30-BL38</f>
        <v>0</v>
      </c>
      <c r="BM46" s="444">
        <f>BM30-BM38</f>
        <v>0</v>
      </c>
      <c r="BN46" s="444">
        <f>BN30-BN38</f>
        <v>0</v>
      </c>
      <c r="BO46" s="444">
        <f>BO30-BO38</f>
        <v>0</v>
      </c>
      <c r="BP46" s="444">
        <f>BP30-BP38</f>
        <v>0</v>
      </c>
      <c r="BQ46" s="444">
        <f>BQ30-BQ38</f>
        <v>0</v>
      </c>
      <c r="BR46" s="444">
        <f>BR30-BR38</f>
        <v>0</v>
      </c>
      <c r="BS46" s="444">
        <f>BS30-BS38</f>
        <v>0</v>
      </c>
      <c r="BT46" s="444">
        <f>BT30-BT38</f>
        <v>0</v>
      </c>
      <c r="BU46" s="444">
        <f>BU30-BU38</f>
        <v>0</v>
      </c>
      <c r="BV46" s="444">
        <f>BV30-BV38</f>
        <v>0</v>
      </c>
      <c r="BW46" s="83"/>
      <c r="BZ46" s="975" t="s">
        <v>669</v>
      </c>
      <c r="CA46" s="1077" cm="1" t="str">
        <f t="array" ref="CA46:CA46">CA45</f>
        <v>0</v>
      </c>
      <c r="CB46" s="1076"/>
      <c r="CC46" s="1077" t="s">
        <v>636</v>
      </c>
      <c r="CD46" s="1076"/>
      <c r="CE46" s="1076"/>
      <c r="CF46" s="1076"/>
      <c r="CG46" s="1076"/>
      <c r="CH46" s="1077" t="s">
        <v>666</v>
      </c>
      <c r="CI46" s="1076"/>
      <c r="CJ46" s="1077" t="s">
        <v>303</v>
      </c>
      <c r="CK46" s="1077" t="s">
        <v>667</v>
      </c>
      <c r="CL46" s="1077" t="s">
        <v>668</v>
      </c>
    </row>
    <row customHeight="1" ht="16.575" hidden="1">
      <c r="E47" s="180">
        <v>17</v>
      </c>
      <c r="F47" s="175" cm="1" t="str">
        <f t="array" ref="F47:F47">OFFSET(G47,-1,-1)</f>
        <v>0</v>
      </c>
      <c r="T47" s="753" cm="1" t="str">
        <f t="array" ref="T47:T47">T46</f>
        <v>false</v>
      </c>
      <c r="AB47" s="423" t="str">
        <f>AB46&amp;".1"</f>
        <v>3.1.1</v>
      </c>
      <c r="AC47" s="361" t="s">
        <v>637</v>
      </c>
      <c r="AD47" s="384" t="s">
        <v>629</v>
      </c>
      <c r="AE47" s="47">
        <f>AE31-AE39</f>
        <v>0</v>
      </c>
      <c r="AF47" s="47">
        <f>AF31-AF39</f>
        <v>0</v>
      </c>
      <c r="AG47" s="47">
        <f>AG31-AG39</f>
        <v>0</v>
      </c>
      <c r="AH47" s="47">
        <f>AH31-AH39</f>
        <v>0</v>
      </c>
      <c r="AI47" s="439">
        <f>AI31-AI39</f>
        <v>0</v>
      </c>
      <c r="AJ47" s="47">
        <f>AJ31-AJ39</f>
        <v>0</v>
      </c>
      <c r="AK47" s="47">
        <f>AK31-AK39</f>
        <v>0</v>
      </c>
      <c r="AL47" s="47">
        <f>AL31-AL39</f>
        <v>0</v>
      </c>
      <c r="AM47" s="47">
        <f>AM31-AM39</f>
        <v>0</v>
      </c>
      <c r="AN47" s="47">
        <f>AN31-AN39</f>
        <v>0</v>
      </c>
      <c r="AO47" s="47">
        <f>AO31-AO39</f>
        <v>0</v>
      </c>
      <c r="AP47" s="47">
        <f>AP31-AP39</f>
        <v>0</v>
      </c>
      <c r="AQ47" s="47">
        <f>AQ31-AQ39</f>
        <v>0</v>
      </c>
      <c r="AR47" s="47">
        <f>AR31-AR39</f>
        <v>0</v>
      </c>
      <c r="AS47" s="47">
        <f>AS31-AS39</f>
        <v>0</v>
      </c>
      <c r="AT47" s="47">
        <f>AT31-AT39</f>
        <v>0</v>
      </c>
      <c r="AU47" s="47">
        <f>AU31-AU39</f>
        <v>0</v>
      </c>
      <c r="AV47" s="47">
        <f>AV31-AV39</f>
        <v>0</v>
      </c>
      <c r="AW47" s="47">
        <f>AW31-AW39</f>
        <v>0</v>
      </c>
      <c r="AX47" s="47">
        <f>AX31-AX39</f>
        <v>0</v>
      </c>
      <c r="AY47" s="47">
        <f>AY31-AY39</f>
        <v>0</v>
      </c>
      <c r="AZ47" s="47">
        <f>AZ31-AZ39</f>
        <v>0</v>
      </c>
      <c r="BA47" s="47">
        <f>BA31-BA39</f>
        <v>0</v>
      </c>
      <c r="BB47" s="47">
        <f>BB31-BB39</f>
        <v>0</v>
      </c>
      <c r="BC47" s="439">
        <f>BC31-BC39</f>
        <v>0</v>
      </c>
      <c r="BD47" s="47">
        <f>BD31-BD39</f>
        <v>0</v>
      </c>
      <c r="BE47" s="47">
        <f>BE31-BE39</f>
        <v>0</v>
      </c>
      <c r="BF47" s="47">
        <f>BF31-BF39</f>
        <v>0</v>
      </c>
      <c r="BG47" s="47">
        <f>BG31-BG39</f>
        <v>0</v>
      </c>
      <c r="BH47" s="47">
        <f>BH31-BH39</f>
        <v>0</v>
      </c>
      <c r="BI47" s="47">
        <f>BI31-BI39</f>
        <v>0</v>
      </c>
      <c r="BJ47" s="47">
        <f>BJ31-BJ39</f>
        <v>0</v>
      </c>
      <c r="BK47" s="47">
        <f>BK31-BK39</f>
        <v>0</v>
      </c>
      <c r="BL47" s="47">
        <f>BL31-BL39</f>
        <v>0</v>
      </c>
      <c r="BM47" s="47">
        <f>BM31-BM39</f>
        <v>0</v>
      </c>
      <c r="BN47" s="47">
        <f>BN31-BN39</f>
        <v>0</v>
      </c>
      <c r="BO47" s="47">
        <f>BO31-BO39</f>
        <v>0</v>
      </c>
      <c r="BP47" s="47">
        <f>BP31-BP39</f>
        <v>0</v>
      </c>
      <c r="BQ47" s="47">
        <f>BQ31-BQ39</f>
        <v>0</v>
      </c>
      <c r="BR47" s="47">
        <f>BR31-BR39</f>
        <v>0</v>
      </c>
      <c r="BS47" s="47">
        <f>BS31-BS39</f>
        <v>0</v>
      </c>
      <c r="BT47" s="47">
        <f>BT31-BT39</f>
        <v>0</v>
      </c>
      <c r="BU47" s="47">
        <f>BU31-BU39</f>
        <v>0</v>
      </c>
      <c r="BV47" s="47">
        <f>BV31-BV39</f>
        <v>0</v>
      </c>
      <c r="BW47" s="83"/>
      <c r="BZ47" s="975" t="s">
        <v>670</v>
      </c>
      <c r="CA47" s="1077" cm="1" t="str">
        <f t="array" ref="CA47:CA47">CA46</f>
        <v>0</v>
      </c>
      <c r="CB47" s="1076"/>
      <c r="CC47" s="1077" t="s">
        <v>636</v>
      </c>
      <c r="CD47" s="1077" t="s">
        <v>639</v>
      </c>
      <c r="CE47" s="1076"/>
      <c r="CF47" s="1076"/>
      <c r="CG47" s="1076"/>
      <c r="CH47" s="1077" t="s">
        <v>666</v>
      </c>
      <c r="CI47" s="1076"/>
      <c r="CJ47" s="1077" t="s">
        <v>303</v>
      </c>
      <c r="CK47" s="1077" t="s">
        <v>667</v>
      </c>
      <c r="CL47" s="1077" t="s">
        <v>668</v>
      </c>
    </row>
    <row customHeight="1" ht="16.575" hidden="1">
      <c r="E48" s="180">
        <v>17</v>
      </c>
      <c r="F48" s="175" cm="1" t="str">
        <f t="array" ref="F48:F48">OFFSET(G48,-1,-1)</f>
        <v>0</v>
      </c>
      <c r="T48" s="753" cm="1" t="str">
        <f t="array" ref="T48:T48">T47</f>
        <v>false</v>
      </c>
      <c r="AB48" s="423" t="str">
        <f>AB46&amp;".2"</f>
        <v>3.1.2</v>
      </c>
      <c r="AC48" s="361" t="s">
        <v>640</v>
      </c>
      <c r="AD48" s="384" t="s">
        <v>629</v>
      </c>
      <c r="AE48" s="47">
        <f>AE32-AE40</f>
        <v>0</v>
      </c>
      <c r="AF48" s="47">
        <f>AF32-AF40</f>
        <v>0</v>
      </c>
      <c r="AG48" s="47">
        <f>AG32-AG40</f>
        <v>0</v>
      </c>
      <c r="AH48" s="47">
        <f>AH32-AH40</f>
        <v>0</v>
      </c>
      <c r="AI48" s="439">
        <f>AI32-AI40</f>
        <v>0</v>
      </c>
      <c r="AJ48" s="47">
        <f>AJ32-AJ40</f>
        <v>0</v>
      </c>
      <c r="AK48" s="47">
        <f>AK32-AK40</f>
        <v>0</v>
      </c>
      <c r="AL48" s="47">
        <f>AL32-AL40</f>
        <v>0</v>
      </c>
      <c r="AM48" s="47">
        <f>AM32-AM40</f>
        <v>0</v>
      </c>
      <c r="AN48" s="47">
        <f>AN32-AN40</f>
        <v>0</v>
      </c>
      <c r="AO48" s="47">
        <f>AO32-AO40</f>
        <v>0</v>
      </c>
      <c r="AP48" s="47">
        <f>AP32-AP40</f>
        <v>0</v>
      </c>
      <c r="AQ48" s="47">
        <f>AQ32-AQ40</f>
        <v>0</v>
      </c>
      <c r="AR48" s="47">
        <f>AR32-AR40</f>
        <v>0</v>
      </c>
      <c r="AS48" s="47">
        <f>AS32-AS40</f>
        <v>0</v>
      </c>
      <c r="AT48" s="47">
        <f>AT32-AT40</f>
        <v>0</v>
      </c>
      <c r="AU48" s="47">
        <f>AU32-AU40</f>
        <v>0</v>
      </c>
      <c r="AV48" s="47">
        <f>AV32-AV40</f>
        <v>0</v>
      </c>
      <c r="AW48" s="47">
        <f>AW32-AW40</f>
        <v>0</v>
      </c>
      <c r="AX48" s="47">
        <f>AX32-AX40</f>
        <v>0</v>
      </c>
      <c r="AY48" s="47">
        <f>AY32-AY40</f>
        <v>0</v>
      </c>
      <c r="AZ48" s="47">
        <f>AZ32-AZ40</f>
        <v>0</v>
      </c>
      <c r="BA48" s="47">
        <f>BA32-BA40</f>
        <v>0</v>
      </c>
      <c r="BB48" s="47">
        <f>BB32-BB40</f>
        <v>0</v>
      </c>
      <c r="BC48" s="439">
        <f>BC32-BC40</f>
        <v>0</v>
      </c>
      <c r="BD48" s="47">
        <f>BD32-BD40</f>
        <v>0</v>
      </c>
      <c r="BE48" s="47">
        <f>BE32-BE40</f>
        <v>0</v>
      </c>
      <c r="BF48" s="47">
        <f>BF32-BF40</f>
        <v>0</v>
      </c>
      <c r="BG48" s="47">
        <f>BG32-BG40</f>
        <v>0</v>
      </c>
      <c r="BH48" s="47">
        <f>BH32-BH40</f>
        <v>0</v>
      </c>
      <c r="BI48" s="47">
        <f>BI32-BI40</f>
        <v>0</v>
      </c>
      <c r="BJ48" s="47">
        <f>BJ32-BJ40</f>
        <v>0</v>
      </c>
      <c r="BK48" s="47">
        <f>BK32-BK40</f>
        <v>0</v>
      </c>
      <c r="BL48" s="47">
        <f>BL32-BL40</f>
        <v>0</v>
      </c>
      <c r="BM48" s="47">
        <f>BM32-BM40</f>
        <v>0</v>
      </c>
      <c r="BN48" s="47">
        <f>BN32-BN40</f>
        <v>0</v>
      </c>
      <c r="BO48" s="47">
        <f>BO32-BO40</f>
        <v>0</v>
      </c>
      <c r="BP48" s="47">
        <f>BP32-BP40</f>
        <v>0</v>
      </c>
      <c r="BQ48" s="47">
        <f>BQ32-BQ40</f>
        <v>0</v>
      </c>
      <c r="BR48" s="47">
        <f>BR32-BR40</f>
        <v>0</v>
      </c>
      <c r="BS48" s="47">
        <f>BS32-BS40</f>
        <v>0</v>
      </c>
      <c r="BT48" s="47">
        <f>BT32-BT40</f>
        <v>0</v>
      </c>
      <c r="BU48" s="47">
        <f>BU32-BU40</f>
        <v>0</v>
      </c>
      <c r="BV48" s="47">
        <f>BV32-BV40</f>
        <v>0</v>
      </c>
      <c r="BW48" s="83"/>
      <c r="BZ48" s="975" t="s">
        <v>671</v>
      </c>
      <c r="CA48" s="1077" cm="1" t="str">
        <f t="array" ref="CA48:CA48">CA47</f>
        <v>0</v>
      </c>
      <c r="CB48" s="1076"/>
      <c r="CC48" s="1077" t="s">
        <v>636</v>
      </c>
      <c r="CD48" s="1077" t="s">
        <v>642</v>
      </c>
      <c r="CE48" s="1076"/>
      <c r="CF48" s="1076"/>
      <c r="CG48" s="1076"/>
      <c r="CH48" s="1077" t="s">
        <v>666</v>
      </c>
      <c r="CI48" s="1076"/>
      <c r="CJ48" s="1077" t="s">
        <v>303</v>
      </c>
      <c r="CK48" s="1077" t="s">
        <v>667</v>
      </c>
      <c r="CL48" s="1077" t="s">
        <v>668</v>
      </c>
    </row>
    <row customHeight="1" ht="16.575" hidden="1">
      <c r="E49" s="180">
        <v>17</v>
      </c>
      <c r="F49" s="175" cm="1" t="str">
        <f t="array" ref="F49:F49">OFFSET(G49,-1,-1)</f>
        <v>0</v>
      </c>
      <c r="T49" s="753" cm="1" t="str">
        <f t="array" ref="T49:T49">T48</f>
        <v>false</v>
      </c>
      <c r="AB49" s="423" t="str">
        <f>AB45&amp;".2"</f>
        <v>3.2</v>
      </c>
      <c r="AC49" s="367" t="s">
        <v>643</v>
      </c>
      <c r="AD49" s="384" t="s">
        <v>629</v>
      </c>
      <c r="AE49" s="438">
        <f>AE33-AE41</f>
        <v>0</v>
      </c>
      <c r="AF49" s="438">
        <f>AF33-AF41</f>
        <v>0</v>
      </c>
      <c r="AG49" s="438">
        <f>AG33-AG41</f>
        <v>0</v>
      </c>
      <c r="AH49" s="438">
        <f>AH33-AH41</f>
        <v>0</v>
      </c>
      <c r="AI49" s="438">
        <f>AI33-AI41</f>
        <v>0</v>
      </c>
      <c r="AJ49" s="438">
        <f>AJ33-AJ41</f>
        <v>0</v>
      </c>
      <c r="AK49" s="438">
        <f>AK33-AK41</f>
        <v>0</v>
      </c>
      <c r="AL49" s="438">
        <f>AL33-AL41</f>
        <v>0</v>
      </c>
      <c r="AM49" s="438">
        <f>AM33-AM41</f>
        <v>0</v>
      </c>
      <c r="AN49" s="438">
        <f>AN33-AN41</f>
        <v>0</v>
      </c>
      <c r="AO49" s="438">
        <f>AO33-AO41</f>
        <v>0</v>
      </c>
      <c r="AP49" s="438">
        <f>AP33-AP41</f>
        <v>0</v>
      </c>
      <c r="AQ49" s="438">
        <f>AQ33-AQ41</f>
        <v>0</v>
      </c>
      <c r="AR49" s="438">
        <f>AR33-AR41</f>
        <v>0</v>
      </c>
      <c r="AS49" s="438">
        <f>AS33-AS41</f>
        <v>0</v>
      </c>
      <c r="AT49" s="438">
        <f>AT33-AT41</f>
        <v>0</v>
      </c>
      <c r="AU49" s="438">
        <f>AU33-AU41</f>
        <v>0</v>
      </c>
      <c r="AV49" s="438">
        <f>AV33-AV41</f>
        <v>0</v>
      </c>
      <c r="AW49" s="438">
        <f>AW33-AW41</f>
        <v>0</v>
      </c>
      <c r="AX49" s="438">
        <f>AX33-AX41</f>
        <v>0</v>
      </c>
      <c r="AY49" s="438">
        <f>AY33-AY41</f>
        <v>0</v>
      </c>
      <c r="AZ49" s="438">
        <f>AZ33-AZ41</f>
        <v>0</v>
      </c>
      <c r="BA49" s="438">
        <f>BA33-BA41</f>
        <v>0</v>
      </c>
      <c r="BB49" s="438">
        <f>BB33-BB41</f>
        <v>0</v>
      </c>
      <c r="BC49" s="438">
        <f>BC33-BC41</f>
        <v>0</v>
      </c>
      <c r="BD49" s="438">
        <f>BD33-BD41</f>
        <v>0</v>
      </c>
      <c r="BE49" s="438">
        <f>BE33-BE41</f>
        <v>0</v>
      </c>
      <c r="BF49" s="438">
        <f>BF33-BF41</f>
        <v>0</v>
      </c>
      <c r="BG49" s="438">
        <f>BG33-BG41</f>
        <v>0</v>
      </c>
      <c r="BH49" s="438">
        <f>BH33-BH41</f>
        <v>0</v>
      </c>
      <c r="BI49" s="438">
        <f>BI33-BI41</f>
        <v>0</v>
      </c>
      <c r="BJ49" s="438">
        <f>BJ33-BJ41</f>
        <v>0</v>
      </c>
      <c r="BK49" s="438">
        <f>BK33-BK41</f>
        <v>0</v>
      </c>
      <c r="BL49" s="438">
        <f>BL33-BL41</f>
        <v>0</v>
      </c>
      <c r="BM49" s="438">
        <f>BM33-BM41</f>
        <v>0</v>
      </c>
      <c r="BN49" s="438">
        <f>BN33-BN41</f>
        <v>0</v>
      </c>
      <c r="BO49" s="438">
        <f>BO33-BO41</f>
        <v>0</v>
      </c>
      <c r="BP49" s="438">
        <f>BP33-BP41</f>
        <v>0</v>
      </c>
      <c r="BQ49" s="438">
        <f>BQ33-BQ41</f>
        <v>0</v>
      </c>
      <c r="BR49" s="438">
        <f>BR33-BR41</f>
        <v>0</v>
      </c>
      <c r="BS49" s="438">
        <f>BS33-BS41</f>
        <v>0</v>
      </c>
      <c r="BT49" s="438">
        <f>BT33-BT41</f>
        <v>0</v>
      </c>
      <c r="BU49" s="438">
        <f>BU33-BU41</f>
        <v>0</v>
      </c>
      <c r="BV49" s="438">
        <f>BV33-BV41</f>
        <v>0</v>
      </c>
      <c r="BW49" s="83"/>
      <c r="BZ49" s="975" t="s">
        <v>672</v>
      </c>
      <c r="CA49" s="1077" cm="1" t="str">
        <f t="array" ref="CA49:CA49">CA48</f>
        <v>0</v>
      </c>
      <c r="CB49" s="1076"/>
      <c r="CC49" s="1077" t="s">
        <v>645</v>
      </c>
      <c r="CD49" s="1076"/>
      <c r="CE49" s="1076"/>
      <c r="CF49" s="1076"/>
      <c r="CG49" s="1076"/>
      <c r="CH49" s="1077" t="s">
        <v>666</v>
      </c>
      <c r="CI49" s="1076"/>
      <c r="CJ49" s="1077" t="s">
        <v>303</v>
      </c>
      <c r="CK49" s="1077" t="s">
        <v>667</v>
      </c>
      <c r="CL49" s="1077" t="s">
        <v>668</v>
      </c>
    </row>
    <row customHeight="1" ht="16.575" hidden="1">
      <c r="E50" s="180">
        <v>17</v>
      </c>
      <c r="F50" s="175" cm="1" t="str">
        <f t="array" ref="F50:F50">OFFSET(G50,-1,-1)</f>
        <v>0</v>
      </c>
      <c r="T50" s="753" cm="1" t="str">
        <f t="array" ref="T50:T50">T49</f>
        <v>false</v>
      </c>
      <c r="AB50" s="423" t="str">
        <f>AB49&amp;".1"</f>
        <v>3.2.1</v>
      </c>
      <c r="AC50" s="361" t="s">
        <v>637</v>
      </c>
      <c r="AD50" s="384" t="s">
        <v>629</v>
      </c>
      <c r="AE50" s="47">
        <f>AE34-AE42</f>
        <v>0</v>
      </c>
      <c r="AF50" s="47">
        <f>AF34-AF42</f>
        <v>0</v>
      </c>
      <c r="AG50" s="47">
        <f>AG34-AG42</f>
        <v>0</v>
      </c>
      <c r="AH50" s="47">
        <f>AH34-AH42</f>
        <v>0</v>
      </c>
      <c r="AI50" s="439">
        <f>AI34-AI42</f>
        <v>0</v>
      </c>
      <c r="AJ50" s="47">
        <f>AJ34-AJ42</f>
        <v>0</v>
      </c>
      <c r="AK50" s="47">
        <f>AK34-AK42</f>
        <v>0</v>
      </c>
      <c r="AL50" s="47">
        <f>AL34-AL42</f>
        <v>0</v>
      </c>
      <c r="AM50" s="47">
        <f>AM34-AM42</f>
        <v>0</v>
      </c>
      <c r="AN50" s="47">
        <f>AN34-AN42</f>
        <v>0</v>
      </c>
      <c r="AO50" s="47">
        <f>AO34-AO42</f>
        <v>0</v>
      </c>
      <c r="AP50" s="47">
        <f>AP34-AP42</f>
        <v>0</v>
      </c>
      <c r="AQ50" s="47">
        <f>AQ34-AQ42</f>
        <v>0</v>
      </c>
      <c r="AR50" s="47">
        <f>AR34-AR42</f>
        <v>0</v>
      </c>
      <c r="AS50" s="47">
        <f>AS34-AS42</f>
        <v>0</v>
      </c>
      <c r="AT50" s="47">
        <f>AT34-AT42</f>
        <v>0</v>
      </c>
      <c r="AU50" s="47">
        <f>AU34-AU42</f>
        <v>0</v>
      </c>
      <c r="AV50" s="47">
        <f>AV34-AV42</f>
        <v>0</v>
      </c>
      <c r="AW50" s="47">
        <f>AW34-AW42</f>
        <v>0</v>
      </c>
      <c r="AX50" s="47">
        <f>AX34-AX42</f>
        <v>0</v>
      </c>
      <c r="AY50" s="47">
        <f>AY34-AY42</f>
        <v>0</v>
      </c>
      <c r="AZ50" s="47">
        <f>AZ34-AZ42</f>
        <v>0</v>
      </c>
      <c r="BA50" s="47">
        <f>BA34-BA42</f>
        <v>0</v>
      </c>
      <c r="BB50" s="47">
        <f>BB34-BB42</f>
        <v>0</v>
      </c>
      <c r="BC50" s="439">
        <f>BC34-BC42</f>
        <v>0</v>
      </c>
      <c r="BD50" s="47">
        <f>BD34-BD42</f>
        <v>0</v>
      </c>
      <c r="BE50" s="47">
        <f>BE34-BE42</f>
        <v>0</v>
      </c>
      <c r="BF50" s="47">
        <f>BF34-BF42</f>
        <v>0</v>
      </c>
      <c r="BG50" s="47">
        <f>BG34-BG42</f>
        <v>0</v>
      </c>
      <c r="BH50" s="47">
        <f>BH34-BH42</f>
        <v>0</v>
      </c>
      <c r="BI50" s="47">
        <f>BI34-BI42</f>
        <v>0</v>
      </c>
      <c r="BJ50" s="47">
        <f>BJ34-BJ42</f>
        <v>0</v>
      </c>
      <c r="BK50" s="47">
        <f>BK34-BK42</f>
        <v>0</v>
      </c>
      <c r="BL50" s="47">
        <f>BL34-BL42</f>
        <v>0</v>
      </c>
      <c r="BM50" s="47">
        <f>BM34-BM42</f>
        <v>0</v>
      </c>
      <c r="BN50" s="47">
        <f>BN34-BN42</f>
        <v>0</v>
      </c>
      <c r="BO50" s="47">
        <f>BO34-BO42</f>
        <v>0</v>
      </c>
      <c r="BP50" s="47">
        <f>BP34-BP42</f>
        <v>0</v>
      </c>
      <c r="BQ50" s="47">
        <f>BQ34-BQ42</f>
        <v>0</v>
      </c>
      <c r="BR50" s="47">
        <f>BR34-BR42</f>
        <v>0</v>
      </c>
      <c r="BS50" s="47">
        <f>BS34-BS42</f>
        <v>0</v>
      </c>
      <c r="BT50" s="47">
        <f>BT34-BT42</f>
        <v>0</v>
      </c>
      <c r="BU50" s="47">
        <f>BU34-BU42</f>
        <v>0</v>
      </c>
      <c r="BV50" s="47">
        <f>BV34-BV42</f>
        <v>0</v>
      </c>
      <c r="BW50" s="83"/>
      <c r="BZ50" s="975" t="s">
        <v>673</v>
      </c>
      <c r="CA50" s="1077" cm="1" t="str">
        <f t="array" ref="CA50:CA50">CA49</f>
        <v>0</v>
      </c>
      <c r="CB50" s="1076"/>
      <c r="CC50" s="1077" t="s">
        <v>645</v>
      </c>
      <c r="CD50" s="1077" t="s">
        <v>639</v>
      </c>
      <c r="CE50" s="1076"/>
      <c r="CF50" s="1076"/>
      <c r="CG50" s="1076"/>
      <c r="CH50" s="1077" t="s">
        <v>666</v>
      </c>
      <c r="CI50" s="1076"/>
      <c r="CJ50" s="1077" t="s">
        <v>303</v>
      </c>
      <c r="CK50" s="1077" t="s">
        <v>667</v>
      </c>
      <c r="CL50" s="1077" t="s">
        <v>668</v>
      </c>
    </row>
    <row customHeight="1" ht="16.575" hidden="1">
      <c r="E51" s="180">
        <v>17</v>
      </c>
      <c r="F51" s="175" cm="1" t="str">
        <f t="array" ref="F51:F51">OFFSET(G51,-1,-1)</f>
        <v>0</v>
      </c>
      <c r="T51" s="753" cm="1" t="str">
        <f t="array" ref="T51:T51">T50</f>
        <v>false</v>
      </c>
      <c r="AB51" s="423" t="str">
        <f>AB49&amp;".2"</f>
        <v>3.2.2</v>
      </c>
      <c r="AC51" s="355" t="s">
        <v>640</v>
      </c>
      <c r="AD51" s="445" t="s">
        <v>629</v>
      </c>
      <c r="AE51" s="47">
        <f>AE35-AE43</f>
        <v>0</v>
      </c>
      <c r="AF51" s="47">
        <f>AF35-AF43</f>
        <v>0</v>
      </c>
      <c r="AG51" s="47">
        <f>AG35-AG43</f>
        <v>0</v>
      </c>
      <c r="AH51" s="47">
        <f>AH35-AH43</f>
        <v>0</v>
      </c>
      <c r="AI51" s="439">
        <f>AI35-AI43</f>
        <v>0</v>
      </c>
      <c r="AJ51" s="47">
        <f>AJ35-AJ43</f>
        <v>0</v>
      </c>
      <c r="AK51" s="47">
        <f>AK35-AK43</f>
        <v>0</v>
      </c>
      <c r="AL51" s="47">
        <f>AL35-AL43</f>
        <v>0</v>
      </c>
      <c r="AM51" s="47">
        <f>AM35-AM43</f>
        <v>0</v>
      </c>
      <c r="AN51" s="47">
        <f>AN35-AN43</f>
        <v>0</v>
      </c>
      <c r="AO51" s="47">
        <f>AO35-AO43</f>
        <v>0</v>
      </c>
      <c r="AP51" s="47">
        <f>AP35-AP43</f>
        <v>0</v>
      </c>
      <c r="AQ51" s="47">
        <f>AQ35-AQ43</f>
        <v>0</v>
      </c>
      <c r="AR51" s="47">
        <f>AR35-AR43</f>
        <v>0</v>
      </c>
      <c r="AS51" s="47">
        <f>AS35-AS43</f>
        <v>0</v>
      </c>
      <c r="AT51" s="47">
        <f>AT35-AT43</f>
        <v>0</v>
      </c>
      <c r="AU51" s="47">
        <f>AU35-AU43</f>
        <v>0</v>
      </c>
      <c r="AV51" s="47">
        <f>AV35-AV43</f>
        <v>0</v>
      </c>
      <c r="AW51" s="47">
        <f>AW35-AW43</f>
        <v>0</v>
      </c>
      <c r="AX51" s="47">
        <f>AX35-AX43</f>
        <v>0</v>
      </c>
      <c r="AY51" s="47">
        <f>AY35-AY43</f>
        <v>0</v>
      </c>
      <c r="AZ51" s="47">
        <f>AZ35-AZ43</f>
        <v>0</v>
      </c>
      <c r="BA51" s="47">
        <f>BA35-BA43</f>
        <v>0</v>
      </c>
      <c r="BB51" s="47">
        <f>BB35-BB43</f>
        <v>0</v>
      </c>
      <c r="BC51" s="439">
        <f>BC35-BC43</f>
        <v>0</v>
      </c>
      <c r="BD51" s="47">
        <f>BD35-BD43</f>
        <v>0</v>
      </c>
      <c r="BE51" s="47">
        <f>BE35-BE43</f>
        <v>0</v>
      </c>
      <c r="BF51" s="47">
        <f>BF35-BF43</f>
        <v>0</v>
      </c>
      <c r="BG51" s="47">
        <f>BG35-BG43</f>
        <v>0</v>
      </c>
      <c r="BH51" s="47">
        <f>BH35-BH43</f>
        <v>0</v>
      </c>
      <c r="BI51" s="47">
        <f>BI35-BI43</f>
        <v>0</v>
      </c>
      <c r="BJ51" s="47">
        <f>BJ35-BJ43</f>
        <v>0</v>
      </c>
      <c r="BK51" s="47">
        <f>BK35-BK43</f>
        <v>0</v>
      </c>
      <c r="BL51" s="47">
        <f>BL35-BL43</f>
        <v>0</v>
      </c>
      <c r="BM51" s="47">
        <f>BM35-BM43</f>
        <v>0</v>
      </c>
      <c r="BN51" s="47">
        <f>BN35-BN43</f>
        <v>0</v>
      </c>
      <c r="BO51" s="47">
        <f>BO35-BO43</f>
        <v>0</v>
      </c>
      <c r="BP51" s="47">
        <f>BP35-BP43</f>
        <v>0</v>
      </c>
      <c r="BQ51" s="47">
        <f>BQ35-BQ43</f>
        <v>0</v>
      </c>
      <c r="BR51" s="47">
        <f>BR35-BR43</f>
        <v>0</v>
      </c>
      <c r="BS51" s="47">
        <f>BS35-BS43</f>
        <v>0</v>
      </c>
      <c r="BT51" s="47">
        <f>BT35-BT43</f>
        <v>0</v>
      </c>
      <c r="BU51" s="47">
        <f>BU35-BU43</f>
        <v>0</v>
      </c>
      <c r="BV51" s="47">
        <f>BV35-BV43</f>
        <v>0</v>
      </c>
      <c r="BW51" s="83"/>
      <c r="BZ51" s="975" t="s">
        <v>674</v>
      </c>
      <c r="CA51" s="1077" cm="1" t="str">
        <f t="array" ref="CA51:CA51">CA50</f>
        <v>0</v>
      </c>
      <c r="CB51" s="1076"/>
      <c r="CC51" s="1077" t="s">
        <v>645</v>
      </c>
      <c r="CD51" s="1077" t="s">
        <v>642</v>
      </c>
      <c r="CE51" s="1076"/>
      <c r="CF51" s="1076"/>
      <c r="CG51" s="1076"/>
      <c r="CH51" s="1077" t="s">
        <v>666</v>
      </c>
      <c r="CI51" s="1076"/>
      <c r="CJ51" s="1077" t="s">
        <v>303</v>
      </c>
      <c r="CK51" s="1077" t="s">
        <v>667</v>
      </c>
      <c r="CL51" s="1077" t="s">
        <v>668</v>
      </c>
    </row>
    <row customHeight="1" ht="16.575" hidden="1">
      <c r="E52" s="180">
        <v>17</v>
      </c>
      <c r="F52" s="175" cm="1" t="str">
        <f t="array" ref="F52:F52">OFFSET(G52,-1,-1)</f>
        <v>0</v>
      </c>
      <c r="T52" s="753" cm="1" t="str">
        <f t="array" ref="T52:T52">T51</f>
        <v>false</v>
      </c>
      <c r="AB52" s="423" t="str">
        <f>AB45&amp;".3"</f>
        <v>3.3</v>
      </c>
      <c r="AC52" s="446" t="s">
        <v>648</v>
      </c>
      <c r="AD52" s="328" t="s">
        <v>629</v>
      </c>
      <c r="AE52" s="47">
        <f>AE36-AE44</f>
        <v>0</v>
      </c>
      <c r="AF52" s="47">
        <f>AF36-AF44</f>
        <v>0</v>
      </c>
      <c r="AG52" s="47">
        <f>AG36-AG44</f>
        <v>0</v>
      </c>
      <c r="AH52" s="47">
        <f>AH36-AH44</f>
        <v>0</v>
      </c>
      <c r="AI52" s="439">
        <f>AI36-AI44</f>
        <v>0</v>
      </c>
      <c r="AJ52" s="47">
        <f>AJ36-AJ44</f>
        <v>0</v>
      </c>
      <c r="AK52" s="47">
        <f>AK36-AK44</f>
        <v>0</v>
      </c>
      <c r="AL52" s="47">
        <f>AL36-AL44</f>
        <v>0</v>
      </c>
      <c r="AM52" s="47">
        <f>AM36-AM44</f>
        <v>0</v>
      </c>
      <c r="AN52" s="47">
        <f>AN36-AN44</f>
        <v>0</v>
      </c>
      <c r="AO52" s="47">
        <f>AO36-AO44</f>
        <v>0</v>
      </c>
      <c r="AP52" s="47">
        <f>AP36-AP44</f>
        <v>0</v>
      </c>
      <c r="AQ52" s="47">
        <f>AQ36-AQ44</f>
        <v>0</v>
      </c>
      <c r="AR52" s="47">
        <f>AR36-AR44</f>
        <v>0</v>
      </c>
      <c r="AS52" s="47">
        <f>AS36-AS44</f>
        <v>0</v>
      </c>
      <c r="AT52" s="47">
        <f>AT36-AT44</f>
        <v>0</v>
      </c>
      <c r="AU52" s="47">
        <f>AU36-AU44</f>
        <v>0</v>
      </c>
      <c r="AV52" s="47">
        <f>AV36-AV44</f>
        <v>0</v>
      </c>
      <c r="AW52" s="47">
        <f>AW36-AW44</f>
        <v>0</v>
      </c>
      <c r="AX52" s="47">
        <f>AX36-AX44</f>
        <v>0</v>
      </c>
      <c r="AY52" s="47">
        <f>AY36-AY44</f>
        <v>0</v>
      </c>
      <c r="AZ52" s="47">
        <f>AZ36-AZ44</f>
        <v>0</v>
      </c>
      <c r="BA52" s="47">
        <f>BA36-BA44</f>
        <v>0</v>
      </c>
      <c r="BB52" s="47">
        <f>BB36-BB44</f>
        <v>0</v>
      </c>
      <c r="BC52" s="439">
        <f>BC36-BC44</f>
        <v>0</v>
      </c>
      <c r="BD52" s="47">
        <f>BD36-BD44</f>
        <v>0</v>
      </c>
      <c r="BE52" s="47">
        <f>BE36-BE44</f>
        <v>0</v>
      </c>
      <c r="BF52" s="47">
        <f>BF36-BF44</f>
        <v>0</v>
      </c>
      <c r="BG52" s="47">
        <f>BG36-BG44</f>
        <v>0</v>
      </c>
      <c r="BH52" s="47">
        <f>BH36-BH44</f>
        <v>0</v>
      </c>
      <c r="BI52" s="47">
        <f>BI36-BI44</f>
        <v>0</v>
      </c>
      <c r="BJ52" s="47">
        <f>BJ36-BJ44</f>
        <v>0</v>
      </c>
      <c r="BK52" s="47">
        <f>BK36-BK44</f>
        <v>0</v>
      </c>
      <c r="BL52" s="47">
        <f>BL36-BL44</f>
        <v>0</v>
      </c>
      <c r="BM52" s="47">
        <f>BM36-BM44</f>
        <v>0</v>
      </c>
      <c r="BN52" s="47">
        <f>BN36-BN44</f>
        <v>0</v>
      </c>
      <c r="BO52" s="47">
        <f>BO36-BO44</f>
        <v>0</v>
      </c>
      <c r="BP52" s="47">
        <f>BP36-BP44</f>
        <v>0</v>
      </c>
      <c r="BQ52" s="47">
        <f>BQ36-BQ44</f>
        <v>0</v>
      </c>
      <c r="BR52" s="47">
        <f>BR36-BR44</f>
        <v>0</v>
      </c>
      <c r="BS52" s="47">
        <f>BS36-BS44</f>
        <v>0</v>
      </c>
      <c r="BT52" s="47">
        <f>BT36-BT44</f>
        <v>0</v>
      </c>
      <c r="BU52" s="47">
        <f>BU36-BU44</f>
        <v>0</v>
      </c>
      <c r="BV52" s="47">
        <f>BV36-BV44</f>
        <v>0</v>
      </c>
      <c r="BW52" s="83"/>
      <c r="BZ52" s="975" t="s">
        <v>675</v>
      </c>
      <c r="CA52" s="1077" cm="1" t="str">
        <f t="array" ref="CA52:CA52">CA51</f>
        <v>0</v>
      </c>
      <c r="CB52" s="1076"/>
      <c r="CC52" s="1077" t="s">
        <v>650</v>
      </c>
      <c r="CD52" s="1076"/>
      <c r="CE52" s="1076"/>
      <c r="CF52" s="1076"/>
      <c r="CG52" s="1076"/>
      <c r="CH52" s="1077" t="s">
        <v>666</v>
      </c>
      <c r="CI52" s="1076"/>
      <c r="CJ52" s="1077" t="s">
        <v>303</v>
      </c>
      <c r="CK52" s="1077" t="s">
        <v>667</v>
      </c>
      <c r="CL52" s="1077" t="s">
        <v>668</v>
      </c>
    </row>
    <row customHeight="1" ht="16.575" hidden="1">
      <c r="E53" s="180">
        <v>17</v>
      </c>
      <c r="F53" s="175" cm="1" t="str">
        <f t="array" ref="F53:F53">OFFSET(G53,-1,-1)</f>
        <v>0</v>
      </c>
      <c r="T53" s="753" cm="1" t="str">
        <f t="array" ref="T53:T53">T52</f>
        <v>false</v>
      </c>
      <c r="AB53" s="342">
        <v>4</v>
      </c>
      <c r="AC53" s="447" t="s">
        <v>676</v>
      </c>
      <c r="AD53" s="328" t="s">
        <v>629</v>
      </c>
      <c r="AE53" s="448">
        <f>AE54+AE55</f>
        <v>0</v>
      </c>
      <c r="AF53" s="448">
        <f>AF54+AF55</f>
        <v>0</v>
      </c>
      <c r="AG53" s="448">
        <f>AG54+AG55</f>
        <v>0</v>
      </c>
      <c r="AH53" s="448">
        <f>AH54+AH55</f>
        <v>0</v>
      </c>
      <c r="AI53" s="448">
        <f>AI54+AI55</f>
        <v>0</v>
      </c>
      <c r="AJ53" s="448">
        <f>AJ54+AJ55</f>
        <v>0</v>
      </c>
      <c r="AK53" s="448">
        <f>AK54+AK55</f>
        <v>0</v>
      </c>
      <c r="AL53" s="448">
        <f>AL54+AL55</f>
        <v>0</v>
      </c>
      <c r="AM53" s="448">
        <f>AM54+AM55</f>
        <v>0</v>
      </c>
      <c r="AN53" s="448">
        <f>AN54+AN55</f>
        <v>0</v>
      </c>
      <c r="AO53" s="448">
        <f>AO54+AO55</f>
        <v>0</v>
      </c>
      <c r="AP53" s="448">
        <f>AP54+AP55</f>
        <v>0</v>
      </c>
      <c r="AQ53" s="448">
        <f>AQ54+AQ55</f>
        <v>0</v>
      </c>
      <c r="AR53" s="448">
        <f>AR54+AR55</f>
        <v>0</v>
      </c>
      <c r="AS53" s="448">
        <f>AS54+AS55</f>
        <v>0</v>
      </c>
      <c r="AT53" s="448">
        <f>AT54+AT55</f>
        <v>0</v>
      </c>
      <c r="AU53" s="448">
        <f>AU54+AU55</f>
        <v>0</v>
      </c>
      <c r="AV53" s="448">
        <f>AV54+AV55</f>
        <v>0</v>
      </c>
      <c r="AW53" s="448">
        <f>AW54+AW55</f>
        <v>0</v>
      </c>
      <c r="AX53" s="448">
        <f>AX54+AX55</f>
        <v>0</v>
      </c>
      <c r="AY53" s="448">
        <f>AY54+AY55</f>
        <v>0</v>
      </c>
      <c r="AZ53" s="448">
        <f>AZ54+AZ55</f>
        <v>0</v>
      </c>
      <c r="BA53" s="448">
        <f>BA54+BA55</f>
        <v>0</v>
      </c>
      <c r="BB53" s="448">
        <f>BB54+BB55</f>
        <v>0</v>
      </c>
      <c r="BC53" s="448">
        <f>BC54+BC55</f>
        <v>0</v>
      </c>
      <c r="BD53" s="448">
        <f>BD54+BD55</f>
        <v>0</v>
      </c>
      <c r="BE53" s="448">
        <f>BE54+BE55</f>
        <v>0</v>
      </c>
      <c r="BF53" s="448">
        <f>BF54+BF55</f>
        <v>0</v>
      </c>
      <c r="BG53" s="448">
        <f>BG54+BG55</f>
        <v>0</v>
      </c>
      <c r="BH53" s="448">
        <f>BH54+BH55</f>
        <v>0</v>
      </c>
      <c r="BI53" s="448">
        <f>BI54+BI55</f>
        <v>0</v>
      </c>
      <c r="BJ53" s="448">
        <f>BJ54+BJ55</f>
        <v>0</v>
      </c>
      <c r="BK53" s="448">
        <f>BK54+BK55</f>
        <v>0</v>
      </c>
      <c r="BL53" s="448">
        <f>BL54+BL55</f>
        <v>0</v>
      </c>
      <c r="BM53" s="448">
        <f>BM54+BM55</f>
        <v>0</v>
      </c>
      <c r="BN53" s="448">
        <f>BN54+BN55</f>
        <v>0</v>
      </c>
      <c r="BO53" s="448">
        <f>BO54+BO55</f>
        <v>0</v>
      </c>
      <c r="BP53" s="448">
        <f>BP54+BP55</f>
        <v>0</v>
      </c>
      <c r="BQ53" s="448">
        <f>BQ54+BQ55</f>
        <v>0</v>
      </c>
      <c r="BR53" s="448">
        <f>BR54+BR55</f>
        <v>0</v>
      </c>
      <c r="BS53" s="448">
        <f>BS54+BS55</f>
        <v>0</v>
      </c>
      <c r="BT53" s="448">
        <f>BT54+BT55</f>
        <v>0</v>
      </c>
      <c r="BU53" s="448">
        <f>BU54+BU55</f>
        <v>0</v>
      </c>
      <c r="BV53" s="448">
        <f>BV54+BV55</f>
        <v>0</v>
      </c>
      <c r="BW53" s="83"/>
      <c r="BZ53" s="975" t="s">
        <v>677</v>
      </c>
      <c r="CA53" s="1077" cm="1" t="str">
        <f t="array" ref="CA53:CA53">CA52</f>
        <v>0</v>
      </c>
      <c r="CB53" s="1076"/>
      <c r="CC53" s="1076"/>
      <c r="CD53" s="1076"/>
      <c r="CE53" s="1076"/>
      <c r="CF53" s="1076"/>
      <c r="CG53" s="1076"/>
      <c r="CH53" s="1077" t="s">
        <v>678</v>
      </c>
      <c r="CI53" s="1076"/>
      <c r="CJ53" s="1077" t="s">
        <v>303</v>
      </c>
      <c r="CK53" s="1077" t="s">
        <v>679</v>
      </c>
      <c r="CL53" s="1077" t="s">
        <v>680</v>
      </c>
    </row>
    <row customHeight="1" ht="16.575" hidden="1">
      <c r="E54" s="180">
        <v>17</v>
      </c>
      <c r="F54" s="175" cm="1" t="str">
        <f t="array" ref="F54:F54">OFFSET(G54,-1,-1)</f>
        <v>0</v>
      </c>
      <c r="T54" s="753" cm="1" t="str">
        <f t="array" ref="T54:T54">T53</f>
        <v>false</v>
      </c>
      <c r="AB54" s="423" t="str">
        <f>AB53&amp;".1"</f>
        <v>4.1</v>
      </c>
      <c r="AC54" s="446" t="s">
        <v>637</v>
      </c>
      <c r="AD54" s="328" t="s">
        <v>629</v>
      </c>
      <c r="AE54" s="50"/>
      <c r="AF54" s="50"/>
      <c r="AG54" s="50"/>
      <c r="AH54" s="50"/>
      <c r="AI54" s="449"/>
      <c r="AJ54" s="50"/>
      <c r="AK54" s="50"/>
      <c r="AL54" s="50"/>
      <c r="AM54" s="50"/>
      <c r="AN54" s="50"/>
      <c r="AO54" s="50"/>
      <c r="AP54" s="50"/>
      <c r="AQ54" s="50"/>
      <c r="AR54" s="50"/>
      <c r="AS54" s="50"/>
      <c r="AT54" s="50"/>
      <c r="AU54" s="50"/>
      <c r="AV54" s="50"/>
      <c r="AW54" s="50"/>
      <c r="AX54" s="50"/>
      <c r="AY54" s="50"/>
      <c r="AZ54" s="50"/>
      <c r="BA54" s="50"/>
      <c r="BB54" s="50"/>
      <c r="BC54" s="449"/>
      <c r="BD54" s="50"/>
      <c r="BE54" s="50"/>
      <c r="BF54" s="50"/>
      <c r="BG54" s="50"/>
      <c r="BH54" s="50"/>
      <c r="BI54" s="50"/>
      <c r="BJ54" s="50"/>
      <c r="BK54" s="50"/>
      <c r="BL54" s="50"/>
      <c r="BM54" s="50"/>
      <c r="BN54" s="50"/>
      <c r="BO54" s="50"/>
      <c r="BP54" s="50"/>
      <c r="BQ54" s="50"/>
      <c r="BR54" s="50"/>
      <c r="BS54" s="50"/>
      <c r="BT54" s="50"/>
      <c r="BU54" s="50"/>
      <c r="BV54" s="50"/>
      <c r="BW54" s="83"/>
      <c r="BZ54" s="975" t="s">
        <v>681</v>
      </c>
      <c r="CA54" s="1077" cm="1" t="str">
        <f t="array" ref="CA54:CA54">CA53</f>
        <v>0</v>
      </c>
      <c r="CB54" s="1076"/>
      <c r="CC54" s="1076"/>
      <c r="CD54" s="1077" t="s">
        <v>639</v>
      </c>
      <c r="CE54" s="1076"/>
      <c r="CF54" s="1076"/>
      <c r="CG54" s="1076"/>
      <c r="CH54" s="1077" t="s">
        <v>678</v>
      </c>
      <c r="CI54" s="1076"/>
      <c r="CJ54" s="1077" t="s">
        <v>303</v>
      </c>
      <c r="CK54" s="1077" t="s">
        <v>679</v>
      </c>
      <c r="CL54" s="1077" t="s">
        <v>680</v>
      </c>
    </row>
    <row customHeight="1" ht="16.575" hidden="1">
      <c r="E55" s="180">
        <v>17</v>
      </c>
      <c r="F55" s="175" cm="1" t="str">
        <f t="array" ref="F55:F55">OFFSET(G55,-1,-1)</f>
        <v>0</v>
      </c>
      <c r="T55" s="753" cm="1" t="str">
        <f t="array" ref="T55:T55">T54</f>
        <v>false</v>
      </c>
      <c r="AB55" s="423" t="str">
        <f>AB53&amp;".2"</f>
        <v>4.2</v>
      </c>
      <c r="AC55" s="446" t="s">
        <v>640</v>
      </c>
      <c r="AD55" s="328" t="s">
        <v>629</v>
      </c>
      <c r="AE55" s="51"/>
      <c r="AF55" s="51"/>
      <c r="AG55" s="51"/>
      <c r="AH55" s="51"/>
      <c r="AI55" s="450"/>
      <c r="AJ55" s="51"/>
      <c r="AK55" s="51"/>
      <c r="AL55" s="51"/>
      <c r="AM55" s="51"/>
      <c r="AN55" s="51"/>
      <c r="AO55" s="51"/>
      <c r="AP55" s="51"/>
      <c r="AQ55" s="51"/>
      <c r="AR55" s="51"/>
      <c r="AS55" s="51"/>
      <c r="AT55" s="51"/>
      <c r="AU55" s="51"/>
      <c r="AV55" s="51"/>
      <c r="AW55" s="51"/>
      <c r="AX55" s="51"/>
      <c r="AY55" s="51"/>
      <c r="AZ55" s="51"/>
      <c r="BA55" s="51"/>
      <c r="BB55" s="51"/>
      <c r="BC55" s="450"/>
      <c r="BD55" s="51"/>
      <c r="BE55" s="51"/>
      <c r="BF55" s="51"/>
      <c r="BG55" s="51"/>
      <c r="BH55" s="51"/>
      <c r="BI55" s="51"/>
      <c r="BJ55" s="51"/>
      <c r="BK55" s="51"/>
      <c r="BL55" s="51"/>
      <c r="BM55" s="51"/>
      <c r="BN55" s="51"/>
      <c r="BO55" s="51"/>
      <c r="BP55" s="51"/>
      <c r="BQ55" s="51"/>
      <c r="BR55" s="51"/>
      <c r="BS55" s="51"/>
      <c r="BT55" s="51"/>
      <c r="BU55" s="51"/>
      <c r="BV55" s="51"/>
      <c r="BW55" s="84"/>
      <c r="BZ55" s="975" t="s">
        <v>682</v>
      </c>
      <c r="CA55" s="1077" cm="1" t="str">
        <f t="array" ref="CA55:CA55">CA54</f>
        <v>0</v>
      </c>
      <c r="CB55" s="1076"/>
      <c r="CC55" s="1076"/>
      <c r="CD55" s="1077" t="s">
        <v>642</v>
      </c>
      <c r="CE55" s="1076"/>
      <c r="CF55" s="1076"/>
      <c r="CG55" s="1076"/>
      <c r="CH55" s="1077" t="s">
        <v>678</v>
      </c>
      <c r="CI55" s="1076"/>
      <c r="CJ55" s="1077" t="s">
        <v>303</v>
      </c>
      <c r="CK55" s="1077" t="s">
        <v>679</v>
      </c>
      <c r="CL55" s="1077" t="s">
        <v>680</v>
      </c>
    </row>
    <row customHeight="1" ht="16.575" hidden="1">
      <c r="E56" s="180">
        <v>17</v>
      </c>
      <c r="F56" s="175" cm="1" t="str">
        <f t="array" ref="F56:F56">OFFSET(G56,-1,-1)</f>
        <v>0</v>
      </c>
      <c r="T56" s="753" cm="1" t="str">
        <f t="array" ref="T56:T56">T55</f>
        <v>false</v>
      </c>
      <c r="AB56" s="451">
        <v>5</v>
      </c>
      <c r="AC56" s="452" t="s">
        <v>683</v>
      </c>
      <c r="AD56" s="424" t="s">
        <v>629</v>
      </c>
      <c r="AE56" s="47"/>
      <c r="AF56" s="47"/>
      <c r="AG56" s="47"/>
      <c r="AH56" s="47"/>
      <c r="AI56" s="439"/>
      <c r="AJ56" s="47"/>
      <c r="AK56" s="47"/>
      <c r="AL56" s="47"/>
      <c r="AM56" s="47"/>
      <c r="AN56" s="47"/>
      <c r="AO56" s="47"/>
      <c r="AP56" s="47"/>
      <c r="AQ56" s="47"/>
      <c r="AR56" s="47"/>
      <c r="AS56" s="47"/>
      <c r="AT56" s="47"/>
      <c r="AU56" s="47"/>
      <c r="AV56" s="47"/>
      <c r="AW56" s="47"/>
      <c r="AX56" s="47"/>
      <c r="AY56" s="47"/>
      <c r="AZ56" s="47"/>
      <c r="BA56" s="47"/>
      <c r="BB56" s="47"/>
      <c r="BC56" s="439"/>
      <c r="BD56" s="47"/>
      <c r="BE56" s="47"/>
      <c r="BF56" s="47"/>
      <c r="BG56" s="47"/>
      <c r="BH56" s="47"/>
      <c r="BI56" s="47"/>
      <c r="BJ56" s="47"/>
      <c r="BK56" s="47"/>
      <c r="BL56" s="47"/>
      <c r="BM56" s="47"/>
      <c r="BN56" s="47"/>
      <c r="BO56" s="47"/>
      <c r="BP56" s="47"/>
      <c r="BQ56" s="47"/>
      <c r="BR56" s="47"/>
      <c r="BS56" s="47"/>
      <c r="BT56" s="47"/>
      <c r="BU56" s="47"/>
      <c r="BV56" s="47"/>
      <c r="BW56" s="85"/>
      <c r="BZ56" s="975" t="s">
        <v>684</v>
      </c>
      <c r="CA56" s="1077" cm="1" t="str">
        <f t="array" ref="CA56:CA56">CA55</f>
        <v>0</v>
      </c>
      <c r="CB56" s="1076"/>
      <c r="CC56" s="1076"/>
      <c r="CD56" s="1076"/>
      <c r="CE56" s="1076"/>
      <c r="CF56" s="1077" t="s">
        <v>685</v>
      </c>
      <c r="CG56" s="1076"/>
      <c r="CH56" s="1076"/>
      <c r="CI56" s="1076"/>
      <c r="CJ56" s="1077" t="s">
        <v>303</v>
      </c>
      <c r="CK56" s="1077" t="s">
        <v>679</v>
      </c>
      <c r="CL56" s="1077" t="s">
        <v>680</v>
      </c>
    </row>
    <row customHeight="1" ht="16.575" hidden="1">
      <c r="E57" s="180">
        <v>17</v>
      </c>
      <c r="F57" s="175" cm="1" t="str">
        <f t="array" ref="F57:F57">OFFSET(G57,-1,-1)</f>
        <v>0</v>
      </c>
      <c r="T57" s="753" cm="1" t="str">
        <f t="array" ref="T57:T57">T56</f>
        <v>false</v>
      </c>
      <c r="AB57" s="453">
        <v>6</v>
      </c>
      <c r="AC57" s="454" t="s">
        <v>686</v>
      </c>
      <c r="AD57" s="424" t="s">
        <v>629</v>
      </c>
      <c r="AE57" s="438">
        <f>AE45+AE53-AE56</f>
        <v>0</v>
      </c>
      <c r="AF57" s="438">
        <f>AF45+AF53-AF56</f>
        <v>0</v>
      </c>
      <c r="AG57" s="438">
        <f>AG45+AG53-AG56</f>
        <v>0</v>
      </c>
      <c r="AH57" s="438">
        <f>AH45+AH53-AH56</f>
        <v>0</v>
      </c>
      <c r="AI57" s="438">
        <f>AI45+AI53-AI56</f>
        <v>0</v>
      </c>
      <c r="AJ57" s="438">
        <f>AJ45+AJ53-AJ56</f>
        <v>0</v>
      </c>
      <c r="AK57" s="438">
        <f>AK45+AK53-AK56</f>
        <v>0</v>
      </c>
      <c r="AL57" s="438">
        <f>AL45+AL53-AL56</f>
        <v>0</v>
      </c>
      <c r="AM57" s="438">
        <f>AM45+AM53-AM56</f>
        <v>0</v>
      </c>
      <c r="AN57" s="438">
        <f>AN45+AN53-AN56</f>
        <v>0</v>
      </c>
      <c r="AO57" s="438">
        <f>AO45+AO53-AO56</f>
        <v>0</v>
      </c>
      <c r="AP57" s="438">
        <f>AP45+AP53-AP56</f>
        <v>0</v>
      </c>
      <c r="AQ57" s="438">
        <f>AQ45+AQ53-AQ56</f>
        <v>0</v>
      </c>
      <c r="AR57" s="438">
        <f>AR45+AR53-AR56</f>
        <v>0</v>
      </c>
      <c r="AS57" s="438">
        <f>AS45+AS53-AS56</f>
        <v>0</v>
      </c>
      <c r="AT57" s="438">
        <f>AT45+AT53-AT56</f>
        <v>0</v>
      </c>
      <c r="AU57" s="438">
        <f>AU45+AU53-AU56</f>
        <v>0</v>
      </c>
      <c r="AV57" s="438">
        <f>AV45+AV53-AV56</f>
        <v>0</v>
      </c>
      <c r="AW57" s="438">
        <f>AW45+AW53-AW56</f>
        <v>0</v>
      </c>
      <c r="AX57" s="438">
        <f>AX45+AX53-AX56</f>
        <v>0</v>
      </c>
      <c r="AY57" s="438">
        <f>AY45+AY53-AY56</f>
        <v>0</v>
      </c>
      <c r="AZ57" s="438">
        <f>AZ45+AZ53-AZ56</f>
        <v>0</v>
      </c>
      <c r="BA57" s="438">
        <f>BA45+BA53-BA56</f>
        <v>0</v>
      </c>
      <c r="BB57" s="438">
        <f>BB45+BB53-BB56</f>
        <v>0</v>
      </c>
      <c r="BC57" s="438">
        <f>BC45+BC53-BC56</f>
        <v>0</v>
      </c>
      <c r="BD57" s="438">
        <f>BD45+BD53-BD56</f>
        <v>0</v>
      </c>
      <c r="BE57" s="438">
        <f>BE45+BE53-BE56</f>
        <v>0</v>
      </c>
      <c r="BF57" s="438">
        <f>BF45+BF53-BF56</f>
        <v>0</v>
      </c>
      <c r="BG57" s="438">
        <f>BG45+BG53-BG56</f>
        <v>0</v>
      </c>
      <c r="BH57" s="438">
        <f>BH45+BH53-BH56</f>
        <v>0</v>
      </c>
      <c r="BI57" s="438">
        <f>BI45+BI53-BI56</f>
        <v>0</v>
      </c>
      <c r="BJ57" s="438">
        <f>BJ45+BJ53-BJ56</f>
        <v>0</v>
      </c>
      <c r="BK57" s="438">
        <f>BK45+BK53-BK56</f>
        <v>0</v>
      </c>
      <c r="BL57" s="438">
        <f>BL45+BL53-BL56</f>
        <v>0</v>
      </c>
      <c r="BM57" s="438">
        <f>BM45+BM53-BM56</f>
        <v>0</v>
      </c>
      <c r="BN57" s="438">
        <f>BN45+BN53-BN56</f>
        <v>0</v>
      </c>
      <c r="BO57" s="438">
        <f>BO45+BO53-BO56</f>
        <v>0</v>
      </c>
      <c r="BP57" s="438">
        <f>BP45+BP53-BP56</f>
        <v>0</v>
      </c>
      <c r="BQ57" s="438">
        <f>BQ45+BQ53-BQ56</f>
        <v>0</v>
      </c>
      <c r="BR57" s="438">
        <f>BR45+BR53-BR56</f>
        <v>0</v>
      </c>
      <c r="BS57" s="438">
        <f>BS45+BS53-BS56</f>
        <v>0</v>
      </c>
      <c r="BT57" s="438">
        <f>BT45+BT53-BT56</f>
        <v>0</v>
      </c>
      <c r="BU57" s="438">
        <f>BU45+BU53-BU56</f>
        <v>0</v>
      </c>
      <c r="BV57" s="438">
        <f>BV45+BV53-BV56</f>
        <v>0</v>
      </c>
      <c r="BW57" s="85"/>
      <c r="BZ57" s="975" t="s">
        <v>687</v>
      </c>
      <c r="CA57" s="1077" cm="1" t="str">
        <f t="array" ref="CA57:CA57">CA56</f>
        <v>0</v>
      </c>
      <c r="CB57" s="1076"/>
      <c r="CC57" s="1076"/>
      <c r="CD57" s="1076"/>
      <c r="CE57" s="1077" t="s">
        <v>688</v>
      </c>
      <c r="CF57" s="1076"/>
      <c r="CG57" s="1076"/>
      <c r="CH57" s="1076"/>
      <c r="CI57" s="1076"/>
      <c r="CJ57" s="1077" t="s">
        <v>303</v>
      </c>
      <c r="CK57" s="1077" t="s">
        <v>667</v>
      </c>
      <c r="CL57" s="1077" t="s">
        <v>668</v>
      </c>
    </row>
    <row customHeight="1" ht="16.575" hidden="1">
      <c r="E58" s="180">
        <v>17</v>
      </c>
      <c r="F58" s="175" cm="1" t="str">
        <f t="array" ref="F58:F58">OFFSET(G58,-1,-1)</f>
        <v>0</v>
      </c>
      <c r="T58" s="753" cm="1" t="str">
        <f t="array" ref="T58:T58">T57</f>
        <v>false</v>
      </c>
      <c r="AB58" s="423" t="str">
        <f>AB57&amp;".1"</f>
        <v>6.1</v>
      </c>
      <c r="AC58" s="446" t="s">
        <v>637</v>
      </c>
      <c r="AD58" s="424" t="s">
        <v>629</v>
      </c>
      <c r="AE58" s="438">
        <f>AE59+AE60+AE65</f>
        <v>0</v>
      </c>
      <c r="AF58" s="438">
        <f>AF59+AF60+AF65</f>
        <v>0</v>
      </c>
      <c r="AG58" s="438">
        <f>AG59+AG60+AG65</f>
        <v>0</v>
      </c>
      <c r="AH58" s="438">
        <f>AH59+AH60+AH65</f>
        <v>0</v>
      </c>
      <c r="AI58" s="438">
        <f>AI59+AI60+AI65</f>
        <v>0</v>
      </c>
      <c r="AJ58" s="438">
        <f>AJ59+AJ60+AJ65</f>
        <v>0</v>
      </c>
      <c r="AK58" s="438">
        <f>AK59+AK60+AK65</f>
        <v>0</v>
      </c>
      <c r="AL58" s="438">
        <f>AL59+AL60+AL65</f>
        <v>0</v>
      </c>
      <c r="AM58" s="438">
        <f>AM59+AM60+AM65</f>
        <v>0</v>
      </c>
      <c r="AN58" s="438">
        <f>AN59+AN60+AN65</f>
        <v>0</v>
      </c>
      <c r="AO58" s="438">
        <f>AO59+AO60+AO65</f>
        <v>0</v>
      </c>
      <c r="AP58" s="438">
        <f>AP59+AP60+AP65</f>
        <v>0</v>
      </c>
      <c r="AQ58" s="438">
        <f>AQ59+AQ60+AQ65</f>
        <v>0</v>
      </c>
      <c r="AR58" s="438">
        <f>AR59+AR60+AR65</f>
        <v>0</v>
      </c>
      <c r="AS58" s="438">
        <f>AS59+AS60+AS65</f>
        <v>0</v>
      </c>
      <c r="AT58" s="438">
        <f>AT59+AT60+AT65</f>
        <v>0</v>
      </c>
      <c r="AU58" s="438">
        <f>AU59+AU60+AU65</f>
        <v>0</v>
      </c>
      <c r="AV58" s="438">
        <f>AV59+AV60+AV65</f>
        <v>0</v>
      </c>
      <c r="AW58" s="438">
        <f>AW59+AW60+AW65</f>
        <v>0</v>
      </c>
      <c r="AX58" s="438">
        <f>AX59+AX60+AX65</f>
        <v>0</v>
      </c>
      <c r="AY58" s="438">
        <f>AY59+AY60+AY65</f>
        <v>0</v>
      </c>
      <c r="AZ58" s="438">
        <f>AZ59+AZ60+AZ65</f>
        <v>0</v>
      </c>
      <c r="BA58" s="438">
        <f>BA59+BA60+BA65</f>
        <v>0</v>
      </c>
      <c r="BB58" s="438">
        <f>BB59+BB60+BB65</f>
        <v>0</v>
      </c>
      <c r="BC58" s="438">
        <f>BC59+BC60+BC65</f>
        <v>0</v>
      </c>
      <c r="BD58" s="438">
        <f>BD59+BD60+BD65</f>
        <v>0</v>
      </c>
      <c r="BE58" s="438">
        <f>BE59+BE60+BE65</f>
        <v>0</v>
      </c>
      <c r="BF58" s="438">
        <f>BF59+BF60+BF65</f>
        <v>0</v>
      </c>
      <c r="BG58" s="438">
        <f>BG59+BG60+BG65</f>
        <v>0</v>
      </c>
      <c r="BH58" s="438">
        <f>BH59+BH60+BH65</f>
        <v>0</v>
      </c>
      <c r="BI58" s="438">
        <f>BI59+BI60+BI65</f>
        <v>0</v>
      </c>
      <c r="BJ58" s="438">
        <f>BJ59+BJ60+BJ65</f>
        <v>0</v>
      </c>
      <c r="BK58" s="438">
        <f>BK59+BK60+BK65</f>
        <v>0</v>
      </c>
      <c r="BL58" s="438">
        <f>BL59+BL60+BL65</f>
        <v>0</v>
      </c>
      <c r="BM58" s="438">
        <f>BM59+BM60+BM65</f>
        <v>0</v>
      </c>
      <c r="BN58" s="438">
        <f>BN59+BN60+BN65</f>
        <v>0</v>
      </c>
      <c r="BO58" s="438">
        <f>BO59+BO60+BO65</f>
        <v>0</v>
      </c>
      <c r="BP58" s="438">
        <f>BP59+BP60+BP65</f>
        <v>0</v>
      </c>
      <c r="BQ58" s="438">
        <f>BQ59+BQ60+BQ65</f>
        <v>0</v>
      </c>
      <c r="BR58" s="438">
        <f>BR59+BR60+BR65</f>
        <v>0</v>
      </c>
      <c r="BS58" s="438">
        <f>BS59+BS60+BS65</f>
        <v>0</v>
      </c>
      <c r="BT58" s="438">
        <f>BT59+BT60+BT65</f>
        <v>0</v>
      </c>
      <c r="BU58" s="438">
        <f>BU59+BU60+BU65</f>
        <v>0</v>
      </c>
      <c r="BV58" s="438">
        <f>BV59+BV60+BV65</f>
        <v>0</v>
      </c>
      <c r="BW58" s="85"/>
      <c r="BZ58" s="975" t="s">
        <v>689</v>
      </c>
      <c r="CA58" s="1077" cm="1" t="str">
        <f t="array" ref="CA58:CA58">CA57</f>
        <v>0</v>
      </c>
      <c r="CB58" s="1076"/>
      <c r="CC58" s="1076"/>
      <c r="CD58" s="1077" t="s">
        <v>639</v>
      </c>
      <c r="CE58" s="1077" t="s">
        <v>688</v>
      </c>
      <c r="CF58" s="1076"/>
      <c r="CG58" s="1076"/>
      <c r="CH58" s="1076"/>
      <c r="CI58" s="1076"/>
      <c r="CJ58" s="1077" t="s">
        <v>303</v>
      </c>
      <c r="CK58" s="1077" t="s">
        <v>667</v>
      </c>
      <c r="CL58" s="1077" t="s">
        <v>668</v>
      </c>
    </row>
    <row customHeight="1" ht="16.575" hidden="1">
      <c r="E59" s="180">
        <v>17</v>
      </c>
      <c r="F59" s="175" cm="1" t="str">
        <f t="array" ref="F59:F59">OFFSET(G59,-1,-1)</f>
        <v>0</v>
      </c>
      <c r="T59" s="753" cm="1" t="str">
        <f t="array" ref="T59:T59">T58</f>
        <v>false</v>
      </c>
      <c r="AB59" s="423" t="str">
        <f>AB58&amp;".1"</f>
        <v>6.1.1</v>
      </c>
      <c r="AC59" s="455" t="s">
        <v>690</v>
      </c>
      <c r="AD59" s="328" t="s">
        <v>629</v>
      </c>
      <c r="AE59" s="47"/>
      <c r="AF59" s="47"/>
      <c r="AG59" s="47"/>
      <c r="AH59" s="47"/>
      <c r="AI59" s="439"/>
      <c r="AJ59" s="47"/>
      <c r="AK59" s="47"/>
      <c r="AL59" s="47"/>
      <c r="AM59" s="47"/>
      <c r="AN59" s="47"/>
      <c r="AO59" s="47"/>
      <c r="AP59" s="47"/>
      <c r="AQ59" s="47"/>
      <c r="AR59" s="47"/>
      <c r="AS59" s="47"/>
      <c r="AT59" s="47"/>
      <c r="AU59" s="47"/>
      <c r="AV59" s="47"/>
      <c r="AW59" s="47"/>
      <c r="AX59" s="47"/>
      <c r="AY59" s="47"/>
      <c r="AZ59" s="47"/>
      <c r="BA59" s="47"/>
      <c r="BB59" s="47"/>
      <c r="BC59" s="439"/>
      <c r="BD59" s="47"/>
      <c r="BE59" s="47"/>
      <c r="BF59" s="47"/>
      <c r="BG59" s="47"/>
      <c r="BH59" s="47"/>
      <c r="BI59" s="47"/>
      <c r="BJ59" s="47"/>
      <c r="BK59" s="47"/>
      <c r="BL59" s="47"/>
      <c r="BM59" s="47"/>
      <c r="BN59" s="47"/>
      <c r="BO59" s="47"/>
      <c r="BP59" s="47"/>
      <c r="BQ59" s="47"/>
      <c r="BR59" s="47"/>
      <c r="BS59" s="47"/>
      <c r="BT59" s="47"/>
      <c r="BU59" s="47"/>
      <c r="BV59" s="47"/>
      <c r="BW59" s="85"/>
      <c r="BZ59" s="975" t="s">
        <v>691</v>
      </c>
      <c r="CA59" s="1077" cm="1" t="str">
        <f t="array" ref="CA59:CA59">CA58</f>
        <v>0</v>
      </c>
      <c r="CB59" s="1076"/>
      <c r="CC59" s="1076"/>
      <c r="CD59" s="1077" t="s">
        <v>639</v>
      </c>
      <c r="CE59" s="1077" t="s">
        <v>688</v>
      </c>
      <c r="CF59" s="1076"/>
      <c r="CG59" s="1076"/>
      <c r="CH59" s="1077" t="s">
        <v>692</v>
      </c>
      <c r="CI59" s="1076"/>
      <c r="CJ59" s="1077" t="s">
        <v>303</v>
      </c>
      <c r="CK59" s="1077" t="s">
        <v>667</v>
      </c>
      <c r="CL59" s="1077" t="s">
        <v>668</v>
      </c>
    </row>
    <row customHeight="1" ht="16.575" hidden="1">
      <c r="E60" s="180">
        <v>17</v>
      </c>
      <c r="F60" s="175" cm="1" t="str">
        <f t="array" ref="F60:F60">OFFSET(G60,-1,-1)</f>
        <v>0</v>
      </c>
      <c r="T60" s="753" cm="1" t="str">
        <f t="array" ref="T60:T60">T59</f>
        <v>false</v>
      </c>
      <c r="AB60" s="423" t="str">
        <f>AB58&amp;".2"</f>
        <v>6.1.2</v>
      </c>
      <c r="AC60" s="456" t="s">
        <v>693</v>
      </c>
      <c r="AD60" s="328" t="s">
        <v>629</v>
      </c>
      <c r="AE60" s="47">
        <f>SUM(AE61:AE64)</f>
        <v>0</v>
      </c>
      <c r="AF60" s="47">
        <f>SUM(AF61:AF64)</f>
        <v>0</v>
      </c>
      <c r="AG60" s="47">
        <f>SUM(AG61:AG64)</f>
        <v>0</v>
      </c>
      <c r="AH60" s="47">
        <f>SUM(AH61:AH64)</f>
        <v>0</v>
      </c>
      <c r="AI60" s="439">
        <f>SUM(AI61:AI64)</f>
        <v>0</v>
      </c>
      <c r="AJ60" s="47">
        <f>SUM(AJ61:AJ64)</f>
        <v>0</v>
      </c>
      <c r="AK60" s="47">
        <f>SUM(AK61:AK64)</f>
        <v>0</v>
      </c>
      <c r="AL60" s="47">
        <f>SUM(AL61:AL64)</f>
        <v>0</v>
      </c>
      <c r="AM60" s="47">
        <f>SUM(AM61:AM64)</f>
        <v>0</v>
      </c>
      <c r="AN60" s="47">
        <f>SUM(AN61:AN64)</f>
        <v>0</v>
      </c>
      <c r="AO60" s="47">
        <f>SUM(AO61:AO64)</f>
        <v>0</v>
      </c>
      <c r="AP60" s="47">
        <f>SUM(AP61:AP64)</f>
        <v>0</v>
      </c>
      <c r="AQ60" s="47">
        <f>SUM(AQ61:AQ64)</f>
        <v>0</v>
      </c>
      <c r="AR60" s="47">
        <f>SUM(AR61:AR64)</f>
        <v>0</v>
      </c>
      <c r="AS60" s="47">
        <f>SUM(AS61:AS64)</f>
        <v>0</v>
      </c>
      <c r="AT60" s="47">
        <f>SUM(AT61:AT64)</f>
        <v>0</v>
      </c>
      <c r="AU60" s="47">
        <f>SUM(AU61:AU64)</f>
        <v>0</v>
      </c>
      <c r="AV60" s="47">
        <f>SUM(AV61:AV64)</f>
        <v>0</v>
      </c>
      <c r="AW60" s="47">
        <f>SUM(AW61:AW64)</f>
        <v>0</v>
      </c>
      <c r="AX60" s="47">
        <f>SUM(AX61:AX64)</f>
        <v>0</v>
      </c>
      <c r="AY60" s="47">
        <f>SUM(AY61:AY64)</f>
        <v>0</v>
      </c>
      <c r="AZ60" s="47">
        <f>SUM(AZ61:AZ64)</f>
        <v>0</v>
      </c>
      <c r="BA60" s="47">
        <f>SUM(BA61:BA64)</f>
        <v>0</v>
      </c>
      <c r="BB60" s="47">
        <f>SUM(BB61:BB64)</f>
        <v>0</v>
      </c>
      <c r="BC60" s="439">
        <f>SUM(BC61:BC64)</f>
        <v>0</v>
      </c>
      <c r="BD60" s="47">
        <f>SUM(BD61:BD64)</f>
        <v>0</v>
      </c>
      <c r="BE60" s="47">
        <f>SUM(BE61:BE64)</f>
        <v>0</v>
      </c>
      <c r="BF60" s="47">
        <f>SUM(BF61:BF64)</f>
        <v>0</v>
      </c>
      <c r="BG60" s="47">
        <f>SUM(BG61:BG64)</f>
        <v>0</v>
      </c>
      <c r="BH60" s="47">
        <f>SUM(BH61:BH64)</f>
        <v>0</v>
      </c>
      <c r="BI60" s="47">
        <f>SUM(BI61:BI64)</f>
        <v>0</v>
      </c>
      <c r="BJ60" s="47">
        <f>SUM(BJ61:BJ64)</f>
        <v>0</v>
      </c>
      <c r="BK60" s="47">
        <f>SUM(BK61:BK64)</f>
        <v>0</v>
      </c>
      <c r="BL60" s="47">
        <f>SUM(BL61:BL64)</f>
        <v>0</v>
      </c>
      <c r="BM60" s="47">
        <f>SUM(BM61:BM64)</f>
        <v>0</v>
      </c>
      <c r="BN60" s="47">
        <f>SUM(BN61:BN64)</f>
        <v>0</v>
      </c>
      <c r="BO60" s="47">
        <f>SUM(BO61:BO64)</f>
        <v>0</v>
      </c>
      <c r="BP60" s="47">
        <f>SUM(BP61:BP64)</f>
        <v>0</v>
      </c>
      <c r="BQ60" s="47">
        <f>SUM(BQ61:BQ64)</f>
        <v>0</v>
      </c>
      <c r="BR60" s="47">
        <f>SUM(BR61:BR64)</f>
        <v>0</v>
      </c>
      <c r="BS60" s="47">
        <f>SUM(BS61:BS64)</f>
        <v>0</v>
      </c>
      <c r="BT60" s="47">
        <f>SUM(BT61:BT64)</f>
        <v>0</v>
      </c>
      <c r="BU60" s="47">
        <f>SUM(BU61:BU64)</f>
        <v>0</v>
      </c>
      <c r="BV60" s="47">
        <f>SUM(BV61:BV64)</f>
        <v>0</v>
      </c>
      <c r="BW60" s="85"/>
      <c r="BZ60" s="975" t="s">
        <v>694</v>
      </c>
      <c r="CA60" s="1077" cm="1" t="str">
        <f t="array" ref="CA60:CA60">CA59</f>
        <v>0</v>
      </c>
      <c r="CB60" s="1076"/>
      <c r="CC60" s="1076"/>
      <c r="CD60" s="1077" t="s">
        <v>639</v>
      </c>
      <c r="CE60" s="1077" t="s">
        <v>688</v>
      </c>
      <c r="CF60" s="1076"/>
      <c r="CG60" s="1076"/>
      <c r="CH60" s="1077" t="s">
        <v>695</v>
      </c>
      <c r="CI60" s="1076"/>
      <c r="CJ60" s="1077" t="s">
        <v>303</v>
      </c>
      <c r="CK60" s="1077" t="s">
        <v>667</v>
      </c>
      <c r="CL60" s="1077" t="s">
        <v>668</v>
      </c>
    </row>
    <row customHeight="1" ht="16.575" hidden="1">
      <c r="E61" s="180">
        <v>17</v>
      </c>
      <c r="F61" s="175" cm="1" t="str">
        <f t="array" ref="F61:F61">OFFSET(G61,-1,-1)</f>
        <v>0</v>
      </c>
      <c r="T61" s="753" cm="1" t="str">
        <f t="array" ref="T61:T61">T60</f>
        <v>false</v>
      </c>
      <c r="AB61" s="423" t="str">
        <f>AB60&amp;".1"</f>
        <v>6.1.2.1</v>
      </c>
      <c r="AC61" s="457" t="s">
        <v>696</v>
      </c>
      <c r="AD61" s="424" t="s">
        <v>629</v>
      </c>
      <c r="AE61" s="47"/>
      <c r="AF61" s="47"/>
      <c r="AG61" s="47"/>
      <c r="AH61" s="47"/>
      <c r="AI61" s="439"/>
      <c r="AJ61" s="47"/>
      <c r="AK61" s="47"/>
      <c r="AL61" s="47"/>
      <c r="AM61" s="47"/>
      <c r="AN61" s="47"/>
      <c r="AO61" s="47"/>
      <c r="AP61" s="47"/>
      <c r="AQ61" s="47"/>
      <c r="AR61" s="47"/>
      <c r="AS61" s="47"/>
      <c r="AT61" s="47"/>
      <c r="AU61" s="47"/>
      <c r="AV61" s="47"/>
      <c r="AW61" s="47"/>
      <c r="AX61" s="47"/>
      <c r="AY61" s="47"/>
      <c r="AZ61" s="47"/>
      <c r="BA61" s="47"/>
      <c r="BB61" s="47"/>
      <c r="BC61" s="439"/>
      <c r="BD61" s="47"/>
      <c r="BE61" s="47"/>
      <c r="BF61" s="47"/>
      <c r="BG61" s="47"/>
      <c r="BH61" s="47"/>
      <c r="BI61" s="47"/>
      <c r="BJ61" s="47"/>
      <c r="BK61" s="47"/>
      <c r="BL61" s="47"/>
      <c r="BM61" s="47"/>
      <c r="BN61" s="47"/>
      <c r="BO61" s="47"/>
      <c r="BP61" s="47"/>
      <c r="BQ61" s="47"/>
      <c r="BR61" s="47"/>
      <c r="BS61" s="47"/>
      <c r="BT61" s="47"/>
      <c r="BU61" s="47"/>
      <c r="BV61" s="47"/>
      <c r="BW61" s="85"/>
      <c r="BZ61" s="975" t="s">
        <v>697</v>
      </c>
      <c r="CA61" s="1077" cm="1" t="str">
        <f t="array" ref="CA61:CA61">CA60</f>
        <v>0</v>
      </c>
      <c r="CB61" s="1076"/>
      <c r="CC61" s="1076"/>
      <c r="CD61" s="1077" t="s">
        <v>639</v>
      </c>
      <c r="CE61" s="1077" t="s">
        <v>688</v>
      </c>
      <c r="CF61" s="1076"/>
      <c r="CG61" s="1077" t="s">
        <v>698</v>
      </c>
      <c r="CH61" s="1076"/>
      <c r="CI61" s="1076"/>
      <c r="CJ61" s="1077" t="s">
        <v>303</v>
      </c>
      <c r="CK61" s="1077" t="s">
        <v>667</v>
      </c>
      <c r="CL61" s="1077" t="s">
        <v>668</v>
      </c>
    </row>
    <row customHeight="1" ht="16.575" hidden="1">
      <c r="E62" s="180">
        <v>17</v>
      </c>
      <c r="F62" s="175" cm="1" t="str">
        <f t="array" ref="F62:F62">OFFSET(G62,-1,-1)</f>
        <v>0</v>
      </c>
      <c r="T62" s="753" cm="1" t="str">
        <f t="array" ref="T62:T62">T61</f>
        <v>false</v>
      </c>
      <c r="AB62" s="423" t="str">
        <f>AB60&amp;".2"</f>
        <v>6.1.2.2</v>
      </c>
      <c r="AC62" s="458" t="s">
        <v>699</v>
      </c>
      <c r="AD62" s="328" t="s">
        <v>629</v>
      </c>
      <c r="AE62" s="47"/>
      <c r="AF62" s="47"/>
      <c r="AG62" s="47"/>
      <c r="AH62" s="47"/>
      <c r="AI62" s="439"/>
      <c r="AJ62" s="47"/>
      <c r="AK62" s="47"/>
      <c r="AL62" s="47"/>
      <c r="AM62" s="47"/>
      <c r="AN62" s="47"/>
      <c r="AO62" s="47"/>
      <c r="AP62" s="47"/>
      <c r="AQ62" s="47"/>
      <c r="AR62" s="47"/>
      <c r="AS62" s="47"/>
      <c r="AT62" s="47"/>
      <c r="AU62" s="47"/>
      <c r="AV62" s="47"/>
      <c r="AW62" s="47"/>
      <c r="AX62" s="47"/>
      <c r="AY62" s="47"/>
      <c r="AZ62" s="47"/>
      <c r="BA62" s="47"/>
      <c r="BB62" s="47"/>
      <c r="BC62" s="439"/>
      <c r="BD62" s="47"/>
      <c r="BE62" s="47"/>
      <c r="BF62" s="47"/>
      <c r="BG62" s="47"/>
      <c r="BH62" s="47"/>
      <c r="BI62" s="47"/>
      <c r="BJ62" s="47"/>
      <c r="BK62" s="47"/>
      <c r="BL62" s="47"/>
      <c r="BM62" s="47"/>
      <c r="BN62" s="47"/>
      <c r="BO62" s="47"/>
      <c r="BP62" s="47"/>
      <c r="BQ62" s="47"/>
      <c r="BR62" s="47"/>
      <c r="BS62" s="47"/>
      <c r="BT62" s="47"/>
      <c r="BU62" s="47"/>
      <c r="BV62" s="47"/>
      <c r="BW62" s="85"/>
      <c r="BZ62" s="975" t="s">
        <v>700</v>
      </c>
      <c r="CA62" s="1077" cm="1" t="str">
        <f t="array" ref="CA62:CA62">CA61</f>
        <v>0</v>
      </c>
      <c r="CB62" s="1076"/>
      <c r="CC62" s="1076"/>
      <c r="CD62" s="1077" t="s">
        <v>639</v>
      </c>
      <c r="CE62" s="1077" t="s">
        <v>688</v>
      </c>
      <c r="CF62" s="1077" t="s">
        <v>701</v>
      </c>
      <c r="CG62" s="1076"/>
      <c r="CH62" s="1076"/>
      <c r="CI62" s="1076"/>
      <c r="CJ62" s="1077" t="s">
        <v>303</v>
      </c>
      <c r="CK62" s="1077" t="s">
        <v>667</v>
      </c>
      <c r="CL62" s="1077" t="s">
        <v>668</v>
      </c>
    </row>
    <row customHeight="1" ht="16.575" hidden="1">
      <c r="E63" s="180">
        <v>17</v>
      </c>
      <c r="F63" s="175" cm="1" t="str">
        <f t="array" ref="F63:F63">OFFSET(G63,-1,-1)</f>
        <v>0</v>
      </c>
      <c r="T63" s="753" cm="1" t="str">
        <f t="array" ref="T63:T63">T62</f>
        <v>false</v>
      </c>
      <c r="AB63" s="423" t="str">
        <f>AB60&amp;".3"</f>
        <v>6.1.2.3</v>
      </c>
      <c r="AC63" s="458" t="s">
        <v>702</v>
      </c>
      <c r="AD63" s="328" t="s">
        <v>629</v>
      </c>
      <c r="AE63" s="47"/>
      <c r="AF63" s="47"/>
      <c r="AG63" s="47"/>
      <c r="AH63" s="47"/>
      <c r="AI63" s="439"/>
      <c r="AJ63" s="47"/>
      <c r="AK63" s="47"/>
      <c r="AL63" s="47"/>
      <c r="AM63" s="47"/>
      <c r="AN63" s="47"/>
      <c r="AO63" s="47"/>
      <c r="AP63" s="47"/>
      <c r="AQ63" s="47"/>
      <c r="AR63" s="47"/>
      <c r="AS63" s="47"/>
      <c r="AT63" s="47"/>
      <c r="AU63" s="47"/>
      <c r="AV63" s="47"/>
      <c r="AW63" s="47"/>
      <c r="AX63" s="47"/>
      <c r="AY63" s="47"/>
      <c r="AZ63" s="47"/>
      <c r="BA63" s="47"/>
      <c r="BB63" s="47"/>
      <c r="BC63" s="439"/>
      <c r="BD63" s="47"/>
      <c r="BE63" s="47"/>
      <c r="BF63" s="47"/>
      <c r="BG63" s="47"/>
      <c r="BH63" s="47"/>
      <c r="BI63" s="47"/>
      <c r="BJ63" s="47"/>
      <c r="BK63" s="47"/>
      <c r="BL63" s="47"/>
      <c r="BM63" s="47"/>
      <c r="BN63" s="47"/>
      <c r="BO63" s="47"/>
      <c r="BP63" s="47"/>
      <c r="BQ63" s="47"/>
      <c r="BR63" s="47"/>
      <c r="BS63" s="47"/>
      <c r="BT63" s="47"/>
      <c r="BU63" s="47"/>
      <c r="BV63" s="47"/>
      <c r="BW63" s="85"/>
      <c r="BZ63" s="975" t="s">
        <v>703</v>
      </c>
      <c r="CA63" s="1077" cm="1" t="str">
        <f t="array" ref="CA63:CA63">CA62</f>
        <v>0</v>
      </c>
      <c r="CB63" s="1076"/>
      <c r="CC63" s="1076"/>
      <c r="CD63" s="1077" t="s">
        <v>639</v>
      </c>
      <c r="CE63" s="1077" t="s">
        <v>688</v>
      </c>
      <c r="CF63" s="1077" t="s">
        <v>704</v>
      </c>
      <c r="CG63" s="1076"/>
      <c r="CH63" s="1076"/>
      <c r="CI63" s="1076"/>
      <c r="CJ63" s="1077" t="s">
        <v>303</v>
      </c>
      <c r="CK63" s="1077" t="s">
        <v>667</v>
      </c>
      <c r="CL63" s="1077" t="s">
        <v>668</v>
      </c>
    </row>
    <row customHeight="1" ht="16.575" hidden="1">
      <c r="E64" s="180">
        <v>17</v>
      </c>
      <c r="F64" s="175" cm="1" t="str">
        <f t="array" ref="F64:F64">OFFSET(G64,-1,-1)</f>
        <v>0</v>
      </c>
      <c r="T64" s="753" cm="1" t="str">
        <f t="array" ref="T64:T64">T63</f>
        <v>false</v>
      </c>
      <c r="AB64" s="423" t="str">
        <f>AB60&amp;".4"</f>
        <v>6.1.2.4</v>
      </c>
      <c r="AC64" s="458" t="s">
        <v>705</v>
      </c>
      <c r="AD64" s="424" t="s">
        <v>629</v>
      </c>
      <c r="AE64" s="47"/>
      <c r="AF64" s="47"/>
      <c r="AG64" s="47"/>
      <c r="AH64" s="47"/>
      <c r="AI64" s="439"/>
      <c r="AJ64" s="47"/>
      <c r="AK64" s="47"/>
      <c r="AL64" s="47"/>
      <c r="AM64" s="47"/>
      <c r="AN64" s="47"/>
      <c r="AO64" s="47"/>
      <c r="AP64" s="47"/>
      <c r="AQ64" s="47"/>
      <c r="AR64" s="47"/>
      <c r="AS64" s="47"/>
      <c r="AT64" s="47"/>
      <c r="AU64" s="47"/>
      <c r="AV64" s="47"/>
      <c r="AW64" s="47"/>
      <c r="AX64" s="47"/>
      <c r="AY64" s="47"/>
      <c r="AZ64" s="47"/>
      <c r="BA64" s="47"/>
      <c r="BB64" s="47"/>
      <c r="BC64" s="439"/>
      <c r="BD64" s="47"/>
      <c r="BE64" s="47"/>
      <c r="BF64" s="47"/>
      <c r="BG64" s="47"/>
      <c r="BH64" s="47"/>
      <c r="BI64" s="47"/>
      <c r="BJ64" s="47"/>
      <c r="BK64" s="47"/>
      <c r="BL64" s="47"/>
      <c r="BM64" s="47"/>
      <c r="BN64" s="47"/>
      <c r="BO64" s="47"/>
      <c r="BP64" s="47"/>
      <c r="BQ64" s="47"/>
      <c r="BR64" s="47"/>
      <c r="BS64" s="47"/>
      <c r="BT64" s="47"/>
      <c r="BU64" s="47"/>
      <c r="BV64" s="47"/>
      <c r="BW64" s="85"/>
      <c r="BZ64" s="975" t="s">
        <v>706</v>
      </c>
      <c r="CA64" s="1077" cm="1" t="str">
        <f t="array" ref="CA64:CA64">CA63</f>
        <v>0</v>
      </c>
      <c r="CB64" s="1076"/>
      <c r="CC64" s="1076"/>
      <c r="CD64" s="1077" t="s">
        <v>639</v>
      </c>
      <c r="CE64" s="1077" t="s">
        <v>688</v>
      </c>
      <c r="CF64" s="1077" t="s">
        <v>707</v>
      </c>
      <c r="CG64" s="1076"/>
      <c r="CH64" s="1076"/>
      <c r="CI64" s="1076"/>
      <c r="CJ64" s="1077" t="s">
        <v>303</v>
      </c>
      <c r="CK64" s="1077" t="s">
        <v>667</v>
      </c>
      <c r="CL64" s="1077" t="s">
        <v>668</v>
      </c>
    </row>
    <row customHeight="1" ht="16.575" hidden="1">
      <c r="E65" s="180">
        <v>17</v>
      </c>
      <c r="F65" s="175" cm="1" t="str">
        <f t="array" ref="F65:F65">OFFSET(G65,-1,-1)</f>
        <v>0</v>
      </c>
      <c r="T65" s="753" cm="1" t="str">
        <f t="array" ref="T65:T65">T64</f>
        <v>false</v>
      </c>
      <c r="AB65" s="423" t="str">
        <f>AB58&amp;".3"</f>
        <v>6.1.3</v>
      </c>
      <c r="AC65" s="459" t="s">
        <v>708</v>
      </c>
      <c r="AD65" s="424" t="s">
        <v>629</v>
      </c>
      <c r="AE65" s="47"/>
      <c r="AF65" s="47"/>
      <c r="AG65" s="47"/>
      <c r="AH65" s="47"/>
      <c r="AI65" s="439"/>
      <c r="AJ65" s="47"/>
      <c r="AK65" s="47"/>
      <c r="AL65" s="47"/>
      <c r="AM65" s="47"/>
      <c r="AN65" s="47"/>
      <c r="AO65" s="47"/>
      <c r="AP65" s="47"/>
      <c r="AQ65" s="47"/>
      <c r="AR65" s="47"/>
      <c r="AS65" s="47"/>
      <c r="AT65" s="47"/>
      <c r="AU65" s="47"/>
      <c r="AV65" s="47"/>
      <c r="AW65" s="47"/>
      <c r="AX65" s="47"/>
      <c r="AY65" s="47"/>
      <c r="AZ65" s="47"/>
      <c r="BA65" s="47"/>
      <c r="BB65" s="47"/>
      <c r="BC65" s="439"/>
      <c r="BD65" s="47"/>
      <c r="BE65" s="47"/>
      <c r="BF65" s="47"/>
      <c r="BG65" s="47"/>
      <c r="BH65" s="47"/>
      <c r="BI65" s="47"/>
      <c r="BJ65" s="47"/>
      <c r="BK65" s="47"/>
      <c r="BL65" s="47"/>
      <c r="BM65" s="47"/>
      <c r="BN65" s="47"/>
      <c r="BO65" s="47"/>
      <c r="BP65" s="47"/>
      <c r="BQ65" s="47"/>
      <c r="BR65" s="47"/>
      <c r="BS65" s="47"/>
      <c r="BT65" s="47"/>
      <c r="BU65" s="47"/>
      <c r="BV65" s="47"/>
      <c r="BW65" s="85"/>
      <c r="BZ65" s="975" t="s">
        <v>709</v>
      </c>
      <c r="CA65" s="1077" cm="1" t="str">
        <f t="array" ref="CA65:CA65">CA64</f>
        <v>0</v>
      </c>
      <c r="CB65" s="1076"/>
      <c r="CC65" s="1076"/>
      <c r="CD65" s="1077" t="s">
        <v>639</v>
      </c>
      <c r="CE65" s="1077" t="s">
        <v>688</v>
      </c>
      <c r="CF65" s="1077" t="s">
        <v>710</v>
      </c>
      <c r="CG65" s="1076"/>
      <c r="CH65" s="1076"/>
      <c r="CI65" s="1076"/>
      <c r="CJ65" s="1077" t="s">
        <v>303</v>
      </c>
      <c r="CK65" s="1077" t="s">
        <v>667</v>
      </c>
      <c r="CL65" s="1077" t="s">
        <v>668</v>
      </c>
    </row>
    <row customHeight="1" ht="16.575" hidden="1">
      <c r="E66" s="180">
        <v>17</v>
      </c>
      <c r="F66" s="175" cm="1" t="str">
        <f t="array" ref="F66:F66">OFFSET(G66,-1,-1)</f>
        <v>0</v>
      </c>
      <c r="T66" s="753" cm="1" t="str">
        <f t="array" ref="T66:T66">T65</f>
        <v>false</v>
      </c>
      <c r="AB66" s="423" t="str">
        <f>AB57&amp;".2"</f>
        <v>6.2</v>
      </c>
      <c r="AC66" s="446" t="s">
        <v>640</v>
      </c>
      <c r="AD66" s="424" t="s">
        <v>629</v>
      </c>
      <c r="AE66" s="47"/>
      <c r="AF66" s="47"/>
      <c r="AG66" s="47"/>
      <c r="AH66" s="47"/>
      <c r="AI66" s="439"/>
      <c r="AJ66" s="47"/>
      <c r="AK66" s="47"/>
      <c r="AL66" s="47"/>
      <c r="AM66" s="47"/>
      <c r="AN66" s="47"/>
      <c r="AO66" s="47"/>
      <c r="AP66" s="47"/>
      <c r="AQ66" s="47"/>
      <c r="AR66" s="47"/>
      <c r="AS66" s="47"/>
      <c r="AT66" s="47"/>
      <c r="AU66" s="47"/>
      <c r="AV66" s="47"/>
      <c r="AW66" s="47"/>
      <c r="AX66" s="47"/>
      <c r="AY66" s="47"/>
      <c r="AZ66" s="47"/>
      <c r="BA66" s="47"/>
      <c r="BB66" s="47"/>
      <c r="BC66" s="439"/>
      <c r="BD66" s="47"/>
      <c r="BE66" s="47"/>
      <c r="BF66" s="47"/>
      <c r="BG66" s="47"/>
      <c r="BH66" s="47"/>
      <c r="BI66" s="47"/>
      <c r="BJ66" s="47"/>
      <c r="BK66" s="47"/>
      <c r="BL66" s="47"/>
      <c r="BM66" s="47"/>
      <c r="BN66" s="47"/>
      <c r="BO66" s="47"/>
      <c r="BP66" s="47"/>
      <c r="BQ66" s="47"/>
      <c r="BR66" s="47"/>
      <c r="BS66" s="47"/>
      <c r="BT66" s="47"/>
      <c r="BU66" s="47"/>
      <c r="BV66" s="47"/>
      <c r="BW66" s="85"/>
      <c r="BZ66" s="975" t="s">
        <v>711</v>
      </c>
      <c r="CA66" s="1077" cm="1" t="str">
        <f t="array" ref="CA66:CA66">CA65</f>
        <v>0</v>
      </c>
      <c r="CB66" s="1076"/>
      <c r="CC66" s="1076"/>
      <c r="CD66" s="1077" t="s">
        <v>642</v>
      </c>
      <c r="CE66" s="1077" t="s">
        <v>688</v>
      </c>
      <c r="CF66" s="1076"/>
      <c r="CG66" s="1076"/>
      <c r="CH66" s="1076"/>
      <c r="CI66" s="1076"/>
      <c r="CJ66" s="1077" t="s">
        <v>303</v>
      </c>
      <c r="CK66" s="1077" t="s">
        <v>667</v>
      </c>
      <c r="CL66" s="1077" t="s">
        <v>668</v>
      </c>
    </row>
    <row customHeight="1" ht="16.575" hidden="1">
      <c r="E67" s="180">
        <v>17</v>
      </c>
      <c r="F67" s="175" cm="1" t="str">
        <f t="array" ref="F67:F67">OFFSET(G67,-1,-1)</f>
        <v>0</v>
      </c>
      <c r="T67" s="753" cm="1" t="str">
        <f t="array" ref="T67:T67">T66</f>
        <v>false</v>
      </c>
      <c r="AB67" s="342">
        <v>7</v>
      </c>
      <c r="AC67" s="447" t="s">
        <v>712</v>
      </c>
      <c r="AD67" s="424" t="s">
        <v>629</v>
      </c>
      <c r="AE67" s="438">
        <f>AE57-AE59</f>
        <v>0</v>
      </c>
      <c r="AF67" s="438">
        <f>AF57-AF59</f>
        <v>0</v>
      </c>
      <c r="AG67" s="438">
        <f>AG57-AG59</f>
        <v>0</v>
      </c>
      <c r="AH67" s="438">
        <f>AH57-AH59</f>
        <v>0</v>
      </c>
      <c r="AI67" s="438">
        <f>AI57-AI59</f>
        <v>0</v>
      </c>
      <c r="AJ67" s="438">
        <f>AJ57-AJ59</f>
        <v>0</v>
      </c>
      <c r="AK67" s="438">
        <f>AK57-AK59</f>
        <v>0</v>
      </c>
      <c r="AL67" s="438">
        <f>AL57-AL59</f>
        <v>0</v>
      </c>
      <c r="AM67" s="438">
        <f>AM57-AM59</f>
        <v>0</v>
      </c>
      <c r="AN67" s="438">
        <f>AN57-AN59</f>
        <v>0</v>
      </c>
      <c r="AO67" s="438">
        <f>AO57-AO59</f>
        <v>0</v>
      </c>
      <c r="AP67" s="438">
        <f>AP57-AP59</f>
        <v>0</v>
      </c>
      <c r="AQ67" s="438">
        <f>AQ57-AQ59</f>
        <v>0</v>
      </c>
      <c r="AR67" s="438">
        <f>AR57-AR59</f>
        <v>0</v>
      </c>
      <c r="AS67" s="438">
        <f>AS57-AS59</f>
        <v>0</v>
      </c>
      <c r="AT67" s="438">
        <f>AT57-AT59</f>
        <v>0</v>
      </c>
      <c r="AU67" s="438">
        <f>AU57-AU59</f>
        <v>0</v>
      </c>
      <c r="AV67" s="438">
        <f>AV57-AV59</f>
        <v>0</v>
      </c>
      <c r="AW67" s="438">
        <f>AW57-AW59</f>
        <v>0</v>
      </c>
      <c r="AX67" s="438">
        <f>AX57-AX59</f>
        <v>0</v>
      </c>
      <c r="AY67" s="438">
        <f>AY57-AY59</f>
        <v>0</v>
      </c>
      <c r="AZ67" s="438">
        <f>AZ57-AZ59</f>
        <v>0</v>
      </c>
      <c r="BA67" s="438">
        <f>BA57-BA59</f>
        <v>0</v>
      </c>
      <c r="BB67" s="438">
        <f>BB57-BB59</f>
        <v>0</v>
      </c>
      <c r="BC67" s="438">
        <f>BC57-BC59</f>
        <v>0</v>
      </c>
      <c r="BD67" s="438">
        <f>BD57-BD59</f>
        <v>0</v>
      </c>
      <c r="BE67" s="438">
        <f>BE57-BE59</f>
        <v>0</v>
      </c>
      <c r="BF67" s="438">
        <f>BF57-BF59</f>
        <v>0</v>
      </c>
      <c r="BG67" s="438">
        <f>BG57-BG59</f>
        <v>0</v>
      </c>
      <c r="BH67" s="438">
        <f>BH57-BH59</f>
        <v>0</v>
      </c>
      <c r="BI67" s="438">
        <f>BI57-BI59</f>
        <v>0</v>
      </c>
      <c r="BJ67" s="438">
        <f>BJ57-BJ59</f>
        <v>0</v>
      </c>
      <c r="BK67" s="438">
        <f>BK57-BK59</f>
        <v>0</v>
      </c>
      <c r="BL67" s="438">
        <f>BL57-BL59</f>
        <v>0</v>
      </c>
      <c r="BM67" s="438">
        <f>BM57-BM59</f>
        <v>0</v>
      </c>
      <c r="BN67" s="438">
        <f>BN57-BN59</f>
        <v>0</v>
      </c>
      <c r="BO67" s="438">
        <f>BO57-BO59</f>
        <v>0</v>
      </c>
      <c r="BP67" s="438">
        <f>BP57-BP59</f>
        <v>0</v>
      </c>
      <c r="BQ67" s="438">
        <f>BQ57-BQ59</f>
        <v>0</v>
      </c>
      <c r="BR67" s="438">
        <f>BR57-BR59</f>
        <v>0</v>
      </c>
      <c r="BS67" s="438">
        <f>BS57-BS59</f>
        <v>0</v>
      </c>
      <c r="BT67" s="438">
        <f>BT57-BT59</f>
        <v>0</v>
      </c>
      <c r="BU67" s="438">
        <f>BU57-BU59</f>
        <v>0</v>
      </c>
      <c r="BV67" s="438">
        <f>BV57-BV59</f>
        <v>0</v>
      </c>
      <c r="BW67" s="85"/>
      <c r="BZ67" s="975" t="s">
        <v>713</v>
      </c>
      <c r="CA67" s="1077" cm="1" t="str">
        <f t="array" ref="CA67:CA67">CA66</f>
        <v>0</v>
      </c>
      <c r="CB67" s="1076"/>
      <c r="CC67" s="1076"/>
      <c r="CD67" s="1076"/>
      <c r="CE67" s="1077" t="s">
        <v>714</v>
      </c>
      <c r="CF67" s="1076"/>
      <c r="CG67" s="1076"/>
      <c r="CH67" s="1076"/>
      <c r="CI67" s="1076"/>
      <c r="CJ67" s="1077" t="s">
        <v>303</v>
      </c>
      <c r="CK67" s="1077" t="s">
        <v>667</v>
      </c>
      <c r="CL67" s="1077" t="s">
        <v>668</v>
      </c>
    </row>
    <row customHeight="1" ht="16.575" hidden="1">
      <c r="E68" s="180">
        <v>17</v>
      </c>
      <c r="F68" s="175" cm="1" t="str">
        <f t="array" ref="F68:F68">OFFSET(G68,-1,-1)</f>
        <v>0</v>
      </c>
      <c r="T68" s="753" cm="1" t="str">
        <f t="array" ref="T68:T68">T67</f>
        <v>false</v>
      </c>
      <c r="AB68" s="423" t="str">
        <f>AB67&amp;".1"</f>
        <v>7.1</v>
      </c>
      <c r="AC68" s="446" t="s">
        <v>637</v>
      </c>
      <c r="AD68" s="424" t="s">
        <v>629</v>
      </c>
      <c r="AE68" s="47">
        <f>AE58-AE59</f>
        <v>0</v>
      </c>
      <c r="AF68" s="47">
        <f>AF58-AF59</f>
        <v>0</v>
      </c>
      <c r="AG68" s="47">
        <f>AG58-AG59</f>
        <v>0</v>
      </c>
      <c r="AH68" s="47">
        <f>AH58-AH59</f>
        <v>0</v>
      </c>
      <c r="AI68" s="439">
        <f>AI58-AI59</f>
        <v>0</v>
      </c>
      <c r="AJ68" s="47">
        <f>AJ58-AJ59</f>
        <v>0</v>
      </c>
      <c r="AK68" s="47">
        <f>AK58-AK59</f>
        <v>0</v>
      </c>
      <c r="AL68" s="47">
        <f>AL58-AL59</f>
        <v>0</v>
      </c>
      <c r="AM68" s="47">
        <f>AM58-AM59</f>
        <v>0</v>
      </c>
      <c r="AN68" s="47">
        <f>AN58-AN59</f>
        <v>0</v>
      </c>
      <c r="AO68" s="47">
        <f>AO58-AO59</f>
        <v>0</v>
      </c>
      <c r="AP68" s="47">
        <f>AP58-AP59</f>
        <v>0</v>
      </c>
      <c r="AQ68" s="47">
        <f>AQ58-AQ59</f>
        <v>0</v>
      </c>
      <c r="AR68" s="47">
        <f>AR58-AR59</f>
        <v>0</v>
      </c>
      <c r="AS68" s="47">
        <f>AS58-AS59</f>
        <v>0</v>
      </c>
      <c r="AT68" s="47">
        <f>AT58-AT59</f>
        <v>0</v>
      </c>
      <c r="AU68" s="47">
        <f>AU58-AU59</f>
        <v>0</v>
      </c>
      <c r="AV68" s="47">
        <f>AV58-AV59</f>
        <v>0</v>
      </c>
      <c r="AW68" s="47">
        <f>AW58-AW59</f>
        <v>0</v>
      </c>
      <c r="AX68" s="47">
        <f>AX58-AX59</f>
        <v>0</v>
      </c>
      <c r="AY68" s="47">
        <f>AY58-AY59</f>
        <v>0</v>
      </c>
      <c r="AZ68" s="47">
        <f>AZ58-AZ59</f>
        <v>0</v>
      </c>
      <c r="BA68" s="47">
        <f>BA58-BA59</f>
        <v>0</v>
      </c>
      <c r="BB68" s="47">
        <f>BB58-BB59</f>
        <v>0</v>
      </c>
      <c r="BC68" s="439">
        <f>BC58-BC59</f>
        <v>0</v>
      </c>
      <c r="BD68" s="47">
        <f>BD58-BD59</f>
        <v>0</v>
      </c>
      <c r="BE68" s="47">
        <f>BE58-BE59</f>
        <v>0</v>
      </c>
      <c r="BF68" s="47">
        <f>BF58-BF59</f>
        <v>0</v>
      </c>
      <c r="BG68" s="47">
        <f>BG58-BG59</f>
        <v>0</v>
      </c>
      <c r="BH68" s="47">
        <f>BH58-BH59</f>
        <v>0</v>
      </c>
      <c r="BI68" s="47">
        <f>BI58-BI59</f>
        <v>0</v>
      </c>
      <c r="BJ68" s="47">
        <f>BJ58-BJ59</f>
        <v>0</v>
      </c>
      <c r="BK68" s="47">
        <f>BK58-BK59</f>
        <v>0</v>
      </c>
      <c r="BL68" s="47">
        <f>BL58-BL59</f>
        <v>0</v>
      </c>
      <c r="BM68" s="47">
        <f>BM58-BM59</f>
        <v>0</v>
      </c>
      <c r="BN68" s="47">
        <f>BN58-BN59</f>
        <v>0</v>
      </c>
      <c r="BO68" s="47">
        <f>BO58-BO59</f>
        <v>0</v>
      </c>
      <c r="BP68" s="47">
        <f>BP58-BP59</f>
        <v>0</v>
      </c>
      <c r="BQ68" s="47">
        <f>BQ58-BQ59</f>
        <v>0</v>
      </c>
      <c r="BR68" s="47">
        <f>BR58-BR59</f>
        <v>0</v>
      </c>
      <c r="BS68" s="47">
        <f>BS58-BS59</f>
        <v>0</v>
      </c>
      <c r="BT68" s="47">
        <f>BT58-BT59</f>
        <v>0</v>
      </c>
      <c r="BU68" s="47">
        <f>BU58-BU59</f>
        <v>0</v>
      </c>
      <c r="BV68" s="47">
        <f>BV58-BV59</f>
        <v>0</v>
      </c>
      <c r="BW68" s="85"/>
      <c r="BZ68" s="975" t="s">
        <v>715</v>
      </c>
      <c r="CA68" s="1077" cm="1" t="str">
        <f t="array" ref="CA68:CA68">CA67</f>
        <v>0</v>
      </c>
      <c r="CB68" s="1076"/>
      <c r="CC68" s="1076"/>
      <c r="CD68" s="1077" t="s">
        <v>639</v>
      </c>
      <c r="CE68" s="1077" t="s">
        <v>714</v>
      </c>
      <c r="CF68" s="1076"/>
      <c r="CG68" s="1076"/>
      <c r="CH68" s="1076"/>
      <c r="CI68" s="1076"/>
      <c r="CJ68" s="1077" t="s">
        <v>303</v>
      </c>
      <c r="CK68" s="1077" t="s">
        <v>667</v>
      </c>
      <c r="CL68" s="1077" t="s">
        <v>668</v>
      </c>
    </row>
    <row customHeight="1" ht="16.575" hidden="1">
      <c r="E69" s="180">
        <v>17</v>
      </c>
      <c r="F69" s="175" cm="1" t="str">
        <f t="array" ref="F69:F69">OFFSET(G69,-1,-1)</f>
        <v>0</v>
      </c>
      <c r="T69" s="753" cm="1" t="str">
        <f t="array" ref="T69:T69">T68</f>
        <v>false</v>
      </c>
      <c r="AB69" s="423" t="str">
        <f>AB67&amp;".2"</f>
        <v>7.2</v>
      </c>
      <c r="AC69" s="446" t="s">
        <v>640</v>
      </c>
      <c r="AD69" s="424" t="s">
        <v>629</v>
      </c>
      <c r="AE69" s="47" cm="1" t="str">
        <f t="array" ref="AE69:AE69">AE66</f>
        <v>0</v>
      </c>
      <c r="AF69" s="47" cm="1" t="str">
        <f t="array" ref="AF69:AF69">AF66</f>
        <v>0</v>
      </c>
      <c r="AG69" s="47" cm="1" t="str">
        <f t="array" ref="AG69:AG69">AG66</f>
        <v>0</v>
      </c>
      <c r="AH69" s="47" cm="1" t="str">
        <f t="array" ref="AH69:AH69">AH66</f>
        <v>0</v>
      </c>
      <c r="AI69" s="439" cm="1" t="str">
        <f t="array" ref="AI69:AI69">AI66</f>
        <v>0</v>
      </c>
      <c r="AJ69" s="47" cm="1" t="str">
        <f t="array" ref="AJ69:AJ69">AJ66</f>
        <v>0</v>
      </c>
      <c r="AK69" s="47" cm="1" t="str">
        <f t="array" ref="AK69:AK69">AK66</f>
        <v>0</v>
      </c>
      <c r="AL69" s="47" cm="1" t="str">
        <f t="array" ref="AL69:AL69">AL66</f>
        <v>0</v>
      </c>
      <c r="AM69" s="47" cm="1" t="str">
        <f t="array" ref="AM69:AM69">AM66</f>
        <v>0</v>
      </c>
      <c r="AN69" s="47" cm="1" t="str">
        <f t="array" ref="AN69:AN69">AN66</f>
        <v>0</v>
      </c>
      <c r="AO69" s="47" cm="1" t="str">
        <f t="array" ref="AO69:AO69">AO66</f>
        <v>0</v>
      </c>
      <c r="AP69" s="47" cm="1" t="str">
        <f t="array" ref="AP69:AP69">AP66</f>
        <v>0</v>
      </c>
      <c r="AQ69" s="47" cm="1" t="str">
        <f t="array" ref="AQ69:AQ69">AQ66</f>
        <v>0</v>
      </c>
      <c r="AR69" s="47" cm="1" t="str">
        <f t="array" ref="AR69:AR69">AR66</f>
        <v>0</v>
      </c>
      <c r="AS69" s="47" cm="1" t="str">
        <f t="array" ref="AS69:AS69">AS66</f>
        <v>0</v>
      </c>
      <c r="AT69" s="47" cm="1" t="str">
        <f t="array" ref="AT69:AT69">AT66</f>
        <v>0</v>
      </c>
      <c r="AU69" s="47" cm="1" t="str">
        <f t="array" ref="AU69:AU69">AU66</f>
        <v>0</v>
      </c>
      <c r="AV69" s="47" cm="1" t="str">
        <f t="array" ref="AV69:AV69">AV66</f>
        <v>0</v>
      </c>
      <c r="AW69" s="47" cm="1" t="str">
        <f t="array" ref="AW69:AW69">AW66</f>
        <v>0</v>
      </c>
      <c r="AX69" s="47" cm="1" t="str">
        <f t="array" ref="AX69:AX69">AX66</f>
        <v>0</v>
      </c>
      <c r="AY69" s="47" cm="1" t="str">
        <f t="array" ref="AY69:AY69">AY66</f>
        <v>0</v>
      </c>
      <c r="AZ69" s="47" cm="1" t="str">
        <f t="array" ref="AZ69:AZ69">AZ66</f>
        <v>0</v>
      </c>
      <c r="BA69" s="47" cm="1" t="str">
        <f t="array" ref="BA69:BA69">BA66</f>
        <v>0</v>
      </c>
      <c r="BB69" s="47" cm="1" t="str">
        <f t="array" ref="BB69:BB69">BB66</f>
        <v>0</v>
      </c>
      <c r="BC69" s="439" cm="1" t="str">
        <f t="array" ref="BC69:BC69">BC66</f>
        <v>0</v>
      </c>
      <c r="BD69" s="47" cm="1" t="str">
        <f t="array" ref="BD69:BD69">BD66</f>
        <v>0</v>
      </c>
      <c r="BE69" s="47" cm="1" t="str">
        <f t="array" ref="BE69:BE69">BE66</f>
        <v>0</v>
      </c>
      <c r="BF69" s="47" cm="1" t="str">
        <f t="array" ref="BF69:BF69">BF66</f>
        <v>0</v>
      </c>
      <c r="BG69" s="47" cm="1" t="str">
        <f t="array" ref="BG69:BG69">BG66</f>
        <v>0</v>
      </c>
      <c r="BH69" s="47" cm="1" t="str">
        <f t="array" ref="BH69:BH69">BH66</f>
        <v>0</v>
      </c>
      <c r="BI69" s="47" cm="1" t="str">
        <f t="array" ref="BI69:BI69">BI66</f>
        <v>0</v>
      </c>
      <c r="BJ69" s="47" cm="1" t="str">
        <f t="array" ref="BJ69:BJ69">BJ66</f>
        <v>0</v>
      </c>
      <c r="BK69" s="47" cm="1" t="str">
        <f t="array" ref="BK69:BK69">BK66</f>
        <v>0</v>
      </c>
      <c r="BL69" s="47" cm="1" t="str">
        <f t="array" ref="BL69:BL69">BL66</f>
        <v>0</v>
      </c>
      <c r="BM69" s="47" cm="1" t="str">
        <f t="array" ref="BM69:BM69">BM66</f>
        <v>0</v>
      </c>
      <c r="BN69" s="47" cm="1" t="str">
        <f t="array" ref="BN69:BN69">BN66</f>
        <v>0</v>
      </c>
      <c r="BO69" s="47" cm="1" t="str">
        <f t="array" ref="BO69:BO69">BO66</f>
        <v>0</v>
      </c>
      <c r="BP69" s="47" cm="1" t="str">
        <f t="array" ref="BP69:BP69">BP66</f>
        <v>0</v>
      </c>
      <c r="BQ69" s="47" cm="1" t="str">
        <f t="array" ref="BQ69:BQ69">BQ66</f>
        <v>0</v>
      </c>
      <c r="BR69" s="47" cm="1" t="str">
        <f t="array" ref="BR69:BR69">BR66</f>
        <v>0</v>
      </c>
      <c r="BS69" s="47" cm="1" t="str">
        <f t="array" ref="BS69:BS69">BS66</f>
        <v>0</v>
      </c>
      <c r="BT69" s="47" cm="1" t="str">
        <f t="array" ref="BT69:BT69">BT66</f>
        <v>0</v>
      </c>
      <c r="BU69" s="47" cm="1" t="str">
        <f t="array" ref="BU69:BU69">BU66</f>
        <v>0</v>
      </c>
      <c r="BV69" s="47" cm="1" t="str">
        <f t="array" ref="BV69:BV69">BV66</f>
        <v>0</v>
      </c>
      <c r="BW69" s="85"/>
      <c r="BZ69" s="975" t="s">
        <v>716</v>
      </c>
      <c r="CA69" s="1077" cm="1" t="str">
        <f t="array" ref="CA69:CA69">CA68</f>
        <v>0</v>
      </c>
      <c r="CB69" s="1076"/>
      <c r="CC69" s="1076"/>
      <c r="CD69" s="1077" t="s">
        <v>642</v>
      </c>
      <c r="CE69" s="1077" t="s">
        <v>714</v>
      </c>
      <c r="CF69" s="1076"/>
      <c r="CG69" s="1076"/>
      <c r="CH69" s="1076"/>
      <c r="CI69" s="1076"/>
      <c r="CJ69" s="1077" t="s">
        <v>303</v>
      </c>
      <c r="CK69" s="1077" t="s">
        <v>667</v>
      </c>
      <c r="CL69" s="1077" t="s">
        <v>668</v>
      </c>
    </row>
    <row customHeight="1" ht="33.15" hidden="1">
      <c r="E70" s="180">
        <v>34</v>
      </c>
      <c r="F70" s="175" cm="1" t="str">
        <f t="array" ref="F70:F70">OFFSET(G70,-1,-1)</f>
        <v>0</v>
      </c>
      <c r="T70" s="753" cm="1" t="str">
        <f t="array" ref="T70:T70">T69</f>
        <v>false</v>
      </c>
      <c r="AB70" s="342">
        <v>8</v>
      </c>
      <c r="AC70" s="447" t="s">
        <v>717</v>
      </c>
      <c r="AD70" s="424" t="s">
        <v>629</v>
      </c>
      <c r="AE70" s="438">
        <f>AE67-AE75</f>
        <v>0</v>
      </c>
      <c r="AF70" s="438">
        <f>AF67-AF75</f>
        <v>0</v>
      </c>
      <c r="AG70" s="438">
        <f>AG67-AG75</f>
        <v>0</v>
      </c>
      <c r="AH70" s="438">
        <f>AH67-AH75</f>
        <v>0</v>
      </c>
      <c r="AI70" s="438">
        <f>AI67-AI75</f>
        <v>0</v>
      </c>
      <c r="AJ70" s="438">
        <f>AJ67-AJ75</f>
        <v>0</v>
      </c>
      <c r="AK70" s="438">
        <f>AK67-AK75</f>
        <v>0</v>
      </c>
      <c r="AL70" s="438">
        <f>AL67-AL75</f>
        <v>0</v>
      </c>
      <c r="AM70" s="438">
        <f>AM67-AM75</f>
        <v>0</v>
      </c>
      <c r="AN70" s="438">
        <f>AN67-AN75</f>
        <v>0</v>
      </c>
      <c r="AO70" s="438">
        <f>AO67-AO75</f>
        <v>0</v>
      </c>
      <c r="AP70" s="438">
        <f>AP67-AP75</f>
        <v>0</v>
      </c>
      <c r="AQ70" s="438">
        <f>AQ67-AQ75</f>
        <v>0</v>
      </c>
      <c r="AR70" s="438">
        <f>AR67-AR75</f>
        <v>0</v>
      </c>
      <c r="AS70" s="438">
        <f>AS67-AS75</f>
        <v>0</v>
      </c>
      <c r="AT70" s="438">
        <f>AT67-AT75</f>
        <v>0</v>
      </c>
      <c r="AU70" s="438">
        <f>AU67-AU75</f>
        <v>0</v>
      </c>
      <c r="AV70" s="438">
        <f>AV67-AV75</f>
        <v>0</v>
      </c>
      <c r="AW70" s="438">
        <f>AW67-AW75</f>
        <v>0</v>
      </c>
      <c r="AX70" s="438">
        <f>AX67-AX75</f>
        <v>0</v>
      </c>
      <c r="AY70" s="438">
        <f>AY67-AY75</f>
        <v>0</v>
      </c>
      <c r="AZ70" s="438">
        <f>AZ67-AZ75</f>
        <v>0</v>
      </c>
      <c r="BA70" s="438">
        <f>BA67-BA75</f>
        <v>0</v>
      </c>
      <c r="BB70" s="438">
        <f>BB67-BB75</f>
        <v>0</v>
      </c>
      <c r="BC70" s="438">
        <f>BC67-BC75</f>
        <v>0</v>
      </c>
      <c r="BD70" s="438">
        <f>BD67-BD75</f>
        <v>0</v>
      </c>
      <c r="BE70" s="438">
        <f>BE67-BE75</f>
        <v>0</v>
      </c>
      <c r="BF70" s="438">
        <f>BF67-BF75</f>
        <v>0</v>
      </c>
      <c r="BG70" s="438">
        <f>BG67-BG75</f>
        <v>0</v>
      </c>
      <c r="BH70" s="438">
        <f>BH67-BH75</f>
        <v>0</v>
      </c>
      <c r="BI70" s="438">
        <f>BI67-BI75</f>
        <v>0</v>
      </c>
      <c r="BJ70" s="438">
        <f>BJ67-BJ75</f>
        <v>0</v>
      </c>
      <c r="BK70" s="438">
        <f>BK67-BK75</f>
        <v>0</v>
      </c>
      <c r="BL70" s="438">
        <f>BL67-BL75</f>
        <v>0</v>
      </c>
      <c r="BM70" s="438">
        <f>BM67-BM75</f>
        <v>0</v>
      </c>
      <c r="BN70" s="438">
        <f>BN67-BN75</f>
        <v>0</v>
      </c>
      <c r="BO70" s="438">
        <f>BO67-BO75</f>
        <v>0</v>
      </c>
      <c r="BP70" s="438">
        <f>BP67-BP75</f>
        <v>0</v>
      </c>
      <c r="BQ70" s="438">
        <f>BQ67-BQ75</f>
        <v>0</v>
      </c>
      <c r="BR70" s="438">
        <f>BR67-BR75</f>
        <v>0</v>
      </c>
      <c r="BS70" s="438">
        <f>BS67-BS75</f>
        <v>0</v>
      </c>
      <c r="BT70" s="438">
        <f>BT67-BT75</f>
        <v>0</v>
      </c>
      <c r="BU70" s="438">
        <f>BU67-BU75</f>
        <v>0</v>
      </c>
      <c r="BV70" s="438">
        <f>BV67-BV75</f>
        <v>0</v>
      </c>
      <c r="BW70" s="85"/>
      <c r="BZ70" s="975" t="s">
        <v>718</v>
      </c>
      <c r="CA70" s="1077" cm="1" t="str">
        <f t="array" ref="CA70:CA70">CA69</f>
        <v>0</v>
      </c>
      <c r="CB70" s="1076"/>
      <c r="CC70" s="1076"/>
      <c r="CD70" s="1076"/>
      <c r="CE70" s="1076"/>
      <c r="CF70" s="1076"/>
      <c r="CG70" s="1077" t="s">
        <v>698</v>
      </c>
      <c r="CH70" s="1076"/>
      <c r="CI70" s="1077" t="s">
        <v>219</v>
      </c>
      <c r="CJ70" s="1077" t="s">
        <v>303</v>
      </c>
      <c r="CK70" s="1077" t="s">
        <v>719</v>
      </c>
      <c r="CL70" s="1077" t="s">
        <v>720</v>
      </c>
    </row>
    <row customHeight="1" ht="16.575" hidden="1">
      <c r="E71" s="180">
        <v>17</v>
      </c>
      <c r="F71" s="175" cm="1" t="str">
        <f t="array" ref="F71:F71">OFFSET(G71,-1,-1)</f>
        <v>0</v>
      </c>
      <c r="T71" s="753" cm="1" t="str">
        <f t="array" ref="T71:T71">T70</f>
        <v>false</v>
      </c>
      <c r="AB71" s="423" t="str">
        <f>AB70&amp;".1"</f>
        <v>8.1</v>
      </c>
      <c r="AC71" s="446" t="s">
        <v>637</v>
      </c>
      <c r="AD71" s="424" t="s">
        <v>629</v>
      </c>
      <c r="AE71" s="47"/>
      <c r="AF71" s="47"/>
      <c r="AG71" s="47"/>
      <c r="AH71" s="47"/>
      <c r="AI71" s="439"/>
      <c r="AJ71" s="47"/>
      <c r="AK71" s="47"/>
      <c r="AL71" s="47"/>
      <c r="AM71" s="47"/>
      <c r="AN71" s="47"/>
      <c r="AO71" s="47"/>
      <c r="AP71" s="47"/>
      <c r="AQ71" s="47"/>
      <c r="AR71" s="47"/>
      <c r="AS71" s="47"/>
      <c r="AT71" s="47"/>
      <c r="AU71" s="47"/>
      <c r="AV71" s="47"/>
      <c r="AW71" s="47"/>
      <c r="AX71" s="47"/>
      <c r="AY71" s="47"/>
      <c r="AZ71" s="47"/>
      <c r="BA71" s="47"/>
      <c r="BB71" s="47"/>
      <c r="BC71" s="439"/>
      <c r="BD71" s="47"/>
      <c r="BE71" s="47"/>
      <c r="BF71" s="47"/>
      <c r="BG71" s="47"/>
      <c r="BH71" s="47"/>
      <c r="BI71" s="47"/>
      <c r="BJ71" s="47"/>
      <c r="BK71" s="47"/>
      <c r="BL71" s="47"/>
      <c r="BM71" s="47"/>
      <c r="BN71" s="47"/>
      <c r="BO71" s="47"/>
      <c r="BP71" s="47"/>
      <c r="BQ71" s="47"/>
      <c r="BR71" s="47"/>
      <c r="BS71" s="47"/>
      <c r="BT71" s="47"/>
      <c r="BU71" s="47"/>
      <c r="BV71" s="47"/>
      <c r="BW71" s="85"/>
      <c r="BZ71" s="975" t="s">
        <v>721</v>
      </c>
      <c r="CA71" s="1077" cm="1" t="str">
        <f t="array" ref="CA71:CA71">CA70</f>
        <v>0</v>
      </c>
      <c r="CB71" s="1076"/>
      <c r="CC71" s="1076"/>
      <c r="CD71" s="1077" t="s">
        <v>639</v>
      </c>
      <c r="CE71" s="1076"/>
      <c r="CF71" s="1076"/>
      <c r="CG71" s="1077" t="s">
        <v>698</v>
      </c>
      <c r="CH71" s="1076"/>
      <c r="CI71" s="1077" t="s">
        <v>219</v>
      </c>
      <c r="CJ71" s="1077" t="s">
        <v>303</v>
      </c>
      <c r="CK71" s="1077" t="s">
        <v>719</v>
      </c>
      <c r="CL71" s="1077" t="s">
        <v>720</v>
      </c>
    </row>
    <row customHeight="1" ht="16.575" hidden="1">
      <c r="E72" s="180">
        <v>17</v>
      </c>
      <c r="F72" s="175" cm="1" t="str">
        <f t="array" ref="F72:F72">OFFSET(G72,-1,-1)</f>
        <v>0</v>
      </c>
      <c r="T72" s="753" cm="1" t="str">
        <f t="array" ref="T72:T72">T71</f>
        <v>false</v>
      </c>
      <c r="AB72" s="423" t="str">
        <f>AB71&amp;".1"</f>
        <v>8.1.1</v>
      </c>
      <c r="AC72" s="460" t="s">
        <v>722</v>
      </c>
      <c r="AD72" s="424" t="s">
        <v>495</v>
      </c>
      <c r="AE72" s="461">
        <f>_xlfn.IFERROR(AE71/AE68,0)</f>
        <v>0</v>
      </c>
      <c r="AF72" s="461">
        <f>_xlfn.IFERROR(AF71/AF68,0)</f>
        <v>0</v>
      </c>
      <c r="AG72" s="461">
        <f>_xlfn.IFERROR(AG71/AG68,0)</f>
        <v>0</v>
      </c>
      <c r="AH72" s="461">
        <f>_xlfn.IFERROR(AH71/AH68,0)</f>
        <v>0</v>
      </c>
      <c r="AI72" s="461">
        <f>_xlfn.IFERROR(AI71/AI68,0)</f>
        <v>0</v>
      </c>
      <c r="AJ72" s="461">
        <f>_xlfn.IFERROR(AJ71/AJ68,0)</f>
        <v>0</v>
      </c>
      <c r="AK72" s="461">
        <f>_xlfn.IFERROR(AK71/AK68,0)</f>
        <v>0</v>
      </c>
      <c r="AL72" s="461">
        <f>_xlfn.IFERROR(AL71/AL68,0)</f>
        <v>0</v>
      </c>
      <c r="AM72" s="461">
        <f>_xlfn.IFERROR(AM71/AM68,0)</f>
        <v>0</v>
      </c>
      <c r="AN72" s="461">
        <f>_xlfn.IFERROR(AN71/AN68,0)</f>
        <v>0</v>
      </c>
      <c r="AO72" s="461">
        <f>_xlfn.IFERROR(AO71/AO68,0)</f>
        <v>0</v>
      </c>
      <c r="AP72" s="461">
        <f>_xlfn.IFERROR(AP71/AP68,0)</f>
        <v>0</v>
      </c>
      <c r="AQ72" s="461">
        <f>_xlfn.IFERROR(AQ71/AQ68,0)</f>
        <v>0</v>
      </c>
      <c r="AR72" s="461">
        <f>_xlfn.IFERROR(AR71/AR68,0)</f>
        <v>0</v>
      </c>
      <c r="AS72" s="461">
        <f>_xlfn.IFERROR(AS71/AS68,0)</f>
        <v>0</v>
      </c>
      <c r="AT72" s="461">
        <f>_xlfn.IFERROR(AT71/AT68,0)</f>
        <v>0</v>
      </c>
      <c r="AU72" s="461">
        <f>_xlfn.IFERROR(AU71/AU68,0)</f>
        <v>0</v>
      </c>
      <c r="AV72" s="461">
        <f>_xlfn.IFERROR(AV71/AV68,0)</f>
        <v>0</v>
      </c>
      <c r="AW72" s="461">
        <f>_xlfn.IFERROR(AW71/AW68,0)</f>
        <v>0</v>
      </c>
      <c r="AX72" s="461">
        <f>_xlfn.IFERROR(AX71/AX68,0)</f>
        <v>0</v>
      </c>
      <c r="AY72" s="461">
        <f>_xlfn.IFERROR(AY71/AY68,0)</f>
        <v>0</v>
      </c>
      <c r="AZ72" s="461">
        <f>_xlfn.IFERROR(AZ71/AZ68,0)</f>
        <v>0</v>
      </c>
      <c r="BA72" s="461">
        <f>_xlfn.IFERROR(BA71/BA68,0)</f>
        <v>0</v>
      </c>
      <c r="BB72" s="461">
        <f>_xlfn.IFERROR(BB71/BB68,0)</f>
        <v>0</v>
      </c>
      <c r="BC72" s="461">
        <f>_xlfn.IFERROR(BC71/BC68,0)</f>
        <v>0</v>
      </c>
      <c r="BD72" s="461">
        <f>_xlfn.IFERROR(BD71/BD68,0)</f>
        <v>0</v>
      </c>
      <c r="BE72" s="461">
        <f>_xlfn.IFERROR(BE71/BE68,0)</f>
        <v>0</v>
      </c>
      <c r="BF72" s="461">
        <f>_xlfn.IFERROR(BF71/BF68,0)</f>
        <v>0</v>
      </c>
      <c r="BG72" s="461">
        <f>_xlfn.IFERROR(BG71/BG68,0)</f>
        <v>0</v>
      </c>
      <c r="BH72" s="461">
        <f>_xlfn.IFERROR(BH71/BH68,0)</f>
        <v>0</v>
      </c>
      <c r="BI72" s="461">
        <f>_xlfn.IFERROR(BI71/BI68,0)</f>
        <v>0</v>
      </c>
      <c r="BJ72" s="461">
        <f>_xlfn.IFERROR(BJ71/BJ68,0)</f>
        <v>0</v>
      </c>
      <c r="BK72" s="461">
        <f>_xlfn.IFERROR(BK71/BK68,0)</f>
        <v>0</v>
      </c>
      <c r="BL72" s="461">
        <f>_xlfn.IFERROR(BL71/BL68,0)</f>
        <v>0</v>
      </c>
      <c r="BM72" s="461">
        <f>_xlfn.IFERROR(BM71/BM68,0)</f>
        <v>0</v>
      </c>
      <c r="BN72" s="461">
        <f>_xlfn.IFERROR(BN71/BN68,0)</f>
        <v>0</v>
      </c>
      <c r="BO72" s="461">
        <f>_xlfn.IFERROR(BO71/BO68,0)</f>
        <v>0</v>
      </c>
      <c r="BP72" s="461">
        <f>_xlfn.IFERROR(BP71/BP68,0)</f>
        <v>0</v>
      </c>
      <c r="BQ72" s="461">
        <f>_xlfn.IFERROR(BQ71/BQ68,0)</f>
        <v>0</v>
      </c>
      <c r="BR72" s="461">
        <f>_xlfn.IFERROR(BR71/BR68,0)</f>
        <v>0</v>
      </c>
      <c r="BS72" s="461">
        <f>_xlfn.IFERROR(BS71/BS68,0)</f>
        <v>0</v>
      </c>
      <c r="BT72" s="461">
        <f>_xlfn.IFERROR(BT71/BT68,0)</f>
        <v>0</v>
      </c>
      <c r="BU72" s="461">
        <f>_xlfn.IFERROR(BU71/BU68,0)</f>
        <v>0</v>
      </c>
      <c r="BV72" s="461">
        <f>_xlfn.IFERROR(BV71/BV68,0)</f>
        <v>0</v>
      </c>
      <c r="BW72" s="85"/>
      <c r="BZ72" s="975" t="s">
        <v>723</v>
      </c>
      <c r="CA72" s="1077" cm="1" t="str">
        <f t="array" ref="CA72:CA72">CA71</f>
        <v>0</v>
      </c>
      <c r="CB72" s="1076"/>
      <c r="CC72" s="1076"/>
      <c r="CD72" s="1077" t="s">
        <v>639</v>
      </c>
      <c r="CE72" s="1076"/>
      <c r="CF72" s="1076"/>
      <c r="CG72" s="1077" t="s">
        <v>698</v>
      </c>
      <c r="CH72" s="1076"/>
      <c r="CI72" s="1077" t="s">
        <v>255</v>
      </c>
      <c r="CJ72" s="1077" t="s">
        <v>303</v>
      </c>
      <c r="CK72" s="1077" t="s">
        <v>724</v>
      </c>
      <c r="CL72" s="1077" t="s">
        <v>725</v>
      </c>
    </row>
    <row customHeight="1" ht="16.575" hidden="1">
      <c r="E73" s="180">
        <v>17</v>
      </c>
      <c r="F73" s="175" cm="1" t="str">
        <f t="array" ref="F73:F73">OFFSET(G73,-1,-1)</f>
        <v>0</v>
      </c>
      <c r="T73" s="753" cm="1" t="str">
        <f t="array" ref="T73:T73">T72</f>
        <v>false</v>
      </c>
      <c r="AB73" s="423" t="str">
        <f>AB70&amp;".2"</f>
        <v>8.2</v>
      </c>
      <c r="AC73" s="446" t="s">
        <v>640</v>
      </c>
      <c r="AD73" s="424" t="s">
        <v>629</v>
      </c>
      <c r="AE73" s="47"/>
      <c r="AF73" s="47"/>
      <c r="AG73" s="47"/>
      <c r="AH73" s="47"/>
      <c r="AI73" s="439"/>
      <c r="AJ73" s="47"/>
      <c r="AK73" s="47"/>
      <c r="AL73" s="47"/>
      <c r="AM73" s="47"/>
      <c r="AN73" s="47"/>
      <c r="AO73" s="47"/>
      <c r="AP73" s="47"/>
      <c r="AQ73" s="47"/>
      <c r="AR73" s="47"/>
      <c r="AS73" s="47"/>
      <c r="AT73" s="47"/>
      <c r="AU73" s="47"/>
      <c r="AV73" s="47"/>
      <c r="AW73" s="47"/>
      <c r="AX73" s="47"/>
      <c r="AY73" s="47"/>
      <c r="AZ73" s="47"/>
      <c r="BA73" s="47"/>
      <c r="BB73" s="47"/>
      <c r="BC73" s="439"/>
      <c r="BD73" s="47"/>
      <c r="BE73" s="47"/>
      <c r="BF73" s="47"/>
      <c r="BG73" s="47"/>
      <c r="BH73" s="47"/>
      <c r="BI73" s="47"/>
      <c r="BJ73" s="47"/>
      <c r="BK73" s="47"/>
      <c r="BL73" s="47"/>
      <c r="BM73" s="47"/>
      <c r="BN73" s="47"/>
      <c r="BO73" s="47"/>
      <c r="BP73" s="47"/>
      <c r="BQ73" s="47"/>
      <c r="BR73" s="47"/>
      <c r="BS73" s="47"/>
      <c r="BT73" s="47"/>
      <c r="BU73" s="47"/>
      <c r="BV73" s="47"/>
      <c r="BW73" s="85"/>
      <c r="BZ73" s="975" t="s">
        <v>726</v>
      </c>
      <c r="CA73" s="1077" cm="1" t="str">
        <f t="array" ref="CA73:CA73">CA72</f>
        <v>0</v>
      </c>
      <c r="CB73" s="1076"/>
      <c r="CC73" s="1076"/>
      <c r="CD73" s="1077" t="s">
        <v>642</v>
      </c>
      <c r="CE73" s="1076"/>
      <c r="CF73" s="1076"/>
      <c r="CG73" s="1077" t="s">
        <v>698</v>
      </c>
      <c r="CH73" s="1076"/>
      <c r="CI73" s="1077" t="s">
        <v>219</v>
      </c>
      <c r="CJ73" s="1077" t="s">
        <v>303</v>
      </c>
      <c r="CK73" s="1077" t="s">
        <v>719</v>
      </c>
      <c r="CL73" s="1077" t="s">
        <v>720</v>
      </c>
    </row>
    <row customHeight="1" ht="16.575" hidden="1">
      <c r="E74" s="180">
        <v>17</v>
      </c>
      <c r="F74" s="175" cm="1" t="str">
        <f t="array" ref="F74:F74">OFFSET(G74,-1,-1)</f>
        <v>0</v>
      </c>
      <c r="T74" s="753" cm="1" t="str">
        <f t="array" ref="T74:T74">T73</f>
        <v>false</v>
      </c>
      <c r="AB74" s="423" t="str">
        <f>AB73&amp;".1"</f>
        <v>8.2.1</v>
      </c>
      <c r="AC74" s="460" t="s">
        <v>722</v>
      </c>
      <c r="AD74" s="328" t="s">
        <v>495</v>
      </c>
      <c r="AE74" s="462">
        <f>_xlfn.IFERROR(AE73/AE69,0)</f>
        <v>0</v>
      </c>
      <c r="AF74" s="462">
        <f>_xlfn.IFERROR(AF73/AF69,0)</f>
        <v>0</v>
      </c>
      <c r="AG74" s="462">
        <f>_xlfn.IFERROR(AG73/AG69,0)</f>
        <v>0</v>
      </c>
      <c r="AH74" s="462">
        <f>_xlfn.IFERROR(AH73/AH69,0)</f>
        <v>0</v>
      </c>
      <c r="AI74" s="462">
        <f>_xlfn.IFERROR(AI73/AI69,0)</f>
        <v>0</v>
      </c>
      <c r="AJ74" s="462">
        <f>_xlfn.IFERROR(AJ73/AJ69,0)</f>
        <v>0</v>
      </c>
      <c r="AK74" s="462">
        <f>_xlfn.IFERROR(AK73/AK69,0)</f>
        <v>0</v>
      </c>
      <c r="AL74" s="462">
        <f>_xlfn.IFERROR(AL73/AL69,0)</f>
        <v>0</v>
      </c>
      <c r="AM74" s="462">
        <f>_xlfn.IFERROR(AM73/AM69,0)</f>
        <v>0</v>
      </c>
      <c r="AN74" s="462">
        <f>_xlfn.IFERROR(AN73/AN69,0)</f>
        <v>0</v>
      </c>
      <c r="AO74" s="462">
        <f>_xlfn.IFERROR(AO73/AO69,0)</f>
        <v>0</v>
      </c>
      <c r="AP74" s="462">
        <f>_xlfn.IFERROR(AP73/AP69,0)</f>
        <v>0</v>
      </c>
      <c r="AQ74" s="462">
        <f>_xlfn.IFERROR(AQ73/AQ69,0)</f>
        <v>0</v>
      </c>
      <c r="AR74" s="462">
        <f>_xlfn.IFERROR(AR73/AR69,0)</f>
        <v>0</v>
      </c>
      <c r="AS74" s="462">
        <f>_xlfn.IFERROR(AS73/AS69,0)</f>
        <v>0</v>
      </c>
      <c r="AT74" s="462">
        <f>_xlfn.IFERROR(AT73/AT69,0)</f>
        <v>0</v>
      </c>
      <c r="AU74" s="462">
        <f>_xlfn.IFERROR(AU73/AU69,0)</f>
        <v>0</v>
      </c>
      <c r="AV74" s="462">
        <f>_xlfn.IFERROR(AV73/AV69,0)</f>
        <v>0</v>
      </c>
      <c r="AW74" s="462">
        <f>_xlfn.IFERROR(AW73/AW69,0)</f>
        <v>0</v>
      </c>
      <c r="AX74" s="462">
        <f>_xlfn.IFERROR(AX73/AX69,0)</f>
        <v>0</v>
      </c>
      <c r="AY74" s="462">
        <f>_xlfn.IFERROR(AY73/AY69,0)</f>
        <v>0</v>
      </c>
      <c r="AZ74" s="462">
        <f>_xlfn.IFERROR(AZ73/AZ69,0)</f>
        <v>0</v>
      </c>
      <c r="BA74" s="462">
        <f>_xlfn.IFERROR(BA73/BA69,0)</f>
        <v>0</v>
      </c>
      <c r="BB74" s="462">
        <f>_xlfn.IFERROR(BB73/BB69,0)</f>
        <v>0</v>
      </c>
      <c r="BC74" s="462">
        <f>_xlfn.IFERROR(BC73/BC69,0)</f>
        <v>0</v>
      </c>
      <c r="BD74" s="462">
        <f>_xlfn.IFERROR(BD73/BD69,0)</f>
        <v>0</v>
      </c>
      <c r="BE74" s="462">
        <f>_xlfn.IFERROR(BE73/BE69,0)</f>
        <v>0</v>
      </c>
      <c r="BF74" s="462">
        <f>_xlfn.IFERROR(BF73/BF69,0)</f>
        <v>0</v>
      </c>
      <c r="BG74" s="462">
        <f>_xlfn.IFERROR(BG73/BG69,0)</f>
        <v>0</v>
      </c>
      <c r="BH74" s="462">
        <f>_xlfn.IFERROR(BH73/BH69,0)</f>
        <v>0</v>
      </c>
      <c r="BI74" s="462">
        <f>_xlfn.IFERROR(BI73/BI69,0)</f>
        <v>0</v>
      </c>
      <c r="BJ74" s="462">
        <f>_xlfn.IFERROR(BJ73/BJ69,0)</f>
        <v>0</v>
      </c>
      <c r="BK74" s="462">
        <f>_xlfn.IFERROR(BK73/BK69,0)</f>
        <v>0</v>
      </c>
      <c r="BL74" s="462">
        <f>_xlfn.IFERROR(BL73/BL69,0)</f>
        <v>0</v>
      </c>
      <c r="BM74" s="462">
        <f>_xlfn.IFERROR(BM73/BM69,0)</f>
        <v>0</v>
      </c>
      <c r="BN74" s="462">
        <f>_xlfn.IFERROR(BN73/BN69,0)</f>
        <v>0</v>
      </c>
      <c r="BO74" s="462">
        <f>_xlfn.IFERROR(BO73/BO69,0)</f>
        <v>0</v>
      </c>
      <c r="BP74" s="462">
        <f>_xlfn.IFERROR(BP73/BP69,0)</f>
        <v>0</v>
      </c>
      <c r="BQ74" s="462">
        <f>_xlfn.IFERROR(BQ73/BQ69,0)</f>
        <v>0</v>
      </c>
      <c r="BR74" s="462">
        <f>_xlfn.IFERROR(BR73/BR69,0)</f>
        <v>0</v>
      </c>
      <c r="BS74" s="462">
        <f>_xlfn.IFERROR(BS73/BS69,0)</f>
        <v>0</v>
      </c>
      <c r="BT74" s="462">
        <f>_xlfn.IFERROR(BT73/BT69,0)</f>
        <v>0</v>
      </c>
      <c r="BU74" s="462">
        <f>_xlfn.IFERROR(BU73/BU69,0)</f>
        <v>0</v>
      </c>
      <c r="BV74" s="462">
        <f>_xlfn.IFERROR(BV73/BV69,0)</f>
        <v>0</v>
      </c>
      <c r="BW74" s="86"/>
      <c r="BZ74" s="975" t="s">
        <v>727</v>
      </c>
      <c r="CA74" s="1077" cm="1" t="str">
        <f t="array" ref="CA74:CA74">CA73</f>
        <v>0</v>
      </c>
      <c r="CB74" s="1076"/>
      <c r="CC74" s="1076"/>
      <c r="CD74" s="1077" t="s">
        <v>642</v>
      </c>
      <c r="CE74" s="1076"/>
      <c r="CF74" s="1076"/>
      <c r="CG74" s="1077" t="s">
        <v>698</v>
      </c>
      <c r="CH74" s="1076"/>
      <c r="CI74" s="1077" t="s">
        <v>255</v>
      </c>
      <c r="CJ74" s="1077" t="s">
        <v>303</v>
      </c>
      <c r="CK74" s="1077" t="s">
        <v>724</v>
      </c>
      <c r="CL74" s="1077" t="s">
        <v>725</v>
      </c>
    </row>
    <row customHeight="1" ht="16.575" hidden="1">
      <c r="E75" s="180">
        <v>17</v>
      </c>
      <c r="F75" s="175" cm="1" t="str">
        <f t="array" ref="F75:F75">OFFSET(G75,-1,-1)</f>
        <v>0</v>
      </c>
      <c r="T75" s="753" cm="1" t="str">
        <f t="array" ref="T75:T75">T74</f>
        <v>false</v>
      </c>
      <c r="AB75" s="463">
        <v>9</v>
      </c>
      <c r="AC75" s="454" t="s">
        <v>728</v>
      </c>
      <c r="AD75" s="328" t="s">
        <v>629</v>
      </c>
      <c r="AE75" s="448">
        <f>AE76+AE83</f>
        <v>0</v>
      </c>
      <c r="AF75" s="448">
        <f>AF76+AF83</f>
        <v>0</v>
      </c>
      <c r="AG75" s="448">
        <f>AG76+AG83</f>
        <v>0</v>
      </c>
      <c r="AH75" s="448">
        <f>AH76+AH83</f>
        <v>0</v>
      </c>
      <c r="AI75" s="448">
        <f>AI76+AI83</f>
        <v>0</v>
      </c>
      <c r="AJ75" s="448">
        <f>AJ76+AJ83</f>
        <v>0</v>
      </c>
      <c r="AK75" s="448">
        <f>AK76+AK83</f>
        <v>0</v>
      </c>
      <c r="AL75" s="448">
        <f>AL76+AL83</f>
        <v>0</v>
      </c>
      <c r="AM75" s="448">
        <f>AM76+AM83</f>
        <v>0</v>
      </c>
      <c r="AN75" s="448">
        <f>AN76+AN83</f>
        <v>0</v>
      </c>
      <c r="AO75" s="448">
        <f>AO76+AO83</f>
        <v>0</v>
      </c>
      <c r="AP75" s="448">
        <f>AP76+AP83</f>
        <v>0</v>
      </c>
      <c r="AQ75" s="448">
        <f>AQ76+AQ83</f>
        <v>0</v>
      </c>
      <c r="AR75" s="448">
        <f>AR76+AR83</f>
        <v>0</v>
      </c>
      <c r="AS75" s="448">
        <f>AS76+AS83</f>
        <v>0</v>
      </c>
      <c r="AT75" s="448">
        <f>AT76+AT83</f>
        <v>0</v>
      </c>
      <c r="AU75" s="448">
        <f>AU76+AU83</f>
        <v>0</v>
      </c>
      <c r="AV75" s="448">
        <f>AV76+AV83</f>
        <v>0</v>
      </c>
      <c r="AW75" s="448">
        <f>AW76+AW83</f>
        <v>0</v>
      </c>
      <c r="AX75" s="448">
        <f>AX76+AX83</f>
        <v>0</v>
      </c>
      <c r="AY75" s="448">
        <f>AY76+AY83</f>
        <v>0</v>
      </c>
      <c r="AZ75" s="448">
        <f>AZ76+AZ83</f>
        <v>0</v>
      </c>
      <c r="BA75" s="448">
        <f>BA76+BA83</f>
        <v>0</v>
      </c>
      <c r="BB75" s="448">
        <f>BB76+BB83</f>
        <v>0</v>
      </c>
      <c r="BC75" s="448">
        <f>BC76+BC83</f>
        <v>0</v>
      </c>
      <c r="BD75" s="448">
        <f>BD76+BD83</f>
        <v>0</v>
      </c>
      <c r="BE75" s="448">
        <f>BE76+BE83</f>
        <v>0</v>
      </c>
      <c r="BF75" s="448">
        <f>BF76+BF83</f>
        <v>0</v>
      </c>
      <c r="BG75" s="448">
        <f>BG76+BG83</f>
        <v>0</v>
      </c>
      <c r="BH75" s="448">
        <f>BH76+BH83</f>
        <v>0</v>
      </c>
      <c r="BI75" s="448">
        <f>BI76+BI83</f>
        <v>0</v>
      </c>
      <c r="BJ75" s="448">
        <f>BJ76+BJ83</f>
        <v>0</v>
      </c>
      <c r="BK75" s="448">
        <f>BK76+BK83</f>
        <v>0</v>
      </c>
      <c r="BL75" s="448">
        <f>BL76+BL83</f>
        <v>0</v>
      </c>
      <c r="BM75" s="448">
        <f>BM76+BM83</f>
        <v>0</v>
      </c>
      <c r="BN75" s="448">
        <f>BN76+BN83</f>
        <v>0</v>
      </c>
      <c r="BO75" s="448">
        <f>BO76+BO83</f>
        <v>0</v>
      </c>
      <c r="BP75" s="448">
        <f>BP76+BP83</f>
        <v>0</v>
      </c>
      <c r="BQ75" s="448">
        <f>BQ76+BQ83</f>
        <v>0</v>
      </c>
      <c r="BR75" s="448">
        <f>BR76+BR83</f>
        <v>0</v>
      </c>
      <c r="BS75" s="448">
        <f>BS76+BS83</f>
        <v>0</v>
      </c>
      <c r="BT75" s="448">
        <f>BT76+BT83</f>
        <v>0</v>
      </c>
      <c r="BU75" s="448">
        <f>BU76+BU83</f>
        <v>0</v>
      </c>
      <c r="BV75" s="448">
        <f>BV76+BV83</f>
        <v>0</v>
      </c>
      <c r="BW75" s="83"/>
      <c r="BZ75" s="975" t="s">
        <v>729</v>
      </c>
      <c r="CA75" s="1077" cm="1" t="str">
        <f t="array" ref="CA75:CA75">CA74</f>
        <v>0</v>
      </c>
      <c r="CB75" s="1076"/>
      <c r="CC75" s="1076"/>
      <c r="CD75" s="1076"/>
      <c r="CE75" s="1076"/>
      <c r="CF75" s="1076"/>
      <c r="CG75" s="1076"/>
      <c r="CH75" s="1076"/>
      <c r="CI75" s="1077" t="s">
        <v>255</v>
      </c>
      <c r="CJ75" s="1077" t="s">
        <v>303</v>
      </c>
      <c r="CK75" s="1077" t="s">
        <v>667</v>
      </c>
      <c r="CL75" s="1077" t="s">
        <v>668</v>
      </c>
    </row>
    <row customHeight="1" ht="16.575" hidden="1">
      <c r="E76" s="180">
        <v>17</v>
      </c>
      <c r="F76" s="175" cm="1" t="str">
        <f t="array" ref="F76:F76">OFFSET(G76,-1,-1)</f>
        <v>0</v>
      </c>
      <c r="T76" s="753" cm="1" t="str">
        <f t="array" ref="T76:T76">T75</f>
        <v>false</v>
      </c>
      <c r="AB76" s="423" t="str">
        <f>AB75&amp;".1"</f>
        <v>9.1</v>
      </c>
      <c r="AC76" s="446" t="s">
        <v>637</v>
      </c>
      <c r="AD76" s="328" t="s">
        <v>629</v>
      </c>
      <c r="AE76" s="50">
        <f>AE77+AE78</f>
        <v>0</v>
      </c>
      <c r="AF76" s="50">
        <f>AF77+AF78</f>
        <v>0</v>
      </c>
      <c r="AG76" s="50">
        <f>AG77+AG78</f>
        <v>0</v>
      </c>
      <c r="AH76" s="50">
        <f>AH77+AH78</f>
        <v>0</v>
      </c>
      <c r="AI76" s="449">
        <f>AI77+AI78</f>
        <v>0</v>
      </c>
      <c r="AJ76" s="50">
        <f>AJ77+AJ78</f>
        <v>0</v>
      </c>
      <c r="AK76" s="50">
        <f>AK77+AK78</f>
        <v>0</v>
      </c>
      <c r="AL76" s="50">
        <f>AL77+AL78</f>
        <v>0</v>
      </c>
      <c r="AM76" s="50">
        <f>AM77+AM78</f>
        <v>0</v>
      </c>
      <c r="AN76" s="50">
        <f>AN77+AN78</f>
        <v>0</v>
      </c>
      <c r="AO76" s="50">
        <f>AO77+AO78</f>
        <v>0</v>
      </c>
      <c r="AP76" s="50">
        <f>AP77+AP78</f>
        <v>0</v>
      </c>
      <c r="AQ76" s="50">
        <f>AQ77+AQ78</f>
        <v>0</v>
      </c>
      <c r="AR76" s="50">
        <f>AR77+AR78</f>
        <v>0</v>
      </c>
      <c r="AS76" s="50">
        <f>AS77+AS78</f>
        <v>0</v>
      </c>
      <c r="AT76" s="50">
        <f>AT77+AT78</f>
        <v>0</v>
      </c>
      <c r="AU76" s="50">
        <f>AU77+AU78</f>
        <v>0</v>
      </c>
      <c r="AV76" s="50">
        <f>AV77+AV78</f>
        <v>0</v>
      </c>
      <c r="AW76" s="50">
        <f>AW77+AW78</f>
        <v>0</v>
      </c>
      <c r="AX76" s="50">
        <f>AX77+AX78</f>
        <v>0</v>
      </c>
      <c r="AY76" s="50">
        <f>AY77+AY78</f>
        <v>0</v>
      </c>
      <c r="AZ76" s="50">
        <f>AZ77+AZ78</f>
        <v>0</v>
      </c>
      <c r="BA76" s="50">
        <f>BA77+BA78</f>
        <v>0</v>
      </c>
      <c r="BB76" s="50">
        <f>BB77+BB78</f>
        <v>0</v>
      </c>
      <c r="BC76" s="449">
        <f>BC77+BC78</f>
        <v>0</v>
      </c>
      <c r="BD76" s="50">
        <f>BD77+BD78</f>
        <v>0</v>
      </c>
      <c r="BE76" s="50">
        <f>BE77+BE78</f>
        <v>0</v>
      </c>
      <c r="BF76" s="50">
        <f>BF77+BF78</f>
        <v>0</v>
      </c>
      <c r="BG76" s="50">
        <f>BG77+BG78</f>
        <v>0</v>
      </c>
      <c r="BH76" s="50">
        <f>BH77+BH78</f>
        <v>0</v>
      </c>
      <c r="BI76" s="50">
        <f>BI77+BI78</f>
        <v>0</v>
      </c>
      <c r="BJ76" s="50">
        <f>BJ77+BJ78</f>
        <v>0</v>
      </c>
      <c r="BK76" s="50">
        <f>BK77+BK78</f>
        <v>0</v>
      </c>
      <c r="BL76" s="50">
        <f>BL77+BL78</f>
        <v>0</v>
      </c>
      <c r="BM76" s="50">
        <f>BM77+BM78</f>
        <v>0</v>
      </c>
      <c r="BN76" s="50">
        <f>BN77+BN78</f>
        <v>0</v>
      </c>
      <c r="BO76" s="50">
        <f>BO77+BO78</f>
        <v>0</v>
      </c>
      <c r="BP76" s="50">
        <f>BP77+BP78</f>
        <v>0</v>
      </c>
      <c r="BQ76" s="50">
        <f>BQ77+BQ78</f>
        <v>0</v>
      </c>
      <c r="BR76" s="50">
        <f>BR77+BR78</f>
        <v>0</v>
      </c>
      <c r="BS76" s="50">
        <f>BS77+BS78</f>
        <v>0</v>
      </c>
      <c r="BT76" s="50">
        <f>BT77+BT78</f>
        <v>0</v>
      </c>
      <c r="BU76" s="50">
        <f>BU77+BU78</f>
        <v>0</v>
      </c>
      <c r="BV76" s="50">
        <f>BV77+BV78</f>
        <v>0</v>
      </c>
      <c r="BW76" s="83"/>
      <c r="BZ76" s="975" t="s">
        <v>730</v>
      </c>
      <c r="CA76" s="1077" cm="1" t="str">
        <f t="array" ref="CA76:CA76">CA75</f>
        <v>0</v>
      </c>
      <c r="CB76" s="1076"/>
      <c r="CC76" s="1076"/>
      <c r="CD76" s="1077" t="s">
        <v>639</v>
      </c>
      <c r="CE76" s="1076"/>
      <c r="CF76" s="1076"/>
      <c r="CG76" s="1076"/>
      <c r="CH76" s="1076"/>
      <c r="CI76" s="1076"/>
      <c r="CJ76" s="1077" t="s">
        <v>303</v>
      </c>
      <c r="CK76" s="1077" t="s">
        <v>667</v>
      </c>
      <c r="CL76" s="1077" t="s">
        <v>668</v>
      </c>
    </row>
    <row customHeight="1" ht="16.575" hidden="1">
      <c r="E77" s="180">
        <v>17</v>
      </c>
      <c r="F77" s="175" cm="1" t="str">
        <f t="array" ref="F77:F77">OFFSET(G77,-1,-1)</f>
        <v>0</v>
      </c>
      <c r="T77" s="753" cm="1" t="str">
        <f t="array" ref="T77:T77">T76</f>
        <v>false</v>
      </c>
      <c r="AB77" s="423" t="str">
        <f>AB76&amp;".1"</f>
        <v>9.1.1</v>
      </c>
      <c r="AC77" s="455" t="s">
        <v>690</v>
      </c>
      <c r="AD77" s="328" t="s">
        <v>629</v>
      </c>
      <c r="AE77" s="50"/>
      <c r="AF77" s="50"/>
      <c r="AG77" s="50"/>
      <c r="AH77" s="50"/>
      <c r="AI77" s="449"/>
      <c r="AJ77" s="50"/>
      <c r="AK77" s="50"/>
      <c r="AL77" s="50"/>
      <c r="AM77" s="50"/>
      <c r="AN77" s="50"/>
      <c r="AO77" s="50"/>
      <c r="AP77" s="50"/>
      <c r="AQ77" s="50"/>
      <c r="AR77" s="50"/>
      <c r="AS77" s="50"/>
      <c r="AT77" s="50"/>
      <c r="AU77" s="50"/>
      <c r="AV77" s="50"/>
      <c r="AW77" s="50"/>
      <c r="AX77" s="50"/>
      <c r="AY77" s="50"/>
      <c r="AZ77" s="50"/>
      <c r="BA77" s="50"/>
      <c r="BB77" s="50"/>
      <c r="BC77" s="449"/>
      <c r="BD77" s="50"/>
      <c r="BE77" s="50"/>
      <c r="BF77" s="50"/>
      <c r="BG77" s="50"/>
      <c r="BH77" s="50"/>
      <c r="BI77" s="50"/>
      <c r="BJ77" s="50"/>
      <c r="BK77" s="50"/>
      <c r="BL77" s="50"/>
      <c r="BM77" s="50"/>
      <c r="BN77" s="50"/>
      <c r="BO77" s="50"/>
      <c r="BP77" s="50"/>
      <c r="BQ77" s="50"/>
      <c r="BR77" s="50"/>
      <c r="BS77" s="50"/>
      <c r="BT77" s="50"/>
      <c r="BU77" s="50"/>
      <c r="BV77" s="50"/>
      <c r="BW77" s="83"/>
      <c r="BZ77" s="975" t="s">
        <v>731</v>
      </c>
      <c r="CA77" s="1077" cm="1" t="str">
        <f t="array" ref="CA77:CA77">CA76</f>
        <v>0</v>
      </c>
      <c r="CB77" s="1076"/>
      <c r="CC77" s="1076"/>
      <c r="CD77" s="1077" t="s">
        <v>639</v>
      </c>
      <c r="CE77" s="1076"/>
      <c r="CF77" s="1076"/>
      <c r="CG77" s="1076"/>
      <c r="CH77" s="1077" t="s">
        <v>692</v>
      </c>
      <c r="CI77" s="1076"/>
      <c r="CJ77" s="1077" t="s">
        <v>303</v>
      </c>
      <c r="CK77" s="1077" t="s">
        <v>667</v>
      </c>
      <c r="CL77" s="1077" t="s">
        <v>668</v>
      </c>
    </row>
    <row customHeight="1" ht="16.575" hidden="1">
      <c r="E78" s="180">
        <v>17</v>
      </c>
      <c r="F78" s="175" cm="1" t="str">
        <f t="array" ref="F78:F78">OFFSET(G78,-1,-1)</f>
        <v>0</v>
      </c>
      <c r="T78" s="753" cm="1" t="str">
        <f t="array" ref="T78:T78">T77</f>
        <v>false</v>
      </c>
      <c r="AB78" s="423" t="str">
        <f>AB76&amp;".2"</f>
        <v>9.1.2</v>
      </c>
      <c r="AC78" s="456" t="s">
        <v>693</v>
      </c>
      <c r="AD78" s="328" t="s">
        <v>629</v>
      </c>
      <c r="AE78" s="52">
        <f>AE79+AE80+AE81+AE82</f>
        <v>0</v>
      </c>
      <c r="AF78" s="52">
        <f>AF79+AF80+AF81+AF82</f>
        <v>0</v>
      </c>
      <c r="AG78" s="52">
        <f>AG79+AG80+AG81+AG82</f>
        <v>0</v>
      </c>
      <c r="AH78" s="52">
        <f>AH79+AH80+AH81+AH82</f>
        <v>0</v>
      </c>
      <c r="AI78" s="464">
        <f>AI79+AI80+AI81+AI82</f>
        <v>0</v>
      </c>
      <c r="AJ78" s="52">
        <f>AJ79+AJ80+AJ81+AJ82</f>
        <v>0</v>
      </c>
      <c r="AK78" s="52">
        <f>AK79+AK80+AK81+AK82</f>
        <v>0</v>
      </c>
      <c r="AL78" s="52">
        <f>AL79+AL80+AL81+AL82</f>
        <v>0</v>
      </c>
      <c r="AM78" s="52">
        <f>AM79+AM80+AM81+AM82</f>
        <v>0</v>
      </c>
      <c r="AN78" s="52">
        <f>AN79+AN80+AN81+AN82</f>
        <v>0</v>
      </c>
      <c r="AO78" s="52">
        <f>AO79+AO80+AO81+AO82</f>
        <v>0</v>
      </c>
      <c r="AP78" s="52">
        <f>AP79+AP80+AP81+AP82</f>
        <v>0</v>
      </c>
      <c r="AQ78" s="52">
        <f>AQ79+AQ80+AQ81+AQ82</f>
        <v>0</v>
      </c>
      <c r="AR78" s="52">
        <f>AR79+AR80+AR81+AR82</f>
        <v>0</v>
      </c>
      <c r="AS78" s="52">
        <f>AS79+AS80+AS81+AS82</f>
        <v>0</v>
      </c>
      <c r="AT78" s="52">
        <f>AT79+AT80+AT81+AT82</f>
        <v>0</v>
      </c>
      <c r="AU78" s="52">
        <f>AU79+AU80+AU81+AU82</f>
        <v>0</v>
      </c>
      <c r="AV78" s="52">
        <f>AV79+AV80+AV81+AV82</f>
        <v>0</v>
      </c>
      <c r="AW78" s="52">
        <f>AW79+AW80+AW81+AW82</f>
        <v>0</v>
      </c>
      <c r="AX78" s="52">
        <f>AX79+AX80+AX81+AX82</f>
        <v>0</v>
      </c>
      <c r="AY78" s="52">
        <f>AY79+AY80+AY81+AY82</f>
        <v>0</v>
      </c>
      <c r="AZ78" s="52">
        <f>AZ79+AZ80+AZ81+AZ82</f>
        <v>0</v>
      </c>
      <c r="BA78" s="52">
        <f>BA79+BA80+BA81+BA82</f>
        <v>0</v>
      </c>
      <c r="BB78" s="52">
        <f>BB79+BB80+BB81+BB82</f>
        <v>0</v>
      </c>
      <c r="BC78" s="464">
        <f>BC79+BC80+BC81+BC82</f>
        <v>0</v>
      </c>
      <c r="BD78" s="52">
        <f>BD79+BD80+BD81+BD82</f>
        <v>0</v>
      </c>
      <c r="BE78" s="52">
        <f>BE79+BE80+BE81+BE82</f>
        <v>0</v>
      </c>
      <c r="BF78" s="52">
        <f>BF79+BF80+BF81+BF82</f>
        <v>0</v>
      </c>
      <c r="BG78" s="52">
        <f>BG79+BG80+BG81+BG82</f>
        <v>0</v>
      </c>
      <c r="BH78" s="52">
        <f>BH79+BH80+BH81+BH82</f>
        <v>0</v>
      </c>
      <c r="BI78" s="52">
        <f>BI79+BI80+BI81+BI82</f>
        <v>0</v>
      </c>
      <c r="BJ78" s="52">
        <f>BJ79+BJ80+BJ81+BJ82</f>
        <v>0</v>
      </c>
      <c r="BK78" s="52">
        <f>BK79+BK80+BK81+BK82</f>
        <v>0</v>
      </c>
      <c r="BL78" s="52">
        <f>BL79+BL80+BL81+BL82</f>
        <v>0</v>
      </c>
      <c r="BM78" s="52">
        <f>BM79+BM80+BM81+BM82</f>
        <v>0</v>
      </c>
      <c r="BN78" s="52">
        <f>BN79+BN80+BN81+BN82</f>
        <v>0</v>
      </c>
      <c r="BO78" s="52">
        <f>BO79+BO80+BO81+BO82</f>
        <v>0</v>
      </c>
      <c r="BP78" s="52">
        <f>BP79+BP80+BP81+BP82</f>
        <v>0</v>
      </c>
      <c r="BQ78" s="52">
        <f>BQ79+BQ80+BQ81+BQ82</f>
        <v>0</v>
      </c>
      <c r="BR78" s="52">
        <f>BR79+BR80+BR81+BR82</f>
        <v>0</v>
      </c>
      <c r="BS78" s="52">
        <f>BS79+BS80+BS81+BS82</f>
        <v>0</v>
      </c>
      <c r="BT78" s="52">
        <f>BT79+BT80+BT81+BT82</f>
        <v>0</v>
      </c>
      <c r="BU78" s="52">
        <f>BU79+BU80+BU81+BU82</f>
        <v>0</v>
      </c>
      <c r="BV78" s="52">
        <f>BV79+BV80+BV81+BV82</f>
        <v>0</v>
      </c>
      <c r="BW78" s="83"/>
      <c r="BZ78" s="975" t="s">
        <v>732</v>
      </c>
      <c r="CA78" s="1077" cm="1" t="str">
        <f t="array" ref="CA78:CA78">CA77</f>
        <v>0</v>
      </c>
      <c r="CB78" s="1076"/>
      <c r="CC78" s="1076"/>
      <c r="CD78" s="1077" t="s">
        <v>639</v>
      </c>
      <c r="CE78" s="1076"/>
      <c r="CF78" s="1076"/>
      <c r="CG78" s="1076"/>
      <c r="CH78" s="1077" t="s">
        <v>695</v>
      </c>
      <c r="CI78" s="1076"/>
      <c r="CJ78" s="1077" t="s">
        <v>303</v>
      </c>
      <c r="CK78" s="1077" t="s">
        <v>667</v>
      </c>
      <c r="CL78" s="1077" t="s">
        <v>668</v>
      </c>
    </row>
    <row customHeight="1" ht="16.575" hidden="1">
      <c r="E79" s="180">
        <v>17</v>
      </c>
      <c r="F79" s="175" cm="1" t="str">
        <f t="array" ref="F79:F79">OFFSET(G79,-1,-1)</f>
        <v>0</v>
      </c>
      <c r="T79" s="753" cm="1" t="str">
        <f t="array" ref="T79:T79">T78</f>
        <v>false</v>
      </c>
      <c r="AB79" s="423" t="str">
        <f>AB78&amp;".1"</f>
        <v>9.1.2.1</v>
      </c>
      <c r="AC79" s="457" t="s">
        <v>696</v>
      </c>
      <c r="AD79" s="424" t="s">
        <v>629</v>
      </c>
      <c r="AE79" s="53"/>
      <c r="AF79" s="53"/>
      <c r="AG79" s="53"/>
      <c r="AH79" s="53"/>
      <c r="AI79" s="465"/>
      <c r="AJ79" s="53"/>
      <c r="AK79" s="53"/>
      <c r="AL79" s="53"/>
      <c r="AM79" s="53"/>
      <c r="AN79" s="53"/>
      <c r="AO79" s="53"/>
      <c r="AP79" s="53"/>
      <c r="AQ79" s="53"/>
      <c r="AR79" s="53"/>
      <c r="AS79" s="53"/>
      <c r="AT79" s="53"/>
      <c r="AU79" s="53"/>
      <c r="AV79" s="53"/>
      <c r="AW79" s="53"/>
      <c r="AX79" s="53"/>
      <c r="AY79" s="53"/>
      <c r="AZ79" s="53"/>
      <c r="BA79" s="53"/>
      <c r="BB79" s="53"/>
      <c r="BC79" s="465"/>
      <c r="BD79" s="53"/>
      <c r="BE79" s="53"/>
      <c r="BF79" s="53"/>
      <c r="BG79" s="53"/>
      <c r="BH79" s="53"/>
      <c r="BI79" s="53"/>
      <c r="BJ79" s="53"/>
      <c r="BK79" s="53"/>
      <c r="BL79" s="53"/>
      <c r="BM79" s="53"/>
      <c r="BN79" s="53"/>
      <c r="BO79" s="53"/>
      <c r="BP79" s="53"/>
      <c r="BQ79" s="53"/>
      <c r="BR79" s="53"/>
      <c r="BS79" s="53"/>
      <c r="BT79" s="53"/>
      <c r="BU79" s="53"/>
      <c r="BV79" s="53"/>
      <c r="BW79" s="83"/>
      <c r="BZ79" s="975" t="s">
        <v>733</v>
      </c>
      <c r="CA79" s="1077" cm="1" t="str">
        <f t="array" ref="CA79:CA79">CA78</f>
        <v>0</v>
      </c>
      <c r="CB79" s="1076"/>
      <c r="CC79" s="1076"/>
      <c r="CD79" s="1077" t="s">
        <v>639</v>
      </c>
      <c r="CE79" s="1076"/>
      <c r="CF79" s="1076"/>
      <c r="CG79" s="1077" t="s">
        <v>698</v>
      </c>
      <c r="CH79" s="1076"/>
      <c r="CI79" s="1077" t="s">
        <v>449</v>
      </c>
      <c r="CJ79" s="1077" t="s">
        <v>303</v>
      </c>
      <c r="CK79" s="1077" t="s">
        <v>667</v>
      </c>
      <c r="CL79" s="1077" t="s">
        <v>668</v>
      </c>
    </row>
    <row customHeight="1" ht="16.575" hidden="1">
      <c r="E80" s="180">
        <v>17</v>
      </c>
      <c r="F80" s="175" cm="1" t="str">
        <f t="array" ref="F80:F80">OFFSET(G80,-1,-1)</f>
        <v>0</v>
      </c>
      <c r="T80" s="753" cm="1" t="str">
        <f t="array" ref="T80:T80">T79</f>
        <v>false</v>
      </c>
      <c r="AB80" s="423" t="str">
        <f>AB78&amp;".2"</f>
        <v>9.1.2.2</v>
      </c>
      <c r="AC80" s="458" t="s">
        <v>699</v>
      </c>
      <c r="AD80" s="328" t="s">
        <v>629</v>
      </c>
      <c r="AE80" s="50"/>
      <c r="AF80" s="50"/>
      <c r="AG80" s="50"/>
      <c r="AH80" s="50"/>
      <c r="AI80" s="449"/>
      <c r="AJ80" s="50"/>
      <c r="AK80" s="50"/>
      <c r="AL80" s="50"/>
      <c r="AM80" s="50"/>
      <c r="AN80" s="50"/>
      <c r="AO80" s="50"/>
      <c r="AP80" s="50"/>
      <c r="AQ80" s="50"/>
      <c r="AR80" s="50"/>
      <c r="AS80" s="50"/>
      <c r="AT80" s="50"/>
      <c r="AU80" s="50"/>
      <c r="AV80" s="50"/>
      <c r="AW80" s="50"/>
      <c r="AX80" s="50"/>
      <c r="AY80" s="50"/>
      <c r="AZ80" s="50"/>
      <c r="BA80" s="50"/>
      <c r="BB80" s="50"/>
      <c r="BC80" s="449"/>
      <c r="BD80" s="50"/>
      <c r="BE80" s="50"/>
      <c r="BF80" s="50"/>
      <c r="BG80" s="50"/>
      <c r="BH80" s="50"/>
      <c r="BI80" s="50"/>
      <c r="BJ80" s="50"/>
      <c r="BK80" s="50"/>
      <c r="BL80" s="50"/>
      <c r="BM80" s="50"/>
      <c r="BN80" s="50"/>
      <c r="BO80" s="50"/>
      <c r="BP80" s="50"/>
      <c r="BQ80" s="50"/>
      <c r="BR80" s="50"/>
      <c r="BS80" s="50"/>
      <c r="BT80" s="50"/>
      <c r="BU80" s="50"/>
      <c r="BV80" s="50"/>
      <c r="BW80" s="83"/>
      <c r="BZ80" s="975" t="s">
        <v>734</v>
      </c>
      <c r="CA80" s="1077" cm="1" t="str">
        <f t="array" ref="CA80:CA80">CA79</f>
        <v>0</v>
      </c>
      <c r="CB80" s="1076"/>
      <c r="CC80" s="1076"/>
      <c r="CD80" s="1077" t="s">
        <v>639</v>
      </c>
      <c r="CE80" s="1076"/>
      <c r="CF80" s="1077" t="s">
        <v>701</v>
      </c>
      <c r="CG80" s="1076"/>
      <c r="CH80" s="1076"/>
      <c r="CI80" s="1076"/>
      <c r="CJ80" s="1077" t="s">
        <v>303</v>
      </c>
      <c r="CK80" s="1077" t="s">
        <v>667</v>
      </c>
      <c r="CL80" s="1077" t="s">
        <v>668</v>
      </c>
    </row>
    <row customHeight="1" ht="16.575" hidden="1">
      <c r="E81" s="180">
        <v>17</v>
      </c>
      <c r="F81" s="175" cm="1" t="str">
        <f t="array" ref="F81:F81">OFFSET(G81,-1,-1)</f>
        <v>0</v>
      </c>
      <c r="T81" s="753" cm="1" t="str">
        <f t="array" ref="T81:T81">T80</f>
        <v>false</v>
      </c>
      <c r="AB81" s="423" t="str">
        <f>AB78&amp;".3"</f>
        <v>9.1.2.3</v>
      </c>
      <c r="AC81" s="458" t="s">
        <v>702</v>
      </c>
      <c r="AD81" s="328" t="s">
        <v>629</v>
      </c>
      <c r="AE81" s="51"/>
      <c r="AF81" s="51"/>
      <c r="AG81" s="51"/>
      <c r="AH81" s="51"/>
      <c r="AI81" s="450"/>
      <c r="AJ81" s="51"/>
      <c r="AK81" s="51"/>
      <c r="AL81" s="51"/>
      <c r="AM81" s="51"/>
      <c r="AN81" s="51"/>
      <c r="AO81" s="51"/>
      <c r="AP81" s="51"/>
      <c r="AQ81" s="51"/>
      <c r="AR81" s="51"/>
      <c r="AS81" s="51"/>
      <c r="AT81" s="51"/>
      <c r="AU81" s="51"/>
      <c r="AV81" s="51"/>
      <c r="AW81" s="51"/>
      <c r="AX81" s="51"/>
      <c r="AY81" s="51"/>
      <c r="AZ81" s="51"/>
      <c r="BA81" s="51"/>
      <c r="BB81" s="51"/>
      <c r="BC81" s="450"/>
      <c r="BD81" s="51"/>
      <c r="BE81" s="51"/>
      <c r="BF81" s="51"/>
      <c r="BG81" s="51"/>
      <c r="BH81" s="51"/>
      <c r="BI81" s="51"/>
      <c r="BJ81" s="51"/>
      <c r="BK81" s="51"/>
      <c r="BL81" s="51"/>
      <c r="BM81" s="51"/>
      <c r="BN81" s="51"/>
      <c r="BO81" s="51"/>
      <c r="BP81" s="51"/>
      <c r="BQ81" s="51"/>
      <c r="BR81" s="51"/>
      <c r="BS81" s="51"/>
      <c r="BT81" s="51"/>
      <c r="BU81" s="51"/>
      <c r="BV81" s="51"/>
      <c r="BW81" s="83"/>
      <c r="BZ81" s="975" t="s">
        <v>735</v>
      </c>
      <c r="CA81" s="1077" cm="1" t="str">
        <f t="array" ref="CA81:CA81">CA80</f>
        <v>0</v>
      </c>
      <c r="CB81" s="1076"/>
      <c r="CC81" s="1076"/>
      <c r="CD81" s="1077" t="s">
        <v>639</v>
      </c>
      <c r="CE81" s="1076"/>
      <c r="CF81" s="1077" t="s">
        <v>704</v>
      </c>
      <c r="CG81" s="1076"/>
      <c r="CH81" s="1076"/>
      <c r="CI81" s="1076"/>
      <c r="CJ81" s="1077" t="s">
        <v>303</v>
      </c>
      <c r="CK81" s="1077" t="s">
        <v>667</v>
      </c>
      <c r="CL81" s="1077" t="s">
        <v>668</v>
      </c>
    </row>
    <row customHeight="1" ht="16.575" hidden="1">
      <c r="E82" s="180">
        <v>17</v>
      </c>
      <c r="F82" s="175" cm="1" t="str">
        <f t="array" ref="F82:F82">OFFSET(G82,-1,-1)</f>
        <v>0</v>
      </c>
      <c r="T82" s="753" cm="1" t="str">
        <f t="array" ref="T82:T82">T81</f>
        <v>false</v>
      </c>
      <c r="AB82" s="423" t="str">
        <f>AB78&amp;".4"</f>
        <v>9.1.2.4</v>
      </c>
      <c r="AC82" s="458" t="s">
        <v>705</v>
      </c>
      <c r="AD82" s="424" t="s">
        <v>629</v>
      </c>
      <c r="AE82" s="47"/>
      <c r="AF82" s="47"/>
      <c r="AG82" s="47"/>
      <c r="AH82" s="47"/>
      <c r="AI82" s="439"/>
      <c r="AJ82" s="47"/>
      <c r="AK82" s="47"/>
      <c r="AL82" s="47"/>
      <c r="AM82" s="47"/>
      <c r="AN82" s="47"/>
      <c r="AO82" s="47"/>
      <c r="AP82" s="47"/>
      <c r="AQ82" s="47"/>
      <c r="AR82" s="47"/>
      <c r="AS82" s="47"/>
      <c r="AT82" s="47"/>
      <c r="AU82" s="47"/>
      <c r="AV82" s="47"/>
      <c r="AW82" s="47"/>
      <c r="AX82" s="47"/>
      <c r="AY82" s="47"/>
      <c r="AZ82" s="47"/>
      <c r="BA82" s="47"/>
      <c r="BB82" s="47"/>
      <c r="BC82" s="439"/>
      <c r="BD82" s="47"/>
      <c r="BE82" s="47"/>
      <c r="BF82" s="47"/>
      <c r="BG82" s="47"/>
      <c r="BH82" s="47"/>
      <c r="BI82" s="47"/>
      <c r="BJ82" s="47"/>
      <c r="BK82" s="47"/>
      <c r="BL82" s="47"/>
      <c r="BM82" s="47"/>
      <c r="BN82" s="47"/>
      <c r="BO82" s="47"/>
      <c r="BP82" s="47"/>
      <c r="BQ82" s="47"/>
      <c r="BR82" s="47"/>
      <c r="BS82" s="47"/>
      <c r="BT82" s="47"/>
      <c r="BU82" s="47"/>
      <c r="BV82" s="47"/>
      <c r="BW82" s="83"/>
      <c r="BZ82" s="975" t="s">
        <v>736</v>
      </c>
      <c r="CA82" s="1077" cm="1" t="str">
        <f t="array" ref="CA82:CA82">CA81</f>
        <v>0</v>
      </c>
      <c r="CB82" s="1076"/>
      <c r="CC82" s="1076"/>
      <c r="CD82" s="1077" t="s">
        <v>639</v>
      </c>
      <c r="CE82" s="1076"/>
      <c r="CF82" s="1077" t="s">
        <v>707</v>
      </c>
      <c r="CG82" s="1076"/>
      <c r="CH82" s="1076"/>
      <c r="CI82" s="1076"/>
      <c r="CJ82" s="1077" t="s">
        <v>303</v>
      </c>
      <c r="CK82" s="1077" t="s">
        <v>667</v>
      </c>
      <c r="CL82" s="1077" t="s">
        <v>668</v>
      </c>
    </row>
    <row customHeight="1" ht="16.575" hidden="1">
      <c r="E83" s="180">
        <v>17</v>
      </c>
      <c r="F83" s="175" cm="1" t="str">
        <f t="array" ref="F83:F83">OFFSET(G83,-1,-1)</f>
        <v>0</v>
      </c>
      <c r="T83" s="753" cm="1" t="str">
        <f t="array" ref="T83:T83">T82</f>
        <v>false</v>
      </c>
      <c r="AB83" s="423" t="str">
        <f>AB75&amp;".2"</f>
        <v>9.2</v>
      </c>
      <c r="AC83" s="446" t="s">
        <v>640</v>
      </c>
      <c r="AD83" s="424" t="s">
        <v>629</v>
      </c>
      <c r="AE83" s="47">
        <f>AE84+AE85</f>
        <v>0</v>
      </c>
      <c r="AF83" s="47">
        <f>AF84+AF85</f>
        <v>0</v>
      </c>
      <c r="AG83" s="47">
        <f>AG84+AG85</f>
        <v>0</v>
      </c>
      <c r="AH83" s="47">
        <f>AH84+AH85</f>
        <v>0</v>
      </c>
      <c r="AI83" s="439">
        <f>AI84+AI85</f>
        <v>0</v>
      </c>
      <c r="AJ83" s="47">
        <f>AJ84+AJ85</f>
        <v>0</v>
      </c>
      <c r="AK83" s="47">
        <f>AK84+AK85</f>
        <v>0</v>
      </c>
      <c r="AL83" s="47">
        <f>AL84+AL85</f>
        <v>0</v>
      </c>
      <c r="AM83" s="47">
        <f>AM84+AM85</f>
        <v>0</v>
      </c>
      <c r="AN83" s="47">
        <f>AN84+AN85</f>
        <v>0</v>
      </c>
      <c r="AO83" s="47">
        <f>AO84+AO85</f>
        <v>0</v>
      </c>
      <c r="AP83" s="47">
        <f>AP84+AP85</f>
        <v>0</v>
      </c>
      <c r="AQ83" s="47">
        <f>AQ84+AQ85</f>
        <v>0</v>
      </c>
      <c r="AR83" s="47">
        <f>AR84+AR85</f>
        <v>0</v>
      </c>
      <c r="AS83" s="47">
        <f>AS84+AS85</f>
        <v>0</v>
      </c>
      <c r="AT83" s="47">
        <f>AT84+AT85</f>
        <v>0</v>
      </c>
      <c r="AU83" s="47">
        <f>AU84+AU85</f>
        <v>0</v>
      </c>
      <c r="AV83" s="47">
        <f>AV84+AV85</f>
        <v>0</v>
      </c>
      <c r="AW83" s="47">
        <f>AW84+AW85</f>
        <v>0</v>
      </c>
      <c r="AX83" s="47">
        <f>AX84+AX85</f>
        <v>0</v>
      </c>
      <c r="AY83" s="47">
        <f>AY84+AY85</f>
        <v>0</v>
      </c>
      <c r="AZ83" s="47">
        <f>AZ84+AZ85</f>
        <v>0</v>
      </c>
      <c r="BA83" s="47">
        <f>BA84+BA85</f>
        <v>0</v>
      </c>
      <c r="BB83" s="47">
        <f>BB84+BB85</f>
        <v>0</v>
      </c>
      <c r="BC83" s="439">
        <f>BC84+BC85</f>
        <v>0</v>
      </c>
      <c r="BD83" s="47">
        <f>BD84+BD85</f>
        <v>0</v>
      </c>
      <c r="BE83" s="47">
        <f>BE84+BE85</f>
        <v>0</v>
      </c>
      <c r="BF83" s="47">
        <f>BF84+BF85</f>
        <v>0</v>
      </c>
      <c r="BG83" s="47">
        <f>BG84+BG85</f>
        <v>0</v>
      </c>
      <c r="BH83" s="47">
        <f>BH84+BH85</f>
        <v>0</v>
      </c>
      <c r="BI83" s="47">
        <f>BI84+BI85</f>
        <v>0</v>
      </c>
      <c r="BJ83" s="47">
        <f>BJ84+BJ85</f>
        <v>0</v>
      </c>
      <c r="BK83" s="47">
        <f>BK84+BK85</f>
        <v>0</v>
      </c>
      <c r="BL83" s="47">
        <f>BL84+BL85</f>
        <v>0</v>
      </c>
      <c r="BM83" s="47">
        <f>BM84+BM85</f>
        <v>0</v>
      </c>
      <c r="BN83" s="47">
        <f>BN84+BN85</f>
        <v>0</v>
      </c>
      <c r="BO83" s="47">
        <f>BO84+BO85</f>
        <v>0</v>
      </c>
      <c r="BP83" s="47">
        <f>BP84+BP85</f>
        <v>0</v>
      </c>
      <c r="BQ83" s="47">
        <f>BQ84+BQ85</f>
        <v>0</v>
      </c>
      <c r="BR83" s="47">
        <f>BR84+BR85</f>
        <v>0</v>
      </c>
      <c r="BS83" s="47">
        <f>BS84+BS85</f>
        <v>0</v>
      </c>
      <c r="BT83" s="47">
        <f>BT84+BT85</f>
        <v>0</v>
      </c>
      <c r="BU83" s="47">
        <f>BU84+BU85</f>
        <v>0</v>
      </c>
      <c r="BV83" s="47">
        <f>BV84+BV85</f>
        <v>0</v>
      </c>
      <c r="BW83" s="83"/>
      <c r="BZ83" s="975" t="s">
        <v>737</v>
      </c>
      <c r="CA83" s="1077" cm="1" t="str">
        <f t="array" ref="CA83:CA83">CA82</f>
        <v>0</v>
      </c>
      <c r="CB83" s="1076"/>
      <c r="CC83" s="1076"/>
      <c r="CD83" s="1077" t="s">
        <v>642</v>
      </c>
      <c r="CE83" s="1076"/>
      <c r="CF83" s="1076"/>
      <c r="CG83" s="1076"/>
      <c r="CH83" s="1076"/>
      <c r="CI83" s="1076"/>
      <c r="CJ83" s="1077" t="s">
        <v>303</v>
      </c>
      <c r="CK83" s="1077" t="s">
        <v>667</v>
      </c>
      <c r="CL83" s="1077" t="s">
        <v>668</v>
      </c>
    </row>
    <row customHeight="1" ht="16.575" hidden="1">
      <c r="E84" s="180">
        <v>17</v>
      </c>
      <c r="F84" s="175" cm="1" t="str">
        <f t="array" ref="F84:F84">OFFSET(G84,-1,-1)</f>
        <v>0</v>
      </c>
      <c r="T84" s="753" cm="1" t="str">
        <f t="array" ref="T84:T84">T83</f>
        <v>false</v>
      </c>
      <c r="AB84" s="466" t="s">
        <v>738</v>
      </c>
      <c r="AC84" s="455" t="s">
        <v>690</v>
      </c>
      <c r="AD84" s="424" t="s">
        <v>629</v>
      </c>
      <c r="AE84" s="47"/>
      <c r="AF84" s="47"/>
      <c r="AG84" s="47"/>
      <c r="AH84" s="47"/>
      <c r="AI84" s="439"/>
      <c r="AJ84" s="47"/>
      <c r="AK84" s="47"/>
      <c r="AL84" s="47"/>
      <c r="AM84" s="47"/>
      <c r="AN84" s="47"/>
      <c r="AO84" s="47"/>
      <c r="AP84" s="47"/>
      <c r="AQ84" s="47"/>
      <c r="AR84" s="47"/>
      <c r="AS84" s="47"/>
      <c r="AT84" s="47"/>
      <c r="AU84" s="47"/>
      <c r="AV84" s="47"/>
      <c r="AW84" s="47"/>
      <c r="AX84" s="47"/>
      <c r="AY84" s="47"/>
      <c r="AZ84" s="47"/>
      <c r="BA84" s="47"/>
      <c r="BB84" s="47"/>
      <c r="BC84" s="439"/>
      <c r="BD84" s="47"/>
      <c r="BE84" s="47"/>
      <c r="BF84" s="47"/>
      <c r="BG84" s="47"/>
      <c r="BH84" s="47"/>
      <c r="BI84" s="47"/>
      <c r="BJ84" s="47"/>
      <c r="BK84" s="47"/>
      <c r="BL84" s="47"/>
      <c r="BM84" s="47"/>
      <c r="BN84" s="47"/>
      <c r="BO84" s="47"/>
      <c r="BP84" s="47"/>
      <c r="BQ84" s="47"/>
      <c r="BR84" s="47"/>
      <c r="BS84" s="47"/>
      <c r="BT84" s="47"/>
      <c r="BU84" s="47"/>
      <c r="BV84" s="47"/>
      <c r="BW84" s="83"/>
      <c r="BZ84" s="975" t="s">
        <v>739</v>
      </c>
      <c r="CA84" s="1077" cm="1" t="str">
        <f t="array" ref="CA84:CA84">CA83</f>
        <v>0</v>
      </c>
      <c r="CB84" s="1076"/>
      <c r="CC84" s="1076"/>
      <c r="CD84" s="1077" t="s">
        <v>642</v>
      </c>
      <c r="CE84" s="1076"/>
      <c r="CF84" s="1076"/>
      <c r="CG84" s="1076"/>
      <c r="CH84" s="1077" t="s">
        <v>692</v>
      </c>
      <c r="CI84" s="1076"/>
      <c r="CJ84" s="1077" t="s">
        <v>303</v>
      </c>
      <c r="CK84" s="1077" t="s">
        <v>667</v>
      </c>
      <c r="CL84" s="1077" t="s">
        <v>668</v>
      </c>
    </row>
    <row customHeight="1" ht="16.575" hidden="1">
      <c r="E85" s="180">
        <v>17</v>
      </c>
      <c r="F85" s="175" cm="1" t="str">
        <f t="array" ref="F85:F85">OFFSET(G85,-1,-1)</f>
        <v>0</v>
      </c>
      <c r="T85" s="753" cm="1" t="str">
        <f t="array" ref="T85:T85">T84</f>
        <v>false</v>
      </c>
      <c r="AB85" s="467" t="s">
        <v>740</v>
      </c>
      <c r="AC85" s="456" t="s">
        <v>693</v>
      </c>
      <c r="AD85" s="328" t="s">
        <v>629</v>
      </c>
      <c r="AE85" s="468">
        <f>SUM(AE86:AE89)</f>
        <v>0</v>
      </c>
      <c r="AF85" s="468">
        <f>SUM(AF86:AF89)</f>
        <v>0</v>
      </c>
      <c r="AG85" s="468">
        <f>SUM(AG86:AG89)</f>
        <v>0</v>
      </c>
      <c r="AH85" s="468">
        <f>SUM(AH86:AH89)</f>
        <v>0</v>
      </c>
      <c r="AI85" s="468">
        <f>SUM(AI86:AI89)</f>
        <v>0</v>
      </c>
      <c r="AJ85" s="468">
        <f>SUM(AJ86:AJ89)</f>
        <v>0</v>
      </c>
      <c r="AK85" s="468">
        <f>SUM(AK86:AK89)</f>
        <v>0</v>
      </c>
      <c r="AL85" s="468">
        <f>SUM(AL86:AL89)</f>
        <v>0</v>
      </c>
      <c r="AM85" s="468">
        <f>SUM(AM86:AM89)</f>
        <v>0</v>
      </c>
      <c r="AN85" s="468">
        <f>SUM(AN86:AN89)</f>
        <v>0</v>
      </c>
      <c r="AO85" s="468">
        <f>SUM(AO86:AO89)</f>
        <v>0</v>
      </c>
      <c r="AP85" s="468">
        <f>SUM(AP86:AP89)</f>
        <v>0</v>
      </c>
      <c r="AQ85" s="468">
        <f>SUM(AQ86:AQ89)</f>
        <v>0</v>
      </c>
      <c r="AR85" s="468">
        <f>SUM(AR86:AR89)</f>
        <v>0</v>
      </c>
      <c r="AS85" s="468">
        <f>SUM(AS86:AS89)</f>
        <v>0</v>
      </c>
      <c r="AT85" s="468">
        <f>SUM(AT86:AT89)</f>
        <v>0</v>
      </c>
      <c r="AU85" s="468">
        <f>SUM(AU86:AU89)</f>
        <v>0</v>
      </c>
      <c r="AV85" s="468">
        <f>SUM(AV86:AV89)</f>
        <v>0</v>
      </c>
      <c r="AW85" s="468">
        <f>SUM(AW86:AW89)</f>
        <v>0</v>
      </c>
      <c r="AX85" s="468">
        <f>SUM(AX86:AX89)</f>
        <v>0</v>
      </c>
      <c r="AY85" s="468">
        <f>SUM(AY86:AY89)</f>
        <v>0</v>
      </c>
      <c r="AZ85" s="468">
        <f>SUM(AZ86:AZ89)</f>
        <v>0</v>
      </c>
      <c r="BA85" s="468">
        <f>SUM(BA86:BA89)</f>
        <v>0</v>
      </c>
      <c r="BB85" s="468">
        <f>SUM(BB86:BB89)</f>
        <v>0</v>
      </c>
      <c r="BC85" s="468">
        <f>SUM(BC86:BC89)</f>
        <v>0</v>
      </c>
      <c r="BD85" s="468">
        <f>SUM(BD86:BD89)</f>
        <v>0</v>
      </c>
      <c r="BE85" s="468">
        <f>SUM(BE86:BE89)</f>
        <v>0</v>
      </c>
      <c r="BF85" s="468">
        <f>SUM(BF86:BF89)</f>
        <v>0</v>
      </c>
      <c r="BG85" s="468">
        <f>SUM(BG86:BG89)</f>
        <v>0</v>
      </c>
      <c r="BH85" s="468">
        <f>SUM(BH86:BH89)</f>
        <v>0</v>
      </c>
      <c r="BI85" s="468">
        <f>SUM(BI86:BI89)</f>
        <v>0</v>
      </c>
      <c r="BJ85" s="468">
        <f>SUM(BJ86:BJ89)</f>
        <v>0</v>
      </c>
      <c r="BK85" s="468">
        <f>SUM(BK86:BK89)</f>
        <v>0</v>
      </c>
      <c r="BL85" s="468">
        <f>SUM(BL86:BL89)</f>
        <v>0</v>
      </c>
      <c r="BM85" s="468">
        <f>SUM(BM86:BM89)</f>
        <v>0</v>
      </c>
      <c r="BN85" s="468">
        <f>SUM(BN86:BN89)</f>
        <v>0</v>
      </c>
      <c r="BO85" s="468">
        <f>SUM(BO86:BO89)</f>
        <v>0</v>
      </c>
      <c r="BP85" s="468">
        <f>SUM(BP86:BP89)</f>
        <v>0</v>
      </c>
      <c r="BQ85" s="468">
        <f>SUM(BQ86:BQ89)</f>
        <v>0</v>
      </c>
      <c r="BR85" s="468">
        <f>SUM(BR86:BR89)</f>
        <v>0</v>
      </c>
      <c r="BS85" s="468">
        <f>SUM(BS86:BS89)</f>
        <v>0</v>
      </c>
      <c r="BT85" s="468">
        <f>SUM(BT86:BT89)</f>
        <v>0</v>
      </c>
      <c r="BU85" s="468">
        <f>SUM(BU86:BU89)</f>
        <v>0</v>
      </c>
      <c r="BV85" s="468">
        <f>SUM(BV86:BV89)</f>
        <v>0</v>
      </c>
      <c r="BW85" s="83"/>
      <c r="BZ85" s="975" t="s">
        <v>741</v>
      </c>
      <c r="CA85" s="1077" cm="1" t="str">
        <f t="array" ref="CA85:CA85">CA84</f>
        <v>0</v>
      </c>
      <c r="CB85" s="1076"/>
      <c r="CC85" s="1076"/>
      <c r="CD85" s="1077" t="s">
        <v>642</v>
      </c>
      <c r="CE85" s="1076"/>
      <c r="CF85" s="1076"/>
      <c r="CG85" s="1076"/>
      <c r="CH85" s="1077" t="s">
        <v>695</v>
      </c>
      <c r="CI85" s="1076"/>
      <c r="CJ85" s="1077" t="s">
        <v>303</v>
      </c>
      <c r="CK85" s="1077" t="s">
        <v>667</v>
      </c>
      <c r="CL85" s="1077" t="s">
        <v>668</v>
      </c>
    </row>
    <row customHeight="1" ht="16.575" hidden="1">
      <c r="E86" s="180">
        <v>17</v>
      </c>
      <c r="F86" s="175" cm="1" t="str">
        <f t="array" ref="F86:F86">OFFSET(G86,-1,-1)</f>
        <v>0</v>
      </c>
      <c r="T86" s="753" cm="1" t="str">
        <f t="array" ref="T86:T86">T85</f>
        <v>false</v>
      </c>
      <c r="AB86" s="466" t="s">
        <v>742</v>
      </c>
      <c r="AC86" s="457" t="s">
        <v>696</v>
      </c>
      <c r="AD86" s="424" t="s">
        <v>629</v>
      </c>
      <c r="AE86" s="53"/>
      <c r="AF86" s="53"/>
      <c r="AG86" s="53"/>
      <c r="AH86" s="53"/>
      <c r="AI86" s="465"/>
      <c r="AJ86" s="53"/>
      <c r="AK86" s="53"/>
      <c r="AL86" s="53"/>
      <c r="AM86" s="53"/>
      <c r="AN86" s="53"/>
      <c r="AO86" s="53"/>
      <c r="AP86" s="53"/>
      <c r="AQ86" s="53"/>
      <c r="AR86" s="53"/>
      <c r="AS86" s="53"/>
      <c r="AT86" s="53"/>
      <c r="AU86" s="53"/>
      <c r="AV86" s="53"/>
      <c r="AW86" s="53"/>
      <c r="AX86" s="53"/>
      <c r="AY86" s="53"/>
      <c r="AZ86" s="53"/>
      <c r="BA86" s="53"/>
      <c r="BB86" s="53"/>
      <c r="BC86" s="465"/>
      <c r="BD86" s="53"/>
      <c r="BE86" s="53"/>
      <c r="BF86" s="53"/>
      <c r="BG86" s="53"/>
      <c r="BH86" s="53"/>
      <c r="BI86" s="53"/>
      <c r="BJ86" s="53"/>
      <c r="BK86" s="53"/>
      <c r="BL86" s="53"/>
      <c r="BM86" s="53"/>
      <c r="BN86" s="53"/>
      <c r="BO86" s="53"/>
      <c r="BP86" s="53"/>
      <c r="BQ86" s="53"/>
      <c r="BR86" s="53"/>
      <c r="BS86" s="53"/>
      <c r="BT86" s="53"/>
      <c r="BU86" s="53"/>
      <c r="BV86" s="53"/>
      <c r="BW86" s="83"/>
      <c r="BZ86" s="975" t="s">
        <v>743</v>
      </c>
      <c r="CA86" s="1077" cm="1" t="str">
        <f t="array" ref="CA86:CA86">CA85</f>
        <v>0</v>
      </c>
      <c r="CB86" s="1076"/>
      <c r="CC86" s="1076"/>
      <c r="CD86" s="1077" t="s">
        <v>642</v>
      </c>
      <c r="CE86" s="1076"/>
      <c r="CF86" s="1076"/>
      <c r="CG86" s="1077" t="s">
        <v>698</v>
      </c>
      <c r="CH86" s="1076"/>
      <c r="CI86" s="1076"/>
      <c r="CJ86" s="1077" t="s">
        <v>303</v>
      </c>
      <c r="CK86" s="1077" t="s">
        <v>667</v>
      </c>
      <c r="CL86" s="1077" t="s">
        <v>668</v>
      </c>
    </row>
    <row customHeight="1" ht="16.575" hidden="1">
      <c r="E87" s="180">
        <v>17</v>
      </c>
      <c r="F87" s="175" cm="1" t="str">
        <f t="array" ref="F87:F87">OFFSET(G87,-1,-1)</f>
        <v>0</v>
      </c>
      <c r="T87" s="753" cm="1" t="str">
        <f t="array" ref="T87:T87">T86</f>
        <v>false</v>
      </c>
      <c r="AB87" s="466" t="s">
        <v>744</v>
      </c>
      <c r="AC87" s="458" t="s">
        <v>699</v>
      </c>
      <c r="AD87" s="328" t="s">
        <v>629</v>
      </c>
      <c r="AE87" s="51"/>
      <c r="AF87" s="51"/>
      <c r="AG87" s="51"/>
      <c r="AH87" s="51"/>
      <c r="AI87" s="450"/>
      <c r="AJ87" s="51"/>
      <c r="AK87" s="51"/>
      <c r="AL87" s="51"/>
      <c r="AM87" s="51"/>
      <c r="AN87" s="51"/>
      <c r="AO87" s="51"/>
      <c r="AP87" s="51"/>
      <c r="AQ87" s="51"/>
      <c r="AR87" s="51"/>
      <c r="AS87" s="51"/>
      <c r="AT87" s="51"/>
      <c r="AU87" s="51"/>
      <c r="AV87" s="51"/>
      <c r="AW87" s="51"/>
      <c r="AX87" s="51"/>
      <c r="AY87" s="51"/>
      <c r="AZ87" s="51"/>
      <c r="BA87" s="51"/>
      <c r="BB87" s="51"/>
      <c r="BC87" s="450"/>
      <c r="BD87" s="51"/>
      <c r="BE87" s="51"/>
      <c r="BF87" s="51"/>
      <c r="BG87" s="51"/>
      <c r="BH87" s="51"/>
      <c r="BI87" s="51"/>
      <c r="BJ87" s="51"/>
      <c r="BK87" s="51"/>
      <c r="BL87" s="51"/>
      <c r="BM87" s="51"/>
      <c r="BN87" s="51"/>
      <c r="BO87" s="51"/>
      <c r="BP87" s="51"/>
      <c r="BQ87" s="51"/>
      <c r="BR87" s="51"/>
      <c r="BS87" s="51"/>
      <c r="BT87" s="51"/>
      <c r="BU87" s="51"/>
      <c r="BV87" s="51"/>
      <c r="BW87" s="83"/>
      <c r="BZ87" s="975" t="s">
        <v>745</v>
      </c>
      <c r="CA87" s="1077" cm="1" t="str">
        <f t="array" ref="CA87:CA87">CA86</f>
        <v>0</v>
      </c>
      <c r="CB87" s="1076"/>
      <c r="CC87" s="1076"/>
      <c r="CD87" s="1077" t="s">
        <v>642</v>
      </c>
      <c r="CE87" s="1076"/>
      <c r="CF87" s="1077" t="s">
        <v>701</v>
      </c>
      <c r="CG87" s="1076"/>
      <c r="CH87" s="1076"/>
      <c r="CI87" s="1076"/>
      <c r="CJ87" s="1077" t="s">
        <v>303</v>
      </c>
      <c r="CK87" s="1077" t="s">
        <v>667</v>
      </c>
      <c r="CL87" s="1077" t="s">
        <v>668</v>
      </c>
    </row>
    <row customHeight="1" ht="16.575" hidden="1">
      <c r="E88" s="180">
        <v>17</v>
      </c>
      <c r="F88" s="175" cm="1" t="str">
        <f t="array" ref="F88:F88">OFFSET(G88,-1,-1)</f>
        <v>0</v>
      </c>
      <c r="T88" s="753" cm="1" t="str">
        <f t="array" ref="T88:T88">T87</f>
        <v>false</v>
      </c>
      <c r="AB88" s="469" t="s">
        <v>746</v>
      </c>
      <c r="AC88" s="458" t="s">
        <v>702</v>
      </c>
      <c r="AD88" s="424" t="s">
        <v>629</v>
      </c>
      <c r="AE88" s="47"/>
      <c r="AF88" s="47"/>
      <c r="AG88" s="47"/>
      <c r="AH88" s="47"/>
      <c r="AI88" s="439"/>
      <c r="AJ88" s="47"/>
      <c r="AK88" s="47"/>
      <c r="AL88" s="47"/>
      <c r="AM88" s="47"/>
      <c r="AN88" s="47"/>
      <c r="AO88" s="47"/>
      <c r="AP88" s="47"/>
      <c r="AQ88" s="47"/>
      <c r="AR88" s="47"/>
      <c r="AS88" s="47"/>
      <c r="AT88" s="47"/>
      <c r="AU88" s="47"/>
      <c r="AV88" s="47"/>
      <c r="AW88" s="47"/>
      <c r="AX88" s="47"/>
      <c r="AY88" s="47"/>
      <c r="AZ88" s="47"/>
      <c r="BA88" s="47"/>
      <c r="BB88" s="47"/>
      <c r="BC88" s="439"/>
      <c r="BD88" s="47"/>
      <c r="BE88" s="47"/>
      <c r="BF88" s="47"/>
      <c r="BG88" s="47"/>
      <c r="BH88" s="47"/>
      <c r="BI88" s="47"/>
      <c r="BJ88" s="47"/>
      <c r="BK88" s="47"/>
      <c r="BL88" s="47"/>
      <c r="BM88" s="47"/>
      <c r="BN88" s="47"/>
      <c r="BO88" s="47"/>
      <c r="BP88" s="47"/>
      <c r="BQ88" s="47"/>
      <c r="BR88" s="47"/>
      <c r="BS88" s="47"/>
      <c r="BT88" s="47"/>
      <c r="BU88" s="47"/>
      <c r="BV88" s="47"/>
      <c r="BW88" s="83"/>
      <c r="BZ88" s="975" t="s">
        <v>747</v>
      </c>
      <c r="CA88" s="1077" cm="1" t="str">
        <f t="array" ref="CA88:CA88">CA87</f>
        <v>0</v>
      </c>
      <c r="CB88" s="1076"/>
      <c r="CC88" s="1076"/>
      <c r="CD88" s="1077" t="s">
        <v>642</v>
      </c>
      <c r="CE88" s="1076"/>
      <c r="CF88" s="1077" t="s">
        <v>704</v>
      </c>
      <c r="CG88" s="1076"/>
      <c r="CH88" s="1076"/>
      <c r="CI88" s="1076"/>
      <c r="CJ88" s="1077" t="s">
        <v>303</v>
      </c>
      <c r="CK88" s="1077" t="s">
        <v>667</v>
      </c>
      <c r="CL88" s="1077" t="s">
        <v>668</v>
      </c>
    </row>
    <row customHeight="1" ht="16.575" hidden="1">
      <c r="E89" s="180">
        <v>17</v>
      </c>
      <c r="F89" s="175" cm="1" t="str">
        <f t="array" ref="F89:F89">OFFSET(G89,-1,-1)</f>
        <v>0</v>
      </c>
      <c r="T89" s="753" cm="1" t="str">
        <f t="array" ref="T89:T89">T88</f>
        <v>false</v>
      </c>
      <c r="AB89" s="470" t="s">
        <v>748</v>
      </c>
      <c r="AC89" s="458" t="s">
        <v>705</v>
      </c>
      <c r="AD89" s="424" t="s">
        <v>629</v>
      </c>
      <c r="AE89" s="47"/>
      <c r="AF89" s="47"/>
      <c r="AG89" s="47"/>
      <c r="AH89" s="47"/>
      <c r="AI89" s="439"/>
      <c r="AJ89" s="47"/>
      <c r="AK89" s="47"/>
      <c r="AL89" s="47"/>
      <c r="AM89" s="47"/>
      <c r="AN89" s="47"/>
      <c r="AO89" s="47"/>
      <c r="AP89" s="47"/>
      <c r="AQ89" s="47"/>
      <c r="AR89" s="47"/>
      <c r="AS89" s="47"/>
      <c r="AT89" s="47"/>
      <c r="AU89" s="47"/>
      <c r="AV89" s="47"/>
      <c r="AW89" s="47"/>
      <c r="AX89" s="47"/>
      <c r="AY89" s="47"/>
      <c r="AZ89" s="47"/>
      <c r="BA89" s="47"/>
      <c r="BB89" s="47"/>
      <c r="BC89" s="439"/>
      <c r="BD89" s="47"/>
      <c r="BE89" s="47"/>
      <c r="BF89" s="47"/>
      <c r="BG89" s="47"/>
      <c r="BH89" s="47"/>
      <c r="BI89" s="47"/>
      <c r="BJ89" s="47"/>
      <c r="BK89" s="47"/>
      <c r="BL89" s="47"/>
      <c r="BM89" s="47"/>
      <c r="BN89" s="47"/>
      <c r="BO89" s="47"/>
      <c r="BP89" s="47"/>
      <c r="BQ89" s="47"/>
      <c r="BR89" s="47"/>
      <c r="BS89" s="47"/>
      <c r="BT89" s="47"/>
      <c r="BU89" s="47"/>
      <c r="BV89" s="47"/>
      <c r="BW89" s="83"/>
      <c r="BZ89" s="975" t="s">
        <v>749</v>
      </c>
      <c r="CA89" s="1077" cm="1" t="str">
        <f t="array" ref="CA89:CA89">CA88</f>
        <v>0</v>
      </c>
      <c r="CB89" s="1076"/>
      <c r="CC89" s="1076"/>
      <c r="CD89" s="1077" t="s">
        <v>642</v>
      </c>
      <c r="CE89" s="1076"/>
      <c r="CF89" s="1077" t="s">
        <v>707</v>
      </c>
      <c r="CG89" s="1076"/>
      <c r="CH89" s="1076"/>
      <c r="CI89" s="1076"/>
      <c r="CJ89" s="1077" t="s">
        <v>303</v>
      </c>
      <c r="CK89" s="1077" t="s">
        <v>667</v>
      </c>
      <c r="CL89" s="1077" t="s">
        <v>668</v>
      </c>
    </row>
    <row customHeight="1" ht="25.350000000000005" hidden="1">
      <c r="E90" s="180">
        <v>26</v>
      </c>
      <c r="F90" s="175" cm="1" t="str">
        <f t="array" ref="F90:F90">OFFSET(G90,-1,-1)</f>
        <v>0</v>
      </c>
      <c r="O90" s="193" t="s">
        <v>750</v>
      </c>
      <c r="T90" s="753">
        <f>AND(T89,H28="двухставочный")</f>
        <v>0</v>
      </c>
      <c r="AB90" s="436">
        <v>10</v>
      </c>
      <c r="AC90" s="471" t="s">
        <v>751</v>
      </c>
      <c r="AD90" s="472" t="s">
        <v>752</v>
      </c>
      <c r="AE90" s="438">
        <f>SUM(AE91:AE94)</f>
        <v>0</v>
      </c>
      <c r="AF90" s="438">
        <f>SUM(AF91:AF94)</f>
        <v>0</v>
      </c>
      <c r="AG90" s="438">
        <f>SUM(AG91:AG94)</f>
        <v>0</v>
      </c>
      <c r="AH90" s="438">
        <f>SUM(AH91:AH94)</f>
        <v>0</v>
      </c>
      <c r="AI90" s="438">
        <f>SUM(AI91:AI94)</f>
        <v>0</v>
      </c>
      <c r="AJ90" s="438">
        <f>SUM(AJ91:AJ94)</f>
        <v>0</v>
      </c>
      <c r="AK90" s="438">
        <f>SUM(AK91:AK94)</f>
        <v>0</v>
      </c>
      <c r="AL90" s="438">
        <f>SUM(AL91:AL94)</f>
        <v>0</v>
      </c>
      <c r="AM90" s="438">
        <f>SUM(AM91:AM94)</f>
        <v>0</v>
      </c>
      <c r="AN90" s="438">
        <f>SUM(AN91:AN94)</f>
        <v>0</v>
      </c>
      <c r="AO90" s="438">
        <f>SUM(AO91:AO94)</f>
        <v>0</v>
      </c>
      <c r="AP90" s="438">
        <f>SUM(AP91:AP94)</f>
        <v>0</v>
      </c>
      <c r="AQ90" s="438">
        <f>SUM(AQ91:AQ94)</f>
        <v>0</v>
      </c>
      <c r="AR90" s="438">
        <f>SUM(AR91:AR94)</f>
        <v>0</v>
      </c>
      <c r="AS90" s="438">
        <f>SUM(AS91:AS94)</f>
        <v>0</v>
      </c>
      <c r="AT90" s="438">
        <f>SUM(AT91:AT94)</f>
        <v>0</v>
      </c>
      <c r="AU90" s="438">
        <f>SUM(AU91:AU94)</f>
        <v>0</v>
      </c>
      <c r="AV90" s="438">
        <f>SUM(AV91:AV94)</f>
        <v>0</v>
      </c>
      <c r="AW90" s="438">
        <f>SUM(AW91:AW94)</f>
        <v>0</v>
      </c>
      <c r="AX90" s="438">
        <f>SUM(AX91:AX94)</f>
        <v>0</v>
      </c>
      <c r="AY90" s="438">
        <f>SUM(AY91:AY94)</f>
        <v>0</v>
      </c>
      <c r="AZ90" s="438">
        <f>SUM(AZ91:AZ94)</f>
        <v>0</v>
      </c>
      <c r="BA90" s="438">
        <f>SUM(BA91:BA94)</f>
        <v>0</v>
      </c>
      <c r="BB90" s="438">
        <f>SUM(BB91:BB94)</f>
        <v>0</v>
      </c>
      <c r="BC90" s="438">
        <f>SUM(BC91:BC94)</f>
        <v>0</v>
      </c>
      <c r="BD90" s="438">
        <f>SUM(BD91:BD94)</f>
        <v>0</v>
      </c>
      <c r="BE90" s="438">
        <f>SUM(BE91:BE94)</f>
        <v>0</v>
      </c>
      <c r="BF90" s="438">
        <f>SUM(BF91:BF94)</f>
        <v>0</v>
      </c>
      <c r="BG90" s="438">
        <f>SUM(BG91:BG94)</f>
        <v>0</v>
      </c>
      <c r="BH90" s="438">
        <f>SUM(BH91:BH94)</f>
        <v>0</v>
      </c>
      <c r="BI90" s="438">
        <f>SUM(BI91:BI94)</f>
        <v>0</v>
      </c>
      <c r="BJ90" s="438">
        <f>SUM(BJ91:BJ94)</f>
        <v>0</v>
      </c>
      <c r="BK90" s="438">
        <f>SUM(BK91:BK94)</f>
        <v>0</v>
      </c>
      <c r="BL90" s="438">
        <f>SUM(BL91:BL94)</f>
        <v>0</v>
      </c>
      <c r="BM90" s="438">
        <f>SUM(BM91:BM94)</f>
        <v>0</v>
      </c>
      <c r="BN90" s="438">
        <f>SUM(BN91:BN94)</f>
        <v>0</v>
      </c>
      <c r="BO90" s="438">
        <f>SUM(BO91:BO94)</f>
        <v>0</v>
      </c>
      <c r="BP90" s="438">
        <f>SUM(BP91:BP94)</f>
        <v>0</v>
      </c>
      <c r="BQ90" s="438">
        <f>SUM(BQ91:BQ94)</f>
        <v>0</v>
      </c>
      <c r="BR90" s="438">
        <f>SUM(BR91:BR94)</f>
        <v>0</v>
      </c>
      <c r="BS90" s="438">
        <f>SUM(BS91:BS94)</f>
        <v>0</v>
      </c>
      <c r="BT90" s="438">
        <f>SUM(BT91:BT94)</f>
        <v>0</v>
      </c>
      <c r="BU90" s="438">
        <f>SUM(BU91:BU94)</f>
        <v>0</v>
      </c>
      <c r="BV90" s="438">
        <f>SUM(BV91:BV94)</f>
        <v>0</v>
      </c>
      <c r="BW90" s="83"/>
      <c r="BZ90" s="975" t="s">
        <v>753</v>
      </c>
      <c r="CA90" s="1077" cm="1" t="str">
        <f t="array" ref="CA90:CA90">CA89</f>
        <v>0</v>
      </c>
      <c r="CB90" s="1076"/>
      <c r="CC90" s="1076"/>
      <c r="CD90" s="1076"/>
      <c r="CE90" s="1076"/>
      <c r="CF90" s="1076"/>
      <c r="CG90" s="1076"/>
      <c r="CH90" s="1076"/>
      <c r="CI90" s="1077" t="s">
        <v>449</v>
      </c>
      <c r="CJ90" s="1077" t="s">
        <v>303</v>
      </c>
      <c r="CK90" s="1077" t="s">
        <v>754</v>
      </c>
      <c r="CL90" s="1077" t="s">
        <v>755</v>
      </c>
    </row>
    <row customHeight="1" ht="16.575" hidden="1">
      <c r="E91" s="180">
        <v>17</v>
      </c>
      <c r="F91" s="175" cm="1" t="str">
        <f t="array" ref="F91:F91">OFFSET(G91,-1,-1)</f>
        <v>0</v>
      </c>
      <c r="O91" s="193" t="s">
        <v>750</v>
      </c>
      <c r="T91" s="753" cm="1" t="str">
        <f t="array" ref="T91:T91">T90</f>
        <v>false</v>
      </c>
      <c r="AB91" s="423" t="str">
        <f>AB90&amp;".1"</f>
        <v>10.1</v>
      </c>
      <c r="AC91" s="473" t="s">
        <v>696</v>
      </c>
      <c r="AD91" s="472" t="s">
        <v>752</v>
      </c>
      <c r="AE91" s="47"/>
      <c r="AF91" s="47"/>
      <c r="AG91" s="47"/>
      <c r="AH91" s="47"/>
      <c r="AI91" s="439"/>
      <c r="AJ91" s="47"/>
      <c r="AK91" s="47"/>
      <c r="AL91" s="47"/>
      <c r="AM91" s="47"/>
      <c r="AN91" s="47"/>
      <c r="AO91" s="47"/>
      <c r="AP91" s="47"/>
      <c r="AQ91" s="47"/>
      <c r="AR91" s="47"/>
      <c r="AS91" s="47"/>
      <c r="AT91" s="47"/>
      <c r="AU91" s="47"/>
      <c r="AV91" s="47"/>
      <c r="AW91" s="47"/>
      <c r="AX91" s="47"/>
      <c r="AY91" s="47"/>
      <c r="AZ91" s="47"/>
      <c r="BA91" s="47"/>
      <c r="BB91" s="47"/>
      <c r="BC91" s="439"/>
      <c r="BD91" s="47"/>
      <c r="BE91" s="47"/>
      <c r="BF91" s="47"/>
      <c r="BG91" s="47"/>
      <c r="BH91" s="47"/>
      <c r="BI91" s="47"/>
      <c r="BJ91" s="47"/>
      <c r="BK91" s="47"/>
      <c r="BL91" s="47"/>
      <c r="BM91" s="47"/>
      <c r="BN91" s="47"/>
      <c r="BO91" s="47"/>
      <c r="BP91" s="47"/>
      <c r="BQ91" s="47"/>
      <c r="BR91" s="47"/>
      <c r="BS91" s="47"/>
      <c r="BT91" s="47"/>
      <c r="BU91" s="47"/>
      <c r="BV91" s="47"/>
      <c r="BW91" s="83"/>
      <c r="BZ91" s="975" t="s">
        <v>756</v>
      </c>
      <c r="CA91" s="1077" cm="1" t="str">
        <f t="array" ref="CA91:CA91">CA90</f>
        <v>0</v>
      </c>
      <c r="CB91" s="1076"/>
      <c r="CC91" s="1076"/>
      <c r="CD91" s="1076"/>
      <c r="CE91" s="1076"/>
      <c r="CF91" s="1076"/>
      <c r="CG91" s="1077" t="s">
        <v>698</v>
      </c>
      <c r="CH91" s="1076"/>
      <c r="CI91" s="1077" t="s">
        <v>255</v>
      </c>
      <c r="CJ91" s="1077" t="s">
        <v>303</v>
      </c>
      <c r="CK91" s="1077" t="s">
        <v>754</v>
      </c>
      <c r="CL91" s="1077" t="s">
        <v>755</v>
      </c>
    </row>
    <row customHeight="1" ht="16.575" hidden="1">
      <c r="E92" s="180">
        <v>17</v>
      </c>
      <c r="F92" s="175" cm="1" t="str">
        <f t="array" ref="F92:F92">OFFSET(G92,-1,-1)</f>
        <v>0</v>
      </c>
      <c r="O92" s="193" t="s">
        <v>750</v>
      </c>
      <c r="T92" s="753" cm="1" t="str">
        <f t="array" ref="T92:T92">T91</f>
        <v>false</v>
      </c>
      <c r="AB92" s="423" t="str">
        <f>AB90&amp;".2"</f>
        <v>10.2</v>
      </c>
      <c r="AC92" s="474" t="s">
        <v>699</v>
      </c>
      <c r="AD92" s="472" t="s">
        <v>752</v>
      </c>
      <c r="AE92" s="47"/>
      <c r="AF92" s="47"/>
      <c r="AG92" s="47"/>
      <c r="AH92" s="47"/>
      <c r="AI92" s="439"/>
      <c r="AJ92" s="47"/>
      <c r="AK92" s="47"/>
      <c r="AL92" s="47"/>
      <c r="AM92" s="47"/>
      <c r="AN92" s="47"/>
      <c r="AO92" s="47"/>
      <c r="AP92" s="47"/>
      <c r="AQ92" s="47"/>
      <c r="AR92" s="47"/>
      <c r="AS92" s="47"/>
      <c r="AT92" s="47"/>
      <c r="AU92" s="47"/>
      <c r="AV92" s="47"/>
      <c r="AW92" s="47"/>
      <c r="AX92" s="47"/>
      <c r="AY92" s="47"/>
      <c r="AZ92" s="47"/>
      <c r="BA92" s="47"/>
      <c r="BB92" s="47"/>
      <c r="BC92" s="439"/>
      <c r="BD92" s="47"/>
      <c r="BE92" s="47"/>
      <c r="BF92" s="47"/>
      <c r="BG92" s="47"/>
      <c r="BH92" s="47"/>
      <c r="BI92" s="47"/>
      <c r="BJ92" s="47"/>
      <c r="BK92" s="47"/>
      <c r="BL92" s="47"/>
      <c r="BM92" s="47"/>
      <c r="BN92" s="47"/>
      <c r="BO92" s="47"/>
      <c r="BP92" s="47"/>
      <c r="BQ92" s="47"/>
      <c r="BR92" s="47"/>
      <c r="BS92" s="47"/>
      <c r="BT92" s="47"/>
      <c r="BU92" s="47"/>
      <c r="BV92" s="47"/>
      <c r="BW92" s="83"/>
      <c r="BZ92" s="975" t="s">
        <v>757</v>
      </c>
      <c r="CA92" s="1077" cm="1" t="str">
        <f t="array" ref="CA92:CA92">CA91</f>
        <v>0</v>
      </c>
      <c r="CB92" s="1076"/>
      <c r="CC92" s="1076"/>
      <c r="CD92" s="1076"/>
      <c r="CE92" s="1076"/>
      <c r="CF92" s="1077" t="s">
        <v>701</v>
      </c>
      <c r="CG92" s="1076"/>
      <c r="CH92" s="1076"/>
      <c r="CI92" s="1076"/>
      <c r="CJ92" s="1077" t="s">
        <v>303</v>
      </c>
      <c r="CK92" s="1077" t="s">
        <v>754</v>
      </c>
      <c r="CL92" s="1077" t="s">
        <v>755</v>
      </c>
    </row>
    <row customHeight="1" ht="16.575" hidden="1">
      <c r="E93" s="180">
        <v>17</v>
      </c>
      <c r="F93" s="175" cm="1" t="str">
        <f t="array" ref="F93:F93">OFFSET(G93,-1,-1)</f>
        <v>0</v>
      </c>
      <c r="O93" s="193" t="s">
        <v>750</v>
      </c>
      <c r="T93" s="753" cm="1" t="str">
        <f t="array" ref="T93:T93">T92</f>
        <v>false</v>
      </c>
      <c r="AB93" s="423" t="str">
        <f>AB90&amp;".3"</f>
        <v>10.3</v>
      </c>
      <c r="AC93" s="474" t="s">
        <v>702</v>
      </c>
      <c r="AD93" s="472" t="s">
        <v>752</v>
      </c>
      <c r="AE93" s="47"/>
      <c r="AF93" s="47"/>
      <c r="AG93" s="47"/>
      <c r="AH93" s="47"/>
      <c r="AI93" s="439"/>
      <c r="AJ93" s="47"/>
      <c r="AK93" s="47"/>
      <c r="AL93" s="47"/>
      <c r="AM93" s="47"/>
      <c r="AN93" s="47"/>
      <c r="AO93" s="47"/>
      <c r="AP93" s="47"/>
      <c r="AQ93" s="47"/>
      <c r="AR93" s="47"/>
      <c r="AS93" s="47"/>
      <c r="AT93" s="47"/>
      <c r="AU93" s="47"/>
      <c r="AV93" s="47"/>
      <c r="AW93" s="47"/>
      <c r="AX93" s="47"/>
      <c r="AY93" s="47"/>
      <c r="AZ93" s="47"/>
      <c r="BA93" s="47"/>
      <c r="BB93" s="47"/>
      <c r="BC93" s="439"/>
      <c r="BD93" s="47"/>
      <c r="BE93" s="47"/>
      <c r="BF93" s="47"/>
      <c r="BG93" s="47"/>
      <c r="BH93" s="47"/>
      <c r="BI93" s="47"/>
      <c r="BJ93" s="47"/>
      <c r="BK93" s="47"/>
      <c r="BL93" s="47"/>
      <c r="BM93" s="47"/>
      <c r="BN93" s="47"/>
      <c r="BO93" s="47"/>
      <c r="BP93" s="47"/>
      <c r="BQ93" s="47"/>
      <c r="BR93" s="47"/>
      <c r="BS93" s="47"/>
      <c r="BT93" s="47"/>
      <c r="BU93" s="47"/>
      <c r="BV93" s="47"/>
      <c r="BW93" s="83"/>
      <c r="BZ93" s="975" t="s">
        <v>758</v>
      </c>
      <c r="CA93" s="1077" cm="1" t="str">
        <f t="array" ref="CA93:CA93">CA92</f>
        <v>0</v>
      </c>
      <c r="CB93" s="1076"/>
      <c r="CC93" s="1076"/>
      <c r="CD93" s="1076"/>
      <c r="CE93" s="1076"/>
      <c r="CF93" s="1077" t="s">
        <v>704</v>
      </c>
      <c r="CG93" s="1076"/>
      <c r="CH93" s="1076"/>
      <c r="CI93" s="1076"/>
      <c r="CJ93" s="1077" t="s">
        <v>303</v>
      </c>
      <c r="CK93" s="1077" t="s">
        <v>754</v>
      </c>
      <c r="CL93" s="1077" t="s">
        <v>755</v>
      </c>
    </row>
    <row customHeight="1" ht="16.575" hidden="1">
      <c r="E94" s="180">
        <v>17</v>
      </c>
      <c r="F94" s="175" cm="1" t="str">
        <f t="array" ref="F94:F94">OFFSET(G94,-1,-1)</f>
        <v>0</v>
      </c>
      <c r="O94" s="193" t="s">
        <v>750</v>
      </c>
      <c r="T94" s="753" cm="1" t="str">
        <f t="array" ref="T94:T94">T93</f>
        <v>false</v>
      </c>
      <c r="AB94" s="423" t="str">
        <f>AB90&amp;".4"</f>
        <v>10.4</v>
      </c>
      <c r="AC94" s="474" t="s">
        <v>705</v>
      </c>
      <c r="AD94" s="475" t="s">
        <v>752</v>
      </c>
      <c r="AE94" s="48"/>
      <c r="AF94" s="48"/>
      <c r="AG94" s="48"/>
      <c r="AH94" s="48"/>
      <c r="AI94" s="442"/>
      <c r="AJ94" s="48"/>
      <c r="AK94" s="48"/>
      <c r="AL94" s="48"/>
      <c r="AM94" s="48"/>
      <c r="AN94" s="48"/>
      <c r="AO94" s="48"/>
      <c r="AP94" s="48"/>
      <c r="AQ94" s="48"/>
      <c r="AR94" s="48"/>
      <c r="AS94" s="48"/>
      <c r="AT94" s="48"/>
      <c r="AU94" s="48"/>
      <c r="AV94" s="48"/>
      <c r="AW94" s="48"/>
      <c r="AX94" s="48"/>
      <c r="AY94" s="48"/>
      <c r="AZ94" s="48"/>
      <c r="BA94" s="48"/>
      <c r="BB94" s="48"/>
      <c r="BC94" s="442"/>
      <c r="BD94" s="48"/>
      <c r="BE94" s="48"/>
      <c r="BF94" s="48"/>
      <c r="BG94" s="48"/>
      <c r="BH94" s="48"/>
      <c r="BI94" s="48"/>
      <c r="BJ94" s="48"/>
      <c r="BK94" s="48"/>
      <c r="BL94" s="48"/>
      <c r="BM94" s="48"/>
      <c r="BN94" s="48"/>
      <c r="BO94" s="48"/>
      <c r="BP94" s="48"/>
      <c r="BQ94" s="48"/>
      <c r="BR94" s="48"/>
      <c r="BS94" s="48"/>
      <c r="BT94" s="48"/>
      <c r="BU94" s="48"/>
      <c r="BV94" s="48"/>
      <c r="BW94" s="84"/>
      <c r="BZ94" s="975" t="s">
        <v>759</v>
      </c>
      <c r="CA94" s="1077" cm="1" t="str">
        <f t="array" ref="CA94:CA94">CA93</f>
        <v>0</v>
      </c>
      <c r="CB94" s="1076"/>
      <c r="CC94" s="1076"/>
      <c r="CD94" s="1076"/>
      <c r="CE94" s="1076"/>
      <c r="CF94" s="1077" t="s">
        <v>707</v>
      </c>
      <c r="CG94" s="1076"/>
      <c r="CH94" s="1076"/>
      <c r="CI94" s="1076"/>
      <c r="CJ94" s="1077" t="s">
        <v>303</v>
      </c>
      <c r="CK94" s="1077" t="s">
        <v>754</v>
      </c>
      <c r="CL94" s="1077" t="s">
        <v>755</v>
      </c>
    </row>
    <row customHeight="1" ht="52.650000000000006" hidden="1">
      <c r="E95" s="180">
        <v>54</v>
      </c>
      <c r="F95" s="175" cm="1" t="str">
        <f t="array" ref="F95:F95">OFFSET(G95,-1,-1)</f>
        <v>0</v>
      </c>
      <c r="O95" s="193" t="s">
        <v>750</v>
      </c>
      <c r="T95" s="753" cm="1" t="str">
        <f t="array" ref="T95:T95">T94</f>
        <v>false</v>
      </c>
      <c r="AB95" s="436">
        <v>11</v>
      </c>
      <c r="AC95" s="476" t="s">
        <v>760</v>
      </c>
      <c r="AD95" s="385"/>
      <c r="AE95" s="47"/>
      <c r="AF95" s="47"/>
      <c r="AG95" s="47"/>
      <c r="AH95" s="47"/>
      <c r="AI95" s="439"/>
      <c r="AJ95" s="47"/>
      <c r="AK95" s="47"/>
      <c r="AL95" s="47"/>
      <c r="AM95" s="47"/>
      <c r="AN95" s="47"/>
      <c r="AO95" s="47"/>
      <c r="AP95" s="47"/>
      <c r="AQ95" s="47"/>
      <c r="AR95" s="47"/>
      <c r="AS95" s="47"/>
      <c r="AT95" s="47"/>
      <c r="AU95" s="47"/>
      <c r="AV95" s="47"/>
      <c r="AW95" s="47"/>
      <c r="AX95" s="47"/>
      <c r="AY95" s="47"/>
      <c r="AZ95" s="47"/>
      <c r="BA95" s="47"/>
      <c r="BB95" s="47"/>
      <c r="BC95" s="439"/>
      <c r="BD95" s="47"/>
      <c r="BE95" s="47"/>
      <c r="BF95" s="47"/>
      <c r="BG95" s="47"/>
      <c r="BH95" s="47"/>
      <c r="BI95" s="47"/>
      <c r="BJ95" s="47"/>
      <c r="BK95" s="47"/>
      <c r="BL95" s="47"/>
      <c r="BM95" s="47"/>
      <c r="BN95" s="47"/>
      <c r="BO95" s="47"/>
      <c r="BP95" s="47"/>
      <c r="BQ95" s="47"/>
      <c r="BR95" s="47"/>
      <c r="BS95" s="47"/>
      <c r="BT95" s="47"/>
      <c r="BU95" s="47"/>
      <c r="BV95" s="47"/>
      <c r="BW95" s="85"/>
      <c r="BZ95" s="975" t="s">
        <v>761</v>
      </c>
      <c r="CA95" s="1077" cm="1" t="str">
        <f t="array" ref="CA95:CA95">CA94</f>
        <v>0</v>
      </c>
      <c r="CB95" s="1076"/>
      <c r="CC95" s="1076"/>
      <c r="CD95" s="1076"/>
      <c r="CE95" s="1076"/>
      <c r="CF95" s="1076"/>
      <c r="CG95" s="1076"/>
      <c r="CH95" s="1076"/>
      <c r="CI95" s="1076"/>
      <c r="CJ95" s="1077" t="s">
        <v>303</v>
      </c>
      <c r="CK95" s="1077" t="s">
        <v>762</v>
      </c>
      <c r="CL95" s="1077" t="s">
        <v>763</v>
      </c>
    </row>
    <row s="1751" customFormat="1" customHeight="1" ht="10.5">
      <c r="A96" s="371"/>
      <c r="B96" s="1548"/>
      <c r="C96" s="1548"/>
      <c r="D96" s="1548"/>
      <c r="E96" s="180">
        <v>11</v>
      </c>
      <c r="F96" s="175" cm="1" t="str">
        <f t="array" ref="F96:F96">X96</f>
        <v>1</v>
      </c>
      <c r="G96" s="193" cm="1" t="str">
        <f t="array" ref="G96:G96">INDEX('Общие сведения'!$AL$169:$AL$202,MATCH($F96,'Общие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H96" s="193" cm="1" t="str">
        <f t="array" ref="H96:H96">INDEX('Общие сведения'!$AK$169:$AK$202,MATCH($F96,'Общие сведения'!$Y$169:$Y$202,0))</f>
        <v>одноставочный</v>
      </c>
      <c r="I96" s="1659"/>
      <c r="J96" s="1659"/>
      <c r="K96" s="1659"/>
      <c r="L96" s="1659"/>
      <c r="M96" s="1659"/>
      <c r="N96" s="1659"/>
      <c r="O96" s="1659"/>
      <c r="P96" s="1659"/>
      <c r="Q96" s="1659"/>
      <c r="R96" s="1659"/>
      <c r="S96" s="1659"/>
      <c r="T96" s="753">
        <f>AND(X96&gt;0,G96&lt;&gt;"передача тепловой энергии")</f>
        <v>1</v>
      </c>
      <c r="U96" s="1548"/>
      <c r="V96" s="175" cm="1" t="str">
        <f t="array" ref="V96:V96">'Сценарии (МСА)'!$AB$35</f>
        <v>Тариф 1 (Теплоснабжение) - Тариф на тепловую энергию (мощность), поставляемую потребителям (Доп. признак не требуется)</v>
      </c>
      <c r="W96" s="1548"/>
      <c r="X96" s="175" t="s">
        <v>308</v>
      </c>
      <c r="Y96" s="1548"/>
      <c r="Z96" s="1548"/>
      <c r="AA96" s="286"/>
      <c r="AB96" s="435" cm="1" t="str">
        <f t="array" ref="AB96:AB96">IF(ISBLANK('Сценарии (МСА)'!$AB$35),"",'Сценарии (МСА)'!$AB$35)</f>
        <v>Тариф 1 (Теплоснабжение) - Тариф на тепловую энергию (мощность), поставляемую потребителям (Доп. признак не требуется)</v>
      </c>
      <c r="AC96" s="319"/>
      <c r="AD96" s="319"/>
      <c r="AE96" s="319"/>
      <c r="AF96" s="319"/>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86"/>
      <c r="BY96" s="1659"/>
      <c r="BZ96" s="1142"/>
      <c r="CA96" s="1751"/>
      <c r="CB96" s="1751"/>
      <c r="CC96" s="1751"/>
      <c r="CD96" s="1751"/>
      <c r="CE96" s="1751"/>
      <c r="CF96" s="1751"/>
      <c r="CG96" s="1751"/>
      <c r="CH96" s="1751"/>
      <c r="CI96" s="1751"/>
      <c r="CJ96" s="1751"/>
      <c r="CK96" s="1751"/>
      <c r="CL96" s="1751"/>
    </row>
    <row s="1751" customFormat="1" customHeight="1" ht="16.5">
      <c r="A97" s="371"/>
      <c r="B97" s="1548"/>
      <c r="C97" s="1548"/>
      <c r="D97" s="1548"/>
      <c r="E97" s="180">
        <v>17</v>
      </c>
      <c r="F97" s="175" cm="1" t="str">
        <f t="array" ref="F97:F97">OFFSET(G97,-1,-1)</f>
        <v>1</v>
      </c>
      <c r="G97" s="1659"/>
      <c r="H97" s="1659"/>
      <c r="I97" s="1659"/>
      <c r="J97" s="1659"/>
      <c r="K97" s="1659"/>
      <c r="L97" s="1659"/>
      <c r="M97" s="1659"/>
      <c r="N97" s="1659"/>
      <c r="O97" s="1659"/>
      <c r="P97" s="1659"/>
      <c r="Q97" s="1659"/>
      <c r="R97" s="1659"/>
      <c r="S97" s="1659"/>
      <c r="T97" s="753" cm="1" t="str">
        <f t="array" ref="T97:T97">T96</f>
        <v>true</v>
      </c>
      <c r="U97" s="1548"/>
      <c r="V97" s="1548"/>
      <c r="W97" s="1548"/>
      <c r="X97" s="1548"/>
      <c r="Y97" s="1548"/>
      <c r="Z97" s="1548"/>
      <c r="AA97" s="286"/>
      <c r="AB97" s="436">
        <v>1</v>
      </c>
      <c r="AC97" s="437" t="s">
        <v>628</v>
      </c>
      <c r="AD97" s="384" t="s">
        <v>629</v>
      </c>
      <c r="AE97" s="438">
        <f>AE98+AE101+AE104</f>
        <v>4383</v>
      </c>
      <c r="AF97" s="438">
        <f>AF98+AF101+AF104</f>
        <v>4637</v>
      </c>
      <c r="AG97" s="438">
        <f>AG98+AG101+AG104</f>
        <v>4637</v>
      </c>
      <c r="AH97" s="438">
        <f>AH98+AH101+AH104</f>
        <v>4671</v>
      </c>
      <c r="AI97" s="438">
        <f>AI98+AI101+AI104</f>
        <v>4637</v>
      </c>
      <c r="AJ97" s="438">
        <f>AJ98+AJ101+AJ104</f>
        <v>0</v>
      </c>
      <c r="AK97" s="438">
        <f>AK98+AK101+AK104</f>
        <v>0</v>
      </c>
      <c r="AL97" s="438">
        <f>AL98+AL101+AL104</f>
        <v>0</v>
      </c>
      <c r="AM97" s="438">
        <f>AM98+AM101+AM104</f>
        <v>0</v>
      </c>
      <c r="AN97" s="438">
        <f>AN98+AN101+AN104</f>
        <v>0</v>
      </c>
      <c r="AO97" s="438">
        <f>AO98+AO101+AO104</f>
        <v>0</v>
      </c>
      <c r="AP97" s="438">
        <f>AP98+AP101+AP104</f>
        <v>0</v>
      </c>
      <c r="AQ97" s="438">
        <f>AQ98+AQ101+AQ104</f>
        <v>0</v>
      </c>
      <c r="AR97" s="438">
        <f>AR98+AR101+AR104</f>
        <v>0</v>
      </c>
      <c r="AS97" s="438">
        <f>AS98+AS101+AS104</f>
        <v>0</v>
      </c>
      <c r="AT97" s="438">
        <f>AT98+AT101+AT104</f>
        <v>0</v>
      </c>
      <c r="AU97" s="438">
        <f>AU98+AU101+AU104</f>
        <v>0</v>
      </c>
      <c r="AV97" s="438">
        <f>AV98+AV101+AV104</f>
        <v>0</v>
      </c>
      <c r="AW97" s="438">
        <f>AW98+AW101+AW104</f>
        <v>0</v>
      </c>
      <c r="AX97" s="438">
        <f>AX98+AX101+AX104</f>
        <v>0</v>
      </c>
      <c r="AY97" s="438">
        <f>AY98+AY101+AY104</f>
        <v>0</v>
      </c>
      <c r="AZ97" s="438">
        <f>AZ98+AZ101+AZ104</f>
        <v>0</v>
      </c>
      <c r="BA97" s="438">
        <f>BA98+BA101+BA104</f>
        <v>0</v>
      </c>
      <c r="BB97" s="438">
        <f>BB98+BB101+BB104</f>
        <v>0</v>
      </c>
      <c r="BC97" s="438">
        <f>BC98+BC101+BC104</f>
        <v>4637</v>
      </c>
      <c r="BD97" s="438">
        <f>BD98+BD101+BD104</f>
        <v>0</v>
      </c>
      <c r="BE97" s="438">
        <f>BE98+BE101+BE104</f>
        <v>0</v>
      </c>
      <c r="BF97" s="438">
        <f>BF98+BF101+BF104</f>
        <v>0</v>
      </c>
      <c r="BG97" s="438">
        <f>BG98+BG101+BG104</f>
        <v>0</v>
      </c>
      <c r="BH97" s="438">
        <f>BH98+BH101+BH104</f>
        <v>0</v>
      </c>
      <c r="BI97" s="438">
        <f>BI98+BI101+BI104</f>
        <v>0</v>
      </c>
      <c r="BJ97" s="438">
        <f>BJ98+BJ101+BJ104</f>
        <v>0</v>
      </c>
      <c r="BK97" s="438">
        <f>BK98+BK101+BK104</f>
        <v>0</v>
      </c>
      <c r="BL97" s="438">
        <f>BL98+BL101+BL104</f>
        <v>0</v>
      </c>
      <c r="BM97" s="438">
        <f>BM98+BM101+BM104</f>
        <v>0</v>
      </c>
      <c r="BN97" s="438">
        <f>BN98+BN101+BN104</f>
        <v>0</v>
      </c>
      <c r="BO97" s="438">
        <f>BO98+BO101+BO104</f>
        <v>0</v>
      </c>
      <c r="BP97" s="438">
        <f>BP98+BP101+BP104</f>
        <v>0</v>
      </c>
      <c r="BQ97" s="438">
        <f>BQ98+BQ101+BQ104</f>
        <v>0</v>
      </c>
      <c r="BR97" s="438">
        <f>BR98+BR101+BR104</f>
        <v>0</v>
      </c>
      <c r="BS97" s="438">
        <f>BS98+BS101+BS104</f>
        <v>0</v>
      </c>
      <c r="BT97" s="438">
        <f>BT98+BT101+BT104</f>
        <v>0</v>
      </c>
      <c r="BU97" s="438">
        <f>BU98+BU101+BU104</f>
        <v>0</v>
      </c>
      <c r="BV97" s="438">
        <f>BV98+BV101+BV104</f>
        <v>0</v>
      </c>
      <c r="BW97" s="1897"/>
      <c r="BX97" s="286"/>
      <c r="BY97" s="1659"/>
      <c r="BZ97" s="975" t="s">
        <v>630</v>
      </c>
      <c r="CA97" s="1077" cm="1" t="str">
        <f t="array" ref="CA97:CA97">INDEX('Общие сведения'!$N$170:$N$202,MATCH($F97,'Общие сведения'!$Y$170:$Y$202,0)+1)</f>
        <v>ТЭ.42.31656254.0001</v>
      </c>
      <c r="CB97" s="1077" t="s">
        <v>631</v>
      </c>
      <c r="CC97" s="1076"/>
      <c r="CD97" s="1076"/>
      <c r="CE97" s="1076"/>
      <c r="CF97" s="1076"/>
      <c r="CG97" s="1076"/>
      <c r="CH97" s="1076"/>
      <c r="CI97" s="1076"/>
      <c r="CJ97" s="1077" t="s">
        <v>303</v>
      </c>
      <c r="CK97" s="1077" t="s">
        <v>632</v>
      </c>
      <c r="CL97" s="1077" t="s">
        <v>633</v>
      </c>
    </row>
    <row s="1751" customFormat="1" customHeight="1" ht="16.5">
      <c r="A98" s="371"/>
      <c r="B98" s="1548"/>
      <c r="C98" s="1548"/>
      <c r="D98" s="1548"/>
      <c r="E98" s="180">
        <v>17</v>
      </c>
      <c r="F98" s="175" cm="1" t="str">
        <f t="array" ref="F98:F98">OFFSET(G98,-1,-1)</f>
        <v>1</v>
      </c>
      <c r="G98" s="1659"/>
      <c r="H98" s="1659"/>
      <c r="I98" s="1659"/>
      <c r="J98" s="1659"/>
      <c r="K98" s="1659"/>
      <c r="L98" s="1659"/>
      <c r="M98" s="1659"/>
      <c r="N98" s="1659"/>
      <c r="O98" s="1659"/>
      <c r="P98" s="1659"/>
      <c r="Q98" s="1659"/>
      <c r="R98" s="1659"/>
      <c r="S98" s="1659"/>
      <c r="T98" s="753" cm="1" t="str">
        <f t="array" ref="T98:T98">T97</f>
        <v>true</v>
      </c>
      <c r="U98" s="1548"/>
      <c r="V98" s="1548"/>
      <c r="W98" s="1548"/>
      <c r="X98" s="1548"/>
      <c r="Y98" s="1548"/>
      <c r="Z98" s="1548"/>
      <c r="AA98" s="286"/>
      <c r="AB98" s="385" t="str">
        <f>AB97&amp;".1"</f>
        <v>1.1</v>
      </c>
      <c r="AC98" s="368" t="s">
        <v>634</v>
      </c>
      <c r="AD98" s="384" t="s">
        <v>629</v>
      </c>
      <c r="AE98" s="438">
        <f>AE99+AE100</f>
        <v>0</v>
      </c>
      <c r="AF98" s="438">
        <f>AF99+AF100</f>
        <v>0</v>
      </c>
      <c r="AG98" s="438">
        <f>AG99+AG100</f>
        <v>0</v>
      </c>
      <c r="AH98" s="438">
        <f>AH99+AH100</f>
        <v>0</v>
      </c>
      <c r="AI98" s="438">
        <f>AI99+AI100</f>
        <v>0</v>
      </c>
      <c r="AJ98" s="438">
        <f>AJ99+AJ100</f>
        <v>0</v>
      </c>
      <c r="AK98" s="438">
        <f>AK99+AK100</f>
        <v>0</v>
      </c>
      <c r="AL98" s="438">
        <f>AL99+AL100</f>
        <v>0</v>
      </c>
      <c r="AM98" s="438">
        <f>AM99+AM100</f>
        <v>0</v>
      </c>
      <c r="AN98" s="438">
        <f>AN99+AN100</f>
        <v>0</v>
      </c>
      <c r="AO98" s="438">
        <f>AO99+AO100</f>
        <v>0</v>
      </c>
      <c r="AP98" s="438">
        <f>AP99+AP100</f>
        <v>0</v>
      </c>
      <c r="AQ98" s="438">
        <f>AQ99+AQ100</f>
        <v>0</v>
      </c>
      <c r="AR98" s="438">
        <f>AR99+AR100</f>
        <v>0</v>
      </c>
      <c r="AS98" s="438">
        <f>AS99+AS100</f>
        <v>0</v>
      </c>
      <c r="AT98" s="438">
        <f>AT99+AT100</f>
        <v>0</v>
      </c>
      <c r="AU98" s="438">
        <f>AU99+AU100</f>
        <v>0</v>
      </c>
      <c r="AV98" s="438">
        <f>AV99+AV100</f>
        <v>0</v>
      </c>
      <c r="AW98" s="438">
        <f>AW99+AW100</f>
        <v>0</v>
      </c>
      <c r="AX98" s="438">
        <f>AX99+AX100</f>
        <v>0</v>
      </c>
      <c r="AY98" s="438">
        <f>AY99+AY100</f>
        <v>0</v>
      </c>
      <c r="AZ98" s="438">
        <f>AZ99+AZ100</f>
        <v>0</v>
      </c>
      <c r="BA98" s="438">
        <f>BA99+BA100</f>
        <v>0</v>
      </c>
      <c r="BB98" s="438">
        <f>BB99+BB100</f>
        <v>0</v>
      </c>
      <c r="BC98" s="438">
        <f>BC99+BC100</f>
        <v>0</v>
      </c>
      <c r="BD98" s="438">
        <f>BD99+BD100</f>
        <v>0</v>
      </c>
      <c r="BE98" s="438">
        <f>BE99+BE100</f>
        <v>0</v>
      </c>
      <c r="BF98" s="438">
        <f>BF99+BF100</f>
        <v>0</v>
      </c>
      <c r="BG98" s="438">
        <f>BG99+BG100</f>
        <v>0</v>
      </c>
      <c r="BH98" s="438">
        <f>BH99+BH100</f>
        <v>0</v>
      </c>
      <c r="BI98" s="438">
        <f>BI99+BI100</f>
        <v>0</v>
      </c>
      <c r="BJ98" s="438">
        <f>BJ99+BJ100</f>
        <v>0</v>
      </c>
      <c r="BK98" s="438">
        <f>BK99+BK100</f>
        <v>0</v>
      </c>
      <c r="BL98" s="438">
        <f>BL99+BL100</f>
        <v>0</v>
      </c>
      <c r="BM98" s="438">
        <f>BM99+BM100</f>
        <v>0</v>
      </c>
      <c r="BN98" s="438">
        <f>BN99+BN100</f>
        <v>0</v>
      </c>
      <c r="BO98" s="438">
        <f>BO99+BO100</f>
        <v>0</v>
      </c>
      <c r="BP98" s="438">
        <f>BP99+BP100</f>
        <v>0</v>
      </c>
      <c r="BQ98" s="438">
        <f>BQ99+BQ100</f>
        <v>0</v>
      </c>
      <c r="BR98" s="438">
        <f>BR99+BR100</f>
        <v>0</v>
      </c>
      <c r="BS98" s="438">
        <f>BS99+BS100</f>
        <v>0</v>
      </c>
      <c r="BT98" s="438">
        <f>BT99+BT100</f>
        <v>0</v>
      </c>
      <c r="BU98" s="438">
        <f>BU99+BU100</f>
        <v>0</v>
      </c>
      <c r="BV98" s="438">
        <f>BV99+BV100</f>
        <v>0</v>
      </c>
      <c r="BW98" s="1897"/>
      <c r="BX98" s="286"/>
      <c r="BY98" s="1659"/>
      <c r="BZ98" s="975" t="s">
        <v>635</v>
      </c>
      <c r="CA98" s="1077" cm="1" t="str">
        <f t="array" ref="CA98:CA98">CA97</f>
        <v>ТЭ.42.31656254.0001</v>
      </c>
      <c r="CB98" s="1077" t="s">
        <v>631</v>
      </c>
      <c r="CC98" s="1077" t="s">
        <v>636</v>
      </c>
      <c r="CD98" s="1076"/>
      <c r="CE98" s="1076"/>
      <c r="CF98" s="1076"/>
      <c r="CG98" s="1076"/>
      <c r="CH98" s="1076"/>
      <c r="CI98" s="1076"/>
      <c r="CJ98" s="1077" t="s">
        <v>303</v>
      </c>
      <c r="CK98" s="1077" t="s">
        <v>632</v>
      </c>
      <c r="CL98" s="1077" t="s">
        <v>633</v>
      </c>
    </row>
    <row s="1751" customFormat="1" customHeight="1" ht="16.5">
      <c r="A99" s="371"/>
      <c r="B99" s="1548"/>
      <c r="C99" s="1548"/>
      <c r="D99" s="1548"/>
      <c r="E99" s="180">
        <v>17</v>
      </c>
      <c r="F99" s="175" cm="1" t="str">
        <f t="array" ref="F99:F99">OFFSET(G99,-1,-1)</f>
        <v>1</v>
      </c>
      <c r="G99" s="1659"/>
      <c r="H99" s="1659"/>
      <c r="I99" s="1659"/>
      <c r="J99" s="1659"/>
      <c r="K99" s="1659"/>
      <c r="L99" s="1659"/>
      <c r="M99" s="1659"/>
      <c r="N99" s="1659"/>
      <c r="O99" s="1659"/>
      <c r="P99" s="1659"/>
      <c r="Q99" s="1659"/>
      <c r="R99" s="1659"/>
      <c r="S99" s="1659"/>
      <c r="T99" s="753" cm="1" t="str">
        <f t="array" ref="T99:T99">T98</f>
        <v>true</v>
      </c>
      <c r="U99" s="1548"/>
      <c r="V99" s="1548"/>
      <c r="W99" s="1548"/>
      <c r="X99" s="1548"/>
      <c r="Y99" s="1548"/>
      <c r="Z99" s="1548"/>
      <c r="AA99" s="286"/>
      <c r="AB99" s="385" t="str">
        <f>AB98&amp;".1"</f>
        <v>1.1.1</v>
      </c>
      <c r="AC99" s="355" t="s">
        <v>637</v>
      </c>
      <c r="AD99" s="384" t="s">
        <v>629</v>
      </c>
      <c r="AE99" s="1898"/>
      <c r="AF99" s="1898"/>
      <c r="AG99" s="1898"/>
      <c r="AH99" s="1898"/>
      <c r="AI99" s="439"/>
      <c r="AJ99" s="1898"/>
      <c r="AK99" s="1898"/>
      <c r="AL99" s="1898"/>
      <c r="AM99" s="1898"/>
      <c r="AN99" s="1898"/>
      <c r="AO99" s="1898"/>
      <c r="AP99" s="1898"/>
      <c r="AQ99" s="1898"/>
      <c r="AR99" s="1898"/>
      <c r="AS99" s="1898"/>
      <c r="AT99" s="1898"/>
      <c r="AU99" s="1898"/>
      <c r="AV99" s="1898"/>
      <c r="AW99" s="1898"/>
      <c r="AX99" s="1898"/>
      <c r="AY99" s="1898"/>
      <c r="AZ99" s="1898"/>
      <c r="BA99" s="1898"/>
      <c r="BB99" s="1898"/>
      <c r="BC99" s="439"/>
      <c r="BD99" s="1898"/>
      <c r="BE99" s="1898"/>
      <c r="BF99" s="1898"/>
      <c r="BG99" s="1898"/>
      <c r="BH99" s="1898"/>
      <c r="BI99" s="1898"/>
      <c r="BJ99" s="1898"/>
      <c r="BK99" s="1898"/>
      <c r="BL99" s="1898"/>
      <c r="BM99" s="1898"/>
      <c r="BN99" s="1898"/>
      <c r="BO99" s="1898"/>
      <c r="BP99" s="1898"/>
      <c r="BQ99" s="1898"/>
      <c r="BR99" s="1898"/>
      <c r="BS99" s="1898"/>
      <c r="BT99" s="1898"/>
      <c r="BU99" s="1898"/>
      <c r="BV99" s="1898"/>
      <c r="BW99" s="1897"/>
      <c r="BX99" s="286"/>
      <c r="BY99" s="1659"/>
      <c r="BZ99" s="975" t="s">
        <v>638</v>
      </c>
      <c r="CA99" s="1077" cm="1" t="str">
        <f t="array" ref="CA99:CA99">CA98</f>
        <v>ТЭ.42.31656254.0001</v>
      </c>
      <c r="CB99" s="1077" t="s">
        <v>631</v>
      </c>
      <c r="CC99" s="1077" t="s">
        <v>636</v>
      </c>
      <c r="CD99" s="1077" t="s">
        <v>639</v>
      </c>
      <c r="CE99" s="1076"/>
      <c r="CF99" s="1076"/>
      <c r="CG99" s="1076"/>
      <c r="CH99" s="1076"/>
      <c r="CI99" s="1076"/>
      <c r="CJ99" s="1077" t="s">
        <v>303</v>
      </c>
      <c r="CK99" s="1077" t="s">
        <v>632</v>
      </c>
      <c r="CL99" s="1077" t="s">
        <v>633</v>
      </c>
    </row>
    <row s="1751" customFormat="1" customHeight="1" ht="16.5">
      <c r="A100" s="371"/>
      <c r="B100" s="1548"/>
      <c r="C100" s="1548"/>
      <c r="D100" s="1548"/>
      <c r="E100" s="180">
        <v>17</v>
      </c>
      <c r="F100" s="175" cm="1" t="str">
        <f t="array" ref="F100:F100">OFFSET(G100,-1,-1)</f>
        <v>1</v>
      </c>
      <c r="G100" s="1659"/>
      <c r="H100" s="1659"/>
      <c r="I100" s="1659"/>
      <c r="J100" s="1659"/>
      <c r="K100" s="1659"/>
      <c r="L100" s="1659"/>
      <c r="M100" s="1659"/>
      <c r="N100" s="1659"/>
      <c r="O100" s="1659"/>
      <c r="P100" s="1659"/>
      <c r="Q100" s="1659"/>
      <c r="R100" s="1659"/>
      <c r="S100" s="1659"/>
      <c r="T100" s="753" cm="1" t="str">
        <f t="array" ref="T100:T100">T99</f>
        <v>true</v>
      </c>
      <c r="U100" s="1548"/>
      <c r="V100" s="1548"/>
      <c r="W100" s="1548"/>
      <c r="X100" s="1548"/>
      <c r="Y100" s="1548"/>
      <c r="Z100" s="1548"/>
      <c r="AA100" s="286"/>
      <c r="AB100" s="385" t="str">
        <f>AB98&amp;".2"</f>
        <v>1.1.2</v>
      </c>
      <c r="AC100" s="355" t="s">
        <v>640</v>
      </c>
      <c r="AD100" s="384" t="s">
        <v>629</v>
      </c>
      <c r="AE100" s="1898"/>
      <c r="AF100" s="1898"/>
      <c r="AG100" s="1898"/>
      <c r="AH100" s="1898"/>
      <c r="AI100" s="439"/>
      <c r="AJ100" s="1898"/>
      <c r="AK100" s="1898"/>
      <c r="AL100" s="1898"/>
      <c r="AM100" s="1898"/>
      <c r="AN100" s="1898"/>
      <c r="AO100" s="1898"/>
      <c r="AP100" s="1898"/>
      <c r="AQ100" s="1898"/>
      <c r="AR100" s="1898"/>
      <c r="AS100" s="1898"/>
      <c r="AT100" s="1898"/>
      <c r="AU100" s="1898"/>
      <c r="AV100" s="1898"/>
      <c r="AW100" s="1898"/>
      <c r="AX100" s="1898"/>
      <c r="AY100" s="1898"/>
      <c r="AZ100" s="1898"/>
      <c r="BA100" s="1898"/>
      <c r="BB100" s="1898"/>
      <c r="BC100" s="439"/>
      <c r="BD100" s="1898"/>
      <c r="BE100" s="1898"/>
      <c r="BF100" s="1898"/>
      <c r="BG100" s="1898"/>
      <c r="BH100" s="1898"/>
      <c r="BI100" s="1898"/>
      <c r="BJ100" s="1898"/>
      <c r="BK100" s="1898"/>
      <c r="BL100" s="1898"/>
      <c r="BM100" s="1898"/>
      <c r="BN100" s="1898"/>
      <c r="BO100" s="1898"/>
      <c r="BP100" s="1898"/>
      <c r="BQ100" s="1898"/>
      <c r="BR100" s="1898"/>
      <c r="BS100" s="1898"/>
      <c r="BT100" s="1898"/>
      <c r="BU100" s="1898"/>
      <c r="BV100" s="1898"/>
      <c r="BW100" s="1897"/>
      <c r="BX100" s="286"/>
      <c r="BY100" s="1659"/>
      <c r="BZ100" s="975" t="s">
        <v>641</v>
      </c>
      <c r="CA100" s="1077" cm="1" t="str">
        <f t="array" ref="CA100:CA100">CA99</f>
        <v>ТЭ.42.31656254.0001</v>
      </c>
      <c r="CB100" s="1077" t="s">
        <v>631</v>
      </c>
      <c r="CC100" s="1077" t="s">
        <v>636</v>
      </c>
      <c r="CD100" s="1077" t="s">
        <v>642</v>
      </c>
      <c r="CE100" s="1076"/>
      <c r="CF100" s="1076"/>
      <c r="CG100" s="1076"/>
      <c r="CH100" s="1076"/>
      <c r="CI100" s="1076"/>
      <c r="CJ100" s="1077" t="s">
        <v>303</v>
      </c>
      <c r="CK100" s="1077" t="s">
        <v>632</v>
      </c>
      <c r="CL100" s="1077" t="s">
        <v>633</v>
      </c>
    </row>
    <row s="1751" customFormat="1" customHeight="1" ht="16.5">
      <c r="A101" s="371"/>
      <c r="B101" s="1548"/>
      <c r="C101" s="1548"/>
      <c r="D101" s="1548"/>
      <c r="E101" s="180">
        <v>17</v>
      </c>
      <c r="F101" s="175" cm="1" t="str">
        <f t="array" ref="F101:F101">OFFSET(G101,-1,-1)</f>
        <v>1</v>
      </c>
      <c r="G101" s="1659"/>
      <c r="H101" s="1659"/>
      <c r="I101" s="1659"/>
      <c r="J101" s="1659"/>
      <c r="K101" s="1659"/>
      <c r="L101" s="1659"/>
      <c r="M101" s="1659"/>
      <c r="N101" s="1659"/>
      <c r="O101" s="1659"/>
      <c r="P101" s="1659"/>
      <c r="Q101" s="1659"/>
      <c r="R101" s="1659"/>
      <c r="S101" s="1659"/>
      <c r="T101" s="753" cm="1" t="str">
        <f t="array" ref="T101:T101">T100</f>
        <v>true</v>
      </c>
      <c r="U101" s="1548"/>
      <c r="V101" s="1548"/>
      <c r="W101" s="1548"/>
      <c r="X101" s="1548"/>
      <c r="Y101" s="1548"/>
      <c r="Z101" s="1548"/>
      <c r="AA101" s="286"/>
      <c r="AB101" s="385" t="str">
        <f>AB97&amp;".2"</f>
        <v>1.2</v>
      </c>
      <c r="AC101" s="368" t="s">
        <v>643</v>
      </c>
      <c r="AD101" s="384" t="s">
        <v>629</v>
      </c>
      <c r="AE101" s="438">
        <f>AE102+AE103</f>
        <v>4383</v>
      </c>
      <c r="AF101" s="438">
        <f>AF102+AF103</f>
        <v>4637</v>
      </c>
      <c r="AG101" s="438">
        <f>AG102+AG103</f>
        <v>4637</v>
      </c>
      <c r="AH101" s="438">
        <f>AH102+AH103</f>
        <v>4671</v>
      </c>
      <c r="AI101" s="438">
        <f>AI102+AI103</f>
        <v>4637</v>
      </c>
      <c r="AJ101" s="438">
        <f>AJ102+AJ103</f>
        <v>0</v>
      </c>
      <c r="AK101" s="438">
        <f>AK102+AK103</f>
        <v>0</v>
      </c>
      <c r="AL101" s="438">
        <f>AL102+AL103</f>
        <v>0</v>
      </c>
      <c r="AM101" s="438">
        <f>AM102+AM103</f>
        <v>0</v>
      </c>
      <c r="AN101" s="438">
        <f>AN102+AN103</f>
        <v>0</v>
      </c>
      <c r="AO101" s="438">
        <f>AO102+AO103</f>
        <v>0</v>
      </c>
      <c r="AP101" s="438">
        <f>AP102+AP103</f>
        <v>0</v>
      </c>
      <c r="AQ101" s="438">
        <f>AQ102+AQ103</f>
        <v>0</v>
      </c>
      <c r="AR101" s="438">
        <f>AR102+AR103</f>
        <v>0</v>
      </c>
      <c r="AS101" s="438">
        <f>AS102+AS103</f>
        <v>0</v>
      </c>
      <c r="AT101" s="438">
        <f>AT102+AT103</f>
        <v>0</v>
      </c>
      <c r="AU101" s="438">
        <f>AU102+AU103</f>
        <v>0</v>
      </c>
      <c r="AV101" s="438">
        <f>AV102+AV103</f>
        <v>0</v>
      </c>
      <c r="AW101" s="438">
        <f>AW102+AW103</f>
        <v>0</v>
      </c>
      <c r="AX101" s="438">
        <f>AX102+AX103</f>
        <v>0</v>
      </c>
      <c r="AY101" s="438">
        <f>AY102+AY103</f>
        <v>0</v>
      </c>
      <c r="AZ101" s="438">
        <f>AZ102+AZ103</f>
        <v>0</v>
      </c>
      <c r="BA101" s="438">
        <f>BA102+BA103</f>
        <v>0</v>
      </c>
      <c r="BB101" s="438">
        <f>BB102+BB103</f>
        <v>0</v>
      </c>
      <c r="BC101" s="438">
        <f>BC102+BC103</f>
        <v>4637</v>
      </c>
      <c r="BD101" s="438">
        <f>BD102+BD103</f>
        <v>0</v>
      </c>
      <c r="BE101" s="438">
        <f>BE102+BE103</f>
        <v>0</v>
      </c>
      <c r="BF101" s="438">
        <f>BF102+BF103</f>
        <v>0</v>
      </c>
      <c r="BG101" s="438">
        <f>BG102+BG103</f>
        <v>0</v>
      </c>
      <c r="BH101" s="438">
        <f>BH102+BH103</f>
        <v>0</v>
      </c>
      <c r="BI101" s="438">
        <f>BI102+BI103</f>
        <v>0</v>
      </c>
      <c r="BJ101" s="438">
        <f>BJ102+BJ103</f>
        <v>0</v>
      </c>
      <c r="BK101" s="438">
        <f>BK102+BK103</f>
        <v>0</v>
      </c>
      <c r="BL101" s="438">
        <f>BL102+BL103</f>
        <v>0</v>
      </c>
      <c r="BM101" s="438">
        <f>BM102+BM103</f>
        <v>0</v>
      </c>
      <c r="BN101" s="438">
        <f>BN102+BN103</f>
        <v>0</v>
      </c>
      <c r="BO101" s="438">
        <f>BO102+BO103</f>
        <v>0</v>
      </c>
      <c r="BP101" s="438">
        <f>BP102+BP103</f>
        <v>0</v>
      </c>
      <c r="BQ101" s="438">
        <f>BQ102+BQ103</f>
        <v>0</v>
      </c>
      <c r="BR101" s="438">
        <f>BR102+BR103</f>
        <v>0</v>
      </c>
      <c r="BS101" s="438">
        <f>BS102+BS103</f>
        <v>0</v>
      </c>
      <c r="BT101" s="438">
        <f>BT102+BT103</f>
        <v>0</v>
      </c>
      <c r="BU101" s="438">
        <f>BU102+BU103</f>
        <v>0</v>
      </c>
      <c r="BV101" s="438">
        <f>BV102+BV103</f>
        <v>0</v>
      </c>
      <c r="BW101" s="1897"/>
      <c r="BX101" s="286"/>
      <c r="BY101" s="1659"/>
      <c r="BZ101" s="975" t="s">
        <v>644</v>
      </c>
      <c r="CA101" s="1077" cm="1" t="str">
        <f t="array" ref="CA101:CA101">CA100</f>
        <v>ТЭ.42.31656254.0001</v>
      </c>
      <c r="CB101" s="1077" t="s">
        <v>631</v>
      </c>
      <c r="CC101" s="1077" t="s">
        <v>645</v>
      </c>
      <c r="CD101" s="1076"/>
      <c r="CE101" s="1076"/>
      <c r="CF101" s="1076"/>
      <c r="CG101" s="1076"/>
      <c r="CH101" s="1076"/>
      <c r="CI101" s="1076"/>
      <c r="CJ101" s="1077" t="s">
        <v>303</v>
      </c>
      <c r="CK101" s="1077" t="s">
        <v>632</v>
      </c>
      <c r="CL101" s="1077" t="s">
        <v>633</v>
      </c>
    </row>
    <row s="1751" customFormat="1" customHeight="1" ht="16.5">
      <c r="A102" s="371"/>
      <c r="B102" s="1548"/>
      <c r="C102" s="1548"/>
      <c r="D102" s="1548"/>
      <c r="E102" s="180">
        <v>17</v>
      </c>
      <c r="F102" s="175" cm="1" t="str">
        <f t="array" ref="F102:F102">OFFSET(G102,-1,-1)</f>
        <v>1</v>
      </c>
      <c r="G102" s="1659"/>
      <c r="H102" s="1659"/>
      <c r="I102" s="1659"/>
      <c r="J102" s="1659"/>
      <c r="K102" s="1659"/>
      <c r="L102" s="1659"/>
      <c r="M102" s="1659"/>
      <c r="N102" s="1659"/>
      <c r="O102" s="1659"/>
      <c r="P102" s="1659"/>
      <c r="Q102" s="1659"/>
      <c r="R102" s="1659"/>
      <c r="S102" s="1659"/>
      <c r="T102" s="753" cm="1" t="str">
        <f t="array" ref="T102:T102">T101</f>
        <v>true</v>
      </c>
      <c r="U102" s="1548"/>
      <c r="V102" s="1548"/>
      <c r="W102" s="1548"/>
      <c r="X102" s="1548"/>
      <c r="Y102" s="1548"/>
      <c r="Z102" s="1548"/>
      <c r="AA102" s="286"/>
      <c r="AB102" s="385" t="str">
        <f>AB101&amp;".1"</f>
        <v>1.2.1</v>
      </c>
      <c r="AC102" s="355" t="s">
        <v>637</v>
      </c>
      <c r="AD102" s="384" t="s">
        <v>629</v>
      </c>
      <c r="AE102" s="1898">
        <v>4383</v>
      </c>
      <c r="AF102" s="1898">
        <v>4637</v>
      </c>
      <c r="AG102" s="1898">
        <v>4637</v>
      </c>
      <c r="AH102" s="1898">
        <v>4671</v>
      </c>
      <c r="AI102" s="439">
        <v>4637</v>
      </c>
      <c r="AJ102" s="1898"/>
      <c r="AK102" s="1898"/>
      <c r="AL102" s="1898"/>
      <c r="AM102" s="1898"/>
      <c r="AN102" s="1898"/>
      <c r="AO102" s="1898"/>
      <c r="AP102" s="1898"/>
      <c r="AQ102" s="1898"/>
      <c r="AR102" s="1898"/>
      <c r="AS102" s="1898"/>
      <c r="AT102" s="1898"/>
      <c r="AU102" s="1898"/>
      <c r="AV102" s="1898"/>
      <c r="AW102" s="1898"/>
      <c r="AX102" s="1898"/>
      <c r="AY102" s="1898"/>
      <c r="AZ102" s="1898"/>
      <c r="BA102" s="1898"/>
      <c r="BB102" s="1898"/>
      <c r="BC102" s="439">
        <v>4637</v>
      </c>
      <c r="BD102" s="1898"/>
      <c r="BE102" s="1898"/>
      <c r="BF102" s="1898"/>
      <c r="BG102" s="1898"/>
      <c r="BH102" s="1898"/>
      <c r="BI102" s="1898"/>
      <c r="BJ102" s="1898"/>
      <c r="BK102" s="1898"/>
      <c r="BL102" s="1898"/>
      <c r="BM102" s="1898"/>
      <c r="BN102" s="1898"/>
      <c r="BO102" s="1898"/>
      <c r="BP102" s="1898"/>
      <c r="BQ102" s="1898"/>
      <c r="BR102" s="1898"/>
      <c r="BS102" s="1898"/>
      <c r="BT102" s="1898"/>
      <c r="BU102" s="1898"/>
      <c r="BV102" s="1898"/>
      <c r="BW102" s="1897"/>
      <c r="BX102" s="286"/>
      <c r="BY102" s="1659"/>
      <c r="BZ102" s="975" t="s">
        <v>646</v>
      </c>
      <c r="CA102" s="1077" cm="1" t="str">
        <f t="array" ref="CA102:CA102">CA101</f>
        <v>ТЭ.42.31656254.0001</v>
      </c>
      <c r="CB102" s="1077" t="s">
        <v>631</v>
      </c>
      <c r="CC102" s="1077" t="s">
        <v>645</v>
      </c>
      <c r="CD102" s="1077" t="s">
        <v>639</v>
      </c>
      <c r="CE102" s="1076"/>
      <c r="CF102" s="1076"/>
      <c r="CG102" s="1076"/>
      <c r="CH102" s="1076"/>
      <c r="CI102" s="1076"/>
      <c r="CJ102" s="1077" t="s">
        <v>303</v>
      </c>
      <c r="CK102" s="1077" t="s">
        <v>632</v>
      </c>
      <c r="CL102" s="1077" t="s">
        <v>633</v>
      </c>
    </row>
    <row s="1751" customFormat="1" customHeight="1" ht="16.5">
      <c r="A103" s="371"/>
      <c r="B103" s="1548"/>
      <c r="C103" s="1548"/>
      <c r="D103" s="1548"/>
      <c r="E103" s="180">
        <v>17</v>
      </c>
      <c r="F103" s="175" cm="1" t="str">
        <f t="array" ref="F103:F103">OFFSET(G103,-1,-1)</f>
        <v>1</v>
      </c>
      <c r="G103" s="1659"/>
      <c r="H103" s="1659"/>
      <c r="I103" s="1659"/>
      <c r="J103" s="1659"/>
      <c r="K103" s="1659"/>
      <c r="L103" s="1659"/>
      <c r="M103" s="1659"/>
      <c r="N103" s="1659"/>
      <c r="O103" s="1659"/>
      <c r="P103" s="1659"/>
      <c r="Q103" s="1659"/>
      <c r="R103" s="1659"/>
      <c r="S103" s="1659"/>
      <c r="T103" s="753" cm="1" t="str">
        <f t="array" ref="T103:T103">T102</f>
        <v>true</v>
      </c>
      <c r="U103" s="1548"/>
      <c r="V103" s="1548"/>
      <c r="W103" s="1548"/>
      <c r="X103" s="1548"/>
      <c r="Y103" s="1548"/>
      <c r="Z103" s="1548"/>
      <c r="AA103" s="286"/>
      <c r="AB103" s="385" t="str">
        <f>AB101&amp;".2"</f>
        <v>1.2.2</v>
      </c>
      <c r="AC103" s="355" t="s">
        <v>640</v>
      </c>
      <c r="AD103" s="384" t="s">
        <v>629</v>
      </c>
      <c r="AE103" s="1898"/>
      <c r="AF103" s="1898"/>
      <c r="AG103" s="1898"/>
      <c r="AH103" s="1898"/>
      <c r="AI103" s="439"/>
      <c r="AJ103" s="1898"/>
      <c r="AK103" s="1898"/>
      <c r="AL103" s="1898"/>
      <c r="AM103" s="1898"/>
      <c r="AN103" s="1898"/>
      <c r="AO103" s="1898"/>
      <c r="AP103" s="1898"/>
      <c r="AQ103" s="1898"/>
      <c r="AR103" s="1898"/>
      <c r="AS103" s="1898"/>
      <c r="AT103" s="1898"/>
      <c r="AU103" s="1898"/>
      <c r="AV103" s="1898"/>
      <c r="AW103" s="1898"/>
      <c r="AX103" s="1898"/>
      <c r="AY103" s="1898"/>
      <c r="AZ103" s="1898"/>
      <c r="BA103" s="1898"/>
      <c r="BB103" s="1898"/>
      <c r="BC103" s="439"/>
      <c r="BD103" s="1898"/>
      <c r="BE103" s="1898"/>
      <c r="BF103" s="1898"/>
      <c r="BG103" s="1898"/>
      <c r="BH103" s="1898"/>
      <c r="BI103" s="1898"/>
      <c r="BJ103" s="1898"/>
      <c r="BK103" s="1898"/>
      <c r="BL103" s="1898"/>
      <c r="BM103" s="1898"/>
      <c r="BN103" s="1898"/>
      <c r="BO103" s="1898"/>
      <c r="BP103" s="1898"/>
      <c r="BQ103" s="1898"/>
      <c r="BR103" s="1898"/>
      <c r="BS103" s="1898"/>
      <c r="BT103" s="1898"/>
      <c r="BU103" s="1898"/>
      <c r="BV103" s="1898"/>
      <c r="BW103" s="1897"/>
      <c r="BX103" s="286"/>
      <c r="BY103" s="1659"/>
      <c r="BZ103" s="975" t="s">
        <v>647</v>
      </c>
      <c r="CA103" s="1077" cm="1" t="str">
        <f t="array" ref="CA103:CA103">CA102</f>
        <v>ТЭ.42.31656254.0001</v>
      </c>
      <c r="CB103" s="1077" t="s">
        <v>631</v>
      </c>
      <c r="CC103" s="1077" t="s">
        <v>645</v>
      </c>
      <c r="CD103" s="1077" t="s">
        <v>642</v>
      </c>
      <c r="CE103" s="1076"/>
      <c r="CF103" s="1076"/>
      <c r="CG103" s="1076"/>
      <c r="CH103" s="1076"/>
      <c r="CI103" s="1076"/>
      <c r="CJ103" s="1077" t="s">
        <v>303</v>
      </c>
      <c r="CK103" s="1077" t="s">
        <v>632</v>
      </c>
      <c r="CL103" s="1077" t="s">
        <v>633</v>
      </c>
    </row>
    <row s="1751" customFormat="1" customHeight="1" ht="16.5">
      <c r="A104" s="371"/>
      <c r="B104" s="1548"/>
      <c r="C104" s="1548"/>
      <c r="D104" s="1548"/>
      <c r="E104" s="180">
        <v>17</v>
      </c>
      <c r="F104" s="175" cm="1" t="str">
        <f t="array" ref="F104:F104">OFFSET(G104,-1,-1)</f>
        <v>1</v>
      </c>
      <c r="G104" s="1659"/>
      <c r="H104" s="1659"/>
      <c r="I104" s="1659"/>
      <c r="J104" s="1659"/>
      <c r="K104" s="1659"/>
      <c r="L104" s="1659"/>
      <c r="M104" s="1659"/>
      <c r="N104" s="1659"/>
      <c r="O104" s="1659"/>
      <c r="P104" s="1659"/>
      <c r="Q104" s="1659"/>
      <c r="R104" s="1659"/>
      <c r="S104" s="1659"/>
      <c r="T104" s="753" cm="1" t="str">
        <f t="array" ref="T104:T104">T103</f>
        <v>true</v>
      </c>
      <c r="U104" s="1548"/>
      <c r="V104" s="1548"/>
      <c r="W104" s="1548"/>
      <c r="X104" s="1548"/>
      <c r="Y104" s="1548"/>
      <c r="Z104" s="1548"/>
      <c r="AA104" s="286"/>
      <c r="AB104" s="385" t="str">
        <f>AB97&amp;".3"</f>
        <v>1.3</v>
      </c>
      <c r="AC104" s="368" t="s">
        <v>648</v>
      </c>
      <c r="AD104" s="384" t="s">
        <v>629</v>
      </c>
      <c r="AE104" s="1898"/>
      <c r="AF104" s="1898"/>
      <c r="AG104" s="1898"/>
      <c r="AH104" s="1898"/>
      <c r="AI104" s="439"/>
      <c r="AJ104" s="1898"/>
      <c r="AK104" s="1898"/>
      <c r="AL104" s="1898"/>
      <c r="AM104" s="1898"/>
      <c r="AN104" s="1898"/>
      <c r="AO104" s="1898"/>
      <c r="AP104" s="1898"/>
      <c r="AQ104" s="1898"/>
      <c r="AR104" s="1898"/>
      <c r="AS104" s="1898"/>
      <c r="AT104" s="1898"/>
      <c r="AU104" s="1898"/>
      <c r="AV104" s="1898"/>
      <c r="AW104" s="1898"/>
      <c r="AX104" s="1898"/>
      <c r="AY104" s="1898"/>
      <c r="AZ104" s="1898"/>
      <c r="BA104" s="1898"/>
      <c r="BB104" s="1898"/>
      <c r="BC104" s="439"/>
      <c r="BD104" s="1898"/>
      <c r="BE104" s="1898"/>
      <c r="BF104" s="1898"/>
      <c r="BG104" s="1898"/>
      <c r="BH104" s="1898"/>
      <c r="BI104" s="1898"/>
      <c r="BJ104" s="1898"/>
      <c r="BK104" s="1898"/>
      <c r="BL104" s="1898"/>
      <c r="BM104" s="1898"/>
      <c r="BN104" s="1898"/>
      <c r="BO104" s="1898"/>
      <c r="BP104" s="1898"/>
      <c r="BQ104" s="1898"/>
      <c r="BR104" s="1898"/>
      <c r="BS104" s="1898"/>
      <c r="BT104" s="1898"/>
      <c r="BU104" s="1898"/>
      <c r="BV104" s="1898"/>
      <c r="BW104" s="1897"/>
      <c r="BX104" s="286"/>
      <c r="BY104" s="1659"/>
      <c r="BZ104" s="975" t="s">
        <v>649</v>
      </c>
      <c r="CA104" s="1077" cm="1" t="str">
        <f t="array" ref="CA104:CA104">CA103</f>
        <v>ТЭ.42.31656254.0001</v>
      </c>
      <c r="CB104" s="1077" t="s">
        <v>631</v>
      </c>
      <c r="CC104" s="1077" t="s">
        <v>650</v>
      </c>
      <c r="CD104" s="1076"/>
      <c r="CE104" s="1076"/>
      <c r="CF104" s="1076"/>
      <c r="CG104" s="1076"/>
      <c r="CH104" s="1076"/>
      <c r="CI104" s="1076"/>
      <c r="CJ104" s="1077" t="s">
        <v>303</v>
      </c>
      <c r="CK104" s="1077" t="s">
        <v>632</v>
      </c>
      <c r="CL104" s="1077" t="s">
        <v>633</v>
      </c>
    </row>
    <row s="1751" customFormat="1" customHeight="1" ht="16.5">
      <c r="A105" s="371"/>
      <c r="B105" s="1548"/>
      <c r="C105" s="1548"/>
      <c r="D105" s="1548"/>
      <c r="E105" s="180">
        <v>17</v>
      </c>
      <c r="F105" s="175" cm="1" t="str">
        <f t="array" ref="F105:F105">OFFSET(G105,-1,-1)</f>
        <v>1</v>
      </c>
      <c r="G105" s="1659"/>
      <c r="H105" s="1659"/>
      <c r="I105" s="1659"/>
      <c r="J105" s="1659"/>
      <c r="K105" s="1659"/>
      <c r="L105" s="1659"/>
      <c r="M105" s="1659"/>
      <c r="N105" s="1659"/>
      <c r="O105" s="1659"/>
      <c r="P105" s="1659"/>
      <c r="Q105" s="1659"/>
      <c r="R105" s="1659"/>
      <c r="S105" s="1659"/>
      <c r="T105" s="753" cm="1" t="str">
        <f t="array" ref="T105:T105">T104</f>
        <v>true</v>
      </c>
      <c r="U105" s="1548"/>
      <c r="V105" s="1548"/>
      <c r="W105" s="1548"/>
      <c r="X105" s="1548"/>
      <c r="Y105" s="1548"/>
      <c r="Z105" s="1548"/>
      <c r="AA105" s="286"/>
      <c r="AB105" s="327">
        <v>2</v>
      </c>
      <c r="AC105" s="440" t="s">
        <v>651</v>
      </c>
      <c r="AD105" s="384" t="s">
        <v>629</v>
      </c>
      <c r="AE105" s="438">
        <f>AE106+AE109+AE112</f>
        <v>0</v>
      </c>
      <c r="AF105" s="438">
        <f>AF106+AF109+AF112</f>
        <v>0</v>
      </c>
      <c r="AG105" s="438">
        <f>AG106+AG109+AG112</f>
        <v>0</v>
      </c>
      <c r="AH105" s="438">
        <f>AH106+AH109+AH112</f>
        <v>0</v>
      </c>
      <c r="AI105" s="438">
        <f>AI106+AI109+AI112</f>
        <v>0</v>
      </c>
      <c r="AJ105" s="438">
        <f>AJ106+AJ109+AJ112</f>
        <v>0</v>
      </c>
      <c r="AK105" s="438">
        <f>AK106+AK109+AK112</f>
        <v>0</v>
      </c>
      <c r="AL105" s="438">
        <f>AL106+AL109+AL112</f>
        <v>0</v>
      </c>
      <c r="AM105" s="438">
        <f>AM106+AM109+AM112</f>
        <v>0</v>
      </c>
      <c r="AN105" s="438">
        <f>AN106+AN109+AN112</f>
        <v>0</v>
      </c>
      <c r="AO105" s="438">
        <f>AO106+AO109+AO112</f>
        <v>0</v>
      </c>
      <c r="AP105" s="438">
        <f>AP106+AP109+AP112</f>
        <v>0</v>
      </c>
      <c r="AQ105" s="438">
        <f>AQ106+AQ109+AQ112</f>
        <v>0</v>
      </c>
      <c r="AR105" s="438">
        <f>AR106+AR109+AR112</f>
        <v>0</v>
      </c>
      <c r="AS105" s="438">
        <f>AS106+AS109+AS112</f>
        <v>0</v>
      </c>
      <c r="AT105" s="438">
        <f>AT106+AT109+AT112</f>
        <v>0</v>
      </c>
      <c r="AU105" s="438">
        <f>AU106+AU109+AU112</f>
        <v>0</v>
      </c>
      <c r="AV105" s="438">
        <f>AV106+AV109+AV112</f>
        <v>0</v>
      </c>
      <c r="AW105" s="438">
        <f>AW106+AW109+AW112</f>
        <v>0</v>
      </c>
      <c r="AX105" s="438">
        <f>AX106+AX109+AX112</f>
        <v>0</v>
      </c>
      <c r="AY105" s="438">
        <f>AY106+AY109+AY112</f>
        <v>0</v>
      </c>
      <c r="AZ105" s="438">
        <f>AZ106+AZ109+AZ112</f>
        <v>0</v>
      </c>
      <c r="BA105" s="438">
        <f>BA106+BA109+BA112</f>
        <v>0</v>
      </c>
      <c r="BB105" s="438">
        <f>BB106+BB109+BB112</f>
        <v>0</v>
      </c>
      <c r="BC105" s="438">
        <f>BC106+BC109+BC112</f>
        <v>0</v>
      </c>
      <c r="BD105" s="438">
        <f>BD106+BD109+BD112</f>
        <v>0</v>
      </c>
      <c r="BE105" s="438">
        <f>BE106+BE109+BE112</f>
        <v>0</v>
      </c>
      <c r="BF105" s="438">
        <f>BF106+BF109+BF112</f>
        <v>0</v>
      </c>
      <c r="BG105" s="438">
        <f>BG106+BG109+BG112</f>
        <v>0</v>
      </c>
      <c r="BH105" s="438">
        <f>BH106+BH109+BH112</f>
        <v>0</v>
      </c>
      <c r="BI105" s="438">
        <f>BI106+BI109+BI112</f>
        <v>0</v>
      </c>
      <c r="BJ105" s="438">
        <f>BJ106+BJ109+BJ112</f>
        <v>0</v>
      </c>
      <c r="BK105" s="438">
        <f>BK106+BK109+BK112</f>
        <v>0</v>
      </c>
      <c r="BL105" s="438">
        <f>BL106+BL109+BL112</f>
        <v>0</v>
      </c>
      <c r="BM105" s="438">
        <f>BM106+BM109+BM112</f>
        <v>0</v>
      </c>
      <c r="BN105" s="438">
        <f>BN106+BN109+BN112</f>
        <v>0</v>
      </c>
      <c r="BO105" s="438">
        <f>BO106+BO109+BO112</f>
        <v>0</v>
      </c>
      <c r="BP105" s="438">
        <f>BP106+BP109+BP112</f>
        <v>0</v>
      </c>
      <c r="BQ105" s="438">
        <f>BQ106+BQ109+BQ112</f>
        <v>0</v>
      </c>
      <c r="BR105" s="438">
        <f>BR106+BR109+BR112</f>
        <v>0</v>
      </c>
      <c r="BS105" s="438">
        <f>BS106+BS109+BS112</f>
        <v>0</v>
      </c>
      <c r="BT105" s="438">
        <f>BT106+BT109+BT112</f>
        <v>0</v>
      </c>
      <c r="BU105" s="438">
        <f>BU106+BU109+BU112</f>
        <v>0</v>
      </c>
      <c r="BV105" s="438">
        <f>BV106+BV109+BV112</f>
        <v>0</v>
      </c>
      <c r="BW105" s="1897"/>
      <c r="BX105" s="286"/>
      <c r="BY105" s="1659"/>
      <c r="BZ105" s="975" t="s">
        <v>652</v>
      </c>
      <c r="CA105" s="1077" cm="1" t="str">
        <f t="array" ref="CA105:CA105">CA104</f>
        <v>ТЭ.42.31656254.0001</v>
      </c>
      <c r="CB105" s="1076"/>
      <c r="CC105" s="1076"/>
      <c r="CD105" s="1076"/>
      <c r="CE105" s="1076"/>
      <c r="CF105" s="1076"/>
      <c r="CG105" s="1076"/>
      <c r="CH105" s="1076"/>
      <c r="CI105" s="1077" t="s">
        <v>219</v>
      </c>
      <c r="CJ105" s="1077" t="s">
        <v>303</v>
      </c>
      <c r="CK105" s="1077" t="s">
        <v>653</v>
      </c>
      <c r="CL105" s="1077" t="s">
        <v>654</v>
      </c>
    </row>
    <row s="1751" customFormat="1" customHeight="1" ht="16.5">
      <c r="A106" s="371"/>
      <c r="B106" s="1548"/>
      <c r="C106" s="1548"/>
      <c r="D106" s="1548"/>
      <c r="E106" s="180">
        <v>17</v>
      </c>
      <c r="F106" s="175" cm="1" t="str">
        <f t="array" ref="F106:F106">OFFSET(G106,-1,-1)</f>
        <v>1</v>
      </c>
      <c r="G106" s="1659"/>
      <c r="H106" s="1659"/>
      <c r="I106" s="1659"/>
      <c r="J106" s="1659"/>
      <c r="K106" s="1659"/>
      <c r="L106" s="1659"/>
      <c r="M106" s="1659"/>
      <c r="N106" s="1659"/>
      <c r="O106" s="1659"/>
      <c r="P106" s="1659"/>
      <c r="Q106" s="1659"/>
      <c r="R106" s="1659"/>
      <c r="S106" s="1659"/>
      <c r="T106" s="753" cm="1" t="str">
        <f t="array" ref="T106:T106">T105</f>
        <v>true</v>
      </c>
      <c r="U106" s="1548"/>
      <c r="V106" s="1548"/>
      <c r="W106" s="1548"/>
      <c r="X106" s="1548"/>
      <c r="Y106" s="1548"/>
      <c r="Z106" s="1548"/>
      <c r="AA106" s="286"/>
      <c r="AB106" s="385" t="str">
        <f>AB105&amp;".1"</f>
        <v>2.1</v>
      </c>
      <c r="AC106" s="368" t="s">
        <v>634</v>
      </c>
      <c r="AD106" s="384" t="s">
        <v>629</v>
      </c>
      <c r="AE106" s="438">
        <f>AE107+AE108</f>
        <v>0</v>
      </c>
      <c r="AF106" s="438">
        <f>AF107+AF108</f>
        <v>0</v>
      </c>
      <c r="AG106" s="438">
        <f>AG107+AG108</f>
        <v>0</v>
      </c>
      <c r="AH106" s="438">
        <f>AH107+AH108</f>
        <v>0</v>
      </c>
      <c r="AI106" s="438">
        <f>AI107+AI108</f>
        <v>0</v>
      </c>
      <c r="AJ106" s="438">
        <f>AJ107+AJ108</f>
        <v>0</v>
      </c>
      <c r="AK106" s="438">
        <f>AK107+AK108</f>
        <v>0</v>
      </c>
      <c r="AL106" s="438">
        <f>AL107+AL108</f>
        <v>0</v>
      </c>
      <c r="AM106" s="438">
        <f>AM107+AM108</f>
        <v>0</v>
      </c>
      <c r="AN106" s="438">
        <f>AN107+AN108</f>
        <v>0</v>
      </c>
      <c r="AO106" s="438">
        <f>AO107+AO108</f>
        <v>0</v>
      </c>
      <c r="AP106" s="438">
        <f>AP107+AP108</f>
        <v>0</v>
      </c>
      <c r="AQ106" s="438">
        <f>AQ107+AQ108</f>
        <v>0</v>
      </c>
      <c r="AR106" s="438">
        <f>AR107+AR108</f>
        <v>0</v>
      </c>
      <c r="AS106" s="438">
        <f>AS107+AS108</f>
        <v>0</v>
      </c>
      <c r="AT106" s="438">
        <f>AT107+AT108</f>
        <v>0</v>
      </c>
      <c r="AU106" s="438">
        <f>AU107+AU108</f>
        <v>0</v>
      </c>
      <c r="AV106" s="438">
        <f>AV107+AV108</f>
        <v>0</v>
      </c>
      <c r="AW106" s="438">
        <f>AW107+AW108</f>
        <v>0</v>
      </c>
      <c r="AX106" s="438">
        <f>AX107+AX108</f>
        <v>0</v>
      </c>
      <c r="AY106" s="438">
        <f>AY107+AY108</f>
        <v>0</v>
      </c>
      <c r="AZ106" s="438">
        <f>AZ107+AZ108</f>
        <v>0</v>
      </c>
      <c r="BA106" s="438">
        <f>BA107+BA108</f>
        <v>0</v>
      </c>
      <c r="BB106" s="438">
        <f>BB107+BB108</f>
        <v>0</v>
      </c>
      <c r="BC106" s="438">
        <f>BC107+BC108</f>
        <v>0</v>
      </c>
      <c r="BD106" s="438">
        <f>BD107+BD108</f>
        <v>0</v>
      </c>
      <c r="BE106" s="438">
        <f>BE107+BE108</f>
        <v>0</v>
      </c>
      <c r="BF106" s="438">
        <f>BF107+BF108</f>
        <v>0</v>
      </c>
      <c r="BG106" s="438">
        <f>BG107+BG108</f>
        <v>0</v>
      </c>
      <c r="BH106" s="438">
        <f>BH107+BH108</f>
        <v>0</v>
      </c>
      <c r="BI106" s="438">
        <f>BI107+BI108</f>
        <v>0</v>
      </c>
      <c r="BJ106" s="438">
        <f>BJ107+BJ108</f>
        <v>0</v>
      </c>
      <c r="BK106" s="438">
        <f>BK107+BK108</f>
        <v>0</v>
      </c>
      <c r="BL106" s="438">
        <f>BL107+BL108</f>
        <v>0</v>
      </c>
      <c r="BM106" s="438">
        <f>BM107+BM108</f>
        <v>0</v>
      </c>
      <c r="BN106" s="438">
        <f>BN107+BN108</f>
        <v>0</v>
      </c>
      <c r="BO106" s="438">
        <f>BO107+BO108</f>
        <v>0</v>
      </c>
      <c r="BP106" s="438">
        <f>BP107+BP108</f>
        <v>0</v>
      </c>
      <c r="BQ106" s="438">
        <f>BQ107+BQ108</f>
        <v>0</v>
      </c>
      <c r="BR106" s="438">
        <f>BR107+BR108</f>
        <v>0</v>
      </c>
      <c r="BS106" s="438">
        <f>BS107+BS108</f>
        <v>0</v>
      </c>
      <c r="BT106" s="438">
        <f>BT107+BT108</f>
        <v>0</v>
      </c>
      <c r="BU106" s="438">
        <f>BU107+BU108</f>
        <v>0</v>
      </c>
      <c r="BV106" s="438">
        <f>BV107+BV108</f>
        <v>0</v>
      </c>
      <c r="BW106" s="1897"/>
      <c r="BX106" s="286"/>
      <c r="BY106" s="1659"/>
      <c r="BZ106" s="975" t="s">
        <v>655</v>
      </c>
      <c r="CA106" s="1077" cm="1" t="str">
        <f t="array" ref="CA106:CA106">CA105</f>
        <v>ТЭ.42.31656254.0001</v>
      </c>
      <c r="CB106" s="1076"/>
      <c r="CC106" s="1077" t="s">
        <v>636</v>
      </c>
      <c r="CD106" s="1076"/>
      <c r="CE106" s="1076"/>
      <c r="CF106" s="1076"/>
      <c r="CG106" s="1076"/>
      <c r="CH106" s="1076"/>
      <c r="CI106" s="1076"/>
      <c r="CJ106" s="1077" t="s">
        <v>303</v>
      </c>
      <c r="CK106" s="1077" t="s">
        <v>653</v>
      </c>
      <c r="CL106" s="1077" t="s">
        <v>654</v>
      </c>
    </row>
    <row s="1751" customFormat="1" customHeight="1" ht="16.5">
      <c r="A107" s="371"/>
      <c r="B107" s="1548"/>
      <c r="C107" s="1548"/>
      <c r="D107" s="1548"/>
      <c r="E107" s="180">
        <v>17</v>
      </c>
      <c r="F107" s="175" cm="1" t="str">
        <f t="array" ref="F107:F107">OFFSET(G107,-1,-1)</f>
        <v>1</v>
      </c>
      <c r="G107" s="1659"/>
      <c r="H107" s="1659"/>
      <c r="I107" s="1659"/>
      <c r="J107" s="1659"/>
      <c r="K107" s="1659"/>
      <c r="L107" s="1659"/>
      <c r="M107" s="1659"/>
      <c r="N107" s="1659"/>
      <c r="O107" s="1659"/>
      <c r="P107" s="1659"/>
      <c r="Q107" s="1659"/>
      <c r="R107" s="1659"/>
      <c r="S107" s="1659"/>
      <c r="T107" s="753" cm="1" t="str">
        <f t="array" ref="T107:T107">T106</f>
        <v>true</v>
      </c>
      <c r="U107" s="1548"/>
      <c r="V107" s="1548"/>
      <c r="W107" s="1548"/>
      <c r="X107" s="1548"/>
      <c r="Y107" s="1548"/>
      <c r="Z107" s="1548"/>
      <c r="AA107" s="286"/>
      <c r="AB107" s="385" t="str">
        <f>AB106&amp;".1"</f>
        <v>2.1.1</v>
      </c>
      <c r="AC107" s="355" t="s">
        <v>637</v>
      </c>
      <c r="AD107" s="384" t="s">
        <v>629</v>
      </c>
      <c r="AE107" s="1898"/>
      <c r="AF107" s="1898"/>
      <c r="AG107" s="1898"/>
      <c r="AH107" s="1898"/>
      <c r="AI107" s="439"/>
      <c r="AJ107" s="1898"/>
      <c r="AK107" s="1898"/>
      <c r="AL107" s="1898"/>
      <c r="AM107" s="1898"/>
      <c r="AN107" s="1898"/>
      <c r="AO107" s="1898"/>
      <c r="AP107" s="1898"/>
      <c r="AQ107" s="1898"/>
      <c r="AR107" s="1898"/>
      <c r="AS107" s="1898"/>
      <c r="AT107" s="1898"/>
      <c r="AU107" s="1898"/>
      <c r="AV107" s="1898"/>
      <c r="AW107" s="1898"/>
      <c r="AX107" s="1898"/>
      <c r="AY107" s="1898"/>
      <c r="AZ107" s="1898"/>
      <c r="BA107" s="1898"/>
      <c r="BB107" s="1898"/>
      <c r="BC107" s="439"/>
      <c r="BD107" s="1898"/>
      <c r="BE107" s="1898"/>
      <c r="BF107" s="1898"/>
      <c r="BG107" s="1898"/>
      <c r="BH107" s="1898"/>
      <c r="BI107" s="1898"/>
      <c r="BJ107" s="1898"/>
      <c r="BK107" s="1898"/>
      <c r="BL107" s="1898"/>
      <c r="BM107" s="1898"/>
      <c r="BN107" s="1898"/>
      <c r="BO107" s="1898"/>
      <c r="BP107" s="1898"/>
      <c r="BQ107" s="1898"/>
      <c r="BR107" s="1898"/>
      <c r="BS107" s="1898"/>
      <c r="BT107" s="1898"/>
      <c r="BU107" s="1898"/>
      <c r="BV107" s="1898"/>
      <c r="BW107" s="1897"/>
      <c r="BX107" s="286"/>
      <c r="BY107" s="1659"/>
      <c r="BZ107" s="975" t="s">
        <v>656</v>
      </c>
      <c r="CA107" s="1077" cm="1" t="str">
        <f t="array" ref="CA107:CA107">CA106</f>
        <v>ТЭ.42.31656254.0001</v>
      </c>
      <c r="CB107" s="1076"/>
      <c r="CC107" s="1077" t="s">
        <v>636</v>
      </c>
      <c r="CD107" s="1077" t="s">
        <v>639</v>
      </c>
      <c r="CE107" s="1076"/>
      <c r="CF107" s="1076"/>
      <c r="CG107" s="1076"/>
      <c r="CH107" s="1076"/>
      <c r="CI107" s="1076"/>
      <c r="CJ107" s="1077" t="s">
        <v>303</v>
      </c>
      <c r="CK107" s="1077" t="s">
        <v>653</v>
      </c>
      <c r="CL107" s="1077" t="s">
        <v>654</v>
      </c>
    </row>
    <row s="1751" customFormat="1" customHeight="1" ht="16.5">
      <c r="A108" s="371"/>
      <c r="B108" s="1548"/>
      <c r="C108" s="1548"/>
      <c r="D108" s="1548"/>
      <c r="E108" s="180">
        <v>17</v>
      </c>
      <c r="F108" s="175" cm="1" t="str">
        <f t="array" ref="F108:F108">OFFSET(G108,-1,-1)</f>
        <v>1</v>
      </c>
      <c r="G108" s="1659"/>
      <c r="H108" s="1659"/>
      <c r="I108" s="1659"/>
      <c r="J108" s="1659"/>
      <c r="K108" s="1659"/>
      <c r="L108" s="1659"/>
      <c r="M108" s="1659"/>
      <c r="N108" s="1659"/>
      <c r="O108" s="1659"/>
      <c r="P108" s="1659"/>
      <c r="Q108" s="1659"/>
      <c r="R108" s="1659"/>
      <c r="S108" s="1659"/>
      <c r="T108" s="753" cm="1" t="str">
        <f t="array" ref="T108:T108">T107</f>
        <v>true</v>
      </c>
      <c r="U108" s="1548"/>
      <c r="V108" s="1548"/>
      <c r="W108" s="1548"/>
      <c r="X108" s="1548"/>
      <c r="Y108" s="1548"/>
      <c r="Z108" s="1548"/>
      <c r="AA108" s="286"/>
      <c r="AB108" s="385" t="str">
        <f>AB106&amp;".2"</f>
        <v>2.1.2</v>
      </c>
      <c r="AC108" s="355" t="s">
        <v>640</v>
      </c>
      <c r="AD108" s="384" t="s">
        <v>629</v>
      </c>
      <c r="AE108" s="1898"/>
      <c r="AF108" s="1898"/>
      <c r="AG108" s="1898"/>
      <c r="AH108" s="1898"/>
      <c r="AI108" s="439"/>
      <c r="AJ108" s="1898"/>
      <c r="AK108" s="1898"/>
      <c r="AL108" s="1898"/>
      <c r="AM108" s="1898"/>
      <c r="AN108" s="1898"/>
      <c r="AO108" s="1898"/>
      <c r="AP108" s="1898"/>
      <c r="AQ108" s="1898"/>
      <c r="AR108" s="1898"/>
      <c r="AS108" s="1898"/>
      <c r="AT108" s="1898"/>
      <c r="AU108" s="1898"/>
      <c r="AV108" s="1898"/>
      <c r="AW108" s="1898"/>
      <c r="AX108" s="1898"/>
      <c r="AY108" s="1898"/>
      <c r="AZ108" s="1898"/>
      <c r="BA108" s="1898"/>
      <c r="BB108" s="1898"/>
      <c r="BC108" s="439"/>
      <c r="BD108" s="1898"/>
      <c r="BE108" s="1898"/>
      <c r="BF108" s="1898"/>
      <c r="BG108" s="1898"/>
      <c r="BH108" s="1898"/>
      <c r="BI108" s="1898"/>
      <c r="BJ108" s="1898"/>
      <c r="BK108" s="1898"/>
      <c r="BL108" s="1898"/>
      <c r="BM108" s="1898"/>
      <c r="BN108" s="1898"/>
      <c r="BO108" s="1898"/>
      <c r="BP108" s="1898"/>
      <c r="BQ108" s="1898"/>
      <c r="BR108" s="1898"/>
      <c r="BS108" s="1898"/>
      <c r="BT108" s="1898"/>
      <c r="BU108" s="1898"/>
      <c r="BV108" s="1898"/>
      <c r="BW108" s="1897"/>
      <c r="BX108" s="286"/>
      <c r="BY108" s="1659"/>
      <c r="BZ108" s="975" t="s">
        <v>657</v>
      </c>
      <c r="CA108" s="1077" cm="1" t="str">
        <f t="array" ref="CA108:CA108">CA107</f>
        <v>ТЭ.42.31656254.0001</v>
      </c>
      <c r="CB108" s="1076"/>
      <c r="CC108" s="1077" t="s">
        <v>636</v>
      </c>
      <c r="CD108" s="1077" t="s">
        <v>642</v>
      </c>
      <c r="CE108" s="1076"/>
      <c r="CF108" s="1076"/>
      <c r="CG108" s="1076"/>
      <c r="CH108" s="1076"/>
      <c r="CI108" s="1076"/>
      <c r="CJ108" s="1077" t="s">
        <v>303</v>
      </c>
      <c r="CK108" s="1077" t="s">
        <v>653</v>
      </c>
      <c r="CL108" s="1077" t="s">
        <v>654</v>
      </c>
    </row>
    <row s="1751" customFormat="1" customHeight="1" ht="16.5">
      <c r="A109" s="371"/>
      <c r="B109" s="1548"/>
      <c r="C109" s="1548"/>
      <c r="D109" s="1548"/>
      <c r="E109" s="180">
        <v>17</v>
      </c>
      <c r="F109" s="175" cm="1" t="str">
        <f t="array" ref="F109:F109">OFFSET(G109,-1,-1)</f>
        <v>1</v>
      </c>
      <c r="G109" s="1659"/>
      <c r="H109" s="1659"/>
      <c r="I109" s="1659"/>
      <c r="J109" s="1659"/>
      <c r="K109" s="1659"/>
      <c r="L109" s="1659"/>
      <c r="M109" s="1659"/>
      <c r="N109" s="1659"/>
      <c r="O109" s="1659"/>
      <c r="P109" s="1659"/>
      <c r="Q109" s="1659"/>
      <c r="R109" s="1659"/>
      <c r="S109" s="1659"/>
      <c r="T109" s="753" cm="1" t="str">
        <f t="array" ref="T109:T109">T108</f>
        <v>true</v>
      </c>
      <c r="U109" s="1548"/>
      <c r="V109" s="1548"/>
      <c r="W109" s="1548"/>
      <c r="X109" s="1548"/>
      <c r="Y109" s="1548"/>
      <c r="Z109" s="1548"/>
      <c r="AA109" s="286"/>
      <c r="AB109" s="385">
        <v>2.2</v>
      </c>
      <c r="AC109" s="368" t="s">
        <v>643</v>
      </c>
      <c r="AD109" s="384" t="s">
        <v>629</v>
      </c>
      <c r="AE109" s="438">
        <f>AE110+AE111</f>
        <v>0</v>
      </c>
      <c r="AF109" s="438">
        <f>AF110+AF111</f>
        <v>0</v>
      </c>
      <c r="AG109" s="438">
        <f>AG110+AG111</f>
        <v>0</v>
      </c>
      <c r="AH109" s="438">
        <f>AH110+AH111</f>
        <v>0</v>
      </c>
      <c r="AI109" s="438">
        <f>AI110+AI111</f>
        <v>0</v>
      </c>
      <c r="AJ109" s="438">
        <f>AJ110+AJ111</f>
        <v>0</v>
      </c>
      <c r="AK109" s="438">
        <f>AK110+AK111</f>
        <v>0</v>
      </c>
      <c r="AL109" s="438">
        <f>AL110+AL111</f>
        <v>0</v>
      </c>
      <c r="AM109" s="438">
        <f>AM110+AM111</f>
        <v>0</v>
      </c>
      <c r="AN109" s="438">
        <f>AN110+AN111</f>
        <v>0</v>
      </c>
      <c r="AO109" s="438">
        <f>AO110+AO111</f>
        <v>0</v>
      </c>
      <c r="AP109" s="438">
        <f>AP110+AP111</f>
        <v>0</v>
      </c>
      <c r="AQ109" s="438">
        <f>AQ110+AQ111</f>
        <v>0</v>
      </c>
      <c r="AR109" s="438">
        <f>AR110+AR111</f>
        <v>0</v>
      </c>
      <c r="AS109" s="438">
        <f>AS110+AS111</f>
        <v>0</v>
      </c>
      <c r="AT109" s="438">
        <f>AT110+AT111</f>
        <v>0</v>
      </c>
      <c r="AU109" s="438">
        <f>AU110+AU111</f>
        <v>0</v>
      </c>
      <c r="AV109" s="438">
        <f>AV110+AV111</f>
        <v>0</v>
      </c>
      <c r="AW109" s="438">
        <f>AW110+AW111</f>
        <v>0</v>
      </c>
      <c r="AX109" s="438">
        <f>AX110+AX111</f>
        <v>0</v>
      </c>
      <c r="AY109" s="438">
        <f>AY110+AY111</f>
        <v>0</v>
      </c>
      <c r="AZ109" s="438">
        <f>AZ110+AZ111</f>
        <v>0</v>
      </c>
      <c r="BA109" s="438">
        <f>BA110+BA111</f>
        <v>0</v>
      </c>
      <c r="BB109" s="438">
        <f>BB110+BB111</f>
        <v>0</v>
      </c>
      <c r="BC109" s="438">
        <f>BC110+BC111</f>
        <v>0</v>
      </c>
      <c r="BD109" s="438">
        <f>BD110+BD111</f>
        <v>0</v>
      </c>
      <c r="BE109" s="438">
        <f>BE110+BE111</f>
        <v>0</v>
      </c>
      <c r="BF109" s="438">
        <f>BF110+BF111</f>
        <v>0</v>
      </c>
      <c r="BG109" s="438">
        <f>BG110+BG111</f>
        <v>0</v>
      </c>
      <c r="BH109" s="438">
        <f>BH110+BH111</f>
        <v>0</v>
      </c>
      <c r="BI109" s="438">
        <f>BI110+BI111</f>
        <v>0</v>
      </c>
      <c r="BJ109" s="438">
        <f>BJ110+BJ111</f>
        <v>0</v>
      </c>
      <c r="BK109" s="438">
        <f>BK110+BK111</f>
        <v>0</v>
      </c>
      <c r="BL109" s="438">
        <f>BL110+BL111</f>
        <v>0</v>
      </c>
      <c r="BM109" s="438">
        <f>BM110+BM111</f>
        <v>0</v>
      </c>
      <c r="BN109" s="438">
        <f>BN110+BN111</f>
        <v>0</v>
      </c>
      <c r="BO109" s="438">
        <f>BO110+BO111</f>
        <v>0</v>
      </c>
      <c r="BP109" s="438">
        <f>BP110+BP111</f>
        <v>0</v>
      </c>
      <c r="BQ109" s="438">
        <f>BQ110+BQ111</f>
        <v>0</v>
      </c>
      <c r="BR109" s="438">
        <f>BR110+BR111</f>
        <v>0</v>
      </c>
      <c r="BS109" s="438">
        <f>BS110+BS111</f>
        <v>0</v>
      </c>
      <c r="BT109" s="438">
        <f>BT110+BT111</f>
        <v>0</v>
      </c>
      <c r="BU109" s="438">
        <f>BU110+BU111</f>
        <v>0</v>
      </c>
      <c r="BV109" s="438">
        <f>BV110+BV111</f>
        <v>0</v>
      </c>
      <c r="BW109" s="1897"/>
      <c r="BX109" s="286"/>
      <c r="BY109" s="1659"/>
      <c r="BZ109" s="975" t="s">
        <v>658</v>
      </c>
      <c r="CA109" s="1077" cm="1" t="str">
        <f t="array" ref="CA109:CA109">CA108</f>
        <v>ТЭ.42.31656254.0001</v>
      </c>
      <c r="CB109" s="1076"/>
      <c r="CC109" s="1077" t="s">
        <v>645</v>
      </c>
      <c r="CD109" s="1076"/>
      <c r="CE109" s="1076"/>
      <c r="CF109" s="1076"/>
      <c r="CG109" s="1076"/>
      <c r="CH109" s="1076"/>
      <c r="CI109" s="1076"/>
      <c r="CJ109" s="1077" t="s">
        <v>303</v>
      </c>
      <c r="CK109" s="1077" t="s">
        <v>653</v>
      </c>
      <c r="CL109" s="1077" t="s">
        <v>654</v>
      </c>
    </row>
    <row s="1751" customFormat="1" customHeight="1" ht="16.5">
      <c r="A110" s="371"/>
      <c r="B110" s="1548"/>
      <c r="C110" s="1548"/>
      <c r="D110" s="1548"/>
      <c r="E110" s="180">
        <v>17</v>
      </c>
      <c r="F110" s="175" cm="1" t="str">
        <f t="array" ref="F110:F110">OFFSET(G110,-1,-1)</f>
        <v>1</v>
      </c>
      <c r="G110" s="1659"/>
      <c r="H110" s="1659"/>
      <c r="I110" s="1659"/>
      <c r="J110" s="1659"/>
      <c r="K110" s="1659"/>
      <c r="L110" s="1659"/>
      <c r="M110" s="1659"/>
      <c r="N110" s="1659"/>
      <c r="O110" s="1659"/>
      <c r="P110" s="1659"/>
      <c r="Q110" s="1659"/>
      <c r="R110" s="1659"/>
      <c r="S110" s="1659"/>
      <c r="T110" s="753" cm="1" t="str">
        <f t="array" ref="T110:T110">T109</f>
        <v>true</v>
      </c>
      <c r="U110" s="1548"/>
      <c r="V110" s="1548"/>
      <c r="W110" s="1548"/>
      <c r="X110" s="1548"/>
      <c r="Y110" s="1548"/>
      <c r="Z110" s="1548"/>
      <c r="AA110" s="286"/>
      <c r="AB110" s="385" t="s">
        <v>659</v>
      </c>
      <c r="AC110" s="355" t="s">
        <v>637</v>
      </c>
      <c r="AD110" s="384" t="s">
        <v>629</v>
      </c>
      <c r="AE110" s="1898"/>
      <c r="AF110" s="1898"/>
      <c r="AG110" s="1898"/>
      <c r="AH110" s="1898"/>
      <c r="AI110" s="439"/>
      <c r="AJ110" s="1898"/>
      <c r="AK110" s="1898"/>
      <c r="AL110" s="1898"/>
      <c r="AM110" s="1898"/>
      <c r="AN110" s="1898"/>
      <c r="AO110" s="1898"/>
      <c r="AP110" s="1898"/>
      <c r="AQ110" s="1898"/>
      <c r="AR110" s="1898"/>
      <c r="AS110" s="1898"/>
      <c r="AT110" s="1898"/>
      <c r="AU110" s="1898"/>
      <c r="AV110" s="1898"/>
      <c r="AW110" s="1898"/>
      <c r="AX110" s="1898"/>
      <c r="AY110" s="1898"/>
      <c r="AZ110" s="1898"/>
      <c r="BA110" s="1898"/>
      <c r="BB110" s="1898"/>
      <c r="BC110" s="439"/>
      <c r="BD110" s="1898"/>
      <c r="BE110" s="1898"/>
      <c r="BF110" s="1898"/>
      <c r="BG110" s="1898"/>
      <c r="BH110" s="1898"/>
      <c r="BI110" s="1898"/>
      <c r="BJ110" s="1898"/>
      <c r="BK110" s="1898"/>
      <c r="BL110" s="1898"/>
      <c r="BM110" s="1898"/>
      <c r="BN110" s="1898"/>
      <c r="BO110" s="1898"/>
      <c r="BP110" s="1898"/>
      <c r="BQ110" s="1898"/>
      <c r="BR110" s="1898"/>
      <c r="BS110" s="1898"/>
      <c r="BT110" s="1898"/>
      <c r="BU110" s="1898"/>
      <c r="BV110" s="1898"/>
      <c r="BW110" s="1897"/>
      <c r="BX110" s="286"/>
      <c r="BY110" s="1659"/>
      <c r="BZ110" s="975" t="s">
        <v>660</v>
      </c>
      <c r="CA110" s="1077" cm="1" t="str">
        <f t="array" ref="CA110:CA110">CA109</f>
        <v>ТЭ.42.31656254.0001</v>
      </c>
      <c r="CB110" s="1076"/>
      <c r="CC110" s="1077" t="s">
        <v>645</v>
      </c>
      <c r="CD110" s="1077" t="s">
        <v>639</v>
      </c>
      <c r="CE110" s="1076"/>
      <c r="CF110" s="1076"/>
      <c r="CG110" s="1076"/>
      <c r="CH110" s="1076"/>
      <c r="CI110" s="1076"/>
      <c r="CJ110" s="1077" t="s">
        <v>303</v>
      </c>
      <c r="CK110" s="1077" t="s">
        <v>653</v>
      </c>
      <c r="CL110" s="1077" t="s">
        <v>654</v>
      </c>
    </row>
    <row s="1751" customFormat="1" customHeight="1" ht="16.5">
      <c r="A111" s="371"/>
      <c r="B111" s="1548"/>
      <c r="C111" s="1548"/>
      <c r="D111" s="1548"/>
      <c r="E111" s="180">
        <v>17</v>
      </c>
      <c r="F111" s="175" cm="1" t="str">
        <f t="array" ref="F111:F111">OFFSET(G111,-1,-1)</f>
        <v>1</v>
      </c>
      <c r="G111" s="1659"/>
      <c r="H111" s="1659"/>
      <c r="I111" s="1659"/>
      <c r="J111" s="1659"/>
      <c r="K111" s="1659"/>
      <c r="L111" s="1659"/>
      <c r="M111" s="1659"/>
      <c r="N111" s="1659"/>
      <c r="O111" s="1659"/>
      <c r="P111" s="1659"/>
      <c r="Q111" s="1659"/>
      <c r="R111" s="1659"/>
      <c r="S111" s="1659"/>
      <c r="T111" s="753" cm="1" t="str">
        <f t="array" ref="T111:T111">T110</f>
        <v>true</v>
      </c>
      <c r="U111" s="1548"/>
      <c r="V111" s="1548"/>
      <c r="W111" s="1548"/>
      <c r="X111" s="1548"/>
      <c r="Y111" s="1548"/>
      <c r="Z111" s="1548"/>
      <c r="AA111" s="286"/>
      <c r="AB111" s="385" t="s">
        <v>661</v>
      </c>
      <c r="AC111" s="355" t="s">
        <v>640</v>
      </c>
      <c r="AD111" s="441" t="s">
        <v>629</v>
      </c>
      <c r="AE111" s="1898"/>
      <c r="AF111" s="1898"/>
      <c r="AG111" s="1898"/>
      <c r="AH111" s="1898"/>
      <c r="AI111" s="439"/>
      <c r="AJ111" s="1898"/>
      <c r="AK111" s="1898"/>
      <c r="AL111" s="1898"/>
      <c r="AM111" s="1898"/>
      <c r="AN111" s="1898"/>
      <c r="AO111" s="1898"/>
      <c r="AP111" s="1898"/>
      <c r="AQ111" s="1898"/>
      <c r="AR111" s="1898"/>
      <c r="AS111" s="1898"/>
      <c r="AT111" s="1898"/>
      <c r="AU111" s="1898"/>
      <c r="AV111" s="1898"/>
      <c r="AW111" s="1898"/>
      <c r="AX111" s="1898"/>
      <c r="AY111" s="1898"/>
      <c r="AZ111" s="1898"/>
      <c r="BA111" s="1898"/>
      <c r="BB111" s="1898"/>
      <c r="BC111" s="439"/>
      <c r="BD111" s="1898"/>
      <c r="BE111" s="1898"/>
      <c r="BF111" s="1898"/>
      <c r="BG111" s="1898"/>
      <c r="BH111" s="1898"/>
      <c r="BI111" s="1898"/>
      <c r="BJ111" s="1898"/>
      <c r="BK111" s="1898"/>
      <c r="BL111" s="1898"/>
      <c r="BM111" s="1898"/>
      <c r="BN111" s="1898"/>
      <c r="BO111" s="1898"/>
      <c r="BP111" s="1898"/>
      <c r="BQ111" s="1898"/>
      <c r="BR111" s="1898"/>
      <c r="BS111" s="1898"/>
      <c r="BT111" s="1898"/>
      <c r="BU111" s="1898"/>
      <c r="BV111" s="1898"/>
      <c r="BW111" s="1897"/>
      <c r="BX111" s="286"/>
      <c r="BY111" s="1659"/>
      <c r="BZ111" s="975" t="s">
        <v>662</v>
      </c>
      <c r="CA111" s="1077" cm="1" t="str">
        <f t="array" ref="CA111:CA111">CA110</f>
        <v>ТЭ.42.31656254.0001</v>
      </c>
      <c r="CB111" s="1076"/>
      <c r="CC111" s="1077" t="s">
        <v>645</v>
      </c>
      <c r="CD111" s="1077" t="s">
        <v>642</v>
      </c>
      <c r="CE111" s="1076"/>
      <c r="CF111" s="1076"/>
      <c r="CG111" s="1076"/>
      <c r="CH111" s="1076"/>
      <c r="CI111" s="1076"/>
      <c r="CJ111" s="1077" t="s">
        <v>303</v>
      </c>
      <c r="CK111" s="1077" t="s">
        <v>653</v>
      </c>
      <c r="CL111" s="1077" t="s">
        <v>654</v>
      </c>
    </row>
    <row s="1751" customFormat="1" customHeight="1" ht="16.5">
      <c r="A112" s="371"/>
      <c r="B112" s="1548"/>
      <c r="C112" s="1548"/>
      <c r="D112" s="1548"/>
      <c r="E112" s="180">
        <v>17</v>
      </c>
      <c r="F112" s="175" cm="1" t="str">
        <f t="array" ref="F112:F112">OFFSET(G112,-1,-1)</f>
        <v>1</v>
      </c>
      <c r="G112" s="1659"/>
      <c r="H112" s="1659"/>
      <c r="I112" s="1659"/>
      <c r="J112" s="1659"/>
      <c r="K112" s="1659"/>
      <c r="L112" s="1659"/>
      <c r="M112" s="1659"/>
      <c r="N112" s="1659"/>
      <c r="O112" s="1659"/>
      <c r="P112" s="1659"/>
      <c r="Q112" s="1659"/>
      <c r="R112" s="1659"/>
      <c r="S112" s="1659"/>
      <c r="T112" s="753" cm="1" t="str">
        <f t="array" ref="T112:T112">T111</f>
        <v>true</v>
      </c>
      <c r="U112" s="1548"/>
      <c r="V112" s="1548"/>
      <c r="W112" s="1548"/>
      <c r="X112" s="1548"/>
      <c r="Y112" s="1548"/>
      <c r="Z112" s="1548"/>
      <c r="AA112" s="286"/>
      <c r="AB112" s="385" t="str">
        <f>AB105&amp;".3"</f>
        <v>2.3</v>
      </c>
      <c r="AC112" s="367" t="s">
        <v>648</v>
      </c>
      <c r="AD112" s="384" t="s">
        <v>629</v>
      </c>
      <c r="AE112" s="1900"/>
      <c r="AF112" s="1900"/>
      <c r="AG112" s="1900"/>
      <c r="AH112" s="1900"/>
      <c r="AI112" s="443"/>
      <c r="AJ112" s="1900"/>
      <c r="AK112" s="1900"/>
      <c r="AL112" s="1900"/>
      <c r="AM112" s="1900"/>
      <c r="AN112" s="1900"/>
      <c r="AO112" s="1900"/>
      <c r="AP112" s="1900"/>
      <c r="AQ112" s="1900"/>
      <c r="AR112" s="1900"/>
      <c r="AS112" s="1900"/>
      <c r="AT112" s="1900"/>
      <c r="AU112" s="1900"/>
      <c r="AV112" s="1900"/>
      <c r="AW112" s="1900"/>
      <c r="AX112" s="1900"/>
      <c r="AY112" s="1900"/>
      <c r="AZ112" s="1900"/>
      <c r="BA112" s="1900"/>
      <c r="BB112" s="1900"/>
      <c r="BC112" s="443"/>
      <c r="BD112" s="1900"/>
      <c r="BE112" s="1900"/>
      <c r="BF112" s="1900"/>
      <c r="BG112" s="1900"/>
      <c r="BH112" s="1900"/>
      <c r="BI112" s="1900"/>
      <c r="BJ112" s="1900"/>
      <c r="BK112" s="1900"/>
      <c r="BL112" s="1900"/>
      <c r="BM112" s="1900"/>
      <c r="BN112" s="1900"/>
      <c r="BO112" s="1900"/>
      <c r="BP112" s="1900"/>
      <c r="BQ112" s="1900"/>
      <c r="BR112" s="1900"/>
      <c r="BS112" s="1900"/>
      <c r="BT112" s="1900"/>
      <c r="BU112" s="1900"/>
      <c r="BV112" s="1900"/>
      <c r="BW112" s="1897"/>
      <c r="BX112" s="286"/>
      <c r="BY112" s="1659"/>
      <c r="BZ112" s="975" t="s">
        <v>663</v>
      </c>
      <c r="CA112" s="1077" cm="1" t="str">
        <f t="array" ref="CA112:CA112">CA111</f>
        <v>ТЭ.42.31656254.0001</v>
      </c>
      <c r="CB112" s="1076"/>
      <c r="CC112" s="1077" t="s">
        <v>650</v>
      </c>
      <c r="CD112" s="1076"/>
      <c r="CE112" s="1076"/>
      <c r="CF112" s="1076"/>
      <c r="CG112" s="1076"/>
      <c r="CH112" s="1076"/>
      <c r="CI112" s="1076"/>
      <c r="CJ112" s="1077" t="s">
        <v>303</v>
      </c>
      <c r="CK112" s="1077" t="s">
        <v>653</v>
      </c>
      <c r="CL112" s="1077" t="s">
        <v>654</v>
      </c>
    </row>
    <row s="1751" customFormat="1" customHeight="1" ht="29.25">
      <c r="A113" s="371"/>
      <c r="B113" s="1548"/>
      <c r="C113" s="1548"/>
      <c r="D113" s="1548"/>
      <c r="E113" s="180">
        <v>30</v>
      </c>
      <c r="F113" s="175" cm="1" t="str">
        <f t="array" ref="F113:F113">OFFSET(G113,-1,-1)</f>
        <v>1</v>
      </c>
      <c r="G113" s="1659"/>
      <c r="H113" s="1659"/>
      <c r="I113" s="1659"/>
      <c r="J113" s="1659"/>
      <c r="K113" s="1659"/>
      <c r="L113" s="1659"/>
      <c r="M113" s="1659"/>
      <c r="N113" s="1659"/>
      <c r="O113" s="1659"/>
      <c r="P113" s="1659"/>
      <c r="Q113" s="1659"/>
      <c r="R113" s="1659"/>
      <c r="S113" s="1659"/>
      <c r="T113" s="753" cm="1" t="str">
        <f t="array" ref="T113:T113">T112</f>
        <v>true</v>
      </c>
      <c r="U113" s="1548"/>
      <c r="V113" s="1548"/>
      <c r="W113" s="1548"/>
      <c r="X113" s="1548"/>
      <c r="Y113" s="1548"/>
      <c r="Z113" s="1548"/>
      <c r="AA113" s="286"/>
      <c r="AB113" s="436">
        <v>3</v>
      </c>
      <c r="AC113" s="437" t="s">
        <v>664</v>
      </c>
      <c r="AD113" s="384" t="s">
        <v>629</v>
      </c>
      <c r="AE113" s="438">
        <f>AE97-AE105</f>
        <v>4383</v>
      </c>
      <c r="AF113" s="438">
        <f>AF97-AF105</f>
        <v>4637</v>
      </c>
      <c r="AG113" s="438">
        <f>AG97-AG105</f>
        <v>4637</v>
      </c>
      <c r="AH113" s="438">
        <f>AH97-AH105</f>
        <v>4671</v>
      </c>
      <c r="AI113" s="438">
        <f>AI97-AI105</f>
        <v>4637</v>
      </c>
      <c r="AJ113" s="438">
        <f>AJ97-AJ105</f>
        <v>0</v>
      </c>
      <c r="AK113" s="438">
        <f>AK97-AK105</f>
        <v>0</v>
      </c>
      <c r="AL113" s="438">
        <f>AL97-AL105</f>
        <v>0</v>
      </c>
      <c r="AM113" s="438">
        <f>AM97-AM105</f>
        <v>0</v>
      </c>
      <c r="AN113" s="438">
        <f>AN97-AN105</f>
        <v>0</v>
      </c>
      <c r="AO113" s="438">
        <f>AO97-AO105</f>
        <v>0</v>
      </c>
      <c r="AP113" s="438">
        <f>AP97-AP105</f>
        <v>0</v>
      </c>
      <c r="AQ113" s="438">
        <f>AQ97-AQ105</f>
        <v>0</v>
      </c>
      <c r="AR113" s="438">
        <f>AR97-AR105</f>
        <v>0</v>
      </c>
      <c r="AS113" s="438">
        <f>AS97-AS105</f>
        <v>0</v>
      </c>
      <c r="AT113" s="438">
        <f>AT97-AT105</f>
        <v>0</v>
      </c>
      <c r="AU113" s="438">
        <f>AU97-AU105</f>
        <v>0</v>
      </c>
      <c r="AV113" s="438">
        <f>AV97-AV105</f>
        <v>0</v>
      </c>
      <c r="AW113" s="438">
        <f>AW97-AW105</f>
        <v>0</v>
      </c>
      <c r="AX113" s="438">
        <f>AX97-AX105</f>
        <v>0</v>
      </c>
      <c r="AY113" s="438">
        <f>AY97-AY105</f>
        <v>0</v>
      </c>
      <c r="AZ113" s="438">
        <f>AZ97-AZ105</f>
        <v>0</v>
      </c>
      <c r="BA113" s="438">
        <f>BA97-BA105</f>
        <v>0</v>
      </c>
      <c r="BB113" s="438">
        <f>BB97-BB105</f>
        <v>0</v>
      </c>
      <c r="BC113" s="438">
        <f>BC97-BC105</f>
        <v>4637</v>
      </c>
      <c r="BD113" s="438">
        <f>BD97-BD105</f>
        <v>0</v>
      </c>
      <c r="BE113" s="438">
        <f>BE97-BE105</f>
        <v>0</v>
      </c>
      <c r="BF113" s="438">
        <f>BF97-BF105</f>
        <v>0</v>
      </c>
      <c r="BG113" s="438">
        <f>BG97-BG105</f>
        <v>0</v>
      </c>
      <c r="BH113" s="438">
        <f>BH97-BH105</f>
        <v>0</v>
      </c>
      <c r="BI113" s="438">
        <f>BI97-BI105</f>
        <v>0</v>
      </c>
      <c r="BJ113" s="438">
        <f>BJ97-BJ105</f>
        <v>0</v>
      </c>
      <c r="BK113" s="438">
        <f>BK97-BK105</f>
        <v>0</v>
      </c>
      <c r="BL113" s="438">
        <f>BL97-BL105</f>
        <v>0</v>
      </c>
      <c r="BM113" s="438">
        <f>BM97-BM105</f>
        <v>0</v>
      </c>
      <c r="BN113" s="438">
        <f>BN97-BN105</f>
        <v>0</v>
      </c>
      <c r="BO113" s="438">
        <f>BO97-BO105</f>
        <v>0</v>
      </c>
      <c r="BP113" s="438">
        <f>BP97-BP105</f>
        <v>0</v>
      </c>
      <c r="BQ113" s="438">
        <f>BQ97-BQ105</f>
        <v>0</v>
      </c>
      <c r="BR113" s="438">
        <f>BR97-BR105</f>
        <v>0</v>
      </c>
      <c r="BS113" s="438">
        <f>BS97-BS105</f>
        <v>0</v>
      </c>
      <c r="BT113" s="438">
        <f>BT97-BT105</f>
        <v>0</v>
      </c>
      <c r="BU113" s="438">
        <f>BU97-BU105</f>
        <v>0</v>
      </c>
      <c r="BV113" s="438">
        <f>BV97-BV105</f>
        <v>0</v>
      </c>
      <c r="BW113" s="1897"/>
      <c r="BX113" s="286"/>
      <c r="BY113" s="1659"/>
      <c r="BZ113" s="975" t="s">
        <v>665</v>
      </c>
      <c r="CA113" s="1077" cm="1" t="str">
        <f t="array" ref="CA113:CA113">CA112</f>
        <v>ТЭ.42.31656254.0001</v>
      </c>
      <c r="CB113" s="1076"/>
      <c r="CC113" s="1076"/>
      <c r="CD113" s="1076"/>
      <c r="CE113" s="1076"/>
      <c r="CF113" s="1076"/>
      <c r="CG113" s="1076"/>
      <c r="CH113" s="1077" t="s">
        <v>666</v>
      </c>
      <c r="CI113" s="1076"/>
      <c r="CJ113" s="1077" t="s">
        <v>303</v>
      </c>
      <c r="CK113" s="1077" t="s">
        <v>667</v>
      </c>
      <c r="CL113" s="1077" t="s">
        <v>668</v>
      </c>
    </row>
    <row s="1751" customFormat="1" customHeight="1" ht="16.5">
      <c r="A114" s="371"/>
      <c r="B114" s="1548"/>
      <c r="C114" s="1548"/>
      <c r="D114" s="1548"/>
      <c r="E114" s="180">
        <v>17</v>
      </c>
      <c r="F114" s="175" cm="1" t="str">
        <f t="array" ref="F114:F114">OFFSET(G114,-1,-1)</f>
        <v>1</v>
      </c>
      <c r="G114" s="1659"/>
      <c r="H114" s="1659"/>
      <c r="I114" s="1659"/>
      <c r="J114" s="1659"/>
      <c r="K114" s="1659"/>
      <c r="L114" s="1659"/>
      <c r="M114" s="1659"/>
      <c r="N114" s="1659"/>
      <c r="O114" s="1659"/>
      <c r="P114" s="1659"/>
      <c r="Q114" s="1659"/>
      <c r="R114" s="1659"/>
      <c r="S114" s="1659"/>
      <c r="T114" s="753" cm="1" t="str">
        <f t="array" ref="T114:T114">T113</f>
        <v>true</v>
      </c>
      <c r="U114" s="1548"/>
      <c r="V114" s="1548"/>
      <c r="W114" s="1548"/>
      <c r="X114" s="1548"/>
      <c r="Y114" s="1548"/>
      <c r="Z114" s="1548"/>
      <c r="AA114" s="286"/>
      <c r="AB114" s="423" t="str">
        <f>AB113&amp;".1"</f>
        <v>3.1</v>
      </c>
      <c r="AC114" s="367" t="s">
        <v>634</v>
      </c>
      <c r="AD114" s="384" t="s">
        <v>629</v>
      </c>
      <c r="AE114" s="444">
        <f>AE98-AE106</f>
        <v>0</v>
      </c>
      <c r="AF114" s="444">
        <f>AF98-AF106</f>
        <v>0</v>
      </c>
      <c r="AG114" s="444">
        <f>AG98-AG106</f>
        <v>0</v>
      </c>
      <c r="AH114" s="444">
        <f>AH98-AH106</f>
        <v>0</v>
      </c>
      <c r="AI114" s="444">
        <f>AI98-AI106</f>
        <v>0</v>
      </c>
      <c r="AJ114" s="444">
        <f>AJ98-AJ106</f>
        <v>0</v>
      </c>
      <c r="AK114" s="444">
        <f>AK98-AK106</f>
        <v>0</v>
      </c>
      <c r="AL114" s="444">
        <f>AL98-AL106</f>
        <v>0</v>
      </c>
      <c r="AM114" s="444">
        <f>AM98-AM106</f>
        <v>0</v>
      </c>
      <c r="AN114" s="444">
        <f>AN98-AN106</f>
        <v>0</v>
      </c>
      <c r="AO114" s="444">
        <f>AO98-AO106</f>
        <v>0</v>
      </c>
      <c r="AP114" s="444">
        <f>AP98-AP106</f>
        <v>0</v>
      </c>
      <c r="AQ114" s="444">
        <f>AQ98-AQ106</f>
        <v>0</v>
      </c>
      <c r="AR114" s="444">
        <f>AR98-AR106</f>
        <v>0</v>
      </c>
      <c r="AS114" s="444">
        <f>AS98-AS106</f>
        <v>0</v>
      </c>
      <c r="AT114" s="444">
        <f>AT98-AT106</f>
        <v>0</v>
      </c>
      <c r="AU114" s="444">
        <f>AU98-AU106</f>
        <v>0</v>
      </c>
      <c r="AV114" s="444">
        <f>AV98-AV106</f>
        <v>0</v>
      </c>
      <c r="AW114" s="444">
        <f>AW98-AW106</f>
        <v>0</v>
      </c>
      <c r="AX114" s="444">
        <f>AX98-AX106</f>
        <v>0</v>
      </c>
      <c r="AY114" s="444">
        <f>AY98-AY106</f>
        <v>0</v>
      </c>
      <c r="AZ114" s="444">
        <f>AZ98-AZ106</f>
        <v>0</v>
      </c>
      <c r="BA114" s="444">
        <f>BA98-BA106</f>
        <v>0</v>
      </c>
      <c r="BB114" s="444">
        <f>BB98-BB106</f>
        <v>0</v>
      </c>
      <c r="BC114" s="444">
        <f>BC98-BC106</f>
        <v>0</v>
      </c>
      <c r="BD114" s="444">
        <f>BD98-BD106</f>
        <v>0</v>
      </c>
      <c r="BE114" s="444">
        <f>BE98-BE106</f>
        <v>0</v>
      </c>
      <c r="BF114" s="444">
        <f>BF98-BF106</f>
        <v>0</v>
      </c>
      <c r="BG114" s="444">
        <f>BG98-BG106</f>
        <v>0</v>
      </c>
      <c r="BH114" s="444">
        <f>BH98-BH106</f>
        <v>0</v>
      </c>
      <c r="BI114" s="444">
        <f>BI98-BI106</f>
        <v>0</v>
      </c>
      <c r="BJ114" s="444">
        <f>BJ98-BJ106</f>
        <v>0</v>
      </c>
      <c r="BK114" s="444">
        <f>BK98-BK106</f>
        <v>0</v>
      </c>
      <c r="BL114" s="444">
        <f>BL98-BL106</f>
        <v>0</v>
      </c>
      <c r="BM114" s="444">
        <f>BM98-BM106</f>
        <v>0</v>
      </c>
      <c r="BN114" s="444">
        <f>BN98-BN106</f>
        <v>0</v>
      </c>
      <c r="BO114" s="444">
        <f>BO98-BO106</f>
        <v>0</v>
      </c>
      <c r="BP114" s="444">
        <f>BP98-BP106</f>
        <v>0</v>
      </c>
      <c r="BQ114" s="444">
        <f>BQ98-BQ106</f>
        <v>0</v>
      </c>
      <c r="BR114" s="444">
        <f>BR98-BR106</f>
        <v>0</v>
      </c>
      <c r="BS114" s="444">
        <f>BS98-BS106</f>
        <v>0</v>
      </c>
      <c r="BT114" s="444">
        <f>BT98-BT106</f>
        <v>0</v>
      </c>
      <c r="BU114" s="444">
        <f>BU98-BU106</f>
        <v>0</v>
      </c>
      <c r="BV114" s="444">
        <f>BV98-BV106</f>
        <v>0</v>
      </c>
      <c r="BW114" s="1897"/>
      <c r="BX114" s="286"/>
      <c r="BY114" s="1659"/>
      <c r="BZ114" s="975" t="s">
        <v>669</v>
      </c>
      <c r="CA114" s="1077" cm="1" t="str">
        <f t="array" ref="CA114:CA114">CA113</f>
        <v>ТЭ.42.31656254.0001</v>
      </c>
      <c r="CB114" s="1076"/>
      <c r="CC114" s="1077" t="s">
        <v>636</v>
      </c>
      <c r="CD114" s="1076"/>
      <c r="CE114" s="1076"/>
      <c r="CF114" s="1076"/>
      <c r="CG114" s="1076"/>
      <c r="CH114" s="1077" t="s">
        <v>666</v>
      </c>
      <c r="CI114" s="1076"/>
      <c r="CJ114" s="1077" t="s">
        <v>303</v>
      </c>
      <c r="CK114" s="1077" t="s">
        <v>667</v>
      </c>
      <c r="CL114" s="1077" t="s">
        <v>668</v>
      </c>
    </row>
    <row s="1751" customFormat="1" customHeight="1" ht="16.5">
      <c r="A115" s="371"/>
      <c r="B115" s="1548"/>
      <c r="C115" s="1548"/>
      <c r="D115" s="1548"/>
      <c r="E115" s="180">
        <v>17</v>
      </c>
      <c r="F115" s="175" cm="1" t="str">
        <f t="array" ref="F115:F115">OFFSET(G115,-1,-1)</f>
        <v>1</v>
      </c>
      <c r="G115" s="1659"/>
      <c r="H115" s="1659"/>
      <c r="I115" s="1659"/>
      <c r="J115" s="1659"/>
      <c r="K115" s="1659"/>
      <c r="L115" s="1659"/>
      <c r="M115" s="1659"/>
      <c r="N115" s="1659"/>
      <c r="O115" s="1659"/>
      <c r="P115" s="1659"/>
      <c r="Q115" s="1659"/>
      <c r="R115" s="1659"/>
      <c r="S115" s="1659"/>
      <c r="T115" s="753" cm="1" t="str">
        <f t="array" ref="T115:T115">T114</f>
        <v>true</v>
      </c>
      <c r="U115" s="1548"/>
      <c r="V115" s="1548"/>
      <c r="W115" s="1548"/>
      <c r="X115" s="1548"/>
      <c r="Y115" s="1548"/>
      <c r="Z115" s="1548"/>
      <c r="AA115" s="286"/>
      <c r="AB115" s="423" t="str">
        <f>AB114&amp;".1"</f>
        <v>3.1.1</v>
      </c>
      <c r="AC115" s="361" t="s">
        <v>637</v>
      </c>
      <c r="AD115" s="384" t="s">
        <v>629</v>
      </c>
      <c r="AE115" s="1898">
        <f>AE99-AE107</f>
        <v>0</v>
      </c>
      <c r="AF115" s="1898">
        <f>AF99-AF107</f>
        <v>0</v>
      </c>
      <c r="AG115" s="1898">
        <f>AG99-AG107</f>
        <v>0</v>
      </c>
      <c r="AH115" s="1898">
        <f>AH99-AH107</f>
        <v>0</v>
      </c>
      <c r="AI115" s="439">
        <f>AI99-AI107</f>
        <v>0</v>
      </c>
      <c r="AJ115" s="1898">
        <f>AJ99-AJ107</f>
        <v>0</v>
      </c>
      <c r="AK115" s="1898">
        <f>AK99-AK107</f>
        <v>0</v>
      </c>
      <c r="AL115" s="1898">
        <f>AL99-AL107</f>
        <v>0</v>
      </c>
      <c r="AM115" s="1898">
        <f>AM99-AM107</f>
        <v>0</v>
      </c>
      <c r="AN115" s="1898">
        <f>AN99-AN107</f>
        <v>0</v>
      </c>
      <c r="AO115" s="1898">
        <f>AO99-AO107</f>
        <v>0</v>
      </c>
      <c r="AP115" s="1898">
        <f>AP99-AP107</f>
        <v>0</v>
      </c>
      <c r="AQ115" s="1898">
        <f>AQ99-AQ107</f>
        <v>0</v>
      </c>
      <c r="AR115" s="1898">
        <f>AR99-AR107</f>
        <v>0</v>
      </c>
      <c r="AS115" s="1898">
        <f>AS99-AS107</f>
        <v>0</v>
      </c>
      <c r="AT115" s="1898">
        <f>AT99-AT107</f>
        <v>0</v>
      </c>
      <c r="AU115" s="1898">
        <f>AU99-AU107</f>
        <v>0</v>
      </c>
      <c r="AV115" s="1898">
        <f>AV99-AV107</f>
        <v>0</v>
      </c>
      <c r="AW115" s="1898">
        <f>AW99-AW107</f>
        <v>0</v>
      </c>
      <c r="AX115" s="1898">
        <f>AX99-AX107</f>
        <v>0</v>
      </c>
      <c r="AY115" s="1898">
        <f>AY99-AY107</f>
        <v>0</v>
      </c>
      <c r="AZ115" s="1898">
        <f>AZ99-AZ107</f>
        <v>0</v>
      </c>
      <c r="BA115" s="1898">
        <f>BA99-BA107</f>
        <v>0</v>
      </c>
      <c r="BB115" s="1898">
        <f>BB99-BB107</f>
        <v>0</v>
      </c>
      <c r="BC115" s="439">
        <f>BC99-BC107</f>
        <v>0</v>
      </c>
      <c r="BD115" s="1898">
        <f>BD99-BD107</f>
        <v>0</v>
      </c>
      <c r="BE115" s="1898">
        <f>BE99-BE107</f>
        <v>0</v>
      </c>
      <c r="BF115" s="1898">
        <f>BF99-BF107</f>
        <v>0</v>
      </c>
      <c r="BG115" s="1898">
        <f>BG99-BG107</f>
        <v>0</v>
      </c>
      <c r="BH115" s="1898">
        <f>BH99-BH107</f>
        <v>0</v>
      </c>
      <c r="BI115" s="1898">
        <f>BI99-BI107</f>
        <v>0</v>
      </c>
      <c r="BJ115" s="1898">
        <f>BJ99-BJ107</f>
        <v>0</v>
      </c>
      <c r="BK115" s="1898">
        <f>BK99-BK107</f>
        <v>0</v>
      </c>
      <c r="BL115" s="1898">
        <f>BL99-BL107</f>
        <v>0</v>
      </c>
      <c r="BM115" s="1898">
        <f>BM99-BM107</f>
        <v>0</v>
      </c>
      <c r="BN115" s="1898">
        <f>BN99-BN107</f>
        <v>0</v>
      </c>
      <c r="BO115" s="1898">
        <f>BO99-BO107</f>
        <v>0</v>
      </c>
      <c r="BP115" s="1898">
        <f>BP99-BP107</f>
        <v>0</v>
      </c>
      <c r="BQ115" s="1898">
        <f>BQ99-BQ107</f>
        <v>0</v>
      </c>
      <c r="BR115" s="1898">
        <f>BR99-BR107</f>
        <v>0</v>
      </c>
      <c r="BS115" s="1898">
        <f>BS99-BS107</f>
        <v>0</v>
      </c>
      <c r="BT115" s="1898">
        <f>BT99-BT107</f>
        <v>0</v>
      </c>
      <c r="BU115" s="1898">
        <f>BU99-BU107</f>
        <v>0</v>
      </c>
      <c r="BV115" s="1898">
        <f>BV99-BV107</f>
        <v>0</v>
      </c>
      <c r="BW115" s="1897"/>
      <c r="BX115" s="286"/>
      <c r="BY115" s="1659"/>
      <c r="BZ115" s="975" t="s">
        <v>670</v>
      </c>
      <c r="CA115" s="1077" cm="1" t="str">
        <f t="array" ref="CA115:CA115">CA114</f>
        <v>ТЭ.42.31656254.0001</v>
      </c>
      <c r="CB115" s="1076"/>
      <c r="CC115" s="1077" t="s">
        <v>636</v>
      </c>
      <c r="CD115" s="1077" t="s">
        <v>639</v>
      </c>
      <c r="CE115" s="1076"/>
      <c r="CF115" s="1076"/>
      <c r="CG115" s="1076"/>
      <c r="CH115" s="1077" t="s">
        <v>666</v>
      </c>
      <c r="CI115" s="1076"/>
      <c r="CJ115" s="1077" t="s">
        <v>303</v>
      </c>
      <c r="CK115" s="1077" t="s">
        <v>667</v>
      </c>
      <c r="CL115" s="1077" t="s">
        <v>668</v>
      </c>
    </row>
    <row s="1751" customFormat="1" customHeight="1" ht="16.5">
      <c r="A116" s="371"/>
      <c r="B116" s="1548"/>
      <c r="C116" s="1548"/>
      <c r="D116" s="1548"/>
      <c r="E116" s="180">
        <v>17</v>
      </c>
      <c r="F116" s="175" cm="1" t="str">
        <f t="array" ref="F116:F116">OFFSET(G116,-1,-1)</f>
        <v>1</v>
      </c>
      <c r="G116" s="1659"/>
      <c r="H116" s="1659"/>
      <c r="I116" s="1659"/>
      <c r="J116" s="1659"/>
      <c r="K116" s="1659"/>
      <c r="L116" s="1659"/>
      <c r="M116" s="1659"/>
      <c r="N116" s="1659"/>
      <c r="O116" s="1659"/>
      <c r="P116" s="1659"/>
      <c r="Q116" s="1659"/>
      <c r="R116" s="1659"/>
      <c r="S116" s="1659"/>
      <c r="T116" s="753" cm="1" t="str">
        <f t="array" ref="T116:T116">T115</f>
        <v>true</v>
      </c>
      <c r="U116" s="1548"/>
      <c r="V116" s="1548"/>
      <c r="W116" s="1548"/>
      <c r="X116" s="1548"/>
      <c r="Y116" s="1548"/>
      <c r="Z116" s="1548"/>
      <c r="AA116" s="286"/>
      <c r="AB116" s="423" t="str">
        <f>AB114&amp;".2"</f>
        <v>3.1.2</v>
      </c>
      <c r="AC116" s="361" t="s">
        <v>640</v>
      </c>
      <c r="AD116" s="384" t="s">
        <v>629</v>
      </c>
      <c r="AE116" s="1898">
        <f>AE100-AE108</f>
        <v>0</v>
      </c>
      <c r="AF116" s="1898">
        <f>AF100-AF108</f>
        <v>0</v>
      </c>
      <c r="AG116" s="1898">
        <f>AG100-AG108</f>
        <v>0</v>
      </c>
      <c r="AH116" s="1898">
        <f>AH100-AH108</f>
        <v>0</v>
      </c>
      <c r="AI116" s="439">
        <f>AI100-AI108</f>
        <v>0</v>
      </c>
      <c r="AJ116" s="1898">
        <f>AJ100-AJ108</f>
        <v>0</v>
      </c>
      <c r="AK116" s="1898">
        <f>AK100-AK108</f>
        <v>0</v>
      </c>
      <c r="AL116" s="1898">
        <f>AL100-AL108</f>
        <v>0</v>
      </c>
      <c r="AM116" s="1898">
        <f>AM100-AM108</f>
        <v>0</v>
      </c>
      <c r="AN116" s="1898">
        <f>AN100-AN108</f>
        <v>0</v>
      </c>
      <c r="AO116" s="1898">
        <f>AO100-AO108</f>
        <v>0</v>
      </c>
      <c r="AP116" s="1898">
        <f>AP100-AP108</f>
        <v>0</v>
      </c>
      <c r="AQ116" s="1898">
        <f>AQ100-AQ108</f>
        <v>0</v>
      </c>
      <c r="AR116" s="1898">
        <f>AR100-AR108</f>
        <v>0</v>
      </c>
      <c r="AS116" s="1898">
        <f>AS100-AS108</f>
        <v>0</v>
      </c>
      <c r="AT116" s="1898">
        <f>AT100-AT108</f>
        <v>0</v>
      </c>
      <c r="AU116" s="1898">
        <f>AU100-AU108</f>
        <v>0</v>
      </c>
      <c r="AV116" s="1898">
        <f>AV100-AV108</f>
        <v>0</v>
      </c>
      <c r="AW116" s="1898">
        <f>AW100-AW108</f>
        <v>0</v>
      </c>
      <c r="AX116" s="1898">
        <f>AX100-AX108</f>
        <v>0</v>
      </c>
      <c r="AY116" s="1898">
        <f>AY100-AY108</f>
        <v>0</v>
      </c>
      <c r="AZ116" s="1898">
        <f>AZ100-AZ108</f>
        <v>0</v>
      </c>
      <c r="BA116" s="1898">
        <f>BA100-BA108</f>
        <v>0</v>
      </c>
      <c r="BB116" s="1898">
        <f>BB100-BB108</f>
        <v>0</v>
      </c>
      <c r="BC116" s="439">
        <f>BC100-BC108</f>
        <v>0</v>
      </c>
      <c r="BD116" s="1898">
        <f>BD100-BD108</f>
        <v>0</v>
      </c>
      <c r="BE116" s="1898">
        <f>BE100-BE108</f>
        <v>0</v>
      </c>
      <c r="BF116" s="1898">
        <f>BF100-BF108</f>
        <v>0</v>
      </c>
      <c r="BG116" s="1898">
        <f>BG100-BG108</f>
        <v>0</v>
      </c>
      <c r="BH116" s="1898">
        <f>BH100-BH108</f>
        <v>0</v>
      </c>
      <c r="BI116" s="1898">
        <f>BI100-BI108</f>
        <v>0</v>
      </c>
      <c r="BJ116" s="1898">
        <f>BJ100-BJ108</f>
        <v>0</v>
      </c>
      <c r="BK116" s="1898">
        <f>BK100-BK108</f>
        <v>0</v>
      </c>
      <c r="BL116" s="1898">
        <f>BL100-BL108</f>
        <v>0</v>
      </c>
      <c r="BM116" s="1898">
        <f>BM100-BM108</f>
        <v>0</v>
      </c>
      <c r="BN116" s="1898">
        <f>BN100-BN108</f>
        <v>0</v>
      </c>
      <c r="BO116" s="1898">
        <f>BO100-BO108</f>
        <v>0</v>
      </c>
      <c r="BP116" s="1898">
        <f>BP100-BP108</f>
        <v>0</v>
      </c>
      <c r="BQ116" s="1898">
        <f>BQ100-BQ108</f>
        <v>0</v>
      </c>
      <c r="BR116" s="1898">
        <f>BR100-BR108</f>
        <v>0</v>
      </c>
      <c r="BS116" s="1898">
        <f>BS100-BS108</f>
        <v>0</v>
      </c>
      <c r="BT116" s="1898">
        <f>BT100-BT108</f>
        <v>0</v>
      </c>
      <c r="BU116" s="1898">
        <f>BU100-BU108</f>
        <v>0</v>
      </c>
      <c r="BV116" s="1898">
        <f>BV100-BV108</f>
        <v>0</v>
      </c>
      <c r="BW116" s="1897"/>
      <c r="BX116" s="286"/>
      <c r="BY116" s="1659"/>
      <c r="BZ116" s="975" t="s">
        <v>671</v>
      </c>
      <c r="CA116" s="1077" cm="1" t="str">
        <f t="array" ref="CA116:CA116">CA115</f>
        <v>ТЭ.42.31656254.0001</v>
      </c>
      <c r="CB116" s="1076"/>
      <c r="CC116" s="1077" t="s">
        <v>636</v>
      </c>
      <c r="CD116" s="1077" t="s">
        <v>642</v>
      </c>
      <c r="CE116" s="1076"/>
      <c r="CF116" s="1076"/>
      <c r="CG116" s="1076"/>
      <c r="CH116" s="1077" t="s">
        <v>666</v>
      </c>
      <c r="CI116" s="1076"/>
      <c r="CJ116" s="1077" t="s">
        <v>303</v>
      </c>
      <c r="CK116" s="1077" t="s">
        <v>667</v>
      </c>
      <c r="CL116" s="1077" t="s">
        <v>668</v>
      </c>
    </row>
    <row s="1751" customFormat="1" customHeight="1" ht="16.5">
      <c r="A117" s="371"/>
      <c r="B117" s="1548"/>
      <c r="C117" s="1548"/>
      <c r="D117" s="1548"/>
      <c r="E117" s="180">
        <v>17</v>
      </c>
      <c r="F117" s="175" cm="1" t="str">
        <f t="array" ref="F117:F117">OFFSET(G117,-1,-1)</f>
        <v>1</v>
      </c>
      <c r="G117" s="1659"/>
      <c r="H117" s="1659"/>
      <c r="I117" s="1659"/>
      <c r="J117" s="1659"/>
      <c r="K117" s="1659"/>
      <c r="L117" s="1659"/>
      <c r="M117" s="1659"/>
      <c r="N117" s="1659"/>
      <c r="O117" s="1659"/>
      <c r="P117" s="1659"/>
      <c r="Q117" s="1659"/>
      <c r="R117" s="1659"/>
      <c r="S117" s="1659"/>
      <c r="T117" s="753" cm="1" t="str">
        <f t="array" ref="T117:T117">T116</f>
        <v>true</v>
      </c>
      <c r="U117" s="1548"/>
      <c r="V117" s="1548"/>
      <c r="W117" s="1548"/>
      <c r="X117" s="1548"/>
      <c r="Y117" s="1548"/>
      <c r="Z117" s="1548"/>
      <c r="AA117" s="286"/>
      <c r="AB117" s="423" t="str">
        <f>AB113&amp;".2"</f>
        <v>3.2</v>
      </c>
      <c r="AC117" s="367" t="s">
        <v>643</v>
      </c>
      <c r="AD117" s="384" t="s">
        <v>629</v>
      </c>
      <c r="AE117" s="438">
        <f>AE101-AE109</f>
        <v>4383</v>
      </c>
      <c r="AF117" s="438">
        <f>AF101-AF109</f>
        <v>4637</v>
      </c>
      <c r="AG117" s="438">
        <f>AG101-AG109</f>
        <v>4637</v>
      </c>
      <c r="AH117" s="438">
        <f>AH101-AH109</f>
        <v>4671</v>
      </c>
      <c r="AI117" s="438">
        <f>AI101-AI109</f>
        <v>4637</v>
      </c>
      <c r="AJ117" s="438">
        <f>AJ101-AJ109</f>
        <v>0</v>
      </c>
      <c r="AK117" s="438">
        <f>AK101-AK109</f>
        <v>0</v>
      </c>
      <c r="AL117" s="438">
        <f>AL101-AL109</f>
        <v>0</v>
      </c>
      <c r="AM117" s="438">
        <f>AM101-AM109</f>
        <v>0</v>
      </c>
      <c r="AN117" s="438">
        <f>AN101-AN109</f>
        <v>0</v>
      </c>
      <c r="AO117" s="438">
        <f>AO101-AO109</f>
        <v>0</v>
      </c>
      <c r="AP117" s="438">
        <f>AP101-AP109</f>
        <v>0</v>
      </c>
      <c r="AQ117" s="438">
        <f>AQ101-AQ109</f>
        <v>0</v>
      </c>
      <c r="AR117" s="438">
        <f>AR101-AR109</f>
        <v>0</v>
      </c>
      <c r="AS117" s="438">
        <f>AS101-AS109</f>
        <v>0</v>
      </c>
      <c r="AT117" s="438">
        <f>AT101-AT109</f>
        <v>0</v>
      </c>
      <c r="AU117" s="438">
        <f>AU101-AU109</f>
        <v>0</v>
      </c>
      <c r="AV117" s="438">
        <f>AV101-AV109</f>
        <v>0</v>
      </c>
      <c r="AW117" s="438">
        <f>AW101-AW109</f>
        <v>0</v>
      </c>
      <c r="AX117" s="438">
        <f>AX101-AX109</f>
        <v>0</v>
      </c>
      <c r="AY117" s="438">
        <f>AY101-AY109</f>
        <v>0</v>
      </c>
      <c r="AZ117" s="438">
        <f>AZ101-AZ109</f>
        <v>0</v>
      </c>
      <c r="BA117" s="438">
        <f>BA101-BA109</f>
        <v>0</v>
      </c>
      <c r="BB117" s="438">
        <f>BB101-BB109</f>
        <v>0</v>
      </c>
      <c r="BC117" s="438">
        <f>BC101-BC109</f>
        <v>4637</v>
      </c>
      <c r="BD117" s="438">
        <f>BD101-BD109</f>
        <v>0</v>
      </c>
      <c r="BE117" s="438">
        <f>BE101-BE109</f>
        <v>0</v>
      </c>
      <c r="BF117" s="438">
        <f>BF101-BF109</f>
        <v>0</v>
      </c>
      <c r="BG117" s="438">
        <f>BG101-BG109</f>
        <v>0</v>
      </c>
      <c r="BH117" s="438">
        <f>BH101-BH109</f>
        <v>0</v>
      </c>
      <c r="BI117" s="438">
        <f>BI101-BI109</f>
        <v>0</v>
      </c>
      <c r="BJ117" s="438">
        <f>BJ101-BJ109</f>
        <v>0</v>
      </c>
      <c r="BK117" s="438">
        <f>BK101-BK109</f>
        <v>0</v>
      </c>
      <c r="BL117" s="438">
        <f>BL101-BL109</f>
        <v>0</v>
      </c>
      <c r="BM117" s="438">
        <f>BM101-BM109</f>
        <v>0</v>
      </c>
      <c r="BN117" s="438">
        <f>BN101-BN109</f>
        <v>0</v>
      </c>
      <c r="BO117" s="438">
        <f>BO101-BO109</f>
        <v>0</v>
      </c>
      <c r="BP117" s="438">
        <f>BP101-BP109</f>
        <v>0</v>
      </c>
      <c r="BQ117" s="438">
        <f>BQ101-BQ109</f>
        <v>0</v>
      </c>
      <c r="BR117" s="438">
        <f>BR101-BR109</f>
        <v>0</v>
      </c>
      <c r="BS117" s="438">
        <f>BS101-BS109</f>
        <v>0</v>
      </c>
      <c r="BT117" s="438">
        <f>BT101-BT109</f>
        <v>0</v>
      </c>
      <c r="BU117" s="438">
        <f>BU101-BU109</f>
        <v>0</v>
      </c>
      <c r="BV117" s="438">
        <f>BV101-BV109</f>
        <v>0</v>
      </c>
      <c r="BW117" s="1897"/>
      <c r="BX117" s="286"/>
      <c r="BY117" s="1659"/>
      <c r="BZ117" s="975" t="s">
        <v>672</v>
      </c>
      <c r="CA117" s="1077" cm="1" t="str">
        <f t="array" ref="CA117:CA117">CA116</f>
        <v>ТЭ.42.31656254.0001</v>
      </c>
      <c r="CB117" s="1076"/>
      <c r="CC117" s="1077" t="s">
        <v>645</v>
      </c>
      <c r="CD117" s="1076"/>
      <c r="CE117" s="1076"/>
      <c r="CF117" s="1076"/>
      <c r="CG117" s="1076"/>
      <c r="CH117" s="1077" t="s">
        <v>666</v>
      </c>
      <c r="CI117" s="1076"/>
      <c r="CJ117" s="1077" t="s">
        <v>303</v>
      </c>
      <c r="CK117" s="1077" t="s">
        <v>667</v>
      </c>
      <c r="CL117" s="1077" t="s">
        <v>668</v>
      </c>
    </row>
    <row s="1751" customFormat="1" customHeight="1" ht="16.5">
      <c r="A118" s="371"/>
      <c r="B118" s="1548"/>
      <c r="C118" s="1548"/>
      <c r="D118" s="1548"/>
      <c r="E118" s="180">
        <v>17</v>
      </c>
      <c r="F118" s="175" cm="1" t="str">
        <f t="array" ref="F118:F118">OFFSET(G118,-1,-1)</f>
        <v>1</v>
      </c>
      <c r="G118" s="1659"/>
      <c r="H118" s="1659"/>
      <c r="I118" s="1659"/>
      <c r="J118" s="1659"/>
      <c r="K118" s="1659"/>
      <c r="L118" s="1659"/>
      <c r="M118" s="1659"/>
      <c r="N118" s="1659"/>
      <c r="O118" s="1659"/>
      <c r="P118" s="1659"/>
      <c r="Q118" s="1659"/>
      <c r="R118" s="1659"/>
      <c r="S118" s="1659"/>
      <c r="T118" s="753" cm="1" t="str">
        <f t="array" ref="T118:T118">T117</f>
        <v>true</v>
      </c>
      <c r="U118" s="1548"/>
      <c r="V118" s="1548"/>
      <c r="W118" s="1548"/>
      <c r="X118" s="1548"/>
      <c r="Y118" s="1548"/>
      <c r="Z118" s="1548"/>
      <c r="AA118" s="286"/>
      <c r="AB118" s="423" t="str">
        <f>AB117&amp;".1"</f>
        <v>3.2.1</v>
      </c>
      <c r="AC118" s="361" t="s">
        <v>637</v>
      </c>
      <c r="AD118" s="384" t="s">
        <v>629</v>
      </c>
      <c r="AE118" s="1898">
        <f>AE102-AE110</f>
        <v>4383</v>
      </c>
      <c r="AF118" s="1898">
        <f>AF102-AF110</f>
        <v>4637</v>
      </c>
      <c r="AG118" s="1898">
        <f>AG102-AG110</f>
        <v>4637</v>
      </c>
      <c r="AH118" s="1898">
        <f>AH102-AH110</f>
        <v>4671</v>
      </c>
      <c r="AI118" s="439">
        <f>AI102-AI110</f>
        <v>4637</v>
      </c>
      <c r="AJ118" s="1898">
        <f>AJ102-AJ110</f>
        <v>0</v>
      </c>
      <c r="AK118" s="1898">
        <f>AK102-AK110</f>
        <v>0</v>
      </c>
      <c r="AL118" s="1898">
        <f>AL102-AL110</f>
        <v>0</v>
      </c>
      <c r="AM118" s="1898">
        <f>AM102-AM110</f>
        <v>0</v>
      </c>
      <c r="AN118" s="1898">
        <f>AN102-AN110</f>
        <v>0</v>
      </c>
      <c r="AO118" s="1898">
        <f>AO102-AO110</f>
        <v>0</v>
      </c>
      <c r="AP118" s="1898">
        <f>AP102-AP110</f>
        <v>0</v>
      </c>
      <c r="AQ118" s="1898">
        <f>AQ102-AQ110</f>
        <v>0</v>
      </c>
      <c r="AR118" s="1898">
        <f>AR102-AR110</f>
        <v>0</v>
      </c>
      <c r="AS118" s="1898">
        <f>AS102-AS110</f>
        <v>0</v>
      </c>
      <c r="AT118" s="1898">
        <f>AT102-AT110</f>
        <v>0</v>
      </c>
      <c r="AU118" s="1898">
        <f>AU102-AU110</f>
        <v>0</v>
      </c>
      <c r="AV118" s="1898">
        <f>AV102-AV110</f>
        <v>0</v>
      </c>
      <c r="AW118" s="1898">
        <f>AW102-AW110</f>
        <v>0</v>
      </c>
      <c r="AX118" s="1898">
        <f>AX102-AX110</f>
        <v>0</v>
      </c>
      <c r="AY118" s="1898">
        <f>AY102-AY110</f>
        <v>0</v>
      </c>
      <c r="AZ118" s="1898">
        <f>AZ102-AZ110</f>
        <v>0</v>
      </c>
      <c r="BA118" s="1898">
        <f>BA102-BA110</f>
        <v>0</v>
      </c>
      <c r="BB118" s="1898">
        <f>BB102-BB110</f>
        <v>0</v>
      </c>
      <c r="BC118" s="439">
        <f>BC102-BC110</f>
        <v>4637</v>
      </c>
      <c r="BD118" s="1898">
        <f>BD102-BD110</f>
        <v>0</v>
      </c>
      <c r="BE118" s="1898">
        <f>BE102-BE110</f>
        <v>0</v>
      </c>
      <c r="BF118" s="1898">
        <f>BF102-BF110</f>
        <v>0</v>
      </c>
      <c r="BG118" s="1898">
        <f>BG102-BG110</f>
        <v>0</v>
      </c>
      <c r="BH118" s="1898">
        <f>BH102-BH110</f>
        <v>0</v>
      </c>
      <c r="BI118" s="1898">
        <f>BI102-BI110</f>
        <v>0</v>
      </c>
      <c r="BJ118" s="1898">
        <f>BJ102-BJ110</f>
        <v>0</v>
      </c>
      <c r="BK118" s="1898">
        <f>BK102-BK110</f>
        <v>0</v>
      </c>
      <c r="BL118" s="1898">
        <f>BL102-BL110</f>
        <v>0</v>
      </c>
      <c r="BM118" s="1898">
        <f>BM102-BM110</f>
        <v>0</v>
      </c>
      <c r="BN118" s="1898">
        <f>BN102-BN110</f>
        <v>0</v>
      </c>
      <c r="BO118" s="1898">
        <f>BO102-BO110</f>
        <v>0</v>
      </c>
      <c r="BP118" s="1898">
        <f>BP102-BP110</f>
        <v>0</v>
      </c>
      <c r="BQ118" s="1898">
        <f>BQ102-BQ110</f>
        <v>0</v>
      </c>
      <c r="BR118" s="1898">
        <f>BR102-BR110</f>
        <v>0</v>
      </c>
      <c r="BS118" s="1898">
        <f>BS102-BS110</f>
        <v>0</v>
      </c>
      <c r="BT118" s="1898">
        <f>BT102-BT110</f>
        <v>0</v>
      </c>
      <c r="BU118" s="1898">
        <f>BU102-BU110</f>
        <v>0</v>
      </c>
      <c r="BV118" s="1898">
        <f>BV102-BV110</f>
        <v>0</v>
      </c>
      <c r="BW118" s="1897"/>
      <c r="BX118" s="286"/>
      <c r="BY118" s="1659"/>
      <c r="BZ118" s="975" t="s">
        <v>673</v>
      </c>
      <c r="CA118" s="1077" cm="1" t="str">
        <f t="array" ref="CA118:CA118">CA117</f>
        <v>ТЭ.42.31656254.0001</v>
      </c>
      <c r="CB118" s="1076"/>
      <c r="CC118" s="1077" t="s">
        <v>645</v>
      </c>
      <c r="CD118" s="1077" t="s">
        <v>639</v>
      </c>
      <c r="CE118" s="1076"/>
      <c r="CF118" s="1076"/>
      <c r="CG118" s="1076"/>
      <c r="CH118" s="1077" t="s">
        <v>666</v>
      </c>
      <c r="CI118" s="1076"/>
      <c r="CJ118" s="1077" t="s">
        <v>303</v>
      </c>
      <c r="CK118" s="1077" t="s">
        <v>667</v>
      </c>
      <c r="CL118" s="1077" t="s">
        <v>668</v>
      </c>
    </row>
    <row s="1751" customFormat="1" customHeight="1" ht="16.5">
      <c r="A119" s="371"/>
      <c r="B119" s="1548"/>
      <c r="C119" s="1548"/>
      <c r="D119" s="1548"/>
      <c r="E119" s="180">
        <v>17</v>
      </c>
      <c r="F119" s="175" cm="1" t="str">
        <f t="array" ref="F119:F119">OFFSET(G119,-1,-1)</f>
        <v>1</v>
      </c>
      <c r="G119" s="1659"/>
      <c r="H119" s="1659"/>
      <c r="I119" s="1659"/>
      <c r="J119" s="1659"/>
      <c r="K119" s="1659"/>
      <c r="L119" s="1659"/>
      <c r="M119" s="1659"/>
      <c r="N119" s="1659"/>
      <c r="O119" s="1659"/>
      <c r="P119" s="1659"/>
      <c r="Q119" s="1659"/>
      <c r="R119" s="1659"/>
      <c r="S119" s="1659"/>
      <c r="T119" s="753" cm="1" t="str">
        <f t="array" ref="T119:T119">T118</f>
        <v>true</v>
      </c>
      <c r="U119" s="1548"/>
      <c r="V119" s="1548"/>
      <c r="W119" s="1548"/>
      <c r="X119" s="1548"/>
      <c r="Y119" s="1548"/>
      <c r="Z119" s="1548"/>
      <c r="AA119" s="286"/>
      <c r="AB119" s="423" t="str">
        <f>AB117&amp;".2"</f>
        <v>3.2.2</v>
      </c>
      <c r="AC119" s="355" t="s">
        <v>640</v>
      </c>
      <c r="AD119" s="445" t="s">
        <v>629</v>
      </c>
      <c r="AE119" s="1898">
        <f>AE103-AE111</f>
        <v>0</v>
      </c>
      <c r="AF119" s="1898">
        <f>AF103-AF111</f>
        <v>0</v>
      </c>
      <c r="AG119" s="1898">
        <f>AG103-AG111</f>
        <v>0</v>
      </c>
      <c r="AH119" s="1898">
        <f>AH103-AH111</f>
        <v>0</v>
      </c>
      <c r="AI119" s="439">
        <f>AI103-AI111</f>
        <v>0</v>
      </c>
      <c r="AJ119" s="1898">
        <f>AJ103-AJ111</f>
        <v>0</v>
      </c>
      <c r="AK119" s="1898">
        <f>AK103-AK111</f>
        <v>0</v>
      </c>
      <c r="AL119" s="1898">
        <f>AL103-AL111</f>
        <v>0</v>
      </c>
      <c r="AM119" s="1898">
        <f>AM103-AM111</f>
        <v>0</v>
      </c>
      <c r="AN119" s="1898">
        <f>AN103-AN111</f>
        <v>0</v>
      </c>
      <c r="AO119" s="1898">
        <f>AO103-AO111</f>
        <v>0</v>
      </c>
      <c r="AP119" s="1898">
        <f>AP103-AP111</f>
        <v>0</v>
      </c>
      <c r="AQ119" s="1898">
        <f>AQ103-AQ111</f>
        <v>0</v>
      </c>
      <c r="AR119" s="1898">
        <f>AR103-AR111</f>
        <v>0</v>
      </c>
      <c r="AS119" s="1898">
        <f>AS103-AS111</f>
        <v>0</v>
      </c>
      <c r="AT119" s="1898">
        <f>AT103-AT111</f>
        <v>0</v>
      </c>
      <c r="AU119" s="1898">
        <f>AU103-AU111</f>
        <v>0</v>
      </c>
      <c r="AV119" s="1898">
        <f>AV103-AV111</f>
        <v>0</v>
      </c>
      <c r="AW119" s="1898">
        <f>AW103-AW111</f>
        <v>0</v>
      </c>
      <c r="AX119" s="1898">
        <f>AX103-AX111</f>
        <v>0</v>
      </c>
      <c r="AY119" s="1898">
        <f>AY103-AY111</f>
        <v>0</v>
      </c>
      <c r="AZ119" s="1898">
        <f>AZ103-AZ111</f>
        <v>0</v>
      </c>
      <c r="BA119" s="1898">
        <f>BA103-BA111</f>
        <v>0</v>
      </c>
      <c r="BB119" s="1898">
        <f>BB103-BB111</f>
        <v>0</v>
      </c>
      <c r="BC119" s="439">
        <f>BC103-BC111</f>
        <v>0</v>
      </c>
      <c r="BD119" s="1898">
        <f>BD103-BD111</f>
        <v>0</v>
      </c>
      <c r="BE119" s="1898">
        <f>BE103-BE111</f>
        <v>0</v>
      </c>
      <c r="BF119" s="1898">
        <f>BF103-BF111</f>
        <v>0</v>
      </c>
      <c r="BG119" s="1898">
        <f>BG103-BG111</f>
        <v>0</v>
      </c>
      <c r="BH119" s="1898">
        <f>BH103-BH111</f>
        <v>0</v>
      </c>
      <c r="BI119" s="1898">
        <f>BI103-BI111</f>
        <v>0</v>
      </c>
      <c r="BJ119" s="1898">
        <f>BJ103-BJ111</f>
        <v>0</v>
      </c>
      <c r="BK119" s="1898">
        <f>BK103-BK111</f>
        <v>0</v>
      </c>
      <c r="BL119" s="1898">
        <f>BL103-BL111</f>
        <v>0</v>
      </c>
      <c r="BM119" s="1898">
        <f>BM103-BM111</f>
        <v>0</v>
      </c>
      <c r="BN119" s="1898">
        <f>BN103-BN111</f>
        <v>0</v>
      </c>
      <c r="BO119" s="1898">
        <f>BO103-BO111</f>
        <v>0</v>
      </c>
      <c r="BP119" s="1898">
        <f>BP103-BP111</f>
        <v>0</v>
      </c>
      <c r="BQ119" s="1898">
        <f>BQ103-BQ111</f>
        <v>0</v>
      </c>
      <c r="BR119" s="1898">
        <f>BR103-BR111</f>
        <v>0</v>
      </c>
      <c r="BS119" s="1898">
        <f>BS103-BS111</f>
        <v>0</v>
      </c>
      <c r="BT119" s="1898">
        <f>BT103-BT111</f>
        <v>0</v>
      </c>
      <c r="BU119" s="1898">
        <f>BU103-BU111</f>
        <v>0</v>
      </c>
      <c r="BV119" s="1898">
        <f>BV103-BV111</f>
        <v>0</v>
      </c>
      <c r="BW119" s="1897"/>
      <c r="BX119" s="286"/>
      <c r="BY119" s="1659"/>
      <c r="BZ119" s="975" t="s">
        <v>674</v>
      </c>
      <c r="CA119" s="1077" cm="1" t="str">
        <f t="array" ref="CA119:CA119">CA118</f>
        <v>ТЭ.42.31656254.0001</v>
      </c>
      <c r="CB119" s="1076"/>
      <c r="CC119" s="1077" t="s">
        <v>645</v>
      </c>
      <c r="CD119" s="1077" t="s">
        <v>642</v>
      </c>
      <c r="CE119" s="1076"/>
      <c r="CF119" s="1076"/>
      <c r="CG119" s="1076"/>
      <c r="CH119" s="1077" t="s">
        <v>666</v>
      </c>
      <c r="CI119" s="1076"/>
      <c r="CJ119" s="1077" t="s">
        <v>303</v>
      </c>
      <c r="CK119" s="1077" t="s">
        <v>667</v>
      </c>
      <c r="CL119" s="1077" t="s">
        <v>668</v>
      </c>
    </row>
    <row s="1751" customFormat="1" customHeight="1" ht="16.5">
      <c r="A120" s="371"/>
      <c r="B120" s="1548"/>
      <c r="C120" s="1548"/>
      <c r="D120" s="1548"/>
      <c r="E120" s="180">
        <v>17</v>
      </c>
      <c r="F120" s="175" cm="1" t="str">
        <f t="array" ref="F120:F120">OFFSET(G120,-1,-1)</f>
        <v>1</v>
      </c>
      <c r="G120" s="1659"/>
      <c r="H120" s="1659"/>
      <c r="I120" s="1659"/>
      <c r="J120" s="1659"/>
      <c r="K120" s="1659"/>
      <c r="L120" s="1659"/>
      <c r="M120" s="1659"/>
      <c r="N120" s="1659"/>
      <c r="O120" s="1659"/>
      <c r="P120" s="1659"/>
      <c r="Q120" s="1659"/>
      <c r="R120" s="1659"/>
      <c r="S120" s="1659"/>
      <c r="T120" s="753" cm="1" t="str">
        <f t="array" ref="T120:T120">T119</f>
        <v>true</v>
      </c>
      <c r="U120" s="1548"/>
      <c r="V120" s="1548"/>
      <c r="W120" s="1548"/>
      <c r="X120" s="1548"/>
      <c r="Y120" s="1548"/>
      <c r="Z120" s="1548"/>
      <c r="AA120" s="286"/>
      <c r="AB120" s="423" t="str">
        <f>AB113&amp;".3"</f>
        <v>3.3</v>
      </c>
      <c r="AC120" s="446" t="s">
        <v>648</v>
      </c>
      <c r="AD120" s="328" t="s">
        <v>629</v>
      </c>
      <c r="AE120" s="1898">
        <f>AE104-AE112</f>
        <v>0</v>
      </c>
      <c r="AF120" s="1898">
        <f>AF104-AF112</f>
        <v>0</v>
      </c>
      <c r="AG120" s="1898">
        <f>AG104-AG112</f>
        <v>0</v>
      </c>
      <c r="AH120" s="1898">
        <f>AH104-AH112</f>
        <v>0</v>
      </c>
      <c r="AI120" s="439">
        <f>AI104-AI112</f>
        <v>0</v>
      </c>
      <c r="AJ120" s="1898">
        <f>AJ104-AJ112</f>
        <v>0</v>
      </c>
      <c r="AK120" s="1898">
        <f>AK104-AK112</f>
        <v>0</v>
      </c>
      <c r="AL120" s="1898">
        <f>AL104-AL112</f>
        <v>0</v>
      </c>
      <c r="AM120" s="1898">
        <f>AM104-AM112</f>
        <v>0</v>
      </c>
      <c r="AN120" s="1898">
        <f>AN104-AN112</f>
        <v>0</v>
      </c>
      <c r="AO120" s="1898">
        <f>AO104-AO112</f>
        <v>0</v>
      </c>
      <c r="AP120" s="1898">
        <f>AP104-AP112</f>
        <v>0</v>
      </c>
      <c r="AQ120" s="1898">
        <f>AQ104-AQ112</f>
        <v>0</v>
      </c>
      <c r="AR120" s="1898">
        <f>AR104-AR112</f>
        <v>0</v>
      </c>
      <c r="AS120" s="1898">
        <f>AS104-AS112</f>
        <v>0</v>
      </c>
      <c r="AT120" s="1898">
        <f>AT104-AT112</f>
        <v>0</v>
      </c>
      <c r="AU120" s="1898">
        <f>AU104-AU112</f>
        <v>0</v>
      </c>
      <c r="AV120" s="1898">
        <f>AV104-AV112</f>
        <v>0</v>
      </c>
      <c r="AW120" s="1898">
        <f>AW104-AW112</f>
        <v>0</v>
      </c>
      <c r="AX120" s="1898">
        <f>AX104-AX112</f>
        <v>0</v>
      </c>
      <c r="AY120" s="1898">
        <f>AY104-AY112</f>
        <v>0</v>
      </c>
      <c r="AZ120" s="1898">
        <f>AZ104-AZ112</f>
        <v>0</v>
      </c>
      <c r="BA120" s="1898">
        <f>BA104-BA112</f>
        <v>0</v>
      </c>
      <c r="BB120" s="1898">
        <f>BB104-BB112</f>
        <v>0</v>
      </c>
      <c r="BC120" s="439">
        <f>BC104-BC112</f>
        <v>0</v>
      </c>
      <c r="BD120" s="1898">
        <f>BD104-BD112</f>
        <v>0</v>
      </c>
      <c r="BE120" s="1898">
        <f>BE104-BE112</f>
        <v>0</v>
      </c>
      <c r="BF120" s="1898">
        <f>BF104-BF112</f>
        <v>0</v>
      </c>
      <c r="BG120" s="1898">
        <f>BG104-BG112</f>
        <v>0</v>
      </c>
      <c r="BH120" s="1898">
        <f>BH104-BH112</f>
        <v>0</v>
      </c>
      <c r="BI120" s="1898">
        <f>BI104-BI112</f>
        <v>0</v>
      </c>
      <c r="BJ120" s="1898">
        <f>BJ104-BJ112</f>
        <v>0</v>
      </c>
      <c r="BK120" s="1898">
        <f>BK104-BK112</f>
        <v>0</v>
      </c>
      <c r="BL120" s="1898">
        <f>BL104-BL112</f>
        <v>0</v>
      </c>
      <c r="BM120" s="1898">
        <f>BM104-BM112</f>
        <v>0</v>
      </c>
      <c r="BN120" s="1898">
        <f>BN104-BN112</f>
        <v>0</v>
      </c>
      <c r="BO120" s="1898">
        <f>BO104-BO112</f>
        <v>0</v>
      </c>
      <c r="BP120" s="1898">
        <f>BP104-BP112</f>
        <v>0</v>
      </c>
      <c r="BQ120" s="1898">
        <f>BQ104-BQ112</f>
        <v>0</v>
      </c>
      <c r="BR120" s="1898">
        <f>BR104-BR112</f>
        <v>0</v>
      </c>
      <c r="BS120" s="1898">
        <f>BS104-BS112</f>
        <v>0</v>
      </c>
      <c r="BT120" s="1898">
        <f>BT104-BT112</f>
        <v>0</v>
      </c>
      <c r="BU120" s="1898">
        <f>BU104-BU112</f>
        <v>0</v>
      </c>
      <c r="BV120" s="1898">
        <f>BV104-BV112</f>
        <v>0</v>
      </c>
      <c r="BW120" s="1897"/>
      <c r="BX120" s="286"/>
      <c r="BY120" s="1659"/>
      <c r="BZ120" s="975" t="s">
        <v>675</v>
      </c>
      <c r="CA120" s="1077" cm="1" t="str">
        <f t="array" ref="CA120:CA120">CA119</f>
        <v>ТЭ.42.31656254.0001</v>
      </c>
      <c r="CB120" s="1076"/>
      <c r="CC120" s="1077" t="s">
        <v>650</v>
      </c>
      <c r="CD120" s="1076"/>
      <c r="CE120" s="1076"/>
      <c r="CF120" s="1076"/>
      <c r="CG120" s="1076"/>
      <c r="CH120" s="1077" t="s">
        <v>666</v>
      </c>
      <c r="CI120" s="1076"/>
      <c r="CJ120" s="1077" t="s">
        <v>303</v>
      </c>
      <c r="CK120" s="1077" t="s">
        <v>667</v>
      </c>
      <c r="CL120" s="1077" t="s">
        <v>668</v>
      </c>
    </row>
    <row s="1751" customFormat="1" customHeight="1" ht="16.5">
      <c r="A121" s="371"/>
      <c r="B121" s="1548"/>
      <c r="C121" s="1548"/>
      <c r="D121" s="1548"/>
      <c r="E121" s="180">
        <v>17</v>
      </c>
      <c r="F121" s="175" cm="1" t="str">
        <f t="array" ref="F121:F121">OFFSET(G121,-1,-1)</f>
        <v>1</v>
      </c>
      <c r="G121" s="1659"/>
      <c r="H121" s="1659"/>
      <c r="I121" s="1659"/>
      <c r="J121" s="1659"/>
      <c r="K121" s="1659"/>
      <c r="L121" s="1659"/>
      <c r="M121" s="1659"/>
      <c r="N121" s="1659"/>
      <c r="O121" s="1659"/>
      <c r="P121" s="1659"/>
      <c r="Q121" s="1659"/>
      <c r="R121" s="1659"/>
      <c r="S121" s="1659"/>
      <c r="T121" s="753" cm="1" t="str">
        <f t="array" ref="T121:T121">T120</f>
        <v>true</v>
      </c>
      <c r="U121" s="1548"/>
      <c r="V121" s="1548"/>
      <c r="W121" s="1548"/>
      <c r="X121" s="1548"/>
      <c r="Y121" s="1548"/>
      <c r="Z121" s="1548"/>
      <c r="AA121" s="286"/>
      <c r="AB121" s="342">
        <v>4</v>
      </c>
      <c r="AC121" s="447" t="s">
        <v>676</v>
      </c>
      <c r="AD121" s="328" t="s">
        <v>629</v>
      </c>
      <c r="AE121" s="448">
        <f>AE122+AE123</f>
        <v>0</v>
      </c>
      <c r="AF121" s="448">
        <f>AF122+AF123</f>
        <v>0</v>
      </c>
      <c r="AG121" s="448">
        <f>AG122+AG123</f>
        <v>0</v>
      </c>
      <c r="AH121" s="448">
        <f>AH122+AH123</f>
        <v>0</v>
      </c>
      <c r="AI121" s="448">
        <f>AI122+AI123</f>
        <v>0</v>
      </c>
      <c r="AJ121" s="448">
        <f>AJ122+AJ123</f>
        <v>0</v>
      </c>
      <c r="AK121" s="448">
        <f>AK122+AK123</f>
        <v>0</v>
      </c>
      <c r="AL121" s="448">
        <f>AL122+AL123</f>
        <v>0</v>
      </c>
      <c r="AM121" s="448">
        <f>AM122+AM123</f>
        <v>0</v>
      </c>
      <c r="AN121" s="448">
        <f>AN122+AN123</f>
        <v>0</v>
      </c>
      <c r="AO121" s="448">
        <f>AO122+AO123</f>
        <v>0</v>
      </c>
      <c r="AP121" s="448">
        <f>AP122+AP123</f>
        <v>0</v>
      </c>
      <c r="AQ121" s="448">
        <f>AQ122+AQ123</f>
        <v>0</v>
      </c>
      <c r="AR121" s="448">
        <f>AR122+AR123</f>
        <v>0</v>
      </c>
      <c r="AS121" s="448">
        <f>AS122+AS123</f>
        <v>0</v>
      </c>
      <c r="AT121" s="448">
        <f>AT122+AT123</f>
        <v>0</v>
      </c>
      <c r="AU121" s="448">
        <f>AU122+AU123</f>
        <v>0</v>
      </c>
      <c r="AV121" s="448">
        <f>AV122+AV123</f>
        <v>0</v>
      </c>
      <c r="AW121" s="448">
        <f>AW122+AW123</f>
        <v>0</v>
      </c>
      <c r="AX121" s="448">
        <f>AX122+AX123</f>
        <v>0</v>
      </c>
      <c r="AY121" s="448">
        <f>AY122+AY123</f>
        <v>0</v>
      </c>
      <c r="AZ121" s="448">
        <f>AZ122+AZ123</f>
        <v>0</v>
      </c>
      <c r="BA121" s="448">
        <f>BA122+BA123</f>
        <v>0</v>
      </c>
      <c r="BB121" s="448">
        <f>BB122+BB123</f>
        <v>0</v>
      </c>
      <c r="BC121" s="448">
        <f>BC122+BC123</f>
        <v>0</v>
      </c>
      <c r="BD121" s="448">
        <f>BD122+BD123</f>
        <v>0</v>
      </c>
      <c r="BE121" s="448">
        <f>BE122+BE123</f>
        <v>0</v>
      </c>
      <c r="BF121" s="448">
        <f>BF122+BF123</f>
        <v>0</v>
      </c>
      <c r="BG121" s="448">
        <f>BG122+BG123</f>
        <v>0</v>
      </c>
      <c r="BH121" s="448">
        <f>BH122+BH123</f>
        <v>0</v>
      </c>
      <c r="BI121" s="448">
        <f>BI122+BI123</f>
        <v>0</v>
      </c>
      <c r="BJ121" s="448">
        <f>BJ122+BJ123</f>
        <v>0</v>
      </c>
      <c r="BK121" s="448">
        <f>BK122+BK123</f>
        <v>0</v>
      </c>
      <c r="BL121" s="448">
        <f>BL122+BL123</f>
        <v>0</v>
      </c>
      <c r="BM121" s="448">
        <f>BM122+BM123</f>
        <v>0</v>
      </c>
      <c r="BN121" s="448">
        <f>BN122+BN123</f>
        <v>0</v>
      </c>
      <c r="BO121" s="448">
        <f>BO122+BO123</f>
        <v>0</v>
      </c>
      <c r="BP121" s="448">
        <f>BP122+BP123</f>
        <v>0</v>
      </c>
      <c r="BQ121" s="448">
        <f>BQ122+BQ123</f>
        <v>0</v>
      </c>
      <c r="BR121" s="448">
        <f>BR122+BR123</f>
        <v>0</v>
      </c>
      <c r="BS121" s="448">
        <f>BS122+BS123</f>
        <v>0</v>
      </c>
      <c r="BT121" s="448">
        <f>BT122+BT123</f>
        <v>0</v>
      </c>
      <c r="BU121" s="448">
        <f>BU122+BU123</f>
        <v>0</v>
      </c>
      <c r="BV121" s="448">
        <f>BV122+BV123</f>
        <v>0</v>
      </c>
      <c r="BW121" s="1897"/>
      <c r="BX121" s="286"/>
      <c r="BY121" s="1659"/>
      <c r="BZ121" s="975" t="s">
        <v>677</v>
      </c>
      <c r="CA121" s="1077" cm="1" t="str">
        <f t="array" ref="CA121:CA121">CA120</f>
        <v>ТЭ.42.31656254.0001</v>
      </c>
      <c r="CB121" s="1076"/>
      <c r="CC121" s="1076"/>
      <c r="CD121" s="1076"/>
      <c r="CE121" s="1076"/>
      <c r="CF121" s="1076"/>
      <c r="CG121" s="1076"/>
      <c r="CH121" s="1077" t="s">
        <v>678</v>
      </c>
      <c r="CI121" s="1076"/>
      <c r="CJ121" s="1077" t="s">
        <v>303</v>
      </c>
      <c r="CK121" s="1077" t="s">
        <v>679</v>
      </c>
      <c r="CL121" s="1077" t="s">
        <v>680</v>
      </c>
    </row>
    <row s="1751" customFormat="1" customHeight="1" ht="16.5">
      <c r="A122" s="371"/>
      <c r="B122" s="1548"/>
      <c r="C122" s="1548"/>
      <c r="D122" s="1548"/>
      <c r="E122" s="180">
        <v>17</v>
      </c>
      <c r="F122" s="175" cm="1" t="str">
        <f t="array" ref="F122:F122">OFFSET(G122,-1,-1)</f>
        <v>1</v>
      </c>
      <c r="G122" s="1659"/>
      <c r="H122" s="1659"/>
      <c r="I122" s="1659"/>
      <c r="J122" s="1659"/>
      <c r="K122" s="1659"/>
      <c r="L122" s="1659"/>
      <c r="M122" s="1659"/>
      <c r="N122" s="1659"/>
      <c r="O122" s="1659"/>
      <c r="P122" s="1659"/>
      <c r="Q122" s="1659"/>
      <c r="R122" s="1659"/>
      <c r="S122" s="1659"/>
      <c r="T122" s="753" cm="1" t="str">
        <f t="array" ref="T122:T122">T121</f>
        <v>true</v>
      </c>
      <c r="U122" s="1548"/>
      <c r="V122" s="1548"/>
      <c r="W122" s="1548"/>
      <c r="X122" s="1548"/>
      <c r="Y122" s="1548"/>
      <c r="Z122" s="1548"/>
      <c r="AA122" s="286"/>
      <c r="AB122" s="423" t="str">
        <f>AB121&amp;".1"</f>
        <v>4.1</v>
      </c>
      <c r="AC122" s="446" t="s">
        <v>637</v>
      </c>
      <c r="AD122" s="328" t="s">
        <v>629</v>
      </c>
      <c r="AE122" s="1902"/>
      <c r="AF122" s="1902"/>
      <c r="AG122" s="1902"/>
      <c r="AH122" s="1902"/>
      <c r="AI122" s="449"/>
      <c r="AJ122" s="1902"/>
      <c r="AK122" s="1902"/>
      <c r="AL122" s="1902"/>
      <c r="AM122" s="1902"/>
      <c r="AN122" s="1902"/>
      <c r="AO122" s="1902"/>
      <c r="AP122" s="1902"/>
      <c r="AQ122" s="1902"/>
      <c r="AR122" s="1902"/>
      <c r="AS122" s="1902"/>
      <c r="AT122" s="1902"/>
      <c r="AU122" s="1902"/>
      <c r="AV122" s="1902"/>
      <c r="AW122" s="1902"/>
      <c r="AX122" s="1902"/>
      <c r="AY122" s="1902"/>
      <c r="AZ122" s="1902"/>
      <c r="BA122" s="1902"/>
      <c r="BB122" s="1902"/>
      <c r="BC122" s="449"/>
      <c r="BD122" s="1902"/>
      <c r="BE122" s="1902"/>
      <c r="BF122" s="1902"/>
      <c r="BG122" s="1902"/>
      <c r="BH122" s="1902"/>
      <c r="BI122" s="1902"/>
      <c r="BJ122" s="1902"/>
      <c r="BK122" s="1902"/>
      <c r="BL122" s="1902"/>
      <c r="BM122" s="1902"/>
      <c r="BN122" s="1902"/>
      <c r="BO122" s="1902"/>
      <c r="BP122" s="1902"/>
      <c r="BQ122" s="1902"/>
      <c r="BR122" s="1902"/>
      <c r="BS122" s="1902"/>
      <c r="BT122" s="1902"/>
      <c r="BU122" s="1902"/>
      <c r="BV122" s="1902"/>
      <c r="BW122" s="1897"/>
      <c r="BX122" s="286"/>
      <c r="BY122" s="1659"/>
      <c r="BZ122" s="975" t="s">
        <v>681</v>
      </c>
      <c r="CA122" s="1077" cm="1" t="str">
        <f t="array" ref="CA122:CA122">CA121</f>
        <v>ТЭ.42.31656254.0001</v>
      </c>
      <c r="CB122" s="1076"/>
      <c r="CC122" s="1076"/>
      <c r="CD122" s="1077" t="s">
        <v>639</v>
      </c>
      <c r="CE122" s="1076"/>
      <c r="CF122" s="1076"/>
      <c r="CG122" s="1076"/>
      <c r="CH122" s="1077" t="s">
        <v>678</v>
      </c>
      <c r="CI122" s="1076"/>
      <c r="CJ122" s="1077" t="s">
        <v>303</v>
      </c>
      <c r="CK122" s="1077" t="s">
        <v>679</v>
      </c>
      <c r="CL122" s="1077" t="s">
        <v>680</v>
      </c>
    </row>
    <row s="1751" customFormat="1" customHeight="1" ht="16.5">
      <c r="A123" s="371"/>
      <c r="B123" s="1548"/>
      <c r="C123" s="1548"/>
      <c r="D123" s="1548"/>
      <c r="E123" s="180">
        <v>17</v>
      </c>
      <c r="F123" s="175" cm="1" t="str">
        <f t="array" ref="F123:F123">OFFSET(G123,-1,-1)</f>
        <v>1</v>
      </c>
      <c r="G123" s="1659"/>
      <c r="H123" s="1659"/>
      <c r="I123" s="1659"/>
      <c r="J123" s="1659"/>
      <c r="K123" s="1659"/>
      <c r="L123" s="1659"/>
      <c r="M123" s="1659"/>
      <c r="N123" s="1659"/>
      <c r="O123" s="1659"/>
      <c r="P123" s="1659"/>
      <c r="Q123" s="1659"/>
      <c r="R123" s="1659"/>
      <c r="S123" s="1659"/>
      <c r="T123" s="753" cm="1" t="str">
        <f t="array" ref="T123:T123">T122</f>
        <v>true</v>
      </c>
      <c r="U123" s="1548"/>
      <c r="V123" s="1548"/>
      <c r="W123" s="1548"/>
      <c r="X123" s="1548"/>
      <c r="Y123" s="1548"/>
      <c r="Z123" s="1548"/>
      <c r="AA123" s="286"/>
      <c r="AB123" s="423" t="str">
        <f>AB121&amp;".2"</f>
        <v>4.2</v>
      </c>
      <c r="AC123" s="446" t="s">
        <v>640</v>
      </c>
      <c r="AD123" s="328" t="s">
        <v>629</v>
      </c>
      <c r="AE123" s="1904"/>
      <c r="AF123" s="1904"/>
      <c r="AG123" s="1904"/>
      <c r="AH123" s="1904"/>
      <c r="AI123" s="450"/>
      <c r="AJ123" s="1904"/>
      <c r="AK123" s="1904"/>
      <c r="AL123" s="1904"/>
      <c r="AM123" s="1904"/>
      <c r="AN123" s="1904"/>
      <c r="AO123" s="1904"/>
      <c r="AP123" s="1904"/>
      <c r="AQ123" s="1904"/>
      <c r="AR123" s="1904"/>
      <c r="AS123" s="1904"/>
      <c r="AT123" s="1904"/>
      <c r="AU123" s="1904"/>
      <c r="AV123" s="1904"/>
      <c r="AW123" s="1904"/>
      <c r="AX123" s="1904"/>
      <c r="AY123" s="1904"/>
      <c r="AZ123" s="1904"/>
      <c r="BA123" s="1904"/>
      <c r="BB123" s="1904"/>
      <c r="BC123" s="450"/>
      <c r="BD123" s="1904"/>
      <c r="BE123" s="1904"/>
      <c r="BF123" s="1904"/>
      <c r="BG123" s="1904"/>
      <c r="BH123" s="1904"/>
      <c r="BI123" s="1904"/>
      <c r="BJ123" s="1904"/>
      <c r="BK123" s="1904"/>
      <c r="BL123" s="1904"/>
      <c r="BM123" s="1904"/>
      <c r="BN123" s="1904"/>
      <c r="BO123" s="1904"/>
      <c r="BP123" s="1904"/>
      <c r="BQ123" s="1904"/>
      <c r="BR123" s="1904"/>
      <c r="BS123" s="1904"/>
      <c r="BT123" s="1904"/>
      <c r="BU123" s="1904"/>
      <c r="BV123" s="1904"/>
      <c r="BW123" s="1906"/>
      <c r="BX123" s="286"/>
      <c r="BY123" s="1659"/>
      <c r="BZ123" s="975" t="s">
        <v>682</v>
      </c>
      <c r="CA123" s="1077" cm="1" t="str">
        <f t="array" ref="CA123:CA123">CA122</f>
        <v>ТЭ.42.31656254.0001</v>
      </c>
      <c r="CB123" s="1076"/>
      <c r="CC123" s="1076"/>
      <c r="CD123" s="1077" t="s">
        <v>642</v>
      </c>
      <c r="CE123" s="1076"/>
      <c r="CF123" s="1076"/>
      <c r="CG123" s="1076"/>
      <c r="CH123" s="1077" t="s">
        <v>678</v>
      </c>
      <c r="CI123" s="1076"/>
      <c r="CJ123" s="1077" t="s">
        <v>303</v>
      </c>
      <c r="CK123" s="1077" t="s">
        <v>679</v>
      </c>
      <c r="CL123" s="1077" t="s">
        <v>680</v>
      </c>
    </row>
    <row s="1751" customFormat="1" customHeight="1" ht="16.5">
      <c r="A124" s="371"/>
      <c r="B124" s="1548"/>
      <c r="C124" s="1548"/>
      <c r="D124" s="1548"/>
      <c r="E124" s="180">
        <v>17</v>
      </c>
      <c r="F124" s="175" cm="1" t="str">
        <f t="array" ref="F124:F124">OFFSET(G124,-1,-1)</f>
        <v>1</v>
      </c>
      <c r="G124" s="1659"/>
      <c r="H124" s="1659"/>
      <c r="I124" s="1659"/>
      <c r="J124" s="1659"/>
      <c r="K124" s="1659"/>
      <c r="L124" s="1659"/>
      <c r="M124" s="1659"/>
      <c r="N124" s="1659"/>
      <c r="O124" s="1659"/>
      <c r="P124" s="1659"/>
      <c r="Q124" s="1659"/>
      <c r="R124" s="1659"/>
      <c r="S124" s="1659"/>
      <c r="T124" s="753" cm="1" t="str">
        <f t="array" ref="T124:T124">T123</f>
        <v>true</v>
      </c>
      <c r="U124" s="1548"/>
      <c r="V124" s="1548"/>
      <c r="W124" s="1548"/>
      <c r="X124" s="1548"/>
      <c r="Y124" s="1548"/>
      <c r="Z124" s="1548"/>
      <c r="AA124" s="286"/>
      <c r="AB124" s="451">
        <v>5</v>
      </c>
      <c r="AC124" s="452" t="s">
        <v>683</v>
      </c>
      <c r="AD124" s="424" t="s">
        <v>629</v>
      </c>
      <c r="AE124" s="1898"/>
      <c r="AF124" s="1898"/>
      <c r="AG124" s="1898"/>
      <c r="AH124" s="1898"/>
      <c r="AI124" s="439"/>
      <c r="AJ124" s="1898"/>
      <c r="AK124" s="1898"/>
      <c r="AL124" s="1898"/>
      <c r="AM124" s="1898"/>
      <c r="AN124" s="1898"/>
      <c r="AO124" s="1898"/>
      <c r="AP124" s="1898"/>
      <c r="AQ124" s="1898"/>
      <c r="AR124" s="1898"/>
      <c r="AS124" s="1898"/>
      <c r="AT124" s="1898"/>
      <c r="AU124" s="1898"/>
      <c r="AV124" s="1898"/>
      <c r="AW124" s="1898"/>
      <c r="AX124" s="1898"/>
      <c r="AY124" s="1898"/>
      <c r="AZ124" s="1898"/>
      <c r="BA124" s="1898"/>
      <c r="BB124" s="1898"/>
      <c r="BC124" s="439"/>
      <c r="BD124" s="1898"/>
      <c r="BE124" s="1898"/>
      <c r="BF124" s="1898"/>
      <c r="BG124" s="1898"/>
      <c r="BH124" s="1898"/>
      <c r="BI124" s="1898"/>
      <c r="BJ124" s="1898"/>
      <c r="BK124" s="1898"/>
      <c r="BL124" s="1898"/>
      <c r="BM124" s="1898"/>
      <c r="BN124" s="1898"/>
      <c r="BO124" s="1898"/>
      <c r="BP124" s="1898"/>
      <c r="BQ124" s="1898"/>
      <c r="BR124" s="1898"/>
      <c r="BS124" s="1898"/>
      <c r="BT124" s="1898"/>
      <c r="BU124" s="1898"/>
      <c r="BV124" s="1898"/>
      <c r="BW124" s="1907"/>
      <c r="BX124" s="286"/>
      <c r="BY124" s="1659"/>
      <c r="BZ124" s="975" t="s">
        <v>684</v>
      </c>
      <c r="CA124" s="1077" cm="1" t="str">
        <f t="array" ref="CA124:CA124">CA123</f>
        <v>ТЭ.42.31656254.0001</v>
      </c>
      <c r="CB124" s="1076"/>
      <c r="CC124" s="1076"/>
      <c r="CD124" s="1076"/>
      <c r="CE124" s="1076"/>
      <c r="CF124" s="1077" t="s">
        <v>685</v>
      </c>
      <c r="CG124" s="1076"/>
      <c r="CH124" s="1076"/>
      <c r="CI124" s="1076"/>
      <c r="CJ124" s="1077" t="s">
        <v>303</v>
      </c>
      <c r="CK124" s="1077" t="s">
        <v>679</v>
      </c>
      <c r="CL124" s="1077" t="s">
        <v>680</v>
      </c>
    </row>
    <row s="1751" customFormat="1" customHeight="1" ht="16.5">
      <c r="A125" s="371"/>
      <c r="B125" s="1548"/>
      <c r="C125" s="1548"/>
      <c r="D125" s="1548"/>
      <c r="E125" s="180">
        <v>17</v>
      </c>
      <c r="F125" s="175" cm="1" t="str">
        <f t="array" ref="F125:F125">OFFSET(G125,-1,-1)</f>
        <v>1</v>
      </c>
      <c r="G125" s="1659"/>
      <c r="H125" s="1659"/>
      <c r="I125" s="1659"/>
      <c r="J125" s="1659"/>
      <c r="K125" s="1659"/>
      <c r="L125" s="1659"/>
      <c r="M125" s="1659"/>
      <c r="N125" s="1659"/>
      <c r="O125" s="1659"/>
      <c r="P125" s="1659"/>
      <c r="Q125" s="1659"/>
      <c r="R125" s="1659"/>
      <c r="S125" s="1659"/>
      <c r="T125" s="753" cm="1" t="str">
        <f t="array" ref="T125:T125">T124</f>
        <v>true</v>
      </c>
      <c r="U125" s="1548"/>
      <c r="V125" s="1548"/>
      <c r="W125" s="1548"/>
      <c r="X125" s="1548"/>
      <c r="Y125" s="1548"/>
      <c r="Z125" s="1548"/>
      <c r="AA125" s="286"/>
      <c r="AB125" s="453">
        <v>6</v>
      </c>
      <c r="AC125" s="454" t="s">
        <v>686</v>
      </c>
      <c r="AD125" s="424" t="s">
        <v>629</v>
      </c>
      <c r="AE125" s="438">
        <f>AE113+AE121-AE124</f>
        <v>4383</v>
      </c>
      <c r="AF125" s="438">
        <f>AF113+AF121-AF124</f>
        <v>4637</v>
      </c>
      <c r="AG125" s="438">
        <f>AG113+AG121-AG124</f>
        <v>4637</v>
      </c>
      <c r="AH125" s="438">
        <f>AH113+AH121-AH124</f>
        <v>4671</v>
      </c>
      <c r="AI125" s="438">
        <f>AI113+AI121-AI124</f>
        <v>4637</v>
      </c>
      <c r="AJ125" s="438">
        <f>AJ113+AJ121-AJ124</f>
        <v>0</v>
      </c>
      <c r="AK125" s="438">
        <f>AK113+AK121-AK124</f>
        <v>0</v>
      </c>
      <c r="AL125" s="438">
        <f>AL113+AL121-AL124</f>
        <v>0</v>
      </c>
      <c r="AM125" s="438">
        <f>AM113+AM121-AM124</f>
        <v>0</v>
      </c>
      <c r="AN125" s="438">
        <f>AN113+AN121-AN124</f>
        <v>0</v>
      </c>
      <c r="AO125" s="438">
        <f>AO113+AO121-AO124</f>
        <v>0</v>
      </c>
      <c r="AP125" s="438">
        <f>AP113+AP121-AP124</f>
        <v>0</v>
      </c>
      <c r="AQ125" s="438">
        <f>AQ113+AQ121-AQ124</f>
        <v>0</v>
      </c>
      <c r="AR125" s="438">
        <f>AR113+AR121-AR124</f>
        <v>0</v>
      </c>
      <c r="AS125" s="438">
        <f>AS113+AS121-AS124</f>
        <v>0</v>
      </c>
      <c r="AT125" s="438">
        <f>AT113+AT121-AT124</f>
        <v>0</v>
      </c>
      <c r="AU125" s="438">
        <f>AU113+AU121-AU124</f>
        <v>0</v>
      </c>
      <c r="AV125" s="438">
        <f>AV113+AV121-AV124</f>
        <v>0</v>
      </c>
      <c r="AW125" s="438">
        <f>AW113+AW121-AW124</f>
        <v>0</v>
      </c>
      <c r="AX125" s="438">
        <f>AX113+AX121-AX124</f>
        <v>0</v>
      </c>
      <c r="AY125" s="438">
        <f>AY113+AY121-AY124</f>
        <v>0</v>
      </c>
      <c r="AZ125" s="438">
        <f>AZ113+AZ121-AZ124</f>
        <v>0</v>
      </c>
      <c r="BA125" s="438">
        <f>BA113+BA121-BA124</f>
        <v>0</v>
      </c>
      <c r="BB125" s="438">
        <f>BB113+BB121-BB124</f>
        <v>0</v>
      </c>
      <c r="BC125" s="438">
        <f>BC113+BC121-BC124</f>
        <v>4637</v>
      </c>
      <c r="BD125" s="438">
        <f>BD113+BD121-BD124</f>
        <v>0</v>
      </c>
      <c r="BE125" s="438">
        <f>BE113+BE121-BE124</f>
        <v>0</v>
      </c>
      <c r="BF125" s="438">
        <f>BF113+BF121-BF124</f>
        <v>0</v>
      </c>
      <c r="BG125" s="438">
        <f>BG113+BG121-BG124</f>
        <v>0</v>
      </c>
      <c r="BH125" s="438">
        <f>BH113+BH121-BH124</f>
        <v>0</v>
      </c>
      <c r="BI125" s="438">
        <f>BI113+BI121-BI124</f>
        <v>0</v>
      </c>
      <c r="BJ125" s="438">
        <f>BJ113+BJ121-BJ124</f>
        <v>0</v>
      </c>
      <c r="BK125" s="438">
        <f>BK113+BK121-BK124</f>
        <v>0</v>
      </c>
      <c r="BL125" s="438">
        <f>BL113+BL121-BL124</f>
        <v>0</v>
      </c>
      <c r="BM125" s="438">
        <f>BM113+BM121-BM124</f>
        <v>0</v>
      </c>
      <c r="BN125" s="438">
        <f>BN113+BN121-BN124</f>
        <v>0</v>
      </c>
      <c r="BO125" s="438">
        <f>BO113+BO121-BO124</f>
        <v>0</v>
      </c>
      <c r="BP125" s="438">
        <f>BP113+BP121-BP124</f>
        <v>0</v>
      </c>
      <c r="BQ125" s="438">
        <f>BQ113+BQ121-BQ124</f>
        <v>0</v>
      </c>
      <c r="BR125" s="438">
        <f>BR113+BR121-BR124</f>
        <v>0</v>
      </c>
      <c r="BS125" s="438">
        <f>BS113+BS121-BS124</f>
        <v>0</v>
      </c>
      <c r="BT125" s="438">
        <f>BT113+BT121-BT124</f>
        <v>0</v>
      </c>
      <c r="BU125" s="438">
        <f>BU113+BU121-BU124</f>
        <v>0</v>
      </c>
      <c r="BV125" s="438">
        <f>BV113+BV121-BV124</f>
        <v>0</v>
      </c>
      <c r="BW125" s="1907"/>
      <c r="BX125" s="286"/>
      <c r="BY125" s="1659"/>
      <c r="BZ125" s="975" t="s">
        <v>687</v>
      </c>
      <c r="CA125" s="1077" cm="1" t="str">
        <f t="array" ref="CA125:CA125">CA124</f>
        <v>ТЭ.42.31656254.0001</v>
      </c>
      <c r="CB125" s="1076"/>
      <c r="CC125" s="1076"/>
      <c r="CD125" s="1076"/>
      <c r="CE125" s="1077" t="s">
        <v>688</v>
      </c>
      <c r="CF125" s="1076"/>
      <c r="CG125" s="1076"/>
      <c r="CH125" s="1076"/>
      <c r="CI125" s="1076"/>
      <c r="CJ125" s="1077" t="s">
        <v>303</v>
      </c>
      <c r="CK125" s="1077" t="s">
        <v>667</v>
      </c>
      <c r="CL125" s="1077" t="s">
        <v>668</v>
      </c>
    </row>
    <row s="1751" customFormat="1" customHeight="1" ht="16.5">
      <c r="A126" s="371"/>
      <c r="B126" s="1548"/>
      <c r="C126" s="1548"/>
      <c r="D126" s="1548"/>
      <c r="E126" s="180">
        <v>17</v>
      </c>
      <c r="F126" s="175" cm="1" t="str">
        <f t="array" ref="F126:F126">OFFSET(G126,-1,-1)</f>
        <v>1</v>
      </c>
      <c r="G126" s="1659"/>
      <c r="H126" s="1659"/>
      <c r="I126" s="1659"/>
      <c r="J126" s="1659"/>
      <c r="K126" s="1659"/>
      <c r="L126" s="1659"/>
      <c r="M126" s="1659"/>
      <c r="N126" s="1659"/>
      <c r="O126" s="1659"/>
      <c r="P126" s="1659"/>
      <c r="Q126" s="1659"/>
      <c r="R126" s="1659"/>
      <c r="S126" s="1659"/>
      <c r="T126" s="753" cm="1" t="str">
        <f t="array" ref="T126:T126">T125</f>
        <v>true</v>
      </c>
      <c r="U126" s="1548"/>
      <c r="V126" s="1548"/>
      <c r="W126" s="1548"/>
      <c r="X126" s="1548"/>
      <c r="Y126" s="1548"/>
      <c r="Z126" s="1548"/>
      <c r="AA126" s="286"/>
      <c r="AB126" s="423" t="str">
        <f>AB125&amp;".1"</f>
        <v>6.1</v>
      </c>
      <c r="AC126" s="446" t="s">
        <v>637</v>
      </c>
      <c r="AD126" s="424" t="s">
        <v>629</v>
      </c>
      <c r="AE126" s="438">
        <f>AE127+AE128+AE133</f>
        <v>4383</v>
      </c>
      <c r="AF126" s="438">
        <f>AF127+AF128+AF133</f>
        <v>4637</v>
      </c>
      <c r="AG126" s="438">
        <f>AG127+AG128+AG133</f>
        <v>4637</v>
      </c>
      <c r="AH126" s="438">
        <f>AH127+AH128+AH133</f>
        <v>4671</v>
      </c>
      <c r="AI126" s="438">
        <f>AI127+AI128+AI133</f>
        <v>4637</v>
      </c>
      <c r="AJ126" s="438">
        <f>AJ127+AJ128+AJ133</f>
        <v>0</v>
      </c>
      <c r="AK126" s="438">
        <f>AK127+AK128+AK133</f>
        <v>0</v>
      </c>
      <c r="AL126" s="438">
        <f>AL127+AL128+AL133</f>
        <v>0</v>
      </c>
      <c r="AM126" s="438">
        <f>AM127+AM128+AM133</f>
        <v>0</v>
      </c>
      <c r="AN126" s="438">
        <f>AN127+AN128+AN133</f>
        <v>0</v>
      </c>
      <c r="AO126" s="438">
        <f>AO127+AO128+AO133</f>
        <v>0</v>
      </c>
      <c r="AP126" s="438">
        <f>AP127+AP128+AP133</f>
        <v>0</v>
      </c>
      <c r="AQ126" s="438">
        <f>AQ127+AQ128+AQ133</f>
        <v>0</v>
      </c>
      <c r="AR126" s="438">
        <f>AR127+AR128+AR133</f>
        <v>0</v>
      </c>
      <c r="AS126" s="438">
        <f>AS127+AS128+AS133</f>
        <v>0</v>
      </c>
      <c r="AT126" s="438">
        <f>AT127+AT128+AT133</f>
        <v>0</v>
      </c>
      <c r="AU126" s="438">
        <f>AU127+AU128+AU133</f>
        <v>0</v>
      </c>
      <c r="AV126" s="438">
        <f>AV127+AV128+AV133</f>
        <v>0</v>
      </c>
      <c r="AW126" s="438">
        <f>AW127+AW128+AW133</f>
        <v>0</v>
      </c>
      <c r="AX126" s="438">
        <f>AX127+AX128+AX133</f>
        <v>0</v>
      </c>
      <c r="AY126" s="438">
        <f>AY127+AY128+AY133</f>
        <v>0</v>
      </c>
      <c r="AZ126" s="438">
        <f>AZ127+AZ128+AZ133</f>
        <v>0</v>
      </c>
      <c r="BA126" s="438">
        <f>BA127+BA128+BA133</f>
        <v>0</v>
      </c>
      <c r="BB126" s="438">
        <f>BB127+BB128+BB133</f>
        <v>0</v>
      </c>
      <c r="BC126" s="438">
        <f>BC127+BC128+BC133</f>
        <v>4637</v>
      </c>
      <c r="BD126" s="438">
        <f>BD127+BD128+BD133</f>
        <v>0</v>
      </c>
      <c r="BE126" s="438">
        <f>BE127+BE128+BE133</f>
        <v>0</v>
      </c>
      <c r="BF126" s="438">
        <f>BF127+BF128+BF133</f>
        <v>0</v>
      </c>
      <c r="BG126" s="438">
        <f>BG127+BG128+BG133</f>
        <v>0</v>
      </c>
      <c r="BH126" s="438">
        <f>BH127+BH128+BH133</f>
        <v>0</v>
      </c>
      <c r="BI126" s="438">
        <f>BI127+BI128+BI133</f>
        <v>0</v>
      </c>
      <c r="BJ126" s="438">
        <f>BJ127+BJ128+BJ133</f>
        <v>0</v>
      </c>
      <c r="BK126" s="438">
        <f>BK127+BK128+BK133</f>
        <v>0</v>
      </c>
      <c r="BL126" s="438">
        <f>BL127+BL128+BL133</f>
        <v>0</v>
      </c>
      <c r="BM126" s="438">
        <f>BM127+BM128+BM133</f>
        <v>0</v>
      </c>
      <c r="BN126" s="438">
        <f>BN127+BN128+BN133</f>
        <v>0</v>
      </c>
      <c r="BO126" s="438">
        <f>BO127+BO128+BO133</f>
        <v>0</v>
      </c>
      <c r="BP126" s="438">
        <f>BP127+BP128+BP133</f>
        <v>0</v>
      </c>
      <c r="BQ126" s="438">
        <f>BQ127+BQ128+BQ133</f>
        <v>0</v>
      </c>
      <c r="BR126" s="438">
        <f>BR127+BR128+BR133</f>
        <v>0</v>
      </c>
      <c r="BS126" s="438">
        <f>BS127+BS128+BS133</f>
        <v>0</v>
      </c>
      <c r="BT126" s="438">
        <f>BT127+BT128+BT133</f>
        <v>0</v>
      </c>
      <c r="BU126" s="438">
        <f>BU127+BU128+BU133</f>
        <v>0</v>
      </c>
      <c r="BV126" s="438">
        <f>BV127+BV128+BV133</f>
        <v>0</v>
      </c>
      <c r="BW126" s="1907"/>
      <c r="BX126" s="286"/>
      <c r="BY126" s="1659"/>
      <c r="BZ126" s="975" t="s">
        <v>689</v>
      </c>
      <c r="CA126" s="1077" cm="1" t="str">
        <f t="array" ref="CA126:CA126">CA125</f>
        <v>ТЭ.42.31656254.0001</v>
      </c>
      <c r="CB126" s="1076"/>
      <c r="CC126" s="1076"/>
      <c r="CD126" s="1077" t="s">
        <v>639</v>
      </c>
      <c r="CE126" s="1077" t="s">
        <v>688</v>
      </c>
      <c r="CF126" s="1076"/>
      <c r="CG126" s="1076"/>
      <c r="CH126" s="1076"/>
      <c r="CI126" s="1076"/>
      <c r="CJ126" s="1077" t="s">
        <v>303</v>
      </c>
      <c r="CK126" s="1077" t="s">
        <v>667</v>
      </c>
      <c r="CL126" s="1077" t="s">
        <v>668</v>
      </c>
    </row>
    <row s="1751" customFormat="1" customHeight="1" ht="16.5">
      <c r="A127" s="371"/>
      <c r="B127" s="1548"/>
      <c r="C127" s="1548"/>
      <c r="D127" s="1548"/>
      <c r="E127" s="180">
        <v>17</v>
      </c>
      <c r="F127" s="175" cm="1" t="str">
        <f t="array" ref="F127:F127">OFFSET(G127,-1,-1)</f>
        <v>1</v>
      </c>
      <c r="G127" s="1659"/>
      <c r="H127" s="1659"/>
      <c r="I127" s="1659"/>
      <c r="J127" s="1659"/>
      <c r="K127" s="1659"/>
      <c r="L127" s="1659"/>
      <c r="M127" s="1659"/>
      <c r="N127" s="1659"/>
      <c r="O127" s="1659"/>
      <c r="P127" s="1659"/>
      <c r="Q127" s="1659"/>
      <c r="R127" s="1659"/>
      <c r="S127" s="1659"/>
      <c r="T127" s="753" cm="1" t="str">
        <f t="array" ref="T127:T127">T126</f>
        <v>true</v>
      </c>
      <c r="U127" s="1548"/>
      <c r="V127" s="1548"/>
      <c r="W127" s="1548"/>
      <c r="X127" s="1548"/>
      <c r="Y127" s="1548"/>
      <c r="Z127" s="1548"/>
      <c r="AA127" s="286"/>
      <c r="AB127" s="423" t="str">
        <f>AB126&amp;".1"</f>
        <v>6.1.1</v>
      </c>
      <c r="AC127" s="455" t="s">
        <v>690</v>
      </c>
      <c r="AD127" s="328" t="s">
        <v>629</v>
      </c>
      <c r="AE127" s="1898"/>
      <c r="AF127" s="1898"/>
      <c r="AG127" s="1898"/>
      <c r="AH127" s="1898"/>
      <c r="AI127" s="439"/>
      <c r="AJ127" s="1898"/>
      <c r="AK127" s="1898"/>
      <c r="AL127" s="1898"/>
      <c r="AM127" s="1898"/>
      <c r="AN127" s="1898"/>
      <c r="AO127" s="1898"/>
      <c r="AP127" s="1898"/>
      <c r="AQ127" s="1898"/>
      <c r="AR127" s="1898"/>
      <c r="AS127" s="1898"/>
      <c r="AT127" s="1898"/>
      <c r="AU127" s="1898"/>
      <c r="AV127" s="1898"/>
      <c r="AW127" s="1898"/>
      <c r="AX127" s="1898"/>
      <c r="AY127" s="1898"/>
      <c r="AZ127" s="1898"/>
      <c r="BA127" s="1898"/>
      <c r="BB127" s="1898"/>
      <c r="BC127" s="439"/>
      <c r="BD127" s="1898"/>
      <c r="BE127" s="1898"/>
      <c r="BF127" s="1898"/>
      <c r="BG127" s="1898"/>
      <c r="BH127" s="1898"/>
      <c r="BI127" s="1898"/>
      <c r="BJ127" s="1898"/>
      <c r="BK127" s="1898"/>
      <c r="BL127" s="1898"/>
      <c r="BM127" s="1898"/>
      <c r="BN127" s="1898"/>
      <c r="BO127" s="1898"/>
      <c r="BP127" s="1898"/>
      <c r="BQ127" s="1898"/>
      <c r="BR127" s="1898"/>
      <c r="BS127" s="1898"/>
      <c r="BT127" s="1898"/>
      <c r="BU127" s="1898"/>
      <c r="BV127" s="1898"/>
      <c r="BW127" s="1907"/>
      <c r="BX127" s="286"/>
      <c r="BY127" s="1659"/>
      <c r="BZ127" s="975" t="s">
        <v>691</v>
      </c>
      <c r="CA127" s="1077" cm="1" t="str">
        <f t="array" ref="CA127:CA127">CA126</f>
        <v>ТЭ.42.31656254.0001</v>
      </c>
      <c r="CB127" s="1076"/>
      <c r="CC127" s="1076"/>
      <c r="CD127" s="1077" t="s">
        <v>639</v>
      </c>
      <c r="CE127" s="1077" t="s">
        <v>688</v>
      </c>
      <c r="CF127" s="1076"/>
      <c r="CG127" s="1076"/>
      <c r="CH127" s="1077" t="s">
        <v>692</v>
      </c>
      <c r="CI127" s="1076"/>
      <c r="CJ127" s="1077" t="s">
        <v>303</v>
      </c>
      <c r="CK127" s="1077" t="s">
        <v>667</v>
      </c>
      <c r="CL127" s="1077" t="s">
        <v>668</v>
      </c>
    </row>
    <row s="1751" customFormat="1" customHeight="1" ht="16.5">
      <c r="A128" s="371"/>
      <c r="B128" s="1548"/>
      <c r="C128" s="1548"/>
      <c r="D128" s="1548"/>
      <c r="E128" s="180">
        <v>17</v>
      </c>
      <c r="F128" s="175" cm="1" t="str">
        <f t="array" ref="F128:F128">OFFSET(G128,-1,-1)</f>
        <v>1</v>
      </c>
      <c r="G128" s="1659"/>
      <c r="H128" s="1659"/>
      <c r="I128" s="1659"/>
      <c r="J128" s="1659"/>
      <c r="K128" s="1659"/>
      <c r="L128" s="1659"/>
      <c r="M128" s="1659"/>
      <c r="N128" s="1659"/>
      <c r="O128" s="1659"/>
      <c r="P128" s="1659"/>
      <c r="Q128" s="1659"/>
      <c r="R128" s="1659"/>
      <c r="S128" s="1659"/>
      <c r="T128" s="753" cm="1" t="str">
        <f t="array" ref="T128:T128">T127</f>
        <v>true</v>
      </c>
      <c r="U128" s="1548"/>
      <c r="V128" s="1548"/>
      <c r="W128" s="1548"/>
      <c r="X128" s="1548"/>
      <c r="Y128" s="1548"/>
      <c r="Z128" s="1548"/>
      <c r="AA128" s="286"/>
      <c r="AB128" s="423" t="str">
        <f>AB126&amp;".2"</f>
        <v>6.1.2</v>
      </c>
      <c r="AC128" s="456" t="s">
        <v>693</v>
      </c>
      <c r="AD128" s="328" t="s">
        <v>629</v>
      </c>
      <c r="AE128" s="1898">
        <f>SUM(AE129:AE132)</f>
        <v>4383</v>
      </c>
      <c r="AF128" s="1898">
        <f>SUM(AF129:AF132)</f>
        <v>4637</v>
      </c>
      <c r="AG128" s="1898">
        <f>SUM(AG129:AG132)</f>
        <v>4637</v>
      </c>
      <c r="AH128" s="1898">
        <f>SUM(AH129:AH132)</f>
        <v>4671</v>
      </c>
      <c r="AI128" s="439">
        <f>SUM(AI129:AI132)</f>
        <v>4637</v>
      </c>
      <c r="AJ128" s="1898">
        <f>SUM(AJ129:AJ132)</f>
        <v>0</v>
      </c>
      <c r="AK128" s="1898">
        <f>SUM(AK129:AK132)</f>
        <v>0</v>
      </c>
      <c r="AL128" s="1898">
        <f>SUM(AL129:AL132)</f>
        <v>0</v>
      </c>
      <c r="AM128" s="1898">
        <f>SUM(AM129:AM132)</f>
        <v>0</v>
      </c>
      <c r="AN128" s="1898">
        <f>SUM(AN129:AN132)</f>
        <v>0</v>
      </c>
      <c r="AO128" s="1898">
        <f>SUM(AO129:AO132)</f>
        <v>0</v>
      </c>
      <c r="AP128" s="1898">
        <f>SUM(AP129:AP132)</f>
        <v>0</v>
      </c>
      <c r="AQ128" s="1898">
        <f>SUM(AQ129:AQ132)</f>
        <v>0</v>
      </c>
      <c r="AR128" s="1898">
        <f>SUM(AR129:AR132)</f>
        <v>0</v>
      </c>
      <c r="AS128" s="1898">
        <f>SUM(AS129:AS132)</f>
        <v>0</v>
      </c>
      <c r="AT128" s="1898">
        <f>SUM(AT129:AT132)</f>
        <v>0</v>
      </c>
      <c r="AU128" s="1898">
        <f>SUM(AU129:AU132)</f>
        <v>0</v>
      </c>
      <c r="AV128" s="1898">
        <f>SUM(AV129:AV132)</f>
        <v>0</v>
      </c>
      <c r="AW128" s="1898">
        <f>SUM(AW129:AW132)</f>
        <v>0</v>
      </c>
      <c r="AX128" s="1898">
        <f>SUM(AX129:AX132)</f>
        <v>0</v>
      </c>
      <c r="AY128" s="1898">
        <f>SUM(AY129:AY132)</f>
        <v>0</v>
      </c>
      <c r="AZ128" s="1898">
        <f>SUM(AZ129:AZ132)</f>
        <v>0</v>
      </c>
      <c r="BA128" s="1898">
        <f>SUM(BA129:BA132)</f>
        <v>0</v>
      </c>
      <c r="BB128" s="1898">
        <f>SUM(BB129:BB132)</f>
        <v>0</v>
      </c>
      <c r="BC128" s="439">
        <f>SUM(BC129:BC132)</f>
        <v>4637</v>
      </c>
      <c r="BD128" s="1898">
        <f>SUM(BD129:BD132)</f>
        <v>0</v>
      </c>
      <c r="BE128" s="1898">
        <f>SUM(BE129:BE132)</f>
        <v>0</v>
      </c>
      <c r="BF128" s="1898">
        <f>SUM(BF129:BF132)</f>
        <v>0</v>
      </c>
      <c r="BG128" s="1898">
        <f>SUM(BG129:BG132)</f>
        <v>0</v>
      </c>
      <c r="BH128" s="1898">
        <f>SUM(BH129:BH132)</f>
        <v>0</v>
      </c>
      <c r="BI128" s="1898">
        <f>SUM(BI129:BI132)</f>
        <v>0</v>
      </c>
      <c r="BJ128" s="1898">
        <f>SUM(BJ129:BJ132)</f>
        <v>0</v>
      </c>
      <c r="BK128" s="1898">
        <f>SUM(BK129:BK132)</f>
        <v>0</v>
      </c>
      <c r="BL128" s="1898">
        <f>SUM(BL129:BL132)</f>
        <v>0</v>
      </c>
      <c r="BM128" s="1898">
        <f>SUM(BM129:BM132)</f>
        <v>0</v>
      </c>
      <c r="BN128" s="1898">
        <f>SUM(BN129:BN132)</f>
        <v>0</v>
      </c>
      <c r="BO128" s="1898">
        <f>SUM(BO129:BO132)</f>
        <v>0</v>
      </c>
      <c r="BP128" s="1898">
        <f>SUM(BP129:BP132)</f>
        <v>0</v>
      </c>
      <c r="BQ128" s="1898">
        <f>SUM(BQ129:BQ132)</f>
        <v>0</v>
      </c>
      <c r="BR128" s="1898">
        <f>SUM(BR129:BR132)</f>
        <v>0</v>
      </c>
      <c r="BS128" s="1898">
        <f>SUM(BS129:BS132)</f>
        <v>0</v>
      </c>
      <c r="BT128" s="1898">
        <f>SUM(BT129:BT132)</f>
        <v>0</v>
      </c>
      <c r="BU128" s="1898">
        <f>SUM(BU129:BU132)</f>
        <v>0</v>
      </c>
      <c r="BV128" s="1898">
        <f>SUM(BV129:BV132)</f>
        <v>0</v>
      </c>
      <c r="BW128" s="1907"/>
      <c r="BX128" s="286"/>
      <c r="BY128" s="1659"/>
      <c r="BZ128" s="975" t="s">
        <v>694</v>
      </c>
      <c r="CA128" s="1077" cm="1" t="str">
        <f t="array" ref="CA128:CA128">CA127</f>
        <v>ТЭ.42.31656254.0001</v>
      </c>
      <c r="CB128" s="1076"/>
      <c r="CC128" s="1076"/>
      <c r="CD128" s="1077" t="s">
        <v>639</v>
      </c>
      <c r="CE128" s="1077" t="s">
        <v>688</v>
      </c>
      <c r="CF128" s="1076"/>
      <c r="CG128" s="1076"/>
      <c r="CH128" s="1077" t="s">
        <v>695</v>
      </c>
      <c r="CI128" s="1076"/>
      <c r="CJ128" s="1077" t="s">
        <v>303</v>
      </c>
      <c r="CK128" s="1077" t="s">
        <v>667</v>
      </c>
      <c r="CL128" s="1077" t="s">
        <v>668</v>
      </c>
    </row>
    <row s="1751" customFormat="1" customHeight="1" ht="16.5">
      <c r="A129" s="371"/>
      <c r="B129" s="1548"/>
      <c r="C129" s="1548"/>
      <c r="D129" s="1548"/>
      <c r="E129" s="180">
        <v>17</v>
      </c>
      <c r="F129" s="175" cm="1" t="str">
        <f t="array" ref="F129:F129">OFFSET(G129,-1,-1)</f>
        <v>1</v>
      </c>
      <c r="G129" s="1659"/>
      <c r="H129" s="1659"/>
      <c r="I129" s="1659"/>
      <c r="J129" s="1659"/>
      <c r="K129" s="1659"/>
      <c r="L129" s="1659"/>
      <c r="M129" s="1659"/>
      <c r="N129" s="1659"/>
      <c r="O129" s="1659"/>
      <c r="P129" s="1659"/>
      <c r="Q129" s="1659"/>
      <c r="R129" s="1659"/>
      <c r="S129" s="1659"/>
      <c r="T129" s="753" cm="1" t="str">
        <f t="array" ref="T129:T129">T128</f>
        <v>true</v>
      </c>
      <c r="U129" s="1548"/>
      <c r="V129" s="1548"/>
      <c r="W129" s="1548"/>
      <c r="X129" s="1548"/>
      <c r="Y129" s="1548"/>
      <c r="Z129" s="1548"/>
      <c r="AA129" s="286"/>
      <c r="AB129" s="423" t="str">
        <f>AB128&amp;".1"</f>
        <v>6.1.2.1</v>
      </c>
      <c r="AC129" s="457" t="s">
        <v>696</v>
      </c>
      <c r="AD129" s="424" t="s">
        <v>629</v>
      </c>
      <c r="AE129" s="1898"/>
      <c r="AF129" s="1898"/>
      <c r="AG129" s="1898"/>
      <c r="AH129" s="1898"/>
      <c r="AI129" s="439"/>
      <c r="AJ129" s="1898"/>
      <c r="AK129" s="1898"/>
      <c r="AL129" s="1898"/>
      <c r="AM129" s="1898"/>
      <c r="AN129" s="1898"/>
      <c r="AO129" s="1898"/>
      <c r="AP129" s="1898"/>
      <c r="AQ129" s="1898"/>
      <c r="AR129" s="1898"/>
      <c r="AS129" s="1898"/>
      <c r="AT129" s="1898"/>
      <c r="AU129" s="1898"/>
      <c r="AV129" s="1898"/>
      <c r="AW129" s="1898"/>
      <c r="AX129" s="1898"/>
      <c r="AY129" s="1898"/>
      <c r="AZ129" s="1898"/>
      <c r="BA129" s="1898"/>
      <c r="BB129" s="1898"/>
      <c r="BC129" s="439"/>
      <c r="BD129" s="1898"/>
      <c r="BE129" s="1898"/>
      <c r="BF129" s="1898"/>
      <c r="BG129" s="1898"/>
      <c r="BH129" s="1898"/>
      <c r="BI129" s="1898"/>
      <c r="BJ129" s="1898"/>
      <c r="BK129" s="1898"/>
      <c r="BL129" s="1898"/>
      <c r="BM129" s="1898"/>
      <c r="BN129" s="1898"/>
      <c r="BO129" s="1898"/>
      <c r="BP129" s="1898"/>
      <c r="BQ129" s="1898"/>
      <c r="BR129" s="1898"/>
      <c r="BS129" s="1898"/>
      <c r="BT129" s="1898"/>
      <c r="BU129" s="1898"/>
      <c r="BV129" s="1898"/>
      <c r="BW129" s="1907"/>
      <c r="BX129" s="286"/>
      <c r="BY129" s="1659"/>
      <c r="BZ129" s="975" t="s">
        <v>697</v>
      </c>
      <c r="CA129" s="1077" cm="1" t="str">
        <f t="array" ref="CA129:CA129">CA128</f>
        <v>ТЭ.42.31656254.0001</v>
      </c>
      <c r="CB129" s="1076"/>
      <c r="CC129" s="1076"/>
      <c r="CD129" s="1077" t="s">
        <v>639</v>
      </c>
      <c r="CE129" s="1077" t="s">
        <v>688</v>
      </c>
      <c r="CF129" s="1076"/>
      <c r="CG129" s="1077" t="s">
        <v>698</v>
      </c>
      <c r="CH129" s="1076"/>
      <c r="CI129" s="1076"/>
      <c r="CJ129" s="1077" t="s">
        <v>303</v>
      </c>
      <c r="CK129" s="1077" t="s">
        <v>667</v>
      </c>
      <c r="CL129" s="1077" t="s">
        <v>668</v>
      </c>
    </row>
    <row s="1751" customFormat="1" customHeight="1" ht="16.5">
      <c r="A130" s="371"/>
      <c r="B130" s="1548"/>
      <c r="C130" s="1548"/>
      <c r="D130" s="1548"/>
      <c r="E130" s="180">
        <v>17</v>
      </c>
      <c r="F130" s="175" cm="1" t="str">
        <f t="array" ref="F130:F130">OFFSET(G130,-1,-1)</f>
        <v>1</v>
      </c>
      <c r="G130" s="1659"/>
      <c r="H130" s="1659"/>
      <c r="I130" s="1659"/>
      <c r="J130" s="1659"/>
      <c r="K130" s="1659"/>
      <c r="L130" s="1659"/>
      <c r="M130" s="1659"/>
      <c r="N130" s="1659"/>
      <c r="O130" s="1659"/>
      <c r="P130" s="1659"/>
      <c r="Q130" s="1659"/>
      <c r="R130" s="1659"/>
      <c r="S130" s="1659"/>
      <c r="T130" s="753" cm="1" t="str">
        <f t="array" ref="T130:T130">T129</f>
        <v>true</v>
      </c>
      <c r="U130" s="1548"/>
      <c r="V130" s="1548"/>
      <c r="W130" s="1548"/>
      <c r="X130" s="1548"/>
      <c r="Y130" s="1548"/>
      <c r="Z130" s="1548"/>
      <c r="AA130" s="286"/>
      <c r="AB130" s="423" t="str">
        <f>AB128&amp;".2"</f>
        <v>6.1.2.2</v>
      </c>
      <c r="AC130" s="458" t="s">
        <v>699</v>
      </c>
      <c r="AD130" s="328" t="s">
        <v>629</v>
      </c>
      <c r="AE130" s="1898"/>
      <c r="AF130" s="1898"/>
      <c r="AG130" s="1898"/>
      <c r="AH130" s="1898"/>
      <c r="AI130" s="439"/>
      <c r="AJ130" s="1898"/>
      <c r="AK130" s="1898"/>
      <c r="AL130" s="1898"/>
      <c r="AM130" s="1898"/>
      <c r="AN130" s="1898"/>
      <c r="AO130" s="1898"/>
      <c r="AP130" s="1898"/>
      <c r="AQ130" s="1898"/>
      <c r="AR130" s="1898"/>
      <c r="AS130" s="1898"/>
      <c r="AT130" s="1898"/>
      <c r="AU130" s="1898"/>
      <c r="AV130" s="1898"/>
      <c r="AW130" s="1898"/>
      <c r="AX130" s="1898"/>
      <c r="AY130" s="1898"/>
      <c r="AZ130" s="1898"/>
      <c r="BA130" s="1898"/>
      <c r="BB130" s="1898"/>
      <c r="BC130" s="439"/>
      <c r="BD130" s="1898"/>
      <c r="BE130" s="1898"/>
      <c r="BF130" s="1898"/>
      <c r="BG130" s="1898"/>
      <c r="BH130" s="1898"/>
      <c r="BI130" s="1898"/>
      <c r="BJ130" s="1898"/>
      <c r="BK130" s="1898"/>
      <c r="BL130" s="1898"/>
      <c r="BM130" s="1898"/>
      <c r="BN130" s="1898"/>
      <c r="BO130" s="1898"/>
      <c r="BP130" s="1898"/>
      <c r="BQ130" s="1898"/>
      <c r="BR130" s="1898"/>
      <c r="BS130" s="1898"/>
      <c r="BT130" s="1898"/>
      <c r="BU130" s="1898"/>
      <c r="BV130" s="1898"/>
      <c r="BW130" s="1907"/>
      <c r="BX130" s="286"/>
      <c r="BY130" s="1659"/>
      <c r="BZ130" s="975" t="s">
        <v>700</v>
      </c>
      <c r="CA130" s="1077" cm="1" t="str">
        <f t="array" ref="CA130:CA130">CA129</f>
        <v>ТЭ.42.31656254.0001</v>
      </c>
      <c r="CB130" s="1076"/>
      <c r="CC130" s="1076"/>
      <c r="CD130" s="1077" t="s">
        <v>639</v>
      </c>
      <c r="CE130" s="1077" t="s">
        <v>688</v>
      </c>
      <c r="CF130" s="1077" t="s">
        <v>701</v>
      </c>
      <c r="CG130" s="1076"/>
      <c r="CH130" s="1076"/>
      <c r="CI130" s="1076"/>
      <c r="CJ130" s="1077" t="s">
        <v>303</v>
      </c>
      <c r="CK130" s="1077" t="s">
        <v>667</v>
      </c>
      <c r="CL130" s="1077" t="s">
        <v>668</v>
      </c>
    </row>
    <row s="1751" customFormat="1" customHeight="1" ht="16.5">
      <c r="A131" s="371"/>
      <c r="B131" s="1548"/>
      <c r="C131" s="1548"/>
      <c r="D131" s="1548"/>
      <c r="E131" s="180">
        <v>17</v>
      </c>
      <c r="F131" s="175" cm="1" t="str">
        <f t="array" ref="F131:F131">OFFSET(G131,-1,-1)</f>
        <v>1</v>
      </c>
      <c r="G131" s="1659"/>
      <c r="H131" s="1659"/>
      <c r="I131" s="1659"/>
      <c r="J131" s="1659"/>
      <c r="K131" s="1659"/>
      <c r="L131" s="1659"/>
      <c r="M131" s="1659"/>
      <c r="N131" s="1659"/>
      <c r="O131" s="1659"/>
      <c r="P131" s="1659"/>
      <c r="Q131" s="1659"/>
      <c r="R131" s="1659"/>
      <c r="S131" s="1659"/>
      <c r="T131" s="753" cm="1" t="str">
        <f t="array" ref="T131:T131">T130</f>
        <v>true</v>
      </c>
      <c r="U131" s="1548"/>
      <c r="V131" s="1548"/>
      <c r="W131" s="1548"/>
      <c r="X131" s="1548"/>
      <c r="Y131" s="1548"/>
      <c r="Z131" s="1548"/>
      <c r="AA131" s="286"/>
      <c r="AB131" s="423" t="str">
        <f>AB128&amp;".3"</f>
        <v>6.1.2.3</v>
      </c>
      <c r="AC131" s="458" t="s">
        <v>702</v>
      </c>
      <c r="AD131" s="328" t="s">
        <v>629</v>
      </c>
      <c r="AE131" s="1898">
        <v>404</v>
      </c>
      <c r="AF131" s="1898">
        <v>381</v>
      </c>
      <c r="AG131" s="1898">
        <v>381</v>
      </c>
      <c r="AH131" s="1898">
        <v>382</v>
      </c>
      <c r="AI131" s="439">
        <v>381</v>
      </c>
      <c r="AJ131" s="1898"/>
      <c r="AK131" s="1898"/>
      <c r="AL131" s="1898"/>
      <c r="AM131" s="1898"/>
      <c r="AN131" s="1898"/>
      <c r="AO131" s="1898"/>
      <c r="AP131" s="1898"/>
      <c r="AQ131" s="1898"/>
      <c r="AR131" s="1898"/>
      <c r="AS131" s="1898"/>
      <c r="AT131" s="1898"/>
      <c r="AU131" s="1898"/>
      <c r="AV131" s="1898"/>
      <c r="AW131" s="1898"/>
      <c r="AX131" s="1898"/>
      <c r="AY131" s="1898"/>
      <c r="AZ131" s="1898"/>
      <c r="BA131" s="1898"/>
      <c r="BB131" s="1898"/>
      <c r="BC131" s="439">
        <v>381</v>
      </c>
      <c r="BD131" s="1898"/>
      <c r="BE131" s="1898"/>
      <c r="BF131" s="1898"/>
      <c r="BG131" s="1898"/>
      <c r="BH131" s="1898"/>
      <c r="BI131" s="1898"/>
      <c r="BJ131" s="1898"/>
      <c r="BK131" s="1898"/>
      <c r="BL131" s="1898"/>
      <c r="BM131" s="1898"/>
      <c r="BN131" s="1898"/>
      <c r="BO131" s="1898"/>
      <c r="BP131" s="1898"/>
      <c r="BQ131" s="1898"/>
      <c r="BR131" s="1898"/>
      <c r="BS131" s="1898"/>
      <c r="BT131" s="1898"/>
      <c r="BU131" s="1898"/>
      <c r="BV131" s="1898"/>
      <c r="BW131" s="1907"/>
      <c r="BX131" s="286"/>
      <c r="BY131" s="1659"/>
      <c r="BZ131" s="975" t="s">
        <v>703</v>
      </c>
      <c r="CA131" s="1077" cm="1" t="str">
        <f t="array" ref="CA131:CA131">CA130</f>
        <v>ТЭ.42.31656254.0001</v>
      </c>
      <c r="CB131" s="1076"/>
      <c r="CC131" s="1076"/>
      <c r="CD131" s="1077" t="s">
        <v>639</v>
      </c>
      <c r="CE131" s="1077" t="s">
        <v>688</v>
      </c>
      <c r="CF131" s="1077" t="s">
        <v>704</v>
      </c>
      <c r="CG131" s="1076"/>
      <c r="CH131" s="1076"/>
      <c r="CI131" s="1076"/>
      <c r="CJ131" s="1077" t="s">
        <v>303</v>
      </c>
      <c r="CK131" s="1077" t="s">
        <v>667</v>
      </c>
      <c r="CL131" s="1077" t="s">
        <v>668</v>
      </c>
    </row>
    <row s="1751" customFormat="1" customHeight="1" ht="16.5">
      <c r="A132" s="371"/>
      <c r="B132" s="1548"/>
      <c r="C132" s="1548"/>
      <c r="D132" s="1548"/>
      <c r="E132" s="180">
        <v>17</v>
      </c>
      <c r="F132" s="175" cm="1" t="str">
        <f t="array" ref="F132:F132">OFFSET(G132,-1,-1)</f>
        <v>1</v>
      </c>
      <c r="G132" s="1659"/>
      <c r="H132" s="1659"/>
      <c r="I132" s="1659"/>
      <c r="J132" s="1659"/>
      <c r="K132" s="1659"/>
      <c r="L132" s="1659"/>
      <c r="M132" s="1659"/>
      <c r="N132" s="1659"/>
      <c r="O132" s="1659"/>
      <c r="P132" s="1659"/>
      <c r="Q132" s="1659"/>
      <c r="R132" s="1659"/>
      <c r="S132" s="1659"/>
      <c r="T132" s="753" cm="1" t="str">
        <f t="array" ref="T132:T132">T131</f>
        <v>true</v>
      </c>
      <c r="U132" s="1548"/>
      <c r="V132" s="1548"/>
      <c r="W132" s="1548"/>
      <c r="X132" s="1548"/>
      <c r="Y132" s="1548"/>
      <c r="Z132" s="1548"/>
      <c r="AA132" s="286"/>
      <c r="AB132" s="423" t="str">
        <f>AB128&amp;".4"</f>
        <v>6.1.2.4</v>
      </c>
      <c r="AC132" s="458" t="s">
        <v>705</v>
      </c>
      <c r="AD132" s="424" t="s">
        <v>629</v>
      </c>
      <c r="AE132" s="1898">
        <f>4383-AE131</f>
        <v>3979</v>
      </c>
      <c r="AF132" s="1898">
        <f>4637-AF131</f>
        <v>4256</v>
      </c>
      <c r="AG132" s="1898">
        <v>4256</v>
      </c>
      <c r="AH132" s="1898">
        <f>4671-AH131</f>
        <v>4289</v>
      </c>
      <c r="AI132" s="439">
        <v>4256</v>
      </c>
      <c r="AJ132" s="1898"/>
      <c r="AK132" s="1898"/>
      <c r="AL132" s="1898"/>
      <c r="AM132" s="1898"/>
      <c r="AN132" s="1898"/>
      <c r="AO132" s="1898"/>
      <c r="AP132" s="1898"/>
      <c r="AQ132" s="1898"/>
      <c r="AR132" s="1898"/>
      <c r="AS132" s="1898"/>
      <c r="AT132" s="1898"/>
      <c r="AU132" s="1898"/>
      <c r="AV132" s="1898"/>
      <c r="AW132" s="1898"/>
      <c r="AX132" s="1898"/>
      <c r="AY132" s="1898"/>
      <c r="AZ132" s="1898"/>
      <c r="BA132" s="1898"/>
      <c r="BB132" s="1898"/>
      <c r="BC132" s="439">
        <v>4256</v>
      </c>
      <c r="BD132" s="1898"/>
      <c r="BE132" s="1898"/>
      <c r="BF132" s="1898"/>
      <c r="BG132" s="1898"/>
      <c r="BH132" s="1898"/>
      <c r="BI132" s="1898"/>
      <c r="BJ132" s="1898"/>
      <c r="BK132" s="1898"/>
      <c r="BL132" s="1898"/>
      <c r="BM132" s="1898"/>
      <c r="BN132" s="1898"/>
      <c r="BO132" s="1898"/>
      <c r="BP132" s="1898"/>
      <c r="BQ132" s="1898"/>
      <c r="BR132" s="1898"/>
      <c r="BS132" s="1898"/>
      <c r="BT132" s="1898"/>
      <c r="BU132" s="1898"/>
      <c r="BV132" s="1898"/>
      <c r="BW132" s="1907"/>
      <c r="BX132" s="286"/>
      <c r="BY132" s="1659"/>
      <c r="BZ132" s="975" t="s">
        <v>706</v>
      </c>
      <c r="CA132" s="1077" cm="1" t="str">
        <f t="array" ref="CA132:CA132">CA131</f>
        <v>ТЭ.42.31656254.0001</v>
      </c>
      <c r="CB132" s="1076"/>
      <c r="CC132" s="1076"/>
      <c r="CD132" s="1077" t="s">
        <v>639</v>
      </c>
      <c r="CE132" s="1077" t="s">
        <v>688</v>
      </c>
      <c r="CF132" s="1077" t="s">
        <v>707</v>
      </c>
      <c r="CG132" s="1076"/>
      <c r="CH132" s="1076"/>
      <c r="CI132" s="1076"/>
      <c r="CJ132" s="1077" t="s">
        <v>303</v>
      </c>
      <c r="CK132" s="1077" t="s">
        <v>667</v>
      </c>
      <c r="CL132" s="1077" t="s">
        <v>668</v>
      </c>
    </row>
    <row s="1751" customFormat="1" customHeight="1" ht="16.5">
      <c r="A133" s="371"/>
      <c r="B133" s="1548"/>
      <c r="C133" s="1548"/>
      <c r="D133" s="1548"/>
      <c r="E133" s="180">
        <v>17</v>
      </c>
      <c r="F133" s="175" cm="1" t="str">
        <f t="array" ref="F133:F133">OFFSET(G133,-1,-1)</f>
        <v>1</v>
      </c>
      <c r="G133" s="1659"/>
      <c r="H133" s="1659"/>
      <c r="I133" s="1659"/>
      <c r="J133" s="1659"/>
      <c r="K133" s="1659"/>
      <c r="L133" s="1659"/>
      <c r="M133" s="1659"/>
      <c r="N133" s="1659"/>
      <c r="O133" s="1659"/>
      <c r="P133" s="1659"/>
      <c r="Q133" s="1659"/>
      <c r="R133" s="1659"/>
      <c r="S133" s="1659"/>
      <c r="T133" s="753" cm="1" t="str">
        <f t="array" ref="T133:T133">T132</f>
        <v>true</v>
      </c>
      <c r="U133" s="1548"/>
      <c r="V133" s="1548"/>
      <c r="W133" s="1548"/>
      <c r="X133" s="1548"/>
      <c r="Y133" s="1548"/>
      <c r="Z133" s="1548"/>
      <c r="AA133" s="286"/>
      <c r="AB133" s="423" t="str">
        <f>AB126&amp;".3"</f>
        <v>6.1.3</v>
      </c>
      <c r="AC133" s="459" t="s">
        <v>708</v>
      </c>
      <c r="AD133" s="424" t="s">
        <v>629</v>
      </c>
      <c r="AE133" s="1898"/>
      <c r="AF133" s="1898"/>
      <c r="AG133" s="1898"/>
      <c r="AH133" s="1898"/>
      <c r="AI133" s="439"/>
      <c r="AJ133" s="1898"/>
      <c r="AK133" s="1898"/>
      <c r="AL133" s="1898"/>
      <c r="AM133" s="1898"/>
      <c r="AN133" s="1898"/>
      <c r="AO133" s="1898"/>
      <c r="AP133" s="1898"/>
      <c r="AQ133" s="1898"/>
      <c r="AR133" s="1898"/>
      <c r="AS133" s="1898"/>
      <c r="AT133" s="1898"/>
      <c r="AU133" s="1898"/>
      <c r="AV133" s="1898"/>
      <c r="AW133" s="1898"/>
      <c r="AX133" s="1898"/>
      <c r="AY133" s="1898"/>
      <c r="AZ133" s="1898"/>
      <c r="BA133" s="1898"/>
      <c r="BB133" s="1898"/>
      <c r="BC133" s="439"/>
      <c r="BD133" s="1898"/>
      <c r="BE133" s="1898"/>
      <c r="BF133" s="1898"/>
      <c r="BG133" s="1898"/>
      <c r="BH133" s="1898"/>
      <c r="BI133" s="1898"/>
      <c r="BJ133" s="1898"/>
      <c r="BK133" s="1898"/>
      <c r="BL133" s="1898"/>
      <c r="BM133" s="1898"/>
      <c r="BN133" s="1898"/>
      <c r="BO133" s="1898"/>
      <c r="BP133" s="1898"/>
      <c r="BQ133" s="1898"/>
      <c r="BR133" s="1898"/>
      <c r="BS133" s="1898"/>
      <c r="BT133" s="1898"/>
      <c r="BU133" s="1898"/>
      <c r="BV133" s="1898"/>
      <c r="BW133" s="1907"/>
      <c r="BX133" s="286"/>
      <c r="BY133" s="1659"/>
      <c r="BZ133" s="975" t="s">
        <v>709</v>
      </c>
      <c r="CA133" s="1077" cm="1" t="str">
        <f t="array" ref="CA133:CA133">CA132</f>
        <v>ТЭ.42.31656254.0001</v>
      </c>
      <c r="CB133" s="1076"/>
      <c r="CC133" s="1076"/>
      <c r="CD133" s="1077" t="s">
        <v>639</v>
      </c>
      <c r="CE133" s="1077" t="s">
        <v>688</v>
      </c>
      <c r="CF133" s="1077" t="s">
        <v>710</v>
      </c>
      <c r="CG133" s="1076"/>
      <c r="CH133" s="1076"/>
      <c r="CI133" s="1076"/>
      <c r="CJ133" s="1077" t="s">
        <v>303</v>
      </c>
      <c r="CK133" s="1077" t="s">
        <v>667</v>
      </c>
      <c r="CL133" s="1077" t="s">
        <v>668</v>
      </c>
    </row>
    <row s="1751" customFormat="1" customHeight="1" ht="16.5">
      <c r="A134" s="371"/>
      <c r="B134" s="1548"/>
      <c r="C134" s="1548"/>
      <c r="D134" s="1548"/>
      <c r="E134" s="180">
        <v>17</v>
      </c>
      <c r="F134" s="175" cm="1" t="str">
        <f t="array" ref="F134:F134">OFFSET(G134,-1,-1)</f>
        <v>1</v>
      </c>
      <c r="G134" s="1659"/>
      <c r="H134" s="1659"/>
      <c r="I134" s="1659"/>
      <c r="J134" s="1659"/>
      <c r="K134" s="1659"/>
      <c r="L134" s="1659"/>
      <c r="M134" s="1659"/>
      <c r="N134" s="1659"/>
      <c r="O134" s="1659"/>
      <c r="P134" s="1659"/>
      <c r="Q134" s="1659"/>
      <c r="R134" s="1659"/>
      <c r="S134" s="1659"/>
      <c r="T134" s="753" cm="1" t="str">
        <f t="array" ref="T134:T134">T133</f>
        <v>true</v>
      </c>
      <c r="U134" s="1548"/>
      <c r="V134" s="1548"/>
      <c r="W134" s="1548"/>
      <c r="X134" s="1548"/>
      <c r="Y134" s="1548"/>
      <c r="Z134" s="1548"/>
      <c r="AA134" s="286"/>
      <c r="AB134" s="423" t="str">
        <f>AB125&amp;".2"</f>
        <v>6.2</v>
      </c>
      <c r="AC134" s="446" t="s">
        <v>640</v>
      </c>
      <c r="AD134" s="424" t="s">
        <v>629</v>
      </c>
      <c r="AE134" s="1898"/>
      <c r="AF134" s="1898"/>
      <c r="AG134" s="1898"/>
      <c r="AH134" s="1898"/>
      <c r="AI134" s="439"/>
      <c r="AJ134" s="1898"/>
      <c r="AK134" s="1898"/>
      <c r="AL134" s="1898"/>
      <c r="AM134" s="1898"/>
      <c r="AN134" s="1898"/>
      <c r="AO134" s="1898"/>
      <c r="AP134" s="1898"/>
      <c r="AQ134" s="1898"/>
      <c r="AR134" s="1898"/>
      <c r="AS134" s="1898"/>
      <c r="AT134" s="1898"/>
      <c r="AU134" s="1898"/>
      <c r="AV134" s="1898"/>
      <c r="AW134" s="1898"/>
      <c r="AX134" s="1898"/>
      <c r="AY134" s="1898"/>
      <c r="AZ134" s="1898"/>
      <c r="BA134" s="1898"/>
      <c r="BB134" s="1898"/>
      <c r="BC134" s="439"/>
      <c r="BD134" s="1898"/>
      <c r="BE134" s="1898"/>
      <c r="BF134" s="1898"/>
      <c r="BG134" s="1898"/>
      <c r="BH134" s="1898"/>
      <c r="BI134" s="1898"/>
      <c r="BJ134" s="1898"/>
      <c r="BK134" s="1898"/>
      <c r="BL134" s="1898"/>
      <c r="BM134" s="1898"/>
      <c r="BN134" s="1898"/>
      <c r="BO134" s="1898"/>
      <c r="BP134" s="1898"/>
      <c r="BQ134" s="1898"/>
      <c r="BR134" s="1898"/>
      <c r="BS134" s="1898"/>
      <c r="BT134" s="1898"/>
      <c r="BU134" s="1898"/>
      <c r="BV134" s="1898"/>
      <c r="BW134" s="1907"/>
      <c r="BX134" s="286"/>
      <c r="BY134" s="1659"/>
      <c r="BZ134" s="975" t="s">
        <v>711</v>
      </c>
      <c r="CA134" s="1077" cm="1" t="str">
        <f t="array" ref="CA134:CA134">CA133</f>
        <v>ТЭ.42.31656254.0001</v>
      </c>
      <c r="CB134" s="1076"/>
      <c r="CC134" s="1076"/>
      <c r="CD134" s="1077" t="s">
        <v>642</v>
      </c>
      <c r="CE134" s="1077" t="s">
        <v>688</v>
      </c>
      <c r="CF134" s="1076"/>
      <c r="CG134" s="1076"/>
      <c r="CH134" s="1076"/>
      <c r="CI134" s="1076"/>
      <c r="CJ134" s="1077" t="s">
        <v>303</v>
      </c>
      <c r="CK134" s="1077" t="s">
        <v>667</v>
      </c>
      <c r="CL134" s="1077" t="s">
        <v>668</v>
      </c>
    </row>
    <row s="1751" customFormat="1" customHeight="1" ht="16.5">
      <c r="A135" s="371"/>
      <c r="B135" s="1548"/>
      <c r="C135" s="1548"/>
      <c r="D135" s="1548"/>
      <c r="E135" s="180">
        <v>17</v>
      </c>
      <c r="F135" s="175" cm="1" t="str">
        <f t="array" ref="F135:F135">OFFSET(G135,-1,-1)</f>
        <v>1</v>
      </c>
      <c r="G135" s="1659"/>
      <c r="H135" s="1659"/>
      <c r="I135" s="1659"/>
      <c r="J135" s="1659"/>
      <c r="K135" s="1659"/>
      <c r="L135" s="1659"/>
      <c r="M135" s="1659"/>
      <c r="N135" s="1659"/>
      <c r="O135" s="1659"/>
      <c r="P135" s="1659"/>
      <c r="Q135" s="1659"/>
      <c r="R135" s="1659"/>
      <c r="S135" s="1659"/>
      <c r="T135" s="753" cm="1" t="str">
        <f t="array" ref="T135:T135">T134</f>
        <v>true</v>
      </c>
      <c r="U135" s="1548"/>
      <c r="V135" s="1548"/>
      <c r="W135" s="1548"/>
      <c r="X135" s="1548"/>
      <c r="Y135" s="1548"/>
      <c r="Z135" s="1548"/>
      <c r="AA135" s="286"/>
      <c r="AB135" s="342">
        <v>7</v>
      </c>
      <c r="AC135" s="447" t="s">
        <v>712</v>
      </c>
      <c r="AD135" s="424" t="s">
        <v>629</v>
      </c>
      <c r="AE135" s="438">
        <f>AE125-AE127</f>
        <v>4383</v>
      </c>
      <c r="AF135" s="438">
        <f>AF125-AF127</f>
        <v>4637</v>
      </c>
      <c r="AG135" s="438">
        <f>AG125-AG127</f>
        <v>4637</v>
      </c>
      <c r="AH135" s="438">
        <f>AH125-AH127</f>
        <v>4671</v>
      </c>
      <c r="AI135" s="438">
        <f>AI125-AI127</f>
        <v>4637</v>
      </c>
      <c r="AJ135" s="438">
        <f>AJ125-AJ127</f>
        <v>0</v>
      </c>
      <c r="AK135" s="438">
        <f>AK125-AK127</f>
        <v>0</v>
      </c>
      <c r="AL135" s="438">
        <f>AL125-AL127</f>
        <v>0</v>
      </c>
      <c r="AM135" s="438">
        <f>AM125-AM127</f>
        <v>0</v>
      </c>
      <c r="AN135" s="438">
        <f>AN125-AN127</f>
        <v>0</v>
      </c>
      <c r="AO135" s="438">
        <f>AO125-AO127</f>
        <v>0</v>
      </c>
      <c r="AP135" s="438">
        <f>AP125-AP127</f>
        <v>0</v>
      </c>
      <c r="AQ135" s="438">
        <f>AQ125-AQ127</f>
        <v>0</v>
      </c>
      <c r="AR135" s="438">
        <f>AR125-AR127</f>
        <v>0</v>
      </c>
      <c r="AS135" s="438">
        <f>AS125-AS127</f>
        <v>0</v>
      </c>
      <c r="AT135" s="438">
        <f>AT125-AT127</f>
        <v>0</v>
      </c>
      <c r="AU135" s="438">
        <f>AU125-AU127</f>
        <v>0</v>
      </c>
      <c r="AV135" s="438">
        <f>AV125-AV127</f>
        <v>0</v>
      </c>
      <c r="AW135" s="438">
        <f>AW125-AW127</f>
        <v>0</v>
      </c>
      <c r="AX135" s="438">
        <f>AX125-AX127</f>
        <v>0</v>
      </c>
      <c r="AY135" s="438">
        <f>AY125-AY127</f>
        <v>0</v>
      </c>
      <c r="AZ135" s="438">
        <f>AZ125-AZ127</f>
        <v>0</v>
      </c>
      <c r="BA135" s="438">
        <f>BA125-BA127</f>
        <v>0</v>
      </c>
      <c r="BB135" s="438">
        <f>BB125-BB127</f>
        <v>0</v>
      </c>
      <c r="BC135" s="438">
        <f>BC125-BC127</f>
        <v>4637</v>
      </c>
      <c r="BD135" s="438">
        <f>BD125-BD127</f>
        <v>0</v>
      </c>
      <c r="BE135" s="438">
        <f>BE125-BE127</f>
        <v>0</v>
      </c>
      <c r="BF135" s="438">
        <f>BF125-BF127</f>
        <v>0</v>
      </c>
      <c r="BG135" s="438">
        <f>BG125-BG127</f>
        <v>0</v>
      </c>
      <c r="BH135" s="438">
        <f>BH125-BH127</f>
        <v>0</v>
      </c>
      <c r="BI135" s="438">
        <f>BI125-BI127</f>
        <v>0</v>
      </c>
      <c r="BJ135" s="438">
        <f>BJ125-BJ127</f>
        <v>0</v>
      </c>
      <c r="BK135" s="438">
        <f>BK125-BK127</f>
        <v>0</v>
      </c>
      <c r="BL135" s="438">
        <f>BL125-BL127</f>
        <v>0</v>
      </c>
      <c r="BM135" s="438">
        <f>BM125-BM127</f>
        <v>0</v>
      </c>
      <c r="BN135" s="438">
        <f>BN125-BN127</f>
        <v>0</v>
      </c>
      <c r="BO135" s="438">
        <f>BO125-BO127</f>
        <v>0</v>
      </c>
      <c r="BP135" s="438">
        <f>BP125-BP127</f>
        <v>0</v>
      </c>
      <c r="BQ135" s="438">
        <f>BQ125-BQ127</f>
        <v>0</v>
      </c>
      <c r="BR135" s="438">
        <f>BR125-BR127</f>
        <v>0</v>
      </c>
      <c r="BS135" s="438">
        <f>BS125-BS127</f>
        <v>0</v>
      </c>
      <c r="BT135" s="438">
        <f>BT125-BT127</f>
        <v>0</v>
      </c>
      <c r="BU135" s="438">
        <f>BU125-BU127</f>
        <v>0</v>
      </c>
      <c r="BV135" s="438">
        <f>BV125-BV127</f>
        <v>0</v>
      </c>
      <c r="BW135" s="1907"/>
      <c r="BX135" s="286"/>
      <c r="BY135" s="1659"/>
      <c r="BZ135" s="975" t="s">
        <v>713</v>
      </c>
      <c r="CA135" s="1077" cm="1" t="str">
        <f t="array" ref="CA135:CA135">CA134</f>
        <v>ТЭ.42.31656254.0001</v>
      </c>
      <c r="CB135" s="1076"/>
      <c r="CC135" s="1076"/>
      <c r="CD135" s="1076"/>
      <c r="CE135" s="1077" t="s">
        <v>714</v>
      </c>
      <c r="CF135" s="1076"/>
      <c r="CG135" s="1076"/>
      <c r="CH135" s="1076"/>
      <c r="CI135" s="1076"/>
      <c r="CJ135" s="1077" t="s">
        <v>303</v>
      </c>
      <c r="CK135" s="1077" t="s">
        <v>667</v>
      </c>
      <c r="CL135" s="1077" t="s">
        <v>668</v>
      </c>
    </row>
    <row s="1751" customFormat="1" customHeight="1" ht="16.5">
      <c r="A136" s="371"/>
      <c r="B136" s="1548"/>
      <c r="C136" s="1548"/>
      <c r="D136" s="1548"/>
      <c r="E136" s="180">
        <v>17</v>
      </c>
      <c r="F136" s="175" cm="1" t="str">
        <f t="array" ref="F136:F136">OFFSET(G136,-1,-1)</f>
        <v>1</v>
      </c>
      <c r="G136" s="1659"/>
      <c r="H136" s="1659"/>
      <c r="I136" s="1659"/>
      <c r="J136" s="1659"/>
      <c r="K136" s="1659"/>
      <c r="L136" s="1659"/>
      <c r="M136" s="1659"/>
      <c r="N136" s="1659"/>
      <c r="O136" s="1659"/>
      <c r="P136" s="1659"/>
      <c r="Q136" s="1659"/>
      <c r="R136" s="1659"/>
      <c r="S136" s="1659"/>
      <c r="T136" s="753" cm="1" t="str">
        <f t="array" ref="T136:T136">T135</f>
        <v>true</v>
      </c>
      <c r="U136" s="1548"/>
      <c r="V136" s="1548"/>
      <c r="W136" s="1548"/>
      <c r="X136" s="1548"/>
      <c r="Y136" s="1548"/>
      <c r="Z136" s="1548"/>
      <c r="AA136" s="286"/>
      <c r="AB136" s="423" t="str">
        <f>AB135&amp;".1"</f>
        <v>7.1</v>
      </c>
      <c r="AC136" s="446" t="s">
        <v>637</v>
      </c>
      <c r="AD136" s="424" t="s">
        <v>629</v>
      </c>
      <c r="AE136" s="1898">
        <f>AE126-AE127</f>
        <v>4383</v>
      </c>
      <c r="AF136" s="1898">
        <f>AF126-AF127</f>
        <v>4637</v>
      </c>
      <c r="AG136" s="1898">
        <f>AG126-AG127</f>
        <v>4637</v>
      </c>
      <c r="AH136" s="1898">
        <f>AH126-AH127</f>
        <v>4671</v>
      </c>
      <c r="AI136" s="439">
        <f>AI126-AI127</f>
        <v>4637</v>
      </c>
      <c r="AJ136" s="1898">
        <f>AJ126-AJ127</f>
        <v>0</v>
      </c>
      <c r="AK136" s="1898">
        <f>AK126-AK127</f>
        <v>0</v>
      </c>
      <c r="AL136" s="1898">
        <f>AL126-AL127</f>
        <v>0</v>
      </c>
      <c r="AM136" s="1898">
        <f>AM126-AM127</f>
        <v>0</v>
      </c>
      <c r="AN136" s="1898">
        <f>AN126-AN127</f>
        <v>0</v>
      </c>
      <c r="AO136" s="1898">
        <f>AO126-AO127</f>
        <v>0</v>
      </c>
      <c r="AP136" s="1898">
        <f>AP126-AP127</f>
        <v>0</v>
      </c>
      <c r="AQ136" s="1898">
        <f>AQ126-AQ127</f>
        <v>0</v>
      </c>
      <c r="AR136" s="1898">
        <f>AR126-AR127</f>
        <v>0</v>
      </c>
      <c r="AS136" s="1898">
        <f>AS126-AS127</f>
        <v>0</v>
      </c>
      <c r="AT136" s="1898">
        <f>AT126-AT127</f>
        <v>0</v>
      </c>
      <c r="AU136" s="1898">
        <f>AU126-AU127</f>
        <v>0</v>
      </c>
      <c r="AV136" s="1898">
        <f>AV126-AV127</f>
        <v>0</v>
      </c>
      <c r="AW136" s="1898">
        <f>AW126-AW127</f>
        <v>0</v>
      </c>
      <c r="AX136" s="1898">
        <f>AX126-AX127</f>
        <v>0</v>
      </c>
      <c r="AY136" s="1898">
        <f>AY126-AY127</f>
        <v>0</v>
      </c>
      <c r="AZ136" s="1898">
        <f>AZ126-AZ127</f>
        <v>0</v>
      </c>
      <c r="BA136" s="1898">
        <f>BA126-BA127</f>
        <v>0</v>
      </c>
      <c r="BB136" s="1898">
        <f>BB126-BB127</f>
        <v>0</v>
      </c>
      <c r="BC136" s="439">
        <f>BC126-BC127</f>
        <v>4637</v>
      </c>
      <c r="BD136" s="1898">
        <f>BD126-BD127</f>
        <v>0</v>
      </c>
      <c r="BE136" s="1898">
        <f>BE126-BE127</f>
        <v>0</v>
      </c>
      <c r="BF136" s="1898">
        <f>BF126-BF127</f>
        <v>0</v>
      </c>
      <c r="BG136" s="1898">
        <f>BG126-BG127</f>
        <v>0</v>
      </c>
      <c r="BH136" s="1898">
        <f>BH126-BH127</f>
        <v>0</v>
      </c>
      <c r="BI136" s="1898">
        <f>BI126-BI127</f>
        <v>0</v>
      </c>
      <c r="BJ136" s="1898">
        <f>BJ126-BJ127</f>
        <v>0</v>
      </c>
      <c r="BK136" s="1898">
        <f>BK126-BK127</f>
        <v>0</v>
      </c>
      <c r="BL136" s="1898">
        <f>BL126-BL127</f>
        <v>0</v>
      </c>
      <c r="BM136" s="1898">
        <f>BM126-BM127</f>
        <v>0</v>
      </c>
      <c r="BN136" s="1898">
        <f>BN126-BN127</f>
        <v>0</v>
      </c>
      <c r="BO136" s="1898">
        <f>BO126-BO127</f>
        <v>0</v>
      </c>
      <c r="BP136" s="1898">
        <f>BP126-BP127</f>
        <v>0</v>
      </c>
      <c r="BQ136" s="1898">
        <f>BQ126-BQ127</f>
        <v>0</v>
      </c>
      <c r="BR136" s="1898">
        <f>BR126-BR127</f>
        <v>0</v>
      </c>
      <c r="BS136" s="1898">
        <f>BS126-BS127</f>
        <v>0</v>
      </c>
      <c r="BT136" s="1898">
        <f>BT126-BT127</f>
        <v>0</v>
      </c>
      <c r="BU136" s="1898">
        <f>BU126-BU127</f>
        <v>0</v>
      </c>
      <c r="BV136" s="1898">
        <f>BV126-BV127</f>
        <v>0</v>
      </c>
      <c r="BW136" s="1907"/>
      <c r="BX136" s="286"/>
      <c r="BY136" s="1659"/>
      <c r="BZ136" s="975" t="s">
        <v>715</v>
      </c>
      <c r="CA136" s="1077" cm="1" t="str">
        <f t="array" ref="CA136:CA136">CA135</f>
        <v>ТЭ.42.31656254.0001</v>
      </c>
      <c r="CB136" s="1076"/>
      <c r="CC136" s="1076"/>
      <c r="CD136" s="1077" t="s">
        <v>639</v>
      </c>
      <c r="CE136" s="1077" t="s">
        <v>714</v>
      </c>
      <c r="CF136" s="1076"/>
      <c r="CG136" s="1076"/>
      <c r="CH136" s="1076"/>
      <c r="CI136" s="1076"/>
      <c r="CJ136" s="1077" t="s">
        <v>303</v>
      </c>
      <c r="CK136" s="1077" t="s">
        <v>667</v>
      </c>
      <c r="CL136" s="1077" t="s">
        <v>668</v>
      </c>
    </row>
    <row s="1751" customFormat="1" customHeight="1" ht="16.5">
      <c r="A137" s="371"/>
      <c r="B137" s="1548"/>
      <c r="C137" s="1548"/>
      <c r="D137" s="1548"/>
      <c r="E137" s="180">
        <v>17</v>
      </c>
      <c r="F137" s="175" cm="1" t="str">
        <f t="array" ref="F137:F137">OFFSET(G137,-1,-1)</f>
        <v>1</v>
      </c>
      <c r="G137" s="1659"/>
      <c r="H137" s="1659"/>
      <c r="I137" s="1659"/>
      <c r="J137" s="1659"/>
      <c r="K137" s="1659"/>
      <c r="L137" s="1659"/>
      <c r="M137" s="1659"/>
      <c r="N137" s="1659"/>
      <c r="O137" s="1659"/>
      <c r="P137" s="1659"/>
      <c r="Q137" s="1659"/>
      <c r="R137" s="1659"/>
      <c r="S137" s="1659"/>
      <c r="T137" s="753" cm="1" t="str">
        <f t="array" ref="T137:T137">T136</f>
        <v>true</v>
      </c>
      <c r="U137" s="1548"/>
      <c r="V137" s="1548"/>
      <c r="W137" s="1548"/>
      <c r="X137" s="1548"/>
      <c r="Y137" s="1548"/>
      <c r="Z137" s="1548"/>
      <c r="AA137" s="286"/>
      <c r="AB137" s="423" t="str">
        <f>AB135&amp;".2"</f>
        <v>7.2</v>
      </c>
      <c r="AC137" s="446" t="s">
        <v>640</v>
      </c>
      <c r="AD137" s="424" t="s">
        <v>629</v>
      </c>
      <c r="AE137" s="1898" cm="1" t="str">
        <f t="array" ref="AE137:AE137">AE134</f>
        <v>0</v>
      </c>
      <c r="AF137" s="1898" cm="1" t="str">
        <f t="array" ref="AF137:AF137">AF134</f>
        <v>0</v>
      </c>
      <c r="AG137" s="1898" cm="1" t="str">
        <f t="array" ref="AG137:AG137">AG134</f>
        <v>0</v>
      </c>
      <c r="AH137" s="1898" cm="1" t="str">
        <f t="array" ref="AH137:AH137">AH134</f>
        <v>0</v>
      </c>
      <c r="AI137" s="439" cm="1" t="str">
        <f t="array" ref="AI137:AI137">AI134</f>
        <v>0</v>
      </c>
      <c r="AJ137" s="1898" cm="1" t="str">
        <f t="array" ref="AJ137:AJ137">AJ134</f>
        <v>0</v>
      </c>
      <c r="AK137" s="1898" cm="1" t="str">
        <f t="array" ref="AK137:AK137">AK134</f>
        <v>0</v>
      </c>
      <c r="AL137" s="1898" cm="1" t="str">
        <f t="array" ref="AL137:AL137">AL134</f>
        <v>0</v>
      </c>
      <c r="AM137" s="1898" cm="1" t="str">
        <f t="array" ref="AM137:AM137">AM134</f>
        <v>0</v>
      </c>
      <c r="AN137" s="1898" cm="1" t="str">
        <f t="array" ref="AN137:AN137">AN134</f>
        <v>0</v>
      </c>
      <c r="AO137" s="1898" cm="1" t="str">
        <f t="array" ref="AO137:AO137">AO134</f>
        <v>0</v>
      </c>
      <c r="AP137" s="1898" cm="1" t="str">
        <f t="array" ref="AP137:AP137">AP134</f>
        <v>0</v>
      </c>
      <c r="AQ137" s="1898" cm="1" t="str">
        <f t="array" ref="AQ137:AQ137">AQ134</f>
        <v>0</v>
      </c>
      <c r="AR137" s="1898" cm="1" t="str">
        <f t="array" ref="AR137:AR137">AR134</f>
        <v>0</v>
      </c>
      <c r="AS137" s="1898" cm="1" t="str">
        <f t="array" ref="AS137:AS137">AS134</f>
        <v>0</v>
      </c>
      <c r="AT137" s="1898" cm="1" t="str">
        <f t="array" ref="AT137:AT137">AT134</f>
        <v>0</v>
      </c>
      <c r="AU137" s="1898" cm="1" t="str">
        <f t="array" ref="AU137:AU137">AU134</f>
        <v>0</v>
      </c>
      <c r="AV137" s="1898" cm="1" t="str">
        <f t="array" ref="AV137:AV137">AV134</f>
        <v>0</v>
      </c>
      <c r="AW137" s="1898" cm="1" t="str">
        <f t="array" ref="AW137:AW137">AW134</f>
        <v>0</v>
      </c>
      <c r="AX137" s="1898" cm="1" t="str">
        <f t="array" ref="AX137:AX137">AX134</f>
        <v>0</v>
      </c>
      <c r="AY137" s="1898" cm="1" t="str">
        <f t="array" ref="AY137:AY137">AY134</f>
        <v>0</v>
      </c>
      <c r="AZ137" s="1898" cm="1" t="str">
        <f t="array" ref="AZ137:AZ137">AZ134</f>
        <v>0</v>
      </c>
      <c r="BA137" s="1898" cm="1" t="str">
        <f t="array" ref="BA137:BA137">BA134</f>
        <v>0</v>
      </c>
      <c r="BB137" s="1898" cm="1" t="str">
        <f t="array" ref="BB137:BB137">BB134</f>
        <v>0</v>
      </c>
      <c r="BC137" s="439" cm="1" t="str">
        <f t="array" ref="BC137:BC137">BC134</f>
        <v>0</v>
      </c>
      <c r="BD137" s="1898" cm="1" t="str">
        <f t="array" ref="BD137:BD137">BD134</f>
        <v>0</v>
      </c>
      <c r="BE137" s="1898" cm="1" t="str">
        <f t="array" ref="BE137:BE137">BE134</f>
        <v>0</v>
      </c>
      <c r="BF137" s="1898" cm="1" t="str">
        <f t="array" ref="BF137:BF137">BF134</f>
        <v>0</v>
      </c>
      <c r="BG137" s="1898" cm="1" t="str">
        <f t="array" ref="BG137:BG137">BG134</f>
        <v>0</v>
      </c>
      <c r="BH137" s="1898" cm="1" t="str">
        <f t="array" ref="BH137:BH137">BH134</f>
        <v>0</v>
      </c>
      <c r="BI137" s="1898" cm="1" t="str">
        <f t="array" ref="BI137:BI137">BI134</f>
        <v>0</v>
      </c>
      <c r="BJ137" s="1898" cm="1" t="str">
        <f t="array" ref="BJ137:BJ137">BJ134</f>
        <v>0</v>
      </c>
      <c r="BK137" s="1898" cm="1" t="str">
        <f t="array" ref="BK137:BK137">BK134</f>
        <v>0</v>
      </c>
      <c r="BL137" s="1898" cm="1" t="str">
        <f t="array" ref="BL137:BL137">BL134</f>
        <v>0</v>
      </c>
      <c r="BM137" s="1898" cm="1" t="str">
        <f t="array" ref="BM137:BM137">BM134</f>
        <v>0</v>
      </c>
      <c r="BN137" s="1898" cm="1" t="str">
        <f t="array" ref="BN137:BN137">BN134</f>
        <v>0</v>
      </c>
      <c r="BO137" s="1898" cm="1" t="str">
        <f t="array" ref="BO137:BO137">BO134</f>
        <v>0</v>
      </c>
      <c r="BP137" s="1898" cm="1" t="str">
        <f t="array" ref="BP137:BP137">BP134</f>
        <v>0</v>
      </c>
      <c r="BQ137" s="1898" cm="1" t="str">
        <f t="array" ref="BQ137:BQ137">BQ134</f>
        <v>0</v>
      </c>
      <c r="BR137" s="1898" cm="1" t="str">
        <f t="array" ref="BR137:BR137">BR134</f>
        <v>0</v>
      </c>
      <c r="BS137" s="1898" cm="1" t="str">
        <f t="array" ref="BS137:BS137">BS134</f>
        <v>0</v>
      </c>
      <c r="BT137" s="1898" cm="1" t="str">
        <f t="array" ref="BT137:BT137">BT134</f>
        <v>0</v>
      </c>
      <c r="BU137" s="1898" cm="1" t="str">
        <f t="array" ref="BU137:BU137">BU134</f>
        <v>0</v>
      </c>
      <c r="BV137" s="1898" cm="1" t="str">
        <f t="array" ref="BV137:BV137">BV134</f>
        <v>0</v>
      </c>
      <c r="BW137" s="1907"/>
      <c r="BX137" s="286"/>
      <c r="BY137" s="1659"/>
      <c r="BZ137" s="975" t="s">
        <v>716</v>
      </c>
      <c r="CA137" s="1077" cm="1" t="str">
        <f t="array" ref="CA137:CA137">CA136</f>
        <v>ТЭ.42.31656254.0001</v>
      </c>
      <c r="CB137" s="1076"/>
      <c r="CC137" s="1076"/>
      <c r="CD137" s="1077" t="s">
        <v>642</v>
      </c>
      <c r="CE137" s="1077" t="s">
        <v>714</v>
      </c>
      <c r="CF137" s="1076"/>
      <c r="CG137" s="1076"/>
      <c r="CH137" s="1076"/>
      <c r="CI137" s="1076"/>
      <c r="CJ137" s="1077" t="s">
        <v>303</v>
      </c>
      <c r="CK137" s="1077" t="s">
        <v>667</v>
      </c>
      <c r="CL137" s="1077" t="s">
        <v>668</v>
      </c>
    </row>
    <row s="1751" customFormat="1" customHeight="1" ht="33">
      <c r="A138" s="371"/>
      <c r="B138" s="1548"/>
      <c r="C138" s="1548"/>
      <c r="D138" s="1548"/>
      <c r="E138" s="180">
        <v>34</v>
      </c>
      <c r="F138" s="175" cm="1" t="str">
        <f t="array" ref="F138:F138">OFFSET(G138,-1,-1)</f>
        <v>1</v>
      </c>
      <c r="G138" s="1659"/>
      <c r="H138" s="1659"/>
      <c r="I138" s="1659"/>
      <c r="J138" s="1659"/>
      <c r="K138" s="1659"/>
      <c r="L138" s="1659"/>
      <c r="M138" s="1659"/>
      <c r="N138" s="1659"/>
      <c r="O138" s="1659"/>
      <c r="P138" s="1659"/>
      <c r="Q138" s="1659"/>
      <c r="R138" s="1659"/>
      <c r="S138" s="1659"/>
      <c r="T138" s="753" cm="1" t="str">
        <f t="array" ref="T138:T138">T137</f>
        <v>true</v>
      </c>
      <c r="U138" s="1548"/>
      <c r="V138" s="1548"/>
      <c r="W138" s="1548"/>
      <c r="X138" s="1548"/>
      <c r="Y138" s="1548"/>
      <c r="Z138" s="1548"/>
      <c r="AA138" s="286"/>
      <c r="AB138" s="342">
        <v>8</v>
      </c>
      <c r="AC138" s="447" t="s">
        <v>717</v>
      </c>
      <c r="AD138" s="424" t="s">
        <v>629</v>
      </c>
      <c r="AE138" s="438">
        <f>AE135-AE143</f>
        <v>0</v>
      </c>
      <c r="AF138" s="438">
        <f>AF135-AF143</f>
        <v>0</v>
      </c>
      <c r="AG138" s="438">
        <f>AG135-AG143</f>
        <v>0</v>
      </c>
      <c r="AH138" s="438">
        <f>AH135-AH143</f>
        <v>0</v>
      </c>
      <c r="AI138" s="438">
        <f>AI135-AI143</f>
        <v>0</v>
      </c>
      <c r="AJ138" s="438">
        <f>AJ135-AJ143</f>
        <v>0</v>
      </c>
      <c r="AK138" s="438">
        <f>AK135-AK143</f>
        <v>0</v>
      </c>
      <c r="AL138" s="438">
        <f>AL135-AL143</f>
        <v>0</v>
      </c>
      <c r="AM138" s="438">
        <f>AM135-AM143</f>
        <v>0</v>
      </c>
      <c r="AN138" s="438">
        <f>AN135-AN143</f>
        <v>0</v>
      </c>
      <c r="AO138" s="438">
        <f>AO135-AO143</f>
        <v>0</v>
      </c>
      <c r="AP138" s="438">
        <f>AP135-AP143</f>
        <v>0</v>
      </c>
      <c r="AQ138" s="438">
        <f>AQ135-AQ143</f>
        <v>0</v>
      </c>
      <c r="AR138" s="438">
        <f>AR135-AR143</f>
        <v>0</v>
      </c>
      <c r="AS138" s="438">
        <f>AS135-AS143</f>
        <v>0</v>
      </c>
      <c r="AT138" s="438">
        <f>AT135-AT143</f>
        <v>0</v>
      </c>
      <c r="AU138" s="438">
        <f>AU135-AU143</f>
        <v>0</v>
      </c>
      <c r="AV138" s="438">
        <f>AV135-AV143</f>
        <v>0</v>
      </c>
      <c r="AW138" s="438">
        <f>AW135-AW143</f>
        <v>0</v>
      </c>
      <c r="AX138" s="438">
        <f>AX135-AX143</f>
        <v>0</v>
      </c>
      <c r="AY138" s="438">
        <f>AY135-AY143</f>
        <v>0</v>
      </c>
      <c r="AZ138" s="438">
        <f>AZ135-AZ143</f>
        <v>0</v>
      </c>
      <c r="BA138" s="438">
        <f>BA135-BA143</f>
        <v>0</v>
      </c>
      <c r="BB138" s="438">
        <f>BB135-BB143</f>
        <v>0</v>
      </c>
      <c r="BC138" s="438">
        <f>BC135-BC143</f>
        <v>0</v>
      </c>
      <c r="BD138" s="438">
        <f>BD135-BD143</f>
        <v>0</v>
      </c>
      <c r="BE138" s="438">
        <f>BE135-BE143</f>
        <v>0</v>
      </c>
      <c r="BF138" s="438">
        <f>BF135-BF143</f>
        <v>0</v>
      </c>
      <c r="BG138" s="438">
        <f>BG135-BG143</f>
        <v>0</v>
      </c>
      <c r="BH138" s="438">
        <f>BH135-BH143</f>
        <v>0</v>
      </c>
      <c r="BI138" s="438">
        <f>BI135-BI143</f>
        <v>0</v>
      </c>
      <c r="BJ138" s="438">
        <f>BJ135-BJ143</f>
        <v>0</v>
      </c>
      <c r="BK138" s="438">
        <f>BK135-BK143</f>
        <v>0</v>
      </c>
      <c r="BL138" s="438">
        <f>BL135-BL143</f>
        <v>0</v>
      </c>
      <c r="BM138" s="438">
        <f>BM135-BM143</f>
        <v>0</v>
      </c>
      <c r="BN138" s="438">
        <f>BN135-BN143</f>
        <v>0</v>
      </c>
      <c r="BO138" s="438">
        <f>BO135-BO143</f>
        <v>0</v>
      </c>
      <c r="BP138" s="438">
        <f>BP135-BP143</f>
        <v>0</v>
      </c>
      <c r="BQ138" s="438">
        <f>BQ135-BQ143</f>
        <v>0</v>
      </c>
      <c r="BR138" s="438">
        <f>BR135-BR143</f>
        <v>0</v>
      </c>
      <c r="BS138" s="438">
        <f>BS135-BS143</f>
        <v>0</v>
      </c>
      <c r="BT138" s="438">
        <f>BT135-BT143</f>
        <v>0</v>
      </c>
      <c r="BU138" s="438">
        <f>BU135-BU143</f>
        <v>0</v>
      </c>
      <c r="BV138" s="438">
        <f>BV135-BV143</f>
        <v>0</v>
      </c>
      <c r="BW138" s="1907"/>
      <c r="BX138" s="286"/>
      <c r="BY138" s="1659"/>
      <c r="BZ138" s="975" t="s">
        <v>718</v>
      </c>
      <c r="CA138" s="1077" cm="1" t="str">
        <f t="array" ref="CA138:CA138">CA137</f>
        <v>ТЭ.42.31656254.0001</v>
      </c>
      <c r="CB138" s="1076"/>
      <c r="CC138" s="1076"/>
      <c r="CD138" s="1076"/>
      <c r="CE138" s="1076"/>
      <c r="CF138" s="1076"/>
      <c r="CG138" s="1077" t="s">
        <v>698</v>
      </c>
      <c r="CH138" s="1076"/>
      <c r="CI138" s="1077" t="s">
        <v>219</v>
      </c>
      <c r="CJ138" s="1077" t="s">
        <v>303</v>
      </c>
      <c r="CK138" s="1077" t="s">
        <v>719</v>
      </c>
      <c r="CL138" s="1077" t="s">
        <v>720</v>
      </c>
    </row>
    <row s="1751" customFormat="1" customHeight="1" ht="16.5">
      <c r="A139" s="371"/>
      <c r="B139" s="1548"/>
      <c r="C139" s="1548"/>
      <c r="D139" s="1548"/>
      <c r="E139" s="180">
        <v>17</v>
      </c>
      <c r="F139" s="175" cm="1" t="str">
        <f t="array" ref="F139:F139">OFFSET(G139,-1,-1)</f>
        <v>1</v>
      </c>
      <c r="G139" s="1659"/>
      <c r="H139" s="1659"/>
      <c r="I139" s="1659"/>
      <c r="J139" s="1659"/>
      <c r="K139" s="1659"/>
      <c r="L139" s="1659"/>
      <c r="M139" s="1659"/>
      <c r="N139" s="1659"/>
      <c r="O139" s="1659"/>
      <c r="P139" s="1659"/>
      <c r="Q139" s="1659"/>
      <c r="R139" s="1659"/>
      <c r="S139" s="1659"/>
      <c r="T139" s="753" cm="1" t="str">
        <f t="array" ref="T139:T139">T138</f>
        <v>true</v>
      </c>
      <c r="U139" s="1548"/>
      <c r="V139" s="1548"/>
      <c r="W139" s="1548"/>
      <c r="X139" s="1548"/>
      <c r="Y139" s="1548"/>
      <c r="Z139" s="1548"/>
      <c r="AA139" s="286"/>
      <c r="AB139" s="423" t="str">
        <f>AB138&amp;".1"</f>
        <v>8.1</v>
      </c>
      <c r="AC139" s="446" t="s">
        <v>637</v>
      </c>
      <c r="AD139" s="424" t="s">
        <v>629</v>
      </c>
      <c r="AE139" s="1898"/>
      <c r="AF139" s="1898"/>
      <c r="AG139" s="1898"/>
      <c r="AH139" s="1898"/>
      <c r="AI139" s="439"/>
      <c r="AJ139" s="1898"/>
      <c r="AK139" s="1898"/>
      <c r="AL139" s="1898"/>
      <c r="AM139" s="1898"/>
      <c r="AN139" s="1898"/>
      <c r="AO139" s="1898"/>
      <c r="AP139" s="1898"/>
      <c r="AQ139" s="1898"/>
      <c r="AR139" s="1898"/>
      <c r="AS139" s="1898"/>
      <c r="AT139" s="1898"/>
      <c r="AU139" s="1898"/>
      <c r="AV139" s="1898"/>
      <c r="AW139" s="1898"/>
      <c r="AX139" s="1898"/>
      <c r="AY139" s="1898"/>
      <c r="AZ139" s="1898"/>
      <c r="BA139" s="1898"/>
      <c r="BB139" s="1898"/>
      <c r="BC139" s="439"/>
      <c r="BD139" s="1898"/>
      <c r="BE139" s="1898"/>
      <c r="BF139" s="1898"/>
      <c r="BG139" s="1898"/>
      <c r="BH139" s="1898"/>
      <c r="BI139" s="1898"/>
      <c r="BJ139" s="1898"/>
      <c r="BK139" s="1898"/>
      <c r="BL139" s="1898"/>
      <c r="BM139" s="1898"/>
      <c r="BN139" s="1898"/>
      <c r="BO139" s="1898"/>
      <c r="BP139" s="1898"/>
      <c r="BQ139" s="1898"/>
      <c r="BR139" s="1898"/>
      <c r="BS139" s="1898"/>
      <c r="BT139" s="1898"/>
      <c r="BU139" s="1898"/>
      <c r="BV139" s="1898"/>
      <c r="BW139" s="1907"/>
      <c r="BX139" s="286"/>
      <c r="BY139" s="1659"/>
      <c r="BZ139" s="975" t="s">
        <v>721</v>
      </c>
      <c r="CA139" s="1077" cm="1" t="str">
        <f t="array" ref="CA139:CA139">CA138</f>
        <v>ТЭ.42.31656254.0001</v>
      </c>
      <c r="CB139" s="1076"/>
      <c r="CC139" s="1076"/>
      <c r="CD139" s="1077" t="s">
        <v>639</v>
      </c>
      <c r="CE139" s="1076"/>
      <c r="CF139" s="1076"/>
      <c r="CG139" s="1077" t="s">
        <v>698</v>
      </c>
      <c r="CH139" s="1076"/>
      <c r="CI139" s="1077" t="s">
        <v>219</v>
      </c>
      <c r="CJ139" s="1077" t="s">
        <v>303</v>
      </c>
      <c r="CK139" s="1077" t="s">
        <v>719</v>
      </c>
      <c r="CL139" s="1077" t="s">
        <v>720</v>
      </c>
    </row>
    <row s="1751" customFormat="1" customHeight="1" ht="16.5">
      <c r="A140" s="371"/>
      <c r="B140" s="1548"/>
      <c r="C140" s="1548"/>
      <c r="D140" s="1548"/>
      <c r="E140" s="180">
        <v>17</v>
      </c>
      <c r="F140" s="175" cm="1" t="str">
        <f t="array" ref="F140:F140">OFFSET(G140,-1,-1)</f>
        <v>1</v>
      </c>
      <c r="G140" s="1659"/>
      <c r="H140" s="1659"/>
      <c r="I140" s="1659"/>
      <c r="J140" s="1659"/>
      <c r="K140" s="1659"/>
      <c r="L140" s="1659"/>
      <c r="M140" s="1659"/>
      <c r="N140" s="1659"/>
      <c r="O140" s="1659"/>
      <c r="P140" s="1659"/>
      <c r="Q140" s="1659"/>
      <c r="R140" s="1659"/>
      <c r="S140" s="1659"/>
      <c r="T140" s="753" cm="1" t="str">
        <f t="array" ref="T140:T140">T139</f>
        <v>true</v>
      </c>
      <c r="U140" s="1548"/>
      <c r="V140" s="1548"/>
      <c r="W140" s="1548"/>
      <c r="X140" s="1548"/>
      <c r="Y140" s="1548"/>
      <c r="Z140" s="1548"/>
      <c r="AA140" s="286"/>
      <c r="AB140" s="423" t="str">
        <f>AB139&amp;".1"</f>
        <v>8.1.1</v>
      </c>
      <c r="AC140" s="460" t="s">
        <v>722</v>
      </c>
      <c r="AD140" s="424" t="s">
        <v>495</v>
      </c>
      <c r="AE140" s="461">
        <f>_xlfn.IFERROR(AE139/AE136,0)</f>
        <v>0</v>
      </c>
      <c r="AF140" s="461">
        <f>_xlfn.IFERROR(AF139/AF136,0)</f>
        <v>0</v>
      </c>
      <c r="AG140" s="461">
        <f>_xlfn.IFERROR(AG139/AG136,0)</f>
        <v>0</v>
      </c>
      <c r="AH140" s="461">
        <f>_xlfn.IFERROR(AH139/AH136,0)</f>
        <v>0</v>
      </c>
      <c r="AI140" s="461">
        <f>_xlfn.IFERROR(AI139/AI136,0)</f>
        <v>0</v>
      </c>
      <c r="AJ140" s="461">
        <f>_xlfn.IFERROR(AJ139/AJ136,0)</f>
        <v>0</v>
      </c>
      <c r="AK140" s="461">
        <f>_xlfn.IFERROR(AK139/AK136,0)</f>
        <v>0</v>
      </c>
      <c r="AL140" s="461">
        <f>_xlfn.IFERROR(AL139/AL136,0)</f>
        <v>0</v>
      </c>
      <c r="AM140" s="461">
        <f>_xlfn.IFERROR(AM139/AM136,0)</f>
        <v>0</v>
      </c>
      <c r="AN140" s="461">
        <f>_xlfn.IFERROR(AN139/AN136,0)</f>
        <v>0</v>
      </c>
      <c r="AO140" s="461">
        <f>_xlfn.IFERROR(AO139/AO136,0)</f>
        <v>0</v>
      </c>
      <c r="AP140" s="461">
        <f>_xlfn.IFERROR(AP139/AP136,0)</f>
        <v>0</v>
      </c>
      <c r="AQ140" s="461">
        <f>_xlfn.IFERROR(AQ139/AQ136,0)</f>
        <v>0</v>
      </c>
      <c r="AR140" s="461">
        <f>_xlfn.IFERROR(AR139/AR136,0)</f>
        <v>0</v>
      </c>
      <c r="AS140" s="461">
        <f>_xlfn.IFERROR(AS139/AS136,0)</f>
        <v>0</v>
      </c>
      <c r="AT140" s="461">
        <f>_xlfn.IFERROR(AT139/AT136,0)</f>
        <v>0</v>
      </c>
      <c r="AU140" s="461">
        <f>_xlfn.IFERROR(AU139/AU136,0)</f>
        <v>0</v>
      </c>
      <c r="AV140" s="461">
        <f>_xlfn.IFERROR(AV139/AV136,0)</f>
        <v>0</v>
      </c>
      <c r="AW140" s="461">
        <f>_xlfn.IFERROR(AW139/AW136,0)</f>
        <v>0</v>
      </c>
      <c r="AX140" s="461">
        <f>_xlfn.IFERROR(AX139/AX136,0)</f>
        <v>0</v>
      </c>
      <c r="AY140" s="461">
        <f>_xlfn.IFERROR(AY139/AY136,0)</f>
        <v>0</v>
      </c>
      <c r="AZ140" s="461">
        <f>_xlfn.IFERROR(AZ139/AZ136,0)</f>
        <v>0</v>
      </c>
      <c r="BA140" s="461">
        <f>_xlfn.IFERROR(BA139/BA136,0)</f>
        <v>0</v>
      </c>
      <c r="BB140" s="461">
        <f>_xlfn.IFERROR(BB139/BB136,0)</f>
        <v>0</v>
      </c>
      <c r="BC140" s="461">
        <f>_xlfn.IFERROR(BC139/BC136,0)</f>
        <v>0</v>
      </c>
      <c r="BD140" s="461">
        <f>_xlfn.IFERROR(BD139/BD136,0)</f>
        <v>0</v>
      </c>
      <c r="BE140" s="461">
        <f>_xlfn.IFERROR(BE139/BE136,0)</f>
        <v>0</v>
      </c>
      <c r="BF140" s="461">
        <f>_xlfn.IFERROR(BF139/BF136,0)</f>
        <v>0</v>
      </c>
      <c r="BG140" s="461">
        <f>_xlfn.IFERROR(BG139/BG136,0)</f>
        <v>0</v>
      </c>
      <c r="BH140" s="461">
        <f>_xlfn.IFERROR(BH139/BH136,0)</f>
        <v>0</v>
      </c>
      <c r="BI140" s="461">
        <f>_xlfn.IFERROR(BI139/BI136,0)</f>
        <v>0</v>
      </c>
      <c r="BJ140" s="461">
        <f>_xlfn.IFERROR(BJ139/BJ136,0)</f>
        <v>0</v>
      </c>
      <c r="BK140" s="461">
        <f>_xlfn.IFERROR(BK139/BK136,0)</f>
        <v>0</v>
      </c>
      <c r="BL140" s="461">
        <f>_xlfn.IFERROR(BL139/BL136,0)</f>
        <v>0</v>
      </c>
      <c r="BM140" s="461">
        <f>_xlfn.IFERROR(BM139/BM136,0)</f>
        <v>0</v>
      </c>
      <c r="BN140" s="461">
        <f>_xlfn.IFERROR(BN139/BN136,0)</f>
        <v>0</v>
      </c>
      <c r="BO140" s="461">
        <f>_xlfn.IFERROR(BO139/BO136,0)</f>
        <v>0</v>
      </c>
      <c r="BP140" s="461">
        <f>_xlfn.IFERROR(BP139/BP136,0)</f>
        <v>0</v>
      </c>
      <c r="BQ140" s="461">
        <f>_xlfn.IFERROR(BQ139/BQ136,0)</f>
        <v>0</v>
      </c>
      <c r="BR140" s="461">
        <f>_xlfn.IFERROR(BR139/BR136,0)</f>
        <v>0</v>
      </c>
      <c r="BS140" s="461">
        <f>_xlfn.IFERROR(BS139/BS136,0)</f>
        <v>0</v>
      </c>
      <c r="BT140" s="461">
        <f>_xlfn.IFERROR(BT139/BT136,0)</f>
        <v>0</v>
      </c>
      <c r="BU140" s="461">
        <f>_xlfn.IFERROR(BU139/BU136,0)</f>
        <v>0</v>
      </c>
      <c r="BV140" s="461">
        <f>_xlfn.IFERROR(BV139/BV136,0)</f>
        <v>0</v>
      </c>
      <c r="BW140" s="1907"/>
      <c r="BX140" s="286"/>
      <c r="BY140" s="1659"/>
      <c r="BZ140" s="975" t="s">
        <v>723</v>
      </c>
      <c r="CA140" s="1077" cm="1" t="str">
        <f t="array" ref="CA140:CA140">CA139</f>
        <v>ТЭ.42.31656254.0001</v>
      </c>
      <c r="CB140" s="1076"/>
      <c r="CC140" s="1076"/>
      <c r="CD140" s="1077" t="s">
        <v>639</v>
      </c>
      <c r="CE140" s="1076"/>
      <c r="CF140" s="1076"/>
      <c r="CG140" s="1077" t="s">
        <v>698</v>
      </c>
      <c r="CH140" s="1076"/>
      <c r="CI140" s="1077" t="s">
        <v>255</v>
      </c>
      <c r="CJ140" s="1077" t="s">
        <v>303</v>
      </c>
      <c r="CK140" s="1077" t="s">
        <v>724</v>
      </c>
      <c r="CL140" s="1077" t="s">
        <v>725</v>
      </c>
    </row>
    <row s="1751" customFormat="1" customHeight="1" ht="16.5">
      <c r="A141" s="371"/>
      <c r="B141" s="1548"/>
      <c r="C141" s="1548"/>
      <c r="D141" s="1548"/>
      <c r="E141" s="180">
        <v>17</v>
      </c>
      <c r="F141" s="175" cm="1" t="str">
        <f t="array" ref="F141:F141">OFFSET(G141,-1,-1)</f>
        <v>1</v>
      </c>
      <c r="G141" s="1659"/>
      <c r="H141" s="1659"/>
      <c r="I141" s="1659"/>
      <c r="J141" s="1659"/>
      <c r="K141" s="1659"/>
      <c r="L141" s="1659"/>
      <c r="M141" s="1659"/>
      <c r="N141" s="1659"/>
      <c r="O141" s="1659"/>
      <c r="P141" s="1659"/>
      <c r="Q141" s="1659"/>
      <c r="R141" s="1659"/>
      <c r="S141" s="1659"/>
      <c r="T141" s="753" cm="1" t="str">
        <f t="array" ref="T141:T141">T140</f>
        <v>true</v>
      </c>
      <c r="U141" s="1548"/>
      <c r="V141" s="1548"/>
      <c r="W141" s="1548"/>
      <c r="X141" s="1548"/>
      <c r="Y141" s="1548"/>
      <c r="Z141" s="1548"/>
      <c r="AA141" s="286"/>
      <c r="AB141" s="423" t="str">
        <f>AB138&amp;".2"</f>
        <v>8.2</v>
      </c>
      <c r="AC141" s="446" t="s">
        <v>640</v>
      </c>
      <c r="AD141" s="424" t="s">
        <v>629</v>
      </c>
      <c r="AE141" s="1898"/>
      <c r="AF141" s="1898"/>
      <c r="AG141" s="1898"/>
      <c r="AH141" s="1898"/>
      <c r="AI141" s="439"/>
      <c r="AJ141" s="1898"/>
      <c r="AK141" s="1898"/>
      <c r="AL141" s="1898"/>
      <c r="AM141" s="1898"/>
      <c r="AN141" s="1898"/>
      <c r="AO141" s="1898"/>
      <c r="AP141" s="1898"/>
      <c r="AQ141" s="1898"/>
      <c r="AR141" s="1898"/>
      <c r="AS141" s="1898"/>
      <c r="AT141" s="1898"/>
      <c r="AU141" s="1898"/>
      <c r="AV141" s="1898"/>
      <c r="AW141" s="1898"/>
      <c r="AX141" s="1898"/>
      <c r="AY141" s="1898"/>
      <c r="AZ141" s="1898"/>
      <c r="BA141" s="1898"/>
      <c r="BB141" s="1898"/>
      <c r="BC141" s="439"/>
      <c r="BD141" s="1898"/>
      <c r="BE141" s="1898"/>
      <c r="BF141" s="1898"/>
      <c r="BG141" s="1898"/>
      <c r="BH141" s="1898"/>
      <c r="BI141" s="1898"/>
      <c r="BJ141" s="1898"/>
      <c r="BK141" s="1898"/>
      <c r="BL141" s="1898"/>
      <c r="BM141" s="1898"/>
      <c r="BN141" s="1898"/>
      <c r="BO141" s="1898"/>
      <c r="BP141" s="1898"/>
      <c r="BQ141" s="1898"/>
      <c r="BR141" s="1898"/>
      <c r="BS141" s="1898"/>
      <c r="BT141" s="1898"/>
      <c r="BU141" s="1898"/>
      <c r="BV141" s="1898"/>
      <c r="BW141" s="1907"/>
      <c r="BX141" s="286"/>
      <c r="BY141" s="1659"/>
      <c r="BZ141" s="975" t="s">
        <v>726</v>
      </c>
      <c r="CA141" s="1077" cm="1" t="str">
        <f t="array" ref="CA141:CA141">CA140</f>
        <v>ТЭ.42.31656254.0001</v>
      </c>
      <c r="CB141" s="1076"/>
      <c r="CC141" s="1076"/>
      <c r="CD141" s="1077" t="s">
        <v>642</v>
      </c>
      <c r="CE141" s="1076"/>
      <c r="CF141" s="1076"/>
      <c r="CG141" s="1077" t="s">
        <v>698</v>
      </c>
      <c r="CH141" s="1076"/>
      <c r="CI141" s="1077" t="s">
        <v>219</v>
      </c>
      <c r="CJ141" s="1077" t="s">
        <v>303</v>
      </c>
      <c r="CK141" s="1077" t="s">
        <v>719</v>
      </c>
      <c r="CL141" s="1077" t="s">
        <v>720</v>
      </c>
    </row>
    <row s="1751" customFormat="1" customHeight="1" ht="16.5">
      <c r="A142" s="371"/>
      <c r="B142" s="1548"/>
      <c r="C142" s="1548"/>
      <c r="D142" s="1548"/>
      <c r="E142" s="180">
        <v>17</v>
      </c>
      <c r="F142" s="175" cm="1" t="str">
        <f t="array" ref="F142:F142">OFFSET(G142,-1,-1)</f>
        <v>1</v>
      </c>
      <c r="G142" s="1659"/>
      <c r="H142" s="1659"/>
      <c r="I142" s="1659"/>
      <c r="J142" s="1659"/>
      <c r="K142" s="1659"/>
      <c r="L142" s="1659"/>
      <c r="M142" s="1659"/>
      <c r="N142" s="1659"/>
      <c r="O142" s="1659"/>
      <c r="P142" s="1659"/>
      <c r="Q142" s="1659"/>
      <c r="R142" s="1659"/>
      <c r="S142" s="1659"/>
      <c r="T142" s="753" cm="1" t="str">
        <f t="array" ref="T142:T142">T141</f>
        <v>true</v>
      </c>
      <c r="U142" s="1548"/>
      <c r="V142" s="1548"/>
      <c r="W142" s="1548"/>
      <c r="X142" s="1548"/>
      <c r="Y142" s="1548"/>
      <c r="Z142" s="1548"/>
      <c r="AA142" s="286"/>
      <c r="AB142" s="423" t="str">
        <f>AB141&amp;".1"</f>
        <v>8.2.1</v>
      </c>
      <c r="AC142" s="460" t="s">
        <v>722</v>
      </c>
      <c r="AD142" s="328" t="s">
        <v>495</v>
      </c>
      <c r="AE142" s="462">
        <f>_xlfn.IFERROR(AE141/AE137,0)</f>
        <v>0</v>
      </c>
      <c r="AF142" s="462">
        <f>_xlfn.IFERROR(AF141/AF137,0)</f>
        <v>0</v>
      </c>
      <c r="AG142" s="462">
        <f>_xlfn.IFERROR(AG141/AG137,0)</f>
        <v>0</v>
      </c>
      <c r="AH142" s="462">
        <f>_xlfn.IFERROR(AH141/AH137,0)</f>
        <v>0</v>
      </c>
      <c r="AI142" s="462">
        <f>_xlfn.IFERROR(AI141/AI137,0)</f>
        <v>0</v>
      </c>
      <c r="AJ142" s="462">
        <f>_xlfn.IFERROR(AJ141/AJ137,0)</f>
        <v>0</v>
      </c>
      <c r="AK142" s="462">
        <f>_xlfn.IFERROR(AK141/AK137,0)</f>
        <v>0</v>
      </c>
      <c r="AL142" s="462">
        <f>_xlfn.IFERROR(AL141/AL137,0)</f>
        <v>0</v>
      </c>
      <c r="AM142" s="462">
        <f>_xlfn.IFERROR(AM141/AM137,0)</f>
        <v>0</v>
      </c>
      <c r="AN142" s="462">
        <f>_xlfn.IFERROR(AN141/AN137,0)</f>
        <v>0</v>
      </c>
      <c r="AO142" s="462">
        <f>_xlfn.IFERROR(AO141/AO137,0)</f>
        <v>0</v>
      </c>
      <c r="AP142" s="462">
        <f>_xlfn.IFERROR(AP141/AP137,0)</f>
        <v>0</v>
      </c>
      <c r="AQ142" s="462">
        <f>_xlfn.IFERROR(AQ141/AQ137,0)</f>
        <v>0</v>
      </c>
      <c r="AR142" s="462">
        <f>_xlfn.IFERROR(AR141/AR137,0)</f>
        <v>0</v>
      </c>
      <c r="AS142" s="462">
        <f>_xlfn.IFERROR(AS141/AS137,0)</f>
        <v>0</v>
      </c>
      <c r="AT142" s="462">
        <f>_xlfn.IFERROR(AT141/AT137,0)</f>
        <v>0</v>
      </c>
      <c r="AU142" s="462">
        <f>_xlfn.IFERROR(AU141/AU137,0)</f>
        <v>0</v>
      </c>
      <c r="AV142" s="462">
        <f>_xlfn.IFERROR(AV141/AV137,0)</f>
        <v>0</v>
      </c>
      <c r="AW142" s="462">
        <f>_xlfn.IFERROR(AW141/AW137,0)</f>
        <v>0</v>
      </c>
      <c r="AX142" s="462">
        <f>_xlfn.IFERROR(AX141/AX137,0)</f>
        <v>0</v>
      </c>
      <c r="AY142" s="462">
        <f>_xlfn.IFERROR(AY141/AY137,0)</f>
        <v>0</v>
      </c>
      <c r="AZ142" s="462">
        <f>_xlfn.IFERROR(AZ141/AZ137,0)</f>
        <v>0</v>
      </c>
      <c r="BA142" s="462">
        <f>_xlfn.IFERROR(BA141/BA137,0)</f>
        <v>0</v>
      </c>
      <c r="BB142" s="462">
        <f>_xlfn.IFERROR(BB141/BB137,0)</f>
        <v>0</v>
      </c>
      <c r="BC142" s="462">
        <f>_xlfn.IFERROR(BC141/BC137,0)</f>
        <v>0</v>
      </c>
      <c r="BD142" s="462">
        <f>_xlfn.IFERROR(BD141/BD137,0)</f>
        <v>0</v>
      </c>
      <c r="BE142" s="462">
        <f>_xlfn.IFERROR(BE141/BE137,0)</f>
        <v>0</v>
      </c>
      <c r="BF142" s="462">
        <f>_xlfn.IFERROR(BF141/BF137,0)</f>
        <v>0</v>
      </c>
      <c r="BG142" s="462">
        <f>_xlfn.IFERROR(BG141/BG137,0)</f>
        <v>0</v>
      </c>
      <c r="BH142" s="462">
        <f>_xlfn.IFERROR(BH141/BH137,0)</f>
        <v>0</v>
      </c>
      <c r="BI142" s="462">
        <f>_xlfn.IFERROR(BI141/BI137,0)</f>
        <v>0</v>
      </c>
      <c r="BJ142" s="462">
        <f>_xlfn.IFERROR(BJ141/BJ137,0)</f>
        <v>0</v>
      </c>
      <c r="BK142" s="462">
        <f>_xlfn.IFERROR(BK141/BK137,0)</f>
        <v>0</v>
      </c>
      <c r="BL142" s="462">
        <f>_xlfn.IFERROR(BL141/BL137,0)</f>
        <v>0</v>
      </c>
      <c r="BM142" s="462">
        <f>_xlfn.IFERROR(BM141/BM137,0)</f>
        <v>0</v>
      </c>
      <c r="BN142" s="462">
        <f>_xlfn.IFERROR(BN141/BN137,0)</f>
        <v>0</v>
      </c>
      <c r="BO142" s="462">
        <f>_xlfn.IFERROR(BO141/BO137,0)</f>
        <v>0</v>
      </c>
      <c r="BP142" s="462">
        <f>_xlfn.IFERROR(BP141/BP137,0)</f>
        <v>0</v>
      </c>
      <c r="BQ142" s="462">
        <f>_xlfn.IFERROR(BQ141/BQ137,0)</f>
        <v>0</v>
      </c>
      <c r="BR142" s="462">
        <f>_xlfn.IFERROR(BR141/BR137,0)</f>
        <v>0</v>
      </c>
      <c r="BS142" s="462">
        <f>_xlfn.IFERROR(BS141/BS137,0)</f>
        <v>0</v>
      </c>
      <c r="BT142" s="462">
        <f>_xlfn.IFERROR(BT141/BT137,0)</f>
        <v>0</v>
      </c>
      <c r="BU142" s="462">
        <f>_xlfn.IFERROR(BU141/BU137,0)</f>
        <v>0</v>
      </c>
      <c r="BV142" s="462">
        <f>_xlfn.IFERROR(BV141/BV137,0)</f>
        <v>0</v>
      </c>
      <c r="BW142" s="1908"/>
      <c r="BX142" s="286"/>
      <c r="BY142" s="1659"/>
      <c r="BZ142" s="975" t="s">
        <v>727</v>
      </c>
      <c r="CA142" s="1077" cm="1" t="str">
        <f t="array" ref="CA142:CA142">CA141</f>
        <v>ТЭ.42.31656254.0001</v>
      </c>
      <c r="CB142" s="1076"/>
      <c r="CC142" s="1076"/>
      <c r="CD142" s="1077" t="s">
        <v>642</v>
      </c>
      <c r="CE142" s="1076"/>
      <c r="CF142" s="1076"/>
      <c r="CG142" s="1077" t="s">
        <v>698</v>
      </c>
      <c r="CH142" s="1076"/>
      <c r="CI142" s="1077" t="s">
        <v>255</v>
      </c>
      <c r="CJ142" s="1077" t="s">
        <v>303</v>
      </c>
      <c r="CK142" s="1077" t="s">
        <v>724</v>
      </c>
      <c r="CL142" s="1077" t="s">
        <v>725</v>
      </c>
    </row>
    <row s="1751" customFormat="1" customHeight="1" ht="16.5">
      <c r="A143" s="371"/>
      <c r="B143" s="1548"/>
      <c r="C143" s="1548"/>
      <c r="D143" s="1548"/>
      <c r="E143" s="180">
        <v>17</v>
      </c>
      <c r="F143" s="175" cm="1" t="str">
        <f t="array" ref="F143:F143">OFFSET(G143,-1,-1)</f>
        <v>1</v>
      </c>
      <c r="G143" s="1659"/>
      <c r="H143" s="1659"/>
      <c r="I143" s="1659"/>
      <c r="J143" s="1659"/>
      <c r="K143" s="1659"/>
      <c r="L143" s="1659"/>
      <c r="M143" s="1659"/>
      <c r="N143" s="1659"/>
      <c r="O143" s="1659"/>
      <c r="P143" s="1659"/>
      <c r="Q143" s="1659"/>
      <c r="R143" s="1659"/>
      <c r="S143" s="1659"/>
      <c r="T143" s="753" cm="1" t="str">
        <f t="array" ref="T143:T143">T142</f>
        <v>true</v>
      </c>
      <c r="U143" s="1548"/>
      <c r="V143" s="1548"/>
      <c r="W143" s="1548"/>
      <c r="X143" s="1548"/>
      <c r="Y143" s="1548"/>
      <c r="Z143" s="1548"/>
      <c r="AA143" s="286"/>
      <c r="AB143" s="463">
        <v>9</v>
      </c>
      <c r="AC143" s="454" t="s">
        <v>728</v>
      </c>
      <c r="AD143" s="328" t="s">
        <v>629</v>
      </c>
      <c r="AE143" s="448">
        <f>AE144+AE151</f>
        <v>4383</v>
      </c>
      <c r="AF143" s="448">
        <f>AF144+AF151</f>
        <v>4637</v>
      </c>
      <c r="AG143" s="448">
        <f>AG144+AG151</f>
        <v>4637</v>
      </c>
      <c r="AH143" s="448">
        <f>AH144+AH151</f>
        <v>4671</v>
      </c>
      <c r="AI143" s="448">
        <f>AI144+AI151</f>
        <v>4637</v>
      </c>
      <c r="AJ143" s="448">
        <f>AJ144+AJ151</f>
        <v>0</v>
      </c>
      <c r="AK143" s="448">
        <f>AK144+AK151</f>
        <v>0</v>
      </c>
      <c r="AL143" s="448">
        <f>AL144+AL151</f>
        <v>0</v>
      </c>
      <c r="AM143" s="448">
        <f>AM144+AM151</f>
        <v>0</v>
      </c>
      <c r="AN143" s="448">
        <f>AN144+AN151</f>
        <v>0</v>
      </c>
      <c r="AO143" s="448">
        <f>AO144+AO151</f>
        <v>0</v>
      </c>
      <c r="AP143" s="448">
        <f>AP144+AP151</f>
        <v>0</v>
      </c>
      <c r="AQ143" s="448">
        <f>AQ144+AQ151</f>
        <v>0</v>
      </c>
      <c r="AR143" s="448">
        <f>AR144+AR151</f>
        <v>0</v>
      </c>
      <c r="AS143" s="448">
        <f>AS144+AS151</f>
        <v>0</v>
      </c>
      <c r="AT143" s="448">
        <f>AT144+AT151</f>
        <v>0</v>
      </c>
      <c r="AU143" s="448">
        <f>AU144+AU151</f>
        <v>0</v>
      </c>
      <c r="AV143" s="448">
        <f>AV144+AV151</f>
        <v>0</v>
      </c>
      <c r="AW143" s="448">
        <f>AW144+AW151</f>
        <v>0</v>
      </c>
      <c r="AX143" s="448">
        <f>AX144+AX151</f>
        <v>0</v>
      </c>
      <c r="AY143" s="448">
        <f>AY144+AY151</f>
        <v>0</v>
      </c>
      <c r="AZ143" s="448">
        <f>AZ144+AZ151</f>
        <v>0</v>
      </c>
      <c r="BA143" s="448">
        <f>BA144+BA151</f>
        <v>0</v>
      </c>
      <c r="BB143" s="448">
        <f>BB144+BB151</f>
        <v>0</v>
      </c>
      <c r="BC143" s="448">
        <f>BC144+BC151</f>
        <v>4637</v>
      </c>
      <c r="BD143" s="448">
        <f>BD144+BD151</f>
        <v>0</v>
      </c>
      <c r="BE143" s="448">
        <f>BE144+BE151</f>
        <v>0</v>
      </c>
      <c r="BF143" s="448">
        <f>BF144+BF151</f>
        <v>0</v>
      </c>
      <c r="BG143" s="448">
        <f>BG144+BG151</f>
        <v>0</v>
      </c>
      <c r="BH143" s="448">
        <f>BH144+BH151</f>
        <v>0</v>
      </c>
      <c r="BI143" s="448">
        <f>BI144+BI151</f>
        <v>0</v>
      </c>
      <c r="BJ143" s="448">
        <f>BJ144+BJ151</f>
        <v>0</v>
      </c>
      <c r="BK143" s="448">
        <f>BK144+BK151</f>
        <v>0</v>
      </c>
      <c r="BL143" s="448">
        <f>BL144+BL151</f>
        <v>0</v>
      </c>
      <c r="BM143" s="448">
        <f>BM144+BM151</f>
        <v>0</v>
      </c>
      <c r="BN143" s="448">
        <f>BN144+BN151</f>
        <v>0</v>
      </c>
      <c r="BO143" s="448">
        <f>BO144+BO151</f>
        <v>0</v>
      </c>
      <c r="BP143" s="448">
        <f>BP144+BP151</f>
        <v>0</v>
      </c>
      <c r="BQ143" s="448">
        <f>BQ144+BQ151</f>
        <v>0</v>
      </c>
      <c r="BR143" s="448">
        <f>BR144+BR151</f>
        <v>0</v>
      </c>
      <c r="BS143" s="448">
        <f>BS144+BS151</f>
        <v>0</v>
      </c>
      <c r="BT143" s="448">
        <f>BT144+BT151</f>
        <v>0</v>
      </c>
      <c r="BU143" s="448">
        <f>BU144+BU151</f>
        <v>0</v>
      </c>
      <c r="BV143" s="448">
        <f>BV144+BV151</f>
        <v>0</v>
      </c>
      <c r="BW143" s="1897"/>
      <c r="BX143" s="286"/>
      <c r="BY143" s="1659"/>
      <c r="BZ143" s="975" t="s">
        <v>729</v>
      </c>
      <c r="CA143" s="1077" cm="1" t="str">
        <f t="array" ref="CA143:CA143">CA142</f>
        <v>ТЭ.42.31656254.0001</v>
      </c>
      <c r="CB143" s="1076"/>
      <c r="CC143" s="1076"/>
      <c r="CD143" s="1076"/>
      <c r="CE143" s="1076"/>
      <c r="CF143" s="1076"/>
      <c r="CG143" s="1076"/>
      <c r="CH143" s="1076"/>
      <c r="CI143" s="1077" t="s">
        <v>255</v>
      </c>
      <c r="CJ143" s="1077" t="s">
        <v>303</v>
      </c>
      <c r="CK143" s="1077" t="s">
        <v>667</v>
      </c>
      <c r="CL143" s="1077" t="s">
        <v>668</v>
      </c>
    </row>
    <row s="1751" customFormat="1" customHeight="1" ht="16.5">
      <c r="A144" s="371"/>
      <c r="B144" s="1548"/>
      <c r="C144" s="1548"/>
      <c r="D144" s="1548"/>
      <c r="E144" s="180">
        <v>17</v>
      </c>
      <c r="F144" s="175" cm="1" t="str">
        <f t="array" ref="F144:F144">OFFSET(G144,-1,-1)</f>
        <v>1</v>
      </c>
      <c r="G144" s="1659"/>
      <c r="H144" s="1659"/>
      <c r="I144" s="1659"/>
      <c r="J144" s="1659"/>
      <c r="K144" s="1659"/>
      <c r="L144" s="1659"/>
      <c r="M144" s="1659"/>
      <c r="N144" s="1659"/>
      <c r="O144" s="1659"/>
      <c r="P144" s="1659"/>
      <c r="Q144" s="1659"/>
      <c r="R144" s="1659"/>
      <c r="S144" s="1659"/>
      <c r="T144" s="753" cm="1" t="str">
        <f t="array" ref="T144:T144">T143</f>
        <v>true</v>
      </c>
      <c r="U144" s="1548"/>
      <c r="V144" s="1548"/>
      <c r="W144" s="1548"/>
      <c r="X144" s="1548"/>
      <c r="Y144" s="1548"/>
      <c r="Z144" s="1548"/>
      <c r="AA144" s="286"/>
      <c r="AB144" s="423" t="str">
        <f>AB143&amp;".1"</f>
        <v>9.1</v>
      </c>
      <c r="AC144" s="446" t="s">
        <v>637</v>
      </c>
      <c r="AD144" s="328" t="s">
        <v>629</v>
      </c>
      <c r="AE144" s="1902">
        <f>AE145+AE146</f>
        <v>4383</v>
      </c>
      <c r="AF144" s="1902">
        <f>AF145+AF146</f>
        <v>4637</v>
      </c>
      <c r="AG144" s="1902">
        <f>AG145+AG146</f>
        <v>4637</v>
      </c>
      <c r="AH144" s="1902">
        <f>AH145+AH146</f>
        <v>4671</v>
      </c>
      <c r="AI144" s="449">
        <f>AI145+AI146</f>
        <v>4637</v>
      </c>
      <c r="AJ144" s="1902">
        <f>AJ145+AJ146</f>
        <v>0</v>
      </c>
      <c r="AK144" s="1902">
        <f>AK145+AK146</f>
        <v>0</v>
      </c>
      <c r="AL144" s="1902">
        <f>AL145+AL146</f>
        <v>0</v>
      </c>
      <c r="AM144" s="1902">
        <f>AM145+AM146</f>
        <v>0</v>
      </c>
      <c r="AN144" s="1902">
        <f>AN145+AN146</f>
        <v>0</v>
      </c>
      <c r="AO144" s="1902">
        <f>AO145+AO146</f>
        <v>0</v>
      </c>
      <c r="AP144" s="1902">
        <f>AP145+AP146</f>
        <v>0</v>
      </c>
      <c r="AQ144" s="1902">
        <f>AQ145+AQ146</f>
        <v>0</v>
      </c>
      <c r="AR144" s="1902">
        <f>AR145+AR146</f>
        <v>0</v>
      </c>
      <c r="AS144" s="1902">
        <f>AS145+AS146</f>
        <v>0</v>
      </c>
      <c r="AT144" s="1902">
        <f>AT145+AT146</f>
        <v>0</v>
      </c>
      <c r="AU144" s="1902">
        <f>AU145+AU146</f>
        <v>0</v>
      </c>
      <c r="AV144" s="1902">
        <f>AV145+AV146</f>
        <v>0</v>
      </c>
      <c r="AW144" s="1902">
        <f>AW145+AW146</f>
        <v>0</v>
      </c>
      <c r="AX144" s="1902">
        <f>AX145+AX146</f>
        <v>0</v>
      </c>
      <c r="AY144" s="1902">
        <f>AY145+AY146</f>
        <v>0</v>
      </c>
      <c r="AZ144" s="1902">
        <f>AZ145+AZ146</f>
        <v>0</v>
      </c>
      <c r="BA144" s="1902">
        <f>BA145+BA146</f>
        <v>0</v>
      </c>
      <c r="BB144" s="1902">
        <f>BB145+BB146</f>
        <v>0</v>
      </c>
      <c r="BC144" s="449">
        <f>BC145+BC146</f>
        <v>4637</v>
      </c>
      <c r="BD144" s="1902">
        <f>BD145+BD146</f>
        <v>0</v>
      </c>
      <c r="BE144" s="1902">
        <f>BE145+BE146</f>
        <v>0</v>
      </c>
      <c r="BF144" s="1902">
        <f>BF145+BF146</f>
        <v>0</v>
      </c>
      <c r="BG144" s="1902">
        <f>BG145+BG146</f>
        <v>0</v>
      </c>
      <c r="BH144" s="1902">
        <f>BH145+BH146</f>
        <v>0</v>
      </c>
      <c r="BI144" s="1902">
        <f>BI145+BI146</f>
        <v>0</v>
      </c>
      <c r="BJ144" s="1902">
        <f>BJ145+BJ146</f>
        <v>0</v>
      </c>
      <c r="BK144" s="1902">
        <f>BK145+BK146</f>
        <v>0</v>
      </c>
      <c r="BL144" s="1902">
        <f>BL145+BL146</f>
        <v>0</v>
      </c>
      <c r="BM144" s="1902">
        <f>BM145+BM146</f>
        <v>0</v>
      </c>
      <c r="BN144" s="1902">
        <f>BN145+BN146</f>
        <v>0</v>
      </c>
      <c r="BO144" s="1902">
        <f>BO145+BO146</f>
        <v>0</v>
      </c>
      <c r="BP144" s="1902">
        <f>BP145+BP146</f>
        <v>0</v>
      </c>
      <c r="BQ144" s="1902">
        <f>BQ145+BQ146</f>
        <v>0</v>
      </c>
      <c r="BR144" s="1902">
        <f>BR145+BR146</f>
        <v>0</v>
      </c>
      <c r="BS144" s="1902">
        <f>BS145+BS146</f>
        <v>0</v>
      </c>
      <c r="BT144" s="1902">
        <f>BT145+BT146</f>
        <v>0</v>
      </c>
      <c r="BU144" s="1902">
        <f>BU145+BU146</f>
        <v>0</v>
      </c>
      <c r="BV144" s="1902">
        <f>BV145+BV146</f>
        <v>0</v>
      </c>
      <c r="BW144" s="1897"/>
      <c r="BX144" s="286"/>
      <c r="BY144" s="1659"/>
      <c r="BZ144" s="975" t="s">
        <v>730</v>
      </c>
      <c r="CA144" s="1077" cm="1" t="str">
        <f t="array" ref="CA144:CA144">CA143</f>
        <v>ТЭ.42.31656254.0001</v>
      </c>
      <c r="CB144" s="1076"/>
      <c r="CC144" s="1076"/>
      <c r="CD144" s="1077" t="s">
        <v>639</v>
      </c>
      <c r="CE144" s="1076"/>
      <c r="CF144" s="1076"/>
      <c r="CG144" s="1076"/>
      <c r="CH144" s="1076"/>
      <c r="CI144" s="1076"/>
      <c r="CJ144" s="1077" t="s">
        <v>303</v>
      </c>
      <c r="CK144" s="1077" t="s">
        <v>667</v>
      </c>
      <c r="CL144" s="1077" t="s">
        <v>668</v>
      </c>
    </row>
    <row s="1751" customFormat="1" customHeight="1" ht="16.5">
      <c r="A145" s="371"/>
      <c r="B145" s="1548"/>
      <c r="C145" s="1548"/>
      <c r="D145" s="1548"/>
      <c r="E145" s="180">
        <v>17</v>
      </c>
      <c r="F145" s="175" cm="1" t="str">
        <f t="array" ref="F145:F145">OFFSET(G145,-1,-1)</f>
        <v>1</v>
      </c>
      <c r="G145" s="1659"/>
      <c r="H145" s="1659"/>
      <c r="I145" s="1659"/>
      <c r="J145" s="1659"/>
      <c r="K145" s="1659"/>
      <c r="L145" s="1659"/>
      <c r="M145" s="1659"/>
      <c r="N145" s="1659"/>
      <c r="O145" s="1659"/>
      <c r="P145" s="1659"/>
      <c r="Q145" s="1659"/>
      <c r="R145" s="1659"/>
      <c r="S145" s="1659"/>
      <c r="T145" s="753" cm="1" t="str">
        <f t="array" ref="T145:T145">T144</f>
        <v>true</v>
      </c>
      <c r="U145" s="1548"/>
      <c r="V145" s="1548"/>
      <c r="W145" s="1548"/>
      <c r="X145" s="1548"/>
      <c r="Y145" s="1548"/>
      <c r="Z145" s="1548"/>
      <c r="AA145" s="286"/>
      <c r="AB145" s="423" t="str">
        <f>AB144&amp;".1"</f>
        <v>9.1.1</v>
      </c>
      <c r="AC145" s="455" t="s">
        <v>690</v>
      </c>
      <c r="AD145" s="328" t="s">
        <v>629</v>
      </c>
      <c r="AE145" s="1902"/>
      <c r="AF145" s="1902"/>
      <c r="AG145" s="1902"/>
      <c r="AH145" s="1902"/>
      <c r="AI145" s="449"/>
      <c r="AJ145" s="1902"/>
      <c r="AK145" s="1902"/>
      <c r="AL145" s="1902"/>
      <c r="AM145" s="1902"/>
      <c r="AN145" s="1902"/>
      <c r="AO145" s="1902"/>
      <c r="AP145" s="1902"/>
      <c r="AQ145" s="1902"/>
      <c r="AR145" s="1902"/>
      <c r="AS145" s="1902"/>
      <c r="AT145" s="1902"/>
      <c r="AU145" s="1902"/>
      <c r="AV145" s="1902"/>
      <c r="AW145" s="1902"/>
      <c r="AX145" s="1902"/>
      <c r="AY145" s="1902"/>
      <c r="AZ145" s="1902"/>
      <c r="BA145" s="1902"/>
      <c r="BB145" s="1902"/>
      <c r="BC145" s="449"/>
      <c r="BD145" s="1902"/>
      <c r="BE145" s="1902"/>
      <c r="BF145" s="1902"/>
      <c r="BG145" s="1902"/>
      <c r="BH145" s="1902"/>
      <c r="BI145" s="1902"/>
      <c r="BJ145" s="1902"/>
      <c r="BK145" s="1902"/>
      <c r="BL145" s="1902"/>
      <c r="BM145" s="1902"/>
      <c r="BN145" s="1902"/>
      <c r="BO145" s="1902"/>
      <c r="BP145" s="1902"/>
      <c r="BQ145" s="1902"/>
      <c r="BR145" s="1902"/>
      <c r="BS145" s="1902"/>
      <c r="BT145" s="1902"/>
      <c r="BU145" s="1902"/>
      <c r="BV145" s="1902"/>
      <c r="BW145" s="1897"/>
      <c r="BX145" s="286"/>
      <c r="BY145" s="1659"/>
      <c r="BZ145" s="975" t="s">
        <v>731</v>
      </c>
      <c r="CA145" s="1077" cm="1" t="str">
        <f t="array" ref="CA145:CA145">CA144</f>
        <v>ТЭ.42.31656254.0001</v>
      </c>
      <c r="CB145" s="1076"/>
      <c r="CC145" s="1076"/>
      <c r="CD145" s="1077" t="s">
        <v>639</v>
      </c>
      <c r="CE145" s="1076"/>
      <c r="CF145" s="1076"/>
      <c r="CG145" s="1076"/>
      <c r="CH145" s="1077" t="s">
        <v>692</v>
      </c>
      <c r="CI145" s="1076"/>
      <c r="CJ145" s="1077" t="s">
        <v>303</v>
      </c>
      <c r="CK145" s="1077" t="s">
        <v>667</v>
      </c>
      <c r="CL145" s="1077" t="s">
        <v>668</v>
      </c>
    </row>
    <row s="1751" customFormat="1" customHeight="1" ht="16.5">
      <c r="A146" s="371"/>
      <c r="B146" s="1548"/>
      <c r="C146" s="1548"/>
      <c r="D146" s="1548"/>
      <c r="E146" s="180">
        <v>17</v>
      </c>
      <c r="F146" s="175" cm="1" t="str">
        <f t="array" ref="F146:F146">OFFSET(G146,-1,-1)</f>
        <v>1</v>
      </c>
      <c r="G146" s="1659"/>
      <c r="H146" s="1659"/>
      <c r="I146" s="1659"/>
      <c r="J146" s="1659"/>
      <c r="K146" s="1659"/>
      <c r="L146" s="1659"/>
      <c r="M146" s="1659"/>
      <c r="N146" s="1659"/>
      <c r="O146" s="1659"/>
      <c r="P146" s="1659"/>
      <c r="Q146" s="1659"/>
      <c r="R146" s="1659"/>
      <c r="S146" s="1659"/>
      <c r="T146" s="753" cm="1" t="str">
        <f t="array" ref="T146:T146">T145</f>
        <v>true</v>
      </c>
      <c r="U146" s="1548"/>
      <c r="V146" s="1548"/>
      <c r="W146" s="1548"/>
      <c r="X146" s="1548"/>
      <c r="Y146" s="1548"/>
      <c r="Z146" s="1548"/>
      <c r="AA146" s="286"/>
      <c r="AB146" s="423" t="str">
        <f>AB144&amp;".2"</f>
        <v>9.1.2</v>
      </c>
      <c r="AC146" s="456" t="s">
        <v>693</v>
      </c>
      <c r="AD146" s="328" t="s">
        <v>629</v>
      </c>
      <c r="AE146" s="1909">
        <f>AE147+AE148+AE149+AE150</f>
        <v>4383</v>
      </c>
      <c r="AF146" s="1909">
        <f>AF147+AF148+AF149+AF150</f>
        <v>4637</v>
      </c>
      <c r="AG146" s="1909">
        <f>AG147+AG148+AG149+AG150</f>
        <v>4637</v>
      </c>
      <c r="AH146" s="1909">
        <f>AH147+AH148+AH149+AH150</f>
        <v>4671</v>
      </c>
      <c r="AI146" s="464">
        <f>AI147+AI148+AI149+AI150</f>
        <v>4637</v>
      </c>
      <c r="AJ146" s="1909">
        <f>AJ147+AJ148+AJ149+AJ150</f>
        <v>0</v>
      </c>
      <c r="AK146" s="1909">
        <f>AK147+AK148+AK149+AK150</f>
        <v>0</v>
      </c>
      <c r="AL146" s="1909">
        <f>AL147+AL148+AL149+AL150</f>
        <v>0</v>
      </c>
      <c r="AM146" s="1909">
        <f>AM147+AM148+AM149+AM150</f>
        <v>0</v>
      </c>
      <c r="AN146" s="1909">
        <f>AN147+AN148+AN149+AN150</f>
        <v>0</v>
      </c>
      <c r="AO146" s="1909">
        <f>AO147+AO148+AO149+AO150</f>
        <v>0</v>
      </c>
      <c r="AP146" s="1909">
        <f>AP147+AP148+AP149+AP150</f>
        <v>0</v>
      </c>
      <c r="AQ146" s="1909">
        <f>AQ147+AQ148+AQ149+AQ150</f>
        <v>0</v>
      </c>
      <c r="AR146" s="1909">
        <f>AR147+AR148+AR149+AR150</f>
        <v>0</v>
      </c>
      <c r="AS146" s="1909">
        <f>AS147+AS148+AS149+AS150</f>
        <v>0</v>
      </c>
      <c r="AT146" s="1909">
        <f>AT147+AT148+AT149+AT150</f>
        <v>0</v>
      </c>
      <c r="AU146" s="1909">
        <f>AU147+AU148+AU149+AU150</f>
        <v>0</v>
      </c>
      <c r="AV146" s="1909">
        <f>AV147+AV148+AV149+AV150</f>
        <v>0</v>
      </c>
      <c r="AW146" s="1909">
        <f>AW147+AW148+AW149+AW150</f>
        <v>0</v>
      </c>
      <c r="AX146" s="1909">
        <f>AX147+AX148+AX149+AX150</f>
        <v>0</v>
      </c>
      <c r="AY146" s="1909">
        <f>AY147+AY148+AY149+AY150</f>
        <v>0</v>
      </c>
      <c r="AZ146" s="1909">
        <f>AZ147+AZ148+AZ149+AZ150</f>
        <v>0</v>
      </c>
      <c r="BA146" s="1909">
        <f>BA147+BA148+BA149+BA150</f>
        <v>0</v>
      </c>
      <c r="BB146" s="1909">
        <f>BB147+BB148+BB149+BB150</f>
        <v>0</v>
      </c>
      <c r="BC146" s="464">
        <f>BC147+BC148+BC149+BC150</f>
        <v>4637</v>
      </c>
      <c r="BD146" s="1909">
        <f>BD147+BD148+BD149+BD150</f>
        <v>0</v>
      </c>
      <c r="BE146" s="1909">
        <f>BE147+BE148+BE149+BE150</f>
        <v>0</v>
      </c>
      <c r="BF146" s="1909">
        <f>BF147+BF148+BF149+BF150</f>
        <v>0</v>
      </c>
      <c r="BG146" s="1909">
        <f>BG147+BG148+BG149+BG150</f>
        <v>0</v>
      </c>
      <c r="BH146" s="1909">
        <f>BH147+BH148+BH149+BH150</f>
        <v>0</v>
      </c>
      <c r="BI146" s="1909">
        <f>BI147+BI148+BI149+BI150</f>
        <v>0</v>
      </c>
      <c r="BJ146" s="1909">
        <f>BJ147+BJ148+BJ149+BJ150</f>
        <v>0</v>
      </c>
      <c r="BK146" s="1909">
        <f>BK147+BK148+BK149+BK150</f>
        <v>0</v>
      </c>
      <c r="BL146" s="1909">
        <f>BL147+BL148+BL149+BL150</f>
        <v>0</v>
      </c>
      <c r="BM146" s="1909">
        <f>BM147+BM148+BM149+BM150</f>
        <v>0</v>
      </c>
      <c r="BN146" s="1909">
        <f>BN147+BN148+BN149+BN150</f>
        <v>0</v>
      </c>
      <c r="BO146" s="1909">
        <f>BO147+BO148+BO149+BO150</f>
        <v>0</v>
      </c>
      <c r="BP146" s="1909">
        <f>BP147+BP148+BP149+BP150</f>
        <v>0</v>
      </c>
      <c r="BQ146" s="1909">
        <f>BQ147+BQ148+BQ149+BQ150</f>
        <v>0</v>
      </c>
      <c r="BR146" s="1909">
        <f>BR147+BR148+BR149+BR150</f>
        <v>0</v>
      </c>
      <c r="BS146" s="1909">
        <f>BS147+BS148+BS149+BS150</f>
        <v>0</v>
      </c>
      <c r="BT146" s="1909">
        <f>BT147+BT148+BT149+BT150</f>
        <v>0</v>
      </c>
      <c r="BU146" s="1909">
        <f>BU147+BU148+BU149+BU150</f>
        <v>0</v>
      </c>
      <c r="BV146" s="1909">
        <f>BV147+BV148+BV149+BV150</f>
        <v>0</v>
      </c>
      <c r="BW146" s="1897"/>
      <c r="BX146" s="286"/>
      <c r="BY146" s="1659"/>
      <c r="BZ146" s="975" t="s">
        <v>732</v>
      </c>
      <c r="CA146" s="1077" cm="1" t="str">
        <f t="array" ref="CA146:CA146">CA145</f>
        <v>ТЭ.42.31656254.0001</v>
      </c>
      <c r="CB146" s="1076"/>
      <c r="CC146" s="1076"/>
      <c r="CD146" s="1077" t="s">
        <v>639</v>
      </c>
      <c r="CE146" s="1076"/>
      <c r="CF146" s="1076"/>
      <c r="CG146" s="1076"/>
      <c r="CH146" s="1077" t="s">
        <v>695</v>
      </c>
      <c r="CI146" s="1076"/>
      <c r="CJ146" s="1077" t="s">
        <v>303</v>
      </c>
      <c r="CK146" s="1077" t="s">
        <v>667</v>
      </c>
      <c r="CL146" s="1077" t="s">
        <v>668</v>
      </c>
    </row>
    <row s="1751" customFormat="1" customHeight="1" ht="16.5">
      <c r="A147" s="371"/>
      <c r="B147" s="1548"/>
      <c r="C147" s="1548"/>
      <c r="D147" s="1548"/>
      <c r="E147" s="180">
        <v>17</v>
      </c>
      <c r="F147" s="175" cm="1" t="str">
        <f t="array" ref="F147:F147">OFFSET(G147,-1,-1)</f>
        <v>1</v>
      </c>
      <c r="G147" s="1659"/>
      <c r="H147" s="1659"/>
      <c r="I147" s="1659"/>
      <c r="J147" s="1659"/>
      <c r="K147" s="1659"/>
      <c r="L147" s="1659"/>
      <c r="M147" s="1659"/>
      <c r="N147" s="1659"/>
      <c r="O147" s="1659"/>
      <c r="P147" s="1659"/>
      <c r="Q147" s="1659"/>
      <c r="R147" s="1659"/>
      <c r="S147" s="1659"/>
      <c r="T147" s="753" cm="1" t="str">
        <f t="array" ref="T147:T147">T146</f>
        <v>true</v>
      </c>
      <c r="U147" s="1548"/>
      <c r="V147" s="1548"/>
      <c r="W147" s="1548"/>
      <c r="X147" s="1548"/>
      <c r="Y147" s="1548"/>
      <c r="Z147" s="1548"/>
      <c r="AA147" s="286"/>
      <c r="AB147" s="423" t="str">
        <f>AB146&amp;".1"</f>
        <v>9.1.2.1</v>
      </c>
      <c r="AC147" s="457" t="s">
        <v>696</v>
      </c>
      <c r="AD147" s="424" t="s">
        <v>629</v>
      </c>
      <c r="AE147" s="1911"/>
      <c r="AF147" s="1911"/>
      <c r="AG147" s="1911"/>
      <c r="AH147" s="1911"/>
      <c r="AI147" s="465"/>
      <c r="AJ147" s="1911"/>
      <c r="AK147" s="1911"/>
      <c r="AL147" s="1911"/>
      <c r="AM147" s="1911"/>
      <c r="AN147" s="1911"/>
      <c r="AO147" s="1911"/>
      <c r="AP147" s="1911"/>
      <c r="AQ147" s="1911"/>
      <c r="AR147" s="1911"/>
      <c r="AS147" s="1911"/>
      <c r="AT147" s="1911"/>
      <c r="AU147" s="1911"/>
      <c r="AV147" s="1911"/>
      <c r="AW147" s="1911"/>
      <c r="AX147" s="1911"/>
      <c r="AY147" s="1911"/>
      <c r="AZ147" s="1911"/>
      <c r="BA147" s="1911"/>
      <c r="BB147" s="1911"/>
      <c r="BC147" s="465"/>
      <c r="BD147" s="1911"/>
      <c r="BE147" s="1911"/>
      <c r="BF147" s="1911"/>
      <c r="BG147" s="1911"/>
      <c r="BH147" s="1911"/>
      <c r="BI147" s="1911"/>
      <c r="BJ147" s="1911"/>
      <c r="BK147" s="1911"/>
      <c r="BL147" s="1911"/>
      <c r="BM147" s="1911"/>
      <c r="BN147" s="1911"/>
      <c r="BO147" s="1911"/>
      <c r="BP147" s="1911"/>
      <c r="BQ147" s="1911"/>
      <c r="BR147" s="1911"/>
      <c r="BS147" s="1911"/>
      <c r="BT147" s="1911"/>
      <c r="BU147" s="1911"/>
      <c r="BV147" s="1911"/>
      <c r="BW147" s="1897"/>
      <c r="BX147" s="286"/>
      <c r="BY147" s="1659"/>
      <c r="BZ147" s="975" t="s">
        <v>733</v>
      </c>
      <c r="CA147" s="1077" cm="1" t="str">
        <f t="array" ref="CA147:CA147">CA146</f>
        <v>ТЭ.42.31656254.0001</v>
      </c>
      <c r="CB147" s="1076"/>
      <c r="CC147" s="1076"/>
      <c r="CD147" s="1077" t="s">
        <v>639</v>
      </c>
      <c r="CE147" s="1076"/>
      <c r="CF147" s="1076"/>
      <c r="CG147" s="1077" t="s">
        <v>698</v>
      </c>
      <c r="CH147" s="1076"/>
      <c r="CI147" s="1077" t="s">
        <v>449</v>
      </c>
      <c r="CJ147" s="1077" t="s">
        <v>303</v>
      </c>
      <c r="CK147" s="1077" t="s">
        <v>667</v>
      </c>
      <c r="CL147" s="1077" t="s">
        <v>668</v>
      </c>
    </row>
    <row s="1751" customFormat="1" customHeight="1" ht="16.5">
      <c r="A148" s="371"/>
      <c r="B148" s="1548"/>
      <c r="C148" s="1548"/>
      <c r="D148" s="1548"/>
      <c r="E148" s="180">
        <v>17</v>
      </c>
      <c r="F148" s="175" cm="1" t="str">
        <f t="array" ref="F148:F148">OFFSET(G148,-1,-1)</f>
        <v>1</v>
      </c>
      <c r="G148" s="1659"/>
      <c r="H148" s="1659"/>
      <c r="I148" s="1659"/>
      <c r="J148" s="1659"/>
      <c r="K148" s="1659"/>
      <c r="L148" s="1659"/>
      <c r="M148" s="1659"/>
      <c r="N148" s="1659"/>
      <c r="O148" s="1659"/>
      <c r="P148" s="1659"/>
      <c r="Q148" s="1659"/>
      <c r="R148" s="1659"/>
      <c r="S148" s="1659"/>
      <c r="T148" s="753" cm="1" t="str">
        <f t="array" ref="T148:T148">T147</f>
        <v>true</v>
      </c>
      <c r="U148" s="1548"/>
      <c r="V148" s="1548"/>
      <c r="W148" s="1548"/>
      <c r="X148" s="1548"/>
      <c r="Y148" s="1548"/>
      <c r="Z148" s="1548"/>
      <c r="AA148" s="286"/>
      <c r="AB148" s="423" t="str">
        <f>AB146&amp;".2"</f>
        <v>9.1.2.2</v>
      </c>
      <c r="AC148" s="458" t="s">
        <v>699</v>
      </c>
      <c r="AD148" s="328" t="s">
        <v>629</v>
      </c>
      <c r="AE148" s="1902"/>
      <c r="AF148" s="1902"/>
      <c r="AG148" s="1902"/>
      <c r="AH148" s="1902"/>
      <c r="AI148" s="449"/>
      <c r="AJ148" s="1902"/>
      <c r="AK148" s="1902"/>
      <c r="AL148" s="1902"/>
      <c r="AM148" s="1902"/>
      <c r="AN148" s="1902"/>
      <c r="AO148" s="1902"/>
      <c r="AP148" s="1902"/>
      <c r="AQ148" s="1902"/>
      <c r="AR148" s="1902"/>
      <c r="AS148" s="1902"/>
      <c r="AT148" s="1902"/>
      <c r="AU148" s="1902"/>
      <c r="AV148" s="1902"/>
      <c r="AW148" s="1902"/>
      <c r="AX148" s="1902"/>
      <c r="AY148" s="1902"/>
      <c r="AZ148" s="1902"/>
      <c r="BA148" s="1902"/>
      <c r="BB148" s="1902"/>
      <c r="BC148" s="449"/>
      <c r="BD148" s="1902"/>
      <c r="BE148" s="1902"/>
      <c r="BF148" s="1902"/>
      <c r="BG148" s="1902"/>
      <c r="BH148" s="1902"/>
      <c r="BI148" s="1902"/>
      <c r="BJ148" s="1902"/>
      <c r="BK148" s="1902"/>
      <c r="BL148" s="1902"/>
      <c r="BM148" s="1902"/>
      <c r="BN148" s="1902"/>
      <c r="BO148" s="1902"/>
      <c r="BP148" s="1902"/>
      <c r="BQ148" s="1902"/>
      <c r="BR148" s="1902"/>
      <c r="BS148" s="1902"/>
      <c r="BT148" s="1902"/>
      <c r="BU148" s="1902"/>
      <c r="BV148" s="1902"/>
      <c r="BW148" s="1897"/>
      <c r="BX148" s="286"/>
      <c r="BY148" s="1659"/>
      <c r="BZ148" s="975" t="s">
        <v>734</v>
      </c>
      <c r="CA148" s="1077" cm="1" t="str">
        <f t="array" ref="CA148:CA148">CA147</f>
        <v>ТЭ.42.31656254.0001</v>
      </c>
      <c r="CB148" s="1076"/>
      <c r="CC148" s="1076"/>
      <c r="CD148" s="1077" t="s">
        <v>639</v>
      </c>
      <c r="CE148" s="1076"/>
      <c r="CF148" s="1077" t="s">
        <v>701</v>
      </c>
      <c r="CG148" s="1076"/>
      <c r="CH148" s="1076"/>
      <c r="CI148" s="1076"/>
      <c r="CJ148" s="1077" t="s">
        <v>303</v>
      </c>
      <c r="CK148" s="1077" t="s">
        <v>667</v>
      </c>
      <c r="CL148" s="1077" t="s">
        <v>668</v>
      </c>
    </row>
    <row s="1751" customFormat="1" customHeight="1" ht="16.5">
      <c r="A149" s="371"/>
      <c r="B149" s="1548"/>
      <c r="C149" s="1548"/>
      <c r="D149" s="1548"/>
      <c r="E149" s="180">
        <v>17</v>
      </c>
      <c r="F149" s="175" cm="1" t="str">
        <f t="array" ref="F149:F149">OFFSET(G149,-1,-1)</f>
        <v>1</v>
      </c>
      <c r="G149" s="1659"/>
      <c r="H149" s="1659"/>
      <c r="I149" s="1659"/>
      <c r="J149" s="1659"/>
      <c r="K149" s="1659"/>
      <c r="L149" s="1659"/>
      <c r="M149" s="1659"/>
      <c r="N149" s="1659"/>
      <c r="O149" s="1659"/>
      <c r="P149" s="1659"/>
      <c r="Q149" s="1659"/>
      <c r="R149" s="1659"/>
      <c r="S149" s="1659"/>
      <c r="T149" s="753" cm="1" t="str">
        <f t="array" ref="T149:T149">T148</f>
        <v>true</v>
      </c>
      <c r="U149" s="1548"/>
      <c r="V149" s="1548"/>
      <c r="W149" s="1548"/>
      <c r="X149" s="1548"/>
      <c r="Y149" s="1548"/>
      <c r="Z149" s="1548"/>
      <c r="AA149" s="286"/>
      <c r="AB149" s="423" t="str">
        <f>AB146&amp;".3"</f>
        <v>9.1.2.3</v>
      </c>
      <c r="AC149" s="458" t="s">
        <v>702</v>
      </c>
      <c r="AD149" s="328" t="s">
        <v>629</v>
      </c>
      <c r="AE149" s="1904">
        <v>404</v>
      </c>
      <c r="AF149" s="1904">
        <v>381</v>
      </c>
      <c r="AG149" s="1904">
        <v>381</v>
      </c>
      <c r="AH149" s="1904">
        <v>382</v>
      </c>
      <c r="AI149" s="450">
        <v>381</v>
      </c>
      <c r="AJ149" s="1904"/>
      <c r="AK149" s="1904"/>
      <c r="AL149" s="1904"/>
      <c r="AM149" s="1904"/>
      <c r="AN149" s="1904"/>
      <c r="AO149" s="1904"/>
      <c r="AP149" s="1904"/>
      <c r="AQ149" s="1904"/>
      <c r="AR149" s="1904"/>
      <c r="AS149" s="1904"/>
      <c r="AT149" s="1904"/>
      <c r="AU149" s="1904"/>
      <c r="AV149" s="1904"/>
      <c r="AW149" s="1904"/>
      <c r="AX149" s="1904"/>
      <c r="AY149" s="1904"/>
      <c r="AZ149" s="1904"/>
      <c r="BA149" s="1904"/>
      <c r="BB149" s="1904"/>
      <c r="BC149" s="450">
        <v>381</v>
      </c>
      <c r="BD149" s="1904"/>
      <c r="BE149" s="1904"/>
      <c r="BF149" s="1904"/>
      <c r="BG149" s="1904"/>
      <c r="BH149" s="1904"/>
      <c r="BI149" s="1904"/>
      <c r="BJ149" s="1904"/>
      <c r="BK149" s="1904"/>
      <c r="BL149" s="1904"/>
      <c r="BM149" s="1904"/>
      <c r="BN149" s="1904"/>
      <c r="BO149" s="1904"/>
      <c r="BP149" s="1904"/>
      <c r="BQ149" s="1904"/>
      <c r="BR149" s="1904"/>
      <c r="BS149" s="1904"/>
      <c r="BT149" s="1904"/>
      <c r="BU149" s="1904"/>
      <c r="BV149" s="1904"/>
      <c r="BW149" s="1897"/>
      <c r="BX149" s="286"/>
      <c r="BY149" s="1659"/>
      <c r="BZ149" s="975" t="s">
        <v>735</v>
      </c>
      <c r="CA149" s="1077" cm="1" t="str">
        <f t="array" ref="CA149:CA149">CA148</f>
        <v>ТЭ.42.31656254.0001</v>
      </c>
      <c r="CB149" s="1076"/>
      <c r="CC149" s="1076"/>
      <c r="CD149" s="1077" t="s">
        <v>639</v>
      </c>
      <c r="CE149" s="1076"/>
      <c r="CF149" s="1077" t="s">
        <v>704</v>
      </c>
      <c r="CG149" s="1076"/>
      <c r="CH149" s="1076"/>
      <c r="CI149" s="1076"/>
      <c r="CJ149" s="1077" t="s">
        <v>303</v>
      </c>
      <c r="CK149" s="1077" t="s">
        <v>667</v>
      </c>
      <c r="CL149" s="1077" t="s">
        <v>668</v>
      </c>
    </row>
    <row s="1751" customFormat="1" customHeight="1" ht="16.5">
      <c r="A150" s="371"/>
      <c r="B150" s="1548"/>
      <c r="C150" s="1548"/>
      <c r="D150" s="1548"/>
      <c r="E150" s="180">
        <v>17</v>
      </c>
      <c r="F150" s="175" cm="1" t="str">
        <f t="array" ref="F150:F150">OFFSET(G150,-1,-1)</f>
        <v>1</v>
      </c>
      <c r="G150" s="1659"/>
      <c r="H150" s="1659"/>
      <c r="I150" s="1659"/>
      <c r="J150" s="1659"/>
      <c r="K150" s="1659"/>
      <c r="L150" s="1659"/>
      <c r="M150" s="1659"/>
      <c r="N150" s="1659"/>
      <c r="O150" s="1659"/>
      <c r="P150" s="1659"/>
      <c r="Q150" s="1659"/>
      <c r="R150" s="1659"/>
      <c r="S150" s="1659"/>
      <c r="T150" s="753" cm="1" t="str">
        <f t="array" ref="T150:T150">T149</f>
        <v>true</v>
      </c>
      <c r="U150" s="1548"/>
      <c r="V150" s="1548"/>
      <c r="W150" s="1548"/>
      <c r="X150" s="1548"/>
      <c r="Y150" s="1548"/>
      <c r="Z150" s="1548"/>
      <c r="AA150" s="286"/>
      <c r="AB150" s="423" t="str">
        <f>AB146&amp;".4"</f>
        <v>9.1.2.4</v>
      </c>
      <c r="AC150" s="458" t="s">
        <v>705</v>
      </c>
      <c r="AD150" s="424" t="s">
        <v>629</v>
      </c>
      <c r="AE150" s="1898">
        <v>3979</v>
      </c>
      <c r="AF150" s="1898">
        <v>4256</v>
      </c>
      <c r="AG150" s="1898">
        <v>4256</v>
      </c>
      <c r="AH150" s="1898">
        <v>4289</v>
      </c>
      <c r="AI150" s="439">
        <v>4256</v>
      </c>
      <c r="AJ150" s="1898"/>
      <c r="AK150" s="1898"/>
      <c r="AL150" s="1898"/>
      <c r="AM150" s="1898"/>
      <c r="AN150" s="1898"/>
      <c r="AO150" s="1898"/>
      <c r="AP150" s="1898"/>
      <c r="AQ150" s="1898"/>
      <c r="AR150" s="1898"/>
      <c r="AS150" s="1898"/>
      <c r="AT150" s="1898"/>
      <c r="AU150" s="1898"/>
      <c r="AV150" s="1898"/>
      <c r="AW150" s="1898"/>
      <c r="AX150" s="1898"/>
      <c r="AY150" s="1898"/>
      <c r="AZ150" s="1898"/>
      <c r="BA150" s="1898"/>
      <c r="BB150" s="1898"/>
      <c r="BC150" s="439">
        <v>4256</v>
      </c>
      <c r="BD150" s="1898"/>
      <c r="BE150" s="1898"/>
      <c r="BF150" s="1898"/>
      <c r="BG150" s="1898"/>
      <c r="BH150" s="1898"/>
      <c r="BI150" s="1898"/>
      <c r="BJ150" s="1898"/>
      <c r="BK150" s="1898"/>
      <c r="BL150" s="1898"/>
      <c r="BM150" s="1898"/>
      <c r="BN150" s="1898"/>
      <c r="BO150" s="1898"/>
      <c r="BP150" s="1898"/>
      <c r="BQ150" s="1898"/>
      <c r="BR150" s="1898"/>
      <c r="BS150" s="1898"/>
      <c r="BT150" s="1898"/>
      <c r="BU150" s="1898"/>
      <c r="BV150" s="1898"/>
      <c r="BW150" s="1897"/>
      <c r="BX150" s="286"/>
      <c r="BY150" s="1659"/>
      <c r="BZ150" s="975" t="s">
        <v>736</v>
      </c>
      <c r="CA150" s="1077" cm="1" t="str">
        <f t="array" ref="CA150:CA150">CA149</f>
        <v>ТЭ.42.31656254.0001</v>
      </c>
      <c r="CB150" s="1076"/>
      <c r="CC150" s="1076"/>
      <c r="CD150" s="1077" t="s">
        <v>639</v>
      </c>
      <c r="CE150" s="1076"/>
      <c r="CF150" s="1077" t="s">
        <v>707</v>
      </c>
      <c r="CG150" s="1076"/>
      <c r="CH150" s="1076"/>
      <c r="CI150" s="1076"/>
      <c r="CJ150" s="1077" t="s">
        <v>303</v>
      </c>
      <c r="CK150" s="1077" t="s">
        <v>667</v>
      </c>
      <c r="CL150" s="1077" t="s">
        <v>668</v>
      </c>
    </row>
    <row s="1751" customFormat="1" customHeight="1" ht="16.5">
      <c r="A151" s="371"/>
      <c r="B151" s="1548"/>
      <c r="C151" s="1548"/>
      <c r="D151" s="1548"/>
      <c r="E151" s="180">
        <v>17</v>
      </c>
      <c r="F151" s="175" cm="1" t="str">
        <f t="array" ref="F151:F151">OFFSET(G151,-1,-1)</f>
        <v>1</v>
      </c>
      <c r="G151" s="1659"/>
      <c r="H151" s="1659"/>
      <c r="I151" s="1659"/>
      <c r="J151" s="1659"/>
      <c r="K151" s="1659"/>
      <c r="L151" s="1659"/>
      <c r="M151" s="1659"/>
      <c r="N151" s="1659"/>
      <c r="O151" s="1659"/>
      <c r="P151" s="1659"/>
      <c r="Q151" s="1659"/>
      <c r="R151" s="1659"/>
      <c r="S151" s="1659"/>
      <c r="T151" s="753" cm="1" t="str">
        <f t="array" ref="T151:T151">T150</f>
        <v>true</v>
      </c>
      <c r="U151" s="1548"/>
      <c r="V151" s="1548"/>
      <c r="W151" s="1548"/>
      <c r="X151" s="1548"/>
      <c r="Y151" s="1548"/>
      <c r="Z151" s="1548"/>
      <c r="AA151" s="286"/>
      <c r="AB151" s="423" t="str">
        <f>AB143&amp;".2"</f>
        <v>9.2</v>
      </c>
      <c r="AC151" s="446" t="s">
        <v>640</v>
      </c>
      <c r="AD151" s="424" t="s">
        <v>629</v>
      </c>
      <c r="AE151" s="1898">
        <f>AE152+AE153</f>
        <v>0</v>
      </c>
      <c r="AF151" s="1898">
        <f>AF152+AF153</f>
        <v>0</v>
      </c>
      <c r="AG151" s="1898">
        <f>AG152+AG153</f>
        <v>0</v>
      </c>
      <c r="AH151" s="1898">
        <f>AH152+AH153</f>
        <v>0</v>
      </c>
      <c r="AI151" s="439">
        <f>AI152+AI153</f>
        <v>0</v>
      </c>
      <c r="AJ151" s="1898">
        <f>AJ152+AJ153</f>
        <v>0</v>
      </c>
      <c r="AK151" s="1898">
        <f>AK152+AK153</f>
        <v>0</v>
      </c>
      <c r="AL151" s="1898">
        <f>AL152+AL153</f>
        <v>0</v>
      </c>
      <c r="AM151" s="1898">
        <f>AM152+AM153</f>
        <v>0</v>
      </c>
      <c r="AN151" s="1898">
        <f>AN152+AN153</f>
        <v>0</v>
      </c>
      <c r="AO151" s="1898">
        <f>AO152+AO153</f>
        <v>0</v>
      </c>
      <c r="AP151" s="1898">
        <f>AP152+AP153</f>
        <v>0</v>
      </c>
      <c r="AQ151" s="1898">
        <f>AQ152+AQ153</f>
        <v>0</v>
      </c>
      <c r="AR151" s="1898">
        <f>AR152+AR153</f>
        <v>0</v>
      </c>
      <c r="AS151" s="1898">
        <f>AS152+AS153</f>
        <v>0</v>
      </c>
      <c r="AT151" s="1898">
        <f>AT152+AT153</f>
        <v>0</v>
      </c>
      <c r="AU151" s="1898">
        <f>AU152+AU153</f>
        <v>0</v>
      </c>
      <c r="AV151" s="1898">
        <f>AV152+AV153</f>
        <v>0</v>
      </c>
      <c r="AW151" s="1898">
        <f>AW152+AW153</f>
        <v>0</v>
      </c>
      <c r="AX151" s="1898">
        <f>AX152+AX153</f>
        <v>0</v>
      </c>
      <c r="AY151" s="1898">
        <f>AY152+AY153</f>
        <v>0</v>
      </c>
      <c r="AZ151" s="1898">
        <f>AZ152+AZ153</f>
        <v>0</v>
      </c>
      <c r="BA151" s="1898">
        <f>BA152+BA153</f>
        <v>0</v>
      </c>
      <c r="BB151" s="1898">
        <f>BB152+BB153</f>
        <v>0</v>
      </c>
      <c r="BC151" s="439">
        <f>BC152+BC153</f>
        <v>0</v>
      </c>
      <c r="BD151" s="1898">
        <f>BD152+BD153</f>
        <v>0</v>
      </c>
      <c r="BE151" s="1898">
        <f>BE152+BE153</f>
        <v>0</v>
      </c>
      <c r="BF151" s="1898">
        <f>BF152+BF153</f>
        <v>0</v>
      </c>
      <c r="BG151" s="1898">
        <f>BG152+BG153</f>
        <v>0</v>
      </c>
      <c r="BH151" s="1898">
        <f>BH152+BH153</f>
        <v>0</v>
      </c>
      <c r="BI151" s="1898">
        <f>BI152+BI153</f>
        <v>0</v>
      </c>
      <c r="BJ151" s="1898">
        <f>BJ152+BJ153</f>
        <v>0</v>
      </c>
      <c r="BK151" s="1898">
        <f>BK152+BK153</f>
        <v>0</v>
      </c>
      <c r="BL151" s="1898">
        <f>BL152+BL153</f>
        <v>0</v>
      </c>
      <c r="BM151" s="1898">
        <f>BM152+BM153</f>
        <v>0</v>
      </c>
      <c r="BN151" s="1898">
        <f>BN152+BN153</f>
        <v>0</v>
      </c>
      <c r="BO151" s="1898">
        <f>BO152+BO153</f>
        <v>0</v>
      </c>
      <c r="BP151" s="1898">
        <f>BP152+BP153</f>
        <v>0</v>
      </c>
      <c r="BQ151" s="1898">
        <f>BQ152+BQ153</f>
        <v>0</v>
      </c>
      <c r="BR151" s="1898">
        <f>BR152+BR153</f>
        <v>0</v>
      </c>
      <c r="BS151" s="1898">
        <f>BS152+BS153</f>
        <v>0</v>
      </c>
      <c r="BT151" s="1898">
        <f>BT152+BT153</f>
        <v>0</v>
      </c>
      <c r="BU151" s="1898">
        <f>BU152+BU153</f>
        <v>0</v>
      </c>
      <c r="BV151" s="1898">
        <f>BV152+BV153</f>
        <v>0</v>
      </c>
      <c r="BW151" s="1897"/>
      <c r="BX151" s="286"/>
      <c r="BY151" s="1659"/>
      <c r="BZ151" s="975" t="s">
        <v>737</v>
      </c>
      <c r="CA151" s="1077" cm="1" t="str">
        <f t="array" ref="CA151:CA151">CA150</f>
        <v>ТЭ.42.31656254.0001</v>
      </c>
      <c r="CB151" s="1076"/>
      <c r="CC151" s="1076"/>
      <c r="CD151" s="1077" t="s">
        <v>642</v>
      </c>
      <c r="CE151" s="1076"/>
      <c r="CF151" s="1076"/>
      <c r="CG151" s="1076"/>
      <c r="CH151" s="1076"/>
      <c r="CI151" s="1076"/>
      <c r="CJ151" s="1077" t="s">
        <v>303</v>
      </c>
      <c r="CK151" s="1077" t="s">
        <v>667</v>
      </c>
      <c r="CL151" s="1077" t="s">
        <v>668</v>
      </c>
    </row>
    <row s="1751" customFormat="1" customHeight="1" ht="16.5">
      <c r="A152" s="371"/>
      <c r="B152" s="1548"/>
      <c r="C152" s="1548"/>
      <c r="D152" s="1548"/>
      <c r="E152" s="180">
        <v>17</v>
      </c>
      <c r="F152" s="175" cm="1" t="str">
        <f t="array" ref="F152:F152">OFFSET(G152,-1,-1)</f>
        <v>1</v>
      </c>
      <c r="G152" s="1659"/>
      <c r="H152" s="1659"/>
      <c r="I152" s="1659"/>
      <c r="J152" s="1659"/>
      <c r="K152" s="1659"/>
      <c r="L152" s="1659"/>
      <c r="M152" s="1659"/>
      <c r="N152" s="1659"/>
      <c r="O152" s="1659"/>
      <c r="P152" s="1659"/>
      <c r="Q152" s="1659"/>
      <c r="R152" s="1659"/>
      <c r="S152" s="1659"/>
      <c r="T152" s="753" cm="1" t="str">
        <f t="array" ref="T152:T152">T151</f>
        <v>true</v>
      </c>
      <c r="U152" s="1548"/>
      <c r="V152" s="1548"/>
      <c r="W152" s="1548"/>
      <c r="X152" s="1548"/>
      <c r="Y152" s="1548"/>
      <c r="Z152" s="1548"/>
      <c r="AA152" s="286"/>
      <c r="AB152" s="466" t="s">
        <v>738</v>
      </c>
      <c r="AC152" s="455" t="s">
        <v>690</v>
      </c>
      <c r="AD152" s="424" t="s">
        <v>629</v>
      </c>
      <c r="AE152" s="1898"/>
      <c r="AF152" s="1898"/>
      <c r="AG152" s="1898"/>
      <c r="AH152" s="1898"/>
      <c r="AI152" s="439"/>
      <c r="AJ152" s="1898"/>
      <c r="AK152" s="1898"/>
      <c r="AL152" s="1898"/>
      <c r="AM152" s="1898"/>
      <c r="AN152" s="1898"/>
      <c r="AO152" s="1898"/>
      <c r="AP152" s="1898"/>
      <c r="AQ152" s="1898"/>
      <c r="AR152" s="1898"/>
      <c r="AS152" s="1898"/>
      <c r="AT152" s="1898"/>
      <c r="AU152" s="1898"/>
      <c r="AV152" s="1898"/>
      <c r="AW152" s="1898"/>
      <c r="AX152" s="1898"/>
      <c r="AY152" s="1898"/>
      <c r="AZ152" s="1898"/>
      <c r="BA152" s="1898"/>
      <c r="BB152" s="1898"/>
      <c r="BC152" s="439"/>
      <c r="BD152" s="1898"/>
      <c r="BE152" s="1898"/>
      <c r="BF152" s="1898"/>
      <c r="BG152" s="1898"/>
      <c r="BH152" s="1898"/>
      <c r="BI152" s="1898"/>
      <c r="BJ152" s="1898"/>
      <c r="BK152" s="1898"/>
      <c r="BL152" s="1898"/>
      <c r="BM152" s="1898"/>
      <c r="BN152" s="1898"/>
      <c r="BO152" s="1898"/>
      <c r="BP152" s="1898"/>
      <c r="BQ152" s="1898"/>
      <c r="BR152" s="1898"/>
      <c r="BS152" s="1898"/>
      <c r="BT152" s="1898"/>
      <c r="BU152" s="1898"/>
      <c r="BV152" s="1898"/>
      <c r="BW152" s="1897"/>
      <c r="BX152" s="286"/>
      <c r="BY152" s="1659"/>
      <c r="BZ152" s="975" t="s">
        <v>739</v>
      </c>
      <c r="CA152" s="1077" cm="1" t="str">
        <f t="array" ref="CA152:CA152">CA151</f>
        <v>ТЭ.42.31656254.0001</v>
      </c>
      <c r="CB152" s="1076"/>
      <c r="CC152" s="1076"/>
      <c r="CD152" s="1077" t="s">
        <v>642</v>
      </c>
      <c r="CE152" s="1076"/>
      <c r="CF152" s="1076"/>
      <c r="CG152" s="1076"/>
      <c r="CH152" s="1077" t="s">
        <v>692</v>
      </c>
      <c r="CI152" s="1076"/>
      <c r="CJ152" s="1077" t="s">
        <v>303</v>
      </c>
      <c r="CK152" s="1077" t="s">
        <v>667</v>
      </c>
      <c r="CL152" s="1077" t="s">
        <v>668</v>
      </c>
    </row>
    <row s="1751" customFormat="1" customHeight="1" ht="16.5">
      <c r="A153" s="371"/>
      <c r="B153" s="1548"/>
      <c r="C153" s="1548"/>
      <c r="D153" s="1548"/>
      <c r="E153" s="180">
        <v>17</v>
      </c>
      <c r="F153" s="175" cm="1" t="str">
        <f t="array" ref="F153:F153">OFFSET(G153,-1,-1)</f>
        <v>1</v>
      </c>
      <c r="G153" s="1659"/>
      <c r="H153" s="1659"/>
      <c r="I153" s="1659"/>
      <c r="J153" s="1659"/>
      <c r="K153" s="1659"/>
      <c r="L153" s="1659"/>
      <c r="M153" s="1659"/>
      <c r="N153" s="1659"/>
      <c r="O153" s="1659"/>
      <c r="P153" s="1659"/>
      <c r="Q153" s="1659"/>
      <c r="R153" s="1659"/>
      <c r="S153" s="1659"/>
      <c r="T153" s="753" cm="1" t="str">
        <f t="array" ref="T153:T153">T152</f>
        <v>true</v>
      </c>
      <c r="U153" s="1548"/>
      <c r="V153" s="1548"/>
      <c r="W153" s="1548"/>
      <c r="X153" s="1548"/>
      <c r="Y153" s="1548"/>
      <c r="Z153" s="1548"/>
      <c r="AA153" s="286"/>
      <c r="AB153" s="467" t="s">
        <v>740</v>
      </c>
      <c r="AC153" s="456" t="s">
        <v>693</v>
      </c>
      <c r="AD153" s="328" t="s">
        <v>629</v>
      </c>
      <c r="AE153" s="468">
        <f>SUM(AE154:AE157)</f>
        <v>0</v>
      </c>
      <c r="AF153" s="468">
        <f>SUM(AF154:AF157)</f>
        <v>0</v>
      </c>
      <c r="AG153" s="468">
        <f>SUM(AG154:AG157)</f>
        <v>0</v>
      </c>
      <c r="AH153" s="468">
        <f>SUM(AH154:AH157)</f>
        <v>0</v>
      </c>
      <c r="AI153" s="468">
        <f>SUM(AI154:AI157)</f>
        <v>0</v>
      </c>
      <c r="AJ153" s="468">
        <f>SUM(AJ154:AJ157)</f>
        <v>0</v>
      </c>
      <c r="AK153" s="468">
        <f>SUM(AK154:AK157)</f>
        <v>0</v>
      </c>
      <c r="AL153" s="468">
        <f>SUM(AL154:AL157)</f>
        <v>0</v>
      </c>
      <c r="AM153" s="468">
        <f>SUM(AM154:AM157)</f>
        <v>0</v>
      </c>
      <c r="AN153" s="468">
        <f>SUM(AN154:AN157)</f>
        <v>0</v>
      </c>
      <c r="AO153" s="468">
        <f>SUM(AO154:AO157)</f>
        <v>0</v>
      </c>
      <c r="AP153" s="468">
        <f>SUM(AP154:AP157)</f>
        <v>0</v>
      </c>
      <c r="AQ153" s="468">
        <f>SUM(AQ154:AQ157)</f>
        <v>0</v>
      </c>
      <c r="AR153" s="468">
        <f>SUM(AR154:AR157)</f>
        <v>0</v>
      </c>
      <c r="AS153" s="468">
        <f>SUM(AS154:AS157)</f>
        <v>0</v>
      </c>
      <c r="AT153" s="468">
        <f>SUM(AT154:AT157)</f>
        <v>0</v>
      </c>
      <c r="AU153" s="468">
        <f>SUM(AU154:AU157)</f>
        <v>0</v>
      </c>
      <c r="AV153" s="468">
        <f>SUM(AV154:AV157)</f>
        <v>0</v>
      </c>
      <c r="AW153" s="468">
        <f>SUM(AW154:AW157)</f>
        <v>0</v>
      </c>
      <c r="AX153" s="468">
        <f>SUM(AX154:AX157)</f>
        <v>0</v>
      </c>
      <c r="AY153" s="468">
        <f>SUM(AY154:AY157)</f>
        <v>0</v>
      </c>
      <c r="AZ153" s="468">
        <f>SUM(AZ154:AZ157)</f>
        <v>0</v>
      </c>
      <c r="BA153" s="468">
        <f>SUM(BA154:BA157)</f>
        <v>0</v>
      </c>
      <c r="BB153" s="468">
        <f>SUM(BB154:BB157)</f>
        <v>0</v>
      </c>
      <c r="BC153" s="468">
        <f>SUM(BC154:BC157)</f>
        <v>0</v>
      </c>
      <c r="BD153" s="468">
        <f>SUM(BD154:BD157)</f>
        <v>0</v>
      </c>
      <c r="BE153" s="468">
        <f>SUM(BE154:BE157)</f>
        <v>0</v>
      </c>
      <c r="BF153" s="468">
        <f>SUM(BF154:BF157)</f>
        <v>0</v>
      </c>
      <c r="BG153" s="468">
        <f>SUM(BG154:BG157)</f>
        <v>0</v>
      </c>
      <c r="BH153" s="468">
        <f>SUM(BH154:BH157)</f>
        <v>0</v>
      </c>
      <c r="BI153" s="468">
        <f>SUM(BI154:BI157)</f>
        <v>0</v>
      </c>
      <c r="BJ153" s="468">
        <f>SUM(BJ154:BJ157)</f>
        <v>0</v>
      </c>
      <c r="BK153" s="468">
        <f>SUM(BK154:BK157)</f>
        <v>0</v>
      </c>
      <c r="BL153" s="468">
        <f>SUM(BL154:BL157)</f>
        <v>0</v>
      </c>
      <c r="BM153" s="468">
        <f>SUM(BM154:BM157)</f>
        <v>0</v>
      </c>
      <c r="BN153" s="468">
        <f>SUM(BN154:BN157)</f>
        <v>0</v>
      </c>
      <c r="BO153" s="468">
        <f>SUM(BO154:BO157)</f>
        <v>0</v>
      </c>
      <c r="BP153" s="468">
        <f>SUM(BP154:BP157)</f>
        <v>0</v>
      </c>
      <c r="BQ153" s="468">
        <f>SUM(BQ154:BQ157)</f>
        <v>0</v>
      </c>
      <c r="BR153" s="468">
        <f>SUM(BR154:BR157)</f>
        <v>0</v>
      </c>
      <c r="BS153" s="468">
        <f>SUM(BS154:BS157)</f>
        <v>0</v>
      </c>
      <c r="BT153" s="468">
        <f>SUM(BT154:BT157)</f>
        <v>0</v>
      </c>
      <c r="BU153" s="468">
        <f>SUM(BU154:BU157)</f>
        <v>0</v>
      </c>
      <c r="BV153" s="468">
        <f>SUM(BV154:BV157)</f>
        <v>0</v>
      </c>
      <c r="BW153" s="1897"/>
      <c r="BX153" s="286"/>
      <c r="BY153" s="1659"/>
      <c r="BZ153" s="975" t="s">
        <v>741</v>
      </c>
      <c r="CA153" s="1077" cm="1" t="str">
        <f t="array" ref="CA153:CA153">CA152</f>
        <v>ТЭ.42.31656254.0001</v>
      </c>
      <c r="CB153" s="1076"/>
      <c r="CC153" s="1076"/>
      <c r="CD153" s="1077" t="s">
        <v>642</v>
      </c>
      <c r="CE153" s="1076"/>
      <c r="CF153" s="1076"/>
      <c r="CG153" s="1076"/>
      <c r="CH153" s="1077" t="s">
        <v>695</v>
      </c>
      <c r="CI153" s="1076"/>
      <c r="CJ153" s="1077" t="s">
        <v>303</v>
      </c>
      <c r="CK153" s="1077" t="s">
        <v>667</v>
      </c>
      <c r="CL153" s="1077" t="s">
        <v>668</v>
      </c>
    </row>
    <row s="1751" customFormat="1" customHeight="1" ht="16.5">
      <c r="A154" s="371"/>
      <c r="B154" s="1548"/>
      <c r="C154" s="1548"/>
      <c r="D154" s="1548"/>
      <c r="E154" s="180">
        <v>17</v>
      </c>
      <c r="F154" s="175" cm="1" t="str">
        <f t="array" ref="F154:F154">OFFSET(G154,-1,-1)</f>
        <v>1</v>
      </c>
      <c r="G154" s="1659"/>
      <c r="H154" s="1659"/>
      <c r="I154" s="1659"/>
      <c r="J154" s="1659"/>
      <c r="K154" s="1659"/>
      <c r="L154" s="1659"/>
      <c r="M154" s="1659"/>
      <c r="N154" s="1659"/>
      <c r="O154" s="1659"/>
      <c r="P154" s="1659"/>
      <c r="Q154" s="1659"/>
      <c r="R154" s="1659"/>
      <c r="S154" s="1659"/>
      <c r="T154" s="753" cm="1" t="str">
        <f t="array" ref="T154:T154">T153</f>
        <v>true</v>
      </c>
      <c r="U154" s="1548"/>
      <c r="V154" s="1548"/>
      <c r="W154" s="1548"/>
      <c r="X154" s="1548"/>
      <c r="Y154" s="1548"/>
      <c r="Z154" s="1548"/>
      <c r="AA154" s="286"/>
      <c r="AB154" s="466" t="s">
        <v>742</v>
      </c>
      <c r="AC154" s="457" t="s">
        <v>696</v>
      </c>
      <c r="AD154" s="424" t="s">
        <v>629</v>
      </c>
      <c r="AE154" s="1911"/>
      <c r="AF154" s="1911"/>
      <c r="AG154" s="1911"/>
      <c r="AH154" s="1911"/>
      <c r="AI154" s="465"/>
      <c r="AJ154" s="1911"/>
      <c r="AK154" s="1911"/>
      <c r="AL154" s="1911"/>
      <c r="AM154" s="1911"/>
      <c r="AN154" s="1911"/>
      <c r="AO154" s="1911"/>
      <c r="AP154" s="1911"/>
      <c r="AQ154" s="1911"/>
      <c r="AR154" s="1911"/>
      <c r="AS154" s="1911"/>
      <c r="AT154" s="1911"/>
      <c r="AU154" s="1911"/>
      <c r="AV154" s="1911"/>
      <c r="AW154" s="1911"/>
      <c r="AX154" s="1911"/>
      <c r="AY154" s="1911"/>
      <c r="AZ154" s="1911"/>
      <c r="BA154" s="1911"/>
      <c r="BB154" s="1911"/>
      <c r="BC154" s="465"/>
      <c r="BD154" s="1911"/>
      <c r="BE154" s="1911"/>
      <c r="BF154" s="1911"/>
      <c r="BG154" s="1911"/>
      <c r="BH154" s="1911"/>
      <c r="BI154" s="1911"/>
      <c r="BJ154" s="1911"/>
      <c r="BK154" s="1911"/>
      <c r="BL154" s="1911"/>
      <c r="BM154" s="1911"/>
      <c r="BN154" s="1911"/>
      <c r="BO154" s="1911"/>
      <c r="BP154" s="1911"/>
      <c r="BQ154" s="1911"/>
      <c r="BR154" s="1911"/>
      <c r="BS154" s="1911"/>
      <c r="BT154" s="1911"/>
      <c r="BU154" s="1911"/>
      <c r="BV154" s="1911"/>
      <c r="BW154" s="1897"/>
      <c r="BX154" s="286"/>
      <c r="BY154" s="1659"/>
      <c r="BZ154" s="975" t="s">
        <v>743</v>
      </c>
      <c r="CA154" s="1077" cm="1" t="str">
        <f t="array" ref="CA154:CA154">CA153</f>
        <v>ТЭ.42.31656254.0001</v>
      </c>
      <c r="CB154" s="1076"/>
      <c r="CC154" s="1076"/>
      <c r="CD154" s="1077" t="s">
        <v>642</v>
      </c>
      <c r="CE154" s="1076"/>
      <c r="CF154" s="1076"/>
      <c r="CG154" s="1077" t="s">
        <v>698</v>
      </c>
      <c r="CH154" s="1076"/>
      <c r="CI154" s="1076"/>
      <c r="CJ154" s="1077" t="s">
        <v>303</v>
      </c>
      <c r="CK154" s="1077" t="s">
        <v>667</v>
      </c>
      <c r="CL154" s="1077" t="s">
        <v>668</v>
      </c>
    </row>
    <row s="1751" customFormat="1" customHeight="1" ht="16.5">
      <c r="A155" s="371"/>
      <c r="B155" s="1548"/>
      <c r="C155" s="1548"/>
      <c r="D155" s="1548"/>
      <c r="E155" s="180">
        <v>17</v>
      </c>
      <c r="F155" s="175" cm="1" t="str">
        <f t="array" ref="F155:F155">OFFSET(G155,-1,-1)</f>
        <v>1</v>
      </c>
      <c r="G155" s="1659"/>
      <c r="H155" s="1659"/>
      <c r="I155" s="1659"/>
      <c r="J155" s="1659"/>
      <c r="K155" s="1659"/>
      <c r="L155" s="1659"/>
      <c r="M155" s="1659"/>
      <c r="N155" s="1659"/>
      <c r="O155" s="1659"/>
      <c r="P155" s="1659"/>
      <c r="Q155" s="1659"/>
      <c r="R155" s="1659"/>
      <c r="S155" s="1659"/>
      <c r="T155" s="753" cm="1" t="str">
        <f t="array" ref="T155:T155">T154</f>
        <v>true</v>
      </c>
      <c r="U155" s="1548"/>
      <c r="V155" s="1548"/>
      <c r="W155" s="1548"/>
      <c r="X155" s="1548"/>
      <c r="Y155" s="1548"/>
      <c r="Z155" s="1548"/>
      <c r="AA155" s="286"/>
      <c r="AB155" s="466" t="s">
        <v>744</v>
      </c>
      <c r="AC155" s="458" t="s">
        <v>699</v>
      </c>
      <c r="AD155" s="328" t="s">
        <v>629</v>
      </c>
      <c r="AE155" s="1904"/>
      <c r="AF155" s="1904"/>
      <c r="AG155" s="1904"/>
      <c r="AH155" s="1904"/>
      <c r="AI155" s="450"/>
      <c r="AJ155" s="1904"/>
      <c r="AK155" s="1904"/>
      <c r="AL155" s="1904"/>
      <c r="AM155" s="1904"/>
      <c r="AN155" s="1904"/>
      <c r="AO155" s="1904"/>
      <c r="AP155" s="1904"/>
      <c r="AQ155" s="1904"/>
      <c r="AR155" s="1904"/>
      <c r="AS155" s="1904"/>
      <c r="AT155" s="1904"/>
      <c r="AU155" s="1904"/>
      <c r="AV155" s="1904"/>
      <c r="AW155" s="1904"/>
      <c r="AX155" s="1904"/>
      <c r="AY155" s="1904"/>
      <c r="AZ155" s="1904"/>
      <c r="BA155" s="1904"/>
      <c r="BB155" s="1904"/>
      <c r="BC155" s="450"/>
      <c r="BD155" s="1904"/>
      <c r="BE155" s="1904"/>
      <c r="BF155" s="1904"/>
      <c r="BG155" s="1904"/>
      <c r="BH155" s="1904"/>
      <c r="BI155" s="1904"/>
      <c r="BJ155" s="1904"/>
      <c r="BK155" s="1904"/>
      <c r="BL155" s="1904"/>
      <c r="BM155" s="1904"/>
      <c r="BN155" s="1904"/>
      <c r="BO155" s="1904"/>
      <c r="BP155" s="1904"/>
      <c r="BQ155" s="1904"/>
      <c r="BR155" s="1904"/>
      <c r="BS155" s="1904"/>
      <c r="BT155" s="1904"/>
      <c r="BU155" s="1904"/>
      <c r="BV155" s="1904"/>
      <c r="BW155" s="1897"/>
      <c r="BX155" s="286"/>
      <c r="BY155" s="1659"/>
      <c r="BZ155" s="975" t="s">
        <v>745</v>
      </c>
      <c r="CA155" s="1077" cm="1" t="str">
        <f t="array" ref="CA155:CA155">CA154</f>
        <v>ТЭ.42.31656254.0001</v>
      </c>
      <c r="CB155" s="1076"/>
      <c r="CC155" s="1076"/>
      <c r="CD155" s="1077" t="s">
        <v>642</v>
      </c>
      <c r="CE155" s="1076"/>
      <c r="CF155" s="1077" t="s">
        <v>701</v>
      </c>
      <c r="CG155" s="1076"/>
      <c r="CH155" s="1076"/>
      <c r="CI155" s="1076"/>
      <c r="CJ155" s="1077" t="s">
        <v>303</v>
      </c>
      <c r="CK155" s="1077" t="s">
        <v>667</v>
      </c>
      <c r="CL155" s="1077" t="s">
        <v>668</v>
      </c>
    </row>
    <row s="1751" customFormat="1" customHeight="1" ht="16.5">
      <c r="A156" s="371"/>
      <c r="B156" s="1548"/>
      <c r="C156" s="1548"/>
      <c r="D156" s="1548"/>
      <c r="E156" s="180">
        <v>17</v>
      </c>
      <c r="F156" s="175" cm="1" t="str">
        <f t="array" ref="F156:F156">OFFSET(G156,-1,-1)</f>
        <v>1</v>
      </c>
      <c r="G156" s="1659"/>
      <c r="H156" s="1659"/>
      <c r="I156" s="1659"/>
      <c r="J156" s="1659"/>
      <c r="K156" s="1659"/>
      <c r="L156" s="1659"/>
      <c r="M156" s="1659"/>
      <c r="N156" s="1659"/>
      <c r="O156" s="1659"/>
      <c r="P156" s="1659"/>
      <c r="Q156" s="1659"/>
      <c r="R156" s="1659"/>
      <c r="S156" s="1659"/>
      <c r="T156" s="753" cm="1" t="str">
        <f t="array" ref="T156:T156">T155</f>
        <v>true</v>
      </c>
      <c r="U156" s="1548"/>
      <c r="V156" s="1548"/>
      <c r="W156" s="1548"/>
      <c r="X156" s="1548"/>
      <c r="Y156" s="1548"/>
      <c r="Z156" s="1548"/>
      <c r="AA156" s="286"/>
      <c r="AB156" s="469" t="s">
        <v>746</v>
      </c>
      <c r="AC156" s="458" t="s">
        <v>702</v>
      </c>
      <c r="AD156" s="424" t="s">
        <v>629</v>
      </c>
      <c r="AE156" s="1898"/>
      <c r="AF156" s="1898"/>
      <c r="AG156" s="1898"/>
      <c r="AH156" s="1898"/>
      <c r="AI156" s="439"/>
      <c r="AJ156" s="1898"/>
      <c r="AK156" s="1898"/>
      <c r="AL156" s="1898"/>
      <c r="AM156" s="1898"/>
      <c r="AN156" s="1898"/>
      <c r="AO156" s="1898"/>
      <c r="AP156" s="1898"/>
      <c r="AQ156" s="1898"/>
      <c r="AR156" s="1898"/>
      <c r="AS156" s="1898"/>
      <c r="AT156" s="1898"/>
      <c r="AU156" s="1898"/>
      <c r="AV156" s="1898"/>
      <c r="AW156" s="1898"/>
      <c r="AX156" s="1898"/>
      <c r="AY156" s="1898"/>
      <c r="AZ156" s="1898"/>
      <c r="BA156" s="1898"/>
      <c r="BB156" s="1898"/>
      <c r="BC156" s="439"/>
      <c r="BD156" s="1898"/>
      <c r="BE156" s="1898"/>
      <c r="BF156" s="1898"/>
      <c r="BG156" s="1898"/>
      <c r="BH156" s="1898"/>
      <c r="BI156" s="1898"/>
      <c r="BJ156" s="1898"/>
      <c r="BK156" s="1898"/>
      <c r="BL156" s="1898"/>
      <c r="BM156" s="1898"/>
      <c r="BN156" s="1898"/>
      <c r="BO156" s="1898"/>
      <c r="BP156" s="1898"/>
      <c r="BQ156" s="1898"/>
      <c r="BR156" s="1898"/>
      <c r="BS156" s="1898"/>
      <c r="BT156" s="1898"/>
      <c r="BU156" s="1898"/>
      <c r="BV156" s="1898"/>
      <c r="BW156" s="1897"/>
      <c r="BX156" s="286"/>
      <c r="BY156" s="1659"/>
      <c r="BZ156" s="975" t="s">
        <v>747</v>
      </c>
      <c r="CA156" s="1077" cm="1" t="str">
        <f t="array" ref="CA156:CA156">CA155</f>
        <v>ТЭ.42.31656254.0001</v>
      </c>
      <c r="CB156" s="1076"/>
      <c r="CC156" s="1076"/>
      <c r="CD156" s="1077" t="s">
        <v>642</v>
      </c>
      <c r="CE156" s="1076"/>
      <c r="CF156" s="1077" t="s">
        <v>704</v>
      </c>
      <c r="CG156" s="1076"/>
      <c r="CH156" s="1076"/>
      <c r="CI156" s="1076"/>
      <c r="CJ156" s="1077" t="s">
        <v>303</v>
      </c>
      <c r="CK156" s="1077" t="s">
        <v>667</v>
      </c>
      <c r="CL156" s="1077" t="s">
        <v>668</v>
      </c>
    </row>
    <row s="1751" customFormat="1" customHeight="1" ht="16.5">
      <c r="A157" s="371"/>
      <c r="B157" s="1548"/>
      <c r="C157" s="1548"/>
      <c r="D157" s="1548"/>
      <c r="E157" s="180">
        <v>17</v>
      </c>
      <c r="F157" s="175" cm="1" t="str">
        <f t="array" ref="F157:F157">OFFSET(G157,-1,-1)</f>
        <v>1</v>
      </c>
      <c r="G157" s="1659"/>
      <c r="H157" s="1659"/>
      <c r="I157" s="1659"/>
      <c r="J157" s="1659"/>
      <c r="K157" s="1659"/>
      <c r="L157" s="1659"/>
      <c r="M157" s="1659"/>
      <c r="N157" s="1659"/>
      <c r="O157" s="1659"/>
      <c r="P157" s="1659"/>
      <c r="Q157" s="1659"/>
      <c r="R157" s="1659"/>
      <c r="S157" s="1659"/>
      <c r="T157" s="753" cm="1" t="str">
        <f t="array" ref="T157:T157">T156</f>
        <v>true</v>
      </c>
      <c r="U157" s="1548"/>
      <c r="V157" s="1548"/>
      <c r="W157" s="1548"/>
      <c r="X157" s="1548"/>
      <c r="Y157" s="1548"/>
      <c r="Z157" s="1548"/>
      <c r="AA157" s="286"/>
      <c r="AB157" s="470" t="s">
        <v>748</v>
      </c>
      <c r="AC157" s="458" t="s">
        <v>705</v>
      </c>
      <c r="AD157" s="424" t="s">
        <v>629</v>
      </c>
      <c r="AE157" s="1898"/>
      <c r="AF157" s="1898"/>
      <c r="AG157" s="1898"/>
      <c r="AH157" s="1898"/>
      <c r="AI157" s="439"/>
      <c r="AJ157" s="1898"/>
      <c r="AK157" s="1898"/>
      <c r="AL157" s="1898"/>
      <c r="AM157" s="1898"/>
      <c r="AN157" s="1898"/>
      <c r="AO157" s="1898"/>
      <c r="AP157" s="1898"/>
      <c r="AQ157" s="1898"/>
      <c r="AR157" s="1898"/>
      <c r="AS157" s="1898"/>
      <c r="AT157" s="1898"/>
      <c r="AU157" s="1898"/>
      <c r="AV157" s="1898"/>
      <c r="AW157" s="1898"/>
      <c r="AX157" s="1898"/>
      <c r="AY157" s="1898"/>
      <c r="AZ157" s="1898"/>
      <c r="BA157" s="1898"/>
      <c r="BB157" s="1898"/>
      <c r="BC157" s="439"/>
      <c r="BD157" s="1898"/>
      <c r="BE157" s="1898"/>
      <c r="BF157" s="1898"/>
      <c r="BG157" s="1898"/>
      <c r="BH157" s="1898"/>
      <c r="BI157" s="1898"/>
      <c r="BJ157" s="1898"/>
      <c r="BK157" s="1898"/>
      <c r="BL157" s="1898"/>
      <c r="BM157" s="1898"/>
      <c r="BN157" s="1898"/>
      <c r="BO157" s="1898"/>
      <c r="BP157" s="1898"/>
      <c r="BQ157" s="1898"/>
      <c r="BR157" s="1898"/>
      <c r="BS157" s="1898"/>
      <c r="BT157" s="1898"/>
      <c r="BU157" s="1898"/>
      <c r="BV157" s="1898"/>
      <c r="BW157" s="1897"/>
      <c r="BX157" s="286"/>
      <c r="BY157" s="1659"/>
      <c r="BZ157" s="975" t="s">
        <v>749</v>
      </c>
      <c r="CA157" s="1077" cm="1" t="str">
        <f t="array" ref="CA157:CA157">CA156</f>
        <v>ТЭ.42.31656254.0001</v>
      </c>
      <c r="CB157" s="1076"/>
      <c r="CC157" s="1076"/>
      <c r="CD157" s="1077" t="s">
        <v>642</v>
      </c>
      <c r="CE157" s="1076"/>
      <c r="CF157" s="1077" t="s">
        <v>707</v>
      </c>
      <c r="CG157" s="1076"/>
      <c r="CH157" s="1076"/>
      <c r="CI157" s="1076"/>
      <c r="CJ157" s="1077" t="s">
        <v>303</v>
      </c>
      <c r="CK157" s="1077" t="s">
        <v>667</v>
      </c>
      <c r="CL157" s="1077" t="s">
        <v>668</v>
      </c>
    </row>
    <row s="1751" customFormat="1" customHeight="1" ht="24.75" hidden="1">
      <c r="A158" s="371"/>
      <c r="B158" s="1548"/>
      <c r="C158" s="1548"/>
      <c r="D158" s="1548"/>
      <c r="E158" s="180">
        <v>26</v>
      </c>
      <c r="F158" s="175" cm="1" t="str">
        <f t="array" ref="F158:F158">OFFSET(G158,-1,-1)</f>
        <v>1</v>
      </c>
      <c r="G158" s="1659"/>
      <c r="H158" s="1659"/>
      <c r="I158" s="1659"/>
      <c r="J158" s="1659"/>
      <c r="K158" s="1659"/>
      <c r="L158" s="1659"/>
      <c r="M158" s="1659"/>
      <c r="N158" s="1659"/>
      <c r="O158" s="193" t="s">
        <v>750</v>
      </c>
      <c r="P158" s="1659"/>
      <c r="Q158" s="1659"/>
      <c r="R158" s="1659"/>
      <c r="S158" s="1659"/>
      <c r="T158" s="753">
        <f>AND(T157,H96="двухставочный")</f>
        <v>0</v>
      </c>
      <c r="U158" s="1548"/>
      <c r="V158" s="1548"/>
      <c r="W158" s="1548"/>
      <c r="X158" s="1548"/>
      <c r="Y158" s="1548"/>
      <c r="Z158" s="1548"/>
      <c r="AA158" s="286"/>
      <c r="AB158" s="436">
        <v>10</v>
      </c>
      <c r="AC158" s="471" t="s">
        <v>751</v>
      </c>
      <c r="AD158" s="472" t="s">
        <v>752</v>
      </c>
      <c r="AE158" s="438">
        <f>SUM(AE159:AE162)</f>
        <v>0</v>
      </c>
      <c r="AF158" s="438">
        <f>SUM(AF159:AF162)</f>
        <v>0</v>
      </c>
      <c r="AG158" s="438">
        <f>SUM(AG159:AG162)</f>
        <v>0</v>
      </c>
      <c r="AH158" s="438">
        <f>SUM(AH159:AH162)</f>
        <v>0</v>
      </c>
      <c r="AI158" s="438">
        <f>SUM(AI159:AI162)</f>
        <v>0</v>
      </c>
      <c r="AJ158" s="438">
        <f>SUM(AJ159:AJ162)</f>
        <v>0</v>
      </c>
      <c r="AK158" s="438">
        <f>SUM(AK159:AK162)</f>
        <v>0</v>
      </c>
      <c r="AL158" s="438">
        <f>SUM(AL159:AL162)</f>
        <v>0</v>
      </c>
      <c r="AM158" s="438">
        <f>SUM(AM159:AM162)</f>
        <v>0</v>
      </c>
      <c r="AN158" s="438">
        <f>SUM(AN159:AN162)</f>
        <v>0</v>
      </c>
      <c r="AO158" s="438">
        <f>SUM(AO159:AO162)</f>
        <v>0</v>
      </c>
      <c r="AP158" s="438">
        <f>SUM(AP159:AP162)</f>
        <v>0</v>
      </c>
      <c r="AQ158" s="438">
        <f>SUM(AQ159:AQ162)</f>
        <v>0</v>
      </c>
      <c r="AR158" s="438">
        <f>SUM(AR159:AR162)</f>
        <v>0</v>
      </c>
      <c r="AS158" s="438">
        <f>SUM(AS159:AS162)</f>
        <v>0</v>
      </c>
      <c r="AT158" s="438">
        <f>SUM(AT159:AT162)</f>
        <v>0</v>
      </c>
      <c r="AU158" s="438">
        <f>SUM(AU159:AU162)</f>
        <v>0</v>
      </c>
      <c r="AV158" s="438">
        <f>SUM(AV159:AV162)</f>
        <v>0</v>
      </c>
      <c r="AW158" s="438">
        <f>SUM(AW159:AW162)</f>
        <v>0</v>
      </c>
      <c r="AX158" s="438">
        <f>SUM(AX159:AX162)</f>
        <v>0</v>
      </c>
      <c r="AY158" s="438">
        <f>SUM(AY159:AY162)</f>
        <v>0</v>
      </c>
      <c r="AZ158" s="438">
        <f>SUM(AZ159:AZ162)</f>
        <v>0</v>
      </c>
      <c r="BA158" s="438">
        <f>SUM(BA159:BA162)</f>
        <v>0</v>
      </c>
      <c r="BB158" s="438">
        <f>SUM(BB159:BB162)</f>
        <v>0</v>
      </c>
      <c r="BC158" s="438">
        <f>SUM(BC159:BC162)</f>
        <v>0</v>
      </c>
      <c r="BD158" s="438">
        <f>SUM(BD159:BD162)</f>
        <v>0</v>
      </c>
      <c r="BE158" s="438">
        <f>SUM(BE159:BE162)</f>
        <v>0</v>
      </c>
      <c r="BF158" s="438">
        <f>SUM(BF159:BF162)</f>
        <v>0</v>
      </c>
      <c r="BG158" s="438">
        <f>SUM(BG159:BG162)</f>
        <v>0</v>
      </c>
      <c r="BH158" s="438">
        <f>SUM(BH159:BH162)</f>
        <v>0</v>
      </c>
      <c r="BI158" s="438">
        <f>SUM(BI159:BI162)</f>
        <v>0</v>
      </c>
      <c r="BJ158" s="438">
        <f>SUM(BJ159:BJ162)</f>
        <v>0</v>
      </c>
      <c r="BK158" s="438">
        <f>SUM(BK159:BK162)</f>
        <v>0</v>
      </c>
      <c r="BL158" s="438">
        <f>SUM(BL159:BL162)</f>
        <v>0</v>
      </c>
      <c r="BM158" s="438">
        <f>SUM(BM159:BM162)</f>
        <v>0</v>
      </c>
      <c r="BN158" s="438">
        <f>SUM(BN159:BN162)</f>
        <v>0</v>
      </c>
      <c r="BO158" s="438">
        <f>SUM(BO159:BO162)</f>
        <v>0</v>
      </c>
      <c r="BP158" s="438">
        <f>SUM(BP159:BP162)</f>
        <v>0</v>
      </c>
      <c r="BQ158" s="438">
        <f>SUM(BQ159:BQ162)</f>
        <v>0</v>
      </c>
      <c r="BR158" s="438">
        <f>SUM(BR159:BR162)</f>
        <v>0</v>
      </c>
      <c r="BS158" s="438">
        <f>SUM(BS159:BS162)</f>
        <v>0</v>
      </c>
      <c r="BT158" s="438">
        <f>SUM(BT159:BT162)</f>
        <v>0</v>
      </c>
      <c r="BU158" s="438">
        <f>SUM(BU159:BU162)</f>
        <v>0</v>
      </c>
      <c r="BV158" s="438">
        <f>SUM(BV159:BV162)</f>
        <v>0</v>
      </c>
      <c r="BW158" s="83"/>
      <c r="BX158" s="286"/>
      <c r="BY158" s="1659"/>
      <c r="BZ158" s="975" t="s">
        <v>753</v>
      </c>
      <c r="CA158" s="1077" cm="1" t="str">
        <f t="array" ref="CA158:CA158">CA157</f>
        <v>ТЭ.42.31656254.0001</v>
      </c>
      <c r="CB158" s="1076"/>
      <c r="CC158" s="1076"/>
      <c r="CD158" s="1076"/>
      <c r="CE158" s="1076"/>
      <c r="CF158" s="1076"/>
      <c r="CG158" s="1076"/>
      <c r="CH158" s="1076"/>
      <c r="CI158" s="1077" t="s">
        <v>449</v>
      </c>
      <c r="CJ158" s="1077" t="s">
        <v>303</v>
      </c>
      <c r="CK158" s="1077" t="s">
        <v>754</v>
      </c>
      <c r="CL158" s="1077" t="s">
        <v>755</v>
      </c>
    </row>
    <row s="1751" customFormat="1" customHeight="1" ht="16.5" hidden="1">
      <c r="A159" s="371"/>
      <c r="B159" s="1548"/>
      <c r="C159" s="1548"/>
      <c r="D159" s="1548"/>
      <c r="E159" s="180">
        <v>17</v>
      </c>
      <c r="F159" s="175" cm="1" t="str">
        <f t="array" ref="F159:F159">OFFSET(G159,-1,-1)</f>
        <v>1</v>
      </c>
      <c r="G159" s="1659"/>
      <c r="H159" s="1659"/>
      <c r="I159" s="1659"/>
      <c r="J159" s="1659"/>
      <c r="K159" s="1659"/>
      <c r="L159" s="1659"/>
      <c r="M159" s="1659"/>
      <c r="N159" s="1659"/>
      <c r="O159" s="193" t="s">
        <v>750</v>
      </c>
      <c r="P159" s="1659"/>
      <c r="Q159" s="1659"/>
      <c r="R159" s="1659"/>
      <c r="S159" s="1659"/>
      <c r="T159" s="753" cm="1" t="str">
        <f t="array" ref="T159:T159">T158</f>
        <v>false</v>
      </c>
      <c r="U159" s="1548"/>
      <c r="V159" s="1548"/>
      <c r="W159" s="1548"/>
      <c r="X159" s="1548"/>
      <c r="Y159" s="1548"/>
      <c r="Z159" s="1548"/>
      <c r="AA159" s="286"/>
      <c r="AB159" s="423" t="str">
        <f>AB158&amp;".1"</f>
        <v>10.1</v>
      </c>
      <c r="AC159" s="473" t="s">
        <v>696</v>
      </c>
      <c r="AD159" s="472" t="s">
        <v>752</v>
      </c>
      <c r="AE159" s="47"/>
      <c r="AF159" s="47"/>
      <c r="AG159" s="47"/>
      <c r="AH159" s="47"/>
      <c r="AI159" s="439"/>
      <c r="AJ159" s="47"/>
      <c r="AK159" s="47"/>
      <c r="AL159" s="47"/>
      <c r="AM159" s="47"/>
      <c r="AN159" s="47"/>
      <c r="AO159" s="47"/>
      <c r="AP159" s="47"/>
      <c r="AQ159" s="47"/>
      <c r="AR159" s="47"/>
      <c r="AS159" s="47"/>
      <c r="AT159" s="47"/>
      <c r="AU159" s="47"/>
      <c r="AV159" s="47"/>
      <c r="AW159" s="47"/>
      <c r="AX159" s="47"/>
      <c r="AY159" s="47"/>
      <c r="AZ159" s="47"/>
      <c r="BA159" s="47"/>
      <c r="BB159" s="47"/>
      <c r="BC159" s="439"/>
      <c r="BD159" s="47"/>
      <c r="BE159" s="47"/>
      <c r="BF159" s="47"/>
      <c r="BG159" s="47"/>
      <c r="BH159" s="47"/>
      <c r="BI159" s="47"/>
      <c r="BJ159" s="47"/>
      <c r="BK159" s="47"/>
      <c r="BL159" s="47"/>
      <c r="BM159" s="47"/>
      <c r="BN159" s="47"/>
      <c r="BO159" s="47"/>
      <c r="BP159" s="47"/>
      <c r="BQ159" s="47"/>
      <c r="BR159" s="47"/>
      <c r="BS159" s="47"/>
      <c r="BT159" s="47"/>
      <c r="BU159" s="47"/>
      <c r="BV159" s="47"/>
      <c r="BW159" s="83"/>
      <c r="BX159" s="286"/>
      <c r="BY159" s="1659"/>
      <c r="BZ159" s="975" t="s">
        <v>756</v>
      </c>
      <c r="CA159" s="1077" cm="1" t="str">
        <f t="array" ref="CA159:CA159">CA158</f>
        <v>ТЭ.42.31656254.0001</v>
      </c>
      <c r="CB159" s="1076"/>
      <c r="CC159" s="1076"/>
      <c r="CD159" s="1076"/>
      <c r="CE159" s="1076"/>
      <c r="CF159" s="1076"/>
      <c r="CG159" s="1077" t="s">
        <v>698</v>
      </c>
      <c r="CH159" s="1076"/>
      <c r="CI159" s="1077" t="s">
        <v>255</v>
      </c>
      <c r="CJ159" s="1077" t="s">
        <v>303</v>
      </c>
      <c r="CK159" s="1077" t="s">
        <v>754</v>
      </c>
      <c r="CL159" s="1077" t="s">
        <v>755</v>
      </c>
    </row>
    <row s="1751" customFormat="1" customHeight="1" ht="16.5" hidden="1">
      <c r="A160" s="371"/>
      <c r="B160" s="1548"/>
      <c r="C160" s="1548"/>
      <c r="D160" s="1548"/>
      <c r="E160" s="180">
        <v>17</v>
      </c>
      <c r="F160" s="175" cm="1" t="str">
        <f t="array" ref="F160:F160">OFFSET(G160,-1,-1)</f>
        <v>1</v>
      </c>
      <c r="G160" s="1659"/>
      <c r="H160" s="1659"/>
      <c r="I160" s="1659"/>
      <c r="J160" s="1659"/>
      <c r="K160" s="1659"/>
      <c r="L160" s="1659"/>
      <c r="M160" s="1659"/>
      <c r="N160" s="1659"/>
      <c r="O160" s="193" t="s">
        <v>750</v>
      </c>
      <c r="P160" s="1659"/>
      <c r="Q160" s="1659"/>
      <c r="R160" s="1659"/>
      <c r="S160" s="1659"/>
      <c r="T160" s="753" cm="1" t="str">
        <f t="array" ref="T160:T160">T159</f>
        <v>false</v>
      </c>
      <c r="U160" s="1548"/>
      <c r="V160" s="1548"/>
      <c r="W160" s="1548"/>
      <c r="X160" s="1548"/>
      <c r="Y160" s="1548"/>
      <c r="Z160" s="1548"/>
      <c r="AA160" s="286"/>
      <c r="AB160" s="423" t="str">
        <f>AB158&amp;".2"</f>
        <v>10.2</v>
      </c>
      <c r="AC160" s="474" t="s">
        <v>699</v>
      </c>
      <c r="AD160" s="472" t="s">
        <v>752</v>
      </c>
      <c r="AE160" s="47"/>
      <c r="AF160" s="47"/>
      <c r="AG160" s="47"/>
      <c r="AH160" s="47"/>
      <c r="AI160" s="439"/>
      <c r="AJ160" s="47"/>
      <c r="AK160" s="47"/>
      <c r="AL160" s="47"/>
      <c r="AM160" s="47"/>
      <c r="AN160" s="47"/>
      <c r="AO160" s="47"/>
      <c r="AP160" s="47"/>
      <c r="AQ160" s="47"/>
      <c r="AR160" s="47"/>
      <c r="AS160" s="47"/>
      <c r="AT160" s="47"/>
      <c r="AU160" s="47"/>
      <c r="AV160" s="47"/>
      <c r="AW160" s="47"/>
      <c r="AX160" s="47"/>
      <c r="AY160" s="47"/>
      <c r="AZ160" s="47"/>
      <c r="BA160" s="47"/>
      <c r="BB160" s="47"/>
      <c r="BC160" s="439"/>
      <c r="BD160" s="47"/>
      <c r="BE160" s="47"/>
      <c r="BF160" s="47"/>
      <c r="BG160" s="47"/>
      <c r="BH160" s="47"/>
      <c r="BI160" s="47"/>
      <c r="BJ160" s="47"/>
      <c r="BK160" s="47"/>
      <c r="BL160" s="47"/>
      <c r="BM160" s="47"/>
      <c r="BN160" s="47"/>
      <c r="BO160" s="47"/>
      <c r="BP160" s="47"/>
      <c r="BQ160" s="47"/>
      <c r="BR160" s="47"/>
      <c r="BS160" s="47"/>
      <c r="BT160" s="47"/>
      <c r="BU160" s="47"/>
      <c r="BV160" s="47"/>
      <c r="BW160" s="83"/>
      <c r="BX160" s="286"/>
      <c r="BY160" s="1659"/>
      <c r="BZ160" s="975" t="s">
        <v>757</v>
      </c>
      <c r="CA160" s="1077" cm="1" t="str">
        <f t="array" ref="CA160:CA160">CA159</f>
        <v>ТЭ.42.31656254.0001</v>
      </c>
      <c r="CB160" s="1076"/>
      <c r="CC160" s="1076"/>
      <c r="CD160" s="1076"/>
      <c r="CE160" s="1076"/>
      <c r="CF160" s="1077" t="s">
        <v>701</v>
      </c>
      <c r="CG160" s="1076"/>
      <c r="CH160" s="1076"/>
      <c r="CI160" s="1076"/>
      <c r="CJ160" s="1077" t="s">
        <v>303</v>
      </c>
      <c r="CK160" s="1077" t="s">
        <v>754</v>
      </c>
      <c r="CL160" s="1077" t="s">
        <v>755</v>
      </c>
    </row>
    <row s="1751" customFormat="1" customHeight="1" ht="16.5" hidden="1">
      <c r="A161" s="371"/>
      <c r="B161" s="1548"/>
      <c r="C161" s="1548"/>
      <c r="D161" s="1548"/>
      <c r="E161" s="180">
        <v>17</v>
      </c>
      <c r="F161" s="175" cm="1" t="str">
        <f t="array" ref="F161:F161">OFFSET(G161,-1,-1)</f>
        <v>1</v>
      </c>
      <c r="G161" s="1659"/>
      <c r="H161" s="1659"/>
      <c r="I161" s="1659"/>
      <c r="J161" s="1659"/>
      <c r="K161" s="1659"/>
      <c r="L161" s="1659"/>
      <c r="M161" s="1659"/>
      <c r="N161" s="1659"/>
      <c r="O161" s="193" t="s">
        <v>750</v>
      </c>
      <c r="P161" s="1659"/>
      <c r="Q161" s="1659"/>
      <c r="R161" s="1659"/>
      <c r="S161" s="1659"/>
      <c r="T161" s="753" cm="1" t="str">
        <f t="array" ref="T161:T161">T160</f>
        <v>false</v>
      </c>
      <c r="U161" s="1548"/>
      <c r="V161" s="1548"/>
      <c r="W161" s="1548"/>
      <c r="X161" s="1548"/>
      <c r="Y161" s="1548"/>
      <c r="Z161" s="1548"/>
      <c r="AA161" s="286"/>
      <c r="AB161" s="423" t="str">
        <f>AB158&amp;".3"</f>
        <v>10.3</v>
      </c>
      <c r="AC161" s="474" t="s">
        <v>702</v>
      </c>
      <c r="AD161" s="472" t="s">
        <v>752</v>
      </c>
      <c r="AE161" s="47"/>
      <c r="AF161" s="47"/>
      <c r="AG161" s="47"/>
      <c r="AH161" s="47"/>
      <c r="AI161" s="439"/>
      <c r="AJ161" s="47"/>
      <c r="AK161" s="47"/>
      <c r="AL161" s="47"/>
      <c r="AM161" s="47"/>
      <c r="AN161" s="47"/>
      <c r="AO161" s="47"/>
      <c r="AP161" s="47"/>
      <c r="AQ161" s="47"/>
      <c r="AR161" s="47"/>
      <c r="AS161" s="47"/>
      <c r="AT161" s="47"/>
      <c r="AU161" s="47"/>
      <c r="AV161" s="47"/>
      <c r="AW161" s="47"/>
      <c r="AX161" s="47"/>
      <c r="AY161" s="47"/>
      <c r="AZ161" s="47"/>
      <c r="BA161" s="47"/>
      <c r="BB161" s="47"/>
      <c r="BC161" s="439"/>
      <c r="BD161" s="47"/>
      <c r="BE161" s="47"/>
      <c r="BF161" s="47"/>
      <c r="BG161" s="47"/>
      <c r="BH161" s="47"/>
      <c r="BI161" s="47"/>
      <c r="BJ161" s="47"/>
      <c r="BK161" s="47"/>
      <c r="BL161" s="47"/>
      <c r="BM161" s="47"/>
      <c r="BN161" s="47"/>
      <c r="BO161" s="47"/>
      <c r="BP161" s="47"/>
      <c r="BQ161" s="47"/>
      <c r="BR161" s="47"/>
      <c r="BS161" s="47"/>
      <c r="BT161" s="47"/>
      <c r="BU161" s="47"/>
      <c r="BV161" s="47"/>
      <c r="BW161" s="83"/>
      <c r="BX161" s="286"/>
      <c r="BY161" s="1659"/>
      <c r="BZ161" s="975" t="s">
        <v>758</v>
      </c>
      <c r="CA161" s="1077" cm="1" t="str">
        <f t="array" ref="CA161:CA161">CA160</f>
        <v>ТЭ.42.31656254.0001</v>
      </c>
      <c r="CB161" s="1076"/>
      <c r="CC161" s="1076"/>
      <c r="CD161" s="1076"/>
      <c r="CE161" s="1076"/>
      <c r="CF161" s="1077" t="s">
        <v>704</v>
      </c>
      <c r="CG161" s="1076"/>
      <c r="CH161" s="1076"/>
      <c r="CI161" s="1076"/>
      <c r="CJ161" s="1077" t="s">
        <v>303</v>
      </c>
      <c r="CK161" s="1077" t="s">
        <v>754</v>
      </c>
      <c r="CL161" s="1077" t="s">
        <v>755</v>
      </c>
    </row>
    <row s="1751" customFormat="1" customHeight="1" ht="16.5" hidden="1">
      <c r="A162" s="371"/>
      <c r="B162" s="1548"/>
      <c r="C162" s="1548"/>
      <c r="D162" s="1548"/>
      <c r="E162" s="180">
        <v>17</v>
      </c>
      <c r="F162" s="175" cm="1" t="str">
        <f t="array" ref="F162:F162">OFFSET(G162,-1,-1)</f>
        <v>1</v>
      </c>
      <c r="G162" s="1659"/>
      <c r="H162" s="1659"/>
      <c r="I162" s="1659"/>
      <c r="J162" s="1659"/>
      <c r="K162" s="1659"/>
      <c r="L162" s="1659"/>
      <c r="M162" s="1659"/>
      <c r="N162" s="1659"/>
      <c r="O162" s="193" t="s">
        <v>750</v>
      </c>
      <c r="P162" s="1659"/>
      <c r="Q162" s="1659"/>
      <c r="R162" s="1659"/>
      <c r="S162" s="1659"/>
      <c r="T162" s="753" cm="1" t="str">
        <f t="array" ref="T162:T162">T161</f>
        <v>false</v>
      </c>
      <c r="U162" s="1548"/>
      <c r="V162" s="1548"/>
      <c r="W162" s="1548"/>
      <c r="X162" s="1548"/>
      <c r="Y162" s="1548"/>
      <c r="Z162" s="1548"/>
      <c r="AA162" s="286"/>
      <c r="AB162" s="423" t="str">
        <f>AB158&amp;".4"</f>
        <v>10.4</v>
      </c>
      <c r="AC162" s="474" t="s">
        <v>705</v>
      </c>
      <c r="AD162" s="475" t="s">
        <v>752</v>
      </c>
      <c r="AE162" s="48"/>
      <c r="AF162" s="48"/>
      <c r="AG162" s="48"/>
      <c r="AH162" s="48"/>
      <c r="AI162" s="442"/>
      <c r="AJ162" s="48"/>
      <c r="AK162" s="48"/>
      <c r="AL162" s="48"/>
      <c r="AM162" s="48"/>
      <c r="AN162" s="48"/>
      <c r="AO162" s="48"/>
      <c r="AP162" s="48"/>
      <c r="AQ162" s="48"/>
      <c r="AR162" s="48"/>
      <c r="AS162" s="48"/>
      <c r="AT162" s="48"/>
      <c r="AU162" s="48"/>
      <c r="AV162" s="48"/>
      <c r="AW162" s="48"/>
      <c r="AX162" s="48"/>
      <c r="AY162" s="48"/>
      <c r="AZ162" s="48"/>
      <c r="BA162" s="48"/>
      <c r="BB162" s="48"/>
      <c r="BC162" s="442"/>
      <c r="BD162" s="48"/>
      <c r="BE162" s="48"/>
      <c r="BF162" s="48"/>
      <c r="BG162" s="48"/>
      <c r="BH162" s="48"/>
      <c r="BI162" s="48"/>
      <c r="BJ162" s="48"/>
      <c r="BK162" s="48"/>
      <c r="BL162" s="48"/>
      <c r="BM162" s="48"/>
      <c r="BN162" s="48"/>
      <c r="BO162" s="48"/>
      <c r="BP162" s="48"/>
      <c r="BQ162" s="48"/>
      <c r="BR162" s="48"/>
      <c r="BS162" s="48"/>
      <c r="BT162" s="48"/>
      <c r="BU162" s="48"/>
      <c r="BV162" s="48"/>
      <c r="BW162" s="84"/>
      <c r="BX162" s="286"/>
      <c r="BY162" s="1659"/>
      <c r="BZ162" s="975" t="s">
        <v>759</v>
      </c>
      <c r="CA162" s="1077" cm="1" t="str">
        <f t="array" ref="CA162:CA162">CA161</f>
        <v>ТЭ.42.31656254.0001</v>
      </c>
      <c r="CB162" s="1076"/>
      <c r="CC162" s="1076"/>
      <c r="CD162" s="1076"/>
      <c r="CE162" s="1076"/>
      <c r="CF162" s="1077" t="s">
        <v>707</v>
      </c>
      <c r="CG162" s="1076"/>
      <c r="CH162" s="1076"/>
      <c r="CI162" s="1076"/>
      <c r="CJ162" s="1077" t="s">
        <v>303</v>
      </c>
      <c r="CK162" s="1077" t="s">
        <v>754</v>
      </c>
      <c r="CL162" s="1077" t="s">
        <v>755</v>
      </c>
    </row>
    <row s="1751" customFormat="1" customHeight="1" ht="52.5" hidden="1">
      <c r="A163" s="371"/>
      <c r="B163" s="1548"/>
      <c r="C163" s="1548"/>
      <c r="D163" s="1548"/>
      <c r="E163" s="180">
        <v>54</v>
      </c>
      <c r="F163" s="175" cm="1" t="str">
        <f t="array" ref="F163:F163">OFFSET(G163,-1,-1)</f>
        <v>1</v>
      </c>
      <c r="G163" s="1659"/>
      <c r="H163" s="1659"/>
      <c r="I163" s="1659"/>
      <c r="J163" s="1659"/>
      <c r="K163" s="1659"/>
      <c r="L163" s="1659"/>
      <c r="M163" s="1659"/>
      <c r="N163" s="1659"/>
      <c r="O163" s="193" t="s">
        <v>750</v>
      </c>
      <c r="P163" s="1659"/>
      <c r="Q163" s="1659"/>
      <c r="R163" s="1659"/>
      <c r="S163" s="1659"/>
      <c r="T163" s="753" cm="1" t="str">
        <f t="array" ref="T163:T163">T162</f>
        <v>false</v>
      </c>
      <c r="U163" s="1548"/>
      <c r="V163" s="1548"/>
      <c r="W163" s="1548"/>
      <c r="X163" s="1548"/>
      <c r="Y163" s="1548"/>
      <c r="Z163" s="1548"/>
      <c r="AA163" s="286"/>
      <c r="AB163" s="436">
        <v>11</v>
      </c>
      <c r="AC163" s="476" t="s">
        <v>760</v>
      </c>
      <c r="AD163" s="385"/>
      <c r="AE163" s="47"/>
      <c r="AF163" s="47"/>
      <c r="AG163" s="47"/>
      <c r="AH163" s="47"/>
      <c r="AI163" s="439"/>
      <c r="AJ163" s="47"/>
      <c r="AK163" s="47"/>
      <c r="AL163" s="47"/>
      <c r="AM163" s="47"/>
      <c r="AN163" s="47"/>
      <c r="AO163" s="47"/>
      <c r="AP163" s="47"/>
      <c r="AQ163" s="47"/>
      <c r="AR163" s="47"/>
      <c r="AS163" s="47"/>
      <c r="AT163" s="47"/>
      <c r="AU163" s="47"/>
      <c r="AV163" s="47"/>
      <c r="AW163" s="47"/>
      <c r="AX163" s="47"/>
      <c r="AY163" s="47"/>
      <c r="AZ163" s="47"/>
      <c r="BA163" s="47"/>
      <c r="BB163" s="47"/>
      <c r="BC163" s="439"/>
      <c r="BD163" s="47"/>
      <c r="BE163" s="47"/>
      <c r="BF163" s="47"/>
      <c r="BG163" s="47"/>
      <c r="BH163" s="47"/>
      <c r="BI163" s="47"/>
      <c r="BJ163" s="47"/>
      <c r="BK163" s="47"/>
      <c r="BL163" s="47"/>
      <c r="BM163" s="47"/>
      <c r="BN163" s="47"/>
      <c r="BO163" s="47"/>
      <c r="BP163" s="47"/>
      <c r="BQ163" s="47"/>
      <c r="BR163" s="47"/>
      <c r="BS163" s="47"/>
      <c r="BT163" s="47"/>
      <c r="BU163" s="47"/>
      <c r="BV163" s="47"/>
      <c r="BW163" s="85"/>
      <c r="BX163" s="286"/>
      <c r="BY163" s="1659"/>
      <c r="BZ163" s="975" t="s">
        <v>761</v>
      </c>
      <c r="CA163" s="1077" cm="1" t="str">
        <f t="array" ref="CA163:CA163">CA162</f>
        <v>ТЭ.42.31656254.0001</v>
      </c>
      <c r="CB163" s="1076"/>
      <c r="CC163" s="1076"/>
      <c r="CD163" s="1076"/>
      <c r="CE163" s="1076"/>
      <c r="CF163" s="1076"/>
      <c r="CG163" s="1076"/>
      <c r="CH163" s="1076"/>
      <c r="CI163" s="1076"/>
      <c r="CJ163" s="1077" t="s">
        <v>303</v>
      </c>
      <c r="CK163" s="1077" t="s">
        <v>762</v>
      </c>
      <c r="CL163" s="1077" t="s">
        <v>763</v>
      </c>
    </row>
    <row customHeight="1" ht="10.725000000000001">
      <c r="E164" s="180">
        <v>11</v>
      </c>
      <c r="U164" s="175" t="s">
        <v>191</v>
      </c>
      <c r="V164" s="176" t="s">
        <v>764</v>
      </c>
      <c r="AI164" s="286"/>
      <c r="AJ164" s="286"/>
      <c r="AK164" s="286"/>
      <c r="AL164" s="286"/>
      <c r="AM164" s="286"/>
      <c r="AN164" s="286"/>
      <c r="AO164" s="286"/>
      <c r="AP164" s="286"/>
      <c r="AQ164" s="286"/>
      <c r="AR164" s="286"/>
      <c r="AS164" s="286"/>
      <c r="AT164" s="286"/>
      <c r="AU164" s="286"/>
      <c r="AV164" s="286"/>
      <c r="AW164" s="286"/>
      <c r="AX164" s="286"/>
      <c r="AY164" s="286"/>
      <c r="AZ164" s="286"/>
      <c r="BA164" s="286"/>
      <c r="BB164" s="286"/>
      <c r="BC164" s="286"/>
      <c r="BD164" s="286"/>
      <c r="BE164" s="286"/>
      <c r="BF164" s="286"/>
      <c r="BG164" s="286"/>
      <c r="BH164" s="286"/>
      <c r="BI164" s="286"/>
      <c r="BJ164" s="286"/>
      <c r="BK164" s="286"/>
      <c r="BL164" s="286"/>
      <c r="BM164" s="286"/>
      <c r="BN164" s="286"/>
      <c r="BO164" s="286"/>
      <c r="BP164" s="286"/>
      <c r="BQ164" s="286"/>
      <c r="BR164" s="286"/>
      <c r="BS164" s="286"/>
      <c r="BT164" s="286"/>
      <c r="BU164" s="286"/>
      <c r="BV164" s="286"/>
    </row>
    <row customHeight="1" ht="11.25" hidden="1">
      <c r="E165" s="965">
        <v>0</v>
      </c>
      <c r="AI165" s="286"/>
      <c r="AJ165" s="286"/>
      <c r="AK165" s="286"/>
      <c r="AL165" s="286"/>
      <c r="AM165" s="286"/>
      <c r="AN165" s="286"/>
      <c r="AO165" s="286"/>
      <c r="AP165" s="286"/>
      <c r="AQ165" s="286"/>
      <c r="AR165" s="286"/>
      <c r="AS165" s="286"/>
      <c r="AT165" s="286"/>
      <c r="AU165" s="286"/>
      <c r="AV165" s="286"/>
      <c r="AW165" s="286"/>
      <c r="AX165" s="286"/>
      <c r="AY165" s="286"/>
      <c r="AZ165" s="286"/>
      <c r="BA165" s="286"/>
      <c r="BB165" s="286"/>
      <c r="BC165" s="286"/>
      <c r="BD165" s="286"/>
      <c r="BE165" s="286"/>
      <c r="BF165" s="286"/>
      <c r="BG165" s="286"/>
      <c r="BH165" s="286"/>
      <c r="BI165" s="286"/>
      <c r="BJ165" s="286"/>
      <c r="BK165" s="286"/>
      <c r="BL165" s="286"/>
      <c r="BM165" s="286"/>
      <c r="BN165" s="286"/>
      <c r="BO165" s="286"/>
      <c r="BP165" s="286"/>
      <c r="BQ165" s="286"/>
      <c r="BR165" s="286"/>
      <c r="BS165" s="286"/>
      <c r="BT165" s="286"/>
      <c r="BU165" s="286"/>
      <c r="BV165" s="286"/>
    </row>
    <row customHeight="1" ht="14.625">
      <c r="E166" s="180">
        <v>15</v>
      </c>
      <c r="AB166" s="1601" t="s">
        <v>765</v>
      </c>
      <c r="AC166" s="1601"/>
      <c r="AD166" s="1601"/>
      <c r="AE166" s="1602"/>
      <c r="AF166" s="1602"/>
      <c r="AG166" s="1602"/>
      <c r="AH166" s="1602"/>
      <c r="AI166" s="1602"/>
      <c r="AJ166" s="1602"/>
      <c r="AK166" s="1602"/>
      <c r="AL166" s="1602"/>
      <c r="AM166" s="1602"/>
      <c r="AN166" s="1602"/>
      <c r="AO166" s="1602"/>
      <c r="AP166" s="1602"/>
      <c r="AQ166" s="1602"/>
      <c r="AR166" s="1602"/>
      <c r="AS166" s="1602"/>
      <c r="AT166" s="1602"/>
      <c r="AU166" s="1602"/>
      <c r="AV166" s="1602"/>
      <c r="AW166" s="1602"/>
      <c r="AX166" s="1602"/>
      <c r="AY166" s="1602"/>
      <c r="AZ166" s="1602"/>
      <c r="BA166" s="1602"/>
      <c r="BB166" s="1602"/>
      <c r="BC166" s="1602"/>
      <c r="BD166" s="1602"/>
      <c r="BE166" s="1602"/>
      <c r="BF166" s="1602"/>
      <c r="BG166" s="1602"/>
      <c r="BH166" s="1602"/>
      <c r="BI166" s="1602"/>
      <c r="BJ166" s="1602"/>
      <c r="BK166" s="1602"/>
      <c r="BL166" s="1602"/>
      <c r="BM166" s="1602"/>
      <c r="BN166" s="1602"/>
      <c r="BO166" s="1602"/>
      <c r="BP166" s="1602"/>
      <c r="BQ166" s="1602"/>
      <c r="BR166" s="1602"/>
      <c r="BS166" s="1602"/>
      <c r="BT166" s="1602"/>
      <c r="BU166" s="1602"/>
      <c r="BV166" s="1602"/>
      <c r="BW166" s="1602"/>
    </row>
    <row customHeight="1" ht="14.625">
      <c r="E167" s="180">
        <v>15</v>
      </c>
      <c r="AA167" s="477"/>
      <c r="AB167" s="1603"/>
      <c r="AC167" s="1604"/>
      <c r="AD167" s="1604"/>
      <c r="AE167" s="1604"/>
      <c r="AF167" s="1604"/>
      <c r="AG167" s="1604"/>
      <c r="AH167" s="1604"/>
      <c r="AI167" s="1604"/>
      <c r="AJ167" s="1915"/>
      <c r="AK167" s="1915"/>
      <c r="AL167" s="1915"/>
      <c r="AM167" s="1915"/>
      <c r="AN167" s="1915"/>
      <c r="AO167" s="1915"/>
      <c r="AP167" s="1915"/>
      <c r="AQ167" s="1915"/>
      <c r="AR167" s="1915"/>
      <c r="AS167" s="1915"/>
      <c r="AT167" s="1915"/>
      <c r="AU167" s="1915"/>
      <c r="AV167" s="1915"/>
      <c r="AW167" s="1915"/>
      <c r="AX167" s="1915"/>
      <c r="AY167" s="1915"/>
      <c r="AZ167" s="1915"/>
      <c r="BA167" s="1915"/>
      <c r="BB167" s="1915"/>
      <c r="BC167" s="1604"/>
      <c r="BD167" s="1915"/>
      <c r="BE167" s="1915"/>
      <c r="BF167" s="1915"/>
      <c r="BG167" s="1915"/>
      <c r="BH167" s="1915"/>
      <c r="BI167" s="1915"/>
      <c r="BJ167" s="1915"/>
      <c r="BK167" s="1915"/>
      <c r="BL167" s="1915"/>
      <c r="BM167" s="1915"/>
      <c r="BN167" s="1915"/>
      <c r="BO167" s="1915"/>
      <c r="BP167" s="1915"/>
      <c r="BQ167" s="1915"/>
      <c r="BR167" s="1915"/>
      <c r="BS167" s="1915"/>
      <c r="BT167" s="1915"/>
      <c r="BU167" s="1915"/>
      <c r="BV167" s="1915"/>
      <c r="BW167" s="1605"/>
    </row>
    <row customHeight="1" ht="14.625" hidden="1">
      <c r="A168" s="371"/>
      <c r="B168" s="1548"/>
      <c r="C168" s="1548"/>
      <c r="D168" s="1548"/>
      <c r="E168" s="180">
        <v>15</v>
      </c>
      <c r="F168" s="1548"/>
      <c r="G168" s="1659"/>
      <c r="H168" s="1659"/>
      <c r="I168" s="1659"/>
      <c r="J168" s="1659"/>
      <c r="K168" s="1659"/>
      <c r="L168" s="1659"/>
      <c r="M168" s="1659"/>
      <c r="N168" s="1659"/>
      <c r="O168" s="1659"/>
      <c r="P168" s="1659"/>
      <c r="Q168" s="1659"/>
      <c r="R168" s="1659"/>
      <c r="S168" s="1659"/>
      <c r="T168" s="175">
        <f>ROW(W168)&gt;ROW(W$168)</f>
        <v>0</v>
      </c>
      <c r="U168" s="1548"/>
      <c r="V168" s="1548"/>
      <c r="W168" s="175" t="s">
        <v>189</v>
      </c>
      <c r="X168" s="1548"/>
      <c r="Y168" s="1548"/>
      <c r="Z168" s="1548"/>
      <c r="AA168" s="477" t="s">
        <v>171</v>
      </c>
      <c r="AB168" s="1917"/>
      <c r="AC168" s="1915"/>
      <c r="AD168" s="1915"/>
      <c r="AE168" s="1915"/>
      <c r="AF168" s="1915"/>
      <c r="AG168" s="1915"/>
      <c r="AH168" s="1915"/>
      <c r="AI168" s="1604"/>
      <c r="AJ168" s="1915"/>
      <c r="AK168" s="1915"/>
      <c r="AL168" s="1915"/>
      <c r="AM168" s="1915"/>
      <c r="AN168" s="1915"/>
      <c r="AO168" s="1915"/>
      <c r="AP168" s="1915"/>
      <c r="AQ168" s="1915"/>
      <c r="AR168" s="1915"/>
      <c r="AS168" s="1915"/>
      <c r="AT168" s="1915"/>
      <c r="AU168" s="1915"/>
      <c r="AV168" s="1915"/>
      <c r="AW168" s="1915"/>
      <c r="AX168" s="1915"/>
      <c r="AY168" s="1915"/>
      <c r="AZ168" s="1915"/>
      <c r="BA168" s="1915"/>
      <c r="BB168" s="1915"/>
      <c r="BC168" s="1604"/>
      <c r="BD168" s="1915"/>
      <c r="BE168" s="1915"/>
      <c r="BF168" s="1915"/>
      <c r="BG168" s="1915"/>
      <c r="BH168" s="1915"/>
      <c r="BI168" s="1915"/>
      <c r="BJ168" s="1915"/>
      <c r="BK168" s="1915"/>
      <c r="BL168" s="1915"/>
      <c r="BM168" s="1915"/>
      <c r="BN168" s="1915"/>
      <c r="BO168" s="1915"/>
      <c r="BP168" s="1915"/>
      <c r="BQ168" s="1915"/>
      <c r="BR168" s="1915"/>
      <c r="BS168" s="1915"/>
      <c r="BT168" s="1915"/>
      <c r="BU168" s="1915"/>
      <c r="BV168" s="1915"/>
      <c r="BW168" s="1918"/>
      <c r="BX168" s="286"/>
      <c r="BY168" s="1659"/>
      <c r="BZ168" s="1142"/>
      <c r="CA168" s="1752"/>
      <c r="CB168" s="1752"/>
      <c r="CC168" s="1752"/>
      <c r="CD168" s="1752"/>
      <c r="CE168" s="1752"/>
      <c r="CF168" s="1752"/>
      <c r="CG168" s="1752"/>
      <c r="CH168" s="1752"/>
      <c r="CI168" s="1752"/>
      <c r="CJ168" s="1752"/>
      <c r="CK168" s="1752"/>
      <c r="CL168" s="1752"/>
    </row>
    <row customHeight="1" ht="14.625">
      <c r="E169" s="180">
        <v>15</v>
      </c>
      <c r="W169" s="176" t="s">
        <v>190</v>
      </c>
      <c r="AB169" s="1599" t="s">
        <v>766</v>
      </c>
      <c r="AC169" s="1600"/>
      <c r="AD169" s="480"/>
      <c r="AE169" s="481"/>
      <c r="AF169" s="481"/>
      <c r="AG169" s="481"/>
      <c r="AH169" s="481"/>
      <c r="AI169" s="481"/>
      <c r="AJ169" s="481"/>
      <c r="AK169" s="481"/>
      <c r="AL169" s="481"/>
      <c r="AM169" s="481"/>
      <c r="AN169" s="481"/>
      <c r="AO169" s="481"/>
      <c r="AP169" s="481"/>
      <c r="AQ169" s="481"/>
      <c r="AR169" s="481"/>
      <c r="AS169" s="481"/>
      <c r="AT169" s="481"/>
      <c r="AU169" s="481"/>
      <c r="AV169" s="481"/>
      <c r="AW169" s="481"/>
      <c r="AX169" s="481"/>
      <c r="AY169" s="481"/>
      <c r="AZ169" s="481"/>
      <c r="BA169" s="481"/>
      <c r="BB169" s="481"/>
      <c r="BC169" s="481"/>
      <c r="BD169" s="481"/>
      <c r="BE169" s="481"/>
      <c r="BF169" s="481"/>
      <c r="BG169" s="481"/>
      <c r="BH169" s="481"/>
      <c r="BI169" s="481"/>
      <c r="BJ169" s="481"/>
      <c r="BK169" s="481"/>
      <c r="BL169" s="481"/>
      <c r="BM169" s="481"/>
      <c r="BN169" s="481"/>
      <c r="BO169" s="481"/>
      <c r="BP169" s="481"/>
      <c r="BQ169" s="481"/>
      <c r="BR169" s="481"/>
      <c r="BS169" s="481"/>
      <c r="BT169" s="481"/>
      <c r="BU169" s="481"/>
      <c r="BV169" s="481"/>
      <c r="BW169" s="482"/>
    </row>
    <row customHeight="1" ht="11.25">
      <c r="AI170" s="286"/>
      <c r="AJ170" s="286"/>
      <c r="AK170" s="286"/>
      <c r="AL170" s="286"/>
      <c r="AM170" s="286"/>
      <c r="AN170" s="286"/>
      <c r="AO170" s="286"/>
      <c r="AP170" s="286"/>
      <c r="AQ170" s="286"/>
      <c r="AR170" s="286"/>
      <c r="AS170" s="286"/>
      <c r="AT170" s="286"/>
      <c r="AU170" s="286"/>
      <c r="AV170" s="286"/>
      <c r="AW170" s="286"/>
      <c r="AX170" s="286"/>
      <c r="AY170" s="286"/>
      <c r="AZ170" s="286"/>
      <c r="BA170" s="286"/>
      <c r="BB170" s="286"/>
      <c r="BC170" s="286"/>
      <c r="BD170" s="286"/>
      <c r="BE170" s="286"/>
      <c r="BF170" s="286"/>
      <c r="BG170" s="286"/>
      <c r="BH170" s="286"/>
      <c r="BI170" s="286"/>
      <c r="BJ170" s="286"/>
      <c r="BK170" s="286"/>
      <c r="BL170" s="286"/>
      <c r="BM170" s="286"/>
      <c r="BN170" s="286"/>
      <c r="BO170" s="286"/>
      <c r="BP170" s="286"/>
      <c r="BQ170" s="286"/>
      <c r="BR170" s="286"/>
      <c r="BS170" s="286"/>
      <c r="BT170" s="286"/>
      <c r="BU170" s="286"/>
      <c r="BV170" s="286"/>
      <c r="BX170" s="286"/>
    </row>
  </sheetData>
  <sheetProtection formatColumns="0" formatRows="0" insertRows="0" deleteColumns="0" deleteRows="0" sort="0" autoFilter="0" insertColumns="1"/>
  <mergeCells count="13">
    <mergeCell ref="X28:X95"/>
    <mergeCell ref="Z28:Z95"/>
    <mergeCell ref="AB169:AC169"/>
    <mergeCell ref="AB166:BW166"/>
    <mergeCell ref="AB167:BW167"/>
    <mergeCell ref="AB168:BW168"/>
    <mergeCell ref="AB24:BW24"/>
    <mergeCell ref="AD25:AD26"/>
    <mergeCell ref="BW25:BW26"/>
    <mergeCell ref="AB25:AB26"/>
    <mergeCell ref="AC25:AC26"/>
    <mergeCell ref="X96:X163"/>
    <mergeCell ref="Z96:Z163"/>
  </mergeCells>
  <dataValidations count="2">
    <dataValidation allowBlank="1" showInputMessage="1" showErrorMessage="1" sqref="AC90 AC95 AC158 AC163"/>
    <dataValidation type="decimal" allowBlank="1" showErrorMessage="1" errorTitle="Ошибка" error="Допускается ввод только действительных чисел!" sqref="AE38:BV43 AE30:BV35 AE98 AF98 AG98 AH98 AI98 AJ98 AK98 AL98 AM98 AN98 AO98 AP98 AQ98 AR98 AS98 AT98 AU98 AV98 AW98 AX98 AY98 AZ98 BA98 BB98 BC98 BD98 BE98 BF98 BG98 BH98 BI98 BJ98 BK98 BL98 BM98 BN98 BO98 BP98 BQ98 BR98 BS98 BT98 BU98 BV98 AE99 AF99 AG99 AH99 AI99 AJ99 AK99 AL99 AM99 AN99 AO99 AP99 AQ99 AR99 AS99 AT99 AU99 AV99 AW99 AX99 AY99 AZ99 BA99 BB99 BC99 BD99 BE99 BF99 BG99 BH99 BI99 BJ99 BK99 BL99 BM99 BN99 BO99 BP99 BQ99 BR99 BS99 BT99 BU99 BV99 AE100 AF100 AG100 AH100 AI100 AJ100 AK100 AL100 AM100 AN100 AO100 AP100 AQ100 AR100 AS100 AT100 AU100 AV100 AW100 AX100 AY100 AZ100 BA100 BB100 BC100 BD100 BE100 BF100 BG100 BH100 BI100 BJ100 BK100 BL100 BM100 BN100 BO100 BP100 BQ100 BR100 BS100 BT100 BU100 BV100 AE101 AF101 AG101 AH101 AI101 AJ101 AK101 AL101 AM101 AN101 AO101 AP101 AQ101 AR101 AS101 AT101 AU101 AV101 AW101 AX101 AY101 AZ101 BA101 BB101 BC101 BD101 BE101 BF101 BG101 BH101 BI101 BJ101 BK101 BL101 BM101 BN101 BO101 BP101 BQ101 BR101 BS101 BT101 BU101 BV101 AE102 AF102 AG102 AH102 AI102 AJ102 AK102 AL102 AM102 AN102 AO102 AP102 AQ102 AR102 AS102 AT102 AU102 AV102 AW102 AX102 AY102 AZ102 BA102 BB102 BC102 BD102 BE102 BF102 BG102 BH102 BI102 BJ102 BK102 BL102 BM102 BN102 BO102 BP102 BQ102 BR102 BS102 BT102 BU102 BV102 AE103 AF103 AG103 AH103 AI103 AJ103 AK103 AL103 AM103 AN103 AO103 AP103 AQ103 AR103 AS103 AT103 AU103 AV103 AW103 AX103 AY103 AZ103 BA103 BB103 BC103 BD103 BE103 BF103 BG103 BH103 BI103 BJ103 BK103 BL103 BM103 BN103 BO103 BP103 BQ103 BR103 BS103 BT103 BU103 BV103 AE106 AF106 AG106 AH106 AI106 AJ106 AK106 AL106 AM106 AN106 AO106 AP106 AQ106 AR106 AS106 AT106 AU106 AV106 AW106 AX106 AY106 AZ106 BA106 BB106 BC106 BD106 BE106 BF106 BG106 BH106 BI106 BJ106 BK106 BL106 BM106 BN106 BO106 BP106 BQ106 BR106 BS106 BT106 BU106 BV106 AE107 AF107 AG107 AH107 AI107 AJ107 AK107 AL107 AM107 AN107 AO107 AP107 AQ107 AR107 AS107 AT107 AU107 AV107 AW107 AX107 AY107 AZ107 BA107 BB107 BC107 BD107 BE107 BF107 BG107 BH107 BI107 BJ107 BK107 BL107 BM107 BN107 BO107 BP107 BQ107 BR107 BS107 BT107 BU107 BV107 AE108 AF108 AG108 AH108 AI108 AJ108 AK108 AL108 AM108 AN108 AO108 AP108 AQ108 AR108 AS108 AT108 AU108 AV108 AW108 AX108 AY108 AZ108 BA108 BB108 BC108 BD108 BE108 BF108 BG108 BH108 BI108 BJ108 BK108 BL108 BM108 BN108 BO108 BP108 BQ108 BR108 BS108 BT108 BU108 BV108 AE109 AF109 AG109 AH109 AI109 AJ109 AK109 AL109 AM109 AN109 AO109 AP109 AQ109 AR109 AS109 AT109 AU109 AV109 AW109 AX109 AY109 AZ109 BA109 BB109 BC109 BD109 BE109 BF109 BG109 BH109 BI109 BJ109 BK109 BL109 BM109 BN109 BO109 BP109 BQ109 BR109 BS109 BT109 BU109 BV109 AE110 AF110 AG110 AH110 AI110 AJ110 AK110 AL110 AM110 AN110 AO110 AP110 AQ110 AR110 AS110 AT110 AU110 AV110 AW110 AX110 AY110 AZ110 BA110 BB110 BC110 BD110 BE110 BF110 BG110 BH110 BI110 BJ110 BK110 BL110 BM110 BN110 BO110 BP110 BQ110 BR110 BS110 BT110 BU110 BV110 AE111 AF111 AG111 AH111 AI111 AJ111 AK111 AL111 AM111 AN111 AO111 AP111 AQ111 AR111 AS111 AT111 AU111 AV111 AW111 AX111 AY111 AZ111 BA111 BB111 BC111 BD111 BE111 BF111 BG111 BH111 BI111 BJ111 BK111 BL111 BM111 BN111 BO111 BP111 BQ111 BR111 BS111 BT111 BU111 BV111">
      <formula1>-9.99999999999999E+23</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08F136-5B0B-3D88-EB38-1BFC73F9EC08}" mc:Ignorable="x14ac xr xr2 xr3">
  <sheetPr>
    <tabColor theme="6" tint="0.4"/>
    <outlinePr summaryRight="0" summaryBelow="0"/>
  </sheetPr>
  <dimension ref="A1:CH48"/>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371" width="6.2812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7.85156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85" width="9.00390625" customWidth="1"/>
    <col min="29" max="29" style="285" width="60.00390625" customWidth="1"/>
    <col min="30" max="30" style="285" width="10.00390625" customWidth="1"/>
    <col min="31" max="35" style="286" width="13.00390625" customWidth="1"/>
    <col min="36" max="54" style="286" width="13.00390625" hidden="1" customWidth="1"/>
    <col min="55" max="55" style="286" width="13.00390625" customWidth="1"/>
    <col min="56" max="74" style="286" width="13.00390625" hidden="1" customWidth="1"/>
    <col min="75" max="75" style="285" width="20.00390625" customWidth="1"/>
    <col min="76" max="76" style="286" width="3.00390625" customWidth="1"/>
    <col min="77" max="77" style="1659" width="9.140625" hidden="1"/>
    <col min="78" max="78" style="483" width="9.140625" hidden="1"/>
    <col min="79" max="86" width="9.140625" hidden="1"/>
  </cols>
  <sheetData>
    <row s="1548" customFormat="1" customHeight="1" ht="11.25" hidden="1">
      <c r="A1" s="371">
        <f>OR(T27:T42)</f>
        <v>0</v>
      </c>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I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Z1" s="483" t="s">
        <v>336</v>
      </c>
      <c r="CA1" s="1150" t="s">
        <v>94</v>
      </c>
      <c r="CB1" s="1150" t="s">
        <v>767</v>
      </c>
      <c r="CC1" s="1150" t="s">
        <v>619</v>
      </c>
      <c r="CD1" s="1150" t="s">
        <v>620</v>
      </c>
      <c r="CE1" s="1150" t="s">
        <v>110</v>
      </c>
      <c r="CF1" s="1150" t="s">
        <v>112</v>
      </c>
      <c r="CG1" s="1150" t="s">
        <v>113</v>
      </c>
      <c r="CH1" s="1150" t="s">
        <v>114</v>
      </c>
    </row>
    <row s="1548" customFormat="1" customHeight="1" ht="11.25" hidden="1">
      <c r="A2" s="371"/>
      <c r="B2" s="179" t="s">
        <v>16</v>
      </c>
      <c r="G2" s="193"/>
      <c r="H2" s="193"/>
      <c r="I2" s="193"/>
      <c r="J2" s="193"/>
      <c r="K2" s="193"/>
      <c r="L2" s="193"/>
      <c r="M2" s="193"/>
      <c r="N2" s="193"/>
      <c r="O2" s="193"/>
      <c r="P2" s="193"/>
      <c r="Q2" s="193"/>
      <c r="R2" s="193"/>
      <c r="S2" s="193"/>
      <c r="AB2" s="176"/>
      <c r="AC2" s="176"/>
      <c r="AD2" s="176"/>
      <c r="AF2" s="179" cm="1" t="str">
        <f t="array" ref="AF2:AF2">isOrgDeclare</f>
        <v>true</v>
      </c>
      <c r="AI2" s="179">
        <f>AND(AI9&lt;=last_year_vis,isOrgDeclare)</f>
        <v>1</v>
      </c>
      <c r="AJ2" s="179">
        <f>AND(AJ9&lt;=last_year_vis,isOrgDeclare)</f>
        <v>0</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BC9&lt;=last_year_vis</f>
        <v>1</v>
      </c>
      <c r="BD2" s="179">
        <f>BD9&lt;=last_year_vis</f>
        <v>0</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W2" s="176"/>
      <c r="BZ2" s="483"/>
      <c r="CA2" s="1066"/>
      <c r="CB2" s="1066"/>
      <c r="CC2" s="1066"/>
      <c r="CD2" s="1066"/>
      <c r="CE2" s="1066"/>
      <c r="CF2" s="1066"/>
      <c r="CG2" s="1066"/>
      <c r="CH2" s="1066"/>
    </row>
    <row s="1548" customFormat="1" customHeight="1" ht="11.25" hidden="1">
      <c r="A3" s="371"/>
      <c r="G3" s="193"/>
      <c r="H3" s="193"/>
      <c r="I3" s="193"/>
      <c r="J3" s="193"/>
      <c r="K3" s="193"/>
      <c r="L3" s="193"/>
      <c r="M3" s="193"/>
      <c r="N3" s="193"/>
      <c r="O3" s="193"/>
      <c r="P3" s="193"/>
      <c r="Q3" s="193"/>
      <c r="R3" s="193"/>
      <c r="S3" s="193"/>
      <c r="AB3" s="176"/>
      <c r="AC3" s="176"/>
      <c r="AD3" s="176"/>
      <c r="AI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W3" s="176"/>
      <c r="BZ3" s="483"/>
      <c r="CA3" s="277"/>
      <c r="CB3" s="277"/>
      <c r="CC3" s="277"/>
      <c r="CD3" s="277"/>
      <c r="CE3" s="277"/>
      <c r="CF3" s="277"/>
      <c r="CG3" s="277"/>
      <c r="CH3" s="277"/>
    </row>
    <row s="1548" customFormat="1" customHeight="1" ht="11.25" hidden="1">
      <c r="A4" s="371"/>
      <c r="G4" s="193"/>
      <c r="H4" s="193"/>
      <c r="I4" s="193"/>
      <c r="J4" s="193"/>
      <c r="K4" s="193"/>
      <c r="L4" s="193"/>
      <c r="M4" s="193"/>
      <c r="N4" s="193"/>
      <c r="O4" s="193"/>
      <c r="P4" s="193"/>
      <c r="Q4" s="193"/>
      <c r="R4" s="193"/>
      <c r="S4" s="193"/>
      <c r="AB4" s="176"/>
      <c r="AC4" s="176"/>
      <c r="AD4" s="176"/>
      <c r="AI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W4" s="176"/>
      <c r="BZ4" s="483"/>
      <c r="CA4" s="277"/>
      <c r="CB4" s="277"/>
      <c r="CC4" s="277"/>
      <c r="CD4" s="277"/>
      <c r="CE4" s="277"/>
      <c r="CF4" s="277"/>
      <c r="CG4" s="277"/>
      <c r="CH4" s="277"/>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284">
        <v>9</v>
      </c>
      <c r="AC5" s="284">
        <v>60</v>
      </c>
      <c r="AD5" s="284">
        <v>10</v>
      </c>
      <c r="AE5" s="180">
        <v>13</v>
      </c>
      <c r="AF5" s="180">
        <v>13</v>
      </c>
      <c r="AG5" s="180">
        <v>13</v>
      </c>
      <c r="AH5" s="180">
        <v>13</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284">
        <v>20</v>
      </c>
      <c r="BX5" s="180">
        <v>3</v>
      </c>
      <c r="BZ5" s="483"/>
      <c r="CA5" s="1067"/>
      <c r="CB5" s="1067"/>
      <c r="CC5" s="1067"/>
      <c r="CD5" s="1067"/>
      <c r="CE5" s="1067"/>
      <c r="CF5" s="1067"/>
      <c r="CG5" s="1067"/>
      <c r="CH5" s="1067"/>
    </row>
    <row s="1548" customFormat="1" customHeight="1" ht="11.25" hidden="1">
      <c r="A6" s="371"/>
      <c r="E6" s="180"/>
      <c r="G6" s="193"/>
      <c r="H6" s="193"/>
      <c r="I6" s="193"/>
      <c r="J6" s="193"/>
      <c r="K6" s="193"/>
      <c r="L6" s="193"/>
      <c r="M6" s="193"/>
      <c r="N6" s="193"/>
      <c r="O6" s="193"/>
      <c r="P6" s="193"/>
      <c r="Q6" s="193"/>
      <c r="R6" s="193"/>
      <c r="S6" s="193"/>
      <c r="AB6" s="176"/>
      <c r="AC6" s="176"/>
      <c r="AD6" s="176"/>
      <c r="AI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W6" s="176"/>
      <c r="BZ6" s="483"/>
      <c r="CA6" s="277"/>
      <c r="CB6" s="277"/>
      <c r="CC6" s="277"/>
      <c r="CD6" s="277"/>
      <c r="CE6" s="277"/>
      <c r="CF6" s="277"/>
      <c r="CG6" s="277"/>
      <c r="CH6" s="277"/>
    </row>
    <row customHeight="1" ht="11.25" hidden="1">
      <c r="F7" s="193"/>
      <c r="T7" s="193"/>
      <c r="U7" s="193"/>
      <c r="V7" s="193"/>
      <c r="W7" s="193"/>
      <c r="X7" s="193"/>
      <c r="Y7" s="193"/>
      <c r="Z7" s="193"/>
      <c r="AA7" s="193"/>
      <c r="AB7" s="308"/>
      <c r="AC7" s="308"/>
      <c r="AD7" s="308"/>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308"/>
      <c r="BX7" s="193"/>
    </row>
    <row customHeight="1" ht="11.25" hidden="1">
      <c r="F8" s="193"/>
      <c r="T8" s="193"/>
      <c r="U8" s="193"/>
      <c r="V8" s="193"/>
      <c r="W8" s="193"/>
      <c r="X8" s="193"/>
      <c r="Y8" s="193"/>
      <c r="Z8" s="193"/>
      <c r="AA8" s="193"/>
      <c r="AB8" s="308"/>
      <c r="AC8" s="308"/>
      <c r="AD8" s="308"/>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93"/>
      <c r="BQ8" s="193"/>
      <c r="BR8" s="193"/>
      <c r="BS8" s="193"/>
      <c r="BT8" s="193"/>
      <c r="BU8" s="193"/>
      <c r="BV8" s="193"/>
      <c r="BW8" s="308"/>
      <c r="BX8" s="193"/>
    </row>
    <row s="1143" customFormat="1" customHeight="1" ht="11.25" hidden="1">
      <c r="A9" s="309" t="s">
        <v>403</v>
      </c>
      <c r="AE9" s="312">
        <f>god-2</f>
        <v>2025</v>
      </c>
      <c r="AF9" s="312">
        <f>god-2</f>
        <v>2025</v>
      </c>
      <c r="AG9" s="312">
        <f>god-2</f>
        <v>2025</v>
      </c>
      <c r="AH9" s="312">
        <f>god-1</f>
        <v>2026</v>
      </c>
      <c r="AI9" s="312" cm="1" t="str">
        <f t="array" ref="AI9:AI9">god</f>
        <v>2027</v>
      </c>
      <c r="AJ9" s="312">
        <f>god+1</f>
        <v>2028</v>
      </c>
      <c r="AK9" s="312">
        <f>god+2</f>
        <v>2029</v>
      </c>
      <c r="AL9" s="312">
        <f>god+3</f>
        <v>2030</v>
      </c>
      <c r="AM9" s="312">
        <f>god+4</f>
        <v>2031</v>
      </c>
      <c r="AN9" s="312">
        <f>god+5</f>
        <v>2032</v>
      </c>
      <c r="AO9" s="312">
        <f>god+6</f>
        <v>2033</v>
      </c>
      <c r="AP9" s="312">
        <f>god+7</f>
        <v>2034</v>
      </c>
      <c r="AQ9" s="312">
        <f>god+8</f>
        <v>2035</v>
      </c>
      <c r="AR9" s="312">
        <f>god+9</f>
        <v>2036</v>
      </c>
      <c r="AS9" s="312">
        <f>god+10</f>
        <v>2037</v>
      </c>
      <c r="AT9" s="312">
        <f>god+11</f>
        <v>2038</v>
      </c>
      <c r="AU9" s="312">
        <f>god+12</f>
        <v>2039</v>
      </c>
      <c r="AV9" s="312">
        <f>god+13</f>
        <v>2040</v>
      </c>
      <c r="AW9" s="312">
        <f>god+14</f>
        <v>2041</v>
      </c>
      <c r="AX9" s="312">
        <f>god+15</f>
        <v>2042</v>
      </c>
      <c r="AY9" s="312">
        <f>god+16</f>
        <v>2043</v>
      </c>
      <c r="AZ9" s="312">
        <f>god+17</f>
        <v>2044</v>
      </c>
      <c r="BA9" s="312">
        <f>god+18</f>
        <v>2045</v>
      </c>
      <c r="BB9" s="312">
        <f>god+19</f>
        <v>2046</v>
      </c>
      <c r="BC9" s="312" cm="1" t="str">
        <f t="array" ref="BC9:BC9">god</f>
        <v>2027</v>
      </c>
      <c r="BD9" s="312">
        <f>god+1</f>
        <v>2028</v>
      </c>
      <c r="BE9" s="312">
        <f>god+2</f>
        <v>2029</v>
      </c>
      <c r="BF9" s="312">
        <f>god+3</f>
        <v>2030</v>
      </c>
      <c r="BG9" s="312">
        <f>god+4</f>
        <v>2031</v>
      </c>
      <c r="BH9" s="312">
        <f>god+5</f>
        <v>2032</v>
      </c>
      <c r="BI9" s="312">
        <f>god+6</f>
        <v>2033</v>
      </c>
      <c r="BJ9" s="312">
        <f>god+7</f>
        <v>2034</v>
      </c>
      <c r="BK9" s="312">
        <f>god+8</f>
        <v>2035</v>
      </c>
      <c r="BL9" s="312">
        <f>god+9</f>
        <v>2036</v>
      </c>
      <c r="BM9" s="312">
        <f>god+10</f>
        <v>2037</v>
      </c>
      <c r="BN9" s="312">
        <f>god+11</f>
        <v>2038</v>
      </c>
      <c r="BO9" s="312">
        <f>god+12</f>
        <v>2039</v>
      </c>
      <c r="BP9" s="312">
        <f>god+13</f>
        <v>2040</v>
      </c>
      <c r="BQ9" s="312">
        <f>god+14</f>
        <v>2041</v>
      </c>
      <c r="BR9" s="312">
        <f>god+15</f>
        <v>2042</v>
      </c>
      <c r="BS9" s="312">
        <f>god+16</f>
        <v>2043</v>
      </c>
      <c r="BT9" s="312">
        <f>god+17</f>
        <v>2044</v>
      </c>
      <c r="BU9" s="312">
        <f>god+18</f>
        <v>2045</v>
      </c>
      <c r="BV9" s="312">
        <f>god+19</f>
        <v>2046</v>
      </c>
      <c r="BZ9" s="483"/>
      <c r="CA9" s="1153"/>
      <c r="CB9" s="1153"/>
      <c r="CC9" s="1153"/>
      <c r="CD9" s="1153"/>
      <c r="CE9" s="1153"/>
      <c r="CF9" s="1153"/>
      <c r="CG9" s="1153"/>
      <c r="CH9" s="1153"/>
    </row>
    <row s="1143" customFormat="1" customHeight="1" ht="11.25" hidden="1">
      <c r="A10" s="309" t="s">
        <v>404</v>
      </c>
      <c r="AE10" s="312" cm="1" t="str">
        <f t="array" ref="AE10:AE10">AE26</f>
        <v>Принято органом регулирования</v>
      </c>
      <c r="AF10" s="312" cm="1" t="str">
        <f t="array" ref="AF10:AF10">AF26</f>
        <v>Факт по данным организации</v>
      </c>
      <c r="AG10" s="312" cm="1" t="str">
        <f t="array" ref="AG10:AG10">AG26</f>
        <v>Факт, принятый органом регулирования</v>
      </c>
      <c r="AH10" s="312" cm="1" t="str">
        <f t="array" ref="AH10:AH10">AH26</f>
        <v>Принято органом регулирования</v>
      </c>
      <c r="AI10" s="312" cm="1" t="str">
        <f t="array" ref="AI10:AI10">AI26</f>
        <v>Предложение организации</v>
      </c>
      <c r="AJ10" s="312" cm="1" t="str">
        <f t="array" ref="AJ10:AJ10">AJ26</f>
        <v>Предложение организации</v>
      </c>
      <c r="AK10" s="312" cm="1" t="str">
        <f t="array" ref="AK10:AK10">AK26</f>
        <v>Предложение организации</v>
      </c>
      <c r="AL10" s="312" cm="1" t="str">
        <f t="array" ref="AL10:AL10">AL26</f>
        <v>Предложение организации</v>
      </c>
      <c r="AM10" s="312" cm="1" t="str">
        <f t="array" ref="AM10:AM10">AM26</f>
        <v>Предложение организации</v>
      </c>
      <c r="AN10" s="312" cm="1" t="str">
        <f t="array" ref="AN10:AN10">AN26</f>
        <v>Предложение организации</v>
      </c>
      <c r="AO10" s="312" cm="1" t="str">
        <f t="array" ref="AO10:AO10">AO26</f>
        <v>Предложение организации</v>
      </c>
      <c r="AP10" s="312" cm="1" t="str">
        <f t="array" ref="AP10:AP10">AP26</f>
        <v>Предложение организации</v>
      </c>
      <c r="AQ10" s="312" cm="1" t="str">
        <f t="array" ref="AQ10:AQ10">AQ26</f>
        <v>Предложение организации</v>
      </c>
      <c r="AR10" s="312" cm="1" t="str">
        <f t="array" ref="AR10:AR10">AR26</f>
        <v>Предложение организации</v>
      </c>
      <c r="AS10" s="312" cm="1" t="str">
        <f t="array" ref="AS10:AS10">AS26</f>
        <v>Предложение организации</v>
      </c>
      <c r="AT10" s="312" cm="1" t="str">
        <f t="array" ref="AT10:AT10">AT26</f>
        <v>Предложение организации</v>
      </c>
      <c r="AU10" s="312" cm="1" t="str">
        <f t="array" ref="AU10:AU10">AU26</f>
        <v>Предложение организации</v>
      </c>
      <c r="AV10" s="312" cm="1" t="str">
        <f t="array" ref="AV10:AV10">AV26</f>
        <v>Предложение организации</v>
      </c>
      <c r="AW10" s="312" cm="1" t="str">
        <f t="array" ref="AW10:AW10">AW26</f>
        <v>Предложение организации</v>
      </c>
      <c r="AX10" s="312" cm="1" t="str">
        <f t="array" ref="AX10:AX10">AX26</f>
        <v>Предложение организации</v>
      </c>
      <c r="AY10" s="312" cm="1" t="str">
        <f t="array" ref="AY10:AY10">AY26</f>
        <v>Предложение организации</v>
      </c>
      <c r="AZ10" s="312" cm="1" t="str">
        <f t="array" ref="AZ10:AZ10">AZ26</f>
        <v>Предложение организации</v>
      </c>
      <c r="BA10" s="312" cm="1" t="str">
        <f t="array" ref="BA10:BA10">BA26</f>
        <v>Предложение организации</v>
      </c>
      <c r="BB10" s="312" cm="1" t="str">
        <f t="array" ref="BB10:BB10">BB26</f>
        <v>Предложение организации</v>
      </c>
      <c r="BC10" s="312" cm="1" t="str">
        <f t="array" ref="BC10:BC10">BC26</f>
        <v>Принято органом регулирования</v>
      </c>
      <c r="BD10" s="312" cm="1" t="str">
        <f t="array" ref="BD10:BD10">BD26</f>
        <v>Принято органом регулирования</v>
      </c>
      <c r="BE10" s="312" cm="1" t="str">
        <f t="array" ref="BE10:BE10">BE26</f>
        <v>Принято органом регулирования</v>
      </c>
      <c r="BF10" s="312" cm="1" t="str">
        <f t="array" ref="BF10:BF10">BF26</f>
        <v>Принято органом регулирования</v>
      </c>
      <c r="BG10" s="312" cm="1" t="str">
        <f t="array" ref="BG10:BG10">BG26</f>
        <v>Принято органом регулирования</v>
      </c>
      <c r="BH10" s="312" cm="1" t="str">
        <f t="array" ref="BH10:BH10">BH26</f>
        <v>Принято органом регулирования</v>
      </c>
      <c r="BI10" s="312" cm="1" t="str">
        <f t="array" ref="BI10:BI10">BI26</f>
        <v>Принято органом регулирования</v>
      </c>
      <c r="BJ10" s="312" cm="1" t="str">
        <f t="array" ref="BJ10:BJ10">BJ26</f>
        <v>Принято органом регулирования</v>
      </c>
      <c r="BK10" s="312" cm="1" t="str">
        <f t="array" ref="BK10:BK10">BK26</f>
        <v>Принято органом регулирования</v>
      </c>
      <c r="BL10" s="312" cm="1" t="str">
        <f t="array" ref="BL10:BL10">BL26</f>
        <v>Принято органом регулирования</v>
      </c>
      <c r="BM10" s="312" cm="1" t="str">
        <f t="array" ref="BM10:BM10">BM26</f>
        <v>Принято органом регулирования</v>
      </c>
      <c r="BN10" s="312" cm="1" t="str">
        <f t="array" ref="BN10:BN10">BN26</f>
        <v>Принято органом регулирования</v>
      </c>
      <c r="BO10" s="312" cm="1" t="str">
        <f t="array" ref="BO10:BO10">BO26</f>
        <v>Принято органом регулирования</v>
      </c>
      <c r="BP10" s="312" cm="1" t="str">
        <f t="array" ref="BP10:BP10">BP26</f>
        <v>Принято органом регулирования</v>
      </c>
      <c r="BQ10" s="312" cm="1" t="str">
        <f t="array" ref="BQ10:BQ10">BQ26</f>
        <v>Принято органом регулирования</v>
      </c>
      <c r="BR10" s="312" cm="1" t="str">
        <f t="array" ref="BR10:BR10">BR26</f>
        <v>Принято органом регулирования</v>
      </c>
      <c r="BS10" s="312" cm="1" t="str">
        <f t="array" ref="BS10:BS10">BS26</f>
        <v>Принято органом регулирования</v>
      </c>
      <c r="BT10" s="312" cm="1" t="str">
        <f t="array" ref="BT10:BT10">BT26</f>
        <v>Принято органом регулирования</v>
      </c>
      <c r="BU10" s="312" cm="1" t="str">
        <f t="array" ref="BU10:BU10">BU26</f>
        <v>Принято органом регулирования</v>
      </c>
      <c r="BV10" s="312" cm="1" t="str">
        <f t="array" ref="BV10:BV10">BV26</f>
        <v>Принято органом регулирования</v>
      </c>
      <c r="BZ10" s="483"/>
      <c r="CA10" s="1153"/>
      <c r="CB10" s="1153"/>
      <c r="CC10" s="1153"/>
      <c r="CD10" s="1153"/>
      <c r="CE10" s="1153"/>
      <c r="CF10" s="1153"/>
      <c r="CG10" s="1153"/>
      <c r="CH10" s="1153"/>
    </row>
    <row s="1143" customFormat="1" customHeight="1" ht="11.25" hidden="1">
      <c r="A11" s="309" t="s">
        <v>405</v>
      </c>
      <c r="G11" s="483"/>
      <c r="H11" s="483"/>
      <c r="I11" s="483"/>
      <c r="J11" s="483"/>
      <c r="K11" s="483"/>
      <c r="L11" s="483"/>
      <c r="M11" s="483"/>
      <c r="N11" s="483"/>
      <c r="O11" s="483"/>
      <c r="P11" s="483"/>
      <c r="Q11" s="483"/>
      <c r="R11" s="483"/>
      <c r="S11" s="483"/>
      <c r="AB11" s="326"/>
      <c r="AC11" s="326"/>
      <c r="AD11" s="326"/>
      <c r="AI11" s="1143"/>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326" cm="1" t="str">
        <f t="array" ref="BW11:BW11">BW25</f>
        <v>Ссылка на правовую норму (основание для принятия показателя в расчет тарифа)</v>
      </c>
      <c r="BZ11" s="483"/>
      <c r="CA11" s="1153"/>
      <c r="CB11" s="1153"/>
      <c r="CC11" s="1153"/>
      <c r="CD11" s="1153"/>
      <c r="CE11" s="1153"/>
      <c r="CF11" s="1153"/>
      <c r="CG11" s="1153"/>
      <c r="CH11" s="1153"/>
    </row>
    <row s="1548" customFormat="1" customHeight="1" ht="11.25" hidden="1">
      <c r="A12" s="371"/>
      <c r="E12" s="180"/>
      <c r="G12" s="193"/>
      <c r="H12" s="193"/>
      <c r="I12" s="193"/>
      <c r="J12" s="193"/>
      <c r="K12" s="193"/>
      <c r="L12" s="193"/>
      <c r="M12" s="193"/>
      <c r="N12" s="193"/>
      <c r="O12" s="193"/>
      <c r="P12" s="193"/>
      <c r="Q12" s="193"/>
      <c r="R12" s="193"/>
      <c r="S12" s="193"/>
      <c r="AB12" s="176"/>
      <c r="AC12" s="176"/>
      <c r="AD12" s="176"/>
      <c r="AI12" s="1548"/>
      <c r="AJ12" s="1548"/>
      <c r="AK12" s="1548"/>
      <c r="AL12" s="1548"/>
      <c r="AM12" s="1548"/>
      <c r="AN12" s="1548"/>
      <c r="AO12" s="1548"/>
      <c r="AP12" s="1548"/>
      <c r="AQ12" s="1548"/>
      <c r="AR12" s="1548"/>
      <c r="AS12" s="1548"/>
      <c r="AT12" s="1548"/>
      <c r="AU12" s="1548"/>
      <c r="AV12" s="1548"/>
      <c r="AW12" s="1548"/>
      <c r="AX12" s="1548"/>
      <c r="AY12" s="1548"/>
      <c r="AZ12" s="1548"/>
      <c r="BA12" s="1548"/>
      <c r="BB12" s="1548"/>
      <c r="BC12" s="1548"/>
      <c r="BD12" s="1548"/>
      <c r="BE12" s="1548"/>
      <c r="BF12" s="1548"/>
      <c r="BG12" s="1548"/>
      <c r="BH12" s="1548"/>
      <c r="BI12" s="1548"/>
      <c r="BJ12" s="1548"/>
      <c r="BK12" s="1548"/>
      <c r="BL12" s="1548"/>
      <c r="BM12" s="1548"/>
      <c r="BN12" s="1548"/>
      <c r="BO12" s="1548"/>
      <c r="BP12" s="1548"/>
      <c r="BQ12" s="1548"/>
      <c r="BR12" s="1548"/>
      <c r="BS12" s="1548"/>
      <c r="BT12" s="1548"/>
      <c r="BU12" s="1548"/>
      <c r="BV12" s="1548"/>
      <c r="BW12" s="176"/>
      <c r="BZ12" s="483"/>
      <c r="CA12" s="277"/>
      <c r="CB12" s="277"/>
      <c r="CC12" s="277"/>
      <c r="CD12" s="277"/>
      <c r="CE12" s="277"/>
      <c r="CF12" s="277"/>
      <c r="CG12" s="277"/>
      <c r="CH12" s="277"/>
    </row>
    <row s="1548" customFormat="1" customHeight="1" ht="11.25" hidden="1">
      <c r="A13" s="371"/>
      <c r="E13" s="180"/>
      <c r="G13" s="193"/>
      <c r="H13" s="193"/>
      <c r="I13" s="193"/>
      <c r="J13" s="193"/>
      <c r="K13" s="193"/>
      <c r="L13" s="193"/>
      <c r="M13" s="193"/>
      <c r="N13" s="193"/>
      <c r="O13" s="193"/>
      <c r="P13" s="193"/>
      <c r="Q13" s="193"/>
      <c r="R13" s="193"/>
      <c r="S13" s="193"/>
      <c r="AB13" s="176"/>
      <c r="AC13" s="176"/>
      <c r="AD13" s="176"/>
      <c r="AI13" s="1548"/>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S13" s="1548"/>
      <c r="BT13" s="1548"/>
      <c r="BU13" s="1548"/>
      <c r="BV13" s="1548"/>
      <c r="BW13" s="176"/>
      <c r="BZ13" s="483"/>
      <c r="CA13" s="277"/>
      <c r="CB13" s="277"/>
      <c r="CC13" s="277"/>
      <c r="CD13" s="277"/>
      <c r="CE13" s="277"/>
      <c r="CF13" s="277"/>
      <c r="CG13" s="277"/>
      <c r="CH13" s="277"/>
    </row>
    <row s="1548" customFormat="1" customHeight="1" ht="11.25" hidden="1">
      <c r="A14" s="371" t="s">
        <v>406</v>
      </c>
      <c r="E14" s="180"/>
      <c r="G14" s="193"/>
      <c r="H14" s="193"/>
      <c r="I14" s="193"/>
      <c r="J14" s="193"/>
      <c r="K14" s="193"/>
      <c r="L14" s="193"/>
      <c r="M14" s="193"/>
      <c r="N14" s="193"/>
      <c r="O14" s="193"/>
      <c r="P14" s="193"/>
      <c r="Q14" s="193"/>
      <c r="R14" s="193"/>
      <c r="S14" s="193"/>
      <c r="AB14" s="176"/>
      <c r="AC14" s="176"/>
      <c r="AE14" s="1072" t="s">
        <v>407</v>
      </c>
      <c r="AF14" s="1072" t="s">
        <v>408</v>
      </c>
      <c r="AG14" s="1072" t="s">
        <v>407</v>
      </c>
      <c r="AH14" s="1072" t="s">
        <v>407</v>
      </c>
      <c r="AI14" s="1072" t="s">
        <v>408</v>
      </c>
      <c r="AJ14" s="1072" t="s">
        <v>408</v>
      </c>
      <c r="AK14" s="1072" t="s">
        <v>408</v>
      </c>
      <c r="AL14" s="1072" t="s">
        <v>408</v>
      </c>
      <c r="AM14" s="1072" t="s">
        <v>408</v>
      </c>
      <c r="AN14" s="1072" t="s">
        <v>408</v>
      </c>
      <c r="AO14" s="1072" t="s">
        <v>408</v>
      </c>
      <c r="AP14" s="1072" t="s">
        <v>408</v>
      </c>
      <c r="AQ14" s="1072" t="s">
        <v>408</v>
      </c>
      <c r="AR14" s="1072" t="s">
        <v>408</v>
      </c>
      <c r="AS14" s="1072" t="s">
        <v>408</v>
      </c>
      <c r="AT14" s="1072" t="s">
        <v>408</v>
      </c>
      <c r="AU14" s="1072" t="s">
        <v>408</v>
      </c>
      <c r="AV14" s="1072" t="s">
        <v>408</v>
      </c>
      <c r="AW14" s="1072" t="s">
        <v>408</v>
      </c>
      <c r="AX14" s="1072" t="s">
        <v>408</v>
      </c>
      <c r="AY14" s="1072" t="s">
        <v>408</v>
      </c>
      <c r="AZ14" s="1072" t="s">
        <v>408</v>
      </c>
      <c r="BA14" s="1072" t="s">
        <v>408</v>
      </c>
      <c r="BB14" s="1072" t="s">
        <v>408</v>
      </c>
      <c r="BC14" s="1072" t="s">
        <v>407</v>
      </c>
      <c r="BD14" s="1072" t="s">
        <v>407</v>
      </c>
      <c r="BE14" s="1072" t="s">
        <v>407</v>
      </c>
      <c r="BF14" s="1072" t="s">
        <v>407</v>
      </c>
      <c r="BG14" s="1072" t="s">
        <v>407</v>
      </c>
      <c r="BH14" s="1072" t="s">
        <v>407</v>
      </c>
      <c r="BI14" s="1072" t="s">
        <v>407</v>
      </c>
      <c r="BJ14" s="1072" t="s">
        <v>407</v>
      </c>
      <c r="BK14" s="1072" t="s">
        <v>407</v>
      </c>
      <c r="BL14" s="1072" t="s">
        <v>407</v>
      </c>
      <c r="BM14" s="1072" t="s">
        <v>407</v>
      </c>
      <c r="BN14" s="1072" t="s">
        <v>407</v>
      </c>
      <c r="BO14" s="1072" t="s">
        <v>407</v>
      </c>
      <c r="BP14" s="1072" t="s">
        <v>407</v>
      </c>
      <c r="BQ14" s="1072" t="s">
        <v>407</v>
      </c>
      <c r="BR14" s="1072" t="s">
        <v>407</v>
      </c>
      <c r="BS14" s="1072" t="s">
        <v>407</v>
      </c>
      <c r="BT14" s="1072" t="s">
        <v>407</v>
      </c>
      <c r="BU14" s="1072" t="s">
        <v>407</v>
      </c>
      <c r="BV14" s="1072" t="s">
        <v>407</v>
      </c>
      <c r="BW14" s="1088"/>
      <c r="BZ14" s="483"/>
      <c r="CA14" s="0"/>
      <c r="CB14" s="0"/>
      <c r="CC14" s="0"/>
      <c r="CD14" s="0"/>
      <c r="CE14" s="0"/>
      <c r="CF14" s="0"/>
      <c r="CG14" s="0"/>
      <c r="CH14" s="0"/>
    </row>
    <row s="1548" customFormat="1" customHeight="1" ht="11.25" hidden="1">
      <c r="A15" s="371" t="s">
        <v>409</v>
      </c>
      <c r="E15" s="180"/>
      <c r="G15" s="193"/>
      <c r="H15" s="193"/>
      <c r="I15" s="193"/>
      <c r="J15" s="193"/>
      <c r="K15" s="193"/>
      <c r="L15" s="193"/>
      <c r="M15" s="193"/>
      <c r="N15" s="193"/>
      <c r="O15" s="193"/>
      <c r="P15" s="193"/>
      <c r="Q15" s="193"/>
      <c r="R15" s="193"/>
      <c r="S15" s="193"/>
      <c r="AB15" s="176"/>
      <c r="AC15" s="176"/>
      <c r="AD15" s="176"/>
      <c r="AE15" s="1072" t="s">
        <v>410</v>
      </c>
      <c r="AF15" s="1072" t="s">
        <v>621</v>
      </c>
      <c r="AG15" s="1072" t="s">
        <v>621</v>
      </c>
      <c r="AH15" s="1072" t="s">
        <v>410</v>
      </c>
      <c r="AI15" s="1072" t="s">
        <v>411</v>
      </c>
      <c r="AJ15" s="1072" t="s">
        <v>411</v>
      </c>
      <c r="AK15" s="1072" t="s">
        <v>411</v>
      </c>
      <c r="AL15" s="1072" t="s">
        <v>411</v>
      </c>
      <c r="AM15" s="1072" t="s">
        <v>411</v>
      </c>
      <c r="AN15" s="1072" t="s">
        <v>411</v>
      </c>
      <c r="AO15" s="1072" t="s">
        <v>411</v>
      </c>
      <c r="AP15" s="1072" t="s">
        <v>411</v>
      </c>
      <c r="AQ15" s="1072" t="s">
        <v>411</v>
      </c>
      <c r="AR15" s="1072" t="s">
        <v>411</v>
      </c>
      <c r="AS15" s="1072" t="s">
        <v>411</v>
      </c>
      <c r="AT15" s="1072" t="s">
        <v>411</v>
      </c>
      <c r="AU15" s="1072" t="s">
        <v>411</v>
      </c>
      <c r="AV15" s="1072" t="s">
        <v>411</v>
      </c>
      <c r="AW15" s="1072" t="s">
        <v>411</v>
      </c>
      <c r="AX15" s="1072" t="s">
        <v>411</v>
      </c>
      <c r="AY15" s="1072" t="s">
        <v>411</v>
      </c>
      <c r="AZ15" s="1072" t="s">
        <v>411</v>
      </c>
      <c r="BA15" s="1072" t="s">
        <v>411</v>
      </c>
      <c r="BB15" s="1072" t="s">
        <v>411</v>
      </c>
      <c r="BC15" s="1072" t="s">
        <v>410</v>
      </c>
      <c r="BD15" s="1072" t="s">
        <v>410</v>
      </c>
      <c r="BE15" s="1072" t="s">
        <v>410</v>
      </c>
      <c r="BF15" s="1072" t="s">
        <v>410</v>
      </c>
      <c r="BG15" s="1072" t="s">
        <v>410</v>
      </c>
      <c r="BH15" s="1072" t="s">
        <v>410</v>
      </c>
      <c r="BI15" s="1072" t="s">
        <v>410</v>
      </c>
      <c r="BJ15" s="1072" t="s">
        <v>410</v>
      </c>
      <c r="BK15" s="1072" t="s">
        <v>410</v>
      </c>
      <c r="BL15" s="1072" t="s">
        <v>410</v>
      </c>
      <c r="BM15" s="1072" t="s">
        <v>410</v>
      </c>
      <c r="BN15" s="1072" t="s">
        <v>410</v>
      </c>
      <c r="BO15" s="1072" t="s">
        <v>410</v>
      </c>
      <c r="BP15" s="1072" t="s">
        <v>410</v>
      </c>
      <c r="BQ15" s="1072" t="s">
        <v>410</v>
      </c>
      <c r="BR15" s="1072" t="s">
        <v>410</v>
      </c>
      <c r="BS15" s="1072" t="s">
        <v>410</v>
      </c>
      <c r="BT15" s="1072" t="s">
        <v>410</v>
      </c>
      <c r="BU15" s="1072" t="s">
        <v>410</v>
      </c>
      <c r="BV15" s="1072" t="s">
        <v>410</v>
      </c>
      <c r="BW15" s="1088"/>
      <c r="BZ15" s="483"/>
      <c r="CA15" s="0"/>
      <c r="CB15" s="0"/>
      <c r="CC15" s="0"/>
      <c r="CD15" s="0"/>
      <c r="CE15" s="0"/>
      <c r="CF15" s="0"/>
      <c r="CG15" s="0"/>
      <c r="CH15" s="0"/>
    </row>
    <row s="1548" customFormat="1" customHeight="1" ht="11.25" hidden="1">
      <c r="A16" s="371" t="s">
        <v>109</v>
      </c>
      <c r="E16" s="180"/>
      <c r="G16" s="193"/>
      <c r="H16" s="193"/>
      <c r="I16" s="193"/>
      <c r="J16" s="193"/>
      <c r="K16" s="193"/>
      <c r="L16" s="193"/>
      <c r="M16" s="193"/>
      <c r="N16" s="193"/>
      <c r="O16" s="193"/>
      <c r="P16" s="193"/>
      <c r="Q16" s="193"/>
      <c r="R16" s="193"/>
      <c r="S16" s="193"/>
      <c r="AB16" s="176"/>
      <c r="AC16" s="176"/>
      <c r="AD16" s="176"/>
      <c r="AE16" s="1072" t="str">
        <f>"389.0."&amp;AE9-2010&amp;"."</f>
        <v>389.0.15.</v>
      </c>
      <c r="AF16" s="1072" t="str">
        <f>"389.0."&amp;AF9-2010&amp;"."</f>
        <v>389.0.15.</v>
      </c>
      <c r="AG16" s="1072" t="str">
        <f>"389.0."&amp;AG9-2010&amp;"."</f>
        <v>389.0.15.</v>
      </c>
      <c r="AH16" s="1072" t="str">
        <f>"389.0."&amp;AH9-2010&amp;"."</f>
        <v>389.0.16.</v>
      </c>
      <c r="AI16" s="1072" t="str">
        <f>"389.0."&amp;AI9-2010&amp;"."</f>
        <v>389.0.17.</v>
      </c>
      <c r="AJ16" s="1072" t="str">
        <f>"389.0."&amp;AJ9-2010&amp;"."</f>
        <v>389.0.18.</v>
      </c>
      <c r="AK16" s="1072" t="str">
        <f>"389.0."&amp;AK9-2010&amp;"."</f>
        <v>389.0.19.</v>
      </c>
      <c r="AL16" s="1072" t="str">
        <f>"389.0."&amp;AL9-2010&amp;"."</f>
        <v>389.0.20.</v>
      </c>
      <c r="AM16" s="1072" t="str">
        <f>"389.0."&amp;AM9-2010&amp;"."</f>
        <v>389.0.21.</v>
      </c>
      <c r="AN16" s="1072" t="str">
        <f>"389.0."&amp;AN9-2010&amp;"."</f>
        <v>389.0.22.</v>
      </c>
      <c r="AO16" s="1072" t="str">
        <f>"389.0."&amp;AO9-2010&amp;"."</f>
        <v>389.0.23.</v>
      </c>
      <c r="AP16" s="1072" t="str">
        <f>"389.0."&amp;AP9-2010&amp;"."</f>
        <v>389.0.24.</v>
      </c>
      <c r="AQ16" s="1072" t="str">
        <f>"389.0."&amp;AQ9-2010&amp;"."</f>
        <v>389.0.25.</v>
      </c>
      <c r="AR16" s="1072" t="str">
        <f>"389.0."&amp;AR9-2010&amp;"."</f>
        <v>389.0.26.</v>
      </c>
      <c r="AS16" s="1072" t="str">
        <f>"389.0."&amp;AS9-2010&amp;"."</f>
        <v>389.0.27.</v>
      </c>
      <c r="AT16" s="1072" t="str">
        <f>"389.0."&amp;AT9-2010&amp;"."</f>
        <v>389.0.28.</v>
      </c>
      <c r="AU16" s="1072" t="str">
        <f>"389.0."&amp;AU9-2010&amp;"."</f>
        <v>389.0.29.</v>
      </c>
      <c r="AV16" s="1072" t="str">
        <f>"389.0."&amp;AV9-2010&amp;"."</f>
        <v>389.0.30.</v>
      </c>
      <c r="AW16" s="1072" t="str">
        <f>"389.0."&amp;AW9-2010&amp;"."</f>
        <v>389.0.31.</v>
      </c>
      <c r="AX16" s="1072" t="str">
        <f>"389.0."&amp;AX9-2010&amp;"."</f>
        <v>389.0.32.</v>
      </c>
      <c r="AY16" s="1072" t="str">
        <f>"389.0."&amp;AY9-2010&amp;"."</f>
        <v>389.0.33.</v>
      </c>
      <c r="AZ16" s="1072" t="str">
        <f>"389.0."&amp;AZ9-2010&amp;"."</f>
        <v>389.0.34.</v>
      </c>
      <c r="BA16" s="1072" t="str">
        <f>"389.0."&amp;BA9-2010&amp;"."</f>
        <v>389.0.35.</v>
      </c>
      <c r="BB16" s="1072" t="str">
        <f>"389.0."&amp;BB9-2010&amp;"."</f>
        <v>389.0.36.</v>
      </c>
      <c r="BC16" s="1072" t="str">
        <f>"389.0."&amp;BC9-2010&amp;"."</f>
        <v>389.0.17.</v>
      </c>
      <c r="BD16" s="1072" t="str">
        <f>"389.0."&amp;BD9-2010&amp;"."</f>
        <v>389.0.18.</v>
      </c>
      <c r="BE16" s="1072" t="str">
        <f>"389.0."&amp;BE9-2010&amp;"."</f>
        <v>389.0.19.</v>
      </c>
      <c r="BF16" s="1072" t="str">
        <f>"389.0."&amp;BF9-2010&amp;"."</f>
        <v>389.0.20.</v>
      </c>
      <c r="BG16" s="1072" t="str">
        <f>"389.0."&amp;BG9-2010&amp;"."</f>
        <v>389.0.21.</v>
      </c>
      <c r="BH16" s="1072" t="str">
        <f>"389.0."&amp;BH9-2010&amp;"."</f>
        <v>389.0.22.</v>
      </c>
      <c r="BI16" s="1072" t="str">
        <f>"389.0."&amp;BI9-2010&amp;"."</f>
        <v>389.0.23.</v>
      </c>
      <c r="BJ16" s="1072" t="str">
        <f>"389.0."&amp;BJ9-2010&amp;"."</f>
        <v>389.0.24.</v>
      </c>
      <c r="BK16" s="1072" t="str">
        <f>"389.0."&amp;BK9-2010&amp;"."</f>
        <v>389.0.25.</v>
      </c>
      <c r="BL16" s="1072" t="str">
        <f>"389.0."&amp;BL9-2010&amp;"."</f>
        <v>389.0.26.</v>
      </c>
      <c r="BM16" s="1072" t="str">
        <f>"389.0."&amp;BM9-2010&amp;"."</f>
        <v>389.0.27.</v>
      </c>
      <c r="BN16" s="1072" t="str">
        <f>"389.0."&amp;BN9-2010&amp;"."</f>
        <v>389.0.28.</v>
      </c>
      <c r="BO16" s="1072" t="str">
        <f>"389.0."&amp;BO9-2010&amp;"."</f>
        <v>389.0.29.</v>
      </c>
      <c r="BP16" s="1072" t="str">
        <f>"389.0."&amp;BP9-2010&amp;"."</f>
        <v>389.0.30.</v>
      </c>
      <c r="BQ16" s="1072" t="str">
        <f>"389.0."&amp;BQ9-2010&amp;"."</f>
        <v>389.0.31.</v>
      </c>
      <c r="BR16" s="1072" t="str">
        <f>"389.0."&amp;BR9-2010&amp;"."</f>
        <v>389.0.32.</v>
      </c>
      <c r="BS16" s="1072" t="str">
        <f>"389.0."&amp;BS9-2010&amp;"."</f>
        <v>389.0.33.</v>
      </c>
      <c r="BT16" s="1072" t="str">
        <f>"389.0."&amp;BT9-2010&amp;"."</f>
        <v>389.0.34.</v>
      </c>
      <c r="BU16" s="1072" t="str">
        <f>"389.0."&amp;BU9-2010&amp;"."</f>
        <v>389.0.35.</v>
      </c>
      <c r="BV16" s="1072" t="str">
        <f>"389.0."&amp;BV9-2010&amp;"."</f>
        <v>389.0.36.</v>
      </c>
      <c r="BW16" s="1088"/>
      <c r="BZ16" s="483"/>
      <c r="CA16" s="0"/>
      <c r="CB16" s="0"/>
      <c r="CC16" s="0"/>
      <c r="CD16" s="0"/>
      <c r="CE16" s="0"/>
      <c r="CF16" s="0"/>
      <c r="CG16" s="0"/>
      <c r="CH16" s="0"/>
    </row>
    <row s="1548" customFormat="1" customHeight="1" ht="11.25" hidden="1">
      <c r="A17" s="371" t="s">
        <v>351</v>
      </c>
      <c r="E17" s="180"/>
      <c r="G17" s="193"/>
      <c r="H17" s="193"/>
      <c r="I17" s="193"/>
      <c r="J17" s="193"/>
      <c r="K17" s="193"/>
      <c r="L17" s="193"/>
      <c r="M17" s="193"/>
      <c r="N17" s="193"/>
      <c r="O17" s="193"/>
      <c r="P17" s="193"/>
      <c r="Q17" s="193"/>
      <c r="R17" s="193"/>
      <c r="S17" s="193"/>
      <c r="AB17" s="176"/>
      <c r="AC17" s="176"/>
      <c r="AD17" s="176"/>
      <c r="AE17" s="1072"/>
      <c r="AF17" s="1072"/>
      <c r="AG17" s="1072"/>
      <c r="AH17" s="1072"/>
      <c r="AI17" s="1072"/>
      <c r="AJ17" s="1072"/>
      <c r="AK17" s="1072"/>
      <c r="AL17" s="1072"/>
      <c r="AM17" s="1072"/>
      <c r="AN17" s="1072"/>
      <c r="AO17" s="1072"/>
      <c r="AP17" s="1072"/>
      <c r="AQ17" s="1072"/>
      <c r="AR17" s="1072"/>
      <c r="AS17" s="1072"/>
      <c r="AT17" s="1072"/>
      <c r="AU17" s="1072"/>
      <c r="AV17" s="1072"/>
      <c r="AW17" s="1072"/>
      <c r="AX17" s="1072"/>
      <c r="AY17" s="1072"/>
      <c r="AZ17" s="1072"/>
      <c r="BA17" s="1072"/>
      <c r="BB17" s="1072"/>
      <c r="BC17" s="1072"/>
      <c r="BD17" s="1072"/>
      <c r="BE17" s="1072"/>
      <c r="BF17" s="1072"/>
      <c r="BG17" s="1072"/>
      <c r="BH17" s="1072"/>
      <c r="BI17" s="1072"/>
      <c r="BJ17" s="1072"/>
      <c r="BK17" s="1072"/>
      <c r="BL17" s="1072"/>
      <c r="BM17" s="1072"/>
      <c r="BN17" s="1072"/>
      <c r="BO17" s="1072"/>
      <c r="BP17" s="1072"/>
      <c r="BQ17" s="1072"/>
      <c r="BR17" s="1072"/>
      <c r="BS17" s="1072"/>
      <c r="BT17" s="1072"/>
      <c r="BU17" s="1072"/>
      <c r="BV17" s="1072"/>
      <c r="BW17" s="1072" t="s">
        <v>178</v>
      </c>
      <c r="BZ17" s="483"/>
      <c r="CA17" s="0"/>
      <c r="CB17" s="0"/>
      <c r="CC17" s="0"/>
      <c r="CD17" s="0"/>
      <c r="CE17" s="0"/>
      <c r="CF17" s="0"/>
      <c r="CG17" s="0"/>
      <c r="CH17" s="0"/>
    </row>
    <row s="1548" customFormat="1" customHeight="1" ht="11.25" hidden="1">
      <c r="A18" s="371" t="s">
        <v>352</v>
      </c>
      <c r="E18" s="180"/>
      <c r="G18" s="193"/>
      <c r="H18" s="193"/>
      <c r="I18" s="193"/>
      <c r="J18" s="193"/>
      <c r="K18" s="193"/>
      <c r="L18" s="193"/>
      <c r="M18" s="193"/>
      <c r="N18" s="193"/>
      <c r="O18" s="193"/>
      <c r="P18" s="193"/>
      <c r="Q18" s="193"/>
      <c r="R18" s="193"/>
      <c r="S18" s="193"/>
      <c r="AB18" s="176"/>
      <c r="AC18" s="176"/>
      <c r="AD18" s="176"/>
      <c r="AE18" s="1072"/>
      <c r="AF18" s="1072"/>
      <c r="AG18" s="1072"/>
      <c r="AH18" s="1072"/>
      <c r="AI18" s="1072"/>
      <c r="AJ18" s="1072"/>
      <c r="AK18" s="1072"/>
      <c r="AL18" s="1072"/>
      <c r="AM18" s="1072"/>
      <c r="AN18" s="1072"/>
      <c r="AO18" s="1072"/>
      <c r="AP18" s="1072"/>
      <c r="AQ18" s="1072"/>
      <c r="AR18" s="1072"/>
      <c r="AS18" s="1072"/>
      <c r="AT18" s="1072"/>
      <c r="AU18" s="1072"/>
      <c r="AV18" s="1072"/>
      <c r="AW18" s="1072"/>
      <c r="AX18" s="1072"/>
      <c r="AY18" s="1072"/>
      <c r="AZ18" s="1072"/>
      <c r="BA18" s="1072"/>
      <c r="BB18" s="1072"/>
      <c r="BC18" s="1072"/>
      <c r="BD18" s="1072"/>
      <c r="BE18" s="1072"/>
      <c r="BF18" s="1072"/>
      <c r="BG18" s="1072"/>
      <c r="BH18" s="1072"/>
      <c r="BI18" s="1072"/>
      <c r="BJ18" s="1072"/>
      <c r="BK18" s="1072"/>
      <c r="BL18" s="1072"/>
      <c r="BM18" s="1072"/>
      <c r="BN18" s="1072"/>
      <c r="BO18" s="1072"/>
      <c r="BP18" s="1072"/>
      <c r="BQ18" s="1072"/>
      <c r="BR18" s="1072"/>
      <c r="BS18" s="1072"/>
      <c r="BT18" s="1072"/>
      <c r="BU18" s="1072"/>
      <c r="BV18" s="1072"/>
      <c r="BW18" s="1072" t="s">
        <v>622</v>
      </c>
      <c r="BZ18" s="483"/>
      <c r="CA18" s="0"/>
      <c r="CB18" s="0"/>
      <c r="CC18" s="0"/>
      <c r="CD18" s="0"/>
      <c r="CE18" s="0"/>
      <c r="CF18" s="0"/>
      <c r="CG18" s="0"/>
      <c r="CH18" s="0"/>
    </row>
    <row s="1548" customFormat="1" customHeight="1" ht="11.25" hidden="1">
      <c r="A19" s="371" t="s">
        <v>379</v>
      </c>
      <c r="E19" s="180"/>
      <c r="G19" s="193"/>
      <c r="H19" s="193"/>
      <c r="I19" s="193"/>
      <c r="J19" s="193"/>
      <c r="K19" s="193"/>
      <c r="L19" s="193"/>
      <c r="M19" s="193"/>
      <c r="N19" s="193"/>
      <c r="O19" s="193"/>
      <c r="P19" s="193"/>
      <c r="Q19" s="193"/>
      <c r="R19" s="193"/>
      <c r="S19" s="193"/>
      <c r="AB19" s="176"/>
      <c r="AC19" s="176"/>
      <c r="AD19" s="176"/>
      <c r="AE19" s="1072"/>
      <c r="AF19" s="1072"/>
      <c r="AG19" s="1072"/>
      <c r="AH19" s="1072"/>
      <c r="AI19" s="1072"/>
      <c r="AJ19" s="1072"/>
      <c r="AK19" s="1072"/>
      <c r="AL19" s="1072"/>
      <c r="AM19" s="1072"/>
      <c r="AN19" s="1072"/>
      <c r="AO19" s="1072"/>
      <c r="AP19" s="1072"/>
      <c r="AQ19" s="1072"/>
      <c r="AR19" s="1072"/>
      <c r="AS19" s="1072"/>
      <c r="AT19" s="1072"/>
      <c r="AU19" s="1072"/>
      <c r="AV19" s="1072"/>
      <c r="AW19" s="1072"/>
      <c r="AX19" s="1072"/>
      <c r="AY19" s="1072"/>
      <c r="AZ19" s="1072"/>
      <c r="BA19" s="1072"/>
      <c r="BB19" s="1072"/>
      <c r="BC19" s="1072"/>
      <c r="BD19" s="1072"/>
      <c r="BE19" s="1072"/>
      <c r="BF19" s="1072"/>
      <c r="BG19" s="1072"/>
      <c r="BH19" s="1072"/>
      <c r="BI19" s="1072"/>
      <c r="BJ19" s="1072"/>
      <c r="BK19" s="1072"/>
      <c r="BL19" s="1072"/>
      <c r="BM19" s="1072"/>
      <c r="BN19" s="1072"/>
      <c r="BO19" s="1072"/>
      <c r="BP19" s="1072"/>
      <c r="BQ19" s="1072"/>
      <c r="BR19" s="1072"/>
      <c r="BS19" s="1072"/>
      <c r="BT19" s="1072"/>
      <c r="BU19" s="1072"/>
      <c r="BV19" s="1072"/>
      <c r="BW19" s="1072" t="s">
        <v>623</v>
      </c>
      <c r="BZ19" s="483"/>
      <c r="CA19" s="0"/>
      <c r="CB19" s="0"/>
      <c r="CC19" s="0"/>
      <c r="CD19" s="0"/>
      <c r="CE19" s="0"/>
      <c r="CF19" s="0"/>
      <c r="CG19" s="0"/>
      <c r="CH19" s="0"/>
    </row>
    <row s="1548" customFormat="1" customHeight="1" ht="11.25" hidden="1">
      <c r="A20" s="371"/>
      <c r="E20" s="180"/>
      <c r="G20" s="193"/>
      <c r="H20" s="193"/>
      <c r="I20" s="193"/>
      <c r="J20" s="193"/>
      <c r="K20" s="193"/>
      <c r="L20" s="193"/>
      <c r="M20" s="193"/>
      <c r="N20" s="193"/>
      <c r="O20" s="193"/>
      <c r="P20" s="193"/>
      <c r="Q20" s="193"/>
      <c r="R20" s="193"/>
      <c r="S20" s="193"/>
      <c r="AB20" s="176"/>
      <c r="AC20" s="176"/>
      <c r="AD20" s="176"/>
      <c r="AI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W20" s="176"/>
      <c r="BZ20" s="483"/>
      <c r="CA20" s="277"/>
      <c r="CB20" s="277"/>
      <c r="CC20" s="277"/>
      <c r="CD20" s="277"/>
      <c r="CE20" s="277"/>
      <c r="CF20" s="277"/>
      <c r="CG20" s="277"/>
      <c r="CH20" s="277"/>
    </row>
    <row customHeight="1" ht="14.625">
      <c r="E21" s="180">
        <v>15</v>
      </c>
      <c r="AA21" s="182"/>
      <c r="AC21" s="278" cm="1" t="str">
        <f t="array" ref="AC21:AC21">tpl_title</f>
        <v>Кемеровская область / 2027 / ООО "КК-ИНВЕСТ" (ИНН:1901133713, КПП:190101001) / ДПР: 2025-2027</v>
      </c>
      <c r="AI21" s="286"/>
      <c r="AJ21" s="286"/>
      <c r="AK21" s="286"/>
      <c r="AL21" s="286"/>
      <c r="AM21" s="286"/>
      <c r="AN21" s="286"/>
      <c r="AO21" s="286"/>
      <c r="AP21" s="286"/>
      <c r="AQ21" s="286"/>
      <c r="AR21" s="286"/>
      <c r="AS21" s="286"/>
      <c r="AT21" s="286"/>
      <c r="AU21" s="286"/>
      <c r="AV21" s="286"/>
      <c r="AW21" s="286"/>
      <c r="AX21" s="286"/>
      <c r="AY21" s="286"/>
      <c r="AZ21" s="286"/>
      <c r="BA21" s="286"/>
      <c r="BB21" s="286"/>
      <c r="BC21" s="286"/>
      <c r="BD21" s="286"/>
      <c r="BE21" s="286"/>
      <c r="BF21" s="286"/>
      <c r="BG21" s="286"/>
      <c r="BH21" s="286"/>
      <c r="BI21" s="286"/>
      <c r="BJ21" s="286"/>
      <c r="BK21" s="286"/>
      <c r="BL21" s="286"/>
      <c r="BM21" s="286"/>
      <c r="BN21" s="286"/>
      <c r="BO21" s="286"/>
      <c r="BP21" s="286"/>
      <c r="BQ21" s="286"/>
      <c r="BR21" s="286"/>
      <c r="BS21" s="286"/>
      <c r="BT21" s="286"/>
      <c r="BU21" s="286"/>
      <c r="BV21" s="286"/>
    </row>
    <row s="1659" customFormat="1" customHeight="1" ht="19.5">
      <c r="A22" s="371"/>
      <c r="B22" s="175"/>
      <c r="C22" s="175"/>
      <c r="D22" s="175"/>
      <c r="E22" s="180">
        <v>20</v>
      </c>
      <c r="F22" s="175"/>
      <c r="T22" s="175"/>
      <c r="U22" s="175"/>
      <c r="V22" s="175"/>
      <c r="W22" s="175"/>
      <c r="X22" s="175"/>
      <c r="Y22" s="175"/>
      <c r="Z22" s="175"/>
      <c r="AA22" s="181"/>
      <c r="AB22" s="430" t="s">
        <v>36</v>
      </c>
      <c r="AC22" s="431"/>
      <c r="AD22" s="431"/>
      <c r="AE22" s="431"/>
      <c r="AF22" s="431"/>
      <c r="AG22" s="431"/>
      <c r="AH22" s="431"/>
      <c r="AI22" s="431"/>
      <c r="AJ22" s="431"/>
      <c r="AK22" s="431"/>
      <c r="AL22" s="431"/>
      <c r="AM22" s="431"/>
      <c r="AN22" s="431"/>
      <c r="AO22" s="431"/>
      <c r="AP22" s="431"/>
      <c r="AQ22" s="431"/>
      <c r="AR22" s="431"/>
      <c r="AS22" s="431"/>
      <c r="AT22" s="431"/>
      <c r="AU22" s="431"/>
      <c r="AV22" s="431"/>
      <c r="AW22" s="431"/>
      <c r="AX22" s="431"/>
      <c r="AY22" s="431"/>
      <c r="AZ22" s="431"/>
      <c r="BA22" s="431"/>
      <c r="BB22" s="431"/>
      <c r="BC22" s="431"/>
      <c r="BD22" s="431"/>
      <c r="BE22" s="431"/>
      <c r="BF22" s="431"/>
      <c r="BG22" s="431"/>
      <c r="BH22" s="431"/>
      <c r="BI22" s="431"/>
      <c r="BJ22" s="431"/>
      <c r="BK22" s="431"/>
      <c r="BL22" s="431"/>
      <c r="BM22" s="431"/>
      <c r="BN22" s="431"/>
      <c r="BO22" s="431"/>
      <c r="BP22" s="431"/>
      <c r="BQ22" s="431"/>
      <c r="BR22" s="431"/>
      <c r="BS22" s="431"/>
      <c r="BT22" s="431"/>
      <c r="BU22" s="431"/>
      <c r="BV22" s="431"/>
      <c r="BW22" s="431"/>
      <c r="BX22" s="181"/>
      <c r="BZ22" s="483"/>
      <c r="CA22" s="181"/>
      <c r="CB22" s="181"/>
      <c r="CC22" s="181"/>
      <c r="CD22" s="181"/>
      <c r="CE22" s="181"/>
      <c r="CF22" s="181"/>
      <c r="CG22" s="181"/>
      <c r="CH22" s="181"/>
    </row>
    <row customHeight="1" ht="10.725000000000001">
      <c r="E23" s="180">
        <v>11</v>
      </c>
      <c r="AI23" s="286"/>
      <c r="AJ23" s="286"/>
      <c r="AK23" s="286"/>
      <c r="AL23" s="286"/>
      <c r="AM23" s="286"/>
      <c r="AN23" s="286"/>
      <c r="AO23" s="286"/>
      <c r="AP23" s="286"/>
      <c r="AQ23" s="286"/>
      <c r="AR23" s="286"/>
      <c r="AS23" s="286"/>
      <c r="AT23" s="286"/>
      <c r="AU23" s="286"/>
      <c r="AV23" s="286"/>
      <c r="AW23" s="286"/>
      <c r="AX23" s="286"/>
      <c r="AY23" s="286"/>
      <c r="AZ23" s="286"/>
      <c r="BA23" s="286"/>
      <c r="BB23" s="286"/>
      <c r="BC23" s="286"/>
      <c r="BD23" s="286"/>
      <c r="BE23" s="286"/>
      <c r="BF23" s="286"/>
      <c r="BG23" s="286"/>
      <c r="BH23" s="286"/>
      <c r="BI23" s="286"/>
      <c r="BJ23" s="286"/>
      <c r="BK23" s="286"/>
      <c r="BL23" s="286"/>
      <c r="BM23" s="286"/>
      <c r="BN23" s="286"/>
      <c r="BO23" s="286"/>
      <c r="BP23" s="286"/>
      <c r="BQ23" s="286"/>
      <c r="BR23" s="286"/>
      <c r="BS23" s="286"/>
      <c r="BT23" s="286"/>
      <c r="BU23" s="286"/>
      <c r="BV23" s="286"/>
    </row>
    <row s="1659" customFormat="1" customHeight="1" ht="14.625">
      <c r="A24" s="371"/>
      <c r="B24" s="175"/>
      <c r="C24" s="175"/>
      <c r="D24" s="175"/>
      <c r="E24" s="180">
        <v>15</v>
      </c>
      <c r="F24" s="175"/>
      <c r="T24" s="175"/>
      <c r="U24" s="175"/>
      <c r="V24" s="175"/>
      <c r="W24" s="175"/>
      <c r="X24" s="175"/>
      <c r="Y24" s="175"/>
      <c r="Z24" s="175"/>
      <c r="AA24" s="181"/>
      <c r="AB24" s="1594" t="s">
        <v>36</v>
      </c>
      <c r="AC24" s="1594"/>
      <c r="AD24" s="1594"/>
      <c r="AE24" s="1594"/>
      <c r="AF24" s="1594"/>
      <c r="AG24" s="1594"/>
      <c r="AH24" s="1594"/>
      <c r="AI24" s="1594"/>
      <c r="AJ24" s="1594"/>
      <c r="AK24" s="1594"/>
      <c r="AL24" s="1594"/>
      <c r="AM24" s="1594"/>
      <c r="AN24" s="1594"/>
      <c r="AO24" s="1594"/>
      <c r="AP24" s="1594"/>
      <c r="AQ24" s="1594"/>
      <c r="AR24" s="1594"/>
      <c r="AS24" s="1594"/>
      <c r="AT24" s="1594"/>
      <c r="AU24" s="1594"/>
      <c r="AV24" s="1594"/>
      <c r="AW24" s="1594"/>
      <c r="AX24" s="1594"/>
      <c r="AY24" s="1594"/>
      <c r="AZ24" s="1594"/>
      <c r="BA24" s="1594"/>
      <c r="BB24" s="1594"/>
      <c r="BC24" s="1594"/>
      <c r="BD24" s="1594"/>
      <c r="BE24" s="1594"/>
      <c r="BF24" s="1594"/>
      <c r="BG24" s="1594"/>
      <c r="BH24" s="1594"/>
      <c r="BI24" s="1594"/>
      <c r="BJ24" s="1594"/>
      <c r="BK24" s="1594"/>
      <c r="BL24" s="1594"/>
      <c r="BM24" s="1594"/>
      <c r="BN24" s="1594"/>
      <c r="BO24" s="1594"/>
      <c r="BP24" s="1594"/>
      <c r="BQ24" s="1594"/>
      <c r="BR24" s="1594"/>
      <c r="BS24" s="1594"/>
      <c r="BT24" s="1594"/>
      <c r="BU24" s="1594"/>
      <c r="BV24" s="1594"/>
      <c r="BW24" s="1594"/>
      <c r="BX24" s="181"/>
      <c r="BZ24" s="483"/>
      <c r="CA24" s="181"/>
      <c r="CB24" s="181"/>
      <c r="CC24" s="181"/>
      <c r="CD24" s="181"/>
      <c r="CE24" s="181"/>
      <c r="CF24" s="181"/>
      <c r="CG24" s="181"/>
      <c r="CH24" s="181"/>
    </row>
    <row s="308" customFormat="1" customHeight="1" ht="14.625">
      <c r="A25" s="371"/>
      <c r="B25" s="176"/>
      <c r="C25" s="176"/>
      <c r="D25" s="176"/>
      <c r="E25" s="284">
        <v>15</v>
      </c>
      <c r="F25" s="176"/>
      <c r="T25" s="176"/>
      <c r="U25" s="176"/>
      <c r="V25" s="175"/>
      <c r="W25" s="176"/>
      <c r="X25" s="176"/>
      <c r="Y25" s="176"/>
      <c r="Z25" s="176"/>
      <c r="AA25" s="285"/>
      <c r="AB25" s="1596" t="s">
        <v>355</v>
      </c>
      <c r="AC25" s="1597" t="s">
        <v>412</v>
      </c>
      <c r="AD25" s="1589" t="s">
        <v>413</v>
      </c>
      <c r="AE25" s="432" t="str">
        <f>god-2&amp;" год"</f>
        <v>2025 год</v>
      </c>
      <c r="AF25" s="433" t="str">
        <f>god-2&amp;" год"</f>
        <v>2025 год</v>
      </c>
      <c r="AG25" s="432" t="str">
        <f>god-2&amp;" год"</f>
        <v>2025 год</v>
      </c>
      <c r="AH25" s="330" t="str">
        <f>god-1&amp;" год"</f>
        <v>2026 год</v>
      </c>
      <c r="AI25" s="329" t="str">
        <f>god&amp;" год"</f>
        <v>2027 год</v>
      </c>
      <c r="AJ25" s="329" t="str">
        <f>god+1&amp;" год"</f>
        <v>2028 год</v>
      </c>
      <c r="AK25" s="329" t="str">
        <f>god+2&amp;" год"</f>
        <v>2029 год</v>
      </c>
      <c r="AL25" s="329" t="str">
        <f>god+3&amp;" год"</f>
        <v>2030 год</v>
      </c>
      <c r="AM25" s="329" t="str">
        <f>god+4&amp;" год"</f>
        <v>2031 год</v>
      </c>
      <c r="AN25" s="329" t="str">
        <f>god+5&amp;" год"</f>
        <v>2032 год</v>
      </c>
      <c r="AO25" s="329" t="str">
        <f>god+6&amp;" год"</f>
        <v>2033 год</v>
      </c>
      <c r="AP25" s="329" t="str">
        <f>god+7&amp;" год"</f>
        <v>2034 год</v>
      </c>
      <c r="AQ25" s="329" t="str">
        <f>god+8&amp;" год"</f>
        <v>2035 год</v>
      </c>
      <c r="AR25" s="329" t="str">
        <f>god+9&amp;" год"</f>
        <v>2036 год</v>
      </c>
      <c r="AS25" s="329" t="str">
        <f>god+10&amp;" год"</f>
        <v>2037 год</v>
      </c>
      <c r="AT25" s="329" t="str">
        <f>god+11&amp;" год"</f>
        <v>2038 год</v>
      </c>
      <c r="AU25" s="329" t="str">
        <f>god+12&amp;" год"</f>
        <v>2039 год</v>
      </c>
      <c r="AV25" s="329" t="str">
        <f>god+13&amp;" год"</f>
        <v>2040 год</v>
      </c>
      <c r="AW25" s="329" t="str">
        <f>god+14&amp;" год"</f>
        <v>2041 год</v>
      </c>
      <c r="AX25" s="329" t="str">
        <f>god+15&amp;" год"</f>
        <v>2042 год</v>
      </c>
      <c r="AY25" s="329" t="str">
        <f>god+16&amp;" год"</f>
        <v>2043 год</v>
      </c>
      <c r="AZ25" s="329" t="str">
        <f>god+17&amp;" год"</f>
        <v>2044 год</v>
      </c>
      <c r="BA25" s="329" t="str">
        <f>god+18&amp;" год"</f>
        <v>2045 год</v>
      </c>
      <c r="BB25" s="329" t="str">
        <f>god+19&amp;" год"</f>
        <v>2046 год</v>
      </c>
      <c r="BC25" s="328" t="str">
        <f>god&amp;" год"</f>
        <v>2027 год</v>
      </c>
      <c r="BD25" s="328" t="str">
        <f>god+1&amp;" год"</f>
        <v>2028 год</v>
      </c>
      <c r="BE25" s="328" t="str">
        <f>god+2&amp;" год"</f>
        <v>2029 год</v>
      </c>
      <c r="BF25" s="328" t="str">
        <f>god+3&amp;" год"</f>
        <v>2030 год</v>
      </c>
      <c r="BG25" s="328" t="str">
        <f>god+4&amp;" год"</f>
        <v>2031 год</v>
      </c>
      <c r="BH25" s="328" t="str">
        <f>god+5&amp;" год"</f>
        <v>2032 год</v>
      </c>
      <c r="BI25" s="328" t="str">
        <f>god+6&amp;" год"</f>
        <v>2033 год</v>
      </c>
      <c r="BJ25" s="328" t="str">
        <f>god+7&amp;" год"</f>
        <v>2034 год</v>
      </c>
      <c r="BK25" s="328" t="str">
        <f>god+8&amp;" год"</f>
        <v>2035 год</v>
      </c>
      <c r="BL25" s="328" t="str">
        <f>god+9&amp;" год"</f>
        <v>2036 год</v>
      </c>
      <c r="BM25" s="328" t="str">
        <f>god+10&amp;" год"</f>
        <v>2037 год</v>
      </c>
      <c r="BN25" s="328" t="str">
        <f>god+11&amp;" год"</f>
        <v>2038 год</v>
      </c>
      <c r="BO25" s="328" t="str">
        <f>god+12&amp;" год"</f>
        <v>2039 год</v>
      </c>
      <c r="BP25" s="328" t="str">
        <f>god+13&amp;" год"</f>
        <v>2040 год</v>
      </c>
      <c r="BQ25" s="328" t="str">
        <f>god+14&amp;" год"</f>
        <v>2041 год</v>
      </c>
      <c r="BR25" s="328" t="str">
        <f>god+15&amp;" год"</f>
        <v>2042 год</v>
      </c>
      <c r="BS25" s="328" t="str">
        <f>god+16&amp;" год"</f>
        <v>2043 год</v>
      </c>
      <c r="BT25" s="328" t="str">
        <f>god+17&amp;" год"</f>
        <v>2044 год</v>
      </c>
      <c r="BU25" s="328" t="str">
        <f>god+18&amp;" год"</f>
        <v>2045 год</v>
      </c>
      <c r="BV25" s="328" t="str">
        <f>god+19&amp;" год"</f>
        <v>2046 год</v>
      </c>
      <c r="BW25" s="1595" t="s">
        <v>625</v>
      </c>
      <c r="BX25" s="285"/>
      <c r="BZ25" s="483"/>
      <c r="CA25" s="285"/>
      <c r="CB25" s="285"/>
      <c r="CC25" s="285"/>
      <c r="CD25" s="285"/>
      <c r="CE25" s="285"/>
      <c r="CF25" s="285"/>
      <c r="CG25" s="285"/>
      <c r="CH25" s="285"/>
    </row>
    <row s="308" customFormat="1" customHeight="1" ht="68.25">
      <c r="A26" s="371"/>
      <c r="B26" s="176"/>
      <c r="C26" s="176"/>
      <c r="D26" s="176"/>
      <c r="E26" s="284">
        <v>70</v>
      </c>
      <c r="F26" s="176"/>
      <c r="T26" s="176"/>
      <c r="U26" s="176"/>
      <c r="V26" s="175"/>
      <c r="W26" s="176"/>
      <c r="X26" s="176"/>
      <c r="Y26" s="176"/>
      <c r="Z26" s="176"/>
      <c r="AA26" s="285"/>
      <c r="AB26" s="1596"/>
      <c r="AC26" s="1598"/>
      <c r="AD26" s="1589"/>
      <c r="AE26" s="328" t="s">
        <v>415</v>
      </c>
      <c r="AF26" s="329" t="s">
        <v>626</v>
      </c>
      <c r="AG26" s="328" t="s">
        <v>627</v>
      </c>
      <c r="AH26" s="328" t="s">
        <v>415</v>
      </c>
      <c r="AI26" s="331" t="s">
        <v>416</v>
      </c>
      <c r="AJ26" s="331" t="s">
        <v>416</v>
      </c>
      <c r="AK26" s="331" t="s">
        <v>416</v>
      </c>
      <c r="AL26" s="331" t="s">
        <v>416</v>
      </c>
      <c r="AM26" s="331" t="s">
        <v>416</v>
      </c>
      <c r="AN26" s="331" t="s">
        <v>416</v>
      </c>
      <c r="AO26" s="331" t="s">
        <v>416</v>
      </c>
      <c r="AP26" s="331" t="s">
        <v>416</v>
      </c>
      <c r="AQ26" s="331" t="s">
        <v>416</v>
      </c>
      <c r="AR26" s="331" t="s">
        <v>416</v>
      </c>
      <c r="AS26" s="331" t="s">
        <v>416</v>
      </c>
      <c r="AT26" s="331" t="s">
        <v>416</v>
      </c>
      <c r="AU26" s="331" t="s">
        <v>416</v>
      </c>
      <c r="AV26" s="331" t="s">
        <v>416</v>
      </c>
      <c r="AW26" s="331" t="s">
        <v>416</v>
      </c>
      <c r="AX26" s="331" t="s">
        <v>416</v>
      </c>
      <c r="AY26" s="331" t="s">
        <v>416</v>
      </c>
      <c r="AZ26" s="331" t="s">
        <v>416</v>
      </c>
      <c r="BA26" s="331" t="s">
        <v>416</v>
      </c>
      <c r="BB26" s="331" t="s">
        <v>416</v>
      </c>
      <c r="BC26" s="424" t="s">
        <v>415</v>
      </c>
      <c r="BD26" s="424" t="s">
        <v>415</v>
      </c>
      <c r="BE26" s="424" t="s">
        <v>415</v>
      </c>
      <c r="BF26" s="424" t="s">
        <v>415</v>
      </c>
      <c r="BG26" s="424" t="s">
        <v>415</v>
      </c>
      <c r="BH26" s="424" t="s">
        <v>415</v>
      </c>
      <c r="BI26" s="424" t="s">
        <v>415</v>
      </c>
      <c r="BJ26" s="424" t="s">
        <v>415</v>
      </c>
      <c r="BK26" s="424" t="s">
        <v>415</v>
      </c>
      <c r="BL26" s="424" t="s">
        <v>415</v>
      </c>
      <c r="BM26" s="424" t="s">
        <v>415</v>
      </c>
      <c r="BN26" s="424" t="s">
        <v>415</v>
      </c>
      <c r="BO26" s="424" t="s">
        <v>415</v>
      </c>
      <c r="BP26" s="424" t="s">
        <v>415</v>
      </c>
      <c r="BQ26" s="424" t="s">
        <v>415</v>
      </c>
      <c r="BR26" s="424" t="s">
        <v>415</v>
      </c>
      <c r="BS26" s="424" t="s">
        <v>415</v>
      </c>
      <c r="BT26" s="424" t="s">
        <v>415</v>
      </c>
      <c r="BU26" s="424" t="s">
        <v>415</v>
      </c>
      <c r="BV26" s="424" t="s">
        <v>415</v>
      </c>
      <c r="BW26" s="1595"/>
      <c r="BX26" s="285"/>
      <c r="BZ26" s="483"/>
      <c r="CA26" s="285"/>
      <c r="CB26" s="285"/>
      <c r="CC26" s="285"/>
      <c r="CD26" s="285"/>
      <c r="CE26" s="285"/>
      <c r="CF26" s="285"/>
      <c r="CG26" s="285"/>
      <c r="CH26" s="285"/>
    </row>
    <row s="308" customFormat="1" customHeight="1" ht="14.25" hidden="1">
      <c r="A27" s="371"/>
      <c r="B27" s="176"/>
      <c r="C27" s="176"/>
      <c r="D27" s="176"/>
      <c r="E27" s="966">
        <v>0</v>
      </c>
      <c r="F27" s="176"/>
      <c r="T27" s="176"/>
      <c r="U27" s="176"/>
      <c r="V27" s="175"/>
      <c r="W27" s="176"/>
      <c r="X27" s="176"/>
      <c r="Y27" s="176"/>
      <c r="Z27" s="176"/>
      <c r="AA27" s="285"/>
      <c r="AB27" s="434"/>
      <c r="AC27" s="296"/>
      <c r="AD27" s="239"/>
      <c r="AE27" s="279"/>
      <c r="AF27" s="279"/>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c r="BM27" s="279"/>
      <c r="BN27" s="279"/>
      <c r="BO27" s="279"/>
      <c r="BP27" s="279"/>
      <c r="BQ27" s="279"/>
      <c r="BR27" s="279"/>
      <c r="BS27" s="279"/>
      <c r="BT27" s="279"/>
      <c r="BU27" s="279"/>
      <c r="BV27" s="279"/>
      <c r="BW27" s="279"/>
      <c r="BX27" s="285"/>
      <c r="BZ27" s="483"/>
      <c r="CA27" s="285"/>
      <c r="CB27" s="285"/>
      <c r="CC27" s="285"/>
      <c r="CD27" s="285"/>
      <c r="CE27" s="285"/>
      <c r="CF27" s="285"/>
      <c r="CG27" s="285"/>
      <c r="CH27" s="285"/>
    </row>
    <row customHeight="1" ht="10.725000000000001" hidden="1">
      <c r="E28" s="180">
        <v>11</v>
      </c>
      <c r="F28" s="175" cm="1" t="str">
        <f t="array" ref="F28:F28">X28</f>
        <v>0</v>
      </c>
      <c r="G28" s="193" cm="1" t="str">
        <f t="array" ref="G28:G28">INDEX('Общие сведения'!$AL$169:$AL$202,MATCH($F28,'Общие сведения'!$Y$169:$Y$202,0))</f>
        <v>0</v>
      </c>
      <c r="T28" s="753">
        <f>AND(X28&gt;0,G28="передача тепловой энергии")</f>
        <v>0</v>
      </c>
      <c r="V28" s="175" t="s">
        <v>266</v>
      </c>
      <c r="X28" s="175">
        <v>0</v>
      </c>
      <c r="AB28" s="435" cm="1" t="str">
        <f t="array" ref="AB28:AB28">INDEX('Общие сведения'!$AG$169:$AG$202,MATCH($F28,'Общие сведения'!$Y$169:$Y$202,0))</f>
        <v>Тариф 0 (Теплоснабжение) - </v>
      </c>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row>
    <row customHeight="1" ht="16.575" hidden="1">
      <c r="E29" s="180">
        <v>17</v>
      </c>
      <c r="F29" s="175" cm="1" t="str">
        <f t="array" ref="F29:F29">OFFSET(G29,-1,-1)</f>
        <v>0</v>
      </c>
      <c r="T29" s="753" cm="1" t="str">
        <f t="array" ref="T29:T29">T28</f>
        <v>false</v>
      </c>
      <c r="AB29" s="342">
        <v>1</v>
      </c>
      <c r="AC29" s="447" t="s">
        <v>768</v>
      </c>
      <c r="AD29" s="328" t="s">
        <v>629</v>
      </c>
      <c r="AE29" s="50"/>
      <c r="AF29" s="50"/>
      <c r="AG29" s="50"/>
      <c r="AH29" s="50"/>
      <c r="AI29" s="449"/>
      <c r="AJ29" s="50"/>
      <c r="AK29" s="50"/>
      <c r="AL29" s="50"/>
      <c r="AM29" s="50"/>
      <c r="AN29" s="50"/>
      <c r="AO29" s="50"/>
      <c r="AP29" s="50"/>
      <c r="AQ29" s="50"/>
      <c r="AR29" s="50"/>
      <c r="AS29" s="50"/>
      <c r="AT29" s="50"/>
      <c r="AU29" s="50"/>
      <c r="AV29" s="50"/>
      <c r="AW29" s="50"/>
      <c r="AX29" s="50"/>
      <c r="AY29" s="50"/>
      <c r="AZ29" s="50"/>
      <c r="BA29" s="50"/>
      <c r="BB29" s="50"/>
      <c r="BC29" s="449"/>
      <c r="BD29" s="50"/>
      <c r="BE29" s="50"/>
      <c r="BF29" s="50"/>
      <c r="BG29" s="50"/>
      <c r="BH29" s="50"/>
      <c r="BI29" s="50"/>
      <c r="BJ29" s="50"/>
      <c r="BK29" s="50"/>
      <c r="BL29" s="50"/>
      <c r="BM29" s="50"/>
      <c r="BN29" s="50"/>
      <c r="BO29" s="50"/>
      <c r="BP29" s="50"/>
      <c r="BQ29" s="50"/>
      <c r="BR29" s="50"/>
      <c r="BS29" s="50"/>
      <c r="BT29" s="50"/>
      <c r="BU29" s="50"/>
      <c r="BV29" s="50"/>
      <c r="BW29" s="83"/>
      <c r="BZ29" s="981" t="s">
        <v>769</v>
      </c>
      <c r="CA29" s="1077" cm="1" t="str">
        <f t="array" ref="CA29:CA29">INDEX('Общие сведения'!$N$170:$N$202,MATCH($F29,'Общие сведения'!$Y$170:$Y$202,0)+1)</f>
        <v>0</v>
      </c>
      <c r="CB29" s="1076"/>
      <c r="CC29" s="1076"/>
      <c r="CD29" s="1076"/>
      <c r="CE29" s="1076"/>
      <c r="CF29" s="1077" t="s">
        <v>303</v>
      </c>
      <c r="CG29" s="1077" t="s">
        <v>770</v>
      </c>
      <c r="CH29" s="1077" t="s">
        <v>771</v>
      </c>
    </row>
    <row customHeight="1" ht="16.575" hidden="1">
      <c r="E30" s="180">
        <v>17</v>
      </c>
      <c r="F30" s="175" cm="1" t="str">
        <f t="array" ref="F30:F30">OFFSET(G30,-1,-1)</f>
        <v>0</v>
      </c>
      <c r="T30" s="753" cm="1" t="str">
        <f t="array" ref="T30:T30">T29</f>
        <v>false</v>
      </c>
      <c r="AB30" s="342">
        <v>2</v>
      </c>
      <c r="AC30" s="447" t="s">
        <v>772</v>
      </c>
      <c r="AD30" s="328" t="s">
        <v>629</v>
      </c>
      <c r="AE30" s="87"/>
      <c r="AF30" s="87"/>
      <c r="AG30" s="87"/>
      <c r="AH30" s="87"/>
      <c r="AI30" s="484"/>
      <c r="AJ30" s="87"/>
      <c r="AK30" s="87"/>
      <c r="AL30" s="87"/>
      <c r="AM30" s="87"/>
      <c r="AN30" s="87"/>
      <c r="AO30" s="87"/>
      <c r="AP30" s="87"/>
      <c r="AQ30" s="87"/>
      <c r="AR30" s="87"/>
      <c r="AS30" s="87"/>
      <c r="AT30" s="87"/>
      <c r="AU30" s="87"/>
      <c r="AV30" s="87"/>
      <c r="AW30" s="87"/>
      <c r="AX30" s="87"/>
      <c r="AY30" s="87"/>
      <c r="AZ30" s="87"/>
      <c r="BA30" s="87"/>
      <c r="BB30" s="87"/>
      <c r="BC30" s="484"/>
      <c r="BD30" s="87"/>
      <c r="BE30" s="87"/>
      <c r="BF30" s="87"/>
      <c r="BG30" s="87"/>
      <c r="BH30" s="87"/>
      <c r="BI30" s="87"/>
      <c r="BJ30" s="87"/>
      <c r="BK30" s="87"/>
      <c r="BL30" s="87"/>
      <c r="BM30" s="87"/>
      <c r="BN30" s="87"/>
      <c r="BO30" s="87"/>
      <c r="BP30" s="87"/>
      <c r="BQ30" s="87"/>
      <c r="BR30" s="87"/>
      <c r="BS30" s="87"/>
      <c r="BT30" s="87"/>
      <c r="BU30" s="87"/>
      <c r="BV30" s="87"/>
      <c r="BW30" s="83"/>
      <c r="BZ30" s="981" t="s">
        <v>773</v>
      </c>
      <c r="CA30" s="1077" cm="1" t="str">
        <f t="array" ref="CA30:CA30">CA29</f>
        <v>0</v>
      </c>
      <c r="CB30" s="1077" t="s">
        <v>774</v>
      </c>
      <c r="CC30" s="1076"/>
      <c r="CD30" s="1076"/>
      <c r="CE30" s="1077" t="s">
        <v>219</v>
      </c>
      <c r="CF30" s="1077" t="s">
        <v>303</v>
      </c>
      <c r="CG30" s="1077" t="s">
        <v>775</v>
      </c>
      <c r="CH30" s="1077" t="s">
        <v>776</v>
      </c>
    </row>
    <row customHeight="1" ht="16.575" hidden="1">
      <c r="E31" s="180">
        <v>17</v>
      </c>
      <c r="F31" s="175" cm="1" t="str">
        <f t="array" ref="F31:F31">OFFSET(G31,-1,-1)</f>
        <v>0</v>
      </c>
      <c r="T31" s="753" cm="1" t="str">
        <f t="array" ref="T31:T31">T30</f>
        <v>false</v>
      </c>
      <c r="AB31" s="467">
        <v>2.1</v>
      </c>
      <c r="AC31" s="341" t="s">
        <v>777</v>
      </c>
      <c r="AD31" s="328" t="s">
        <v>495</v>
      </c>
      <c r="AE31" s="485">
        <f>IF(AE29=0,0,AE30/AE29)</f>
        <v>0</v>
      </c>
      <c r="AF31" s="485">
        <f>IF(AF29=0,0,AF30/AF29)</f>
        <v>0</v>
      </c>
      <c r="AG31" s="485">
        <f>IF(AG29=0,0,AG30/AG29)</f>
        <v>0</v>
      </c>
      <c r="AH31" s="485">
        <f>IF(AH29=0,0,AH30/AH29)</f>
        <v>0</v>
      </c>
      <c r="AI31" s="485">
        <f>IF(AI29=0,0,AI30/AI29)</f>
        <v>0</v>
      </c>
      <c r="AJ31" s="485">
        <f>IF(AJ29=0,0,AJ30/AJ29)</f>
        <v>0</v>
      </c>
      <c r="AK31" s="485">
        <f>IF(AK29=0,0,AK30/AK29)</f>
        <v>0</v>
      </c>
      <c r="AL31" s="485">
        <f>IF(AL29=0,0,AL30/AL29)</f>
        <v>0</v>
      </c>
      <c r="AM31" s="485">
        <f>IF(AM29=0,0,AM30/AM29)</f>
        <v>0</v>
      </c>
      <c r="AN31" s="485">
        <f>IF(AN29=0,0,AN30/AN29)</f>
        <v>0</v>
      </c>
      <c r="AO31" s="485">
        <f>IF(AO29=0,0,AO30/AO29)</f>
        <v>0</v>
      </c>
      <c r="AP31" s="485">
        <f>IF(AP29=0,0,AP30/AP29)</f>
        <v>0</v>
      </c>
      <c r="AQ31" s="485">
        <f>IF(AQ29=0,0,AQ30/AQ29)</f>
        <v>0</v>
      </c>
      <c r="AR31" s="485">
        <f>IF(AR29=0,0,AR30/AR29)</f>
        <v>0</v>
      </c>
      <c r="AS31" s="485">
        <f>IF(AS29=0,0,AS30/AS29)</f>
        <v>0</v>
      </c>
      <c r="AT31" s="485">
        <f>IF(AT29=0,0,AT30/AT29)</f>
        <v>0</v>
      </c>
      <c r="AU31" s="485">
        <f>IF(AU29=0,0,AU30/AU29)</f>
        <v>0</v>
      </c>
      <c r="AV31" s="485">
        <f>IF(AV29=0,0,AV30/AV29)</f>
        <v>0</v>
      </c>
      <c r="AW31" s="485">
        <f>IF(AW29=0,0,AW30/AW29)</f>
        <v>0</v>
      </c>
      <c r="AX31" s="485">
        <f>IF(AX29=0,0,AX30/AX29)</f>
        <v>0</v>
      </c>
      <c r="AY31" s="485">
        <f>IF(AY29=0,0,AY30/AY29)</f>
        <v>0</v>
      </c>
      <c r="AZ31" s="485">
        <f>IF(AZ29=0,0,AZ30/AZ29)</f>
        <v>0</v>
      </c>
      <c r="BA31" s="485">
        <f>IF(BA29=0,0,BA30/BA29)</f>
        <v>0</v>
      </c>
      <c r="BB31" s="485">
        <f>IF(BB29=0,0,BB30/BB29)</f>
        <v>0</v>
      </c>
      <c r="BC31" s="485">
        <f>IF(BC29=0,0,BC30/BC29)</f>
        <v>0</v>
      </c>
      <c r="BD31" s="485">
        <f>IF(BD29=0,0,BD30/BD29)</f>
        <v>0</v>
      </c>
      <c r="BE31" s="485">
        <f>IF(BE29=0,0,BE30/BE29)</f>
        <v>0</v>
      </c>
      <c r="BF31" s="485">
        <f>IF(BF29=0,0,BF30/BF29)</f>
        <v>0</v>
      </c>
      <c r="BG31" s="485">
        <f>IF(BG29=0,0,BG30/BG29)</f>
        <v>0</v>
      </c>
      <c r="BH31" s="485">
        <f>IF(BH29=0,0,BH30/BH29)</f>
        <v>0</v>
      </c>
      <c r="BI31" s="485">
        <f>IF(BI29=0,0,BI30/BI29)</f>
        <v>0</v>
      </c>
      <c r="BJ31" s="485">
        <f>IF(BJ29=0,0,BJ30/BJ29)</f>
        <v>0</v>
      </c>
      <c r="BK31" s="485">
        <f>IF(BK29=0,0,BK30/BK29)</f>
        <v>0</v>
      </c>
      <c r="BL31" s="485">
        <f>IF(BL29=0,0,BL30/BL29)</f>
        <v>0</v>
      </c>
      <c r="BM31" s="485">
        <f>IF(BM29=0,0,BM30/BM29)</f>
        <v>0</v>
      </c>
      <c r="BN31" s="485">
        <f>IF(BN29=0,0,BN30/BN29)</f>
        <v>0</v>
      </c>
      <c r="BO31" s="485">
        <f>IF(BO29=0,0,BO30/BO29)</f>
        <v>0</v>
      </c>
      <c r="BP31" s="485">
        <f>IF(BP29=0,0,BP30/BP29)</f>
        <v>0</v>
      </c>
      <c r="BQ31" s="485">
        <f>IF(BQ29=0,0,BQ30/BQ29)</f>
        <v>0</v>
      </c>
      <c r="BR31" s="485">
        <f>IF(BR29=0,0,BR30/BR29)</f>
        <v>0</v>
      </c>
      <c r="BS31" s="485">
        <f>IF(BS29=0,0,BS30/BS29)</f>
        <v>0</v>
      </c>
      <c r="BT31" s="485">
        <f>IF(BT29=0,0,BT30/BT29)</f>
        <v>0</v>
      </c>
      <c r="BU31" s="485">
        <f>IF(BU29=0,0,BU30/BU29)</f>
        <v>0</v>
      </c>
      <c r="BV31" s="485">
        <f>IF(BV29=0,0,BV30/BV29)</f>
        <v>0</v>
      </c>
      <c r="BW31" s="83"/>
      <c r="BZ31" s="981" t="s">
        <v>778</v>
      </c>
      <c r="CA31" s="1077" cm="1" t="str">
        <f t="array" ref="CA31:CA31">CA30</f>
        <v>0</v>
      </c>
      <c r="CB31" s="1077" t="s">
        <v>774</v>
      </c>
      <c r="CC31" s="1076"/>
      <c r="CD31" s="1076"/>
      <c r="CE31" s="1077" t="s">
        <v>255</v>
      </c>
      <c r="CF31" s="1077" t="s">
        <v>303</v>
      </c>
      <c r="CG31" s="1077" t="s">
        <v>724</v>
      </c>
      <c r="CH31" s="1077" t="s">
        <v>725</v>
      </c>
    </row>
    <row customHeight="1" ht="16.575" hidden="1">
      <c r="E32" s="180">
        <v>17</v>
      </c>
      <c r="F32" s="175" cm="1" t="str">
        <f t="array" ref="F32:F32">OFFSET(G32,-1,-1)</f>
        <v>0</v>
      </c>
      <c r="T32" s="753" cm="1" t="str">
        <f t="array" ref="T32:T32">T31</f>
        <v>false</v>
      </c>
      <c r="AB32" s="463">
        <v>3</v>
      </c>
      <c r="AC32" s="486" t="s">
        <v>779</v>
      </c>
      <c r="AD32" s="328" t="s">
        <v>629</v>
      </c>
      <c r="AE32" s="487">
        <f>AE29-AE30</f>
        <v>0</v>
      </c>
      <c r="AF32" s="487">
        <f>AF29-AF30</f>
        <v>0</v>
      </c>
      <c r="AG32" s="487">
        <f>AG29-AG30</f>
        <v>0</v>
      </c>
      <c r="AH32" s="487">
        <f>AH29-AH30</f>
        <v>0</v>
      </c>
      <c r="AI32" s="487">
        <f>AI29-AI30</f>
        <v>0</v>
      </c>
      <c r="AJ32" s="487">
        <f>AJ29-AJ30</f>
        <v>0</v>
      </c>
      <c r="AK32" s="487">
        <f>AK29-AK30</f>
        <v>0</v>
      </c>
      <c r="AL32" s="487">
        <f>AL29-AL30</f>
        <v>0</v>
      </c>
      <c r="AM32" s="487">
        <f>AM29-AM30</f>
        <v>0</v>
      </c>
      <c r="AN32" s="487">
        <f>AN29-AN30</f>
        <v>0</v>
      </c>
      <c r="AO32" s="487">
        <f>AO29-AO30</f>
        <v>0</v>
      </c>
      <c r="AP32" s="487">
        <f>AP29-AP30</f>
        <v>0</v>
      </c>
      <c r="AQ32" s="487">
        <f>AQ29-AQ30</f>
        <v>0</v>
      </c>
      <c r="AR32" s="487">
        <f>AR29-AR30</f>
        <v>0</v>
      </c>
      <c r="AS32" s="487">
        <f>AS29-AS30</f>
        <v>0</v>
      </c>
      <c r="AT32" s="487">
        <f>AT29-AT30</f>
        <v>0</v>
      </c>
      <c r="AU32" s="487">
        <f>AU29-AU30</f>
        <v>0</v>
      </c>
      <c r="AV32" s="487">
        <f>AV29-AV30</f>
        <v>0</v>
      </c>
      <c r="AW32" s="487">
        <f>AW29-AW30</f>
        <v>0</v>
      </c>
      <c r="AX32" s="487">
        <f>AX29-AX30</f>
        <v>0</v>
      </c>
      <c r="AY32" s="487">
        <f>AY29-AY30</f>
        <v>0</v>
      </c>
      <c r="AZ32" s="487">
        <f>AZ29-AZ30</f>
        <v>0</v>
      </c>
      <c r="BA32" s="487">
        <f>BA29-BA30</f>
        <v>0</v>
      </c>
      <c r="BB32" s="487">
        <f>BB29-BB30</f>
        <v>0</v>
      </c>
      <c r="BC32" s="487">
        <f>BC29-BC30</f>
        <v>0</v>
      </c>
      <c r="BD32" s="487">
        <f>BD29-BD30</f>
        <v>0</v>
      </c>
      <c r="BE32" s="487">
        <f>BE29-BE30</f>
        <v>0</v>
      </c>
      <c r="BF32" s="487">
        <f>BF29-BF30</f>
        <v>0</v>
      </c>
      <c r="BG32" s="487">
        <f>BG29-BG30</f>
        <v>0</v>
      </c>
      <c r="BH32" s="487">
        <f>BH29-BH30</f>
        <v>0</v>
      </c>
      <c r="BI32" s="487">
        <f>BI29-BI30</f>
        <v>0</v>
      </c>
      <c r="BJ32" s="487">
        <f>BJ29-BJ30</f>
        <v>0</v>
      </c>
      <c r="BK32" s="487">
        <f>BK29-BK30</f>
        <v>0</v>
      </c>
      <c r="BL32" s="487">
        <f>BL29-BL30</f>
        <v>0</v>
      </c>
      <c r="BM32" s="487">
        <f>BM29-BM30</f>
        <v>0</v>
      </c>
      <c r="BN32" s="487">
        <f>BN29-BN30</f>
        <v>0</v>
      </c>
      <c r="BO32" s="487">
        <f>BO29-BO30</f>
        <v>0</v>
      </c>
      <c r="BP32" s="487">
        <f>BP29-BP30</f>
        <v>0</v>
      </c>
      <c r="BQ32" s="487">
        <f>BQ29-BQ30</f>
        <v>0</v>
      </c>
      <c r="BR32" s="487">
        <f>BR29-BR30</f>
        <v>0</v>
      </c>
      <c r="BS32" s="487">
        <f>BS29-BS30</f>
        <v>0</v>
      </c>
      <c r="BT32" s="487">
        <f>BT29-BT30</f>
        <v>0</v>
      </c>
      <c r="BU32" s="487">
        <f>BU29-BU30</f>
        <v>0</v>
      </c>
      <c r="BV32" s="487">
        <f>BV29-BV30</f>
        <v>0</v>
      </c>
      <c r="BW32" s="83"/>
      <c r="BZ32" s="981" t="s">
        <v>780</v>
      </c>
      <c r="CA32" s="1077" cm="1" t="str">
        <f t="array" ref="CA32:CA32">CA31</f>
        <v>0</v>
      </c>
      <c r="CB32" s="1077" t="s">
        <v>774</v>
      </c>
      <c r="CC32" s="1076"/>
      <c r="CD32" s="1076"/>
      <c r="CE32" s="1077" t="s">
        <v>449</v>
      </c>
      <c r="CF32" s="1077" t="s">
        <v>303</v>
      </c>
      <c r="CG32" s="1077" t="s">
        <v>679</v>
      </c>
      <c r="CH32" s="1077" t="s">
        <v>680</v>
      </c>
    </row>
    <row customHeight="1" ht="16.575" hidden="1">
      <c r="E33" s="180">
        <v>17</v>
      </c>
      <c r="F33" s="175" cm="1" t="str">
        <f t="array" ref="F33:F33">OFFSET(G33,-1,-1)</f>
        <v>0</v>
      </c>
      <c r="T33" s="753" cm="1" t="str">
        <f t="array" ref="T33:T33">T32</f>
        <v>false</v>
      </c>
      <c r="AB33" s="466">
        <v>3.1</v>
      </c>
      <c r="AC33" s="488" t="s">
        <v>781</v>
      </c>
      <c r="AD33" s="328" t="s">
        <v>629</v>
      </c>
      <c r="AE33" s="50"/>
      <c r="AF33" s="50"/>
      <c r="AG33" s="50"/>
      <c r="AH33" s="50"/>
      <c r="AI33" s="449"/>
      <c r="AJ33" s="50"/>
      <c r="AK33" s="50"/>
      <c r="AL33" s="50"/>
      <c r="AM33" s="50"/>
      <c r="AN33" s="50"/>
      <c r="AO33" s="50"/>
      <c r="AP33" s="50"/>
      <c r="AQ33" s="50"/>
      <c r="AR33" s="50"/>
      <c r="AS33" s="50"/>
      <c r="AT33" s="50"/>
      <c r="AU33" s="50"/>
      <c r="AV33" s="50"/>
      <c r="AW33" s="50"/>
      <c r="AX33" s="50"/>
      <c r="AY33" s="50"/>
      <c r="AZ33" s="50"/>
      <c r="BA33" s="50"/>
      <c r="BB33" s="50"/>
      <c r="BC33" s="449"/>
      <c r="BD33" s="50"/>
      <c r="BE33" s="50"/>
      <c r="BF33" s="50"/>
      <c r="BG33" s="50"/>
      <c r="BH33" s="50"/>
      <c r="BI33" s="50"/>
      <c r="BJ33" s="50"/>
      <c r="BK33" s="50"/>
      <c r="BL33" s="50"/>
      <c r="BM33" s="50"/>
      <c r="BN33" s="50"/>
      <c r="BO33" s="50"/>
      <c r="BP33" s="50"/>
      <c r="BQ33" s="50"/>
      <c r="BR33" s="50"/>
      <c r="BS33" s="50"/>
      <c r="BT33" s="50"/>
      <c r="BU33" s="50"/>
      <c r="BV33" s="50"/>
      <c r="BW33" s="83"/>
      <c r="BZ33" s="981" t="s">
        <v>782</v>
      </c>
      <c r="CA33" s="1077" cm="1" t="str">
        <f t="array" ref="CA33:CA33">CA32</f>
        <v>0</v>
      </c>
      <c r="CB33" s="1077" t="s">
        <v>774</v>
      </c>
      <c r="CC33" s="1077" t="s">
        <v>783</v>
      </c>
      <c r="CD33" s="1076"/>
      <c r="CE33" s="1076"/>
      <c r="CF33" s="1077" t="s">
        <v>303</v>
      </c>
      <c r="CG33" s="1077" t="s">
        <v>679</v>
      </c>
      <c r="CH33" s="1077" t="s">
        <v>680</v>
      </c>
    </row>
    <row customHeight="1" ht="16.575" hidden="1">
      <c r="E34" s="180">
        <v>17</v>
      </c>
      <c r="F34" s="175" cm="1" t="str">
        <f t="array" ref="F34:F34">OFFSET(G34,-1,-1)</f>
        <v>0</v>
      </c>
      <c r="T34" s="753" cm="1" t="str">
        <f t="array" ref="T34:T34">T33</f>
        <v>false</v>
      </c>
      <c r="AB34" s="466">
        <v>3.2</v>
      </c>
      <c r="AC34" s="488" t="s">
        <v>696</v>
      </c>
      <c r="AD34" s="328" t="s">
        <v>629</v>
      </c>
      <c r="AE34" s="448">
        <f>AE32-AE33</f>
        <v>0</v>
      </c>
      <c r="AF34" s="448">
        <f>AF32-AF33</f>
        <v>0</v>
      </c>
      <c r="AG34" s="448">
        <f>AG32-AG33</f>
        <v>0</v>
      </c>
      <c r="AH34" s="448">
        <f>AH32-AH33</f>
        <v>0</v>
      </c>
      <c r="AI34" s="448">
        <f>AI32-AI33</f>
        <v>0</v>
      </c>
      <c r="AJ34" s="448">
        <f>AJ32-AJ33</f>
        <v>0</v>
      </c>
      <c r="AK34" s="448">
        <f>AK32-AK33</f>
        <v>0</v>
      </c>
      <c r="AL34" s="448">
        <f>AL32-AL33</f>
        <v>0</v>
      </c>
      <c r="AM34" s="448">
        <f>AM32-AM33</f>
        <v>0</v>
      </c>
      <c r="AN34" s="448">
        <f>AN32-AN33</f>
        <v>0</v>
      </c>
      <c r="AO34" s="448">
        <f>AO32-AO33</f>
        <v>0</v>
      </c>
      <c r="AP34" s="448">
        <f>AP32-AP33</f>
        <v>0</v>
      </c>
      <c r="AQ34" s="448">
        <f>AQ32-AQ33</f>
        <v>0</v>
      </c>
      <c r="AR34" s="448">
        <f>AR32-AR33</f>
        <v>0</v>
      </c>
      <c r="AS34" s="448">
        <f>AS32-AS33</f>
        <v>0</v>
      </c>
      <c r="AT34" s="448">
        <f>AT32-AT33</f>
        <v>0</v>
      </c>
      <c r="AU34" s="448">
        <f>AU32-AU33</f>
        <v>0</v>
      </c>
      <c r="AV34" s="448">
        <f>AV32-AV33</f>
        <v>0</v>
      </c>
      <c r="AW34" s="448">
        <f>AW32-AW33</f>
        <v>0</v>
      </c>
      <c r="AX34" s="448">
        <f>AX32-AX33</f>
        <v>0</v>
      </c>
      <c r="AY34" s="448">
        <f>AY32-AY33</f>
        <v>0</v>
      </c>
      <c r="AZ34" s="448">
        <f>AZ32-AZ33</f>
        <v>0</v>
      </c>
      <c r="BA34" s="448">
        <f>BA32-BA33</f>
        <v>0</v>
      </c>
      <c r="BB34" s="448">
        <f>BB32-BB33</f>
        <v>0</v>
      </c>
      <c r="BC34" s="448">
        <f>BC32-BC33</f>
        <v>0</v>
      </c>
      <c r="BD34" s="448">
        <f>BD32-BD33</f>
        <v>0</v>
      </c>
      <c r="BE34" s="448">
        <f>BE32-BE33</f>
        <v>0</v>
      </c>
      <c r="BF34" s="448">
        <f>BF32-BF33</f>
        <v>0</v>
      </c>
      <c r="BG34" s="448">
        <f>BG32-BG33</f>
        <v>0</v>
      </c>
      <c r="BH34" s="448">
        <f>BH32-BH33</f>
        <v>0</v>
      </c>
      <c r="BI34" s="448">
        <f>BI32-BI33</f>
        <v>0</v>
      </c>
      <c r="BJ34" s="448">
        <f>BJ32-BJ33</f>
        <v>0</v>
      </c>
      <c r="BK34" s="448">
        <f>BK32-BK33</f>
        <v>0</v>
      </c>
      <c r="BL34" s="448">
        <f>BL32-BL33</f>
        <v>0</v>
      </c>
      <c r="BM34" s="448">
        <f>BM32-BM33</f>
        <v>0</v>
      </c>
      <c r="BN34" s="448">
        <f>BN32-BN33</f>
        <v>0</v>
      </c>
      <c r="BO34" s="448">
        <f>BO32-BO33</f>
        <v>0</v>
      </c>
      <c r="BP34" s="448">
        <f>BP32-BP33</f>
        <v>0</v>
      </c>
      <c r="BQ34" s="448">
        <f>BQ32-BQ33</f>
        <v>0</v>
      </c>
      <c r="BR34" s="448">
        <f>BR32-BR33</f>
        <v>0</v>
      </c>
      <c r="BS34" s="448">
        <f>BS32-BS33</f>
        <v>0</v>
      </c>
      <c r="BT34" s="448">
        <f>BT32-BT33</f>
        <v>0</v>
      </c>
      <c r="BU34" s="448">
        <f>BU32-BU33</f>
        <v>0</v>
      </c>
      <c r="BV34" s="448">
        <f>BV32-BV33</f>
        <v>0</v>
      </c>
      <c r="BW34" s="83"/>
      <c r="BZ34" s="981" t="s">
        <v>784</v>
      </c>
      <c r="CA34" s="1077" cm="1" t="str">
        <f t="array" ref="CA34:CA34">CA33</f>
        <v>0</v>
      </c>
      <c r="CB34" s="1077" t="s">
        <v>774</v>
      </c>
      <c r="CC34" s="1076"/>
      <c r="CD34" s="1077" t="s">
        <v>698</v>
      </c>
      <c r="CE34" s="1076"/>
      <c r="CF34" s="1077" t="s">
        <v>303</v>
      </c>
      <c r="CG34" s="1077" t="s">
        <v>679</v>
      </c>
      <c r="CH34" s="1077" t="s">
        <v>680</v>
      </c>
    </row>
    <row s="1751" customFormat="1" customHeight="1" ht="10.5" hidden="1">
      <c r="A35" s="371"/>
      <c r="B35" s="1548"/>
      <c r="C35" s="1548"/>
      <c r="D35" s="1548"/>
      <c r="E35" s="180">
        <v>11</v>
      </c>
      <c r="F35" s="175" cm="1" t="str">
        <f t="array" ref="F35:F35">X35</f>
        <v>1</v>
      </c>
      <c r="G35" s="193" cm="1" t="str">
        <f t="array" ref="G35:G35">INDEX('Общие сведения'!$AL$169:$AL$202,MATCH($F35,'Общие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H35" s="1659"/>
      <c r="I35" s="1659"/>
      <c r="J35" s="1659"/>
      <c r="K35" s="1659"/>
      <c r="L35" s="1659"/>
      <c r="M35" s="1659"/>
      <c r="N35" s="1659"/>
      <c r="O35" s="1659"/>
      <c r="P35" s="1659"/>
      <c r="Q35" s="1659"/>
      <c r="R35" s="1659"/>
      <c r="S35" s="1659"/>
      <c r="T35" s="753">
        <f>AND(X35&gt;0,G35="передача тепловой энергии")</f>
        <v>0</v>
      </c>
      <c r="U35" s="1548"/>
      <c r="V35" s="175" cm="1" t="str">
        <f t="array" ref="V35:V35">'Баланс Пр'!$AB$96</f>
        <v>Тариф 1 (Теплоснабжение) - Тариф на тепловую энергию (мощность), поставляемую потребителям (Доп. признак не требуется)</v>
      </c>
      <c r="W35" s="1548"/>
      <c r="X35" s="175" t="s">
        <v>308</v>
      </c>
      <c r="Y35" s="1548"/>
      <c r="Z35" s="1548"/>
      <c r="AA35" s="286"/>
      <c r="AB35" s="435" cm="1" t="str">
        <f t="array" ref="AB35:AB35">IF(ISBLANK('Баланс Пр'!$AB$96),"",'Баланс Пр'!$AB$96)</f>
        <v>Тариф 1 (Теплоснабжение) - Тариф на тепловую энергию (мощность), поставляемую потребителям (Доп. признак не требуется)</v>
      </c>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86"/>
      <c r="BY35" s="1659"/>
      <c r="BZ35" s="483"/>
      <c r="CA35" s="1751"/>
      <c r="CB35" s="1751"/>
      <c r="CC35" s="1751"/>
      <c r="CD35" s="1751"/>
      <c r="CE35" s="1751"/>
      <c r="CF35" s="1751"/>
      <c r="CG35" s="1751"/>
      <c r="CH35" s="1751"/>
    </row>
    <row s="1751" customFormat="1" customHeight="1" ht="16.5" hidden="1">
      <c r="A36" s="371"/>
      <c r="B36" s="1548"/>
      <c r="C36" s="1548"/>
      <c r="D36" s="1548"/>
      <c r="E36" s="180">
        <v>17</v>
      </c>
      <c r="F36" s="175" cm="1" t="str">
        <f t="array" ref="F36:F36">OFFSET(G36,-1,-1)</f>
        <v>1</v>
      </c>
      <c r="G36" s="1659"/>
      <c r="H36" s="1659"/>
      <c r="I36" s="1659"/>
      <c r="J36" s="1659"/>
      <c r="K36" s="1659"/>
      <c r="L36" s="1659"/>
      <c r="M36" s="1659"/>
      <c r="N36" s="1659"/>
      <c r="O36" s="1659"/>
      <c r="P36" s="1659"/>
      <c r="Q36" s="1659"/>
      <c r="R36" s="1659"/>
      <c r="S36" s="1659"/>
      <c r="T36" s="753" cm="1" t="str">
        <f t="array" ref="T36:T36">T35</f>
        <v>false</v>
      </c>
      <c r="U36" s="1548"/>
      <c r="V36" s="1548"/>
      <c r="W36" s="1548"/>
      <c r="X36" s="1548"/>
      <c r="Y36" s="1548"/>
      <c r="Z36" s="1548"/>
      <c r="AA36" s="286"/>
      <c r="AB36" s="342">
        <v>1</v>
      </c>
      <c r="AC36" s="447" t="s">
        <v>768</v>
      </c>
      <c r="AD36" s="328" t="s">
        <v>629</v>
      </c>
      <c r="AE36" s="50"/>
      <c r="AF36" s="50"/>
      <c r="AG36" s="50"/>
      <c r="AH36" s="50"/>
      <c r="AI36" s="449"/>
      <c r="AJ36" s="50"/>
      <c r="AK36" s="50"/>
      <c r="AL36" s="50"/>
      <c r="AM36" s="50"/>
      <c r="AN36" s="50"/>
      <c r="AO36" s="50"/>
      <c r="AP36" s="50"/>
      <c r="AQ36" s="50"/>
      <c r="AR36" s="50"/>
      <c r="AS36" s="50"/>
      <c r="AT36" s="50"/>
      <c r="AU36" s="50"/>
      <c r="AV36" s="50"/>
      <c r="AW36" s="50"/>
      <c r="AX36" s="50"/>
      <c r="AY36" s="50"/>
      <c r="AZ36" s="50"/>
      <c r="BA36" s="50"/>
      <c r="BB36" s="50"/>
      <c r="BC36" s="449"/>
      <c r="BD36" s="50"/>
      <c r="BE36" s="50"/>
      <c r="BF36" s="50"/>
      <c r="BG36" s="50"/>
      <c r="BH36" s="50"/>
      <c r="BI36" s="50"/>
      <c r="BJ36" s="50"/>
      <c r="BK36" s="50"/>
      <c r="BL36" s="50"/>
      <c r="BM36" s="50"/>
      <c r="BN36" s="50"/>
      <c r="BO36" s="50"/>
      <c r="BP36" s="50"/>
      <c r="BQ36" s="50"/>
      <c r="BR36" s="50"/>
      <c r="BS36" s="50"/>
      <c r="BT36" s="50"/>
      <c r="BU36" s="50"/>
      <c r="BV36" s="50"/>
      <c r="BW36" s="83"/>
      <c r="BX36" s="286"/>
      <c r="BY36" s="1659"/>
      <c r="BZ36" s="981" t="s">
        <v>769</v>
      </c>
      <c r="CA36" s="1077" cm="1" t="str">
        <f t="array" ref="CA36:CA36">INDEX('Общие сведения'!$N$170:$N$202,MATCH($F36,'Общие сведения'!$Y$170:$Y$202,0)+1)</f>
        <v>ТЭ.42.31656254.0001</v>
      </c>
      <c r="CB36" s="1076"/>
      <c r="CC36" s="1076"/>
      <c r="CD36" s="1076"/>
      <c r="CE36" s="1076"/>
      <c r="CF36" s="1077" t="s">
        <v>303</v>
      </c>
      <c r="CG36" s="1077" t="s">
        <v>770</v>
      </c>
      <c r="CH36" s="1077" t="s">
        <v>771</v>
      </c>
    </row>
    <row s="1751" customFormat="1" customHeight="1" ht="16.5" hidden="1">
      <c r="A37" s="371"/>
      <c r="B37" s="1548"/>
      <c r="C37" s="1548"/>
      <c r="D37" s="1548"/>
      <c r="E37" s="180">
        <v>17</v>
      </c>
      <c r="F37" s="175" cm="1" t="str">
        <f t="array" ref="F37:F37">OFFSET(G37,-1,-1)</f>
        <v>1</v>
      </c>
      <c r="G37" s="1659"/>
      <c r="H37" s="1659"/>
      <c r="I37" s="1659"/>
      <c r="J37" s="1659"/>
      <c r="K37" s="1659"/>
      <c r="L37" s="1659"/>
      <c r="M37" s="1659"/>
      <c r="N37" s="1659"/>
      <c r="O37" s="1659"/>
      <c r="P37" s="1659"/>
      <c r="Q37" s="1659"/>
      <c r="R37" s="1659"/>
      <c r="S37" s="1659"/>
      <c r="T37" s="753" cm="1" t="str">
        <f t="array" ref="T37:T37">T36</f>
        <v>false</v>
      </c>
      <c r="U37" s="1548"/>
      <c r="V37" s="1548"/>
      <c r="W37" s="1548"/>
      <c r="X37" s="1548"/>
      <c r="Y37" s="1548"/>
      <c r="Z37" s="1548"/>
      <c r="AA37" s="286"/>
      <c r="AB37" s="342">
        <v>2</v>
      </c>
      <c r="AC37" s="447" t="s">
        <v>772</v>
      </c>
      <c r="AD37" s="328" t="s">
        <v>629</v>
      </c>
      <c r="AE37" s="87"/>
      <c r="AF37" s="87"/>
      <c r="AG37" s="87"/>
      <c r="AH37" s="87"/>
      <c r="AI37" s="484"/>
      <c r="AJ37" s="87"/>
      <c r="AK37" s="87"/>
      <c r="AL37" s="87"/>
      <c r="AM37" s="87"/>
      <c r="AN37" s="87"/>
      <c r="AO37" s="87"/>
      <c r="AP37" s="87"/>
      <c r="AQ37" s="87"/>
      <c r="AR37" s="87"/>
      <c r="AS37" s="87"/>
      <c r="AT37" s="87"/>
      <c r="AU37" s="87"/>
      <c r="AV37" s="87"/>
      <c r="AW37" s="87"/>
      <c r="AX37" s="87"/>
      <c r="AY37" s="87"/>
      <c r="AZ37" s="87"/>
      <c r="BA37" s="87"/>
      <c r="BB37" s="87"/>
      <c r="BC37" s="484"/>
      <c r="BD37" s="87"/>
      <c r="BE37" s="87"/>
      <c r="BF37" s="87"/>
      <c r="BG37" s="87"/>
      <c r="BH37" s="87"/>
      <c r="BI37" s="87"/>
      <c r="BJ37" s="87"/>
      <c r="BK37" s="87"/>
      <c r="BL37" s="87"/>
      <c r="BM37" s="87"/>
      <c r="BN37" s="87"/>
      <c r="BO37" s="87"/>
      <c r="BP37" s="87"/>
      <c r="BQ37" s="87"/>
      <c r="BR37" s="87"/>
      <c r="BS37" s="87"/>
      <c r="BT37" s="87"/>
      <c r="BU37" s="87"/>
      <c r="BV37" s="87"/>
      <c r="BW37" s="83"/>
      <c r="BX37" s="286"/>
      <c r="BY37" s="1659"/>
      <c r="BZ37" s="981" t="s">
        <v>773</v>
      </c>
      <c r="CA37" s="1077" cm="1" t="str">
        <f t="array" ref="CA37:CA37">CA36</f>
        <v>ТЭ.42.31656254.0001</v>
      </c>
      <c r="CB37" s="1077" t="s">
        <v>774</v>
      </c>
      <c r="CC37" s="1076"/>
      <c r="CD37" s="1076"/>
      <c r="CE37" s="1077" t="s">
        <v>219</v>
      </c>
      <c r="CF37" s="1077" t="s">
        <v>303</v>
      </c>
      <c r="CG37" s="1077" t="s">
        <v>775</v>
      </c>
      <c r="CH37" s="1077" t="s">
        <v>776</v>
      </c>
    </row>
    <row s="1751" customFormat="1" customHeight="1" ht="16.5" hidden="1">
      <c r="A38" s="371"/>
      <c r="B38" s="1548"/>
      <c r="C38" s="1548"/>
      <c r="D38" s="1548"/>
      <c r="E38" s="180">
        <v>17</v>
      </c>
      <c r="F38" s="175" cm="1" t="str">
        <f t="array" ref="F38:F38">OFFSET(G38,-1,-1)</f>
        <v>1</v>
      </c>
      <c r="G38" s="1659"/>
      <c r="H38" s="1659"/>
      <c r="I38" s="1659"/>
      <c r="J38" s="1659"/>
      <c r="K38" s="1659"/>
      <c r="L38" s="1659"/>
      <c r="M38" s="1659"/>
      <c r="N38" s="1659"/>
      <c r="O38" s="1659"/>
      <c r="P38" s="1659"/>
      <c r="Q38" s="1659"/>
      <c r="R38" s="1659"/>
      <c r="S38" s="1659"/>
      <c r="T38" s="753" cm="1" t="str">
        <f t="array" ref="T38:T38">T37</f>
        <v>false</v>
      </c>
      <c r="U38" s="1548"/>
      <c r="V38" s="1548"/>
      <c r="W38" s="1548"/>
      <c r="X38" s="1548"/>
      <c r="Y38" s="1548"/>
      <c r="Z38" s="1548"/>
      <c r="AA38" s="286"/>
      <c r="AB38" s="467">
        <v>2.1</v>
      </c>
      <c r="AC38" s="341" t="s">
        <v>777</v>
      </c>
      <c r="AD38" s="328" t="s">
        <v>495</v>
      </c>
      <c r="AE38" s="485">
        <f>IF(AE36=0,0,AE37/AE36)</f>
        <v>0</v>
      </c>
      <c r="AF38" s="485">
        <f>IF(AF36=0,0,AF37/AF36)</f>
        <v>0</v>
      </c>
      <c r="AG38" s="485">
        <f>IF(AG36=0,0,AG37/AG36)</f>
        <v>0</v>
      </c>
      <c r="AH38" s="485">
        <f>IF(AH36=0,0,AH37/AH36)</f>
        <v>0</v>
      </c>
      <c r="AI38" s="485">
        <f>IF(AI36=0,0,AI37/AI36)</f>
        <v>0</v>
      </c>
      <c r="AJ38" s="485">
        <f>IF(AJ36=0,0,AJ37/AJ36)</f>
        <v>0</v>
      </c>
      <c r="AK38" s="485">
        <f>IF(AK36=0,0,AK37/AK36)</f>
        <v>0</v>
      </c>
      <c r="AL38" s="485">
        <f>IF(AL36=0,0,AL37/AL36)</f>
        <v>0</v>
      </c>
      <c r="AM38" s="485">
        <f>IF(AM36=0,0,AM37/AM36)</f>
        <v>0</v>
      </c>
      <c r="AN38" s="485">
        <f>IF(AN36=0,0,AN37/AN36)</f>
        <v>0</v>
      </c>
      <c r="AO38" s="485">
        <f>IF(AO36=0,0,AO37/AO36)</f>
        <v>0</v>
      </c>
      <c r="AP38" s="485">
        <f>IF(AP36=0,0,AP37/AP36)</f>
        <v>0</v>
      </c>
      <c r="AQ38" s="485">
        <f>IF(AQ36=0,0,AQ37/AQ36)</f>
        <v>0</v>
      </c>
      <c r="AR38" s="485">
        <f>IF(AR36=0,0,AR37/AR36)</f>
        <v>0</v>
      </c>
      <c r="AS38" s="485">
        <f>IF(AS36=0,0,AS37/AS36)</f>
        <v>0</v>
      </c>
      <c r="AT38" s="485">
        <f>IF(AT36=0,0,AT37/AT36)</f>
        <v>0</v>
      </c>
      <c r="AU38" s="485">
        <f>IF(AU36=0,0,AU37/AU36)</f>
        <v>0</v>
      </c>
      <c r="AV38" s="485">
        <f>IF(AV36=0,0,AV37/AV36)</f>
        <v>0</v>
      </c>
      <c r="AW38" s="485">
        <f>IF(AW36=0,0,AW37/AW36)</f>
        <v>0</v>
      </c>
      <c r="AX38" s="485">
        <f>IF(AX36=0,0,AX37/AX36)</f>
        <v>0</v>
      </c>
      <c r="AY38" s="485">
        <f>IF(AY36=0,0,AY37/AY36)</f>
        <v>0</v>
      </c>
      <c r="AZ38" s="485">
        <f>IF(AZ36=0,0,AZ37/AZ36)</f>
        <v>0</v>
      </c>
      <c r="BA38" s="485">
        <f>IF(BA36=0,0,BA37/BA36)</f>
        <v>0</v>
      </c>
      <c r="BB38" s="485">
        <f>IF(BB36=0,0,BB37/BB36)</f>
        <v>0</v>
      </c>
      <c r="BC38" s="485">
        <f>IF(BC36=0,0,BC37/BC36)</f>
        <v>0</v>
      </c>
      <c r="BD38" s="485">
        <f>IF(BD36=0,0,BD37/BD36)</f>
        <v>0</v>
      </c>
      <c r="BE38" s="485">
        <f>IF(BE36=0,0,BE37/BE36)</f>
        <v>0</v>
      </c>
      <c r="BF38" s="485">
        <f>IF(BF36=0,0,BF37/BF36)</f>
        <v>0</v>
      </c>
      <c r="BG38" s="485">
        <f>IF(BG36=0,0,BG37/BG36)</f>
        <v>0</v>
      </c>
      <c r="BH38" s="485">
        <f>IF(BH36=0,0,BH37/BH36)</f>
        <v>0</v>
      </c>
      <c r="BI38" s="485">
        <f>IF(BI36=0,0,BI37/BI36)</f>
        <v>0</v>
      </c>
      <c r="BJ38" s="485">
        <f>IF(BJ36=0,0,BJ37/BJ36)</f>
        <v>0</v>
      </c>
      <c r="BK38" s="485">
        <f>IF(BK36=0,0,BK37/BK36)</f>
        <v>0</v>
      </c>
      <c r="BL38" s="485">
        <f>IF(BL36=0,0,BL37/BL36)</f>
        <v>0</v>
      </c>
      <c r="BM38" s="485">
        <f>IF(BM36=0,0,BM37/BM36)</f>
        <v>0</v>
      </c>
      <c r="BN38" s="485">
        <f>IF(BN36=0,0,BN37/BN36)</f>
        <v>0</v>
      </c>
      <c r="BO38" s="485">
        <f>IF(BO36=0,0,BO37/BO36)</f>
        <v>0</v>
      </c>
      <c r="BP38" s="485">
        <f>IF(BP36=0,0,BP37/BP36)</f>
        <v>0</v>
      </c>
      <c r="BQ38" s="485">
        <f>IF(BQ36=0,0,BQ37/BQ36)</f>
        <v>0</v>
      </c>
      <c r="BR38" s="485">
        <f>IF(BR36=0,0,BR37/BR36)</f>
        <v>0</v>
      </c>
      <c r="BS38" s="485">
        <f>IF(BS36=0,0,BS37/BS36)</f>
        <v>0</v>
      </c>
      <c r="BT38" s="485">
        <f>IF(BT36=0,0,BT37/BT36)</f>
        <v>0</v>
      </c>
      <c r="BU38" s="485">
        <f>IF(BU36=0,0,BU37/BU36)</f>
        <v>0</v>
      </c>
      <c r="BV38" s="485">
        <f>IF(BV36=0,0,BV37/BV36)</f>
        <v>0</v>
      </c>
      <c r="BW38" s="83"/>
      <c r="BX38" s="286"/>
      <c r="BY38" s="1659"/>
      <c r="BZ38" s="981" t="s">
        <v>778</v>
      </c>
      <c r="CA38" s="1077" cm="1" t="str">
        <f t="array" ref="CA38:CA38">CA37</f>
        <v>ТЭ.42.31656254.0001</v>
      </c>
      <c r="CB38" s="1077" t="s">
        <v>774</v>
      </c>
      <c r="CC38" s="1076"/>
      <c r="CD38" s="1076"/>
      <c r="CE38" s="1077" t="s">
        <v>255</v>
      </c>
      <c r="CF38" s="1077" t="s">
        <v>303</v>
      </c>
      <c r="CG38" s="1077" t="s">
        <v>724</v>
      </c>
      <c r="CH38" s="1077" t="s">
        <v>725</v>
      </c>
    </row>
    <row s="1751" customFormat="1" customHeight="1" ht="16.5" hidden="1">
      <c r="A39" s="371"/>
      <c r="B39" s="1548"/>
      <c r="C39" s="1548"/>
      <c r="D39" s="1548"/>
      <c r="E39" s="180">
        <v>17</v>
      </c>
      <c r="F39" s="175" cm="1" t="str">
        <f t="array" ref="F39:F39">OFFSET(G39,-1,-1)</f>
        <v>1</v>
      </c>
      <c r="G39" s="1659"/>
      <c r="H39" s="1659"/>
      <c r="I39" s="1659"/>
      <c r="J39" s="1659"/>
      <c r="K39" s="1659"/>
      <c r="L39" s="1659"/>
      <c r="M39" s="1659"/>
      <c r="N39" s="1659"/>
      <c r="O39" s="1659"/>
      <c r="P39" s="1659"/>
      <c r="Q39" s="1659"/>
      <c r="R39" s="1659"/>
      <c r="S39" s="1659"/>
      <c r="T39" s="753" cm="1" t="str">
        <f t="array" ref="T39:T39">T38</f>
        <v>false</v>
      </c>
      <c r="U39" s="1548"/>
      <c r="V39" s="1548"/>
      <c r="W39" s="1548"/>
      <c r="X39" s="1548"/>
      <c r="Y39" s="1548"/>
      <c r="Z39" s="1548"/>
      <c r="AA39" s="286"/>
      <c r="AB39" s="463">
        <v>3</v>
      </c>
      <c r="AC39" s="486" t="s">
        <v>779</v>
      </c>
      <c r="AD39" s="328" t="s">
        <v>629</v>
      </c>
      <c r="AE39" s="487">
        <f>AE36-AE37</f>
        <v>0</v>
      </c>
      <c r="AF39" s="487">
        <f>AF36-AF37</f>
        <v>0</v>
      </c>
      <c r="AG39" s="487">
        <f>AG36-AG37</f>
        <v>0</v>
      </c>
      <c r="AH39" s="487">
        <f>AH36-AH37</f>
        <v>0</v>
      </c>
      <c r="AI39" s="487">
        <f>AI36-AI37</f>
        <v>0</v>
      </c>
      <c r="AJ39" s="487">
        <f>AJ36-AJ37</f>
        <v>0</v>
      </c>
      <c r="AK39" s="487">
        <f>AK36-AK37</f>
        <v>0</v>
      </c>
      <c r="AL39" s="487">
        <f>AL36-AL37</f>
        <v>0</v>
      </c>
      <c r="AM39" s="487">
        <f>AM36-AM37</f>
        <v>0</v>
      </c>
      <c r="AN39" s="487">
        <f>AN36-AN37</f>
        <v>0</v>
      </c>
      <c r="AO39" s="487">
        <f>AO36-AO37</f>
        <v>0</v>
      </c>
      <c r="AP39" s="487">
        <f>AP36-AP37</f>
        <v>0</v>
      </c>
      <c r="AQ39" s="487">
        <f>AQ36-AQ37</f>
        <v>0</v>
      </c>
      <c r="AR39" s="487">
        <f>AR36-AR37</f>
        <v>0</v>
      </c>
      <c r="AS39" s="487">
        <f>AS36-AS37</f>
        <v>0</v>
      </c>
      <c r="AT39" s="487">
        <f>AT36-AT37</f>
        <v>0</v>
      </c>
      <c r="AU39" s="487">
        <f>AU36-AU37</f>
        <v>0</v>
      </c>
      <c r="AV39" s="487">
        <f>AV36-AV37</f>
        <v>0</v>
      </c>
      <c r="AW39" s="487">
        <f>AW36-AW37</f>
        <v>0</v>
      </c>
      <c r="AX39" s="487">
        <f>AX36-AX37</f>
        <v>0</v>
      </c>
      <c r="AY39" s="487">
        <f>AY36-AY37</f>
        <v>0</v>
      </c>
      <c r="AZ39" s="487">
        <f>AZ36-AZ37</f>
        <v>0</v>
      </c>
      <c r="BA39" s="487">
        <f>BA36-BA37</f>
        <v>0</v>
      </c>
      <c r="BB39" s="487">
        <f>BB36-BB37</f>
        <v>0</v>
      </c>
      <c r="BC39" s="487">
        <f>BC36-BC37</f>
        <v>0</v>
      </c>
      <c r="BD39" s="487">
        <f>BD36-BD37</f>
        <v>0</v>
      </c>
      <c r="BE39" s="487">
        <f>BE36-BE37</f>
        <v>0</v>
      </c>
      <c r="BF39" s="487">
        <f>BF36-BF37</f>
        <v>0</v>
      </c>
      <c r="BG39" s="487">
        <f>BG36-BG37</f>
        <v>0</v>
      </c>
      <c r="BH39" s="487">
        <f>BH36-BH37</f>
        <v>0</v>
      </c>
      <c r="BI39" s="487">
        <f>BI36-BI37</f>
        <v>0</v>
      </c>
      <c r="BJ39" s="487">
        <f>BJ36-BJ37</f>
        <v>0</v>
      </c>
      <c r="BK39" s="487">
        <f>BK36-BK37</f>
        <v>0</v>
      </c>
      <c r="BL39" s="487">
        <f>BL36-BL37</f>
        <v>0</v>
      </c>
      <c r="BM39" s="487">
        <f>BM36-BM37</f>
        <v>0</v>
      </c>
      <c r="BN39" s="487">
        <f>BN36-BN37</f>
        <v>0</v>
      </c>
      <c r="BO39" s="487">
        <f>BO36-BO37</f>
        <v>0</v>
      </c>
      <c r="BP39" s="487">
        <f>BP36-BP37</f>
        <v>0</v>
      </c>
      <c r="BQ39" s="487">
        <f>BQ36-BQ37</f>
        <v>0</v>
      </c>
      <c r="BR39" s="487">
        <f>BR36-BR37</f>
        <v>0</v>
      </c>
      <c r="BS39" s="487">
        <f>BS36-BS37</f>
        <v>0</v>
      </c>
      <c r="BT39" s="487">
        <f>BT36-BT37</f>
        <v>0</v>
      </c>
      <c r="BU39" s="487">
        <f>BU36-BU37</f>
        <v>0</v>
      </c>
      <c r="BV39" s="487">
        <f>BV36-BV37</f>
        <v>0</v>
      </c>
      <c r="BW39" s="83"/>
      <c r="BX39" s="286"/>
      <c r="BY39" s="1659"/>
      <c r="BZ39" s="981" t="s">
        <v>780</v>
      </c>
      <c r="CA39" s="1077" cm="1" t="str">
        <f t="array" ref="CA39:CA39">CA38</f>
        <v>ТЭ.42.31656254.0001</v>
      </c>
      <c r="CB39" s="1077" t="s">
        <v>774</v>
      </c>
      <c r="CC39" s="1076"/>
      <c r="CD39" s="1076"/>
      <c r="CE39" s="1077" t="s">
        <v>449</v>
      </c>
      <c r="CF39" s="1077" t="s">
        <v>303</v>
      </c>
      <c r="CG39" s="1077" t="s">
        <v>679</v>
      </c>
      <c r="CH39" s="1077" t="s">
        <v>680</v>
      </c>
    </row>
    <row s="1751" customFormat="1" customHeight="1" ht="16.5" hidden="1">
      <c r="A40" s="371"/>
      <c r="B40" s="1548"/>
      <c r="C40" s="1548"/>
      <c r="D40" s="1548"/>
      <c r="E40" s="180">
        <v>17</v>
      </c>
      <c r="F40" s="175" cm="1" t="str">
        <f t="array" ref="F40:F40">OFFSET(G40,-1,-1)</f>
        <v>1</v>
      </c>
      <c r="G40" s="1659"/>
      <c r="H40" s="1659"/>
      <c r="I40" s="1659"/>
      <c r="J40" s="1659"/>
      <c r="K40" s="1659"/>
      <c r="L40" s="1659"/>
      <c r="M40" s="1659"/>
      <c r="N40" s="1659"/>
      <c r="O40" s="1659"/>
      <c r="P40" s="1659"/>
      <c r="Q40" s="1659"/>
      <c r="R40" s="1659"/>
      <c r="S40" s="1659"/>
      <c r="T40" s="753" cm="1" t="str">
        <f t="array" ref="T40:T40">T39</f>
        <v>false</v>
      </c>
      <c r="U40" s="1548"/>
      <c r="V40" s="1548"/>
      <c r="W40" s="1548"/>
      <c r="X40" s="1548"/>
      <c r="Y40" s="1548"/>
      <c r="Z40" s="1548"/>
      <c r="AA40" s="286"/>
      <c r="AB40" s="466">
        <v>3.1</v>
      </c>
      <c r="AC40" s="488" t="s">
        <v>781</v>
      </c>
      <c r="AD40" s="328" t="s">
        <v>629</v>
      </c>
      <c r="AE40" s="50"/>
      <c r="AF40" s="50"/>
      <c r="AG40" s="50"/>
      <c r="AH40" s="50"/>
      <c r="AI40" s="449"/>
      <c r="AJ40" s="50"/>
      <c r="AK40" s="50"/>
      <c r="AL40" s="50"/>
      <c r="AM40" s="50"/>
      <c r="AN40" s="50"/>
      <c r="AO40" s="50"/>
      <c r="AP40" s="50"/>
      <c r="AQ40" s="50"/>
      <c r="AR40" s="50"/>
      <c r="AS40" s="50"/>
      <c r="AT40" s="50"/>
      <c r="AU40" s="50"/>
      <c r="AV40" s="50"/>
      <c r="AW40" s="50"/>
      <c r="AX40" s="50"/>
      <c r="AY40" s="50"/>
      <c r="AZ40" s="50"/>
      <c r="BA40" s="50"/>
      <c r="BB40" s="50"/>
      <c r="BC40" s="449"/>
      <c r="BD40" s="50"/>
      <c r="BE40" s="50"/>
      <c r="BF40" s="50"/>
      <c r="BG40" s="50"/>
      <c r="BH40" s="50"/>
      <c r="BI40" s="50"/>
      <c r="BJ40" s="50"/>
      <c r="BK40" s="50"/>
      <c r="BL40" s="50"/>
      <c r="BM40" s="50"/>
      <c r="BN40" s="50"/>
      <c r="BO40" s="50"/>
      <c r="BP40" s="50"/>
      <c r="BQ40" s="50"/>
      <c r="BR40" s="50"/>
      <c r="BS40" s="50"/>
      <c r="BT40" s="50"/>
      <c r="BU40" s="50"/>
      <c r="BV40" s="50"/>
      <c r="BW40" s="83"/>
      <c r="BX40" s="286"/>
      <c r="BY40" s="1659"/>
      <c r="BZ40" s="981" t="s">
        <v>782</v>
      </c>
      <c r="CA40" s="1077" cm="1" t="str">
        <f t="array" ref="CA40:CA40">CA39</f>
        <v>ТЭ.42.31656254.0001</v>
      </c>
      <c r="CB40" s="1077" t="s">
        <v>774</v>
      </c>
      <c r="CC40" s="1077" t="s">
        <v>783</v>
      </c>
      <c r="CD40" s="1076"/>
      <c r="CE40" s="1076"/>
      <c r="CF40" s="1077" t="s">
        <v>303</v>
      </c>
      <c r="CG40" s="1077" t="s">
        <v>679</v>
      </c>
      <c r="CH40" s="1077" t="s">
        <v>680</v>
      </c>
    </row>
    <row s="1751" customFormat="1" customHeight="1" ht="16.5" hidden="1">
      <c r="A41" s="371"/>
      <c r="B41" s="1548"/>
      <c r="C41" s="1548"/>
      <c r="D41" s="1548"/>
      <c r="E41" s="180">
        <v>17</v>
      </c>
      <c r="F41" s="175" cm="1" t="str">
        <f t="array" ref="F41:F41">OFFSET(G41,-1,-1)</f>
        <v>1</v>
      </c>
      <c r="G41" s="1659"/>
      <c r="H41" s="1659"/>
      <c r="I41" s="1659"/>
      <c r="J41" s="1659"/>
      <c r="K41" s="1659"/>
      <c r="L41" s="1659"/>
      <c r="M41" s="1659"/>
      <c r="N41" s="1659"/>
      <c r="O41" s="1659"/>
      <c r="P41" s="1659"/>
      <c r="Q41" s="1659"/>
      <c r="R41" s="1659"/>
      <c r="S41" s="1659"/>
      <c r="T41" s="753" cm="1" t="str">
        <f t="array" ref="T41:T41">T40</f>
        <v>false</v>
      </c>
      <c r="U41" s="1548"/>
      <c r="V41" s="1548"/>
      <c r="W41" s="1548"/>
      <c r="X41" s="1548"/>
      <c r="Y41" s="1548"/>
      <c r="Z41" s="1548"/>
      <c r="AA41" s="286"/>
      <c r="AB41" s="466">
        <v>3.2</v>
      </c>
      <c r="AC41" s="488" t="s">
        <v>696</v>
      </c>
      <c r="AD41" s="328" t="s">
        <v>629</v>
      </c>
      <c r="AE41" s="448">
        <f>AE39-AE40</f>
        <v>0</v>
      </c>
      <c r="AF41" s="448">
        <f>AF39-AF40</f>
        <v>0</v>
      </c>
      <c r="AG41" s="448">
        <f>AG39-AG40</f>
        <v>0</v>
      </c>
      <c r="AH41" s="448">
        <f>AH39-AH40</f>
        <v>0</v>
      </c>
      <c r="AI41" s="448">
        <f>AI39-AI40</f>
        <v>0</v>
      </c>
      <c r="AJ41" s="448">
        <f>AJ39-AJ40</f>
        <v>0</v>
      </c>
      <c r="AK41" s="448">
        <f>AK39-AK40</f>
        <v>0</v>
      </c>
      <c r="AL41" s="448">
        <f>AL39-AL40</f>
        <v>0</v>
      </c>
      <c r="AM41" s="448">
        <f>AM39-AM40</f>
        <v>0</v>
      </c>
      <c r="AN41" s="448">
        <f>AN39-AN40</f>
        <v>0</v>
      </c>
      <c r="AO41" s="448">
        <f>AO39-AO40</f>
        <v>0</v>
      </c>
      <c r="AP41" s="448">
        <f>AP39-AP40</f>
        <v>0</v>
      </c>
      <c r="AQ41" s="448">
        <f>AQ39-AQ40</f>
        <v>0</v>
      </c>
      <c r="AR41" s="448">
        <f>AR39-AR40</f>
        <v>0</v>
      </c>
      <c r="AS41" s="448">
        <f>AS39-AS40</f>
        <v>0</v>
      </c>
      <c r="AT41" s="448">
        <f>AT39-AT40</f>
        <v>0</v>
      </c>
      <c r="AU41" s="448">
        <f>AU39-AU40</f>
        <v>0</v>
      </c>
      <c r="AV41" s="448">
        <f>AV39-AV40</f>
        <v>0</v>
      </c>
      <c r="AW41" s="448">
        <f>AW39-AW40</f>
        <v>0</v>
      </c>
      <c r="AX41" s="448">
        <f>AX39-AX40</f>
        <v>0</v>
      </c>
      <c r="AY41" s="448">
        <f>AY39-AY40</f>
        <v>0</v>
      </c>
      <c r="AZ41" s="448">
        <f>AZ39-AZ40</f>
        <v>0</v>
      </c>
      <c r="BA41" s="448">
        <f>BA39-BA40</f>
        <v>0</v>
      </c>
      <c r="BB41" s="448">
        <f>BB39-BB40</f>
        <v>0</v>
      </c>
      <c r="BC41" s="448">
        <f>BC39-BC40</f>
        <v>0</v>
      </c>
      <c r="BD41" s="448">
        <f>BD39-BD40</f>
        <v>0</v>
      </c>
      <c r="BE41" s="448">
        <f>BE39-BE40</f>
        <v>0</v>
      </c>
      <c r="BF41" s="448">
        <f>BF39-BF40</f>
        <v>0</v>
      </c>
      <c r="BG41" s="448">
        <f>BG39-BG40</f>
        <v>0</v>
      </c>
      <c r="BH41" s="448">
        <f>BH39-BH40</f>
        <v>0</v>
      </c>
      <c r="BI41" s="448">
        <f>BI39-BI40</f>
        <v>0</v>
      </c>
      <c r="BJ41" s="448">
        <f>BJ39-BJ40</f>
        <v>0</v>
      </c>
      <c r="BK41" s="448">
        <f>BK39-BK40</f>
        <v>0</v>
      </c>
      <c r="BL41" s="448">
        <f>BL39-BL40</f>
        <v>0</v>
      </c>
      <c r="BM41" s="448">
        <f>BM39-BM40</f>
        <v>0</v>
      </c>
      <c r="BN41" s="448">
        <f>BN39-BN40</f>
        <v>0</v>
      </c>
      <c r="BO41" s="448">
        <f>BO39-BO40</f>
        <v>0</v>
      </c>
      <c r="BP41" s="448">
        <f>BP39-BP40</f>
        <v>0</v>
      </c>
      <c r="BQ41" s="448">
        <f>BQ39-BQ40</f>
        <v>0</v>
      </c>
      <c r="BR41" s="448">
        <f>BR39-BR40</f>
        <v>0</v>
      </c>
      <c r="BS41" s="448">
        <f>BS39-BS40</f>
        <v>0</v>
      </c>
      <c r="BT41" s="448">
        <f>BT39-BT40</f>
        <v>0</v>
      </c>
      <c r="BU41" s="448">
        <f>BU39-BU40</f>
        <v>0</v>
      </c>
      <c r="BV41" s="448">
        <f>BV39-BV40</f>
        <v>0</v>
      </c>
      <c r="BW41" s="83"/>
      <c r="BX41" s="286"/>
      <c r="BY41" s="1659"/>
      <c r="BZ41" s="981" t="s">
        <v>784</v>
      </c>
      <c r="CA41" s="1077" cm="1" t="str">
        <f t="array" ref="CA41:CA41">CA40</f>
        <v>ТЭ.42.31656254.0001</v>
      </c>
      <c r="CB41" s="1077" t="s">
        <v>774</v>
      </c>
      <c r="CC41" s="1076"/>
      <c r="CD41" s="1077" t="s">
        <v>698</v>
      </c>
      <c r="CE41" s="1076"/>
      <c r="CF41" s="1077" t="s">
        <v>303</v>
      </c>
      <c r="CG41" s="1077" t="s">
        <v>679</v>
      </c>
      <c r="CH41" s="1077" t="s">
        <v>680</v>
      </c>
    </row>
    <row customHeight="1" ht="10.725000000000001">
      <c r="E42" s="180">
        <v>11</v>
      </c>
      <c r="U42" s="175" t="s">
        <v>191</v>
      </c>
      <c r="V42" s="176" t="s">
        <v>785</v>
      </c>
      <c r="AI42" s="286"/>
      <c r="AJ42" s="286"/>
      <c r="AK42" s="286"/>
      <c r="AL42" s="286"/>
      <c r="AM42" s="286"/>
      <c r="AN42" s="286"/>
      <c r="AO42" s="286"/>
      <c r="AP42" s="286"/>
      <c r="AQ42" s="286"/>
      <c r="AR42" s="286"/>
      <c r="AS42" s="286"/>
      <c r="AT42" s="286"/>
      <c r="AU42" s="286"/>
      <c r="AV42" s="286"/>
      <c r="AW42" s="286"/>
      <c r="AX42" s="286"/>
      <c r="AY42" s="286"/>
      <c r="AZ42" s="286"/>
      <c r="BA42" s="286"/>
      <c r="BB42" s="286"/>
      <c r="BC42" s="286"/>
      <c r="BD42" s="286"/>
      <c r="BE42" s="286"/>
      <c r="BF42" s="286"/>
      <c r="BG42" s="286"/>
      <c r="BH42" s="286"/>
      <c r="BI42" s="286"/>
      <c r="BJ42" s="286"/>
      <c r="BK42" s="286"/>
      <c r="BL42" s="286"/>
      <c r="BM42" s="286"/>
      <c r="BN42" s="286"/>
      <c r="BO42" s="286"/>
      <c r="BP42" s="286"/>
      <c r="BQ42" s="286"/>
      <c r="BR42" s="286"/>
      <c r="BS42" s="286"/>
      <c r="BT42" s="286"/>
      <c r="BU42" s="286"/>
      <c r="BV42" s="286"/>
    </row>
    <row customHeight="1" ht="11.25" hidden="1">
      <c r="E43" s="965">
        <v>0</v>
      </c>
      <c r="AI43" s="286"/>
      <c r="AJ43" s="286"/>
      <c r="AK43" s="286"/>
      <c r="AL43" s="286"/>
      <c r="AM43" s="286"/>
      <c r="AN43" s="286"/>
      <c r="AO43" s="286"/>
      <c r="AP43" s="286"/>
      <c r="AQ43" s="286"/>
      <c r="AR43" s="286"/>
      <c r="AS43" s="286"/>
      <c r="AT43" s="286"/>
      <c r="AU43" s="286"/>
      <c r="AV43" s="286"/>
      <c r="AW43" s="286"/>
      <c r="AX43" s="286"/>
      <c r="AY43" s="286"/>
      <c r="AZ43" s="286"/>
      <c r="BA43" s="286"/>
      <c r="BB43" s="286"/>
      <c r="BC43" s="286"/>
      <c r="BD43" s="286"/>
      <c r="BE43" s="286"/>
      <c r="BF43" s="286"/>
      <c r="BG43" s="286"/>
      <c r="BH43" s="286"/>
      <c r="BI43" s="286"/>
      <c r="BJ43" s="286"/>
      <c r="BK43" s="286"/>
      <c r="BL43" s="286"/>
      <c r="BM43" s="286"/>
      <c r="BN43" s="286"/>
      <c r="BO43" s="286"/>
      <c r="BP43" s="286"/>
      <c r="BQ43" s="286"/>
      <c r="BR43" s="286"/>
      <c r="BS43" s="286"/>
      <c r="BT43" s="286"/>
      <c r="BU43" s="286"/>
      <c r="BV43" s="286"/>
    </row>
    <row customHeight="1" ht="14.625">
      <c r="E44" s="180">
        <v>15</v>
      </c>
      <c r="AB44" s="1601" t="s">
        <v>765</v>
      </c>
      <c r="AC44" s="1601"/>
      <c r="AD44" s="1601"/>
      <c r="AE44" s="1602"/>
      <c r="AF44" s="1602"/>
      <c r="AG44" s="1602"/>
      <c r="AH44" s="1602"/>
      <c r="AI44" s="1602"/>
      <c r="AJ44" s="1602"/>
      <c r="AK44" s="1602"/>
      <c r="AL44" s="1602"/>
      <c r="AM44" s="1602"/>
      <c r="AN44" s="1602"/>
      <c r="AO44" s="1602"/>
      <c r="AP44" s="1602"/>
      <c r="AQ44" s="1602"/>
      <c r="AR44" s="1602"/>
      <c r="AS44" s="1602"/>
      <c r="AT44" s="1602"/>
      <c r="AU44" s="1602"/>
      <c r="AV44" s="1602"/>
      <c r="AW44" s="1602"/>
      <c r="AX44" s="1602"/>
      <c r="AY44" s="1602"/>
      <c r="AZ44" s="1602"/>
      <c r="BA44" s="1602"/>
      <c r="BB44" s="1602"/>
      <c r="BC44" s="1602"/>
      <c r="BD44" s="1602"/>
      <c r="BE44" s="1602"/>
      <c r="BF44" s="1602"/>
      <c r="BG44" s="1602"/>
      <c r="BH44" s="1602"/>
      <c r="BI44" s="1602"/>
      <c r="BJ44" s="1602"/>
      <c r="BK44" s="1602"/>
      <c r="BL44" s="1602"/>
      <c r="BM44" s="1602"/>
      <c r="BN44" s="1602"/>
      <c r="BO44" s="1602"/>
      <c r="BP44" s="1602"/>
      <c r="BQ44" s="1602"/>
      <c r="BR44" s="1602"/>
      <c r="BS44" s="1602"/>
      <c r="BT44" s="1602"/>
      <c r="BU44" s="1602"/>
      <c r="BV44" s="1602"/>
      <c r="BW44" s="1602"/>
    </row>
    <row customHeight="1" ht="14.625">
      <c r="E45" s="180">
        <v>15</v>
      </c>
      <c r="AA45" s="477"/>
      <c r="AB45" s="1603"/>
      <c r="AC45" s="1604"/>
      <c r="AD45" s="1604"/>
      <c r="AE45" s="1604"/>
      <c r="AF45" s="1604"/>
      <c r="AG45" s="1604"/>
      <c r="AH45" s="1604"/>
      <c r="AI45" s="1604"/>
      <c r="AJ45" s="1915"/>
      <c r="AK45" s="1915"/>
      <c r="AL45" s="1915"/>
      <c r="AM45" s="1915"/>
      <c r="AN45" s="1915"/>
      <c r="AO45" s="1915"/>
      <c r="AP45" s="1915"/>
      <c r="AQ45" s="1915"/>
      <c r="AR45" s="1915"/>
      <c r="AS45" s="1915"/>
      <c r="AT45" s="1915"/>
      <c r="AU45" s="1915"/>
      <c r="AV45" s="1915"/>
      <c r="AW45" s="1915"/>
      <c r="AX45" s="1915"/>
      <c r="AY45" s="1915"/>
      <c r="AZ45" s="1915"/>
      <c r="BA45" s="1915"/>
      <c r="BB45" s="1915"/>
      <c r="BC45" s="1604"/>
      <c r="BD45" s="1915"/>
      <c r="BE45" s="1915"/>
      <c r="BF45" s="1915"/>
      <c r="BG45" s="1915"/>
      <c r="BH45" s="1915"/>
      <c r="BI45" s="1915"/>
      <c r="BJ45" s="1915"/>
      <c r="BK45" s="1915"/>
      <c r="BL45" s="1915"/>
      <c r="BM45" s="1915"/>
      <c r="BN45" s="1915"/>
      <c r="BO45" s="1915"/>
      <c r="BP45" s="1915"/>
      <c r="BQ45" s="1915"/>
      <c r="BR45" s="1915"/>
      <c r="BS45" s="1915"/>
      <c r="BT45" s="1915"/>
      <c r="BU45" s="1915"/>
      <c r="BV45" s="1915"/>
      <c r="BW45" s="1605"/>
    </row>
    <row customHeight="1" ht="14.625" hidden="1">
      <c r="A46" s="371"/>
      <c r="B46" s="1548"/>
      <c r="C46" s="1548"/>
      <c r="D46" s="1548"/>
      <c r="E46" s="180">
        <v>15</v>
      </c>
      <c r="F46" s="1548"/>
      <c r="G46" s="1659"/>
      <c r="H46" s="1659"/>
      <c r="I46" s="1659"/>
      <c r="J46" s="1659"/>
      <c r="K46" s="1659"/>
      <c r="L46" s="1659"/>
      <c r="M46" s="1659"/>
      <c r="N46" s="1659"/>
      <c r="O46" s="1659"/>
      <c r="P46" s="1659"/>
      <c r="Q46" s="1659"/>
      <c r="R46" s="1659"/>
      <c r="S46" s="1659"/>
      <c r="T46" s="753">
        <f>ROW(W46)&gt;ROW(W$46)</f>
        <v>0</v>
      </c>
      <c r="U46" s="1548"/>
      <c r="V46" s="1548"/>
      <c r="W46" s="175" t="s">
        <v>189</v>
      </c>
      <c r="X46" s="1548"/>
      <c r="Y46" s="1548"/>
      <c r="Z46" s="1548"/>
      <c r="AA46" s="477" t="s">
        <v>171</v>
      </c>
      <c r="AB46" s="1917"/>
      <c r="AC46" s="1915"/>
      <c r="AD46" s="1915"/>
      <c r="AE46" s="1915"/>
      <c r="AF46" s="1915"/>
      <c r="AG46" s="1915"/>
      <c r="AH46" s="1915"/>
      <c r="AI46" s="1604"/>
      <c r="AJ46" s="1915"/>
      <c r="AK46" s="1915"/>
      <c r="AL46" s="1915"/>
      <c r="AM46" s="1915"/>
      <c r="AN46" s="1915"/>
      <c r="AO46" s="1915"/>
      <c r="AP46" s="1915"/>
      <c r="AQ46" s="1915"/>
      <c r="AR46" s="1915"/>
      <c r="AS46" s="1915"/>
      <c r="AT46" s="1915"/>
      <c r="AU46" s="1915"/>
      <c r="AV46" s="1915"/>
      <c r="AW46" s="1915"/>
      <c r="AX46" s="1915"/>
      <c r="AY46" s="1915"/>
      <c r="AZ46" s="1915"/>
      <c r="BA46" s="1915"/>
      <c r="BB46" s="1915"/>
      <c r="BC46" s="1604"/>
      <c r="BD46" s="1915"/>
      <c r="BE46" s="1915"/>
      <c r="BF46" s="1915"/>
      <c r="BG46" s="1915"/>
      <c r="BH46" s="1915"/>
      <c r="BI46" s="1915"/>
      <c r="BJ46" s="1915"/>
      <c r="BK46" s="1915"/>
      <c r="BL46" s="1915"/>
      <c r="BM46" s="1915"/>
      <c r="BN46" s="1915"/>
      <c r="BO46" s="1915"/>
      <c r="BP46" s="1915"/>
      <c r="BQ46" s="1915"/>
      <c r="BR46" s="1915"/>
      <c r="BS46" s="1915"/>
      <c r="BT46" s="1915"/>
      <c r="BU46" s="1915"/>
      <c r="BV46" s="1915"/>
      <c r="BW46" s="1918"/>
      <c r="BX46" s="286"/>
      <c r="BY46" s="1659"/>
      <c r="BZ46" s="483"/>
      <c r="CA46" s="1752"/>
      <c r="CB46" s="1752"/>
      <c r="CC46" s="1752"/>
      <c r="CD46" s="1752"/>
      <c r="CE46" s="1752"/>
      <c r="CF46" s="1752"/>
      <c r="CG46" s="1752"/>
      <c r="CH46" s="1752"/>
    </row>
    <row customHeight="1" ht="14.625">
      <c r="E47" s="180">
        <v>15</v>
      </c>
      <c r="W47" s="176" t="s">
        <v>190</v>
      </c>
      <c r="AB47" s="1599" t="s">
        <v>766</v>
      </c>
      <c r="AC47" s="1600"/>
      <c r="AD47" s="480"/>
      <c r="AE47" s="481"/>
      <c r="AF47" s="481"/>
      <c r="AG47" s="481"/>
      <c r="AH47" s="481"/>
      <c r="AI47" s="481"/>
      <c r="AJ47" s="481"/>
      <c r="AK47" s="481"/>
      <c r="AL47" s="481"/>
      <c r="AM47" s="481"/>
      <c r="AN47" s="481"/>
      <c r="AO47" s="481"/>
      <c r="AP47" s="481"/>
      <c r="AQ47" s="481"/>
      <c r="AR47" s="481"/>
      <c r="AS47" s="481"/>
      <c r="AT47" s="481"/>
      <c r="AU47" s="481"/>
      <c r="AV47" s="481"/>
      <c r="AW47" s="481"/>
      <c r="AX47" s="481"/>
      <c r="AY47" s="481"/>
      <c r="AZ47" s="481"/>
      <c r="BA47" s="481"/>
      <c r="BB47" s="481"/>
      <c r="BC47" s="481"/>
      <c r="BD47" s="481"/>
      <c r="BE47" s="481"/>
      <c r="BF47" s="481"/>
      <c r="BG47" s="481"/>
      <c r="BH47" s="481"/>
      <c r="BI47" s="481"/>
      <c r="BJ47" s="481"/>
      <c r="BK47" s="481"/>
      <c r="BL47" s="481"/>
      <c r="BM47" s="481"/>
      <c r="BN47" s="481"/>
      <c r="BO47" s="481"/>
      <c r="BP47" s="481"/>
      <c r="BQ47" s="481"/>
      <c r="BR47" s="481"/>
      <c r="BS47" s="481"/>
      <c r="BT47" s="481"/>
      <c r="BU47" s="481"/>
      <c r="BV47" s="481"/>
      <c r="BW47" s="482"/>
    </row>
    <row customHeight="1" ht="11.25">
      <c r="AI48" s="286"/>
      <c r="AJ48" s="286"/>
      <c r="AK48" s="286"/>
      <c r="AL48" s="286"/>
      <c r="AM48" s="286"/>
      <c r="AN48" s="286"/>
      <c r="AO48" s="286"/>
      <c r="AP48" s="286"/>
      <c r="AQ48" s="286"/>
      <c r="AR48" s="286"/>
      <c r="AS48" s="286"/>
      <c r="AT48" s="286"/>
      <c r="AU48" s="286"/>
      <c r="AV48" s="286"/>
      <c r="AW48" s="286"/>
      <c r="AX48" s="286"/>
      <c r="AY48" s="286"/>
      <c r="AZ48" s="286"/>
      <c r="BA48" s="286"/>
      <c r="BB48" s="286"/>
      <c r="BC48" s="286"/>
      <c r="BD48" s="286"/>
      <c r="BE48" s="286"/>
      <c r="BF48" s="286"/>
      <c r="BG48" s="286"/>
      <c r="BH48" s="286"/>
      <c r="BI48" s="286"/>
      <c r="BJ48" s="286"/>
      <c r="BK48" s="286"/>
      <c r="BL48" s="286"/>
      <c r="BM48" s="286"/>
      <c r="BN48" s="286"/>
      <c r="BO48" s="286"/>
      <c r="BP48" s="286"/>
      <c r="BQ48" s="286"/>
      <c r="BR48" s="286"/>
      <c r="BS48" s="286"/>
      <c r="BT48" s="286"/>
      <c r="BU48" s="286"/>
      <c r="BV48" s="286"/>
      <c r="BX48" s="286"/>
    </row>
  </sheetData>
  <sheetProtection formatColumns="0" formatRows="0" insertRows="0" deleteColumns="0" deleteRows="0" sort="0" autoFilter="0" insertColumns="1"/>
  <mergeCells count="13">
    <mergeCell ref="AB46:BW46"/>
    <mergeCell ref="X28:X34"/>
    <mergeCell ref="Z28:Z34"/>
    <mergeCell ref="AB47:AC47"/>
    <mergeCell ref="AB45:BW45"/>
    <mergeCell ref="AB44:BW44"/>
    <mergeCell ref="AB24:BW24"/>
    <mergeCell ref="AB25:AB26"/>
    <mergeCell ref="AC25:AC26"/>
    <mergeCell ref="AD25:AD26"/>
    <mergeCell ref="BW25:BW26"/>
    <mergeCell ref="X35:X41"/>
    <mergeCell ref="Z35:Z4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A52DE6-FCD1-FF12-7E21-982077104E48}" mc:Ignorable="x14ac xr xr2 xr3">
  <sheetPr>
    <tabColor rgb="FFFFC000"/>
    <outlinePr summaryBelow="0"/>
    <pageSetUpPr fitToPage="1"/>
  </sheetPr>
  <dimension ref="A1:FZ275"/>
  <sheetViews>
    <sheetView showGridLines="0" workbookViewId="0">
      <pane xSplit="33" ySplit="26" topLeftCell="AK139" activePane="bottomRight" state="frozen"/>
      <selection pane="bottomLeft" activeCell="A27" sqref="A27"/>
      <selection pane="topRight" activeCell="AH1" sqref="AH1"/>
      <selection pane="bottomRight" activeCell="AM168" sqref="AM168"/>
    </sheetView>
  </sheetViews>
  <sheetFormatPr defaultColWidth="9.140625" customHeight="1" defaultRowHeight="11.25"/>
  <cols>
    <col min="1" max="1" style="371" width="6.8515625" hidden="1" customWidth="1"/>
    <col min="2" max="4" style="1548" width="6.8515625" hidden="1" customWidth="1"/>
    <col min="5" max="5" style="1718" width="6.8515625" hidden="1" customWidth="1"/>
    <col min="6" max="6" style="1548" width="6.8515625" hidden="1" customWidth="1"/>
    <col min="7" max="17" style="1659" width="6.8515625" hidden="1" customWidth="1"/>
    <col min="18" max="26" style="1548" width="6.8515625" hidden="1" customWidth="1"/>
    <col min="27" max="27" style="1009" width="3.00390625" customWidth="1"/>
    <col min="28" max="28" style="1751" width="3.00390625" customWidth="1"/>
    <col min="29" max="29" style="1751" width="3.57421875" customWidth="1"/>
    <col min="30" max="30" style="1751" width="10.00390625" customWidth="1"/>
    <col min="31" max="31" style="1751" width="45.00390625" customWidth="1"/>
    <col min="32" max="32" style="1751" width="30.00390625" customWidth="1"/>
    <col min="33" max="33" style="1751" width="20.00390625" customWidth="1"/>
    <col min="34" max="40" style="1751" width="16.00390625" customWidth="1"/>
    <col min="41" max="97" style="1751" width="16.00390625" hidden="1" customWidth="1"/>
    <col min="98" max="100" style="1751" width="16.00390625" customWidth="1"/>
    <col min="101" max="157" style="1751" width="16.00390625" hidden="1" customWidth="1"/>
    <col min="158" max="158" style="1751" width="26.00390625" customWidth="1"/>
    <col min="159" max="159" style="1751" width="3.00390625" customWidth="1"/>
    <col min="160" max="160" style="1506" width="9.140625" hidden="1"/>
    <col min="161" max="161" style="1125" width="9.140625" hidden="1"/>
    <col min="162" max="164" style="648" width="9.140625" hidden="1"/>
    <col min="165" max="166" style="649" width="9.140625" hidden="1"/>
    <col min="167" max="167" style="1751" width="9.140625" hidden="1"/>
    <col min="168" max="168" style="1158" width="9.140625" hidden="1"/>
    <col min="169" max="169" style="1158" width="16.140625" hidden="1" customWidth="1"/>
    <col min="170" max="182" style="1158" width="9.140625" hidden="1"/>
  </cols>
  <sheetData>
    <row s="1548" customFormat="1" customHeight="1" ht="11.25" hidden="1">
      <c r="A1" s="371"/>
      <c r="F1" s="753" t="s">
        <v>84</v>
      </c>
      <c r="G1" s="193"/>
      <c r="H1" s="193"/>
      <c r="I1" s="193"/>
      <c r="J1" s="193"/>
      <c r="K1" s="193"/>
      <c r="L1" s="193"/>
      <c r="M1" s="193"/>
      <c r="N1" s="193"/>
      <c r="O1" s="193"/>
      <c r="P1" s="193"/>
      <c r="Q1" s="193"/>
      <c r="S1" s="753" t="s">
        <v>786</v>
      </c>
      <c r="T1" s="753" t="s">
        <v>787</v>
      </c>
      <c r="U1" s="753" t="s">
        <v>85</v>
      </c>
      <c r="V1" s="753" t="s">
        <v>91</v>
      </c>
      <c r="W1" s="753" t="s">
        <v>86</v>
      </c>
      <c r="X1" s="753" t="s">
        <v>87</v>
      </c>
      <c r="Y1" s="753" t="s">
        <v>88</v>
      </c>
      <c r="Z1" s="753" t="s">
        <v>93</v>
      </c>
      <c r="AC1" s="753" t="s">
        <v>90</v>
      </c>
      <c r="AD1" s="753" t="s">
        <v>89</v>
      </c>
      <c r="AE1" s="753" t="s">
        <v>92</v>
      </c>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W1" s="1548"/>
      <c r="BX1" s="1548"/>
      <c r="BY1" s="1548"/>
      <c r="BZ1" s="1548"/>
      <c r="CA1" s="1548"/>
      <c r="CB1" s="1548"/>
      <c r="CC1" s="1548"/>
      <c r="CD1" s="1548"/>
      <c r="CE1" s="1548"/>
      <c r="CF1" s="1548"/>
      <c r="CG1" s="1548"/>
      <c r="CH1" s="1548"/>
      <c r="CI1" s="1548"/>
      <c r="CJ1" s="1548"/>
      <c r="CK1" s="1548"/>
      <c r="CL1" s="1548"/>
      <c r="CM1" s="1548"/>
      <c r="CN1" s="1548"/>
      <c r="CO1" s="1548"/>
      <c r="CP1" s="1548"/>
      <c r="CQ1" s="1548"/>
      <c r="CR1" s="1548"/>
      <c r="CS1" s="1548"/>
      <c r="CT1" s="1548"/>
      <c r="CU1" s="1548"/>
      <c r="CV1" s="1548"/>
      <c r="CW1" s="1548"/>
      <c r="CX1" s="1548"/>
      <c r="CY1" s="1548"/>
      <c r="CZ1" s="1548"/>
      <c r="DA1" s="1548"/>
      <c r="DB1" s="1548"/>
      <c r="DC1" s="1548"/>
      <c r="DD1" s="1548"/>
      <c r="DE1" s="1548"/>
      <c r="DF1" s="1548"/>
      <c r="DG1" s="1548"/>
      <c r="DH1" s="1548"/>
      <c r="DI1" s="1548"/>
      <c r="DJ1" s="1548"/>
      <c r="DK1" s="1548"/>
      <c r="DL1" s="1548"/>
      <c r="DM1" s="1548"/>
      <c r="DN1" s="1548"/>
      <c r="DO1" s="1548"/>
      <c r="DP1" s="1548"/>
      <c r="DQ1" s="1548"/>
      <c r="DR1" s="1548"/>
      <c r="DS1" s="1548"/>
      <c r="DT1" s="1548"/>
      <c r="DU1" s="1548"/>
      <c r="DV1" s="1548"/>
      <c r="DW1" s="1548"/>
      <c r="DX1" s="1548"/>
      <c r="DY1" s="1548"/>
      <c r="DZ1" s="1548"/>
      <c r="EA1" s="1548"/>
      <c r="EB1" s="1548"/>
      <c r="EC1" s="1548"/>
      <c r="ED1" s="1548"/>
      <c r="EE1" s="1548"/>
      <c r="EF1" s="1548"/>
      <c r="EG1" s="1548"/>
      <c r="EH1" s="1548"/>
      <c r="EI1" s="1548"/>
      <c r="EJ1" s="1548"/>
      <c r="EK1" s="1548"/>
      <c r="EL1" s="1548"/>
      <c r="EM1" s="1548"/>
      <c r="EN1" s="1548"/>
      <c r="EO1" s="1548"/>
      <c r="EP1" s="1548"/>
      <c r="EQ1" s="1548"/>
      <c r="ER1" s="1548"/>
      <c r="ES1" s="1548"/>
      <c r="ET1" s="1548"/>
      <c r="EU1" s="1548"/>
      <c r="EV1" s="1548"/>
      <c r="EW1" s="1548"/>
      <c r="EX1" s="1548"/>
      <c r="EY1" s="1548"/>
      <c r="EZ1" s="1548"/>
      <c r="FA1" s="1548"/>
      <c r="FE1" s="489" t="s">
        <v>336</v>
      </c>
      <c r="FF1" s="312" t="s">
        <v>337</v>
      </c>
      <c r="FG1" s="312" t="s">
        <v>338</v>
      </c>
      <c r="FH1" s="312" t="s">
        <v>788</v>
      </c>
      <c r="FI1" s="180" t="s">
        <v>341</v>
      </c>
      <c r="FJ1" s="180" t="s">
        <v>342</v>
      </c>
      <c r="FK1" s="318" t="s">
        <v>94</v>
      </c>
      <c r="FL1" s="286" t="s">
        <v>487</v>
      </c>
      <c r="FM1" s="286" t="s">
        <v>789</v>
      </c>
      <c r="FN1" s="286" t="s">
        <v>790</v>
      </c>
      <c r="FO1" s="286" t="s">
        <v>620</v>
      </c>
      <c r="FP1" s="286" t="s">
        <v>105</v>
      </c>
      <c r="FQ1" s="286" t="s">
        <v>401</v>
      </c>
      <c r="FR1" s="286" t="s">
        <v>491</v>
      </c>
      <c r="FS1" s="286" t="s">
        <v>490</v>
      </c>
      <c r="FT1" s="286" t="s">
        <v>791</v>
      </c>
      <c r="FU1" s="286" t="s">
        <v>617</v>
      </c>
      <c r="FV1" s="286" t="s">
        <v>110</v>
      </c>
      <c r="FW1" s="286" t="s">
        <v>111</v>
      </c>
      <c r="FX1" s="286" t="s">
        <v>112</v>
      </c>
      <c r="FY1" s="286" t="s">
        <v>113</v>
      </c>
      <c r="FZ1" s="286" t="s">
        <v>114</v>
      </c>
    </row>
    <row s="1548" customFormat="1" customHeight="1" ht="11.25" hidden="1">
      <c r="A2" s="371"/>
      <c r="B2" s="179" t="s">
        <v>16</v>
      </c>
      <c r="G2" s="193"/>
      <c r="H2" s="193"/>
      <c r="I2" s="193"/>
      <c r="J2" s="193"/>
      <c r="K2" s="193"/>
      <c r="L2" s="193"/>
      <c r="M2" s="193"/>
      <c r="N2" s="193"/>
      <c r="O2" s="193"/>
      <c r="P2" s="193"/>
      <c r="Q2" s="193"/>
      <c r="AI2" s="179" cm="1" t="str">
        <f t="array" ref="AI2:AI2">isOrgDeclare</f>
        <v>true</v>
      </c>
      <c r="AL2" s="179" cm="1" t="str">
        <f t="array" ref="AL2:AL2">isOrgDeclare</f>
        <v>true</v>
      </c>
      <c r="AM2" s="179" cm="1" t="str">
        <f t="array" ref="AM2:AM2">isOrgDeclare</f>
        <v>true</v>
      </c>
      <c r="AN2" s="179" cm="1" t="str">
        <f t="array" ref="AN2:AN2">isOrgDeclare</f>
        <v>true</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AND(BC9&lt;=last_year_vis,isOrgDeclare)</f>
        <v>0</v>
      </c>
      <c r="BD2" s="179">
        <f>AND(BD9&lt;=last_year_vis,isOrgDeclare)</f>
        <v>0</v>
      </c>
      <c r="BE2" s="179">
        <f>AND(BE9&lt;=last_year_vis,isOrgDeclare)</f>
        <v>0</v>
      </c>
      <c r="BF2" s="179">
        <f>AND(BF9&lt;=last_year_vis,isOrgDeclare)</f>
        <v>0</v>
      </c>
      <c r="BG2" s="179">
        <f>AND(BG9&lt;=last_year_vis,isOrgDeclare)</f>
        <v>0</v>
      </c>
      <c r="BH2" s="179">
        <f>AND(BH9&lt;=last_year_vis,isOrgDeclare)</f>
        <v>0</v>
      </c>
      <c r="BI2" s="179">
        <f>AND(BI9&lt;=last_year_vis,isOrgDeclare)</f>
        <v>0</v>
      </c>
      <c r="BJ2" s="179">
        <f>AND(BJ9&lt;=last_year_vis,isOrgDeclare)</f>
        <v>0</v>
      </c>
      <c r="BK2" s="179">
        <f>AND(BK9&lt;=last_year_vis,isOrgDeclare)</f>
        <v>0</v>
      </c>
      <c r="BL2" s="179">
        <f>AND(BL9&lt;=last_year_vis,isOrgDeclare)</f>
        <v>0</v>
      </c>
      <c r="BM2" s="179">
        <f>AND(BM9&lt;=last_year_vis,isOrgDeclare)</f>
        <v>0</v>
      </c>
      <c r="BN2" s="179">
        <f>AND(BN9&lt;=last_year_vis,isOrgDeclare)</f>
        <v>0</v>
      </c>
      <c r="BO2" s="179">
        <f>AND(BO9&lt;=last_year_vis,isOrgDeclare)</f>
        <v>0</v>
      </c>
      <c r="BP2" s="179">
        <f>AND(BP9&lt;=last_year_vis,isOrgDeclare)</f>
        <v>0</v>
      </c>
      <c r="BQ2" s="179">
        <f>AND(BQ9&lt;=last_year_vis,isOrgDeclare)</f>
        <v>0</v>
      </c>
      <c r="BR2" s="179">
        <f>AND(BR9&lt;=last_year_vis,isOrgDeclare)</f>
        <v>0</v>
      </c>
      <c r="BS2" s="179">
        <f>AND(BS9&lt;=last_year_vis,isOrgDeclare)</f>
        <v>0</v>
      </c>
      <c r="BT2" s="179">
        <f>AND(BT9&lt;=last_year_vis,isOrgDeclare)</f>
        <v>0</v>
      </c>
      <c r="BU2" s="179">
        <f>AND(BU9&lt;=last_year_vis,isOrgDeclare)</f>
        <v>0</v>
      </c>
      <c r="BV2" s="179">
        <f>AND(BV9&lt;=last_year_vis,isOrgDeclare)</f>
        <v>0</v>
      </c>
      <c r="BW2" s="179">
        <f>AND(BW9&lt;=last_year_vis,isOrgDeclare)</f>
        <v>0</v>
      </c>
      <c r="BX2" s="179">
        <f>AND(BX9&lt;=last_year_vis,isOrgDeclare)</f>
        <v>0</v>
      </c>
      <c r="BY2" s="179">
        <f>AND(BY9&lt;=last_year_vis,isOrgDeclare)</f>
        <v>0</v>
      </c>
      <c r="BZ2" s="179">
        <f>AND(BZ9&lt;=last_year_vis,isOrgDeclare)</f>
        <v>0</v>
      </c>
      <c r="CA2" s="179">
        <f>AND(CA9&lt;=last_year_vis,isOrgDeclare)</f>
        <v>0</v>
      </c>
      <c r="CB2" s="179">
        <f>AND(CB9&lt;=last_year_vis,isOrgDeclare)</f>
        <v>0</v>
      </c>
      <c r="CC2" s="179">
        <f>AND(CC9&lt;=last_year_vis,isOrgDeclare)</f>
        <v>0</v>
      </c>
      <c r="CD2" s="179">
        <f>AND(CD9&lt;=last_year_vis,isOrgDeclare)</f>
        <v>0</v>
      </c>
      <c r="CE2" s="179">
        <f>AND(CE9&lt;=last_year_vis,isOrgDeclare)</f>
        <v>0</v>
      </c>
      <c r="CF2" s="179">
        <f>AND(CF9&lt;=last_year_vis,isOrgDeclare)</f>
        <v>0</v>
      </c>
      <c r="CG2" s="179">
        <f>AND(CG9&lt;=last_year_vis,isOrgDeclare)</f>
        <v>0</v>
      </c>
      <c r="CH2" s="179">
        <f>AND(CH9&lt;=last_year_vis,isOrgDeclare)</f>
        <v>0</v>
      </c>
      <c r="CI2" s="179">
        <f>AND(CI9&lt;=last_year_vis,isOrgDeclare)</f>
        <v>0</v>
      </c>
      <c r="CJ2" s="179">
        <f>AND(CJ9&lt;=last_year_vis,isOrgDeclare)</f>
        <v>0</v>
      </c>
      <c r="CK2" s="179">
        <f>AND(CK9&lt;=last_year_vis,isOrgDeclare)</f>
        <v>0</v>
      </c>
      <c r="CL2" s="179">
        <f>AND(CL9&lt;=last_year_vis,isOrgDeclare)</f>
        <v>0</v>
      </c>
      <c r="CM2" s="179">
        <f>AND(CM9&lt;=last_year_vis,isOrgDeclare)</f>
        <v>0</v>
      </c>
      <c r="CN2" s="179">
        <f>AND(CN9&lt;=last_year_vis,isOrgDeclare)</f>
        <v>0</v>
      </c>
      <c r="CO2" s="179">
        <f>AND(CO9&lt;=last_year_vis,isOrgDeclare)</f>
        <v>0</v>
      </c>
      <c r="CP2" s="179">
        <f>AND(CP9&lt;=last_year_vis,isOrgDeclare)</f>
        <v>0</v>
      </c>
      <c r="CQ2" s="179">
        <f>AND(CQ9&lt;=last_year_vis,isOrgDeclare)</f>
        <v>0</v>
      </c>
      <c r="CR2" s="179">
        <f>AND(CR9&lt;=last_year_vis,isOrgDeclare)</f>
        <v>0</v>
      </c>
      <c r="CS2" s="179">
        <f>AND(CS9&lt;=last_year_vis,isOrgDeclare)</f>
        <v>0</v>
      </c>
      <c r="CT2" s="179">
        <f>CT9&lt;=last_year_vis</f>
        <v>1</v>
      </c>
      <c r="CU2" s="179">
        <f>CU9&lt;=last_year_vis</f>
        <v>1</v>
      </c>
      <c r="CV2" s="179">
        <f>CV9&lt;=last_year_vis</f>
        <v>1</v>
      </c>
      <c r="CW2" s="179">
        <f>CW9&lt;=last_year_vis</f>
        <v>0</v>
      </c>
      <c r="CX2" s="179">
        <f>CX9&lt;=last_year_vis</f>
        <v>0</v>
      </c>
      <c r="CY2" s="179">
        <f>CY9&lt;=last_year_vis</f>
        <v>0</v>
      </c>
      <c r="CZ2" s="179">
        <f>CZ9&lt;=last_year_vis</f>
        <v>0</v>
      </c>
      <c r="DA2" s="179">
        <f>DA9&lt;=last_year_vis</f>
        <v>0</v>
      </c>
      <c r="DB2" s="179">
        <f>DB9&lt;=last_year_vis</f>
        <v>0</v>
      </c>
      <c r="DC2" s="179">
        <f>DC9&lt;=last_year_vis</f>
        <v>0</v>
      </c>
      <c r="DD2" s="179">
        <f>DD9&lt;=last_year_vis</f>
        <v>0</v>
      </c>
      <c r="DE2" s="179">
        <f>DE9&lt;=last_year_vis</f>
        <v>0</v>
      </c>
      <c r="DF2" s="179">
        <f>DF9&lt;=last_year_vis</f>
        <v>0</v>
      </c>
      <c r="DG2" s="179">
        <f>DG9&lt;=last_year_vis</f>
        <v>0</v>
      </c>
      <c r="DH2" s="179">
        <f>DH9&lt;=last_year_vis</f>
        <v>0</v>
      </c>
      <c r="DI2" s="179">
        <f>DI9&lt;=last_year_vis</f>
        <v>0</v>
      </c>
      <c r="DJ2" s="179">
        <f>DJ9&lt;=last_year_vis</f>
        <v>0</v>
      </c>
      <c r="DK2" s="179">
        <f>DK9&lt;=last_year_vis</f>
        <v>0</v>
      </c>
      <c r="DL2" s="179">
        <f>DL9&lt;=last_year_vis</f>
        <v>0</v>
      </c>
      <c r="DM2" s="179">
        <f>DM9&lt;=last_year_vis</f>
        <v>0</v>
      </c>
      <c r="DN2" s="179">
        <f>DN9&lt;=last_year_vis</f>
        <v>0</v>
      </c>
      <c r="DO2" s="179">
        <f>DO9&lt;=last_year_vis</f>
        <v>0</v>
      </c>
      <c r="DP2" s="179">
        <f>DP9&lt;=last_year_vis</f>
        <v>0</v>
      </c>
      <c r="DQ2" s="179">
        <f>DQ9&lt;=last_year_vis</f>
        <v>0</v>
      </c>
      <c r="DR2" s="179">
        <f>DR9&lt;=last_year_vis</f>
        <v>0</v>
      </c>
      <c r="DS2" s="179">
        <f>DS9&lt;=last_year_vis</f>
        <v>0</v>
      </c>
      <c r="DT2" s="179">
        <f>DT9&lt;=last_year_vis</f>
        <v>0</v>
      </c>
      <c r="DU2" s="179">
        <f>DU9&lt;=last_year_vis</f>
        <v>0</v>
      </c>
      <c r="DV2" s="179">
        <f>DV9&lt;=last_year_vis</f>
        <v>0</v>
      </c>
      <c r="DW2" s="179">
        <f>DW9&lt;=last_year_vis</f>
        <v>0</v>
      </c>
      <c r="DX2" s="179">
        <f>DX9&lt;=last_year_vis</f>
        <v>0</v>
      </c>
      <c r="DY2" s="179">
        <f>DY9&lt;=last_year_vis</f>
        <v>0</v>
      </c>
      <c r="DZ2" s="179">
        <f>DZ9&lt;=last_year_vis</f>
        <v>0</v>
      </c>
      <c r="EA2" s="179">
        <f>EA9&lt;=last_year_vis</f>
        <v>0</v>
      </c>
      <c r="EB2" s="179">
        <f>EB9&lt;=last_year_vis</f>
        <v>0</v>
      </c>
      <c r="EC2" s="179">
        <f>EC9&lt;=last_year_vis</f>
        <v>0</v>
      </c>
      <c r="ED2" s="179">
        <f>ED9&lt;=last_year_vis</f>
        <v>0</v>
      </c>
      <c r="EE2" s="179">
        <f>EE9&lt;=last_year_vis</f>
        <v>0</v>
      </c>
      <c r="EF2" s="179">
        <f>EF9&lt;=last_year_vis</f>
        <v>0</v>
      </c>
      <c r="EG2" s="179">
        <f>EG9&lt;=last_year_vis</f>
        <v>0</v>
      </c>
      <c r="EH2" s="179">
        <f>EH9&lt;=last_year_vis</f>
        <v>0</v>
      </c>
      <c r="EI2" s="179">
        <f>EI9&lt;=last_year_vis</f>
        <v>0</v>
      </c>
      <c r="EJ2" s="179">
        <f>EJ9&lt;=last_year_vis</f>
        <v>0</v>
      </c>
      <c r="EK2" s="179">
        <f>EK9&lt;=last_year_vis</f>
        <v>0</v>
      </c>
      <c r="EL2" s="179">
        <f>EL9&lt;=last_year_vis</f>
        <v>0</v>
      </c>
      <c r="EM2" s="179">
        <f>EM9&lt;=last_year_vis</f>
        <v>0</v>
      </c>
      <c r="EN2" s="179">
        <f>EN9&lt;=last_year_vis</f>
        <v>0</v>
      </c>
      <c r="EO2" s="179">
        <f>EO9&lt;=last_year_vis</f>
        <v>0</v>
      </c>
      <c r="EP2" s="179">
        <f>EP9&lt;=last_year_vis</f>
        <v>0</v>
      </c>
      <c r="EQ2" s="179">
        <f>EQ9&lt;=last_year_vis</f>
        <v>0</v>
      </c>
      <c r="ER2" s="179">
        <f>ER9&lt;=last_year_vis</f>
        <v>0</v>
      </c>
      <c r="ES2" s="179">
        <f>ES9&lt;=last_year_vis</f>
        <v>0</v>
      </c>
      <c r="ET2" s="179">
        <f>ET9&lt;=last_year_vis</f>
        <v>0</v>
      </c>
      <c r="EU2" s="179">
        <f>EU9&lt;=last_year_vis</f>
        <v>0</v>
      </c>
      <c r="EV2" s="179">
        <f>EV9&lt;=last_year_vis</f>
        <v>0</v>
      </c>
      <c r="EW2" s="179">
        <f>EW9&lt;=last_year_vis</f>
        <v>0</v>
      </c>
      <c r="EX2" s="179">
        <f>EX9&lt;=last_year_vis</f>
        <v>0</v>
      </c>
      <c r="EY2" s="179">
        <f>EY9&lt;=last_year_vis</f>
        <v>0</v>
      </c>
      <c r="EZ2" s="179">
        <f>EZ9&lt;=last_year_vis</f>
        <v>0</v>
      </c>
      <c r="FA2" s="179">
        <f>FA9&lt;=last_year_vis</f>
        <v>0</v>
      </c>
      <c r="FE2" s="489"/>
      <c r="FF2" s="312"/>
      <c r="FG2" s="312"/>
      <c r="FH2" s="312"/>
      <c r="FI2" s="180"/>
      <c r="FJ2" s="180"/>
    </row>
    <row s="1548" customFormat="1" customHeight="1" ht="11.25" hidden="1">
      <c r="A3" s="371"/>
      <c r="G3" s="193"/>
      <c r="H3" s="193"/>
      <c r="I3" s="193"/>
      <c r="J3" s="193"/>
      <c r="K3" s="193"/>
      <c r="L3" s="193"/>
      <c r="M3" s="193"/>
      <c r="N3" s="193"/>
      <c r="O3" s="193"/>
      <c r="P3" s="193"/>
      <c r="Q3" s="193"/>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W3" s="1548"/>
      <c r="BX3" s="1548"/>
      <c r="BY3" s="1548"/>
      <c r="BZ3" s="1548"/>
      <c r="CA3" s="1548"/>
      <c r="CB3" s="1548"/>
      <c r="CC3" s="1548"/>
      <c r="CD3" s="1548"/>
      <c r="CE3" s="1548"/>
      <c r="CF3" s="1548"/>
      <c r="CG3" s="1548"/>
      <c r="CH3" s="1548"/>
      <c r="CI3" s="1548"/>
      <c r="CJ3" s="1548"/>
      <c r="CK3" s="1548"/>
      <c r="CL3" s="1548"/>
      <c r="CM3" s="1548"/>
      <c r="CN3" s="1548"/>
      <c r="CO3" s="1548"/>
      <c r="CP3" s="1548"/>
      <c r="CQ3" s="1548"/>
      <c r="CR3" s="1548"/>
      <c r="CS3" s="1548"/>
      <c r="CT3" s="1548"/>
      <c r="CU3" s="1548"/>
      <c r="CV3" s="1548"/>
      <c r="CW3" s="1548"/>
      <c r="CX3" s="1548"/>
      <c r="CY3" s="1548"/>
      <c r="CZ3" s="1548"/>
      <c r="DA3" s="1548"/>
      <c r="DB3" s="1548"/>
      <c r="DC3" s="1548"/>
      <c r="DD3" s="1548"/>
      <c r="DE3" s="1548"/>
      <c r="DF3" s="1548"/>
      <c r="DG3" s="1548"/>
      <c r="DH3" s="1548"/>
      <c r="DI3" s="1548"/>
      <c r="DJ3" s="1548"/>
      <c r="DK3" s="1548"/>
      <c r="DL3" s="1548"/>
      <c r="DM3" s="1548"/>
      <c r="DN3" s="1548"/>
      <c r="DO3" s="1548"/>
      <c r="DP3" s="1548"/>
      <c r="DQ3" s="1548"/>
      <c r="DR3" s="1548"/>
      <c r="DS3" s="1548"/>
      <c r="DT3" s="1548"/>
      <c r="DU3" s="1548"/>
      <c r="DV3" s="1548"/>
      <c r="DW3" s="1548"/>
      <c r="DX3" s="1548"/>
      <c r="DY3" s="1548"/>
      <c r="DZ3" s="1548"/>
      <c r="EA3" s="1548"/>
      <c r="EB3" s="1548"/>
      <c r="EC3" s="1548"/>
      <c r="ED3" s="1548"/>
      <c r="EE3" s="1548"/>
      <c r="EF3" s="1548"/>
      <c r="EG3" s="1548"/>
      <c r="EH3" s="1548"/>
      <c r="EI3" s="1548"/>
      <c r="EJ3" s="1548"/>
      <c r="EK3" s="1548"/>
      <c r="EL3" s="1548"/>
      <c r="EM3" s="1548"/>
      <c r="EN3" s="1548"/>
      <c r="EO3" s="1548"/>
      <c r="EP3" s="1548"/>
      <c r="EQ3" s="1548"/>
      <c r="ER3" s="1548"/>
      <c r="ES3" s="1548"/>
      <c r="ET3" s="1548"/>
      <c r="EU3" s="1548"/>
      <c r="EV3" s="1548"/>
      <c r="EW3" s="1548"/>
      <c r="EX3" s="1548"/>
      <c r="EY3" s="1548"/>
      <c r="EZ3" s="1548"/>
      <c r="FA3" s="1548"/>
      <c r="FE3" s="489"/>
      <c r="FF3" s="312"/>
      <c r="FG3" s="312"/>
      <c r="FH3" s="312"/>
      <c r="FI3" s="180"/>
      <c r="FJ3" s="180"/>
      <c r="FK3" s="178"/>
      <c r="FL3" s="178"/>
      <c r="FM3" s="178"/>
      <c r="FN3" s="178"/>
      <c r="FO3" s="178"/>
      <c r="FP3" s="178"/>
      <c r="FQ3" s="178"/>
      <c r="FR3" s="178"/>
      <c r="FS3" s="178"/>
      <c r="FT3" s="178"/>
      <c r="FU3" s="178"/>
      <c r="FV3" s="178"/>
      <c r="FW3" s="178"/>
      <c r="FX3" s="178"/>
      <c r="FY3" s="178"/>
      <c r="FZ3" s="178"/>
    </row>
    <row s="1548" customFormat="1" customHeight="1" ht="11.25" hidden="1">
      <c r="A4" s="371"/>
      <c r="G4" s="193"/>
      <c r="H4" s="193"/>
      <c r="I4" s="193"/>
      <c r="J4" s="193"/>
      <c r="K4" s="193"/>
      <c r="L4" s="193"/>
      <c r="M4" s="193"/>
      <c r="N4" s="193"/>
      <c r="O4" s="193"/>
      <c r="P4" s="193"/>
      <c r="Q4" s="193"/>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W4" s="1548"/>
      <c r="BX4" s="1548"/>
      <c r="BY4" s="1548"/>
      <c r="BZ4" s="1548"/>
      <c r="CA4" s="1548"/>
      <c r="CB4" s="1548"/>
      <c r="CC4" s="1548"/>
      <c r="CD4" s="1548"/>
      <c r="CE4" s="1548"/>
      <c r="CF4" s="1548"/>
      <c r="CG4" s="1548"/>
      <c r="CH4" s="1548"/>
      <c r="CI4" s="1548"/>
      <c r="CJ4" s="1548"/>
      <c r="CK4" s="1548"/>
      <c r="CL4" s="1548"/>
      <c r="CM4" s="1548"/>
      <c r="CN4" s="1548"/>
      <c r="CO4" s="1548"/>
      <c r="CP4" s="1548"/>
      <c r="CQ4" s="1548"/>
      <c r="CR4" s="1548"/>
      <c r="CS4" s="1548"/>
      <c r="CT4" s="1548"/>
      <c r="CU4" s="1548"/>
      <c r="CV4" s="1548"/>
      <c r="CW4" s="1548"/>
      <c r="CX4" s="1548"/>
      <c r="CY4" s="1548"/>
      <c r="CZ4" s="1548"/>
      <c r="DA4" s="1548"/>
      <c r="DB4" s="1548"/>
      <c r="DC4" s="1548"/>
      <c r="DD4" s="1548"/>
      <c r="DE4" s="1548"/>
      <c r="DF4" s="1548"/>
      <c r="DG4" s="1548"/>
      <c r="DH4" s="1548"/>
      <c r="DI4" s="1548"/>
      <c r="DJ4" s="1548"/>
      <c r="DK4" s="1548"/>
      <c r="DL4" s="1548"/>
      <c r="DM4" s="1548"/>
      <c r="DN4" s="1548"/>
      <c r="DO4" s="1548"/>
      <c r="DP4" s="1548"/>
      <c r="DQ4" s="1548"/>
      <c r="DR4" s="1548"/>
      <c r="DS4" s="1548"/>
      <c r="DT4" s="1548"/>
      <c r="DU4" s="1548"/>
      <c r="DV4" s="1548"/>
      <c r="DW4" s="1548"/>
      <c r="DX4" s="1548"/>
      <c r="DY4" s="1548"/>
      <c r="DZ4" s="1548"/>
      <c r="EA4" s="1548"/>
      <c r="EB4" s="1548"/>
      <c r="EC4" s="1548"/>
      <c r="ED4" s="1548"/>
      <c r="EE4" s="1548"/>
      <c r="EF4" s="1548"/>
      <c r="EG4" s="1548"/>
      <c r="EH4" s="1548"/>
      <c r="EI4" s="1548"/>
      <c r="EJ4" s="1548"/>
      <c r="EK4" s="1548"/>
      <c r="EL4" s="1548"/>
      <c r="EM4" s="1548"/>
      <c r="EN4" s="1548"/>
      <c r="EO4" s="1548"/>
      <c r="EP4" s="1548"/>
      <c r="EQ4" s="1548"/>
      <c r="ER4" s="1548"/>
      <c r="ES4" s="1548"/>
      <c r="ET4" s="1548"/>
      <c r="EU4" s="1548"/>
      <c r="EV4" s="1548"/>
      <c r="EW4" s="1548"/>
      <c r="EX4" s="1548"/>
      <c r="EY4" s="1548"/>
      <c r="EZ4" s="1548"/>
      <c r="FA4" s="1548"/>
      <c r="FE4" s="489"/>
      <c r="FF4" s="312"/>
      <c r="FG4" s="312"/>
      <c r="FH4" s="312"/>
      <c r="FI4" s="180"/>
      <c r="FJ4" s="180"/>
      <c r="FK4" s="178"/>
      <c r="FL4" s="178"/>
      <c r="FM4" s="178"/>
      <c r="FN4" s="178"/>
      <c r="FO4" s="178"/>
      <c r="FP4" s="178"/>
      <c r="FQ4" s="178"/>
      <c r="FR4" s="178"/>
      <c r="FS4" s="178"/>
      <c r="FT4" s="178"/>
      <c r="FU4" s="178"/>
      <c r="FV4" s="178"/>
      <c r="FW4" s="178"/>
      <c r="FX4" s="178"/>
      <c r="FY4" s="178"/>
      <c r="FZ4" s="178"/>
    </row>
    <row s="1718" customFormat="1" customHeight="1" ht="11.25" hidden="1">
      <c r="A5" s="371"/>
      <c r="B5" s="175"/>
      <c r="C5" s="175"/>
      <c r="D5" s="175"/>
      <c r="E5" s="180" t="s">
        <v>17</v>
      </c>
      <c r="G5" s="194"/>
      <c r="H5" s="194"/>
      <c r="I5" s="194"/>
      <c r="J5" s="194"/>
      <c r="K5" s="194"/>
      <c r="L5" s="194"/>
      <c r="M5" s="194"/>
      <c r="N5" s="194"/>
      <c r="O5" s="194"/>
      <c r="P5" s="194"/>
      <c r="Q5" s="194"/>
      <c r="AA5" s="180">
        <v>3</v>
      </c>
      <c r="AB5" s="180">
        <v>3</v>
      </c>
      <c r="AD5" s="180">
        <v>10</v>
      </c>
      <c r="AE5" s="180">
        <v>45</v>
      </c>
      <c r="AF5" s="180">
        <v>30</v>
      </c>
      <c r="AG5" s="180">
        <v>20</v>
      </c>
      <c r="AH5" s="180">
        <v>16</v>
      </c>
      <c r="AI5" s="180">
        <v>16</v>
      </c>
      <c r="AJ5" s="180">
        <v>16</v>
      </c>
      <c r="AK5" s="180">
        <v>16</v>
      </c>
      <c r="AL5" s="180">
        <v>16</v>
      </c>
      <c r="AM5" s="180">
        <v>16</v>
      </c>
      <c r="AN5" s="180">
        <v>16</v>
      </c>
      <c r="AO5" s="180">
        <v>16</v>
      </c>
      <c r="AP5" s="180">
        <v>16</v>
      </c>
      <c r="AQ5" s="180">
        <v>16</v>
      </c>
      <c r="AR5" s="180">
        <v>16</v>
      </c>
      <c r="AS5" s="180">
        <v>16</v>
      </c>
      <c r="AT5" s="180">
        <v>16</v>
      </c>
      <c r="AU5" s="180">
        <v>16</v>
      </c>
      <c r="AV5" s="180">
        <v>16</v>
      </c>
      <c r="AW5" s="180">
        <v>16</v>
      </c>
      <c r="AX5" s="180">
        <v>16</v>
      </c>
      <c r="AY5" s="180">
        <v>16</v>
      </c>
      <c r="AZ5" s="180">
        <v>16</v>
      </c>
      <c r="BA5" s="180">
        <v>16</v>
      </c>
      <c r="BB5" s="180">
        <v>16</v>
      </c>
      <c r="BC5" s="180">
        <v>16</v>
      </c>
      <c r="BD5" s="180">
        <v>16</v>
      </c>
      <c r="BE5" s="180">
        <v>16</v>
      </c>
      <c r="BF5" s="180">
        <v>16</v>
      </c>
      <c r="BG5" s="180">
        <v>16</v>
      </c>
      <c r="BH5" s="180">
        <v>16</v>
      </c>
      <c r="BI5" s="180">
        <v>16</v>
      </c>
      <c r="BJ5" s="180">
        <v>16</v>
      </c>
      <c r="BK5" s="180">
        <v>16</v>
      </c>
      <c r="BL5" s="180">
        <v>16</v>
      </c>
      <c r="BM5" s="180">
        <v>16</v>
      </c>
      <c r="BN5" s="180">
        <v>16</v>
      </c>
      <c r="BO5" s="180">
        <v>16</v>
      </c>
      <c r="BP5" s="180">
        <v>16</v>
      </c>
      <c r="BQ5" s="180">
        <v>16</v>
      </c>
      <c r="BR5" s="180">
        <v>16</v>
      </c>
      <c r="BS5" s="180">
        <v>16</v>
      </c>
      <c r="BT5" s="180">
        <v>16</v>
      </c>
      <c r="BU5" s="180">
        <v>16</v>
      </c>
      <c r="BV5" s="180">
        <v>16</v>
      </c>
      <c r="BW5" s="180">
        <v>16</v>
      </c>
      <c r="BX5" s="180">
        <v>16</v>
      </c>
      <c r="BY5" s="180">
        <v>16</v>
      </c>
      <c r="BZ5" s="180">
        <v>16</v>
      </c>
      <c r="CA5" s="180">
        <v>16</v>
      </c>
      <c r="CB5" s="180">
        <v>16</v>
      </c>
      <c r="CC5" s="180">
        <v>16</v>
      </c>
      <c r="CD5" s="180">
        <v>16</v>
      </c>
      <c r="CE5" s="180">
        <v>16</v>
      </c>
      <c r="CF5" s="180">
        <v>16</v>
      </c>
      <c r="CG5" s="180">
        <v>16</v>
      </c>
      <c r="CH5" s="180">
        <v>16</v>
      </c>
      <c r="CI5" s="180">
        <v>16</v>
      </c>
      <c r="CJ5" s="180">
        <v>16</v>
      </c>
      <c r="CK5" s="180">
        <v>16</v>
      </c>
      <c r="CL5" s="180">
        <v>16</v>
      </c>
      <c r="CM5" s="180">
        <v>16</v>
      </c>
      <c r="CN5" s="180">
        <v>16</v>
      </c>
      <c r="CO5" s="180">
        <v>16</v>
      </c>
      <c r="CP5" s="180">
        <v>16</v>
      </c>
      <c r="CQ5" s="180">
        <v>16</v>
      </c>
      <c r="CR5" s="180">
        <v>16</v>
      </c>
      <c r="CS5" s="180">
        <v>16</v>
      </c>
      <c r="CT5" s="180">
        <v>16</v>
      </c>
      <c r="CU5" s="180">
        <v>16</v>
      </c>
      <c r="CV5" s="180">
        <v>16</v>
      </c>
      <c r="CW5" s="180">
        <v>16</v>
      </c>
      <c r="CX5" s="180">
        <v>16</v>
      </c>
      <c r="CY5" s="180">
        <v>16</v>
      </c>
      <c r="CZ5" s="180">
        <v>16</v>
      </c>
      <c r="DA5" s="180">
        <v>16</v>
      </c>
      <c r="DB5" s="180">
        <v>16</v>
      </c>
      <c r="DC5" s="180">
        <v>16</v>
      </c>
      <c r="DD5" s="180">
        <v>16</v>
      </c>
      <c r="DE5" s="180">
        <v>16</v>
      </c>
      <c r="DF5" s="180">
        <v>16</v>
      </c>
      <c r="DG5" s="180">
        <v>16</v>
      </c>
      <c r="DH5" s="180">
        <v>16</v>
      </c>
      <c r="DI5" s="180">
        <v>16</v>
      </c>
      <c r="DJ5" s="180">
        <v>16</v>
      </c>
      <c r="DK5" s="180">
        <v>16</v>
      </c>
      <c r="DL5" s="180">
        <v>16</v>
      </c>
      <c r="DM5" s="180">
        <v>16</v>
      </c>
      <c r="DN5" s="180">
        <v>16</v>
      </c>
      <c r="DO5" s="180">
        <v>16</v>
      </c>
      <c r="DP5" s="180">
        <v>16</v>
      </c>
      <c r="DQ5" s="180">
        <v>16</v>
      </c>
      <c r="DR5" s="180">
        <v>16</v>
      </c>
      <c r="DS5" s="180">
        <v>16</v>
      </c>
      <c r="DT5" s="180">
        <v>16</v>
      </c>
      <c r="DU5" s="180">
        <v>16</v>
      </c>
      <c r="DV5" s="180">
        <v>16</v>
      </c>
      <c r="DW5" s="180">
        <v>16</v>
      </c>
      <c r="DX5" s="180">
        <v>16</v>
      </c>
      <c r="DY5" s="180">
        <v>16</v>
      </c>
      <c r="DZ5" s="180">
        <v>16</v>
      </c>
      <c r="EA5" s="180">
        <v>16</v>
      </c>
      <c r="EB5" s="180">
        <v>16</v>
      </c>
      <c r="EC5" s="180">
        <v>16</v>
      </c>
      <c r="ED5" s="180">
        <v>16</v>
      </c>
      <c r="EE5" s="180">
        <v>16</v>
      </c>
      <c r="EF5" s="180">
        <v>16</v>
      </c>
      <c r="EG5" s="180">
        <v>16</v>
      </c>
      <c r="EH5" s="180">
        <v>16</v>
      </c>
      <c r="EI5" s="180">
        <v>16</v>
      </c>
      <c r="EJ5" s="180">
        <v>16</v>
      </c>
      <c r="EK5" s="180">
        <v>16</v>
      </c>
      <c r="EL5" s="180">
        <v>16</v>
      </c>
      <c r="EM5" s="180">
        <v>16</v>
      </c>
      <c r="EN5" s="180">
        <v>16</v>
      </c>
      <c r="EO5" s="180">
        <v>16</v>
      </c>
      <c r="EP5" s="180">
        <v>16</v>
      </c>
      <c r="EQ5" s="180">
        <v>16</v>
      </c>
      <c r="ER5" s="180">
        <v>16</v>
      </c>
      <c r="ES5" s="180">
        <v>16</v>
      </c>
      <c r="ET5" s="180">
        <v>16</v>
      </c>
      <c r="EU5" s="180">
        <v>16</v>
      </c>
      <c r="EV5" s="180">
        <v>16</v>
      </c>
      <c r="EW5" s="180">
        <v>16</v>
      </c>
      <c r="EX5" s="180">
        <v>16</v>
      </c>
      <c r="EY5" s="180">
        <v>16</v>
      </c>
      <c r="EZ5" s="180">
        <v>16</v>
      </c>
      <c r="FA5" s="180">
        <v>16</v>
      </c>
      <c r="FB5" s="180">
        <v>26</v>
      </c>
      <c r="FC5" s="180">
        <v>3</v>
      </c>
      <c r="FE5" s="489"/>
      <c r="FF5" s="312"/>
      <c r="FG5" s="312"/>
      <c r="FH5" s="312"/>
    </row>
    <row s="1548" customFormat="1" customHeight="1" ht="11.25" hidden="1">
      <c r="A6" s="371"/>
      <c r="E6" s="180"/>
      <c r="G6" s="193"/>
      <c r="H6" s="193"/>
      <c r="I6" s="193"/>
      <c r="J6" s="193"/>
      <c r="K6" s="193"/>
      <c r="L6" s="193"/>
      <c r="M6" s="193"/>
      <c r="N6" s="193"/>
      <c r="O6" s="193"/>
      <c r="P6" s="193"/>
      <c r="Q6" s="193"/>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W6" s="1548"/>
      <c r="BX6" s="1548"/>
      <c r="BY6" s="1548"/>
      <c r="BZ6" s="1548"/>
      <c r="CA6" s="1548"/>
      <c r="CB6" s="1548"/>
      <c r="CC6" s="1548"/>
      <c r="CD6" s="1548"/>
      <c r="CE6" s="1548"/>
      <c r="CF6" s="1548"/>
      <c r="CG6" s="1548"/>
      <c r="CH6" s="1548"/>
      <c r="CI6" s="1548"/>
      <c r="CJ6" s="1548"/>
      <c r="CK6" s="1548"/>
      <c r="CL6" s="1548"/>
      <c r="CM6" s="1548"/>
      <c r="CN6" s="1548"/>
      <c r="CO6" s="1548"/>
      <c r="CP6" s="1548"/>
      <c r="CQ6" s="1548"/>
      <c r="CR6" s="1548"/>
      <c r="CS6" s="1548"/>
      <c r="CT6" s="1548"/>
      <c r="CU6" s="1548"/>
      <c r="CV6" s="1548"/>
      <c r="CW6" s="1548"/>
      <c r="CX6" s="1548"/>
      <c r="CY6" s="1548"/>
      <c r="CZ6" s="1548"/>
      <c r="DA6" s="1548"/>
      <c r="DB6" s="1548"/>
      <c r="DC6" s="1548"/>
      <c r="DD6" s="1548"/>
      <c r="DE6" s="1548"/>
      <c r="DF6" s="1548"/>
      <c r="DG6" s="1548"/>
      <c r="DH6" s="1548"/>
      <c r="DI6" s="1548"/>
      <c r="DJ6" s="1548"/>
      <c r="DK6" s="1548"/>
      <c r="DL6" s="1548"/>
      <c r="DM6" s="1548"/>
      <c r="DN6" s="1548"/>
      <c r="DO6" s="1548"/>
      <c r="DP6" s="1548"/>
      <c r="DQ6" s="1548"/>
      <c r="DR6" s="1548"/>
      <c r="DS6" s="1548"/>
      <c r="DT6" s="1548"/>
      <c r="DU6" s="1548"/>
      <c r="DV6" s="1548"/>
      <c r="DW6" s="1548"/>
      <c r="DX6" s="1548"/>
      <c r="DY6" s="1548"/>
      <c r="DZ6" s="1548"/>
      <c r="EA6" s="1548"/>
      <c r="EB6" s="1548"/>
      <c r="EC6" s="1548"/>
      <c r="ED6" s="1548"/>
      <c r="EE6" s="1548"/>
      <c r="EF6" s="1548"/>
      <c r="EG6" s="1548"/>
      <c r="EH6" s="1548"/>
      <c r="EI6" s="1548"/>
      <c r="EJ6" s="1548"/>
      <c r="EK6" s="1548"/>
      <c r="EL6" s="1548"/>
      <c r="EM6" s="1548"/>
      <c r="EN6" s="1548"/>
      <c r="EO6" s="1548"/>
      <c r="EP6" s="1548"/>
      <c r="EQ6" s="1548"/>
      <c r="ER6" s="1548"/>
      <c r="ES6" s="1548"/>
      <c r="ET6" s="1548"/>
      <c r="EU6" s="1548"/>
      <c r="EV6" s="1548"/>
      <c r="EW6" s="1548"/>
      <c r="EX6" s="1548"/>
      <c r="EY6" s="1548"/>
      <c r="EZ6" s="1548"/>
      <c r="FA6" s="1548"/>
      <c r="FE6" s="489"/>
      <c r="FF6" s="312"/>
      <c r="FG6" s="312"/>
      <c r="FH6" s="312"/>
      <c r="FI6" s="180"/>
      <c r="FJ6" s="180"/>
      <c r="FK6" s="178"/>
      <c r="FL6" s="178"/>
      <c r="FM6" s="178"/>
      <c r="FN6" s="178"/>
      <c r="FO6" s="178"/>
      <c r="FP6" s="178"/>
      <c r="FQ6" s="178"/>
      <c r="FR6" s="178"/>
      <c r="FS6" s="178"/>
      <c r="FT6" s="178"/>
      <c r="FU6" s="178"/>
      <c r="FV6" s="178"/>
      <c r="FW6" s="178"/>
      <c r="FX6" s="178"/>
      <c r="FY6" s="178"/>
      <c r="FZ6" s="178"/>
    </row>
    <row s="1659" customFormat="1" customHeight="1" ht="11.25" hidden="1">
      <c r="A7" s="371"/>
      <c r="B7" s="175"/>
      <c r="C7" s="175"/>
      <c r="D7" s="175"/>
      <c r="E7" s="180"/>
      <c r="AO7" s="1659"/>
      <c r="AP7" s="1659"/>
      <c r="AQ7" s="1659"/>
      <c r="AR7" s="1659"/>
      <c r="AS7" s="1659"/>
      <c r="AT7" s="1659"/>
      <c r="AU7" s="1659"/>
      <c r="AV7" s="1659"/>
      <c r="AW7" s="1659"/>
      <c r="AX7" s="1659"/>
      <c r="AY7" s="1659"/>
      <c r="AZ7" s="1659"/>
      <c r="BA7" s="1659"/>
      <c r="BB7" s="1659"/>
      <c r="BC7" s="1659"/>
      <c r="BD7" s="1659"/>
      <c r="BE7" s="1659"/>
      <c r="BF7" s="1659"/>
      <c r="BG7" s="1659"/>
      <c r="BH7" s="1659"/>
      <c r="BI7" s="1659"/>
      <c r="BJ7" s="1659"/>
      <c r="BK7" s="1659"/>
      <c r="BL7" s="1659"/>
      <c r="BM7" s="1659"/>
      <c r="BN7" s="1659"/>
      <c r="BO7" s="1659"/>
      <c r="BP7" s="1659"/>
      <c r="BQ7" s="1659"/>
      <c r="BR7" s="1659"/>
      <c r="BS7" s="1659"/>
      <c r="BT7" s="1659"/>
      <c r="BU7" s="1659"/>
      <c r="BV7" s="1659"/>
      <c r="BW7" s="1659"/>
      <c r="BX7" s="1659"/>
      <c r="BY7" s="1659"/>
      <c r="BZ7" s="1659"/>
      <c r="CA7" s="1659"/>
      <c r="CB7" s="1659"/>
      <c r="CC7" s="1659"/>
      <c r="CD7" s="1659"/>
      <c r="CE7" s="1659"/>
      <c r="CF7" s="1659"/>
      <c r="CG7" s="1659"/>
      <c r="CH7" s="1659"/>
      <c r="CI7" s="1659"/>
      <c r="CJ7" s="1659"/>
      <c r="CK7" s="1659"/>
      <c r="CL7" s="1659"/>
      <c r="CM7" s="1659"/>
      <c r="CN7" s="1659"/>
      <c r="CO7" s="1659"/>
      <c r="CP7" s="1659"/>
      <c r="CQ7" s="1659"/>
      <c r="CR7" s="1659"/>
      <c r="CS7" s="1659"/>
      <c r="CT7" s="1659"/>
      <c r="CU7" s="1659"/>
      <c r="CV7" s="1659"/>
      <c r="CW7" s="1659"/>
      <c r="CX7" s="1659"/>
      <c r="CY7" s="1659"/>
      <c r="CZ7" s="1659"/>
      <c r="DA7" s="1659"/>
      <c r="DB7" s="1659"/>
      <c r="DC7" s="1659"/>
      <c r="DD7" s="1659"/>
      <c r="DE7" s="1659"/>
      <c r="DF7" s="1659"/>
      <c r="DG7" s="1659"/>
      <c r="DH7" s="1659"/>
      <c r="DI7" s="1659"/>
      <c r="DJ7" s="1659"/>
      <c r="DK7" s="1659"/>
      <c r="DL7" s="1659"/>
      <c r="DM7" s="1659"/>
      <c r="DN7" s="1659"/>
      <c r="DO7" s="1659"/>
      <c r="DP7" s="1659"/>
      <c r="DQ7" s="1659"/>
      <c r="DR7" s="1659"/>
      <c r="DS7" s="1659"/>
      <c r="DT7" s="1659"/>
      <c r="DU7" s="1659"/>
      <c r="DV7" s="1659"/>
      <c r="DW7" s="1659"/>
      <c r="DX7" s="1659"/>
      <c r="DY7" s="1659"/>
      <c r="DZ7" s="1659"/>
      <c r="EA7" s="1659"/>
      <c r="EB7" s="1659"/>
      <c r="EC7" s="1659"/>
      <c r="ED7" s="1659"/>
      <c r="EE7" s="1659"/>
      <c r="EF7" s="1659"/>
      <c r="EG7" s="1659"/>
      <c r="EH7" s="1659"/>
      <c r="EI7" s="1659"/>
      <c r="EJ7" s="1659"/>
      <c r="EK7" s="1659"/>
      <c r="EL7" s="1659"/>
      <c r="EM7" s="1659"/>
      <c r="EN7" s="1659"/>
      <c r="EO7" s="1659"/>
      <c r="EP7" s="1659"/>
      <c r="EQ7" s="1659"/>
      <c r="ER7" s="1659"/>
      <c r="ES7" s="1659"/>
      <c r="ET7" s="1659"/>
      <c r="EU7" s="1659"/>
      <c r="EV7" s="1659"/>
      <c r="EW7" s="1659"/>
      <c r="EX7" s="1659"/>
      <c r="EY7" s="1659"/>
      <c r="EZ7" s="1659"/>
      <c r="FA7" s="1659"/>
      <c r="FE7" s="489"/>
      <c r="FF7" s="483"/>
      <c r="FG7" s="483"/>
      <c r="FH7" s="483"/>
      <c r="FI7" s="194"/>
      <c r="FJ7" s="194"/>
      <c r="FK7" s="181"/>
      <c r="FL7" s="181"/>
      <c r="FM7" s="181"/>
      <c r="FN7" s="181"/>
      <c r="FO7" s="181"/>
      <c r="FP7" s="181"/>
      <c r="FQ7" s="181"/>
      <c r="FR7" s="181"/>
      <c r="FS7" s="181"/>
      <c r="FT7" s="181"/>
      <c r="FU7" s="181"/>
      <c r="FV7" s="181"/>
      <c r="FW7" s="181"/>
      <c r="FX7" s="181"/>
      <c r="FY7" s="181"/>
      <c r="FZ7" s="181"/>
    </row>
    <row s="1548" customFormat="1" customHeight="1" ht="11.25" hidden="1">
      <c r="A8" s="978" t="s">
        <v>492</v>
      </c>
      <c r="E8" s="180"/>
      <c r="G8" s="193"/>
      <c r="H8" s="193"/>
      <c r="I8" s="193"/>
      <c r="J8" s="193"/>
      <c r="K8" s="193"/>
      <c r="L8" s="193"/>
      <c r="M8" s="193"/>
      <c r="N8" s="193"/>
      <c r="O8" s="193"/>
      <c r="P8" s="193"/>
      <c r="Q8" s="193"/>
      <c r="AE8" s="1072" t="s">
        <v>792</v>
      </c>
      <c r="AF8" s="1072" t="s">
        <v>793</v>
      </c>
      <c r="AO8" s="1548"/>
      <c r="AP8" s="1548"/>
      <c r="AQ8" s="1548"/>
      <c r="AR8" s="1548"/>
      <c r="AS8" s="1548"/>
      <c r="AT8" s="1548"/>
      <c r="AU8" s="1548"/>
      <c r="AV8" s="1548"/>
      <c r="AW8" s="1548"/>
      <c r="AX8" s="1548"/>
      <c r="AY8" s="1548"/>
      <c r="AZ8" s="1548"/>
      <c r="BA8" s="1548"/>
      <c r="BB8" s="1548"/>
      <c r="BC8" s="1548"/>
      <c r="BD8" s="1548"/>
      <c r="BE8" s="1548"/>
      <c r="BF8" s="1548"/>
      <c r="BG8" s="1548"/>
      <c r="BH8" s="1548"/>
      <c r="BI8" s="1548"/>
      <c r="BJ8" s="1548"/>
      <c r="BK8" s="1548"/>
      <c r="BL8" s="1548"/>
      <c r="BM8" s="1548"/>
      <c r="BN8" s="1548"/>
      <c r="BO8" s="1548"/>
      <c r="BP8" s="1548"/>
      <c r="BQ8" s="1548"/>
      <c r="BR8" s="1548"/>
      <c r="BS8" s="1548"/>
      <c r="BT8" s="1548"/>
      <c r="BU8" s="1548"/>
      <c r="BV8" s="1548"/>
      <c r="BW8" s="1548"/>
      <c r="BX8" s="1548"/>
      <c r="BY8" s="1548"/>
      <c r="BZ8" s="1548"/>
      <c r="CA8" s="1548"/>
      <c r="CB8" s="1548"/>
      <c r="CC8" s="1548"/>
      <c r="CD8" s="1548"/>
      <c r="CE8" s="1548"/>
      <c r="CF8" s="1548"/>
      <c r="CG8" s="1548"/>
      <c r="CH8" s="1548"/>
      <c r="CI8" s="1548"/>
      <c r="CJ8" s="1548"/>
      <c r="CK8" s="1548"/>
      <c r="CL8" s="1548"/>
      <c r="CM8" s="1548"/>
      <c r="CN8" s="1548"/>
      <c r="CO8" s="1548"/>
      <c r="CP8" s="1548"/>
      <c r="CQ8" s="1548"/>
      <c r="CR8" s="1548"/>
      <c r="CS8" s="1548"/>
      <c r="CT8" s="1548"/>
      <c r="CU8" s="1548"/>
      <c r="CV8" s="1548"/>
      <c r="CW8" s="1548"/>
      <c r="CX8" s="1548"/>
      <c r="CY8" s="1548"/>
      <c r="CZ8" s="1548"/>
      <c r="DA8" s="1548"/>
      <c r="DB8" s="1548"/>
      <c r="DC8" s="1548"/>
      <c r="DD8" s="1548"/>
      <c r="DE8" s="1548"/>
      <c r="DF8" s="1548"/>
      <c r="DG8" s="1548"/>
      <c r="DH8" s="1548"/>
      <c r="DI8" s="1548"/>
      <c r="DJ8" s="1548"/>
      <c r="DK8" s="1548"/>
      <c r="DL8" s="1548"/>
      <c r="DM8" s="1548"/>
      <c r="DN8" s="1548"/>
      <c r="DO8" s="1548"/>
      <c r="DP8" s="1548"/>
      <c r="DQ8" s="1548"/>
      <c r="DR8" s="1548"/>
      <c r="DS8" s="1548"/>
      <c r="DT8" s="1548"/>
      <c r="DU8" s="1548"/>
      <c r="DV8" s="1548"/>
      <c r="DW8" s="1548"/>
      <c r="DX8" s="1548"/>
      <c r="DY8" s="1548"/>
      <c r="DZ8" s="1548"/>
      <c r="EA8" s="1548"/>
      <c r="EB8" s="1548"/>
      <c r="EC8" s="1548"/>
      <c r="ED8" s="1548"/>
      <c r="EE8" s="1548"/>
      <c r="EF8" s="1548"/>
      <c r="EG8" s="1548"/>
      <c r="EH8" s="1548"/>
      <c r="EI8" s="1548"/>
      <c r="EJ8" s="1548"/>
      <c r="EK8" s="1548"/>
      <c r="EL8" s="1548"/>
      <c r="EM8" s="1548"/>
      <c r="EN8" s="1548"/>
      <c r="EO8" s="1548"/>
      <c r="EP8" s="1548"/>
      <c r="EQ8" s="1548"/>
      <c r="ER8" s="1548"/>
      <c r="ES8" s="1548"/>
      <c r="ET8" s="1548"/>
      <c r="EU8" s="1548"/>
      <c r="EV8" s="1548"/>
      <c r="EW8" s="1548"/>
      <c r="EX8" s="1548"/>
      <c r="EY8" s="1548"/>
      <c r="EZ8" s="1548"/>
      <c r="FA8" s="1548"/>
      <c r="FE8" s="489"/>
      <c r="FF8" s="312"/>
      <c r="FG8" s="312"/>
      <c r="FH8" s="312"/>
      <c r="FI8" s="180"/>
      <c r="FJ8" s="180"/>
      <c r="FK8" s="0"/>
      <c r="FL8" s="1158"/>
      <c r="FM8" s="1158"/>
      <c r="FN8" s="1158"/>
      <c r="FO8" s="1158"/>
      <c r="FP8" s="1158"/>
      <c r="FQ8" s="1158"/>
      <c r="FR8" s="1158"/>
      <c r="FS8" s="1158"/>
      <c r="FT8" s="1158"/>
      <c r="FU8" s="1158"/>
      <c r="FV8" s="1158"/>
      <c r="FW8" s="1158"/>
      <c r="FX8" s="1158"/>
      <c r="FY8" s="1158"/>
      <c r="FZ8" s="1158"/>
    </row>
    <row s="1143" customFormat="1" customHeight="1" ht="11.25" hidden="1">
      <c r="A9" s="309" t="s">
        <v>403</v>
      </c>
      <c r="AH9" s="312">
        <f>god-2</f>
        <v>2025</v>
      </c>
      <c r="AI9" s="312">
        <f>god-2</f>
        <v>2025</v>
      </c>
      <c r="AJ9" s="312">
        <f>god-2</f>
        <v>2025</v>
      </c>
      <c r="AK9" s="312">
        <f>god-1</f>
        <v>2026</v>
      </c>
      <c r="AL9" s="312" cm="1" t="str">
        <f t="array" ref="AL9:AL9">god</f>
        <v>2027</v>
      </c>
      <c r="AM9" s="312" cm="1" t="str">
        <f t="array" ref="AM9:AM9">god</f>
        <v>2027</v>
      </c>
      <c r="AN9" s="312" cm="1" t="str">
        <f t="array" ref="AN9:AN9">god</f>
        <v>2027</v>
      </c>
      <c r="AO9" s="312">
        <f>god+1</f>
        <v>2028</v>
      </c>
      <c r="AP9" s="312">
        <f>god+1</f>
        <v>2028</v>
      </c>
      <c r="AQ9" s="312">
        <f>god+1</f>
        <v>2028</v>
      </c>
      <c r="AR9" s="312">
        <f>god+2</f>
        <v>2029</v>
      </c>
      <c r="AS9" s="312">
        <f>god+2</f>
        <v>2029</v>
      </c>
      <c r="AT9" s="312">
        <f>god+2</f>
        <v>2029</v>
      </c>
      <c r="AU9" s="312">
        <f>god+3</f>
        <v>2030</v>
      </c>
      <c r="AV9" s="312">
        <f>god+3</f>
        <v>2030</v>
      </c>
      <c r="AW9" s="312">
        <f>god+3</f>
        <v>2030</v>
      </c>
      <c r="AX9" s="312">
        <f>god+4</f>
        <v>2031</v>
      </c>
      <c r="AY9" s="312">
        <f>god+4</f>
        <v>2031</v>
      </c>
      <c r="AZ9" s="312">
        <f>god+4</f>
        <v>2031</v>
      </c>
      <c r="BA9" s="312">
        <f>god+5</f>
        <v>2032</v>
      </c>
      <c r="BB9" s="312">
        <f>god+5</f>
        <v>2032</v>
      </c>
      <c r="BC9" s="312">
        <f>god+5</f>
        <v>2032</v>
      </c>
      <c r="BD9" s="312">
        <f>god+6</f>
        <v>2033</v>
      </c>
      <c r="BE9" s="312">
        <f>god+6</f>
        <v>2033</v>
      </c>
      <c r="BF9" s="312">
        <f>god+6</f>
        <v>2033</v>
      </c>
      <c r="BG9" s="312">
        <f>god+7</f>
        <v>2034</v>
      </c>
      <c r="BH9" s="312">
        <f>god+7</f>
        <v>2034</v>
      </c>
      <c r="BI9" s="312">
        <f>god+7</f>
        <v>2034</v>
      </c>
      <c r="BJ9" s="312">
        <f>god+8</f>
        <v>2035</v>
      </c>
      <c r="BK9" s="312">
        <f>god+8</f>
        <v>2035</v>
      </c>
      <c r="BL9" s="312">
        <f>god+8</f>
        <v>2035</v>
      </c>
      <c r="BM9" s="312">
        <f>god+9</f>
        <v>2036</v>
      </c>
      <c r="BN9" s="312">
        <f>god+9</f>
        <v>2036</v>
      </c>
      <c r="BO9" s="312">
        <f>god+9</f>
        <v>2036</v>
      </c>
      <c r="BP9" s="312">
        <f>god+10</f>
        <v>2037</v>
      </c>
      <c r="BQ9" s="312">
        <f>god+10</f>
        <v>2037</v>
      </c>
      <c r="BR9" s="312">
        <f>god+10</f>
        <v>2037</v>
      </c>
      <c r="BS9" s="312">
        <f>god+11</f>
        <v>2038</v>
      </c>
      <c r="BT9" s="312">
        <f>god+11</f>
        <v>2038</v>
      </c>
      <c r="BU9" s="312">
        <f>god+11</f>
        <v>2038</v>
      </c>
      <c r="BV9" s="312">
        <f>god+12</f>
        <v>2039</v>
      </c>
      <c r="BW9" s="312">
        <f>god+12</f>
        <v>2039</v>
      </c>
      <c r="BX9" s="312">
        <f>god+12</f>
        <v>2039</v>
      </c>
      <c r="BY9" s="312">
        <f>god+13</f>
        <v>2040</v>
      </c>
      <c r="BZ9" s="312">
        <f>god+13</f>
        <v>2040</v>
      </c>
      <c r="CA9" s="312">
        <f>god+13</f>
        <v>2040</v>
      </c>
      <c r="CB9" s="312">
        <f>god+14</f>
        <v>2041</v>
      </c>
      <c r="CC9" s="312">
        <f>god+14</f>
        <v>2041</v>
      </c>
      <c r="CD9" s="312">
        <f>god+14</f>
        <v>2041</v>
      </c>
      <c r="CE9" s="312">
        <f>god+15</f>
        <v>2042</v>
      </c>
      <c r="CF9" s="312">
        <f>god+15</f>
        <v>2042</v>
      </c>
      <c r="CG9" s="312">
        <f>god+15</f>
        <v>2042</v>
      </c>
      <c r="CH9" s="312">
        <f>god+16</f>
        <v>2043</v>
      </c>
      <c r="CI9" s="312">
        <f>god+16</f>
        <v>2043</v>
      </c>
      <c r="CJ9" s="312">
        <f>god+16</f>
        <v>2043</v>
      </c>
      <c r="CK9" s="312">
        <f>god+17</f>
        <v>2044</v>
      </c>
      <c r="CL9" s="312">
        <f>god+17</f>
        <v>2044</v>
      </c>
      <c r="CM9" s="312">
        <f>god+17</f>
        <v>2044</v>
      </c>
      <c r="CN9" s="312">
        <f>god+18</f>
        <v>2045</v>
      </c>
      <c r="CO9" s="312">
        <f>god+18</f>
        <v>2045</v>
      </c>
      <c r="CP9" s="312">
        <f>god+18</f>
        <v>2045</v>
      </c>
      <c r="CQ9" s="312">
        <f>god+19</f>
        <v>2046</v>
      </c>
      <c r="CR9" s="312">
        <f>god+19</f>
        <v>2046</v>
      </c>
      <c r="CS9" s="312">
        <f>god+19</f>
        <v>2046</v>
      </c>
      <c r="CT9" s="312" cm="1" t="str">
        <f t="array" ref="CT9:CT9">god</f>
        <v>2027</v>
      </c>
      <c r="CU9" s="312" cm="1" t="str">
        <f t="array" ref="CU9:CU9">god</f>
        <v>2027</v>
      </c>
      <c r="CV9" s="312" cm="1" t="str">
        <f t="array" ref="CV9:CV9">god</f>
        <v>2027</v>
      </c>
      <c r="CW9" s="312">
        <f>god+1</f>
        <v>2028</v>
      </c>
      <c r="CX9" s="312">
        <f>god+1</f>
        <v>2028</v>
      </c>
      <c r="CY9" s="312">
        <f>god+1</f>
        <v>2028</v>
      </c>
      <c r="CZ9" s="312">
        <f>god+2</f>
        <v>2029</v>
      </c>
      <c r="DA9" s="312">
        <f>god+2</f>
        <v>2029</v>
      </c>
      <c r="DB9" s="312">
        <f>god+2</f>
        <v>2029</v>
      </c>
      <c r="DC9" s="312">
        <f>god+3</f>
        <v>2030</v>
      </c>
      <c r="DD9" s="312">
        <f>god+3</f>
        <v>2030</v>
      </c>
      <c r="DE9" s="312">
        <f>god+3</f>
        <v>2030</v>
      </c>
      <c r="DF9" s="312">
        <f>god+4</f>
        <v>2031</v>
      </c>
      <c r="DG9" s="312">
        <f>god+4</f>
        <v>2031</v>
      </c>
      <c r="DH9" s="312">
        <f>god+4</f>
        <v>2031</v>
      </c>
      <c r="DI9" s="312">
        <f>god+5</f>
        <v>2032</v>
      </c>
      <c r="DJ9" s="312">
        <f>god+5</f>
        <v>2032</v>
      </c>
      <c r="DK9" s="312">
        <f>god+5</f>
        <v>2032</v>
      </c>
      <c r="DL9" s="312">
        <f>god+6</f>
        <v>2033</v>
      </c>
      <c r="DM9" s="312">
        <f>god+6</f>
        <v>2033</v>
      </c>
      <c r="DN9" s="312">
        <f>god+6</f>
        <v>2033</v>
      </c>
      <c r="DO9" s="312">
        <f>god+7</f>
        <v>2034</v>
      </c>
      <c r="DP9" s="312">
        <f>god+7</f>
        <v>2034</v>
      </c>
      <c r="DQ9" s="312">
        <f>god+7</f>
        <v>2034</v>
      </c>
      <c r="DR9" s="312">
        <f>god+8</f>
        <v>2035</v>
      </c>
      <c r="DS9" s="312">
        <f>god+8</f>
        <v>2035</v>
      </c>
      <c r="DT9" s="312">
        <f>god+8</f>
        <v>2035</v>
      </c>
      <c r="DU9" s="312">
        <f>god+9</f>
        <v>2036</v>
      </c>
      <c r="DV9" s="312">
        <f>god+9</f>
        <v>2036</v>
      </c>
      <c r="DW9" s="312">
        <f>god+9</f>
        <v>2036</v>
      </c>
      <c r="DX9" s="312">
        <f>god+10</f>
        <v>2037</v>
      </c>
      <c r="DY9" s="312">
        <f>god+10</f>
        <v>2037</v>
      </c>
      <c r="DZ9" s="312">
        <f>god+10</f>
        <v>2037</v>
      </c>
      <c r="EA9" s="312">
        <f>god+11</f>
        <v>2038</v>
      </c>
      <c r="EB9" s="312">
        <f>god+11</f>
        <v>2038</v>
      </c>
      <c r="EC9" s="312">
        <f>god+11</f>
        <v>2038</v>
      </c>
      <c r="ED9" s="312">
        <f>god+12</f>
        <v>2039</v>
      </c>
      <c r="EE9" s="312">
        <f>god+12</f>
        <v>2039</v>
      </c>
      <c r="EF9" s="312">
        <f>god+12</f>
        <v>2039</v>
      </c>
      <c r="EG9" s="312">
        <f>god+13</f>
        <v>2040</v>
      </c>
      <c r="EH9" s="312">
        <f>god+13</f>
        <v>2040</v>
      </c>
      <c r="EI9" s="312">
        <f>god+13</f>
        <v>2040</v>
      </c>
      <c r="EJ9" s="312">
        <f>god+14</f>
        <v>2041</v>
      </c>
      <c r="EK9" s="312">
        <f>god+14</f>
        <v>2041</v>
      </c>
      <c r="EL9" s="312">
        <f>god+14</f>
        <v>2041</v>
      </c>
      <c r="EM9" s="312">
        <f>god+15</f>
        <v>2042</v>
      </c>
      <c r="EN9" s="312">
        <f>god+15</f>
        <v>2042</v>
      </c>
      <c r="EO9" s="312">
        <f>god+15</f>
        <v>2042</v>
      </c>
      <c r="EP9" s="312">
        <f>god+16</f>
        <v>2043</v>
      </c>
      <c r="EQ9" s="312">
        <f>god+16</f>
        <v>2043</v>
      </c>
      <c r="ER9" s="312">
        <f>god+16</f>
        <v>2043</v>
      </c>
      <c r="ES9" s="312">
        <f>god+17</f>
        <v>2044</v>
      </c>
      <c r="ET9" s="312">
        <f>god+17</f>
        <v>2044</v>
      </c>
      <c r="EU9" s="312">
        <f>god+17</f>
        <v>2044</v>
      </c>
      <c r="EV9" s="312">
        <f>god+18</f>
        <v>2045</v>
      </c>
      <c r="EW9" s="312">
        <f>god+18</f>
        <v>2045</v>
      </c>
      <c r="EX9" s="312">
        <f>god+18</f>
        <v>2045</v>
      </c>
      <c r="EY9" s="312">
        <f>god+19</f>
        <v>2046</v>
      </c>
      <c r="EZ9" s="312">
        <f>god+19</f>
        <v>2046</v>
      </c>
      <c r="FA9" s="312">
        <f>god+19</f>
        <v>2046</v>
      </c>
      <c r="FE9" s="489"/>
      <c r="FK9" s="1081"/>
      <c r="FL9" s="1081"/>
      <c r="FM9" s="1081"/>
      <c r="FN9" s="1081"/>
      <c r="FO9" s="1081"/>
      <c r="FP9" s="1081"/>
      <c r="FQ9" s="1081"/>
      <c r="FR9" s="1081"/>
      <c r="FS9" s="1081"/>
      <c r="FT9" s="1081"/>
      <c r="FU9" s="1081"/>
      <c r="FV9" s="1081"/>
      <c r="FW9" s="1081"/>
      <c r="FX9" s="1081"/>
      <c r="FY9" s="1081"/>
      <c r="FZ9" s="1081"/>
    </row>
    <row s="1143" customFormat="1" customHeight="1" ht="11.25" hidden="1">
      <c r="A10" s="309" t="s">
        <v>404</v>
      </c>
      <c r="AH10" s="312" cm="1" t="str">
        <f t="array" ref="AH10:AH10">AH26</f>
        <v>Принято органом регулирования</v>
      </c>
      <c r="AI10" s="312" cm="1" t="str">
        <f t="array" ref="AI10:AI10">AI26</f>
        <v>Факт по данным организации</v>
      </c>
      <c r="AJ10" s="312" cm="1" t="str">
        <f t="array" ref="AJ10:AJ10">AJ26</f>
        <v>Факт, принятый органом регулирования</v>
      </c>
      <c r="AK10" s="312" cm="1" t="str">
        <f t="array" ref="AK10:AK10">AK26</f>
        <v>Принято органом регулирования</v>
      </c>
      <c r="AL10" s="312" cm="1" t="str">
        <f t="array" ref="AL10:AL10">AL26</f>
        <v>Предложение организации</v>
      </c>
      <c r="AM10" s="312" cm="1" t="str">
        <f t="array" ref="AM10:AM10">AM26</f>
        <v>Предложение организации</v>
      </c>
      <c r="AN10" s="312" cm="1" t="str">
        <f t="array" ref="AN10:AN10">AN26</f>
        <v>Предложение организации</v>
      </c>
      <c r="AO10" s="312" cm="1" t="str">
        <f t="array" ref="AO10:AO10">AO26</f>
        <v>Предложение организации</v>
      </c>
      <c r="AP10" s="312" cm="1" t="str">
        <f t="array" ref="AP10:AP10">AP26</f>
        <v>Предложение организации</v>
      </c>
      <c r="AQ10" s="312" cm="1" t="str">
        <f t="array" ref="AQ10:AQ10">AQ26</f>
        <v>Предложение организации</v>
      </c>
      <c r="AR10" s="312" cm="1" t="str">
        <f t="array" ref="AR10:AR10">AR26</f>
        <v>Предложение организации</v>
      </c>
      <c r="AS10" s="312" cm="1" t="str">
        <f t="array" ref="AS10:AS10">AS26</f>
        <v>Предложение организации</v>
      </c>
      <c r="AT10" s="312" cm="1" t="str">
        <f t="array" ref="AT10:AT10">AT26</f>
        <v>Предложение организации</v>
      </c>
      <c r="AU10" s="312" cm="1" t="str">
        <f t="array" ref="AU10:AU10">AU26</f>
        <v>Предложение организации</v>
      </c>
      <c r="AV10" s="312" cm="1" t="str">
        <f t="array" ref="AV10:AV10">AV26</f>
        <v>Предложение организации</v>
      </c>
      <c r="AW10" s="312" cm="1" t="str">
        <f t="array" ref="AW10:AW10">AW26</f>
        <v>Предложение организации</v>
      </c>
      <c r="AX10" s="312" cm="1" t="str">
        <f t="array" ref="AX10:AX10">AX26</f>
        <v>Предложение организации</v>
      </c>
      <c r="AY10" s="312" cm="1" t="str">
        <f t="array" ref="AY10:AY10">AY26</f>
        <v>Предложение организации</v>
      </c>
      <c r="AZ10" s="312" cm="1" t="str">
        <f t="array" ref="AZ10:AZ10">AZ26</f>
        <v>Предложение организации</v>
      </c>
      <c r="BA10" s="312" cm="1" t="str">
        <f t="array" ref="BA10:BA10">BA26</f>
        <v>Предложение организации</v>
      </c>
      <c r="BB10" s="312" cm="1" t="str">
        <f t="array" ref="BB10:BB10">BB26</f>
        <v>Предложение организации</v>
      </c>
      <c r="BC10" s="312" cm="1" t="str">
        <f t="array" ref="BC10:BC10">BC26</f>
        <v>Предложение организации</v>
      </c>
      <c r="BD10" s="312" cm="1" t="str">
        <f t="array" ref="BD10:BD10">BD26</f>
        <v>Предложение организации</v>
      </c>
      <c r="BE10" s="312" cm="1" t="str">
        <f t="array" ref="BE10:BE10">BE26</f>
        <v>Предложение организации</v>
      </c>
      <c r="BF10" s="312" cm="1" t="str">
        <f t="array" ref="BF10:BF10">BF26</f>
        <v>Предложение организации</v>
      </c>
      <c r="BG10" s="312" cm="1" t="str">
        <f t="array" ref="BG10:BG10">BG26</f>
        <v>Предложение организации</v>
      </c>
      <c r="BH10" s="312" cm="1" t="str">
        <f t="array" ref="BH10:BH10">BH26</f>
        <v>Предложение организации</v>
      </c>
      <c r="BI10" s="312" cm="1" t="str">
        <f t="array" ref="BI10:BI10">BI26</f>
        <v>Предложение организации</v>
      </c>
      <c r="BJ10" s="312" cm="1" t="str">
        <f t="array" ref="BJ10:BJ10">BJ26</f>
        <v>Предложение организации</v>
      </c>
      <c r="BK10" s="312" cm="1" t="str">
        <f t="array" ref="BK10:BK10">BK26</f>
        <v>Предложение организации</v>
      </c>
      <c r="BL10" s="312" cm="1" t="str">
        <f t="array" ref="BL10:BL10">BL26</f>
        <v>Предложение организации</v>
      </c>
      <c r="BM10" s="312" cm="1" t="str">
        <f t="array" ref="BM10:BM10">BM26</f>
        <v>Предложение организации</v>
      </c>
      <c r="BN10" s="312" cm="1" t="str">
        <f t="array" ref="BN10:BN10">BN26</f>
        <v>Предложение организации</v>
      </c>
      <c r="BO10" s="312" cm="1" t="str">
        <f t="array" ref="BO10:BO10">BO26</f>
        <v>Предложение организации</v>
      </c>
      <c r="BP10" s="312" cm="1" t="str">
        <f t="array" ref="BP10:BP10">BP26</f>
        <v>Предложение организации</v>
      </c>
      <c r="BQ10" s="312" cm="1" t="str">
        <f t="array" ref="BQ10:BQ10">BQ26</f>
        <v>Предложение организации</v>
      </c>
      <c r="BR10" s="312" cm="1" t="str">
        <f t="array" ref="BR10:BR10">BR26</f>
        <v>Предложение организации</v>
      </c>
      <c r="BS10" s="312" cm="1" t="str">
        <f t="array" ref="BS10:BS10">BS26</f>
        <v>Предложение организации</v>
      </c>
      <c r="BT10" s="312" cm="1" t="str">
        <f t="array" ref="BT10:BT10">BT26</f>
        <v>Предложение организации</v>
      </c>
      <c r="BU10" s="312" cm="1" t="str">
        <f t="array" ref="BU10:BU10">BU26</f>
        <v>Предложение организации</v>
      </c>
      <c r="BV10" s="312" cm="1" t="str">
        <f t="array" ref="BV10:BV10">BV26</f>
        <v>Предложение организации</v>
      </c>
      <c r="BW10" s="312" cm="1" t="str">
        <f t="array" ref="BW10:BW10">BW26</f>
        <v>Предложение организации</v>
      </c>
      <c r="BX10" s="312" cm="1" t="str">
        <f t="array" ref="BX10:BX10">BX26</f>
        <v>Предложение организации</v>
      </c>
      <c r="BY10" s="312" cm="1" t="str">
        <f t="array" ref="BY10:BY10">BY26</f>
        <v>Предложение организации</v>
      </c>
      <c r="BZ10" s="312" cm="1" t="str">
        <f t="array" ref="BZ10:BZ10">BZ26</f>
        <v>Предложение организации</v>
      </c>
      <c r="CA10" s="312" cm="1" t="str">
        <f t="array" ref="CA10:CA10">CA26</f>
        <v>Предложение организации</v>
      </c>
      <c r="CB10" s="312" cm="1" t="str">
        <f t="array" ref="CB10:CB10">CB26</f>
        <v>Предложение организации</v>
      </c>
      <c r="CC10" s="312" cm="1" t="str">
        <f t="array" ref="CC10:CC10">CC26</f>
        <v>Предложение организации</v>
      </c>
      <c r="CD10" s="312" cm="1" t="str">
        <f t="array" ref="CD10:CD10">CD26</f>
        <v>Предложение организации</v>
      </c>
      <c r="CE10" s="312" cm="1" t="str">
        <f t="array" ref="CE10:CE10">CE26</f>
        <v>Предложение организации</v>
      </c>
      <c r="CF10" s="312" cm="1" t="str">
        <f t="array" ref="CF10:CF10">CF26</f>
        <v>Предложение организации</v>
      </c>
      <c r="CG10" s="312" cm="1" t="str">
        <f t="array" ref="CG10:CG10">CG26</f>
        <v>Предложение организации</v>
      </c>
      <c r="CH10" s="312" cm="1" t="str">
        <f t="array" ref="CH10:CH10">CH26</f>
        <v>Предложение организации</v>
      </c>
      <c r="CI10" s="312" cm="1" t="str">
        <f t="array" ref="CI10:CI10">CI26</f>
        <v>Предложение организации</v>
      </c>
      <c r="CJ10" s="312" cm="1" t="str">
        <f t="array" ref="CJ10:CJ10">CJ26</f>
        <v>Предложение организации</v>
      </c>
      <c r="CK10" s="312" cm="1" t="str">
        <f t="array" ref="CK10:CK10">CK26</f>
        <v>Предложение организации</v>
      </c>
      <c r="CL10" s="312" cm="1" t="str">
        <f t="array" ref="CL10:CL10">CL26</f>
        <v>Предложение организации</v>
      </c>
      <c r="CM10" s="312" cm="1" t="str">
        <f t="array" ref="CM10:CM10">CM26</f>
        <v>Предложение организации</v>
      </c>
      <c r="CN10" s="312" cm="1" t="str">
        <f t="array" ref="CN10:CN10">CN26</f>
        <v>Предложение организации</v>
      </c>
      <c r="CO10" s="312" cm="1" t="str">
        <f t="array" ref="CO10:CO10">CO26</f>
        <v>Предложение организации</v>
      </c>
      <c r="CP10" s="312" cm="1" t="str">
        <f t="array" ref="CP10:CP10">CP26</f>
        <v>Предложение организации</v>
      </c>
      <c r="CQ10" s="312" cm="1" t="str">
        <f t="array" ref="CQ10:CQ10">CQ26</f>
        <v>Предложение организации</v>
      </c>
      <c r="CR10" s="312" cm="1" t="str">
        <f t="array" ref="CR10:CR10">CR26</f>
        <v>Предложение организации</v>
      </c>
      <c r="CS10" s="312" cm="1" t="str">
        <f t="array" ref="CS10:CS10">CS26</f>
        <v>Предложение организации</v>
      </c>
      <c r="CT10" s="312" cm="1" t="str">
        <f t="array" ref="CT10:CT10">CT26</f>
        <v>Принято органом регулирования</v>
      </c>
      <c r="CU10" s="312" cm="1" t="str">
        <f t="array" ref="CU10:CU10">CU26</f>
        <v>Принято органом регулирования</v>
      </c>
      <c r="CV10" s="312" cm="1" t="str">
        <f t="array" ref="CV10:CV10">CV26</f>
        <v>Принято органом регулирования</v>
      </c>
      <c r="CW10" s="312" cm="1" t="str">
        <f t="array" ref="CW10:CW10">CW26</f>
        <v>Принято органом регулирования</v>
      </c>
      <c r="CX10" s="312" cm="1" t="str">
        <f t="array" ref="CX10:CX10">CX26</f>
        <v>Принято органом регулирования</v>
      </c>
      <c r="CY10" s="312" cm="1" t="str">
        <f t="array" ref="CY10:CY10">CY26</f>
        <v>Принято органом регулирования</v>
      </c>
      <c r="CZ10" s="312" cm="1" t="str">
        <f t="array" ref="CZ10:CZ10">CZ26</f>
        <v>Принято органом регулирования</v>
      </c>
      <c r="DA10" s="312" cm="1" t="str">
        <f t="array" ref="DA10:DA10">DA26</f>
        <v>Принято органом регулирования</v>
      </c>
      <c r="DB10" s="312" cm="1" t="str">
        <f t="array" ref="DB10:DB10">DB26</f>
        <v>Принято органом регулирования</v>
      </c>
      <c r="DC10" s="312" cm="1" t="str">
        <f t="array" ref="DC10:DC10">DC26</f>
        <v>Принято органом регулирования</v>
      </c>
      <c r="DD10" s="312" cm="1" t="str">
        <f t="array" ref="DD10:DD10">DD26</f>
        <v>Принято органом регулирования</v>
      </c>
      <c r="DE10" s="312" cm="1" t="str">
        <f t="array" ref="DE10:DE10">DE26</f>
        <v>Принято органом регулирования</v>
      </c>
      <c r="DF10" s="312" cm="1" t="str">
        <f t="array" ref="DF10:DF10">DF26</f>
        <v>Принято органом регулирования</v>
      </c>
      <c r="DG10" s="312" cm="1" t="str">
        <f t="array" ref="DG10:DG10">DG26</f>
        <v>Принято органом регулирования</v>
      </c>
      <c r="DH10" s="312" cm="1" t="str">
        <f t="array" ref="DH10:DH10">DH26</f>
        <v>Принято органом регулирования</v>
      </c>
      <c r="DI10" s="312" cm="1" t="str">
        <f t="array" ref="DI10:DI10">DI26</f>
        <v>Принято органом регулирования</v>
      </c>
      <c r="DJ10" s="312" cm="1" t="str">
        <f t="array" ref="DJ10:DJ10">DJ26</f>
        <v>Принято органом регулирования</v>
      </c>
      <c r="DK10" s="312" cm="1" t="str">
        <f t="array" ref="DK10:DK10">DK26</f>
        <v>Принято органом регулирования</v>
      </c>
      <c r="DL10" s="312" cm="1" t="str">
        <f t="array" ref="DL10:DL10">DL26</f>
        <v>Принято органом регулирования</v>
      </c>
      <c r="DM10" s="312" cm="1" t="str">
        <f t="array" ref="DM10:DM10">DM26</f>
        <v>Принято органом регулирования</v>
      </c>
      <c r="DN10" s="312" cm="1" t="str">
        <f t="array" ref="DN10:DN10">DN26</f>
        <v>Принято органом регулирования</v>
      </c>
      <c r="DO10" s="312" cm="1" t="str">
        <f t="array" ref="DO10:DO10">DO26</f>
        <v>Принято органом регулирования</v>
      </c>
      <c r="DP10" s="312" cm="1" t="str">
        <f t="array" ref="DP10:DP10">DP26</f>
        <v>Принято органом регулирования</v>
      </c>
      <c r="DQ10" s="312" cm="1" t="str">
        <f t="array" ref="DQ10:DQ10">DQ26</f>
        <v>Принято органом регулирования</v>
      </c>
      <c r="DR10" s="312" cm="1" t="str">
        <f t="array" ref="DR10:DR10">DR26</f>
        <v>Принято органом регулирования</v>
      </c>
      <c r="DS10" s="312" cm="1" t="str">
        <f t="array" ref="DS10:DS10">DS26</f>
        <v>Принято органом регулирования</v>
      </c>
      <c r="DT10" s="312" cm="1" t="str">
        <f t="array" ref="DT10:DT10">DT26</f>
        <v>Принято органом регулирования</v>
      </c>
      <c r="DU10" s="312" cm="1" t="str">
        <f t="array" ref="DU10:DU10">DU26</f>
        <v>Принято органом регулирования</v>
      </c>
      <c r="DV10" s="312" cm="1" t="str">
        <f t="array" ref="DV10:DV10">DV26</f>
        <v>Принято органом регулирования</v>
      </c>
      <c r="DW10" s="312" cm="1" t="str">
        <f t="array" ref="DW10:DW10">DW26</f>
        <v>Принято органом регулирования</v>
      </c>
      <c r="DX10" s="312" cm="1" t="str">
        <f t="array" ref="DX10:DX10">DX26</f>
        <v>Принято органом регулирования</v>
      </c>
      <c r="DY10" s="312" cm="1" t="str">
        <f t="array" ref="DY10:DY10">DY26</f>
        <v>Принято органом регулирования</v>
      </c>
      <c r="DZ10" s="312" cm="1" t="str">
        <f t="array" ref="DZ10:DZ10">DZ26</f>
        <v>Принято органом регулирования</v>
      </c>
      <c r="EA10" s="312" cm="1" t="str">
        <f t="array" ref="EA10:EA10">EA26</f>
        <v>Принято органом регулирования</v>
      </c>
      <c r="EB10" s="312" cm="1" t="str">
        <f t="array" ref="EB10:EB10">EB26</f>
        <v>Принято органом регулирования</v>
      </c>
      <c r="EC10" s="312" cm="1" t="str">
        <f t="array" ref="EC10:EC10">EC26</f>
        <v>Принято органом регулирования</v>
      </c>
      <c r="ED10" s="312" cm="1" t="str">
        <f t="array" ref="ED10:ED10">ED26</f>
        <v>Принято органом регулирования</v>
      </c>
      <c r="EE10" s="312" cm="1" t="str">
        <f t="array" ref="EE10:EE10">EE26</f>
        <v>Принято органом регулирования</v>
      </c>
      <c r="EF10" s="312" cm="1" t="str">
        <f t="array" ref="EF10:EF10">EF26</f>
        <v>Принято органом регулирования</v>
      </c>
      <c r="EG10" s="312" cm="1" t="str">
        <f t="array" ref="EG10:EG10">EG26</f>
        <v>Принято органом регулирования</v>
      </c>
      <c r="EH10" s="312" cm="1" t="str">
        <f t="array" ref="EH10:EH10">EH26</f>
        <v>Принято органом регулирования</v>
      </c>
      <c r="EI10" s="312" cm="1" t="str">
        <f t="array" ref="EI10:EI10">EI26</f>
        <v>Принято органом регулирования</v>
      </c>
      <c r="EJ10" s="312" cm="1" t="str">
        <f t="array" ref="EJ10:EJ10">EJ26</f>
        <v>Принято органом регулирования</v>
      </c>
      <c r="EK10" s="312" cm="1" t="str">
        <f t="array" ref="EK10:EK10">EK26</f>
        <v>Принято органом регулирования</v>
      </c>
      <c r="EL10" s="312" cm="1" t="str">
        <f t="array" ref="EL10:EL10">EL26</f>
        <v>Принято органом регулирования</v>
      </c>
      <c r="EM10" s="312" cm="1" t="str">
        <f t="array" ref="EM10:EM10">EM26</f>
        <v>Принято органом регулирования</v>
      </c>
      <c r="EN10" s="312" cm="1" t="str">
        <f t="array" ref="EN10:EN10">EN26</f>
        <v>Принято органом регулирования</v>
      </c>
      <c r="EO10" s="312" cm="1" t="str">
        <f t="array" ref="EO10:EO10">EO26</f>
        <v>Принято органом регулирования</v>
      </c>
      <c r="EP10" s="312" cm="1" t="str">
        <f t="array" ref="EP10:EP10">EP26</f>
        <v>Принято органом регулирования</v>
      </c>
      <c r="EQ10" s="312" cm="1" t="str">
        <f t="array" ref="EQ10:EQ10">EQ26</f>
        <v>Принято органом регулирования</v>
      </c>
      <c r="ER10" s="312" cm="1" t="str">
        <f t="array" ref="ER10:ER10">ER26</f>
        <v>Принято органом регулирования</v>
      </c>
      <c r="ES10" s="312" cm="1" t="str">
        <f t="array" ref="ES10:ES10">ES26</f>
        <v>Принято органом регулирования</v>
      </c>
      <c r="ET10" s="312" cm="1" t="str">
        <f t="array" ref="ET10:ET10">ET26</f>
        <v>Принято органом регулирования</v>
      </c>
      <c r="EU10" s="312" cm="1" t="str">
        <f t="array" ref="EU10:EU10">EU26</f>
        <v>Принято органом регулирования</v>
      </c>
      <c r="EV10" s="312" cm="1" t="str">
        <f t="array" ref="EV10:EV10">EV26</f>
        <v>Принято органом регулирования</v>
      </c>
      <c r="EW10" s="312" cm="1" t="str">
        <f t="array" ref="EW10:EW10">EW26</f>
        <v>Принято органом регулирования</v>
      </c>
      <c r="EX10" s="312" cm="1" t="str">
        <f t="array" ref="EX10:EX10">EX26</f>
        <v>Принято органом регулирования</v>
      </c>
      <c r="EY10" s="312" cm="1" t="str">
        <f t="array" ref="EY10:EY10">EY26</f>
        <v>Принято органом регулирования</v>
      </c>
      <c r="EZ10" s="312" cm="1" t="str">
        <f t="array" ref="EZ10:EZ10">EZ26</f>
        <v>Принято органом регулирования</v>
      </c>
      <c r="FA10" s="312" cm="1" t="str">
        <f t="array" ref="FA10:FA10">FA26</f>
        <v>Принято органом регулирования</v>
      </c>
      <c r="FE10" s="489"/>
      <c r="FK10" s="1081"/>
      <c r="FL10" s="1081"/>
      <c r="FM10" s="1081"/>
      <c r="FN10" s="1081"/>
      <c r="FO10" s="1081"/>
      <c r="FP10" s="1081"/>
      <c r="FQ10" s="1081"/>
      <c r="FR10" s="1081"/>
      <c r="FS10" s="1081"/>
      <c r="FT10" s="1081"/>
      <c r="FU10" s="1081"/>
      <c r="FV10" s="1081"/>
      <c r="FW10" s="1081"/>
      <c r="FX10" s="1081"/>
      <c r="FY10" s="1081"/>
      <c r="FZ10" s="1081"/>
    </row>
    <row s="1143" customFormat="1" customHeight="1" ht="11.25" hidden="1">
      <c r="A11" s="309" t="s">
        <v>405</v>
      </c>
      <c r="G11" s="483"/>
      <c r="H11" s="483"/>
      <c r="I11" s="483"/>
      <c r="J11" s="483"/>
      <c r="K11" s="483"/>
      <c r="L11" s="483"/>
      <c r="M11" s="483"/>
      <c r="N11" s="483"/>
      <c r="O11" s="483"/>
      <c r="P11" s="483"/>
      <c r="Q11" s="483"/>
      <c r="AH11" s="312" cm="1" t="str">
        <f t="array" ref="AH11:AH11">AH25</f>
        <v>Год</v>
      </c>
      <c r="AI11" s="312" cm="1" t="str">
        <f t="array" ref="AI11:AI11">AI25</f>
        <v>Год</v>
      </c>
      <c r="AJ11" s="312" cm="1" t="str">
        <f t="array" ref="AJ11:AJ11">AJ25</f>
        <v>Год</v>
      </c>
      <c r="AK11" s="312" cm="1" t="str">
        <f t="array" ref="AK11:AK11">AK25</f>
        <v>Год</v>
      </c>
      <c r="AL11" s="312" cm="1" t="str">
        <f t="array" ref="AL11:AL11">AL25</f>
        <v>Год</v>
      </c>
      <c r="AM11" s="312" cm="1" t="str">
        <f t="array" ref="AM11:AM11">AM25</f>
        <v>1 полугодие</v>
      </c>
      <c r="AN11" s="312" cm="1" t="str">
        <f t="array" ref="AN11:AN11">AN25</f>
        <v>2 полугодие</v>
      </c>
      <c r="AO11" s="312" cm="1" t="str">
        <f t="array" ref="AO11:AO11">AO25</f>
        <v>Год</v>
      </c>
      <c r="AP11" s="312" cm="1" t="str">
        <f t="array" ref="AP11:AP11">AP25</f>
        <v>1 полугодие</v>
      </c>
      <c r="AQ11" s="312" cm="1" t="str">
        <f t="array" ref="AQ11:AQ11">AQ25</f>
        <v>2 полугодие</v>
      </c>
      <c r="AR11" s="312" cm="1" t="str">
        <f t="array" ref="AR11:AR11">AR25</f>
        <v>Год</v>
      </c>
      <c r="AS11" s="312" cm="1" t="str">
        <f t="array" ref="AS11:AS11">AS25</f>
        <v>1 полугодие</v>
      </c>
      <c r="AT11" s="312" cm="1" t="str">
        <f t="array" ref="AT11:AT11">AT25</f>
        <v>2 полугодие</v>
      </c>
      <c r="AU11" s="312" cm="1" t="str">
        <f t="array" ref="AU11:AU11">AU25</f>
        <v>Год</v>
      </c>
      <c r="AV11" s="312" cm="1" t="str">
        <f t="array" ref="AV11:AV11">AV25</f>
        <v>1 полугодие</v>
      </c>
      <c r="AW11" s="312" cm="1" t="str">
        <f t="array" ref="AW11:AW11">AW25</f>
        <v>2 полугодие</v>
      </c>
      <c r="AX11" s="312" cm="1" t="str">
        <f t="array" ref="AX11:AX11">AX25</f>
        <v>Год</v>
      </c>
      <c r="AY11" s="312" cm="1" t="str">
        <f t="array" ref="AY11:AY11">AY25</f>
        <v>1 полугодие</v>
      </c>
      <c r="AZ11" s="312" cm="1" t="str">
        <f t="array" ref="AZ11:AZ11">AZ25</f>
        <v>2 полугодие</v>
      </c>
      <c r="BA11" s="312" cm="1" t="str">
        <f t="array" ref="BA11:BA11">BA25</f>
        <v>Год</v>
      </c>
      <c r="BB11" s="312" cm="1" t="str">
        <f t="array" ref="BB11:BB11">BB25</f>
        <v>1 полугодие</v>
      </c>
      <c r="BC11" s="312" cm="1" t="str">
        <f t="array" ref="BC11:BC11">BC25</f>
        <v>2 полугодие</v>
      </c>
      <c r="BD11" s="312" cm="1" t="str">
        <f t="array" ref="BD11:BD11">BD25</f>
        <v>Год</v>
      </c>
      <c r="BE11" s="312" cm="1" t="str">
        <f t="array" ref="BE11:BE11">BE25</f>
        <v>1 полугодие</v>
      </c>
      <c r="BF11" s="312" cm="1" t="str">
        <f t="array" ref="BF11:BF11">BF25</f>
        <v>2 полугодие</v>
      </c>
      <c r="BG11" s="312" cm="1" t="str">
        <f t="array" ref="BG11:BG11">BG25</f>
        <v>Год</v>
      </c>
      <c r="BH11" s="312" cm="1" t="str">
        <f t="array" ref="BH11:BH11">BH25</f>
        <v>1 полугодие</v>
      </c>
      <c r="BI11" s="312" cm="1" t="str">
        <f t="array" ref="BI11:BI11">BI25</f>
        <v>2 полугодие</v>
      </c>
      <c r="BJ11" s="312" cm="1" t="str">
        <f t="array" ref="BJ11:BJ11">BJ25</f>
        <v>Год</v>
      </c>
      <c r="BK11" s="312" cm="1" t="str">
        <f t="array" ref="BK11:BK11">BK25</f>
        <v>1 полугодие</v>
      </c>
      <c r="BL11" s="312" cm="1" t="str">
        <f t="array" ref="BL11:BL11">BL25</f>
        <v>2 полугодие</v>
      </c>
      <c r="BM11" s="312" cm="1" t="str">
        <f t="array" ref="BM11:BM11">BM25</f>
        <v>Год</v>
      </c>
      <c r="BN11" s="312" cm="1" t="str">
        <f t="array" ref="BN11:BN11">BN25</f>
        <v>1 полугодие</v>
      </c>
      <c r="BO11" s="312" cm="1" t="str">
        <f t="array" ref="BO11:BO11">BO25</f>
        <v>2 полугодие</v>
      </c>
      <c r="BP11" s="312" cm="1" t="str">
        <f t="array" ref="BP11:BP11">BP25</f>
        <v>Год</v>
      </c>
      <c r="BQ11" s="312" cm="1" t="str">
        <f t="array" ref="BQ11:BQ11">BQ25</f>
        <v>1 полугодие</v>
      </c>
      <c r="BR11" s="312" cm="1" t="str">
        <f t="array" ref="BR11:BR11">BR25</f>
        <v>2 полугодие</v>
      </c>
      <c r="BS11" s="312" cm="1" t="str">
        <f t="array" ref="BS11:BS11">BS25</f>
        <v>Год</v>
      </c>
      <c r="BT11" s="312" cm="1" t="str">
        <f t="array" ref="BT11:BT11">BT25</f>
        <v>1 полугодие</v>
      </c>
      <c r="BU11" s="312" cm="1" t="str">
        <f t="array" ref="BU11:BU11">BU25</f>
        <v>2 полугодие</v>
      </c>
      <c r="BV11" s="312" cm="1" t="str">
        <f t="array" ref="BV11:BV11">BV25</f>
        <v>Год</v>
      </c>
      <c r="BW11" s="312" cm="1" t="str">
        <f t="array" ref="BW11:BW11">BW25</f>
        <v>1 полугодие</v>
      </c>
      <c r="BX11" s="312" cm="1" t="str">
        <f t="array" ref="BX11:BX11">BX25</f>
        <v>2 полугодие</v>
      </c>
      <c r="BY11" s="312" cm="1" t="str">
        <f t="array" ref="BY11:BY11">BY25</f>
        <v>Год</v>
      </c>
      <c r="BZ11" s="312" cm="1" t="str">
        <f t="array" ref="BZ11:BZ11">BZ25</f>
        <v>1 полугодие</v>
      </c>
      <c r="CA11" s="312" cm="1" t="str">
        <f t="array" ref="CA11:CA11">CA25</f>
        <v>2 полугодие</v>
      </c>
      <c r="CB11" s="312" cm="1" t="str">
        <f t="array" ref="CB11:CB11">CB25</f>
        <v>Год</v>
      </c>
      <c r="CC11" s="312" cm="1" t="str">
        <f t="array" ref="CC11:CC11">CC25</f>
        <v>1 полугодие</v>
      </c>
      <c r="CD11" s="312" cm="1" t="str">
        <f t="array" ref="CD11:CD11">CD25</f>
        <v>2 полугодие</v>
      </c>
      <c r="CE11" s="312" cm="1" t="str">
        <f t="array" ref="CE11:CE11">CE25</f>
        <v>Год</v>
      </c>
      <c r="CF11" s="312" cm="1" t="str">
        <f t="array" ref="CF11:CF11">CF25</f>
        <v>1 полугодие</v>
      </c>
      <c r="CG11" s="312" cm="1" t="str">
        <f t="array" ref="CG11:CG11">CG25</f>
        <v>2 полугодие</v>
      </c>
      <c r="CH11" s="312" cm="1" t="str">
        <f t="array" ref="CH11:CH11">CH25</f>
        <v>Год</v>
      </c>
      <c r="CI11" s="312" cm="1" t="str">
        <f t="array" ref="CI11:CI11">CI25</f>
        <v>1 полугодие</v>
      </c>
      <c r="CJ11" s="312" cm="1" t="str">
        <f t="array" ref="CJ11:CJ11">CJ25</f>
        <v>2 полугодие</v>
      </c>
      <c r="CK11" s="312" cm="1" t="str">
        <f t="array" ref="CK11:CK11">CK25</f>
        <v>Год</v>
      </c>
      <c r="CL11" s="312" cm="1" t="str">
        <f t="array" ref="CL11:CL11">CL25</f>
        <v>1 полугодие</v>
      </c>
      <c r="CM11" s="312" cm="1" t="str">
        <f t="array" ref="CM11:CM11">CM25</f>
        <v>2 полугодие</v>
      </c>
      <c r="CN11" s="312" cm="1" t="str">
        <f t="array" ref="CN11:CN11">CN25</f>
        <v>Год</v>
      </c>
      <c r="CO11" s="312" cm="1" t="str">
        <f t="array" ref="CO11:CO11">CO25</f>
        <v>1 полугодие</v>
      </c>
      <c r="CP11" s="312" cm="1" t="str">
        <f t="array" ref="CP11:CP11">CP25</f>
        <v>2 полугодие</v>
      </c>
      <c r="CQ11" s="312" cm="1" t="str">
        <f t="array" ref="CQ11:CQ11">CQ25</f>
        <v>Год</v>
      </c>
      <c r="CR11" s="312" cm="1" t="str">
        <f t="array" ref="CR11:CR11">CR25</f>
        <v>1 полугодие</v>
      </c>
      <c r="CS11" s="312" cm="1" t="str">
        <f t="array" ref="CS11:CS11">CS25</f>
        <v>2 полугодие</v>
      </c>
      <c r="CT11" s="312" cm="1" t="str">
        <f t="array" ref="CT11:CT11">CT25</f>
        <v>Год</v>
      </c>
      <c r="CU11" s="312" cm="1" t="str">
        <f t="array" ref="CU11:CU11">CU25</f>
        <v>1 полугодие</v>
      </c>
      <c r="CV11" s="312" cm="1" t="str">
        <f t="array" ref="CV11:CV11">CV25</f>
        <v>2 полугодие</v>
      </c>
      <c r="CW11" s="312" cm="1" t="str">
        <f t="array" ref="CW11:CW11">CW25</f>
        <v>Год</v>
      </c>
      <c r="CX11" s="312" cm="1" t="str">
        <f t="array" ref="CX11:CX11">CX25</f>
        <v>1 полугодие</v>
      </c>
      <c r="CY11" s="312" cm="1" t="str">
        <f t="array" ref="CY11:CY11">CY25</f>
        <v>2 полугодие</v>
      </c>
      <c r="CZ11" s="312" cm="1" t="str">
        <f t="array" ref="CZ11:CZ11">CZ25</f>
        <v>Год</v>
      </c>
      <c r="DA11" s="312" cm="1" t="str">
        <f t="array" ref="DA11:DA11">DA25</f>
        <v>1 полугодие</v>
      </c>
      <c r="DB11" s="312" cm="1" t="str">
        <f t="array" ref="DB11:DB11">DB25</f>
        <v>2 полугодие</v>
      </c>
      <c r="DC11" s="312" cm="1" t="str">
        <f t="array" ref="DC11:DC11">DC25</f>
        <v>Год</v>
      </c>
      <c r="DD11" s="312" cm="1" t="str">
        <f t="array" ref="DD11:DD11">DD25</f>
        <v>1 полугодие</v>
      </c>
      <c r="DE11" s="312" cm="1" t="str">
        <f t="array" ref="DE11:DE11">DE25</f>
        <v>2 полугодие</v>
      </c>
      <c r="DF11" s="312" cm="1" t="str">
        <f t="array" ref="DF11:DF11">DF25</f>
        <v>Год</v>
      </c>
      <c r="DG11" s="312" cm="1" t="str">
        <f t="array" ref="DG11:DG11">DG25</f>
        <v>1 полугодие</v>
      </c>
      <c r="DH11" s="312" cm="1" t="str">
        <f t="array" ref="DH11:DH11">DH25</f>
        <v>2 полугодие</v>
      </c>
      <c r="DI11" s="312" cm="1" t="str">
        <f t="array" ref="DI11:DI11">DI25</f>
        <v>Год</v>
      </c>
      <c r="DJ11" s="312" cm="1" t="str">
        <f t="array" ref="DJ11:DJ11">DJ25</f>
        <v>1 полугодие</v>
      </c>
      <c r="DK11" s="312" cm="1" t="str">
        <f t="array" ref="DK11:DK11">DK25</f>
        <v>2 полугодие</v>
      </c>
      <c r="DL11" s="312" cm="1" t="str">
        <f t="array" ref="DL11:DL11">DL25</f>
        <v>Год</v>
      </c>
      <c r="DM11" s="312" cm="1" t="str">
        <f t="array" ref="DM11:DM11">DM25</f>
        <v>1 полугодие</v>
      </c>
      <c r="DN11" s="312" cm="1" t="str">
        <f t="array" ref="DN11:DN11">DN25</f>
        <v>2 полугодие</v>
      </c>
      <c r="DO11" s="312" cm="1" t="str">
        <f t="array" ref="DO11:DO11">DO25</f>
        <v>Год</v>
      </c>
      <c r="DP11" s="312" cm="1" t="str">
        <f t="array" ref="DP11:DP11">DP25</f>
        <v>1 полугодие</v>
      </c>
      <c r="DQ11" s="312" cm="1" t="str">
        <f t="array" ref="DQ11:DQ11">DQ25</f>
        <v>2 полугодие</v>
      </c>
      <c r="DR11" s="312" cm="1" t="str">
        <f t="array" ref="DR11:DR11">DR25</f>
        <v>Год</v>
      </c>
      <c r="DS11" s="312" cm="1" t="str">
        <f t="array" ref="DS11:DS11">DS25</f>
        <v>1 полугодие</v>
      </c>
      <c r="DT11" s="312" cm="1" t="str">
        <f t="array" ref="DT11:DT11">DT25</f>
        <v>2 полугодие</v>
      </c>
      <c r="DU11" s="312" cm="1" t="str">
        <f t="array" ref="DU11:DU11">DU25</f>
        <v>Год</v>
      </c>
      <c r="DV11" s="312" cm="1" t="str">
        <f t="array" ref="DV11:DV11">DV25</f>
        <v>1 полугодие</v>
      </c>
      <c r="DW11" s="312" cm="1" t="str">
        <f t="array" ref="DW11:DW11">DW25</f>
        <v>2 полугодие</v>
      </c>
      <c r="DX11" s="312" cm="1" t="str">
        <f t="array" ref="DX11:DX11">DX25</f>
        <v>Год</v>
      </c>
      <c r="DY11" s="312" cm="1" t="str">
        <f t="array" ref="DY11:DY11">DY25</f>
        <v>1 полугодие</v>
      </c>
      <c r="DZ11" s="312" cm="1" t="str">
        <f t="array" ref="DZ11:DZ11">DZ25</f>
        <v>2 полугодие</v>
      </c>
      <c r="EA11" s="312" cm="1" t="str">
        <f t="array" ref="EA11:EA11">EA25</f>
        <v>Год</v>
      </c>
      <c r="EB11" s="312" cm="1" t="str">
        <f t="array" ref="EB11:EB11">EB25</f>
        <v>1 полугодие</v>
      </c>
      <c r="EC11" s="312" cm="1" t="str">
        <f t="array" ref="EC11:EC11">EC25</f>
        <v>2 полугодие</v>
      </c>
      <c r="ED11" s="312" cm="1" t="str">
        <f t="array" ref="ED11:ED11">ED25</f>
        <v>Год</v>
      </c>
      <c r="EE11" s="312" cm="1" t="str">
        <f t="array" ref="EE11:EE11">EE25</f>
        <v>1 полугодие</v>
      </c>
      <c r="EF11" s="312" cm="1" t="str">
        <f t="array" ref="EF11:EF11">EF25</f>
        <v>2 полугодие</v>
      </c>
      <c r="EG11" s="312" cm="1" t="str">
        <f t="array" ref="EG11:EG11">EG25</f>
        <v>Год</v>
      </c>
      <c r="EH11" s="312" cm="1" t="str">
        <f t="array" ref="EH11:EH11">EH25</f>
        <v>1 полугодие</v>
      </c>
      <c r="EI11" s="312" cm="1" t="str">
        <f t="array" ref="EI11:EI11">EI25</f>
        <v>2 полугодие</v>
      </c>
      <c r="EJ11" s="312" cm="1" t="str">
        <f t="array" ref="EJ11:EJ11">EJ25</f>
        <v>Год</v>
      </c>
      <c r="EK11" s="312" cm="1" t="str">
        <f t="array" ref="EK11:EK11">EK25</f>
        <v>1 полугодие</v>
      </c>
      <c r="EL11" s="312" cm="1" t="str">
        <f t="array" ref="EL11:EL11">EL25</f>
        <v>2 полугодие</v>
      </c>
      <c r="EM11" s="312" cm="1" t="str">
        <f t="array" ref="EM11:EM11">EM25</f>
        <v>Год</v>
      </c>
      <c r="EN11" s="312" cm="1" t="str">
        <f t="array" ref="EN11:EN11">EN25</f>
        <v>1 полугодие</v>
      </c>
      <c r="EO11" s="312" cm="1" t="str">
        <f t="array" ref="EO11:EO11">EO25</f>
        <v>2 полугодие</v>
      </c>
      <c r="EP11" s="312" cm="1" t="str">
        <f t="array" ref="EP11:EP11">EP25</f>
        <v>Год</v>
      </c>
      <c r="EQ11" s="312" cm="1" t="str">
        <f t="array" ref="EQ11:EQ11">EQ25</f>
        <v>1 полугодие</v>
      </c>
      <c r="ER11" s="312" cm="1" t="str">
        <f t="array" ref="ER11:ER11">ER25</f>
        <v>2 полугодие</v>
      </c>
      <c r="ES11" s="312" cm="1" t="str">
        <f t="array" ref="ES11:ES11">ES25</f>
        <v>Год</v>
      </c>
      <c r="ET11" s="312" cm="1" t="str">
        <f t="array" ref="ET11:ET11">ET25</f>
        <v>1 полугодие</v>
      </c>
      <c r="EU11" s="312" cm="1" t="str">
        <f t="array" ref="EU11:EU11">EU25</f>
        <v>2 полугодие</v>
      </c>
      <c r="EV11" s="312" cm="1" t="str">
        <f t="array" ref="EV11:EV11">EV25</f>
        <v>Год</v>
      </c>
      <c r="EW11" s="312" cm="1" t="str">
        <f t="array" ref="EW11:EW11">EW25</f>
        <v>1 полугодие</v>
      </c>
      <c r="EX11" s="312" cm="1" t="str">
        <f t="array" ref="EX11:EX11">EX25</f>
        <v>2 полугодие</v>
      </c>
      <c r="EY11" s="312" cm="1" t="str">
        <f t="array" ref="EY11:EY11">EY25</f>
        <v>Год</v>
      </c>
      <c r="EZ11" s="312" cm="1" t="str">
        <f t="array" ref="EZ11:EZ11">EZ25</f>
        <v>1 полугодие</v>
      </c>
      <c r="FA11" s="312" cm="1" t="str">
        <f t="array" ref="FA11:FA11">FA25</f>
        <v>2 полугодие</v>
      </c>
      <c r="FB11" s="312" cm="1" t="str">
        <f t="array" ref="FB11:FB11">FB24</f>
        <v>Ссылка на правовую норму (основание для принятия показателя в расчет тарифа)</v>
      </c>
      <c r="FE11" s="489"/>
      <c r="FK11" s="1081"/>
      <c r="FL11" s="1081"/>
      <c r="FM11" s="1081"/>
      <c r="FN11" s="1081"/>
      <c r="FO11" s="1081"/>
      <c r="FP11" s="1081"/>
      <c r="FQ11" s="1081"/>
      <c r="FR11" s="1081"/>
      <c r="FS11" s="1081"/>
      <c r="FT11" s="1081"/>
      <c r="FU11" s="1081"/>
      <c r="FV11" s="1081"/>
      <c r="FW11" s="1081"/>
      <c r="FX11" s="1081"/>
      <c r="FY11" s="1081"/>
      <c r="FZ11" s="1081"/>
    </row>
    <row s="1143" customFormat="1" customHeight="1" ht="11.25" hidden="1">
      <c r="A12" s="309" t="s">
        <v>350</v>
      </c>
      <c r="G12" s="483"/>
      <c r="H12" s="483"/>
      <c r="I12" s="483"/>
      <c r="J12" s="483"/>
      <c r="K12" s="483"/>
      <c r="L12" s="483"/>
      <c r="M12" s="483"/>
      <c r="N12" s="483"/>
      <c r="O12" s="483"/>
      <c r="P12" s="483"/>
      <c r="Q12" s="483"/>
      <c r="AE12" s="312" t="s">
        <v>338</v>
      </c>
      <c r="AF12" s="312" t="s">
        <v>788</v>
      </c>
      <c r="AO12" s="1143"/>
      <c r="AP12" s="1143"/>
      <c r="AQ12" s="1143"/>
      <c r="AR12" s="1143"/>
      <c r="AS12" s="1143"/>
      <c r="AT12" s="1143"/>
      <c r="AU12" s="1143"/>
      <c r="AV12" s="1143"/>
      <c r="AW12" s="1143"/>
      <c r="AX12" s="1143"/>
      <c r="AY12" s="1143"/>
      <c r="AZ12" s="1143"/>
      <c r="BA12" s="1143"/>
      <c r="BB12" s="1143"/>
      <c r="BC12" s="1143"/>
      <c r="BD12" s="1143"/>
      <c r="BE12" s="1143"/>
      <c r="BF12" s="1143"/>
      <c r="BG12" s="1143"/>
      <c r="BH12" s="1143"/>
      <c r="BI12" s="1143"/>
      <c r="BJ12" s="1143"/>
      <c r="BK12" s="1143"/>
      <c r="BL12" s="1143"/>
      <c r="BM12" s="1143"/>
      <c r="BN12" s="1143"/>
      <c r="BO12" s="1143"/>
      <c r="BP12" s="1143"/>
      <c r="BQ12" s="1143"/>
      <c r="BR12" s="1143"/>
      <c r="BS12" s="1143"/>
      <c r="BT12" s="1143"/>
      <c r="BU12" s="1143"/>
      <c r="BV12" s="1143"/>
      <c r="BW12" s="1143"/>
      <c r="BX12" s="1143"/>
      <c r="BY12" s="1143"/>
      <c r="BZ12" s="1143"/>
      <c r="CA12" s="1143"/>
      <c r="CB12" s="1143"/>
      <c r="CC12" s="1143"/>
      <c r="CD12" s="1143"/>
      <c r="CE12" s="1143"/>
      <c r="CF12" s="1143"/>
      <c r="CG12" s="1143"/>
      <c r="CH12" s="1143"/>
      <c r="CI12" s="1143"/>
      <c r="CJ12" s="1143"/>
      <c r="CK12" s="1143"/>
      <c r="CL12" s="1143"/>
      <c r="CM12" s="1143"/>
      <c r="CN12" s="1143"/>
      <c r="CO12" s="1143"/>
      <c r="CP12" s="1143"/>
      <c r="CQ12" s="1143"/>
      <c r="CR12" s="1143"/>
      <c r="CS12" s="1143"/>
      <c r="CT12" s="1143"/>
      <c r="CU12" s="1143"/>
      <c r="CV12" s="1143"/>
      <c r="CW12" s="1143"/>
      <c r="CX12" s="1143"/>
      <c r="CY12" s="1143"/>
      <c r="CZ12" s="1143"/>
      <c r="DA12" s="1143"/>
      <c r="DB12" s="1143"/>
      <c r="DC12" s="1143"/>
      <c r="DD12" s="1143"/>
      <c r="DE12" s="1143"/>
      <c r="DF12" s="1143"/>
      <c r="DG12" s="1143"/>
      <c r="DH12" s="1143"/>
      <c r="DI12" s="1143"/>
      <c r="DJ12" s="1143"/>
      <c r="DK12" s="1143"/>
      <c r="DL12" s="1143"/>
      <c r="DM12" s="1143"/>
      <c r="DN12" s="1143"/>
      <c r="DO12" s="1143"/>
      <c r="DP12" s="1143"/>
      <c r="DQ12" s="1143"/>
      <c r="DR12" s="1143"/>
      <c r="DS12" s="1143"/>
      <c r="DT12" s="1143"/>
      <c r="DU12" s="1143"/>
      <c r="DV12" s="1143"/>
      <c r="DW12" s="1143"/>
      <c r="DX12" s="1143"/>
      <c r="DY12" s="1143"/>
      <c r="DZ12" s="1143"/>
      <c r="EA12" s="1143"/>
      <c r="EB12" s="1143"/>
      <c r="EC12" s="1143"/>
      <c r="ED12" s="1143"/>
      <c r="EE12" s="1143"/>
      <c r="EF12" s="1143"/>
      <c r="EG12" s="1143"/>
      <c r="EH12" s="1143"/>
      <c r="EI12" s="1143"/>
      <c r="EJ12" s="1143"/>
      <c r="EK12" s="1143"/>
      <c r="EL12" s="1143"/>
      <c r="EM12" s="1143"/>
      <c r="EN12" s="1143"/>
      <c r="EO12" s="1143"/>
      <c r="EP12" s="1143"/>
      <c r="EQ12" s="1143"/>
      <c r="ER12" s="1143"/>
      <c r="ES12" s="1143"/>
      <c r="ET12" s="1143"/>
      <c r="EU12" s="1143"/>
      <c r="EV12" s="1143"/>
      <c r="EW12" s="1143"/>
      <c r="EX12" s="1143"/>
      <c r="EY12" s="1143"/>
      <c r="EZ12" s="1143"/>
      <c r="FA12" s="1143"/>
      <c r="FE12" s="489"/>
      <c r="FK12" s="1081"/>
      <c r="FL12" s="1081"/>
      <c r="FM12" s="1081"/>
      <c r="FN12" s="1081"/>
      <c r="FO12" s="1081"/>
      <c r="FP12" s="1081"/>
      <c r="FQ12" s="1081"/>
      <c r="FR12" s="1081"/>
      <c r="FS12" s="1081"/>
      <c r="FT12" s="1081"/>
      <c r="FU12" s="1081"/>
      <c r="FV12" s="1081"/>
      <c r="FW12" s="1081"/>
      <c r="FX12" s="1081"/>
      <c r="FY12" s="1081"/>
      <c r="FZ12" s="1081"/>
    </row>
    <row s="1548" customFormat="1" customHeight="1" ht="11.25" hidden="1">
      <c r="A13" s="371" t="s">
        <v>595</v>
      </c>
      <c r="E13" s="180"/>
      <c r="G13" s="193"/>
      <c r="H13" s="193"/>
      <c r="I13" s="193"/>
      <c r="J13" s="193"/>
      <c r="K13" s="193"/>
      <c r="L13" s="193"/>
      <c r="M13" s="193"/>
      <c r="N13" s="193"/>
      <c r="O13" s="193"/>
      <c r="P13" s="193"/>
      <c r="Q13" s="193"/>
      <c r="AH13" s="1514"/>
      <c r="AI13" s="1514"/>
      <c r="AJ13" s="1514"/>
      <c r="AK13" s="1514"/>
      <c r="AL13" s="1514"/>
      <c r="AM13" s="1370" t="str">
        <f>IF(AM9=2026,"35.0.2.","")</f>
        <v/>
      </c>
      <c r="AN13" s="1514"/>
      <c r="AO13" s="1514"/>
      <c r="AP13" s="1370" t="str">
        <f>IF(AP9=2026,"35.0.2.","")</f>
        <v/>
      </c>
      <c r="AQ13" s="1514"/>
      <c r="AR13" s="1514"/>
      <c r="AS13" s="1514"/>
      <c r="AT13" s="1514"/>
      <c r="AU13" s="1514"/>
      <c r="AV13" s="1514"/>
      <c r="AW13" s="1514"/>
      <c r="AX13" s="1514"/>
      <c r="AY13" s="1514"/>
      <c r="AZ13" s="1514"/>
      <c r="BA13" s="1514"/>
      <c r="BB13" s="1514"/>
      <c r="BC13" s="1514"/>
      <c r="BD13" s="1514"/>
      <c r="BE13" s="1514"/>
      <c r="BF13" s="1514"/>
      <c r="BG13" s="1514"/>
      <c r="BH13" s="1514"/>
      <c r="BI13" s="1514"/>
      <c r="BJ13" s="1514"/>
      <c r="BK13" s="1514"/>
      <c r="BL13" s="1514"/>
      <c r="BM13" s="1514"/>
      <c r="BN13" s="1514"/>
      <c r="BO13" s="1514"/>
      <c r="BP13" s="1514"/>
      <c r="BQ13" s="1514"/>
      <c r="BR13" s="1514"/>
      <c r="BS13" s="1514"/>
      <c r="BT13" s="1514"/>
      <c r="BU13" s="1514"/>
      <c r="BV13" s="1514"/>
      <c r="BW13" s="1514"/>
      <c r="BX13" s="1514"/>
      <c r="BY13" s="1514"/>
      <c r="BZ13" s="1514"/>
      <c r="CA13" s="1514"/>
      <c r="CB13" s="1514"/>
      <c r="CC13" s="1514"/>
      <c r="CD13" s="1514"/>
      <c r="CE13" s="1514"/>
      <c r="CF13" s="1514"/>
      <c r="CG13" s="1514"/>
      <c r="CH13" s="1514"/>
      <c r="CI13" s="1514"/>
      <c r="CJ13" s="1514"/>
      <c r="CK13" s="1514"/>
      <c r="CL13" s="1514"/>
      <c r="CM13" s="1514"/>
      <c r="CN13" s="1514"/>
      <c r="CO13" s="1514"/>
      <c r="CP13" s="1514"/>
      <c r="CQ13" s="1514"/>
      <c r="CR13" s="1514"/>
      <c r="CS13" s="1514"/>
      <c r="CT13" s="1514"/>
      <c r="CU13" s="1370" t="str">
        <f>IF(CU9=2026,"35.0.2.","")</f>
        <v/>
      </c>
      <c r="CV13" s="1514"/>
      <c r="CW13" s="1514"/>
      <c r="CX13" s="1370" t="str">
        <f>IF(CX9=2026,"35.0.2.","")</f>
        <v/>
      </c>
      <c r="CY13" s="1514"/>
      <c r="CZ13" s="1514"/>
      <c r="DA13" s="1514"/>
      <c r="DB13" s="1514"/>
      <c r="DC13" s="1514"/>
      <c r="DD13" s="1514"/>
      <c r="DE13" s="1514"/>
      <c r="DF13" s="1514"/>
      <c r="DG13" s="1514"/>
      <c r="DH13" s="1514"/>
      <c r="DI13" s="1514"/>
      <c r="DJ13" s="1514"/>
      <c r="DK13" s="1514"/>
      <c r="DL13" s="1514"/>
      <c r="DM13" s="1514"/>
      <c r="DN13" s="1514"/>
      <c r="DO13" s="1514"/>
      <c r="DP13" s="1514"/>
      <c r="DQ13" s="1514"/>
      <c r="DR13" s="1514"/>
      <c r="DS13" s="1514"/>
      <c r="DT13" s="1514"/>
      <c r="DU13" s="1514"/>
      <c r="DV13" s="1514"/>
      <c r="DW13" s="1514"/>
      <c r="DX13" s="1514"/>
      <c r="DY13" s="1514"/>
      <c r="DZ13" s="1514"/>
      <c r="EA13" s="1514"/>
      <c r="EB13" s="1514"/>
      <c r="EC13" s="1514"/>
      <c r="ED13" s="1514"/>
      <c r="EE13" s="1514"/>
      <c r="EF13" s="1514"/>
      <c r="EG13" s="1514"/>
      <c r="EH13" s="1514"/>
      <c r="EI13" s="1514"/>
      <c r="EJ13" s="1514"/>
      <c r="EK13" s="1514"/>
      <c r="EL13" s="1514"/>
      <c r="EM13" s="1514"/>
      <c r="EN13" s="1514"/>
      <c r="EO13" s="1514"/>
      <c r="EP13" s="1514"/>
      <c r="EQ13" s="1514"/>
      <c r="ER13" s="1514"/>
      <c r="ES13" s="1514"/>
      <c r="ET13" s="1514"/>
      <c r="EU13" s="1514"/>
      <c r="EV13" s="1514"/>
      <c r="EW13" s="1514"/>
      <c r="EX13" s="1514"/>
      <c r="EY13" s="1514"/>
      <c r="EZ13" s="1514"/>
      <c r="FA13" s="1514"/>
      <c r="FB13" s="1072"/>
      <c r="FE13" s="489"/>
      <c r="FF13" s="312"/>
      <c r="FG13" s="312"/>
      <c r="FH13" s="312"/>
      <c r="FI13" s="180"/>
      <c r="FJ13" s="180"/>
      <c r="FK13" s="0"/>
      <c r="FL13" s="1158"/>
      <c r="FM13" s="1158"/>
      <c r="FN13" s="1158"/>
      <c r="FO13" s="1158"/>
      <c r="FP13" s="1158"/>
      <c r="FQ13" s="1158"/>
      <c r="FR13" s="1158"/>
      <c r="FS13" s="1158"/>
      <c r="FT13" s="1158"/>
      <c r="FU13" s="1158"/>
      <c r="FV13" s="1158"/>
      <c r="FW13" s="1158"/>
      <c r="FX13" s="1158"/>
      <c r="FY13" s="1158"/>
      <c r="FZ13" s="1158"/>
    </row>
    <row customHeight="1" ht="11.25" hidden="1">
      <c r="A14" s="371" t="s">
        <v>794</v>
      </c>
      <c r="AH14" s="1371" t="s">
        <v>795</v>
      </c>
      <c r="AI14" s="1371" t="s">
        <v>795</v>
      </c>
      <c r="AJ14" s="1371" t="s">
        <v>795</v>
      </c>
      <c r="AK14" s="1371" t="s">
        <v>795</v>
      </c>
      <c r="AL14" s="1371" t="s">
        <v>795</v>
      </c>
      <c r="AM14" s="1371" t="str">
        <f>IF(god=2026,"","8.0.3.")</f>
        <v>8.0.3.</v>
      </c>
      <c r="AN14" s="1491" t="str">
        <f>IF(god=2026,"8.0.7.","8.0.5.")</f>
        <v>8.0.5.</v>
      </c>
      <c r="AO14" s="1372" t="s">
        <v>795</v>
      </c>
      <c r="AP14" s="1371" t="str">
        <f>IF(god=2025,"","8.0.3.")</f>
        <v>8.0.3.</v>
      </c>
      <c r="AQ14" s="1371" t="str">
        <f>IF(god=2025,"8.0.7.","8.0.5.")</f>
        <v>8.0.5.</v>
      </c>
      <c r="AR14" s="1371" t="s">
        <v>795</v>
      </c>
      <c r="AS14" s="1371" t="s">
        <v>796</v>
      </c>
      <c r="AT14" s="1371" t="s">
        <v>797</v>
      </c>
      <c r="AU14" s="1371" t="s">
        <v>795</v>
      </c>
      <c r="AV14" s="1371" t="s">
        <v>796</v>
      </c>
      <c r="AW14" s="1371" t="s">
        <v>797</v>
      </c>
      <c r="AX14" s="1371" t="s">
        <v>795</v>
      </c>
      <c r="AY14" s="1371" t="s">
        <v>796</v>
      </c>
      <c r="AZ14" s="1371" t="s">
        <v>797</v>
      </c>
      <c r="BA14" s="1371" t="s">
        <v>795</v>
      </c>
      <c r="BB14" s="1371" t="s">
        <v>796</v>
      </c>
      <c r="BC14" s="1371" t="s">
        <v>797</v>
      </c>
      <c r="BD14" s="1371" t="s">
        <v>795</v>
      </c>
      <c r="BE14" s="1371" t="s">
        <v>796</v>
      </c>
      <c r="BF14" s="1371" t="s">
        <v>797</v>
      </c>
      <c r="BG14" s="1371" t="s">
        <v>795</v>
      </c>
      <c r="BH14" s="1371" t="s">
        <v>796</v>
      </c>
      <c r="BI14" s="1371" t="s">
        <v>797</v>
      </c>
      <c r="BJ14" s="1371" t="s">
        <v>795</v>
      </c>
      <c r="BK14" s="1371" t="s">
        <v>796</v>
      </c>
      <c r="BL14" s="1371" t="s">
        <v>797</v>
      </c>
      <c r="BM14" s="1371" t="s">
        <v>795</v>
      </c>
      <c r="BN14" s="1371" t="s">
        <v>796</v>
      </c>
      <c r="BO14" s="1371" t="s">
        <v>797</v>
      </c>
      <c r="BP14" s="1371" t="s">
        <v>795</v>
      </c>
      <c r="BQ14" s="1373" t="s">
        <v>796</v>
      </c>
      <c r="BR14" s="1374" t="s">
        <v>797</v>
      </c>
      <c r="BS14" s="1375" t="s">
        <v>795</v>
      </c>
      <c r="BT14" s="1376" t="s">
        <v>796</v>
      </c>
      <c r="BU14" s="1377" t="s">
        <v>797</v>
      </c>
      <c r="BV14" s="1378" t="s">
        <v>795</v>
      </c>
      <c r="BW14" s="1379" t="s">
        <v>796</v>
      </c>
      <c r="BX14" s="1380" t="s">
        <v>797</v>
      </c>
      <c r="BY14" s="1381" t="s">
        <v>795</v>
      </c>
      <c r="BZ14" s="1382" t="s">
        <v>796</v>
      </c>
      <c r="CA14" s="1383" t="s">
        <v>797</v>
      </c>
      <c r="CB14" s="1384" t="s">
        <v>795</v>
      </c>
      <c r="CC14" s="1385" t="s">
        <v>796</v>
      </c>
      <c r="CD14" s="1386" t="s">
        <v>797</v>
      </c>
      <c r="CE14" s="1387" t="s">
        <v>795</v>
      </c>
      <c r="CF14" s="1388" t="s">
        <v>796</v>
      </c>
      <c r="CG14" s="1389" t="s">
        <v>797</v>
      </c>
      <c r="CH14" s="1390" t="s">
        <v>795</v>
      </c>
      <c r="CI14" s="1391" t="s">
        <v>796</v>
      </c>
      <c r="CJ14" s="1392" t="s">
        <v>797</v>
      </c>
      <c r="CK14" s="1393" t="s">
        <v>795</v>
      </c>
      <c r="CL14" s="1394" t="s">
        <v>796</v>
      </c>
      <c r="CM14" s="1395" t="s">
        <v>797</v>
      </c>
      <c r="CN14" s="1396" t="s">
        <v>795</v>
      </c>
      <c r="CO14" s="1397" t="s">
        <v>796</v>
      </c>
      <c r="CP14" s="1398" t="s">
        <v>797</v>
      </c>
      <c r="CQ14" s="1399" t="s">
        <v>795</v>
      </c>
      <c r="CR14" s="1400" t="s">
        <v>796</v>
      </c>
      <c r="CS14" s="1401" t="s">
        <v>797</v>
      </c>
      <c r="CT14" s="1371" t="s">
        <v>795</v>
      </c>
      <c r="CU14" s="1371" t="str">
        <f>IF(god=2026,"","8.0.3.")</f>
        <v>8.0.3.</v>
      </c>
      <c r="CV14" s="1491" t="str">
        <f>IF(god=2026,"8.0.7.","8.0.5.")</f>
        <v>8.0.5.</v>
      </c>
      <c r="CW14" s="1371" t="s">
        <v>795</v>
      </c>
      <c r="CX14" s="1371" t="str">
        <f>IF(god=2025,"","8.0.3.")</f>
        <v>8.0.3.</v>
      </c>
      <c r="CY14" s="1371" t="str">
        <f>IF(god=2025,"8.0.7.","8.0.5.")</f>
        <v>8.0.5.</v>
      </c>
      <c r="CZ14" s="1371" t="s">
        <v>795</v>
      </c>
      <c r="DA14" s="1371" t="s">
        <v>796</v>
      </c>
      <c r="DB14" s="1371" t="s">
        <v>797</v>
      </c>
      <c r="DC14" s="1371" t="s">
        <v>795</v>
      </c>
      <c r="DD14" s="1371" t="s">
        <v>796</v>
      </c>
      <c r="DE14" s="1371" t="s">
        <v>797</v>
      </c>
      <c r="DF14" s="1371" t="s">
        <v>795</v>
      </c>
      <c r="DG14" s="1371" t="s">
        <v>796</v>
      </c>
      <c r="DH14" s="1371" t="s">
        <v>797</v>
      </c>
      <c r="DI14" s="1371" t="s">
        <v>795</v>
      </c>
      <c r="DJ14" s="1371" t="s">
        <v>796</v>
      </c>
      <c r="DK14" s="1371" t="s">
        <v>797</v>
      </c>
      <c r="DL14" s="1371" t="s">
        <v>795</v>
      </c>
      <c r="DM14" s="1371" t="s">
        <v>796</v>
      </c>
      <c r="DN14" s="1371" t="s">
        <v>797</v>
      </c>
      <c r="DO14" s="1371" t="s">
        <v>795</v>
      </c>
      <c r="DP14" s="1371" t="s">
        <v>796</v>
      </c>
      <c r="DQ14" s="1371" t="s">
        <v>797</v>
      </c>
      <c r="DR14" s="1371" t="s">
        <v>795</v>
      </c>
      <c r="DS14" s="1371" t="s">
        <v>796</v>
      </c>
      <c r="DT14" s="1371" t="s">
        <v>797</v>
      </c>
      <c r="DU14" s="1371" t="s">
        <v>795</v>
      </c>
      <c r="DV14" s="1371" t="s">
        <v>796</v>
      </c>
      <c r="DW14" s="1371" t="s">
        <v>797</v>
      </c>
      <c r="DX14" s="1402" t="s">
        <v>795</v>
      </c>
      <c r="DY14" s="1403" t="s">
        <v>796</v>
      </c>
      <c r="DZ14" s="1404" t="s">
        <v>797</v>
      </c>
      <c r="EA14" s="1405" t="s">
        <v>795</v>
      </c>
      <c r="EB14" s="1406" t="s">
        <v>796</v>
      </c>
      <c r="EC14" s="1407" t="s">
        <v>797</v>
      </c>
      <c r="ED14" s="1408" t="s">
        <v>795</v>
      </c>
      <c r="EE14" s="1409" t="s">
        <v>796</v>
      </c>
      <c r="EF14" s="1410" t="s">
        <v>797</v>
      </c>
      <c r="EG14" s="1411" t="s">
        <v>795</v>
      </c>
      <c r="EH14" s="1412" t="s">
        <v>796</v>
      </c>
      <c r="EI14" s="1413" t="s">
        <v>797</v>
      </c>
      <c r="EJ14" s="1414" t="s">
        <v>795</v>
      </c>
      <c r="EK14" s="1415" t="s">
        <v>796</v>
      </c>
      <c r="EL14" s="1416" t="s">
        <v>797</v>
      </c>
      <c r="EM14" s="1417" t="s">
        <v>795</v>
      </c>
      <c r="EN14" s="1418" t="s">
        <v>796</v>
      </c>
      <c r="EO14" s="1419" t="s">
        <v>797</v>
      </c>
      <c r="EP14" s="1420" t="s">
        <v>795</v>
      </c>
      <c r="EQ14" s="1421" t="s">
        <v>796</v>
      </c>
      <c r="ER14" s="1422" t="s">
        <v>797</v>
      </c>
      <c r="ES14" s="1423" t="s">
        <v>795</v>
      </c>
      <c r="ET14" s="1424" t="s">
        <v>796</v>
      </c>
      <c r="EU14" s="1425" t="s">
        <v>797</v>
      </c>
      <c r="EV14" s="1426" t="s">
        <v>795</v>
      </c>
      <c r="EW14" s="1427" t="s">
        <v>796</v>
      </c>
      <c r="EX14" s="1428" t="s">
        <v>797</v>
      </c>
      <c r="EY14" s="1429" t="s">
        <v>795</v>
      </c>
      <c r="EZ14" s="1430" t="s">
        <v>796</v>
      </c>
      <c r="FA14" s="1431" t="s">
        <v>797</v>
      </c>
      <c r="FB14" s="1371"/>
    </row>
    <row s="1548" customFormat="1" customHeight="1" ht="11.25" hidden="1">
      <c r="A15" s="371" t="s">
        <v>109</v>
      </c>
      <c r="E15" s="180"/>
      <c r="G15" s="193"/>
      <c r="H15" s="193"/>
      <c r="I15" s="193"/>
      <c r="J15" s="193"/>
      <c r="K15" s="193"/>
      <c r="L15" s="193"/>
      <c r="M15" s="193"/>
      <c r="N15" s="193"/>
      <c r="O15" s="193"/>
      <c r="P15" s="193"/>
      <c r="Q15" s="193"/>
      <c r="AH15" s="1072" t="str">
        <f>"389.0."&amp;AH9-2010&amp;"."</f>
        <v>389.0.15.</v>
      </c>
      <c r="AI15" s="1072" t="str">
        <f>"389.0."&amp;AI9-2010&amp;"."</f>
        <v>389.0.15.</v>
      </c>
      <c r="AJ15" s="1072" t="str">
        <f>"389.0."&amp;AJ9-2010&amp;"."</f>
        <v>389.0.15.</v>
      </c>
      <c r="AK15" s="1072" t="str">
        <f>"389.0."&amp;AK9-2010&amp;"."</f>
        <v>389.0.16.</v>
      </c>
      <c r="AL15" s="1072" t="str">
        <f>"389.0."&amp;AL9-2010&amp;"."</f>
        <v>389.0.17.</v>
      </c>
      <c r="AM15" s="1072" t="str">
        <f>"389.0."&amp;AM9-2010&amp;"."</f>
        <v>389.0.17.</v>
      </c>
      <c r="AN15" s="1072" t="str">
        <f>"389.0."&amp;AN9-2010&amp;"."</f>
        <v>389.0.17.</v>
      </c>
      <c r="AO15" s="1072" t="str">
        <f>"389.0."&amp;AO9-2010&amp;"."</f>
        <v>389.0.18.</v>
      </c>
      <c r="AP15" s="1072" t="str">
        <f>"389.0."&amp;AP9-2010&amp;"."</f>
        <v>389.0.18.</v>
      </c>
      <c r="AQ15" s="1072" t="str">
        <f>"389.0."&amp;AQ9-2010&amp;"."</f>
        <v>389.0.18.</v>
      </c>
      <c r="AR15" s="1072" t="str">
        <f>"389.0."&amp;AR9-2010&amp;"."</f>
        <v>389.0.19.</v>
      </c>
      <c r="AS15" s="1072" t="str">
        <f>"389.0."&amp;AS9-2010&amp;"."</f>
        <v>389.0.19.</v>
      </c>
      <c r="AT15" s="1072" t="str">
        <f>"389.0."&amp;AT9-2010&amp;"."</f>
        <v>389.0.19.</v>
      </c>
      <c r="AU15" s="1072" t="str">
        <f>"389.0."&amp;AU9-2010&amp;"."</f>
        <v>389.0.20.</v>
      </c>
      <c r="AV15" s="1072" t="str">
        <f>"389.0."&amp;AV9-2010&amp;"."</f>
        <v>389.0.20.</v>
      </c>
      <c r="AW15" s="1072" t="str">
        <f>"389.0."&amp;AW9-2010&amp;"."</f>
        <v>389.0.20.</v>
      </c>
      <c r="AX15" s="1072" t="str">
        <f>"389.0."&amp;AX9-2010&amp;"."</f>
        <v>389.0.21.</v>
      </c>
      <c r="AY15" s="1072" t="str">
        <f>"389.0."&amp;AY9-2010&amp;"."</f>
        <v>389.0.21.</v>
      </c>
      <c r="AZ15" s="1072" t="str">
        <f>"389.0."&amp;AZ9-2010&amp;"."</f>
        <v>389.0.21.</v>
      </c>
      <c r="BA15" s="1072" t="str">
        <f>"389.0."&amp;BA9-2010&amp;"."</f>
        <v>389.0.22.</v>
      </c>
      <c r="BB15" s="1072" t="str">
        <f>"389.0."&amp;BB9-2010&amp;"."</f>
        <v>389.0.22.</v>
      </c>
      <c r="BC15" s="1072" t="str">
        <f>"389.0."&amp;BC9-2010&amp;"."</f>
        <v>389.0.22.</v>
      </c>
      <c r="BD15" s="1072" t="str">
        <f>"389.0."&amp;BD9-2010&amp;"."</f>
        <v>389.0.23.</v>
      </c>
      <c r="BE15" s="1072" t="str">
        <f>"389.0."&amp;BE9-2010&amp;"."</f>
        <v>389.0.23.</v>
      </c>
      <c r="BF15" s="1072" t="str">
        <f>"389.0."&amp;BF9-2010&amp;"."</f>
        <v>389.0.23.</v>
      </c>
      <c r="BG15" s="1072" t="str">
        <f>"389.0."&amp;BG9-2010&amp;"."</f>
        <v>389.0.24.</v>
      </c>
      <c r="BH15" s="1072" t="str">
        <f>"389.0."&amp;BH9-2010&amp;"."</f>
        <v>389.0.24.</v>
      </c>
      <c r="BI15" s="1072" t="str">
        <f>"389.0."&amp;BI9-2010&amp;"."</f>
        <v>389.0.24.</v>
      </c>
      <c r="BJ15" s="1072" t="str">
        <f>"389.0."&amp;BJ9-2010&amp;"."</f>
        <v>389.0.25.</v>
      </c>
      <c r="BK15" s="1072" t="str">
        <f>"389.0."&amp;BK9-2010&amp;"."</f>
        <v>389.0.25.</v>
      </c>
      <c r="BL15" s="1072" t="str">
        <f>"389.0."&amp;BL9-2010&amp;"."</f>
        <v>389.0.25.</v>
      </c>
      <c r="BM15" s="1072" t="str">
        <f>"389.0."&amp;BM9-2010&amp;"."</f>
        <v>389.0.26.</v>
      </c>
      <c r="BN15" s="1072" t="str">
        <f>"389.0."&amp;BN9-2010&amp;"."</f>
        <v>389.0.26.</v>
      </c>
      <c r="BO15" s="1072" t="str">
        <f>"389.0."&amp;BO9-2010&amp;"."</f>
        <v>389.0.26.</v>
      </c>
      <c r="BP15" s="1072" t="str">
        <f>"389.0."&amp;BP9-2010&amp;"."</f>
        <v>389.0.27.</v>
      </c>
      <c r="BQ15" s="1072" t="str">
        <f>"389.0."&amp;BQ9-2010&amp;"."</f>
        <v>389.0.27.</v>
      </c>
      <c r="BR15" s="1072" t="str">
        <f>"389.0."&amp;BR9-2010&amp;"."</f>
        <v>389.0.27.</v>
      </c>
      <c r="BS15" s="1072" t="str">
        <f>"389.0."&amp;BS9-2010&amp;"."</f>
        <v>389.0.28.</v>
      </c>
      <c r="BT15" s="1072" t="str">
        <f>"389.0."&amp;BT9-2010&amp;"."</f>
        <v>389.0.28.</v>
      </c>
      <c r="BU15" s="1072" t="str">
        <f>"389.0."&amp;BU9-2010&amp;"."</f>
        <v>389.0.28.</v>
      </c>
      <c r="BV15" s="1072" t="str">
        <f>"389.0."&amp;BV9-2010&amp;"."</f>
        <v>389.0.29.</v>
      </c>
      <c r="BW15" s="1072" t="str">
        <f>"389.0."&amp;BW9-2010&amp;"."</f>
        <v>389.0.29.</v>
      </c>
      <c r="BX15" s="1072" t="str">
        <f>"389.0."&amp;BX9-2010&amp;"."</f>
        <v>389.0.29.</v>
      </c>
      <c r="BY15" s="1072" t="str">
        <f>"389.0."&amp;BY9-2010&amp;"."</f>
        <v>389.0.30.</v>
      </c>
      <c r="BZ15" s="1072" t="str">
        <f>"389.0."&amp;BZ9-2010&amp;"."</f>
        <v>389.0.30.</v>
      </c>
      <c r="CA15" s="1072" t="str">
        <f>"389.0."&amp;CA9-2010&amp;"."</f>
        <v>389.0.30.</v>
      </c>
      <c r="CB15" s="1072" t="str">
        <f>"389.0."&amp;CB9-2010&amp;"."</f>
        <v>389.0.31.</v>
      </c>
      <c r="CC15" s="1072" t="str">
        <f>"389.0."&amp;CC9-2010&amp;"."</f>
        <v>389.0.31.</v>
      </c>
      <c r="CD15" s="1072" t="str">
        <f>"389.0."&amp;CD9-2010&amp;"."</f>
        <v>389.0.31.</v>
      </c>
      <c r="CE15" s="1072" t="str">
        <f>"389.0."&amp;CE9-2010&amp;"."</f>
        <v>389.0.32.</v>
      </c>
      <c r="CF15" s="1072" t="str">
        <f>"389.0."&amp;CF9-2010&amp;"."</f>
        <v>389.0.32.</v>
      </c>
      <c r="CG15" s="1072" t="str">
        <f>"389.0."&amp;CG9-2010&amp;"."</f>
        <v>389.0.32.</v>
      </c>
      <c r="CH15" s="1072" t="str">
        <f>"389.0."&amp;CH9-2010&amp;"."</f>
        <v>389.0.33.</v>
      </c>
      <c r="CI15" s="1072" t="str">
        <f>"389.0."&amp;CI9-2010&amp;"."</f>
        <v>389.0.33.</v>
      </c>
      <c r="CJ15" s="1072" t="str">
        <f>"389.0."&amp;CJ9-2010&amp;"."</f>
        <v>389.0.33.</v>
      </c>
      <c r="CK15" s="1072" t="str">
        <f>"389.0."&amp;CK9-2010&amp;"."</f>
        <v>389.0.34.</v>
      </c>
      <c r="CL15" s="1072" t="str">
        <f>"389.0."&amp;CL9-2010&amp;"."</f>
        <v>389.0.34.</v>
      </c>
      <c r="CM15" s="1072" t="str">
        <f>"389.0."&amp;CM9-2010&amp;"."</f>
        <v>389.0.34.</v>
      </c>
      <c r="CN15" s="1072" t="str">
        <f>"389.0."&amp;CN9-2010&amp;"."</f>
        <v>389.0.35.</v>
      </c>
      <c r="CO15" s="1072" t="str">
        <f>"389.0."&amp;CO9-2010&amp;"."</f>
        <v>389.0.35.</v>
      </c>
      <c r="CP15" s="1072" t="str">
        <f>"389.0."&amp;CP9-2010&amp;"."</f>
        <v>389.0.35.</v>
      </c>
      <c r="CQ15" s="1072" t="str">
        <f>"389.0."&amp;CQ9-2010&amp;"."</f>
        <v>389.0.36.</v>
      </c>
      <c r="CR15" s="1072" t="str">
        <f>"389.0."&amp;CR9-2010&amp;"."</f>
        <v>389.0.36.</v>
      </c>
      <c r="CS15" s="1072" t="str">
        <f>"389.0."&amp;CS9-2010&amp;"."</f>
        <v>389.0.36.</v>
      </c>
      <c r="CT15" s="1072" t="str">
        <f>"389.0."&amp;CT9-2010&amp;"."</f>
        <v>389.0.17.</v>
      </c>
      <c r="CU15" s="1072" t="str">
        <f>"389.0."&amp;CU9-2010&amp;"."</f>
        <v>389.0.17.</v>
      </c>
      <c r="CV15" s="1072" t="str">
        <f>"389.0."&amp;CV9-2010&amp;"."</f>
        <v>389.0.17.</v>
      </c>
      <c r="CW15" s="1072" t="str">
        <f>"389.0."&amp;CW9-2010&amp;"."</f>
        <v>389.0.18.</v>
      </c>
      <c r="CX15" s="1072" t="str">
        <f>"389.0."&amp;CX9-2010&amp;"."</f>
        <v>389.0.18.</v>
      </c>
      <c r="CY15" s="1072" t="str">
        <f>"389.0."&amp;CY9-2010&amp;"."</f>
        <v>389.0.18.</v>
      </c>
      <c r="CZ15" s="1072" t="str">
        <f>"389.0."&amp;CZ9-2010&amp;"."</f>
        <v>389.0.19.</v>
      </c>
      <c r="DA15" s="1072" t="str">
        <f>"389.0."&amp;DA9-2010&amp;"."</f>
        <v>389.0.19.</v>
      </c>
      <c r="DB15" s="1072" t="str">
        <f>"389.0."&amp;DB9-2010&amp;"."</f>
        <v>389.0.19.</v>
      </c>
      <c r="DC15" s="1072" t="str">
        <f>"389.0."&amp;DC9-2010&amp;"."</f>
        <v>389.0.20.</v>
      </c>
      <c r="DD15" s="1072" t="str">
        <f>"389.0."&amp;DD9-2010&amp;"."</f>
        <v>389.0.20.</v>
      </c>
      <c r="DE15" s="1072" t="str">
        <f>"389.0."&amp;DE9-2010&amp;"."</f>
        <v>389.0.20.</v>
      </c>
      <c r="DF15" s="1072" t="str">
        <f>"389.0."&amp;DF9-2010&amp;"."</f>
        <v>389.0.21.</v>
      </c>
      <c r="DG15" s="1072" t="str">
        <f>"389.0."&amp;DG9-2010&amp;"."</f>
        <v>389.0.21.</v>
      </c>
      <c r="DH15" s="1072" t="str">
        <f>"389.0."&amp;DH9-2010&amp;"."</f>
        <v>389.0.21.</v>
      </c>
      <c r="DI15" s="1072" t="str">
        <f>"389.0."&amp;DI9-2010&amp;"."</f>
        <v>389.0.22.</v>
      </c>
      <c r="DJ15" s="1072" t="str">
        <f>"389.0."&amp;DJ9-2010&amp;"."</f>
        <v>389.0.22.</v>
      </c>
      <c r="DK15" s="1072" t="str">
        <f>"389.0."&amp;DK9-2010&amp;"."</f>
        <v>389.0.22.</v>
      </c>
      <c r="DL15" s="1072" t="str">
        <f>"389.0."&amp;DL9-2010&amp;"."</f>
        <v>389.0.23.</v>
      </c>
      <c r="DM15" s="1072" t="str">
        <f>"389.0."&amp;DM9-2010&amp;"."</f>
        <v>389.0.23.</v>
      </c>
      <c r="DN15" s="1072" t="str">
        <f>"389.0."&amp;DN9-2010&amp;"."</f>
        <v>389.0.23.</v>
      </c>
      <c r="DO15" s="1072" t="str">
        <f>"389.0."&amp;DO9-2010&amp;"."</f>
        <v>389.0.24.</v>
      </c>
      <c r="DP15" s="1072" t="str">
        <f>"389.0."&amp;DP9-2010&amp;"."</f>
        <v>389.0.24.</v>
      </c>
      <c r="DQ15" s="1072" t="str">
        <f>"389.0."&amp;DQ9-2010&amp;"."</f>
        <v>389.0.24.</v>
      </c>
      <c r="DR15" s="1072" t="str">
        <f>"389.0."&amp;DR9-2010&amp;"."</f>
        <v>389.0.25.</v>
      </c>
      <c r="DS15" s="1072" t="str">
        <f>"389.0."&amp;DS9-2010&amp;"."</f>
        <v>389.0.25.</v>
      </c>
      <c r="DT15" s="1072" t="str">
        <f>"389.0."&amp;DT9-2010&amp;"."</f>
        <v>389.0.25.</v>
      </c>
      <c r="DU15" s="1072" t="str">
        <f>"389.0."&amp;DU9-2010&amp;"."</f>
        <v>389.0.26.</v>
      </c>
      <c r="DV15" s="1072" t="str">
        <f>"389.0."&amp;DV9-2010&amp;"."</f>
        <v>389.0.26.</v>
      </c>
      <c r="DW15" s="1072" t="str">
        <f>"389.0."&amp;DW9-2010&amp;"."</f>
        <v>389.0.26.</v>
      </c>
      <c r="DX15" s="1072" t="str">
        <f>"389.0."&amp;DX9-2010&amp;"."</f>
        <v>389.0.27.</v>
      </c>
      <c r="DY15" s="1072" t="str">
        <f>"389.0."&amp;DY9-2010&amp;"."</f>
        <v>389.0.27.</v>
      </c>
      <c r="DZ15" s="1072" t="str">
        <f>"389.0."&amp;DZ9-2010&amp;"."</f>
        <v>389.0.27.</v>
      </c>
      <c r="EA15" s="1072" t="str">
        <f>"389.0."&amp;EA9-2010&amp;"."</f>
        <v>389.0.28.</v>
      </c>
      <c r="EB15" s="1072" t="str">
        <f>"389.0."&amp;EB9-2010&amp;"."</f>
        <v>389.0.28.</v>
      </c>
      <c r="EC15" s="1072" t="str">
        <f>"389.0."&amp;EC9-2010&amp;"."</f>
        <v>389.0.28.</v>
      </c>
      <c r="ED15" s="1072" t="str">
        <f>"389.0."&amp;ED9-2010&amp;"."</f>
        <v>389.0.29.</v>
      </c>
      <c r="EE15" s="1072" t="str">
        <f>"389.0."&amp;EE9-2010&amp;"."</f>
        <v>389.0.29.</v>
      </c>
      <c r="EF15" s="1072" t="str">
        <f>"389.0."&amp;EF9-2010&amp;"."</f>
        <v>389.0.29.</v>
      </c>
      <c r="EG15" s="1072" t="str">
        <f>"389.0."&amp;EG9-2010&amp;"."</f>
        <v>389.0.30.</v>
      </c>
      <c r="EH15" s="1072" t="str">
        <f>"389.0."&amp;EH9-2010&amp;"."</f>
        <v>389.0.30.</v>
      </c>
      <c r="EI15" s="1072" t="str">
        <f>"389.0."&amp;EI9-2010&amp;"."</f>
        <v>389.0.30.</v>
      </c>
      <c r="EJ15" s="1072" t="str">
        <f>"389.0."&amp;EJ9-2010&amp;"."</f>
        <v>389.0.31.</v>
      </c>
      <c r="EK15" s="1072" t="str">
        <f>"389.0."&amp;EK9-2010&amp;"."</f>
        <v>389.0.31.</v>
      </c>
      <c r="EL15" s="1072" t="str">
        <f>"389.0."&amp;EL9-2010&amp;"."</f>
        <v>389.0.31.</v>
      </c>
      <c r="EM15" s="1072" t="str">
        <f>"389.0."&amp;EM9-2010&amp;"."</f>
        <v>389.0.32.</v>
      </c>
      <c r="EN15" s="1072" t="str">
        <f>"389.0."&amp;EN9-2010&amp;"."</f>
        <v>389.0.32.</v>
      </c>
      <c r="EO15" s="1072" t="str">
        <f>"389.0."&amp;EO9-2010&amp;"."</f>
        <v>389.0.32.</v>
      </c>
      <c r="EP15" s="1072" t="str">
        <f>"389.0."&amp;EP9-2010&amp;"."</f>
        <v>389.0.33.</v>
      </c>
      <c r="EQ15" s="1072" t="str">
        <f>"389.0."&amp;EQ9-2010&amp;"."</f>
        <v>389.0.33.</v>
      </c>
      <c r="ER15" s="1072" t="str">
        <f>"389.0."&amp;ER9-2010&amp;"."</f>
        <v>389.0.33.</v>
      </c>
      <c r="ES15" s="1072" t="str">
        <f>"389.0."&amp;ES9-2010&amp;"."</f>
        <v>389.0.34.</v>
      </c>
      <c r="ET15" s="1072" t="str">
        <f>"389.0."&amp;ET9-2010&amp;"."</f>
        <v>389.0.34.</v>
      </c>
      <c r="EU15" s="1072" t="str">
        <f>"389.0."&amp;EU9-2010&amp;"."</f>
        <v>389.0.34.</v>
      </c>
      <c r="EV15" s="1072" t="str">
        <f>"389.0."&amp;EV9-2010&amp;"."</f>
        <v>389.0.35.</v>
      </c>
      <c r="EW15" s="1072" t="str">
        <f>"389.0."&amp;EW9-2010&amp;"."</f>
        <v>389.0.35.</v>
      </c>
      <c r="EX15" s="1072" t="str">
        <f>"389.0."&amp;EX9-2010&amp;"."</f>
        <v>389.0.35.</v>
      </c>
      <c r="EY15" s="1072" t="str">
        <f>"389.0."&amp;EY9-2010&amp;"."</f>
        <v>389.0.36.</v>
      </c>
      <c r="EZ15" s="1072" t="str">
        <f>"389.0."&amp;EZ9-2010&amp;"."</f>
        <v>389.0.36.</v>
      </c>
      <c r="FA15" s="1072" t="str">
        <f>"389.0."&amp;FA9-2010&amp;"."</f>
        <v>389.0.36.</v>
      </c>
      <c r="FB15" s="1072"/>
      <c r="FE15" s="489"/>
      <c r="FF15" s="312"/>
      <c r="FG15" s="312"/>
      <c r="FH15" s="312"/>
      <c r="FI15" s="180"/>
      <c r="FJ15" s="180"/>
      <c r="FK15" s="0"/>
      <c r="FL15" s="1158"/>
      <c r="FM15" s="1158"/>
      <c r="FN15" s="1158"/>
      <c r="FO15" s="1158"/>
      <c r="FP15" s="1158"/>
      <c r="FQ15" s="1158"/>
      <c r="FR15" s="1158"/>
      <c r="FS15" s="1158"/>
      <c r="FT15" s="1158"/>
      <c r="FU15" s="1158"/>
      <c r="FV15" s="1158"/>
      <c r="FW15" s="1158"/>
      <c r="FX15" s="1158"/>
      <c r="FY15" s="1158"/>
      <c r="FZ15" s="1158"/>
    </row>
    <row s="1548" customFormat="1" customHeight="1" ht="11.25" hidden="1">
      <c r="A16" s="371" t="s">
        <v>406</v>
      </c>
      <c r="E16" s="180"/>
      <c r="G16" s="193"/>
      <c r="H16" s="193"/>
      <c r="I16" s="193"/>
      <c r="J16" s="193"/>
      <c r="K16" s="193"/>
      <c r="L16" s="193"/>
      <c r="M16" s="193"/>
      <c r="N16" s="193"/>
      <c r="O16" s="193"/>
      <c r="P16" s="193"/>
      <c r="Q16" s="193"/>
      <c r="AH16" s="1072" t="s">
        <v>407</v>
      </c>
      <c r="AI16" s="1072" t="s">
        <v>408</v>
      </c>
      <c r="AJ16" s="1072" t="s">
        <v>407</v>
      </c>
      <c r="AK16" s="1072" t="s">
        <v>407</v>
      </c>
      <c r="AL16" s="1072" t="s">
        <v>408</v>
      </c>
      <c r="AM16" s="1072" t="s">
        <v>408</v>
      </c>
      <c r="AN16" s="1072" t="s">
        <v>408</v>
      </c>
      <c r="AO16" s="1072" t="s">
        <v>408</v>
      </c>
      <c r="AP16" s="1072" t="s">
        <v>408</v>
      </c>
      <c r="AQ16" s="1072" t="s">
        <v>408</v>
      </c>
      <c r="AR16" s="1072" t="s">
        <v>408</v>
      </c>
      <c r="AS16" s="1072" t="s">
        <v>408</v>
      </c>
      <c r="AT16" s="1072" t="s">
        <v>408</v>
      </c>
      <c r="AU16" s="1072" t="s">
        <v>408</v>
      </c>
      <c r="AV16" s="1072" t="s">
        <v>408</v>
      </c>
      <c r="AW16" s="1072" t="s">
        <v>408</v>
      </c>
      <c r="AX16" s="1072" t="s">
        <v>408</v>
      </c>
      <c r="AY16" s="1072" t="s">
        <v>408</v>
      </c>
      <c r="AZ16" s="1072" t="s">
        <v>408</v>
      </c>
      <c r="BA16" s="1072" t="s">
        <v>408</v>
      </c>
      <c r="BB16" s="1072" t="s">
        <v>408</v>
      </c>
      <c r="BC16" s="1072" t="s">
        <v>408</v>
      </c>
      <c r="BD16" s="1072" t="s">
        <v>408</v>
      </c>
      <c r="BE16" s="1072" t="s">
        <v>408</v>
      </c>
      <c r="BF16" s="1072" t="s">
        <v>408</v>
      </c>
      <c r="BG16" s="1072" t="s">
        <v>408</v>
      </c>
      <c r="BH16" s="1072" t="s">
        <v>408</v>
      </c>
      <c r="BI16" s="1072" t="s">
        <v>408</v>
      </c>
      <c r="BJ16" s="1072" t="s">
        <v>408</v>
      </c>
      <c r="BK16" s="1072" t="s">
        <v>408</v>
      </c>
      <c r="BL16" s="1072" t="s">
        <v>408</v>
      </c>
      <c r="BM16" s="1072" t="s">
        <v>408</v>
      </c>
      <c r="BN16" s="1072" t="s">
        <v>408</v>
      </c>
      <c r="BO16" s="1072" t="s">
        <v>408</v>
      </c>
      <c r="BP16" s="1072" t="s">
        <v>408</v>
      </c>
      <c r="BQ16" s="1163" t="s">
        <v>408</v>
      </c>
      <c r="BR16" s="1164" t="s">
        <v>408</v>
      </c>
      <c r="BS16" s="1165" t="s">
        <v>408</v>
      </c>
      <c r="BT16" s="1166" t="s">
        <v>408</v>
      </c>
      <c r="BU16" s="1167" t="s">
        <v>408</v>
      </c>
      <c r="BV16" s="1168" t="s">
        <v>408</v>
      </c>
      <c r="BW16" s="1169" t="s">
        <v>408</v>
      </c>
      <c r="BX16" s="1170" t="s">
        <v>408</v>
      </c>
      <c r="BY16" s="1171" t="s">
        <v>408</v>
      </c>
      <c r="BZ16" s="1172" t="s">
        <v>408</v>
      </c>
      <c r="CA16" s="1173" t="s">
        <v>408</v>
      </c>
      <c r="CB16" s="1174" t="s">
        <v>408</v>
      </c>
      <c r="CC16" s="1175" t="s">
        <v>408</v>
      </c>
      <c r="CD16" s="1176" t="s">
        <v>408</v>
      </c>
      <c r="CE16" s="1177" t="s">
        <v>408</v>
      </c>
      <c r="CF16" s="1178" t="s">
        <v>408</v>
      </c>
      <c r="CG16" s="1179" t="s">
        <v>408</v>
      </c>
      <c r="CH16" s="1180" t="s">
        <v>408</v>
      </c>
      <c r="CI16" s="1181" t="s">
        <v>408</v>
      </c>
      <c r="CJ16" s="1182" t="s">
        <v>408</v>
      </c>
      <c r="CK16" s="1183" t="s">
        <v>408</v>
      </c>
      <c r="CL16" s="1184" t="s">
        <v>408</v>
      </c>
      <c r="CM16" s="1185" t="s">
        <v>408</v>
      </c>
      <c r="CN16" s="1186" t="s">
        <v>408</v>
      </c>
      <c r="CO16" s="1187" t="s">
        <v>408</v>
      </c>
      <c r="CP16" s="1188" t="s">
        <v>408</v>
      </c>
      <c r="CQ16" s="1189" t="s">
        <v>408</v>
      </c>
      <c r="CR16" s="1190" t="s">
        <v>408</v>
      </c>
      <c r="CS16" s="1191" t="s">
        <v>408</v>
      </c>
      <c r="CT16" s="1072" t="s">
        <v>407</v>
      </c>
      <c r="CU16" s="1072" t="s">
        <v>407</v>
      </c>
      <c r="CV16" s="1072" t="s">
        <v>407</v>
      </c>
      <c r="CW16" s="1072" t="s">
        <v>407</v>
      </c>
      <c r="CX16" s="1072" t="s">
        <v>407</v>
      </c>
      <c r="CY16" s="1072" t="s">
        <v>407</v>
      </c>
      <c r="CZ16" s="1072" t="s">
        <v>407</v>
      </c>
      <c r="DA16" s="1072" t="s">
        <v>407</v>
      </c>
      <c r="DB16" s="1072" t="s">
        <v>407</v>
      </c>
      <c r="DC16" s="1072" t="s">
        <v>407</v>
      </c>
      <c r="DD16" s="1072" t="s">
        <v>407</v>
      </c>
      <c r="DE16" s="1072" t="s">
        <v>407</v>
      </c>
      <c r="DF16" s="1072" t="s">
        <v>407</v>
      </c>
      <c r="DG16" s="1072" t="s">
        <v>407</v>
      </c>
      <c r="DH16" s="1072" t="s">
        <v>407</v>
      </c>
      <c r="DI16" s="1072" t="s">
        <v>407</v>
      </c>
      <c r="DJ16" s="1072" t="s">
        <v>407</v>
      </c>
      <c r="DK16" s="1072" t="s">
        <v>407</v>
      </c>
      <c r="DL16" s="1072" t="s">
        <v>407</v>
      </c>
      <c r="DM16" s="1072" t="s">
        <v>407</v>
      </c>
      <c r="DN16" s="1072" t="s">
        <v>407</v>
      </c>
      <c r="DO16" s="1072" t="s">
        <v>407</v>
      </c>
      <c r="DP16" s="1072" t="s">
        <v>407</v>
      </c>
      <c r="DQ16" s="1072" t="s">
        <v>407</v>
      </c>
      <c r="DR16" s="1072" t="s">
        <v>407</v>
      </c>
      <c r="DS16" s="1072" t="s">
        <v>407</v>
      </c>
      <c r="DT16" s="1072" t="s">
        <v>407</v>
      </c>
      <c r="DU16" s="1072" t="s">
        <v>407</v>
      </c>
      <c r="DV16" s="1072" t="s">
        <v>407</v>
      </c>
      <c r="DW16" s="1072" t="s">
        <v>407</v>
      </c>
      <c r="DX16" s="1192" t="s">
        <v>407</v>
      </c>
      <c r="DY16" s="1193" t="s">
        <v>407</v>
      </c>
      <c r="DZ16" s="1194" t="s">
        <v>407</v>
      </c>
      <c r="EA16" s="1195" t="s">
        <v>407</v>
      </c>
      <c r="EB16" s="1196" t="s">
        <v>407</v>
      </c>
      <c r="EC16" s="1197" t="s">
        <v>407</v>
      </c>
      <c r="ED16" s="1198" t="s">
        <v>407</v>
      </c>
      <c r="EE16" s="1199" t="s">
        <v>407</v>
      </c>
      <c r="EF16" s="1200" t="s">
        <v>407</v>
      </c>
      <c r="EG16" s="1201" t="s">
        <v>407</v>
      </c>
      <c r="EH16" s="1202" t="s">
        <v>407</v>
      </c>
      <c r="EI16" s="1203" t="s">
        <v>407</v>
      </c>
      <c r="EJ16" s="1204" t="s">
        <v>407</v>
      </c>
      <c r="EK16" s="1205" t="s">
        <v>407</v>
      </c>
      <c r="EL16" s="1206" t="s">
        <v>407</v>
      </c>
      <c r="EM16" s="1207" t="s">
        <v>407</v>
      </c>
      <c r="EN16" s="1208" t="s">
        <v>407</v>
      </c>
      <c r="EO16" s="1209" t="s">
        <v>407</v>
      </c>
      <c r="EP16" s="1210" t="s">
        <v>407</v>
      </c>
      <c r="EQ16" s="1211" t="s">
        <v>407</v>
      </c>
      <c r="ER16" s="1212" t="s">
        <v>407</v>
      </c>
      <c r="ES16" s="1213" t="s">
        <v>407</v>
      </c>
      <c r="ET16" s="1214" t="s">
        <v>407</v>
      </c>
      <c r="EU16" s="1215" t="s">
        <v>407</v>
      </c>
      <c r="EV16" s="1216" t="s">
        <v>407</v>
      </c>
      <c r="EW16" s="1217" t="s">
        <v>407</v>
      </c>
      <c r="EX16" s="1218" t="s">
        <v>407</v>
      </c>
      <c r="EY16" s="1219" t="s">
        <v>407</v>
      </c>
      <c r="EZ16" s="1220" t="s">
        <v>407</v>
      </c>
      <c r="FA16" s="1221" t="s">
        <v>407</v>
      </c>
      <c r="FB16" s="1072"/>
      <c r="FE16" s="489"/>
      <c r="FF16" s="312"/>
      <c r="FG16" s="312"/>
      <c r="FH16" s="312"/>
      <c r="FI16" s="180"/>
      <c r="FJ16" s="180"/>
      <c r="FK16" s="0"/>
      <c r="FL16" s="1158"/>
      <c r="FM16" s="1158"/>
      <c r="FN16" s="1158"/>
      <c r="FO16" s="1158"/>
      <c r="FP16" s="1158"/>
      <c r="FQ16" s="1158"/>
      <c r="FR16" s="1158"/>
      <c r="FS16" s="1158"/>
      <c r="FT16" s="1158"/>
      <c r="FU16" s="1158"/>
      <c r="FV16" s="1158"/>
      <c r="FW16" s="1158"/>
      <c r="FX16" s="1158"/>
      <c r="FY16" s="1158"/>
      <c r="FZ16" s="1158"/>
    </row>
    <row s="1548" customFormat="1" customHeight="1" ht="11.25" hidden="1">
      <c r="A17" s="371" t="s">
        <v>409</v>
      </c>
      <c r="E17" s="180"/>
      <c r="G17" s="193"/>
      <c r="H17" s="193"/>
      <c r="I17" s="193"/>
      <c r="J17" s="193"/>
      <c r="K17" s="193"/>
      <c r="L17" s="193"/>
      <c r="M17" s="193"/>
      <c r="N17" s="193"/>
      <c r="O17" s="193"/>
      <c r="P17" s="193"/>
      <c r="Q17" s="193"/>
      <c r="AH17" s="1072" t="s">
        <v>410</v>
      </c>
      <c r="AI17" s="1072" t="s">
        <v>621</v>
      </c>
      <c r="AJ17" s="1072" t="s">
        <v>621</v>
      </c>
      <c r="AK17" s="1072" t="s">
        <v>410</v>
      </c>
      <c r="AL17" s="1072" t="s">
        <v>411</v>
      </c>
      <c r="AM17" s="1072" t="s">
        <v>411</v>
      </c>
      <c r="AN17" s="1072" t="s">
        <v>411</v>
      </c>
      <c r="AO17" s="1072" t="s">
        <v>411</v>
      </c>
      <c r="AP17" s="1072" t="s">
        <v>411</v>
      </c>
      <c r="AQ17" s="1072" t="s">
        <v>411</v>
      </c>
      <c r="AR17" s="1072" t="s">
        <v>411</v>
      </c>
      <c r="AS17" s="1072" t="s">
        <v>411</v>
      </c>
      <c r="AT17" s="1072" t="s">
        <v>411</v>
      </c>
      <c r="AU17" s="1072" t="s">
        <v>411</v>
      </c>
      <c r="AV17" s="1072" t="s">
        <v>411</v>
      </c>
      <c r="AW17" s="1072" t="s">
        <v>411</v>
      </c>
      <c r="AX17" s="1072" t="s">
        <v>411</v>
      </c>
      <c r="AY17" s="1072" t="s">
        <v>411</v>
      </c>
      <c r="AZ17" s="1072" t="s">
        <v>411</v>
      </c>
      <c r="BA17" s="1072" t="s">
        <v>411</v>
      </c>
      <c r="BB17" s="1072" t="s">
        <v>411</v>
      </c>
      <c r="BC17" s="1072" t="s">
        <v>411</v>
      </c>
      <c r="BD17" s="1072" t="s">
        <v>411</v>
      </c>
      <c r="BE17" s="1072" t="s">
        <v>411</v>
      </c>
      <c r="BF17" s="1072" t="s">
        <v>411</v>
      </c>
      <c r="BG17" s="1072" t="s">
        <v>411</v>
      </c>
      <c r="BH17" s="1072" t="s">
        <v>411</v>
      </c>
      <c r="BI17" s="1072" t="s">
        <v>411</v>
      </c>
      <c r="BJ17" s="1072" t="s">
        <v>411</v>
      </c>
      <c r="BK17" s="1072" t="s">
        <v>411</v>
      </c>
      <c r="BL17" s="1072" t="s">
        <v>411</v>
      </c>
      <c r="BM17" s="1072" t="s">
        <v>411</v>
      </c>
      <c r="BN17" s="1072" t="s">
        <v>411</v>
      </c>
      <c r="BO17" s="1072" t="s">
        <v>411</v>
      </c>
      <c r="BP17" s="1072" t="s">
        <v>411</v>
      </c>
      <c r="BQ17" s="1072" t="s">
        <v>411</v>
      </c>
      <c r="BR17" s="1072" t="s">
        <v>411</v>
      </c>
      <c r="BS17" s="1072" t="s">
        <v>411</v>
      </c>
      <c r="BT17" s="1072" t="s">
        <v>411</v>
      </c>
      <c r="BU17" s="1072" t="s">
        <v>411</v>
      </c>
      <c r="BV17" s="1072" t="s">
        <v>411</v>
      </c>
      <c r="BW17" s="1072" t="s">
        <v>411</v>
      </c>
      <c r="BX17" s="1072" t="s">
        <v>411</v>
      </c>
      <c r="BY17" s="1072" t="s">
        <v>411</v>
      </c>
      <c r="BZ17" s="1072" t="s">
        <v>411</v>
      </c>
      <c r="CA17" s="1072" t="s">
        <v>411</v>
      </c>
      <c r="CB17" s="1072" t="s">
        <v>411</v>
      </c>
      <c r="CC17" s="1072" t="s">
        <v>411</v>
      </c>
      <c r="CD17" s="1072" t="s">
        <v>411</v>
      </c>
      <c r="CE17" s="1072" t="s">
        <v>411</v>
      </c>
      <c r="CF17" s="1072" t="s">
        <v>411</v>
      </c>
      <c r="CG17" s="1072" t="s">
        <v>411</v>
      </c>
      <c r="CH17" s="1072" t="s">
        <v>411</v>
      </c>
      <c r="CI17" s="1072" t="s">
        <v>411</v>
      </c>
      <c r="CJ17" s="1072" t="s">
        <v>411</v>
      </c>
      <c r="CK17" s="1072" t="s">
        <v>411</v>
      </c>
      <c r="CL17" s="1072" t="s">
        <v>411</v>
      </c>
      <c r="CM17" s="1072" t="s">
        <v>411</v>
      </c>
      <c r="CN17" s="1072" t="s">
        <v>411</v>
      </c>
      <c r="CO17" s="1072" t="s">
        <v>411</v>
      </c>
      <c r="CP17" s="1072" t="s">
        <v>411</v>
      </c>
      <c r="CQ17" s="1072" t="s">
        <v>411</v>
      </c>
      <c r="CR17" s="1072" t="s">
        <v>411</v>
      </c>
      <c r="CS17" s="1072" t="s">
        <v>411</v>
      </c>
      <c r="CT17" s="1072" t="s">
        <v>410</v>
      </c>
      <c r="CU17" s="1072" t="s">
        <v>410</v>
      </c>
      <c r="CV17" s="1072" t="s">
        <v>410</v>
      </c>
      <c r="CW17" s="1072" t="s">
        <v>410</v>
      </c>
      <c r="CX17" s="1072" t="s">
        <v>410</v>
      </c>
      <c r="CY17" s="1072" t="s">
        <v>410</v>
      </c>
      <c r="CZ17" s="1072" t="s">
        <v>410</v>
      </c>
      <c r="DA17" s="1072" t="s">
        <v>410</v>
      </c>
      <c r="DB17" s="1072" t="s">
        <v>410</v>
      </c>
      <c r="DC17" s="1072" t="s">
        <v>410</v>
      </c>
      <c r="DD17" s="1072" t="s">
        <v>410</v>
      </c>
      <c r="DE17" s="1072" t="s">
        <v>410</v>
      </c>
      <c r="DF17" s="1072" t="s">
        <v>410</v>
      </c>
      <c r="DG17" s="1072" t="s">
        <v>410</v>
      </c>
      <c r="DH17" s="1072" t="s">
        <v>410</v>
      </c>
      <c r="DI17" s="1072" t="s">
        <v>410</v>
      </c>
      <c r="DJ17" s="1072" t="s">
        <v>410</v>
      </c>
      <c r="DK17" s="1072" t="s">
        <v>410</v>
      </c>
      <c r="DL17" s="1072" t="s">
        <v>410</v>
      </c>
      <c r="DM17" s="1072" t="s">
        <v>410</v>
      </c>
      <c r="DN17" s="1072" t="s">
        <v>410</v>
      </c>
      <c r="DO17" s="1072" t="s">
        <v>410</v>
      </c>
      <c r="DP17" s="1072" t="s">
        <v>410</v>
      </c>
      <c r="DQ17" s="1072" t="s">
        <v>410</v>
      </c>
      <c r="DR17" s="1072" t="s">
        <v>410</v>
      </c>
      <c r="DS17" s="1072" t="s">
        <v>410</v>
      </c>
      <c r="DT17" s="1072" t="s">
        <v>410</v>
      </c>
      <c r="DU17" s="1072" t="s">
        <v>410</v>
      </c>
      <c r="DV17" s="1072" t="s">
        <v>410</v>
      </c>
      <c r="DW17" s="1072" t="s">
        <v>410</v>
      </c>
      <c r="DX17" s="1222" t="s">
        <v>410</v>
      </c>
      <c r="DY17" s="1223" t="s">
        <v>410</v>
      </c>
      <c r="DZ17" s="1224" t="s">
        <v>410</v>
      </c>
      <c r="EA17" s="1225" t="s">
        <v>410</v>
      </c>
      <c r="EB17" s="1226" t="s">
        <v>410</v>
      </c>
      <c r="EC17" s="1227" t="s">
        <v>410</v>
      </c>
      <c r="ED17" s="1228" t="s">
        <v>410</v>
      </c>
      <c r="EE17" s="1229" t="s">
        <v>410</v>
      </c>
      <c r="EF17" s="1230" t="s">
        <v>410</v>
      </c>
      <c r="EG17" s="1231" t="s">
        <v>410</v>
      </c>
      <c r="EH17" s="1232" t="s">
        <v>410</v>
      </c>
      <c r="EI17" s="1233" t="s">
        <v>410</v>
      </c>
      <c r="EJ17" s="1234" t="s">
        <v>410</v>
      </c>
      <c r="EK17" s="1235" t="s">
        <v>410</v>
      </c>
      <c r="EL17" s="1236" t="s">
        <v>410</v>
      </c>
      <c r="EM17" s="1237" t="s">
        <v>410</v>
      </c>
      <c r="EN17" s="1238" t="s">
        <v>410</v>
      </c>
      <c r="EO17" s="1239" t="s">
        <v>410</v>
      </c>
      <c r="EP17" s="1240" t="s">
        <v>410</v>
      </c>
      <c r="EQ17" s="1241" t="s">
        <v>410</v>
      </c>
      <c r="ER17" s="1242" t="s">
        <v>410</v>
      </c>
      <c r="ES17" s="1243" t="s">
        <v>410</v>
      </c>
      <c r="ET17" s="1244" t="s">
        <v>410</v>
      </c>
      <c r="EU17" s="1245" t="s">
        <v>410</v>
      </c>
      <c r="EV17" s="1246" t="s">
        <v>410</v>
      </c>
      <c r="EW17" s="1247" t="s">
        <v>410</v>
      </c>
      <c r="EX17" s="1248" t="s">
        <v>410</v>
      </c>
      <c r="EY17" s="1249" t="s">
        <v>410</v>
      </c>
      <c r="EZ17" s="1250" t="s">
        <v>410</v>
      </c>
      <c r="FA17" s="1251" t="s">
        <v>410</v>
      </c>
      <c r="FB17" s="1072"/>
      <c r="FE17" s="489"/>
      <c r="FF17" s="312"/>
      <c r="FG17" s="312"/>
      <c r="FH17" s="312"/>
      <c r="FI17" s="180"/>
      <c r="FJ17" s="180"/>
      <c r="FK17" s="0"/>
      <c r="FL17" s="1158"/>
      <c r="FM17" s="1158"/>
      <c r="FN17" s="1158"/>
      <c r="FO17" s="1158"/>
      <c r="FP17" s="1158"/>
      <c r="FQ17" s="1158"/>
      <c r="FR17" s="1158"/>
      <c r="FS17" s="1158"/>
      <c r="FT17" s="1158"/>
      <c r="FU17" s="1158"/>
      <c r="FV17" s="1158"/>
      <c r="FW17" s="1158"/>
      <c r="FX17" s="1158"/>
      <c r="FY17" s="1158"/>
      <c r="FZ17" s="1158"/>
    </row>
    <row customHeight="1" ht="11.25" hidden="1">
      <c r="A18" s="371" t="s">
        <v>351</v>
      </c>
      <c r="AH18" s="1371"/>
      <c r="AI18" s="1371"/>
      <c r="AJ18" s="1371"/>
      <c r="AK18" s="1371"/>
      <c r="AL18" s="1371"/>
      <c r="AM18" s="1371"/>
      <c r="AN18" s="1371"/>
      <c r="AO18" s="1371"/>
      <c r="AP18" s="1371"/>
      <c r="AQ18" s="1371"/>
      <c r="AR18" s="1371"/>
      <c r="AS18" s="1371"/>
      <c r="AT18" s="1371"/>
      <c r="AU18" s="1371"/>
      <c r="AV18" s="1371"/>
      <c r="AW18" s="1371"/>
      <c r="AX18" s="1371"/>
      <c r="AY18" s="1371"/>
      <c r="AZ18" s="1371"/>
      <c r="BA18" s="1371"/>
      <c r="BB18" s="1371"/>
      <c r="BC18" s="1371"/>
      <c r="BD18" s="1371"/>
      <c r="BE18" s="1371"/>
      <c r="BF18" s="1371"/>
      <c r="BG18" s="1371"/>
      <c r="BH18" s="1371"/>
      <c r="BI18" s="1371"/>
      <c r="BJ18" s="1371"/>
      <c r="BK18" s="1371"/>
      <c r="BL18" s="1371"/>
      <c r="BM18" s="1371"/>
      <c r="BN18" s="1371"/>
      <c r="BO18" s="1371"/>
      <c r="BP18" s="1371"/>
      <c r="BQ18" s="1432"/>
      <c r="BR18" s="1433"/>
      <c r="BS18" s="1434"/>
      <c r="BT18" s="1435"/>
      <c r="BU18" s="1436"/>
      <c r="BV18" s="1437"/>
      <c r="BW18" s="1438"/>
      <c r="BX18" s="1439"/>
      <c r="BY18" s="1440"/>
      <c r="BZ18" s="1441"/>
      <c r="CA18" s="1442"/>
      <c r="CB18" s="1443"/>
      <c r="CC18" s="1444"/>
      <c r="CD18" s="1445"/>
      <c r="CE18" s="1446"/>
      <c r="CF18" s="1447"/>
      <c r="CG18" s="1448"/>
      <c r="CH18" s="1449"/>
      <c r="CI18" s="1450"/>
      <c r="CJ18" s="1451"/>
      <c r="CK18" s="1452"/>
      <c r="CL18" s="1453"/>
      <c r="CM18" s="1454"/>
      <c r="CN18" s="1455"/>
      <c r="CO18" s="1456"/>
      <c r="CP18" s="1457"/>
      <c r="CQ18" s="1458"/>
      <c r="CR18" s="1459"/>
      <c r="CS18" s="1460"/>
      <c r="CT18" s="1371"/>
      <c r="CU18" s="1371"/>
      <c r="CV18" s="1371"/>
      <c r="CW18" s="1371"/>
      <c r="CX18" s="1371"/>
      <c r="CY18" s="1371"/>
      <c r="CZ18" s="1371"/>
      <c r="DA18" s="1371"/>
      <c r="DB18" s="1371"/>
      <c r="DC18" s="1371"/>
      <c r="DD18" s="1371"/>
      <c r="DE18" s="1371"/>
      <c r="DF18" s="1371"/>
      <c r="DG18" s="1371"/>
      <c r="DH18" s="1371"/>
      <c r="DI18" s="1371"/>
      <c r="DJ18" s="1371"/>
      <c r="DK18" s="1371"/>
      <c r="DL18" s="1371"/>
      <c r="DM18" s="1371"/>
      <c r="DN18" s="1371"/>
      <c r="DO18" s="1371"/>
      <c r="DP18" s="1371"/>
      <c r="DQ18" s="1371"/>
      <c r="DR18" s="1371"/>
      <c r="DS18" s="1371"/>
      <c r="DT18" s="1371"/>
      <c r="DU18" s="1371"/>
      <c r="DV18" s="1371"/>
      <c r="DW18" s="1371"/>
      <c r="DX18" s="1461"/>
      <c r="DY18" s="1462"/>
      <c r="DZ18" s="1463"/>
      <c r="EA18" s="1464"/>
      <c r="EB18" s="1465"/>
      <c r="EC18" s="1466"/>
      <c r="ED18" s="1467"/>
      <c r="EE18" s="1468"/>
      <c r="EF18" s="1469"/>
      <c r="EG18" s="1470"/>
      <c r="EH18" s="1471"/>
      <c r="EI18" s="1472"/>
      <c r="EJ18" s="1473"/>
      <c r="EK18" s="1474"/>
      <c r="EL18" s="1475"/>
      <c r="EM18" s="1476"/>
      <c r="EN18" s="1477"/>
      <c r="EO18" s="1478"/>
      <c r="EP18" s="1479"/>
      <c r="EQ18" s="1480"/>
      <c r="ER18" s="1481"/>
      <c r="ES18" s="1482"/>
      <c r="ET18" s="1483"/>
      <c r="EU18" s="1484"/>
      <c r="EV18" s="1485"/>
      <c r="EW18" s="1486"/>
      <c r="EX18" s="1487"/>
      <c r="EY18" s="1488"/>
      <c r="EZ18" s="1489"/>
      <c r="FA18" s="1490"/>
      <c r="FB18" s="1371" t="s">
        <v>178</v>
      </c>
    </row>
    <row s="1548" customFormat="1" customHeight="1" ht="11.25" hidden="1">
      <c r="A19" s="371" t="s">
        <v>352</v>
      </c>
      <c r="E19" s="180"/>
      <c r="G19" s="193"/>
      <c r="H19" s="193"/>
      <c r="I19" s="193"/>
      <c r="J19" s="193"/>
      <c r="K19" s="193"/>
      <c r="L19" s="193"/>
      <c r="M19" s="193"/>
      <c r="N19" s="193"/>
      <c r="O19" s="193"/>
      <c r="P19" s="193"/>
      <c r="Q19" s="193"/>
      <c r="AH19" s="1072"/>
      <c r="AI19" s="1072"/>
      <c r="AJ19" s="1072"/>
      <c r="AK19" s="1072"/>
      <c r="AL19" s="1072"/>
      <c r="AM19" s="1072"/>
      <c r="AN19" s="1072"/>
      <c r="AO19" s="1072"/>
      <c r="AP19" s="1072"/>
      <c r="AQ19" s="1072"/>
      <c r="AR19" s="1072"/>
      <c r="AS19" s="1072"/>
      <c r="AT19" s="1072"/>
      <c r="AU19" s="1072"/>
      <c r="AV19" s="1072"/>
      <c r="AW19" s="1072"/>
      <c r="AX19" s="1072"/>
      <c r="AY19" s="1072"/>
      <c r="AZ19" s="1072"/>
      <c r="BA19" s="1072"/>
      <c r="BB19" s="1072"/>
      <c r="BC19" s="1072"/>
      <c r="BD19" s="1072"/>
      <c r="BE19" s="1072"/>
      <c r="BF19" s="1072"/>
      <c r="BG19" s="1072"/>
      <c r="BH19" s="1072"/>
      <c r="BI19" s="1072"/>
      <c r="BJ19" s="1072"/>
      <c r="BK19" s="1072"/>
      <c r="BL19" s="1072"/>
      <c r="BM19" s="1072"/>
      <c r="BN19" s="1072"/>
      <c r="BO19" s="1072"/>
      <c r="BP19" s="1072"/>
      <c r="BQ19" s="1252"/>
      <c r="BR19" s="1253"/>
      <c r="BS19" s="1254"/>
      <c r="BT19" s="1255"/>
      <c r="BU19" s="1256"/>
      <c r="BV19" s="1257"/>
      <c r="BW19" s="1258"/>
      <c r="BX19" s="1259"/>
      <c r="BY19" s="1260"/>
      <c r="BZ19" s="1261"/>
      <c r="CA19" s="1262"/>
      <c r="CB19" s="1263"/>
      <c r="CC19" s="1264"/>
      <c r="CD19" s="1265"/>
      <c r="CE19" s="1266"/>
      <c r="CF19" s="1267"/>
      <c r="CG19" s="1268"/>
      <c r="CH19" s="1269"/>
      <c r="CI19" s="1270"/>
      <c r="CJ19" s="1271"/>
      <c r="CK19" s="1272"/>
      <c r="CL19" s="1273"/>
      <c r="CM19" s="1274"/>
      <c r="CN19" s="1275"/>
      <c r="CO19" s="1276"/>
      <c r="CP19" s="1277"/>
      <c r="CQ19" s="1278"/>
      <c r="CR19" s="1279"/>
      <c r="CS19" s="1280"/>
      <c r="CT19" s="1072"/>
      <c r="CU19" s="1072"/>
      <c r="CV19" s="1072"/>
      <c r="CW19" s="1072"/>
      <c r="CX19" s="1072"/>
      <c r="CY19" s="1072"/>
      <c r="CZ19" s="1072"/>
      <c r="DA19" s="1072"/>
      <c r="DB19" s="1072"/>
      <c r="DC19" s="1072"/>
      <c r="DD19" s="1072"/>
      <c r="DE19" s="1072"/>
      <c r="DF19" s="1072"/>
      <c r="DG19" s="1072"/>
      <c r="DH19" s="1072"/>
      <c r="DI19" s="1072"/>
      <c r="DJ19" s="1072"/>
      <c r="DK19" s="1072"/>
      <c r="DL19" s="1072"/>
      <c r="DM19" s="1072"/>
      <c r="DN19" s="1072"/>
      <c r="DO19" s="1072"/>
      <c r="DP19" s="1072"/>
      <c r="DQ19" s="1072"/>
      <c r="DR19" s="1072"/>
      <c r="DS19" s="1072"/>
      <c r="DT19" s="1072"/>
      <c r="DU19" s="1072"/>
      <c r="DV19" s="1072"/>
      <c r="DW19" s="1072"/>
      <c r="DX19" s="1310"/>
      <c r="DY19" s="1311"/>
      <c r="DZ19" s="1312"/>
      <c r="EA19" s="1313"/>
      <c r="EB19" s="1314"/>
      <c r="EC19" s="1315"/>
      <c r="ED19" s="1316"/>
      <c r="EE19" s="1317"/>
      <c r="EF19" s="1318"/>
      <c r="EG19" s="1319"/>
      <c r="EH19" s="1320"/>
      <c r="EI19" s="1321"/>
      <c r="EJ19" s="1322"/>
      <c r="EK19" s="1323"/>
      <c r="EL19" s="1324"/>
      <c r="EM19" s="1325"/>
      <c r="EN19" s="1326"/>
      <c r="EO19" s="1327"/>
      <c r="EP19" s="1328"/>
      <c r="EQ19" s="1329"/>
      <c r="ER19" s="1330"/>
      <c r="ES19" s="1331"/>
      <c r="ET19" s="1332"/>
      <c r="EU19" s="1333"/>
      <c r="EV19" s="1334"/>
      <c r="EW19" s="1335"/>
      <c r="EX19" s="1336"/>
      <c r="EY19" s="1337"/>
      <c r="EZ19" s="1338"/>
      <c r="FA19" s="1339"/>
      <c r="FB19" s="1072" t="s">
        <v>798</v>
      </c>
      <c r="FE19" s="489"/>
      <c r="FF19" s="312"/>
      <c r="FG19" s="312"/>
      <c r="FH19" s="312"/>
      <c r="FI19" s="180"/>
      <c r="FJ19" s="180"/>
      <c r="FK19" s="0"/>
      <c r="FL19" s="1158"/>
      <c r="FM19" s="1158"/>
      <c r="FN19" s="1158"/>
      <c r="FO19" s="1158"/>
      <c r="FP19" s="1158"/>
      <c r="FQ19" s="1158"/>
      <c r="FR19" s="1158"/>
      <c r="FS19" s="1158"/>
      <c r="FT19" s="1158"/>
      <c r="FU19" s="1158"/>
      <c r="FV19" s="1158"/>
      <c r="FW19" s="1158"/>
      <c r="FX19" s="1158"/>
      <c r="FY19" s="1158"/>
      <c r="FZ19" s="1158"/>
    </row>
    <row s="1548" customFormat="1" customHeight="1" ht="11.25" hidden="1">
      <c r="A20" s="371" t="s">
        <v>379</v>
      </c>
      <c r="E20" s="180"/>
      <c r="G20" s="193"/>
      <c r="H20" s="193"/>
      <c r="I20" s="193"/>
      <c r="J20" s="193"/>
      <c r="K20" s="193"/>
      <c r="L20" s="193"/>
      <c r="M20" s="193"/>
      <c r="N20" s="193"/>
      <c r="O20" s="193"/>
      <c r="P20" s="193"/>
      <c r="Q20" s="193"/>
      <c r="AH20" s="1072"/>
      <c r="AI20" s="1072"/>
      <c r="AJ20" s="1072"/>
      <c r="AK20" s="1072"/>
      <c r="AL20" s="1072"/>
      <c r="AM20" s="1072"/>
      <c r="AN20" s="1072"/>
      <c r="AO20" s="1072"/>
      <c r="AP20" s="1072"/>
      <c r="AQ20" s="1072"/>
      <c r="AR20" s="1072"/>
      <c r="AS20" s="1072"/>
      <c r="AT20" s="1072"/>
      <c r="AU20" s="1072"/>
      <c r="AV20" s="1072"/>
      <c r="AW20" s="1072"/>
      <c r="AX20" s="1072"/>
      <c r="AY20" s="1072"/>
      <c r="AZ20" s="1072"/>
      <c r="BA20" s="1072"/>
      <c r="BB20" s="1072"/>
      <c r="BC20" s="1072"/>
      <c r="BD20" s="1072"/>
      <c r="BE20" s="1072"/>
      <c r="BF20" s="1072"/>
      <c r="BG20" s="1072"/>
      <c r="BH20" s="1072"/>
      <c r="BI20" s="1072"/>
      <c r="BJ20" s="1072"/>
      <c r="BK20" s="1072"/>
      <c r="BL20" s="1072"/>
      <c r="BM20" s="1072"/>
      <c r="BN20" s="1072"/>
      <c r="BO20" s="1072"/>
      <c r="BP20" s="1072"/>
      <c r="BQ20" s="1281"/>
      <c r="BR20" s="1282"/>
      <c r="BS20" s="1283"/>
      <c r="BT20" s="1284"/>
      <c r="BU20" s="1285"/>
      <c r="BV20" s="1286"/>
      <c r="BW20" s="1287"/>
      <c r="BX20" s="1288"/>
      <c r="BY20" s="1289"/>
      <c r="BZ20" s="1290"/>
      <c r="CA20" s="1291"/>
      <c r="CB20" s="1292"/>
      <c r="CC20" s="1293"/>
      <c r="CD20" s="1294"/>
      <c r="CE20" s="1295"/>
      <c r="CF20" s="1296"/>
      <c r="CG20" s="1297"/>
      <c r="CH20" s="1298"/>
      <c r="CI20" s="1299"/>
      <c r="CJ20" s="1300"/>
      <c r="CK20" s="1301"/>
      <c r="CL20" s="1302"/>
      <c r="CM20" s="1303"/>
      <c r="CN20" s="1304"/>
      <c r="CO20" s="1305"/>
      <c r="CP20" s="1306"/>
      <c r="CQ20" s="1307"/>
      <c r="CR20" s="1308"/>
      <c r="CS20" s="1309"/>
      <c r="CT20" s="1072"/>
      <c r="CU20" s="1072"/>
      <c r="CV20" s="1072"/>
      <c r="CW20" s="1072"/>
      <c r="CX20" s="1072"/>
      <c r="CY20" s="1072"/>
      <c r="CZ20" s="1072"/>
      <c r="DA20" s="1072"/>
      <c r="DB20" s="1072"/>
      <c r="DC20" s="1072"/>
      <c r="DD20" s="1072"/>
      <c r="DE20" s="1072"/>
      <c r="DF20" s="1072"/>
      <c r="DG20" s="1072"/>
      <c r="DH20" s="1072"/>
      <c r="DI20" s="1072"/>
      <c r="DJ20" s="1072"/>
      <c r="DK20" s="1072"/>
      <c r="DL20" s="1072"/>
      <c r="DM20" s="1072"/>
      <c r="DN20" s="1072"/>
      <c r="DO20" s="1072"/>
      <c r="DP20" s="1072"/>
      <c r="DQ20" s="1072"/>
      <c r="DR20" s="1072"/>
      <c r="DS20" s="1072"/>
      <c r="DT20" s="1072"/>
      <c r="DU20" s="1072"/>
      <c r="DV20" s="1072"/>
      <c r="DW20" s="1072"/>
      <c r="DX20" s="1340"/>
      <c r="DY20" s="1341"/>
      <c r="DZ20" s="1342"/>
      <c r="EA20" s="1343"/>
      <c r="EB20" s="1344"/>
      <c r="EC20" s="1345"/>
      <c r="ED20" s="1346"/>
      <c r="EE20" s="1347"/>
      <c r="EF20" s="1348"/>
      <c r="EG20" s="1349"/>
      <c r="EH20" s="1350"/>
      <c r="EI20" s="1351"/>
      <c r="EJ20" s="1352"/>
      <c r="EK20" s="1353"/>
      <c r="EL20" s="1354"/>
      <c r="EM20" s="1355"/>
      <c r="EN20" s="1356"/>
      <c r="EO20" s="1357"/>
      <c r="EP20" s="1358"/>
      <c r="EQ20" s="1359"/>
      <c r="ER20" s="1360"/>
      <c r="ES20" s="1361"/>
      <c r="ET20" s="1362"/>
      <c r="EU20" s="1363"/>
      <c r="EV20" s="1364"/>
      <c r="EW20" s="1365"/>
      <c r="EX20" s="1366"/>
      <c r="EY20" s="1367"/>
      <c r="EZ20" s="1368"/>
      <c r="FA20" s="1369"/>
      <c r="FB20" s="1072" t="s">
        <v>799</v>
      </c>
      <c r="FE20" s="489"/>
      <c r="FF20" s="312"/>
      <c r="FG20" s="312"/>
      <c r="FH20" s="312"/>
      <c r="FI20" s="180"/>
      <c r="FJ20" s="180"/>
      <c r="FK20" s="0"/>
      <c r="FL20" s="1158"/>
      <c r="FM20" s="1158"/>
      <c r="FN20" s="1158"/>
      <c r="FO20" s="1158"/>
      <c r="FP20" s="1158"/>
      <c r="FQ20" s="1158"/>
      <c r="FR20" s="1158"/>
      <c r="FS20" s="1158"/>
      <c r="FT20" s="1158"/>
      <c r="FU20" s="1158"/>
      <c r="FV20" s="1158"/>
      <c r="FW20" s="1158"/>
      <c r="FX20" s="1158"/>
      <c r="FY20" s="1158"/>
      <c r="FZ20" s="1158"/>
    </row>
    <row customHeight="1" ht="10.725000000000001">
      <c r="E21" s="180">
        <v>11</v>
      </c>
      <c r="AA21" s="182"/>
      <c r="AB21" s="182"/>
      <c r="AC21" s="182"/>
      <c r="AD21" s="182"/>
      <c r="AE21" s="278" cm="1" t="str">
        <f t="array" ref="AE21:AE21">tpl_title</f>
        <v>Кемеровская область / 2027 / ООО "КК-ИНВЕСТ" (ИНН:1901133713, КПП:190101001) / ДПР: 2025-2027</v>
      </c>
      <c r="AF21" s="182"/>
      <c r="AG21" s="182"/>
      <c r="AH21" s="182"/>
      <c r="AI21" s="182"/>
      <c r="AJ21" s="182"/>
      <c r="AK21" s="182"/>
      <c r="AL21" s="182"/>
      <c r="AM21" s="182"/>
      <c r="AN21" s="182"/>
      <c r="AO21" s="182"/>
      <c r="AP21" s="182"/>
      <c r="AQ21" s="182"/>
      <c r="AR21" s="182"/>
      <c r="AS21" s="182"/>
      <c r="AT21" s="182"/>
      <c r="AU21" s="182"/>
      <c r="AV21" s="182"/>
      <c r="AW21" s="182"/>
      <c r="AX21" s="182"/>
      <c r="AY21" s="182"/>
      <c r="AZ21" s="182"/>
      <c r="BA21" s="182"/>
      <c r="BB21" s="182"/>
      <c r="BC21" s="182"/>
      <c r="BD21" s="182"/>
      <c r="BE21" s="182"/>
      <c r="BF21" s="182"/>
      <c r="BG21" s="182"/>
      <c r="BH21" s="182"/>
      <c r="BI21" s="182"/>
      <c r="BJ21" s="182"/>
      <c r="BK21" s="182"/>
      <c r="BL21" s="182"/>
      <c r="BM21" s="182"/>
      <c r="BN21" s="182"/>
      <c r="BO21" s="182"/>
      <c r="BP21" s="182"/>
      <c r="BQ21" s="182"/>
      <c r="BR21" s="182"/>
      <c r="BS21" s="182"/>
      <c r="BT21" s="182"/>
      <c r="BU21" s="182"/>
      <c r="BV21" s="182"/>
      <c r="BW21" s="182"/>
      <c r="BX21" s="182"/>
      <c r="BY21" s="182"/>
      <c r="BZ21" s="182"/>
      <c r="CA21" s="182"/>
      <c r="CB21" s="182"/>
      <c r="CC21" s="182"/>
      <c r="CD21" s="182"/>
      <c r="CE21" s="182"/>
      <c r="CF21" s="182"/>
      <c r="CG21" s="182"/>
      <c r="CH21" s="182"/>
      <c r="CI21" s="182"/>
      <c r="CJ21" s="182"/>
      <c r="CK21" s="182"/>
      <c r="CL21" s="182"/>
      <c r="CM21" s="182"/>
      <c r="CN21" s="182"/>
      <c r="CO21" s="182"/>
      <c r="CP21" s="182"/>
      <c r="CQ21" s="182"/>
      <c r="CR21" s="182"/>
      <c r="CS21" s="182"/>
      <c r="CT21" s="182"/>
      <c r="CU21" s="182"/>
      <c r="CV21" s="182"/>
      <c r="CW21" s="182"/>
      <c r="CX21" s="182"/>
      <c r="CY21" s="182"/>
      <c r="CZ21" s="182"/>
      <c r="DA21" s="182"/>
      <c r="DB21" s="182"/>
      <c r="DC21" s="182"/>
      <c r="DD21" s="182"/>
      <c r="DE21" s="182"/>
      <c r="DF21" s="182"/>
      <c r="DG21" s="182"/>
      <c r="DH21" s="182"/>
      <c r="DI21" s="182"/>
      <c r="DJ21" s="182"/>
      <c r="DK21" s="182"/>
      <c r="DL21" s="182"/>
      <c r="DM21" s="182"/>
      <c r="DN21" s="182"/>
      <c r="DO21" s="182"/>
      <c r="DP21" s="182"/>
      <c r="DQ21" s="182"/>
      <c r="DR21" s="182"/>
      <c r="DS21" s="182"/>
      <c r="DT21" s="182"/>
      <c r="DU21" s="182"/>
      <c r="DV21" s="182"/>
      <c r="DW21" s="182"/>
      <c r="DX21" s="182"/>
      <c r="DY21" s="182"/>
      <c r="DZ21" s="182"/>
      <c r="EA21" s="182"/>
      <c r="EB21" s="182"/>
      <c r="EC21" s="182"/>
      <c r="ED21" s="182"/>
      <c r="EE21" s="182"/>
      <c r="EF21" s="182"/>
      <c r="EG21" s="182"/>
      <c r="EH21" s="182"/>
      <c r="EI21" s="182"/>
      <c r="EJ21" s="182"/>
      <c r="EK21" s="182"/>
      <c r="EL21" s="182"/>
      <c r="EM21" s="182"/>
      <c r="EN21" s="182"/>
      <c r="EO21" s="182"/>
      <c r="EP21" s="182"/>
      <c r="EQ21" s="182"/>
      <c r="ER21" s="182"/>
      <c r="ES21" s="182"/>
      <c r="ET21" s="182"/>
      <c r="EU21" s="182"/>
      <c r="EV21" s="182"/>
      <c r="EW21" s="182"/>
      <c r="EX21" s="182"/>
      <c r="EY21" s="182"/>
      <c r="EZ21" s="182"/>
      <c r="FA21" s="182"/>
      <c r="FB21" s="182"/>
      <c r="FC21" s="182"/>
    </row>
    <row s="1659" customFormat="1" customHeight="1" ht="19.5">
      <c r="A22" s="371"/>
      <c r="B22" s="175"/>
      <c r="C22" s="175"/>
      <c r="D22" s="175"/>
      <c r="E22" s="180">
        <v>20</v>
      </c>
      <c r="F22" s="175"/>
      <c r="R22" s="175"/>
      <c r="S22" s="175"/>
      <c r="T22" s="175"/>
      <c r="U22" s="175"/>
      <c r="V22" s="175"/>
      <c r="W22" s="175"/>
      <c r="X22" s="175"/>
      <c r="Y22" s="175"/>
      <c r="Z22" s="175"/>
      <c r="AA22" s="181"/>
      <c r="AB22" s="181"/>
      <c r="AC22" s="181"/>
      <c r="AD22" s="430" t="s">
        <v>38</v>
      </c>
      <c r="AE22" s="430"/>
      <c r="AF22" s="431"/>
      <c r="AG22" s="490"/>
      <c r="AH22" s="490"/>
      <c r="AI22" s="490"/>
      <c r="AJ22" s="490"/>
      <c r="AK22" s="490"/>
      <c r="AL22" s="490"/>
      <c r="AM22" s="490"/>
      <c r="AN22" s="490"/>
      <c r="AO22" s="490"/>
      <c r="AP22" s="490"/>
      <c r="AQ22" s="490"/>
      <c r="AR22" s="490"/>
      <c r="AS22" s="490"/>
      <c r="AT22" s="490"/>
      <c r="AU22" s="490"/>
      <c r="AV22" s="490"/>
      <c r="AW22" s="490"/>
      <c r="AX22" s="490"/>
      <c r="AY22" s="490"/>
      <c r="AZ22" s="490"/>
      <c r="BA22" s="490"/>
      <c r="BB22" s="490"/>
      <c r="BC22" s="490"/>
      <c r="BD22" s="490"/>
      <c r="BE22" s="490"/>
      <c r="BF22" s="490"/>
      <c r="BG22" s="181"/>
      <c r="BH22" s="181"/>
      <c r="BI22" s="181"/>
      <c r="BJ22" s="181"/>
      <c r="BK22" s="181"/>
      <c r="BL22" s="181"/>
      <c r="BM22" s="181"/>
      <c r="BN22" s="181"/>
      <c r="BO22" s="181"/>
      <c r="BP22" s="181"/>
      <c r="BQ22" s="181"/>
      <c r="BR22" s="181"/>
      <c r="BS22" s="181"/>
      <c r="BT22" s="181"/>
      <c r="BU22" s="181"/>
      <c r="BV22" s="181"/>
      <c r="BW22" s="181"/>
      <c r="BX22" s="181"/>
      <c r="BY22" s="181"/>
      <c r="BZ22" s="181"/>
      <c r="CA22" s="181"/>
      <c r="CB22" s="181"/>
      <c r="CC22" s="181"/>
      <c r="CD22" s="181"/>
      <c r="CE22" s="181"/>
      <c r="CF22" s="181"/>
      <c r="CG22" s="181"/>
      <c r="CH22" s="181"/>
      <c r="CI22" s="181"/>
      <c r="CJ22" s="181"/>
      <c r="CK22" s="181"/>
      <c r="CL22" s="181"/>
      <c r="CM22" s="181"/>
      <c r="CN22" s="181"/>
      <c r="CO22" s="181"/>
      <c r="CP22" s="181"/>
      <c r="CQ22" s="181"/>
      <c r="CR22" s="181"/>
      <c r="CS22" s="181"/>
      <c r="CT22" s="181"/>
      <c r="CU22" s="181"/>
      <c r="CV22" s="181"/>
      <c r="CW22" s="181"/>
      <c r="CX22" s="181"/>
      <c r="CY22" s="181"/>
      <c r="CZ22" s="181"/>
      <c r="DA22" s="181"/>
      <c r="DB22" s="181"/>
      <c r="DC22" s="181"/>
      <c r="DD22" s="181"/>
      <c r="DE22" s="181"/>
      <c r="DF22" s="181"/>
      <c r="DG22" s="181"/>
      <c r="DH22" s="181"/>
      <c r="DI22" s="181"/>
      <c r="DJ22" s="181"/>
      <c r="DK22" s="181"/>
      <c r="DL22" s="181"/>
      <c r="DM22" s="181"/>
      <c r="DN22" s="181"/>
      <c r="DO22" s="181"/>
      <c r="DP22" s="181"/>
      <c r="DQ22" s="181"/>
      <c r="DR22" s="181"/>
      <c r="DS22" s="181"/>
      <c r="DT22" s="181"/>
      <c r="DU22" s="181"/>
      <c r="DV22" s="181"/>
      <c r="DW22" s="181"/>
      <c r="DX22" s="181"/>
      <c r="DY22" s="181"/>
      <c r="DZ22" s="181"/>
      <c r="EA22" s="181"/>
      <c r="EB22" s="181"/>
      <c r="EC22" s="181"/>
      <c r="ED22" s="181"/>
      <c r="EE22" s="181"/>
      <c r="EF22" s="181"/>
      <c r="EG22" s="181"/>
      <c r="EH22" s="181"/>
      <c r="EI22" s="181"/>
      <c r="EJ22" s="181"/>
      <c r="EK22" s="181"/>
      <c r="EL22" s="181"/>
      <c r="EM22" s="181"/>
      <c r="EN22" s="181"/>
      <c r="EO22" s="181"/>
      <c r="EP22" s="181"/>
      <c r="EQ22" s="181"/>
      <c r="ER22" s="181"/>
      <c r="ES22" s="181"/>
      <c r="ET22" s="181"/>
      <c r="EU22" s="181"/>
      <c r="EV22" s="181"/>
      <c r="EW22" s="181"/>
      <c r="EX22" s="181"/>
      <c r="EY22" s="181"/>
      <c r="EZ22" s="181"/>
      <c r="FA22" s="181"/>
      <c r="FB22" s="181"/>
      <c r="FC22" s="181"/>
      <c r="FE22" s="489"/>
      <c r="FF22" s="483"/>
      <c r="FG22" s="483"/>
      <c r="FH22" s="483"/>
      <c r="FI22" s="194"/>
      <c r="FJ22" s="194"/>
      <c r="FK22" s="181"/>
      <c r="FL22" s="181"/>
      <c r="FM22" s="181"/>
      <c r="FN22" s="181"/>
      <c r="FO22" s="181"/>
      <c r="FP22" s="181"/>
      <c r="FQ22" s="181"/>
      <c r="FR22" s="181"/>
      <c r="FS22" s="181"/>
      <c r="FT22" s="181"/>
      <c r="FU22" s="181"/>
      <c r="FV22" s="181"/>
      <c r="FW22" s="181"/>
      <c r="FX22" s="181"/>
      <c r="FY22" s="181"/>
      <c r="FZ22" s="181"/>
    </row>
    <row customHeight="1" ht="10.725000000000001">
      <c r="E23" s="180">
        <v>11</v>
      </c>
      <c r="AO23" s="1751"/>
      <c r="AP23" s="1751"/>
      <c r="AQ23" s="1751"/>
      <c r="AR23" s="1751"/>
      <c r="AS23" s="1751"/>
      <c r="AT23" s="1751"/>
      <c r="AU23" s="1751"/>
      <c r="AV23" s="1751"/>
      <c r="AW23" s="1751"/>
      <c r="AX23" s="1751"/>
      <c r="AY23" s="1751"/>
      <c r="AZ23" s="1751"/>
      <c r="BA23" s="1751"/>
      <c r="BB23" s="1751"/>
      <c r="BC23" s="1751"/>
      <c r="BD23" s="1751"/>
      <c r="BE23" s="1751"/>
      <c r="BF23" s="1751"/>
      <c r="BG23" s="1751"/>
      <c r="BH23" s="1751"/>
      <c r="BI23" s="1751"/>
      <c r="BJ23" s="1751"/>
      <c r="BK23" s="1751"/>
      <c r="BL23" s="1751"/>
      <c r="BM23" s="1751"/>
      <c r="BN23" s="1751"/>
      <c r="BO23" s="1751"/>
      <c r="BP23" s="1751"/>
      <c r="BQ23" s="1751"/>
      <c r="BR23" s="1751"/>
      <c r="BS23" s="1751"/>
      <c r="BT23" s="1751"/>
      <c r="BU23" s="1751"/>
      <c r="BV23" s="1751"/>
      <c r="BW23" s="1751"/>
      <c r="BX23" s="1751"/>
      <c r="BY23" s="1751"/>
      <c r="BZ23" s="1751"/>
      <c r="CA23" s="1751"/>
      <c r="CB23" s="1751"/>
      <c r="CC23" s="1751"/>
      <c r="CD23" s="1751"/>
      <c r="CE23" s="1751"/>
      <c r="CF23" s="1751"/>
      <c r="CG23" s="1751"/>
      <c r="CH23" s="1751"/>
      <c r="CI23" s="1751"/>
      <c r="CJ23" s="1751"/>
      <c r="CK23" s="1751"/>
      <c r="CL23" s="1751"/>
      <c r="CM23" s="1751"/>
      <c r="CN23" s="1751"/>
      <c r="CO23" s="1751"/>
      <c r="CP23" s="1751"/>
      <c r="CQ23" s="1751"/>
      <c r="CR23" s="1751"/>
      <c r="CS23" s="1751"/>
      <c r="CT23" s="1751"/>
      <c r="CU23" s="1751"/>
      <c r="CV23" s="1751"/>
      <c r="CW23" s="1751"/>
      <c r="CX23" s="1751"/>
      <c r="CY23" s="1751"/>
      <c r="CZ23" s="1751"/>
      <c r="DA23" s="1751"/>
      <c r="DB23" s="1751"/>
      <c r="DC23" s="1751"/>
      <c r="DD23" s="1751"/>
      <c r="DE23" s="1751"/>
      <c r="DF23" s="1751"/>
      <c r="DG23" s="1751"/>
      <c r="DH23" s="1751"/>
      <c r="DI23" s="1751"/>
      <c r="DJ23" s="1751"/>
      <c r="DK23" s="1751"/>
      <c r="DL23" s="1751"/>
      <c r="DM23" s="1751"/>
      <c r="DN23" s="1751"/>
      <c r="DO23" s="1751"/>
      <c r="DP23" s="1751"/>
      <c r="DQ23" s="1751"/>
      <c r="DR23" s="1751"/>
      <c r="DS23" s="1751"/>
      <c r="DT23" s="1751"/>
      <c r="DU23" s="1751"/>
      <c r="DV23" s="1751"/>
      <c r="DW23" s="1751"/>
      <c r="DX23" s="1751"/>
      <c r="DY23" s="1751"/>
      <c r="DZ23" s="1751"/>
      <c r="EA23" s="1751"/>
      <c r="EB23" s="1751"/>
      <c r="EC23" s="1751"/>
      <c r="ED23" s="1751"/>
      <c r="EE23" s="1751"/>
      <c r="EF23" s="1751"/>
      <c r="EG23" s="1751"/>
      <c r="EH23" s="1751"/>
      <c r="EI23" s="1751"/>
      <c r="EJ23" s="1751"/>
      <c r="EK23" s="1751"/>
      <c r="EL23" s="1751"/>
      <c r="EM23" s="1751"/>
      <c r="EN23" s="1751"/>
      <c r="EO23" s="1751"/>
      <c r="EP23" s="1751"/>
      <c r="EQ23" s="1751"/>
      <c r="ER23" s="1751"/>
      <c r="ES23" s="1751"/>
      <c r="ET23" s="1751"/>
      <c r="EU23" s="1751"/>
      <c r="EV23" s="1751"/>
      <c r="EW23" s="1751"/>
      <c r="EX23" s="1751"/>
      <c r="EY23" s="1751"/>
      <c r="EZ23" s="1751"/>
      <c r="FA23" s="1751"/>
    </row>
    <row customHeight="1" ht="15.600000000000001">
      <c r="E24" s="180">
        <v>16</v>
      </c>
      <c r="AB24" s="1633" t="s">
        <v>800</v>
      </c>
      <c r="AC24" s="1633"/>
      <c r="AD24" s="1633"/>
      <c r="AE24" s="1633" t="s">
        <v>801</v>
      </c>
      <c r="AF24" s="1633"/>
      <c r="AG24" s="1643" t="s">
        <v>413</v>
      </c>
      <c r="AH24" s="1013" t="str">
        <f>god-2&amp;" год"</f>
        <v>2025 год</v>
      </c>
      <c r="AI24" s="1014" t="str">
        <f>god-2&amp;" год"</f>
        <v>2025 год</v>
      </c>
      <c r="AJ24" s="1013" t="str">
        <f>god-2&amp;" год"</f>
        <v>2025 год</v>
      </c>
      <c r="AK24" s="1013" t="str">
        <f>god-1&amp;" год"</f>
        <v>2026 год</v>
      </c>
      <c r="AL24" s="1014" t="str">
        <f>god&amp;" год"</f>
        <v>2027 год</v>
      </c>
      <c r="AM24" s="1014" cm="1" t="str">
        <f t="array" ref="AM24:AM24">AL24</f>
        <v>2027 год</v>
      </c>
      <c r="AN24" s="1014" cm="1" t="str">
        <f t="array" ref="AN24:AN24">AM24</f>
        <v>2027 год</v>
      </c>
      <c r="AO24" s="1014" t="str">
        <f>god+1&amp;" год"</f>
        <v>2028 год</v>
      </c>
      <c r="AP24" s="1014" cm="1" t="str">
        <f t="array" ref="AP24:AP24">AO24</f>
        <v>2028 год</v>
      </c>
      <c r="AQ24" s="1014" cm="1" t="str">
        <f t="array" ref="AQ24:AQ24">AP24</f>
        <v>2028 год</v>
      </c>
      <c r="AR24" s="1014" t="str">
        <f>god+2&amp;" год"</f>
        <v>2029 год</v>
      </c>
      <c r="AS24" s="1014" cm="1" t="str">
        <f t="array" ref="AS24:AS24">AR24</f>
        <v>2029 год</v>
      </c>
      <c r="AT24" s="1014" cm="1" t="str">
        <f t="array" ref="AT24:AT24">AS24</f>
        <v>2029 год</v>
      </c>
      <c r="AU24" s="1014" t="str">
        <f>god+3&amp;" год"</f>
        <v>2030 год</v>
      </c>
      <c r="AV24" s="1014" cm="1" t="str">
        <f t="array" ref="AV24:AV24">AU24</f>
        <v>2030 год</v>
      </c>
      <c r="AW24" s="1014" cm="1" t="str">
        <f t="array" ref="AW24:AW24">AV24</f>
        <v>2030 год</v>
      </c>
      <c r="AX24" s="1014" t="str">
        <f>god+4&amp;" год"</f>
        <v>2031 год</v>
      </c>
      <c r="AY24" s="1014" cm="1" t="str">
        <f t="array" ref="AY24:AY24">AX24</f>
        <v>2031 год</v>
      </c>
      <c r="AZ24" s="1014" cm="1" t="str">
        <f t="array" ref="AZ24:AZ24">AY24</f>
        <v>2031 год</v>
      </c>
      <c r="BA24" s="1014" t="str">
        <f>god+5&amp;" год"</f>
        <v>2032 год</v>
      </c>
      <c r="BB24" s="1014" cm="1" t="str">
        <f t="array" ref="BB24:BB24">BA24</f>
        <v>2032 год</v>
      </c>
      <c r="BC24" s="1014" cm="1" t="str">
        <f t="array" ref="BC24:BC24">BB24</f>
        <v>2032 год</v>
      </c>
      <c r="BD24" s="1014" t="str">
        <f>god+6&amp;" год"</f>
        <v>2033 год</v>
      </c>
      <c r="BE24" s="1014" cm="1" t="str">
        <f t="array" ref="BE24:BE24">BD24</f>
        <v>2033 год</v>
      </c>
      <c r="BF24" s="1014" cm="1" t="str">
        <f t="array" ref="BF24:BF24">BE24</f>
        <v>2033 год</v>
      </c>
      <c r="BG24" s="1014" t="str">
        <f>god+7&amp;" год"</f>
        <v>2034 год</v>
      </c>
      <c r="BH24" s="1014" cm="1" t="str">
        <f t="array" ref="BH24:BH24">BG24</f>
        <v>2034 год</v>
      </c>
      <c r="BI24" s="1014" cm="1" t="str">
        <f t="array" ref="BI24:BI24">BH24</f>
        <v>2034 год</v>
      </c>
      <c r="BJ24" s="1014" t="str">
        <f>god+8&amp;" год"</f>
        <v>2035 год</v>
      </c>
      <c r="BK24" s="1014" cm="1" t="str">
        <f t="array" ref="BK24:BK24">BJ24</f>
        <v>2035 год</v>
      </c>
      <c r="BL24" s="1014" cm="1" t="str">
        <f t="array" ref="BL24:BL24">BK24</f>
        <v>2035 год</v>
      </c>
      <c r="BM24" s="1014" t="str">
        <f>god+9&amp;" год"</f>
        <v>2036 год</v>
      </c>
      <c r="BN24" s="1014" cm="1" t="str">
        <f t="array" ref="BN24:BN24">BM24</f>
        <v>2036 год</v>
      </c>
      <c r="BO24" s="1014" cm="1" t="str">
        <f t="array" ref="BO24:BO24">BN24</f>
        <v>2036 год</v>
      </c>
      <c r="BP24" s="1014" t="str">
        <f>god+10&amp;" год"</f>
        <v>2037 год</v>
      </c>
      <c r="BQ24" s="1014" cm="1" t="str">
        <f t="array" ref="BQ24:BQ24">BP24</f>
        <v>2037 год</v>
      </c>
      <c r="BR24" s="1014" cm="1" t="str">
        <f t="array" ref="BR24:BR24">BQ24</f>
        <v>2037 год</v>
      </c>
      <c r="BS24" s="1014" t="str">
        <f>god+11&amp;" год"</f>
        <v>2038 год</v>
      </c>
      <c r="BT24" s="1014" cm="1" t="str">
        <f t="array" ref="BT24:BT24">BS24</f>
        <v>2038 год</v>
      </c>
      <c r="BU24" s="1014" cm="1" t="str">
        <f t="array" ref="BU24:BU24">BT24</f>
        <v>2038 год</v>
      </c>
      <c r="BV24" s="1014" t="str">
        <f>god+12&amp;" год"</f>
        <v>2039 год</v>
      </c>
      <c r="BW24" s="1014" cm="1" t="str">
        <f t="array" ref="BW24:BW24">BV24</f>
        <v>2039 год</v>
      </c>
      <c r="BX24" s="1014" cm="1" t="str">
        <f t="array" ref="BX24:BX24">BW24</f>
        <v>2039 год</v>
      </c>
      <c r="BY24" s="1014" t="str">
        <f>god+13&amp;" год"</f>
        <v>2040 год</v>
      </c>
      <c r="BZ24" s="1014" cm="1" t="str">
        <f t="array" ref="BZ24:BZ24">BY24</f>
        <v>2040 год</v>
      </c>
      <c r="CA24" s="1014" cm="1" t="str">
        <f t="array" ref="CA24:CA24">BZ24</f>
        <v>2040 год</v>
      </c>
      <c r="CB24" s="1014" t="str">
        <f>god+14&amp;" год"</f>
        <v>2041 год</v>
      </c>
      <c r="CC24" s="1014" cm="1" t="str">
        <f t="array" ref="CC24:CC24">CB24</f>
        <v>2041 год</v>
      </c>
      <c r="CD24" s="1014" cm="1" t="str">
        <f t="array" ref="CD24:CD24">CC24</f>
        <v>2041 год</v>
      </c>
      <c r="CE24" s="1014" t="str">
        <f>god+15&amp;" год"</f>
        <v>2042 год</v>
      </c>
      <c r="CF24" s="1014" cm="1" t="str">
        <f t="array" ref="CF24:CF24">CE24</f>
        <v>2042 год</v>
      </c>
      <c r="CG24" s="1014" cm="1" t="str">
        <f t="array" ref="CG24:CG24">CF24</f>
        <v>2042 год</v>
      </c>
      <c r="CH24" s="1014" t="str">
        <f>god+16&amp;" год"</f>
        <v>2043 год</v>
      </c>
      <c r="CI24" s="1014" cm="1" t="str">
        <f t="array" ref="CI24:CI24">CH24</f>
        <v>2043 год</v>
      </c>
      <c r="CJ24" s="1014" cm="1" t="str">
        <f t="array" ref="CJ24:CJ24">CI24</f>
        <v>2043 год</v>
      </c>
      <c r="CK24" s="1014" t="str">
        <f>god+17&amp;" год"</f>
        <v>2044 год</v>
      </c>
      <c r="CL24" s="1014" cm="1" t="str">
        <f t="array" ref="CL24:CL24">CK24</f>
        <v>2044 год</v>
      </c>
      <c r="CM24" s="1014" cm="1" t="str">
        <f t="array" ref="CM24:CM24">CL24</f>
        <v>2044 год</v>
      </c>
      <c r="CN24" s="1014" t="str">
        <f>god+18&amp;" год"</f>
        <v>2045 год</v>
      </c>
      <c r="CO24" s="1014" cm="1" t="str">
        <f t="array" ref="CO24:CO24">CN24</f>
        <v>2045 год</v>
      </c>
      <c r="CP24" s="1014" cm="1" t="str">
        <f t="array" ref="CP24:CP24">CO24</f>
        <v>2045 год</v>
      </c>
      <c r="CQ24" s="1014" t="str">
        <f>god+19&amp;" год"</f>
        <v>2046 год</v>
      </c>
      <c r="CR24" s="1014" cm="1" t="str">
        <f t="array" ref="CR24:CR24">CQ24</f>
        <v>2046 год</v>
      </c>
      <c r="CS24" s="1014" cm="1" t="str">
        <f t="array" ref="CS24:CS24">CR24</f>
        <v>2046 год</v>
      </c>
      <c r="CT24" s="1013" t="str">
        <f>god&amp;" год"</f>
        <v>2027 год</v>
      </c>
      <c r="CU24" s="1013" cm="1" t="str">
        <f t="array" ref="CU24:CU24">CT24</f>
        <v>2027 год</v>
      </c>
      <c r="CV24" s="1013" cm="1" t="str">
        <f t="array" ref="CV24:CV24">CU24</f>
        <v>2027 год</v>
      </c>
      <c r="CW24" s="1013" t="str">
        <f>god+1&amp;" год"</f>
        <v>2028 год</v>
      </c>
      <c r="CX24" s="1013" cm="1" t="str">
        <f t="array" ref="CX24:CX24">CW24</f>
        <v>2028 год</v>
      </c>
      <c r="CY24" s="1013" cm="1" t="str">
        <f t="array" ref="CY24:CY24">CX24</f>
        <v>2028 год</v>
      </c>
      <c r="CZ24" s="1013" t="str">
        <f>god+2&amp;" год"</f>
        <v>2029 год</v>
      </c>
      <c r="DA24" s="1013" cm="1" t="str">
        <f t="array" ref="DA24:DA24">CZ24</f>
        <v>2029 год</v>
      </c>
      <c r="DB24" s="1013" cm="1" t="str">
        <f t="array" ref="DB24:DB24">DA24</f>
        <v>2029 год</v>
      </c>
      <c r="DC24" s="1013" t="str">
        <f>god+3&amp;" год"</f>
        <v>2030 год</v>
      </c>
      <c r="DD24" s="1013" cm="1" t="str">
        <f t="array" ref="DD24:DD24">DC24</f>
        <v>2030 год</v>
      </c>
      <c r="DE24" s="1013" cm="1" t="str">
        <f t="array" ref="DE24:DE24">DD24</f>
        <v>2030 год</v>
      </c>
      <c r="DF24" s="1013" t="str">
        <f>god+4&amp;" год"</f>
        <v>2031 год</v>
      </c>
      <c r="DG24" s="1013" cm="1" t="str">
        <f t="array" ref="DG24:DG24">DF24</f>
        <v>2031 год</v>
      </c>
      <c r="DH24" s="1013" cm="1" t="str">
        <f t="array" ref="DH24:DH24">DG24</f>
        <v>2031 год</v>
      </c>
      <c r="DI24" s="1013" t="str">
        <f>god+5&amp;" год"</f>
        <v>2032 год</v>
      </c>
      <c r="DJ24" s="1013" cm="1" t="str">
        <f t="array" ref="DJ24:DJ24">DI24</f>
        <v>2032 год</v>
      </c>
      <c r="DK24" s="1013" cm="1" t="str">
        <f t="array" ref="DK24:DK24">DJ24</f>
        <v>2032 год</v>
      </c>
      <c r="DL24" s="1013" t="str">
        <f>god+6&amp;" год"</f>
        <v>2033 год</v>
      </c>
      <c r="DM24" s="1013" cm="1" t="str">
        <f t="array" ref="DM24:DM24">DL24</f>
        <v>2033 год</v>
      </c>
      <c r="DN24" s="1013" cm="1" t="str">
        <f t="array" ref="DN24:DN24">DM24</f>
        <v>2033 год</v>
      </c>
      <c r="DO24" s="1013" t="str">
        <f>god+7&amp;" год"</f>
        <v>2034 год</v>
      </c>
      <c r="DP24" s="1013" cm="1" t="str">
        <f t="array" ref="DP24:DP24">DO24</f>
        <v>2034 год</v>
      </c>
      <c r="DQ24" s="1013" cm="1" t="str">
        <f t="array" ref="DQ24:DQ24">DP24</f>
        <v>2034 год</v>
      </c>
      <c r="DR24" s="1013" t="str">
        <f>god+8&amp;" год"</f>
        <v>2035 год</v>
      </c>
      <c r="DS24" s="1013" cm="1" t="str">
        <f t="array" ref="DS24:DS24">DR24</f>
        <v>2035 год</v>
      </c>
      <c r="DT24" s="1013" cm="1" t="str">
        <f t="array" ref="DT24:DT24">DS24</f>
        <v>2035 год</v>
      </c>
      <c r="DU24" s="1013" t="str">
        <f>god+9&amp;" год"</f>
        <v>2036 год</v>
      </c>
      <c r="DV24" s="1013" cm="1" t="str">
        <f t="array" ref="DV24:DV24">DU24</f>
        <v>2036 год</v>
      </c>
      <c r="DW24" s="1013" cm="1" t="str">
        <f t="array" ref="DW24:DW24">DV24</f>
        <v>2036 год</v>
      </c>
      <c r="DX24" s="1013" t="str">
        <f>god+10&amp;" год"</f>
        <v>2037 год</v>
      </c>
      <c r="DY24" s="1013" cm="1" t="str">
        <f t="array" ref="DY24:DY24">DX24</f>
        <v>2037 год</v>
      </c>
      <c r="DZ24" s="1013" cm="1" t="str">
        <f t="array" ref="DZ24:DZ24">DY24</f>
        <v>2037 год</v>
      </c>
      <c r="EA24" s="1013" t="str">
        <f>god+11&amp;" год"</f>
        <v>2038 год</v>
      </c>
      <c r="EB24" s="1013" cm="1" t="str">
        <f t="array" ref="EB24:EB24">EA24</f>
        <v>2038 год</v>
      </c>
      <c r="EC24" s="1013" cm="1" t="str">
        <f t="array" ref="EC24:EC24">EB24</f>
        <v>2038 год</v>
      </c>
      <c r="ED24" s="1013" t="str">
        <f>god+12&amp;" год"</f>
        <v>2039 год</v>
      </c>
      <c r="EE24" s="1013" cm="1" t="str">
        <f t="array" ref="EE24:EE24">ED24</f>
        <v>2039 год</v>
      </c>
      <c r="EF24" s="1013" cm="1" t="str">
        <f t="array" ref="EF24:EF24">EE24</f>
        <v>2039 год</v>
      </c>
      <c r="EG24" s="1013" t="str">
        <f>god+13&amp;" год"</f>
        <v>2040 год</v>
      </c>
      <c r="EH24" s="1013" cm="1" t="str">
        <f t="array" ref="EH24:EH24">EG24</f>
        <v>2040 год</v>
      </c>
      <c r="EI24" s="1013" cm="1" t="str">
        <f t="array" ref="EI24:EI24">EH24</f>
        <v>2040 год</v>
      </c>
      <c r="EJ24" s="1013" t="str">
        <f>god+14&amp;" год"</f>
        <v>2041 год</v>
      </c>
      <c r="EK24" s="1013" cm="1" t="str">
        <f t="array" ref="EK24:EK24">EJ24</f>
        <v>2041 год</v>
      </c>
      <c r="EL24" s="1013" cm="1" t="str">
        <f t="array" ref="EL24:EL24">EK24</f>
        <v>2041 год</v>
      </c>
      <c r="EM24" s="1013" t="str">
        <f>god+15&amp;" год"</f>
        <v>2042 год</v>
      </c>
      <c r="EN24" s="1013" cm="1" t="str">
        <f t="array" ref="EN24:EN24">EM24</f>
        <v>2042 год</v>
      </c>
      <c r="EO24" s="1013" cm="1" t="str">
        <f t="array" ref="EO24:EO24">EN24</f>
        <v>2042 год</v>
      </c>
      <c r="EP24" s="1013" t="str">
        <f>god+16&amp;" год"</f>
        <v>2043 год</v>
      </c>
      <c r="EQ24" s="1013" cm="1" t="str">
        <f t="array" ref="EQ24:EQ24">EP24</f>
        <v>2043 год</v>
      </c>
      <c r="ER24" s="1013" cm="1" t="str">
        <f t="array" ref="ER24:ER24">EQ24</f>
        <v>2043 год</v>
      </c>
      <c r="ES24" s="1013" t="str">
        <f>god+17&amp;" год"</f>
        <v>2044 год</v>
      </c>
      <c r="ET24" s="1013" cm="1" t="str">
        <f t="array" ref="ET24:ET24">ES24</f>
        <v>2044 год</v>
      </c>
      <c r="EU24" s="1013" cm="1" t="str">
        <f t="array" ref="EU24:EU24">ET24</f>
        <v>2044 год</v>
      </c>
      <c r="EV24" s="1013" t="str">
        <f>god+18&amp;" год"</f>
        <v>2045 год</v>
      </c>
      <c r="EW24" s="1013" cm="1" t="str">
        <f t="array" ref="EW24:EW24">EV24</f>
        <v>2045 год</v>
      </c>
      <c r="EX24" s="1013" cm="1" t="str">
        <f t="array" ref="EX24:EX24">EW24</f>
        <v>2045 год</v>
      </c>
      <c r="EY24" s="1013" t="str">
        <f>god+19&amp;" год"</f>
        <v>2046 год</v>
      </c>
      <c r="EZ24" s="1013" cm="1" t="str">
        <f t="array" ref="EZ24:EZ24">EY24</f>
        <v>2046 год</v>
      </c>
      <c r="FA24" s="1013" cm="1" t="str">
        <f t="array" ref="FA24:FA24">EZ24</f>
        <v>2046 год</v>
      </c>
      <c r="FB24" s="1640" t="s">
        <v>625</v>
      </c>
    </row>
    <row customHeight="1" ht="15.600000000000001">
      <c r="E25" s="180">
        <v>16</v>
      </c>
      <c r="AB25" s="1633"/>
      <c r="AC25" s="1633"/>
      <c r="AD25" s="1633"/>
      <c r="AE25" s="1633"/>
      <c r="AF25" s="1633"/>
      <c r="AG25" s="1643"/>
      <c r="AH25" s="1013" t="s">
        <v>305</v>
      </c>
      <c r="AI25" s="1014" t="s">
        <v>305</v>
      </c>
      <c r="AJ25" s="1013" t="s">
        <v>305</v>
      </c>
      <c r="AK25" s="1013" t="s">
        <v>305</v>
      </c>
      <c r="AL25" s="1014" t="s">
        <v>305</v>
      </c>
      <c r="AM25" s="1014" t="str">
        <f>IF(god=2026,"01.01-30.09","1 полугодие")</f>
        <v>1 полугодие</v>
      </c>
      <c r="AN25" s="1014" t="str">
        <f>IF(god=2026,"01.10-31.12","2 полугодие")</f>
        <v>2 полугодие</v>
      </c>
      <c r="AO25" s="1014" t="s">
        <v>305</v>
      </c>
      <c r="AP25" s="1014" t="str">
        <f>IF(god=2025,"01.01-30.09","1 полугодие")</f>
        <v>1 полугодие</v>
      </c>
      <c r="AQ25" s="1014" t="str">
        <f>IF(god=2025,"01.10-31.12","2 полугодие")</f>
        <v>2 полугодие</v>
      </c>
      <c r="AR25" s="1014" t="s">
        <v>305</v>
      </c>
      <c r="AS25" s="1014" t="s">
        <v>802</v>
      </c>
      <c r="AT25" s="1014" t="s">
        <v>803</v>
      </c>
      <c r="AU25" s="1014" t="s">
        <v>305</v>
      </c>
      <c r="AV25" s="1014" t="s">
        <v>802</v>
      </c>
      <c r="AW25" s="1014" t="s">
        <v>803</v>
      </c>
      <c r="AX25" s="1014" t="s">
        <v>305</v>
      </c>
      <c r="AY25" s="1014" t="s">
        <v>802</v>
      </c>
      <c r="AZ25" s="1014" t="s">
        <v>803</v>
      </c>
      <c r="BA25" s="1014" t="s">
        <v>305</v>
      </c>
      <c r="BB25" s="1014" t="s">
        <v>802</v>
      </c>
      <c r="BC25" s="1014" t="s">
        <v>803</v>
      </c>
      <c r="BD25" s="1014" t="s">
        <v>305</v>
      </c>
      <c r="BE25" s="1014" t="s">
        <v>802</v>
      </c>
      <c r="BF25" s="1014" t="s">
        <v>803</v>
      </c>
      <c r="BG25" s="1014" t="s">
        <v>305</v>
      </c>
      <c r="BH25" s="1014" t="s">
        <v>802</v>
      </c>
      <c r="BI25" s="1014" t="s">
        <v>803</v>
      </c>
      <c r="BJ25" s="1014" t="s">
        <v>305</v>
      </c>
      <c r="BK25" s="1014" t="s">
        <v>802</v>
      </c>
      <c r="BL25" s="1014" t="s">
        <v>803</v>
      </c>
      <c r="BM25" s="1014" t="s">
        <v>305</v>
      </c>
      <c r="BN25" s="1014" t="s">
        <v>802</v>
      </c>
      <c r="BO25" s="1014" t="s">
        <v>803</v>
      </c>
      <c r="BP25" s="1014" t="s">
        <v>305</v>
      </c>
      <c r="BQ25" s="1014" t="s">
        <v>802</v>
      </c>
      <c r="BR25" s="1014" t="s">
        <v>803</v>
      </c>
      <c r="BS25" s="1014" t="s">
        <v>305</v>
      </c>
      <c r="BT25" s="1014" t="s">
        <v>802</v>
      </c>
      <c r="BU25" s="1014" t="s">
        <v>803</v>
      </c>
      <c r="BV25" s="1014" t="s">
        <v>305</v>
      </c>
      <c r="BW25" s="1014" t="s">
        <v>802</v>
      </c>
      <c r="BX25" s="1014" t="s">
        <v>803</v>
      </c>
      <c r="BY25" s="1014" t="s">
        <v>305</v>
      </c>
      <c r="BZ25" s="1014" t="s">
        <v>802</v>
      </c>
      <c r="CA25" s="1014" t="s">
        <v>803</v>
      </c>
      <c r="CB25" s="1014" t="s">
        <v>305</v>
      </c>
      <c r="CC25" s="1014" t="s">
        <v>802</v>
      </c>
      <c r="CD25" s="1014" t="s">
        <v>803</v>
      </c>
      <c r="CE25" s="1014" t="s">
        <v>305</v>
      </c>
      <c r="CF25" s="1014" t="s">
        <v>802</v>
      </c>
      <c r="CG25" s="1014" t="s">
        <v>803</v>
      </c>
      <c r="CH25" s="1014" t="s">
        <v>305</v>
      </c>
      <c r="CI25" s="1014" t="s">
        <v>802</v>
      </c>
      <c r="CJ25" s="1014" t="s">
        <v>803</v>
      </c>
      <c r="CK25" s="1014" t="s">
        <v>305</v>
      </c>
      <c r="CL25" s="1014" t="s">
        <v>802</v>
      </c>
      <c r="CM25" s="1014" t="s">
        <v>803</v>
      </c>
      <c r="CN25" s="1014" t="s">
        <v>305</v>
      </c>
      <c r="CO25" s="1014" t="s">
        <v>802</v>
      </c>
      <c r="CP25" s="1014" t="s">
        <v>803</v>
      </c>
      <c r="CQ25" s="1014" t="s">
        <v>305</v>
      </c>
      <c r="CR25" s="1014" t="s">
        <v>802</v>
      </c>
      <c r="CS25" s="1014" t="s">
        <v>803</v>
      </c>
      <c r="CT25" s="1013" t="s">
        <v>305</v>
      </c>
      <c r="CU25" s="1013" t="str">
        <f>IF(god=2026,"01.01-30.09","1 полугодие")</f>
        <v>1 полугодие</v>
      </c>
      <c r="CV25" s="1013" t="str">
        <f>IF(god=2026,"01.10-31.12","2 полугодие")</f>
        <v>2 полугодие</v>
      </c>
      <c r="CW25" s="1013" t="s">
        <v>305</v>
      </c>
      <c r="CX25" s="1013" t="str">
        <f>IF(god=2025,"01.01-30.09","1 полугодие")</f>
        <v>1 полугодие</v>
      </c>
      <c r="CY25" s="1013" t="str">
        <f>IF(god=2025,"01.10-31.12","2 полугодие")</f>
        <v>2 полугодие</v>
      </c>
      <c r="CZ25" s="1013" t="s">
        <v>305</v>
      </c>
      <c r="DA25" s="1013" t="s">
        <v>802</v>
      </c>
      <c r="DB25" s="1013" t="s">
        <v>803</v>
      </c>
      <c r="DC25" s="1013" t="s">
        <v>305</v>
      </c>
      <c r="DD25" s="1013" t="s">
        <v>802</v>
      </c>
      <c r="DE25" s="1013" t="s">
        <v>803</v>
      </c>
      <c r="DF25" s="1013" t="s">
        <v>305</v>
      </c>
      <c r="DG25" s="1013" t="s">
        <v>802</v>
      </c>
      <c r="DH25" s="1013" t="s">
        <v>803</v>
      </c>
      <c r="DI25" s="1013" t="s">
        <v>305</v>
      </c>
      <c r="DJ25" s="1013" t="s">
        <v>802</v>
      </c>
      <c r="DK25" s="1013" t="s">
        <v>803</v>
      </c>
      <c r="DL25" s="1013" t="s">
        <v>305</v>
      </c>
      <c r="DM25" s="1013" t="s">
        <v>802</v>
      </c>
      <c r="DN25" s="1013" t="s">
        <v>803</v>
      </c>
      <c r="DO25" s="1013" t="s">
        <v>305</v>
      </c>
      <c r="DP25" s="1013" t="s">
        <v>802</v>
      </c>
      <c r="DQ25" s="1013" t="s">
        <v>803</v>
      </c>
      <c r="DR25" s="1013" t="s">
        <v>305</v>
      </c>
      <c r="DS25" s="1013" t="s">
        <v>802</v>
      </c>
      <c r="DT25" s="1013" t="s">
        <v>803</v>
      </c>
      <c r="DU25" s="1013" t="s">
        <v>305</v>
      </c>
      <c r="DV25" s="1013" t="s">
        <v>802</v>
      </c>
      <c r="DW25" s="1013" t="s">
        <v>803</v>
      </c>
      <c r="DX25" s="1013" t="s">
        <v>305</v>
      </c>
      <c r="DY25" s="1013" t="s">
        <v>802</v>
      </c>
      <c r="DZ25" s="1013" t="s">
        <v>803</v>
      </c>
      <c r="EA25" s="1013" t="s">
        <v>305</v>
      </c>
      <c r="EB25" s="1013" t="s">
        <v>802</v>
      </c>
      <c r="EC25" s="1013" t="s">
        <v>803</v>
      </c>
      <c r="ED25" s="1013" t="s">
        <v>305</v>
      </c>
      <c r="EE25" s="1013" t="s">
        <v>802</v>
      </c>
      <c r="EF25" s="1013" t="s">
        <v>803</v>
      </c>
      <c r="EG25" s="1013" t="s">
        <v>305</v>
      </c>
      <c r="EH25" s="1013" t="s">
        <v>802</v>
      </c>
      <c r="EI25" s="1013" t="s">
        <v>803</v>
      </c>
      <c r="EJ25" s="1013" t="s">
        <v>305</v>
      </c>
      <c r="EK25" s="1013" t="s">
        <v>802</v>
      </c>
      <c r="EL25" s="1013" t="s">
        <v>803</v>
      </c>
      <c r="EM25" s="1013" t="s">
        <v>305</v>
      </c>
      <c r="EN25" s="1013" t="s">
        <v>802</v>
      </c>
      <c r="EO25" s="1013" t="s">
        <v>803</v>
      </c>
      <c r="EP25" s="1013" t="s">
        <v>305</v>
      </c>
      <c r="EQ25" s="1013" t="s">
        <v>802</v>
      </c>
      <c r="ER25" s="1013" t="s">
        <v>803</v>
      </c>
      <c r="ES25" s="1013" t="s">
        <v>305</v>
      </c>
      <c r="ET25" s="1013" t="s">
        <v>802</v>
      </c>
      <c r="EU25" s="1013" t="s">
        <v>803</v>
      </c>
      <c r="EV25" s="1013" t="s">
        <v>305</v>
      </c>
      <c r="EW25" s="1013" t="s">
        <v>802</v>
      </c>
      <c r="EX25" s="1013" t="s">
        <v>803</v>
      </c>
      <c r="EY25" s="1013" t="s">
        <v>305</v>
      </c>
      <c r="EZ25" s="1013" t="s">
        <v>802</v>
      </c>
      <c r="FA25" s="1013" t="s">
        <v>803</v>
      </c>
      <c r="FB25" s="1640"/>
    </row>
    <row customHeight="1" ht="52.650000000000006">
      <c r="E26" s="180">
        <v>54</v>
      </c>
      <c r="AB26" s="1633"/>
      <c r="AC26" s="1633"/>
      <c r="AD26" s="1633"/>
      <c r="AE26" s="1633"/>
      <c r="AF26" s="1633"/>
      <c r="AG26" s="1643"/>
      <c r="AH26" s="1013" t="s">
        <v>415</v>
      </c>
      <c r="AI26" s="1014" t="s">
        <v>626</v>
      </c>
      <c r="AJ26" s="1013" t="s">
        <v>627</v>
      </c>
      <c r="AK26" s="1013" t="s">
        <v>415</v>
      </c>
      <c r="AL26" s="1014" t="s">
        <v>416</v>
      </c>
      <c r="AM26" s="1014" t="s">
        <v>416</v>
      </c>
      <c r="AN26" s="1014" t="s">
        <v>416</v>
      </c>
      <c r="AO26" s="1014" t="s">
        <v>416</v>
      </c>
      <c r="AP26" s="1014" t="s">
        <v>416</v>
      </c>
      <c r="AQ26" s="1014" t="s">
        <v>416</v>
      </c>
      <c r="AR26" s="1014" t="s">
        <v>416</v>
      </c>
      <c r="AS26" s="1014" t="s">
        <v>416</v>
      </c>
      <c r="AT26" s="1014" t="s">
        <v>416</v>
      </c>
      <c r="AU26" s="1014" t="s">
        <v>416</v>
      </c>
      <c r="AV26" s="1014" t="s">
        <v>416</v>
      </c>
      <c r="AW26" s="1014" t="s">
        <v>416</v>
      </c>
      <c r="AX26" s="1014" t="s">
        <v>416</v>
      </c>
      <c r="AY26" s="1014" t="s">
        <v>416</v>
      </c>
      <c r="AZ26" s="1014" t="s">
        <v>416</v>
      </c>
      <c r="BA26" s="1014" t="s">
        <v>416</v>
      </c>
      <c r="BB26" s="1014" t="s">
        <v>416</v>
      </c>
      <c r="BC26" s="1014" t="s">
        <v>416</v>
      </c>
      <c r="BD26" s="1014" t="s">
        <v>416</v>
      </c>
      <c r="BE26" s="1014" t="s">
        <v>416</v>
      </c>
      <c r="BF26" s="1014" t="s">
        <v>416</v>
      </c>
      <c r="BG26" s="1014" t="s">
        <v>416</v>
      </c>
      <c r="BH26" s="1014" t="s">
        <v>416</v>
      </c>
      <c r="BI26" s="1014" t="s">
        <v>416</v>
      </c>
      <c r="BJ26" s="1014" t="s">
        <v>416</v>
      </c>
      <c r="BK26" s="1014" t="s">
        <v>416</v>
      </c>
      <c r="BL26" s="1014" t="s">
        <v>416</v>
      </c>
      <c r="BM26" s="1014" t="s">
        <v>416</v>
      </c>
      <c r="BN26" s="1014" t="s">
        <v>416</v>
      </c>
      <c r="BO26" s="1014" t="s">
        <v>416</v>
      </c>
      <c r="BP26" s="1014" t="s">
        <v>416</v>
      </c>
      <c r="BQ26" s="1014" t="s">
        <v>416</v>
      </c>
      <c r="BR26" s="1014" t="s">
        <v>416</v>
      </c>
      <c r="BS26" s="1014" t="s">
        <v>416</v>
      </c>
      <c r="BT26" s="1014" t="s">
        <v>416</v>
      </c>
      <c r="BU26" s="1014" t="s">
        <v>416</v>
      </c>
      <c r="BV26" s="1014" t="s">
        <v>416</v>
      </c>
      <c r="BW26" s="1014" t="s">
        <v>416</v>
      </c>
      <c r="BX26" s="1014" t="s">
        <v>416</v>
      </c>
      <c r="BY26" s="1014" t="s">
        <v>416</v>
      </c>
      <c r="BZ26" s="1014" t="s">
        <v>416</v>
      </c>
      <c r="CA26" s="1014" t="s">
        <v>416</v>
      </c>
      <c r="CB26" s="1014" t="s">
        <v>416</v>
      </c>
      <c r="CC26" s="1014" t="s">
        <v>416</v>
      </c>
      <c r="CD26" s="1014" t="s">
        <v>416</v>
      </c>
      <c r="CE26" s="1014" t="s">
        <v>416</v>
      </c>
      <c r="CF26" s="1014" t="s">
        <v>416</v>
      </c>
      <c r="CG26" s="1014" t="s">
        <v>416</v>
      </c>
      <c r="CH26" s="1014" t="s">
        <v>416</v>
      </c>
      <c r="CI26" s="1014" t="s">
        <v>416</v>
      </c>
      <c r="CJ26" s="1014" t="s">
        <v>416</v>
      </c>
      <c r="CK26" s="1014" t="s">
        <v>416</v>
      </c>
      <c r="CL26" s="1014" t="s">
        <v>416</v>
      </c>
      <c r="CM26" s="1014" t="s">
        <v>416</v>
      </c>
      <c r="CN26" s="1014" t="s">
        <v>416</v>
      </c>
      <c r="CO26" s="1014" t="s">
        <v>416</v>
      </c>
      <c r="CP26" s="1014" t="s">
        <v>416</v>
      </c>
      <c r="CQ26" s="1014" t="s">
        <v>416</v>
      </c>
      <c r="CR26" s="1014" t="s">
        <v>416</v>
      </c>
      <c r="CS26" s="1014" t="s">
        <v>416</v>
      </c>
      <c r="CT26" s="1013" t="s">
        <v>415</v>
      </c>
      <c r="CU26" s="1013" t="s">
        <v>415</v>
      </c>
      <c r="CV26" s="1013" t="s">
        <v>415</v>
      </c>
      <c r="CW26" s="1013" t="s">
        <v>415</v>
      </c>
      <c r="CX26" s="1013" t="s">
        <v>415</v>
      </c>
      <c r="CY26" s="1013" t="s">
        <v>415</v>
      </c>
      <c r="CZ26" s="1013" t="s">
        <v>415</v>
      </c>
      <c r="DA26" s="1013" t="s">
        <v>415</v>
      </c>
      <c r="DB26" s="1013" t="s">
        <v>415</v>
      </c>
      <c r="DC26" s="1013" t="s">
        <v>415</v>
      </c>
      <c r="DD26" s="1013" t="s">
        <v>415</v>
      </c>
      <c r="DE26" s="1013" t="s">
        <v>415</v>
      </c>
      <c r="DF26" s="1013" t="s">
        <v>415</v>
      </c>
      <c r="DG26" s="1013" t="s">
        <v>415</v>
      </c>
      <c r="DH26" s="1013" t="s">
        <v>415</v>
      </c>
      <c r="DI26" s="1013" t="s">
        <v>415</v>
      </c>
      <c r="DJ26" s="1013" t="s">
        <v>415</v>
      </c>
      <c r="DK26" s="1013" t="s">
        <v>415</v>
      </c>
      <c r="DL26" s="1013" t="s">
        <v>415</v>
      </c>
      <c r="DM26" s="1013" t="s">
        <v>415</v>
      </c>
      <c r="DN26" s="1013" t="s">
        <v>415</v>
      </c>
      <c r="DO26" s="1013" t="s">
        <v>415</v>
      </c>
      <c r="DP26" s="1013" t="s">
        <v>415</v>
      </c>
      <c r="DQ26" s="1013" t="s">
        <v>415</v>
      </c>
      <c r="DR26" s="1013" t="s">
        <v>415</v>
      </c>
      <c r="DS26" s="1013" t="s">
        <v>415</v>
      </c>
      <c r="DT26" s="1013" t="s">
        <v>415</v>
      </c>
      <c r="DU26" s="1013" t="s">
        <v>415</v>
      </c>
      <c r="DV26" s="1013" t="s">
        <v>415</v>
      </c>
      <c r="DW26" s="1013" t="s">
        <v>415</v>
      </c>
      <c r="DX26" s="1013" t="s">
        <v>415</v>
      </c>
      <c r="DY26" s="1013" t="s">
        <v>415</v>
      </c>
      <c r="DZ26" s="1013" t="s">
        <v>415</v>
      </c>
      <c r="EA26" s="1013" t="s">
        <v>415</v>
      </c>
      <c r="EB26" s="1013" t="s">
        <v>415</v>
      </c>
      <c r="EC26" s="1013" t="s">
        <v>415</v>
      </c>
      <c r="ED26" s="1013" t="s">
        <v>415</v>
      </c>
      <c r="EE26" s="1013" t="s">
        <v>415</v>
      </c>
      <c r="EF26" s="1013" t="s">
        <v>415</v>
      </c>
      <c r="EG26" s="1013" t="s">
        <v>415</v>
      </c>
      <c r="EH26" s="1013" t="s">
        <v>415</v>
      </c>
      <c r="EI26" s="1013" t="s">
        <v>415</v>
      </c>
      <c r="EJ26" s="1013" t="s">
        <v>415</v>
      </c>
      <c r="EK26" s="1013" t="s">
        <v>415</v>
      </c>
      <c r="EL26" s="1013" t="s">
        <v>415</v>
      </c>
      <c r="EM26" s="1013" t="s">
        <v>415</v>
      </c>
      <c r="EN26" s="1013" t="s">
        <v>415</v>
      </c>
      <c r="EO26" s="1013" t="s">
        <v>415</v>
      </c>
      <c r="EP26" s="1013" t="s">
        <v>415</v>
      </c>
      <c r="EQ26" s="1013" t="s">
        <v>415</v>
      </c>
      <c r="ER26" s="1013" t="s">
        <v>415</v>
      </c>
      <c r="ES26" s="1013" t="s">
        <v>415</v>
      </c>
      <c r="ET26" s="1013" t="s">
        <v>415</v>
      </c>
      <c r="EU26" s="1013" t="s">
        <v>415</v>
      </c>
      <c r="EV26" s="1013" t="s">
        <v>415</v>
      </c>
      <c r="EW26" s="1013" t="s">
        <v>415</v>
      </c>
      <c r="EX26" s="1013" t="s">
        <v>415</v>
      </c>
      <c r="EY26" s="1013" t="s">
        <v>415</v>
      </c>
      <c r="EZ26" s="1013" t="s">
        <v>415</v>
      </c>
      <c r="FA26" s="1013" t="s">
        <v>415</v>
      </c>
      <c r="FB26" s="1640"/>
    </row>
    <row customHeight="1" ht="12" hidden="1">
      <c r="E27" s="965">
        <v>0</v>
      </c>
      <c r="AB27" s="492"/>
      <c r="AC27" s="492"/>
      <c r="AD27" s="493"/>
      <c r="AE27" s="492"/>
      <c r="AF27" s="492"/>
      <c r="AG27" s="493"/>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c r="BM27" s="279"/>
      <c r="BN27" s="279"/>
      <c r="BO27" s="279"/>
      <c r="BP27" s="279"/>
      <c r="BQ27" s="279"/>
      <c r="BR27" s="279"/>
      <c r="BS27" s="279"/>
      <c r="BT27" s="279"/>
      <c r="BU27" s="279"/>
      <c r="BV27" s="279"/>
      <c r="BW27" s="279"/>
      <c r="BX27" s="279"/>
      <c r="BY27" s="279"/>
      <c r="BZ27" s="279"/>
      <c r="CA27" s="279"/>
      <c r="CB27" s="279"/>
      <c r="CC27" s="279"/>
      <c r="CD27" s="279"/>
      <c r="CE27" s="279"/>
      <c r="CF27" s="279"/>
      <c r="CG27" s="279"/>
      <c r="CH27" s="279"/>
      <c r="CI27" s="279"/>
      <c r="CJ27" s="279"/>
      <c r="CK27" s="279"/>
      <c r="CL27" s="279"/>
      <c r="CM27" s="279"/>
      <c r="CN27" s="279"/>
      <c r="CO27" s="279"/>
      <c r="CP27" s="279"/>
      <c r="CQ27" s="279"/>
      <c r="CR27" s="279"/>
      <c r="CS27" s="279"/>
      <c r="CT27" s="279"/>
      <c r="CU27" s="279"/>
      <c r="CV27" s="279"/>
      <c r="CW27" s="279"/>
      <c r="CX27" s="279"/>
      <c r="CY27" s="279"/>
      <c r="CZ27" s="279"/>
      <c r="DA27" s="279"/>
      <c r="DB27" s="279"/>
      <c r="DC27" s="279"/>
      <c r="DD27" s="279"/>
      <c r="DE27" s="279"/>
      <c r="DF27" s="495"/>
      <c r="DG27" s="279"/>
      <c r="DH27" s="495"/>
      <c r="DI27" s="495"/>
      <c r="DJ27" s="279"/>
      <c r="DK27" s="279"/>
      <c r="DL27" s="279"/>
      <c r="DM27" s="279"/>
      <c r="DN27" s="279"/>
      <c r="DO27" s="279"/>
      <c r="DP27" s="279"/>
      <c r="DQ27" s="279"/>
      <c r="DR27" s="279"/>
      <c r="DS27" s="279"/>
      <c r="DT27" s="279"/>
      <c r="DU27" s="279"/>
      <c r="DV27" s="279"/>
      <c r="DW27" s="279"/>
      <c r="DX27" s="279"/>
      <c r="DY27" s="279"/>
      <c r="DZ27" s="279"/>
      <c r="EA27" s="279"/>
      <c r="EB27" s="279"/>
      <c r="EC27" s="279"/>
      <c r="ED27" s="279"/>
      <c r="EE27" s="279"/>
      <c r="EF27" s="279"/>
      <c r="EG27" s="279"/>
      <c r="EH27" s="279"/>
      <c r="EI27" s="279"/>
      <c r="EJ27" s="279"/>
      <c r="EK27" s="279"/>
      <c r="EL27" s="279"/>
      <c r="EM27" s="279"/>
      <c r="EN27" s="279"/>
      <c r="EO27" s="279"/>
      <c r="EP27" s="279"/>
      <c r="EQ27" s="279"/>
      <c r="ER27" s="279"/>
      <c r="ES27" s="279"/>
      <c r="ET27" s="279"/>
      <c r="EU27" s="279"/>
      <c r="EV27" s="279"/>
      <c r="EW27" s="279"/>
      <c r="EX27" s="279"/>
      <c r="EY27" s="279"/>
      <c r="EZ27" s="279"/>
      <c r="FA27" s="279"/>
      <c r="FB27" s="279"/>
    </row>
    <row customHeight="1" ht="16.575" hidden="1">
      <c r="E28" s="180">
        <v>17</v>
      </c>
      <c r="F28" s="175" cm="1" t="str">
        <f t="array" ref="F28:F28">Y28</f>
        <v>0</v>
      </c>
      <c r="G28" s="193" cm="1" t="str">
        <f t="array" ref="G28:G28">INDEX('Общие сведения'!$AE$169:$AE$202,MATCH($F28,'Общие сведения'!$Y$169:$Y$202,0))</f>
        <v>Теплоснабжение</v>
      </c>
      <c r="H28" s="193" cm="1" t="str">
        <f t="array" ref="H28:H28">INDEX('Общие сведения'!$AK$169:$AK$202,MATCH($F28,'Общие сведения'!$Y$169:$Y$202,0))</f>
        <v>0</v>
      </c>
      <c r="I28" s="193" cm="1" t="str">
        <f t="array" ref="I28:I28">INDEX('Общие сведения'!$AH$169:$AH$202,MATCH($F28,'Общие сведения'!$Y$169:$Y$202,0))</f>
        <v>0</v>
      </c>
      <c r="J28" s="193" cm="1" t="str">
        <f t="array" ref="J28:J28">INDEX('Общие сведения'!$AI$169:$AI$202,MATCH($F28,'Общие сведения'!$Y$169:$Y$202,0))</f>
        <v>0</v>
      </c>
      <c r="K28" s="193" cm="1" t="str">
        <f t="array" ref="K28:K28">INDEX('Общие сведения'!$AJ$169:$AJ$202,MATCH($F28,'Общие сведения'!$Y$169:$Y$202,0))</f>
        <v>0</v>
      </c>
      <c r="L28" s="193" cm="1" t="str">
        <f t="array" ref="L28:L28">INDEX('Общие сведения'!$AN$169:$AN$202,MATCH($F28,'Общие сведения'!$Y$169:$Y$202,0))</f>
        <v>false</v>
      </c>
      <c r="S28" s="175">
        <f>Y28&gt;0</f>
        <v>0</v>
      </c>
      <c r="U28" s="753">
        <f>AND(S28,IF(ISBLANK(T28),TRUE,T28))</f>
        <v>0</v>
      </c>
      <c r="W28" s="175" t="s">
        <v>266</v>
      </c>
      <c r="Y28" s="1644">
        <v>0</v>
      </c>
      <c r="AB28" s="435" cm="1" t="str">
        <f t="array" ref="AB28:AB28">INDEX('Общие сведения'!$AG$169:$AG$202,MATCH(F28,'Общие сведения'!$Y$169:$Y$202,0))</f>
        <v>Тариф 0 (Теплоснабжение) - </v>
      </c>
      <c r="AC28" s="435"/>
      <c r="AD28" s="319"/>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335"/>
      <c r="DI28" s="335"/>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E28" s="489" t="str">
        <f>IF(AND(ISNUMBER(VALUE(TRIM(SUBSTITUTE(AD28,".","")))),TRIM(SUBSTITUTE(AD28,".",""))&lt;&gt;""),"P"&amp;SUBSTITUTE(AD28,".",""),"")</f>
        <v/>
      </c>
    </row>
    <row customHeight="1" ht="16.575" hidden="1">
      <c r="E29" s="180">
        <v>17</v>
      </c>
      <c r="F29" s="175" cm="1" t="str">
        <f t="array" ref="F29:F29">OFFSET(G29,-1,-1)</f>
        <v>0</v>
      </c>
      <c r="L29" s="175" cm="1" t="str">
        <f t="array" ref="L29:L29">OFFSET(M29,-1,-1)</f>
        <v>false</v>
      </c>
      <c r="R29" s="175" t="s">
        <v>804</v>
      </c>
      <c r="S29" s="175" cm="1" t="str">
        <f t="array" ref="S29:S29">OFFSET(T29,-1,-1)</f>
        <v>false</v>
      </c>
      <c r="T29" s="175" cm="1" t="str">
        <f t="array" ref="T29:T29">L29</f>
        <v>false</v>
      </c>
      <c r="U29" s="753">
        <f>AND(S29,IF(ISBLANK(T29),TRUE,T29))</f>
        <v>0</v>
      </c>
      <c r="AB29" s="1645" t="s">
        <v>805</v>
      </c>
      <c r="AD29" s="491">
        <v>1</v>
      </c>
      <c r="AE29" s="1619" t="s">
        <v>806</v>
      </c>
      <c r="AF29" s="496"/>
      <c r="AG29" s="491" t="s">
        <v>807</v>
      </c>
      <c r="AH29" s="88"/>
      <c r="AI29" s="89"/>
      <c r="AJ29" s="89"/>
      <c r="AK29" s="89"/>
      <c r="AL29" s="499">
        <f>AM29+AN29</f>
        <v>0</v>
      </c>
      <c r="AM29" s="89"/>
      <c r="AN29" s="89"/>
      <c r="AO29" s="499">
        <f>AP29+AQ29</f>
        <v>0</v>
      </c>
      <c r="AP29" s="89"/>
      <c r="AQ29" s="89"/>
      <c r="AR29" s="499">
        <f>AS29+AT29</f>
        <v>0</v>
      </c>
      <c r="AS29" s="89"/>
      <c r="AT29" s="89"/>
      <c r="AU29" s="499">
        <f>AV29+AW29</f>
        <v>0</v>
      </c>
      <c r="AV29" s="89"/>
      <c r="AW29" s="89"/>
      <c r="AX29" s="499">
        <f>AY29+AZ29</f>
        <v>0</v>
      </c>
      <c r="AY29" s="89"/>
      <c r="AZ29" s="89"/>
      <c r="BA29" s="499">
        <f>BB29+BC29</f>
        <v>0</v>
      </c>
      <c r="BB29" s="89"/>
      <c r="BC29" s="89"/>
      <c r="BD29" s="499">
        <f>BE29+BF29</f>
        <v>0</v>
      </c>
      <c r="BE29" s="89"/>
      <c r="BF29" s="89"/>
      <c r="BG29" s="499">
        <f>BH29+BI29</f>
        <v>0</v>
      </c>
      <c r="BH29" s="89"/>
      <c r="BI29" s="89"/>
      <c r="BJ29" s="499">
        <f>BK29+BL29</f>
        <v>0</v>
      </c>
      <c r="BK29" s="89"/>
      <c r="BL29" s="89"/>
      <c r="BM29" s="499">
        <f>BN29+BO29</f>
        <v>0</v>
      </c>
      <c r="BN29" s="89"/>
      <c r="BO29" s="89"/>
      <c r="BP29" s="499">
        <f>BQ29+BR29</f>
        <v>0</v>
      </c>
      <c r="BQ29" s="89"/>
      <c r="BR29" s="89"/>
      <c r="BS29" s="499">
        <f>BT29+BU29</f>
        <v>0</v>
      </c>
      <c r="BT29" s="89"/>
      <c r="BU29" s="89"/>
      <c r="BV29" s="499">
        <f>BW29+BX29</f>
        <v>0</v>
      </c>
      <c r="BW29" s="89"/>
      <c r="BX29" s="89"/>
      <c r="BY29" s="499">
        <f>BZ29+CA29</f>
        <v>0</v>
      </c>
      <c r="BZ29" s="89"/>
      <c r="CA29" s="89"/>
      <c r="CB29" s="499">
        <f>CC29+CD29</f>
        <v>0</v>
      </c>
      <c r="CC29" s="89"/>
      <c r="CD29" s="89"/>
      <c r="CE29" s="499">
        <f>CF29+CG29</f>
        <v>0</v>
      </c>
      <c r="CF29" s="89"/>
      <c r="CG29" s="89"/>
      <c r="CH29" s="499">
        <f>CI29+CJ29</f>
        <v>0</v>
      </c>
      <c r="CI29" s="89"/>
      <c r="CJ29" s="89"/>
      <c r="CK29" s="499">
        <f>CL29+CM29</f>
        <v>0</v>
      </c>
      <c r="CL29" s="89"/>
      <c r="CM29" s="89"/>
      <c r="CN29" s="499">
        <f>CO29+CP29</f>
        <v>0</v>
      </c>
      <c r="CO29" s="89"/>
      <c r="CP29" s="89"/>
      <c r="CQ29" s="499">
        <f>CR29+CS29</f>
        <v>0</v>
      </c>
      <c r="CR29" s="89"/>
      <c r="CS29" s="89"/>
      <c r="CT29" s="499">
        <f>CU29+CV29</f>
        <v>0</v>
      </c>
      <c r="CU29" s="498"/>
      <c r="CV29" s="498"/>
      <c r="CW29" s="499">
        <f>CX29+CY29</f>
        <v>0</v>
      </c>
      <c r="CX29" s="89"/>
      <c r="CY29" s="89"/>
      <c r="CZ29" s="499">
        <f>DA29+DB29</f>
        <v>0</v>
      </c>
      <c r="DA29" s="89"/>
      <c r="DB29" s="89"/>
      <c r="DC29" s="499">
        <f>DD29+DE29</f>
        <v>0</v>
      </c>
      <c r="DD29" s="89"/>
      <c r="DE29" s="89"/>
      <c r="DF29" s="499">
        <f>DG29+DH29</f>
        <v>0</v>
      </c>
      <c r="DG29" s="89"/>
      <c r="DH29" s="89"/>
      <c r="DI29" s="499">
        <f>DJ29+DK29</f>
        <v>0</v>
      </c>
      <c r="DJ29" s="89"/>
      <c r="DK29" s="89"/>
      <c r="DL29" s="499">
        <f>DM29+DN29</f>
        <v>0</v>
      </c>
      <c r="DM29" s="89"/>
      <c r="DN29" s="89"/>
      <c r="DO29" s="499">
        <f>DP29+DQ29</f>
        <v>0</v>
      </c>
      <c r="DP29" s="89"/>
      <c r="DQ29" s="89"/>
      <c r="DR29" s="499">
        <f>DS29+DT29</f>
        <v>0</v>
      </c>
      <c r="DS29" s="89"/>
      <c r="DT29" s="89"/>
      <c r="DU29" s="499">
        <f>DV29+DW29</f>
        <v>0</v>
      </c>
      <c r="DV29" s="89"/>
      <c r="DW29" s="89"/>
      <c r="DX29" s="499">
        <f>DY29+DZ29</f>
        <v>0</v>
      </c>
      <c r="DY29" s="89"/>
      <c r="DZ29" s="89"/>
      <c r="EA29" s="499">
        <f>EB29+EC29</f>
        <v>0</v>
      </c>
      <c r="EB29" s="89"/>
      <c r="EC29" s="89"/>
      <c r="ED29" s="499">
        <f>EE29+EF29</f>
        <v>0</v>
      </c>
      <c r="EE29" s="89"/>
      <c r="EF29" s="89"/>
      <c r="EG29" s="499">
        <f>EH29+EI29</f>
        <v>0</v>
      </c>
      <c r="EH29" s="89"/>
      <c r="EI29" s="89"/>
      <c r="EJ29" s="499">
        <f>EK29+EL29</f>
        <v>0</v>
      </c>
      <c r="EK29" s="89"/>
      <c r="EL29" s="89"/>
      <c r="EM29" s="499">
        <f>EN29+EO29</f>
        <v>0</v>
      </c>
      <c r="EN29" s="89"/>
      <c r="EO29" s="89"/>
      <c r="EP29" s="499">
        <f>EQ29+ER29</f>
        <v>0</v>
      </c>
      <c r="EQ29" s="89"/>
      <c r="ER29" s="89"/>
      <c r="ES29" s="499">
        <f>ET29+EU29</f>
        <v>0</v>
      </c>
      <c r="ET29" s="89"/>
      <c r="EU29" s="89"/>
      <c r="EV29" s="499">
        <f>EW29+EX29</f>
        <v>0</v>
      </c>
      <c r="EW29" s="89"/>
      <c r="EX29" s="89"/>
      <c r="EY29" s="499">
        <f>EZ29+FA29</f>
        <v>0</v>
      </c>
      <c r="EZ29" s="89"/>
      <c r="FA29" s="89"/>
      <c r="FB29" s="83"/>
      <c r="FE29" s="489" t="s">
        <v>808</v>
      </c>
      <c r="FK29" s="1157" cm="1" t="str">
        <f t="array" ref="FK29:FK29">INDEX('Общие сведения'!$N$170:$N$202,MATCH($F29,'Общие сведения'!$Y$170:$Y$202,0)+1)</f>
        <v>0</v>
      </c>
      <c r="FL29" s="1159"/>
      <c r="FM29" s="1159"/>
      <c r="FN29" s="1159"/>
      <c r="FO29" s="1159"/>
      <c r="FP29" s="1159"/>
      <c r="FQ29" s="1159"/>
      <c r="FR29" s="1159"/>
      <c r="FS29" s="1159"/>
      <c r="FT29" s="1159"/>
      <c r="FU29" s="1159"/>
      <c r="FV29" s="1078" t="s">
        <v>219</v>
      </c>
      <c r="FW29" s="1159"/>
      <c r="FX29" s="1078" t="s">
        <v>303</v>
      </c>
      <c r="FY29" s="1078" t="s">
        <v>809</v>
      </c>
      <c r="FZ29" s="1078" t="s">
        <v>810</v>
      </c>
    </row>
    <row customHeight="1" ht="16.575" hidden="1">
      <c r="E30" s="180">
        <v>17</v>
      </c>
      <c r="F30" s="175" cm="1" t="str">
        <f t="array" ref="F30:F30">OFFSET(G30,-1,-1)</f>
        <v>0</v>
      </c>
      <c r="L30" s="175" cm="1" t="str">
        <f t="array" ref="L30:L30">OFFSET(M30,-1,-1)</f>
        <v>false</v>
      </c>
      <c r="R30" s="175" t="s">
        <v>804</v>
      </c>
      <c r="S30" s="175" cm="1" t="str">
        <f t="array" ref="S30:S30">OFFSET(T30,-1,-1)</f>
        <v>false</v>
      </c>
      <c r="T30" s="175" cm="1" t="str">
        <f t="array" ref="T30:T30">T29</f>
        <v>false</v>
      </c>
      <c r="U30" s="753">
        <f>AND(S30,IF(ISBLANK(T30),TRUE,T30))</f>
        <v>0</v>
      </c>
      <c r="AB30" s="1646"/>
      <c r="AD30" s="491">
        <v>2</v>
      </c>
      <c r="AE30" s="1619" t="s">
        <v>811</v>
      </c>
      <c r="AF30" s="496"/>
      <c r="AG30" s="491" t="s">
        <v>807</v>
      </c>
      <c r="AH30" s="500">
        <f>AH31+AH33</f>
        <v>0</v>
      </c>
      <c r="AI30" s="499">
        <f>AI31+AI33</f>
        <v>0</v>
      </c>
      <c r="AJ30" s="499">
        <f>AJ31+AJ33</f>
        <v>0</v>
      </c>
      <c r="AK30" s="499">
        <f>AK31+AK33</f>
        <v>0</v>
      </c>
      <c r="AL30" s="499">
        <f>AL31+AL33</f>
        <v>0</v>
      </c>
      <c r="AM30" s="499">
        <f>AM31+AM33</f>
        <v>0</v>
      </c>
      <c r="AN30" s="499">
        <f>AN31+AN33</f>
        <v>0</v>
      </c>
      <c r="AO30" s="499">
        <f>AO31+AO33</f>
        <v>0</v>
      </c>
      <c r="AP30" s="499">
        <f>AP31+AP33</f>
        <v>0</v>
      </c>
      <c r="AQ30" s="499">
        <f>AQ31+AQ33</f>
        <v>0</v>
      </c>
      <c r="AR30" s="499">
        <f>AR31+AR33</f>
        <v>0</v>
      </c>
      <c r="AS30" s="499">
        <f>AS31+AS33</f>
        <v>0</v>
      </c>
      <c r="AT30" s="499">
        <f>AT31+AT33</f>
        <v>0</v>
      </c>
      <c r="AU30" s="499">
        <f>AU31+AU33</f>
        <v>0</v>
      </c>
      <c r="AV30" s="499">
        <f>AV31+AV33</f>
        <v>0</v>
      </c>
      <c r="AW30" s="499">
        <f>AW31+AW33</f>
        <v>0</v>
      </c>
      <c r="AX30" s="499">
        <f>AX31+AX33</f>
        <v>0</v>
      </c>
      <c r="AY30" s="499">
        <f>AY31+AY33</f>
        <v>0</v>
      </c>
      <c r="AZ30" s="499">
        <f>AZ31+AZ33</f>
        <v>0</v>
      </c>
      <c r="BA30" s="499">
        <f>BA31+BA33</f>
        <v>0</v>
      </c>
      <c r="BB30" s="499">
        <f>BB31+BB33</f>
        <v>0</v>
      </c>
      <c r="BC30" s="499">
        <f>BC31+BC33</f>
        <v>0</v>
      </c>
      <c r="BD30" s="499">
        <f>BD31+BD33</f>
        <v>0</v>
      </c>
      <c r="BE30" s="499">
        <f>BE31+BE33</f>
        <v>0</v>
      </c>
      <c r="BF30" s="499">
        <f>BF31+BF33</f>
        <v>0</v>
      </c>
      <c r="BG30" s="499">
        <f>BG31+BG33</f>
        <v>0</v>
      </c>
      <c r="BH30" s="499">
        <f>BH31+BH33</f>
        <v>0</v>
      </c>
      <c r="BI30" s="499">
        <f>BI31+BI33</f>
        <v>0</v>
      </c>
      <c r="BJ30" s="499">
        <f>BJ31+BJ33</f>
        <v>0</v>
      </c>
      <c r="BK30" s="499">
        <f>BK31+BK33</f>
        <v>0</v>
      </c>
      <c r="BL30" s="499">
        <f>BL31+BL33</f>
        <v>0</v>
      </c>
      <c r="BM30" s="499">
        <f>BM31+BM33</f>
        <v>0</v>
      </c>
      <c r="BN30" s="499">
        <f>BN31+BN33</f>
        <v>0</v>
      </c>
      <c r="BO30" s="499">
        <f>BO31+BO33</f>
        <v>0</v>
      </c>
      <c r="BP30" s="499">
        <f>BP31+BP33</f>
        <v>0</v>
      </c>
      <c r="BQ30" s="499">
        <f>BQ31+BQ33</f>
        <v>0</v>
      </c>
      <c r="BR30" s="499">
        <f>BR31+BR33</f>
        <v>0</v>
      </c>
      <c r="BS30" s="499">
        <f>BS31+BS33</f>
        <v>0</v>
      </c>
      <c r="BT30" s="499">
        <f>BT31+BT33</f>
        <v>0</v>
      </c>
      <c r="BU30" s="499">
        <f>BU31+BU33</f>
        <v>0</v>
      </c>
      <c r="BV30" s="499">
        <f>BV31+BV33</f>
        <v>0</v>
      </c>
      <c r="BW30" s="499">
        <f>BW31+BW33</f>
        <v>0</v>
      </c>
      <c r="BX30" s="499">
        <f>BX31+BX33</f>
        <v>0</v>
      </c>
      <c r="BY30" s="499">
        <f>BY31+BY33</f>
        <v>0</v>
      </c>
      <c r="BZ30" s="499">
        <f>BZ31+BZ33</f>
        <v>0</v>
      </c>
      <c r="CA30" s="499">
        <f>CA31+CA33</f>
        <v>0</v>
      </c>
      <c r="CB30" s="499">
        <f>CB31+CB33</f>
        <v>0</v>
      </c>
      <c r="CC30" s="499">
        <f>CC31+CC33</f>
        <v>0</v>
      </c>
      <c r="CD30" s="499">
        <f>CD31+CD33</f>
        <v>0</v>
      </c>
      <c r="CE30" s="499">
        <f>CE31+CE33</f>
        <v>0</v>
      </c>
      <c r="CF30" s="499">
        <f>CF31+CF33</f>
        <v>0</v>
      </c>
      <c r="CG30" s="499">
        <f>CG31+CG33</f>
        <v>0</v>
      </c>
      <c r="CH30" s="499">
        <f>CH31+CH33</f>
        <v>0</v>
      </c>
      <c r="CI30" s="499">
        <f>CI31+CI33</f>
        <v>0</v>
      </c>
      <c r="CJ30" s="499">
        <f>CJ31+CJ33</f>
        <v>0</v>
      </c>
      <c r="CK30" s="499">
        <f>CK31+CK33</f>
        <v>0</v>
      </c>
      <c r="CL30" s="499">
        <f>CL31+CL33</f>
        <v>0</v>
      </c>
      <c r="CM30" s="499">
        <f>CM31+CM33</f>
        <v>0</v>
      </c>
      <c r="CN30" s="499">
        <f>CN31+CN33</f>
        <v>0</v>
      </c>
      <c r="CO30" s="499">
        <f>CO31+CO33</f>
        <v>0</v>
      </c>
      <c r="CP30" s="499">
        <f>CP31+CP33</f>
        <v>0</v>
      </c>
      <c r="CQ30" s="499">
        <f>CQ31+CQ33</f>
        <v>0</v>
      </c>
      <c r="CR30" s="499">
        <f>CR31+CR33</f>
        <v>0</v>
      </c>
      <c r="CS30" s="499">
        <f>CS31+CS33</f>
        <v>0</v>
      </c>
      <c r="CT30" s="499">
        <f>CT31+CT33</f>
        <v>0</v>
      </c>
      <c r="CU30" s="499">
        <f>CU31+CU33</f>
        <v>0</v>
      </c>
      <c r="CV30" s="499">
        <f>CV31+CV33</f>
        <v>0</v>
      </c>
      <c r="CW30" s="499">
        <f>CW31+CW33</f>
        <v>0</v>
      </c>
      <c r="CX30" s="499">
        <f>CX31+CX33</f>
        <v>0</v>
      </c>
      <c r="CY30" s="499">
        <f>CY31+CY33</f>
        <v>0</v>
      </c>
      <c r="CZ30" s="499">
        <f>CZ31+CZ33</f>
        <v>0</v>
      </c>
      <c r="DA30" s="499">
        <f>DA31+DA33</f>
        <v>0</v>
      </c>
      <c r="DB30" s="499">
        <f>DB31+DB33</f>
        <v>0</v>
      </c>
      <c r="DC30" s="499">
        <f>DC31+DC33</f>
        <v>0</v>
      </c>
      <c r="DD30" s="499">
        <f>DD31+DD33</f>
        <v>0</v>
      </c>
      <c r="DE30" s="499">
        <f>DE31+DE33</f>
        <v>0</v>
      </c>
      <c r="DF30" s="499">
        <f>DF31+DF33</f>
        <v>0</v>
      </c>
      <c r="DG30" s="499">
        <f>DG31+DG33</f>
        <v>0</v>
      </c>
      <c r="DH30" s="499">
        <f>DH31+DH33</f>
        <v>0</v>
      </c>
      <c r="DI30" s="499">
        <f>DI31+DI33</f>
        <v>0</v>
      </c>
      <c r="DJ30" s="499">
        <f>DJ31+DJ33</f>
        <v>0</v>
      </c>
      <c r="DK30" s="499">
        <f>DK31+DK33</f>
        <v>0</v>
      </c>
      <c r="DL30" s="499">
        <f>DL31+DL33</f>
        <v>0</v>
      </c>
      <c r="DM30" s="499">
        <f>DM31+DM33</f>
        <v>0</v>
      </c>
      <c r="DN30" s="499">
        <f>DN31+DN33</f>
        <v>0</v>
      </c>
      <c r="DO30" s="499">
        <f>DO31+DO33</f>
        <v>0</v>
      </c>
      <c r="DP30" s="499">
        <f>DP31+DP33</f>
        <v>0</v>
      </c>
      <c r="DQ30" s="499">
        <f>DQ31+DQ33</f>
        <v>0</v>
      </c>
      <c r="DR30" s="499">
        <f>DR31+DR33</f>
        <v>0</v>
      </c>
      <c r="DS30" s="499">
        <f>DS31+DS33</f>
        <v>0</v>
      </c>
      <c r="DT30" s="499">
        <f>DT31+DT33</f>
        <v>0</v>
      </c>
      <c r="DU30" s="499">
        <f>DU31+DU33</f>
        <v>0</v>
      </c>
      <c r="DV30" s="499">
        <f>DV31+DV33</f>
        <v>0</v>
      </c>
      <c r="DW30" s="499">
        <f>DW31+DW33</f>
        <v>0</v>
      </c>
      <c r="DX30" s="499">
        <f>DX31+DX33</f>
        <v>0</v>
      </c>
      <c r="DY30" s="499">
        <f>DY31+DY33</f>
        <v>0</v>
      </c>
      <c r="DZ30" s="499">
        <f>DZ31+DZ33</f>
        <v>0</v>
      </c>
      <c r="EA30" s="499">
        <f>EA31+EA33</f>
        <v>0</v>
      </c>
      <c r="EB30" s="499">
        <f>EB31+EB33</f>
        <v>0</v>
      </c>
      <c r="EC30" s="499">
        <f>EC31+EC33</f>
        <v>0</v>
      </c>
      <c r="ED30" s="499">
        <f>ED31+ED33</f>
        <v>0</v>
      </c>
      <c r="EE30" s="499">
        <f>EE31+EE33</f>
        <v>0</v>
      </c>
      <c r="EF30" s="499">
        <f>EF31+EF33</f>
        <v>0</v>
      </c>
      <c r="EG30" s="499">
        <f>EG31+EG33</f>
        <v>0</v>
      </c>
      <c r="EH30" s="499">
        <f>EH31+EH33</f>
        <v>0</v>
      </c>
      <c r="EI30" s="499">
        <f>EI31+EI33</f>
        <v>0</v>
      </c>
      <c r="EJ30" s="499">
        <f>EJ31+EJ33</f>
        <v>0</v>
      </c>
      <c r="EK30" s="499">
        <f>EK31+EK33</f>
        <v>0</v>
      </c>
      <c r="EL30" s="499">
        <f>EL31+EL33</f>
        <v>0</v>
      </c>
      <c r="EM30" s="499">
        <f>EM31+EM33</f>
        <v>0</v>
      </c>
      <c r="EN30" s="499">
        <f>EN31+EN33</f>
        <v>0</v>
      </c>
      <c r="EO30" s="499">
        <f>EO31+EO33</f>
        <v>0</v>
      </c>
      <c r="EP30" s="499">
        <f>EP31+EP33</f>
        <v>0</v>
      </c>
      <c r="EQ30" s="499">
        <f>EQ31+EQ33</f>
        <v>0</v>
      </c>
      <c r="ER30" s="499">
        <f>ER31+ER33</f>
        <v>0</v>
      </c>
      <c r="ES30" s="499">
        <f>ES31+ES33</f>
        <v>0</v>
      </c>
      <c r="ET30" s="499">
        <f>ET31+ET33</f>
        <v>0</v>
      </c>
      <c r="EU30" s="499">
        <f>EU31+EU33</f>
        <v>0</v>
      </c>
      <c r="EV30" s="499">
        <f>EV31+EV33</f>
        <v>0</v>
      </c>
      <c r="EW30" s="499">
        <f>EW31+EW33</f>
        <v>0</v>
      </c>
      <c r="EX30" s="499">
        <f>EX31+EX33</f>
        <v>0</v>
      </c>
      <c r="EY30" s="499">
        <f>EY31+EY33</f>
        <v>0</v>
      </c>
      <c r="EZ30" s="499">
        <f>EZ31+EZ33</f>
        <v>0</v>
      </c>
      <c r="FA30" s="499">
        <f>FA31+FA33</f>
        <v>0</v>
      </c>
      <c r="FB30" s="83"/>
      <c r="FE30" s="489" t="s">
        <v>812</v>
      </c>
      <c r="FK30" s="1157" cm="1" t="str">
        <f t="array" ref="FK30:FK30">OFFSET(FJ30,-1,1)</f>
        <v>0</v>
      </c>
      <c r="FL30" s="1078" t="s">
        <v>518</v>
      </c>
      <c r="FM30" s="1159"/>
      <c r="FN30" s="1159"/>
      <c r="FO30" s="1159"/>
      <c r="FP30" s="1159"/>
      <c r="FQ30" s="1159"/>
      <c r="FR30" s="1159"/>
      <c r="FS30" s="1159"/>
      <c r="FT30" s="1159"/>
      <c r="FU30" s="1159"/>
      <c r="FV30" s="1078" t="s">
        <v>219</v>
      </c>
      <c r="FW30" s="1159"/>
      <c r="FX30" s="1078" t="s">
        <v>303</v>
      </c>
      <c r="FY30" s="1078" t="s">
        <v>813</v>
      </c>
      <c r="FZ30" s="1078" t="s">
        <v>814</v>
      </c>
    </row>
    <row customHeight="1" ht="16.575" hidden="1">
      <c r="E31" s="180">
        <v>17</v>
      </c>
      <c r="F31" s="175" cm="1" t="str">
        <f t="array" ref="F31:F31">OFFSET(G31,-1,-1)</f>
        <v>0</v>
      </c>
      <c r="L31" s="175" cm="1" t="str">
        <f t="array" ref="L31:L31">OFFSET(M31,-1,-1)</f>
        <v>false</v>
      </c>
      <c r="R31" s="175" t="s">
        <v>804</v>
      </c>
      <c r="S31" s="175" cm="1" t="str">
        <f t="array" ref="S31:S31">OFFSET(T31,-1,-1)</f>
        <v>false</v>
      </c>
      <c r="T31" s="175" cm="1" t="str">
        <f t="array" ref="T31:T31">T30</f>
        <v>false</v>
      </c>
      <c r="U31" s="753">
        <f>AND(S31,IF(ISBLANK(T31),TRUE,T31))</f>
        <v>0</v>
      </c>
      <c r="AB31" s="1646"/>
      <c r="AD31" s="491">
        <v>2.1</v>
      </c>
      <c r="AE31" s="1631" t="s">
        <v>815</v>
      </c>
      <c r="AF31" s="501"/>
      <c r="AG31" s="491" t="s">
        <v>807</v>
      </c>
      <c r="AH31" s="88"/>
      <c r="AI31" s="89"/>
      <c r="AJ31" s="89"/>
      <c r="AK31" s="89"/>
      <c r="AL31" s="499">
        <f>AM31+AN31</f>
        <v>0</v>
      </c>
      <c r="AM31" s="89"/>
      <c r="AN31" s="89"/>
      <c r="AO31" s="499">
        <f>AP31+AQ31</f>
        <v>0</v>
      </c>
      <c r="AP31" s="89"/>
      <c r="AQ31" s="89"/>
      <c r="AR31" s="499">
        <f>AS31+AT31</f>
        <v>0</v>
      </c>
      <c r="AS31" s="89"/>
      <c r="AT31" s="89"/>
      <c r="AU31" s="499">
        <f>AV31+AW31</f>
        <v>0</v>
      </c>
      <c r="AV31" s="89"/>
      <c r="AW31" s="89"/>
      <c r="AX31" s="499">
        <f>AY31+AZ31</f>
        <v>0</v>
      </c>
      <c r="AY31" s="89"/>
      <c r="AZ31" s="89"/>
      <c r="BA31" s="499">
        <f>BB31+BC31</f>
        <v>0</v>
      </c>
      <c r="BB31" s="89"/>
      <c r="BC31" s="89"/>
      <c r="BD31" s="499">
        <f>BE31+BF31</f>
        <v>0</v>
      </c>
      <c r="BE31" s="89"/>
      <c r="BF31" s="89"/>
      <c r="BG31" s="499">
        <f>BH31+BI31</f>
        <v>0</v>
      </c>
      <c r="BH31" s="89"/>
      <c r="BI31" s="89"/>
      <c r="BJ31" s="499">
        <f>BK31+BL31</f>
        <v>0</v>
      </c>
      <c r="BK31" s="89"/>
      <c r="BL31" s="89"/>
      <c r="BM31" s="499">
        <f>BN31+BO31</f>
        <v>0</v>
      </c>
      <c r="BN31" s="89"/>
      <c r="BO31" s="89"/>
      <c r="BP31" s="499">
        <f>BQ31+BR31</f>
        <v>0</v>
      </c>
      <c r="BQ31" s="89"/>
      <c r="BR31" s="89"/>
      <c r="BS31" s="499">
        <f>BT31+BU31</f>
        <v>0</v>
      </c>
      <c r="BT31" s="89"/>
      <c r="BU31" s="89"/>
      <c r="BV31" s="499">
        <f>BW31+BX31</f>
        <v>0</v>
      </c>
      <c r="BW31" s="89"/>
      <c r="BX31" s="89"/>
      <c r="BY31" s="499">
        <f>BZ31+CA31</f>
        <v>0</v>
      </c>
      <c r="BZ31" s="89"/>
      <c r="CA31" s="89"/>
      <c r="CB31" s="499">
        <f>CC31+CD31</f>
        <v>0</v>
      </c>
      <c r="CC31" s="89"/>
      <c r="CD31" s="89"/>
      <c r="CE31" s="499">
        <f>CF31+CG31</f>
        <v>0</v>
      </c>
      <c r="CF31" s="89"/>
      <c r="CG31" s="89"/>
      <c r="CH31" s="499">
        <f>CI31+CJ31</f>
        <v>0</v>
      </c>
      <c r="CI31" s="89"/>
      <c r="CJ31" s="89"/>
      <c r="CK31" s="499">
        <f>CL31+CM31</f>
        <v>0</v>
      </c>
      <c r="CL31" s="89"/>
      <c r="CM31" s="89"/>
      <c r="CN31" s="499">
        <f>CO31+CP31</f>
        <v>0</v>
      </c>
      <c r="CO31" s="89"/>
      <c r="CP31" s="89"/>
      <c r="CQ31" s="499">
        <f>CR31+CS31</f>
        <v>0</v>
      </c>
      <c r="CR31" s="89"/>
      <c r="CS31" s="89"/>
      <c r="CT31" s="499">
        <f>CU31+CV31</f>
        <v>0</v>
      </c>
      <c r="CU31" s="498"/>
      <c r="CV31" s="498"/>
      <c r="CW31" s="499">
        <f>CX31+CY31</f>
        <v>0</v>
      </c>
      <c r="CX31" s="89"/>
      <c r="CY31" s="89"/>
      <c r="CZ31" s="499">
        <f>DA31+DB31</f>
        <v>0</v>
      </c>
      <c r="DA31" s="89"/>
      <c r="DB31" s="89"/>
      <c r="DC31" s="499">
        <f>DD31+DE31</f>
        <v>0</v>
      </c>
      <c r="DD31" s="89"/>
      <c r="DE31" s="89"/>
      <c r="DF31" s="499">
        <f>DG31+DH31</f>
        <v>0</v>
      </c>
      <c r="DG31" s="89"/>
      <c r="DH31" s="89"/>
      <c r="DI31" s="499">
        <f>DJ31+DK31</f>
        <v>0</v>
      </c>
      <c r="DJ31" s="89"/>
      <c r="DK31" s="89"/>
      <c r="DL31" s="499">
        <f>DM31+DN31</f>
        <v>0</v>
      </c>
      <c r="DM31" s="89"/>
      <c r="DN31" s="89"/>
      <c r="DO31" s="499">
        <f>DP31+DQ31</f>
        <v>0</v>
      </c>
      <c r="DP31" s="89"/>
      <c r="DQ31" s="89"/>
      <c r="DR31" s="499">
        <f>DS31+DT31</f>
        <v>0</v>
      </c>
      <c r="DS31" s="89"/>
      <c r="DT31" s="89"/>
      <c r="DU31" s="499">
        <f>DV31+DW31</f>
        <v>0</v>
      </c>
      <c r="DV31" s="89"/>
      <c r="DW31" s="89"/>
      <c r="DX31" s="499">
        <f>DY31+DZ31</f>
        <v>0</v>
      </c>
      <c r="DY31" s="89"/>
      <c r="DZ31" s="89"/>
      <c r="EA31" s="499">
        <f>EB31+EC31</f>
        <v>0</v>
      </c>
      <c r="EB31" s="89"/>
      <c r="EC31" s="89"/>
      <c r="ED31" s="499">
        <f>EE31+EF31</f>
        <v>0</v>
      </c>
      <c r="EE31" s="89"/>
      <c r="EF31" s="89"/>
      <c r="EG31" s="499">
        <f>EH31+EI31</f>
        <v>0</v>
      </c>
      <c r="EH31" s="89"/>
      <c r="EI31" s="89"/>
      <c r="EJ31" s="499">
        <f>EK31+EL31</f>
        <v>0</v>
      </c>
      <c r="EK31" s="89"/>
      <c r="EL31" s="89"/>
      <c r="EM31" s="499">
        <f>EN31+EO31</f>
        <v>0</v>
      </c>
      <c r="EN31" s="89"/>
      <c r="EO31" s="89"/>
      <c r="EP31" s="499">
        <f>EQ31+ER31</f>
        <v>0</v>
      </c>
      <c r="EQ31" s="89"/>
      <c r="ER31" s="89"/>
      <c r="ES31" s="499">
        <f>ET31+EU31</f>
        <v>0</v>
      </c>
      <c r="ET31" s="89"/>
      <c r="EU31" s="89"/>
      <c r="EV31" s="499">
        <f>EW31+EX31</f>
        <v>0</v>
      </c>
      <c r="EW31" s="89"/>
      <c r="EX31" s="89"/>
      <c r="EY31" s="499">
        <f>EZ31+FA31</f>
        <v>0</v>
      </c>
      <c r="EZ31" s="89"/>
      <c r="FA31" s="89"/>
      <c r="FB31" s="83"/>
      <c r="FE31" s="489" t="s">
        <v>816</v>
      </c>
      <c r="FK31" s="1157" cm="1" t="str">
        <f t="array" ref="FK31:FK31">OFFSET(FJ31,-1,1)</f>
        <v>0</v>
      </c>
      <c r="FL31" s="1159"/>
      <c r="FM31" s="1078" t="s">
        <v>817</v>
      </c>
      <c r="FN31" s="1159"/>
      <c r="FO31" s="1159"/>
      <c r="FP31" s="1159"/>
      <c r="FQ31" s="1159"/>
      <c r="FR31" s="1159"/>
      <c r="FS31" s="1159"/>
      <c r="FT31" s="1159"/>
      <c r="FU31" s="1159"/>
      <c r="FV31" s="1078" t="s">
        <v>219</v>
      </c>
      <c r="FW31" s="1159"/>
      <c r="FX31" s="1078" t="s">
        <v>303</v>
      </c>
      <c r="FY31" s="1078" t="s">
        <v>813</v>
      </c>
      <c r="FZ31" s="1078" t="s">
        <v>814</v>
      </c>
    </row>
    <row customHeight="1" ht="16.575" hidden="1">
      <c r="E32" s="180">
        <v>17</v>
      </c>
      <c r="F32" s="175" cm="1" t="str">
        <f t="array" ref="F32:F32">OFFSET(G32,-1,-1)</f>
        <v>0</v>
      </c>
      <c r="L32" s="175" cm="1" t="str">
        <f t="array" ref="L32:L32">OFFSET(M32,-1,-1)</f>
        <v>false</v>
      </c>
      <c r="R32" s="175" t="s">
        <v>804</v>
      </c>
      <c r="S32" s="175" cm="1" t="str">
        <f t="array" ref="S32:S32">OFFSET(T32,-1,-1)</f>
        <v>false</v>
      </c>
      <c r="T32" s="175" cm="1" t="str">
        <f t="array" ref="T32:T32">T31</f>
        <v>false</v>
      </c>
      <c r="U32" s="753">
        <f>AND(S32,IF(ISBLANK(T32),TRUE,T32))</f>
        <v>0</v>
      </c>
      <c r="AB32" s="1646"/>
      <c r="AD32" s="491" t="s">
        <v>437</v>
      </c>
      <c r="AE32" s="1636" t="s">
        <v>818</v>
      </c>
      <c r="AF32" s="502"/>
      <c r="AG32" s="491" t="s">
        <v>495</v>
      </c>
      <c r="AH32" s="503">
        <f>_xlfn.IFERROR(AH31/AH29,0)</f>
        <v>0</v>
      </c>
      <c r="AI32" s="504">
        <f>_xlfn.IFERROR(AI31/AI29,0)</f>
        <v>0</v>
      </c>
      <c r="AJ32" s="504">
        <f>_xlfn.IFERROR(AJ31/AJ29,0)</f>
        <v>0</v>
      </c>
      <c r="AK32" s="504">
        <f>_xlfn.IFERROR(AK31/AK29,0)</f>
        <v>0</v>
      </c>
      <c r="AL32" s="504">
        <f>_xlfn.IFERROR(AL31/AL29,0)</f>
        <v>0</v>
      </c>
      <c r="AM32" s="504">
        <f>_xlfn.IFERROR(AM31/AM29,0)</f>
        <v>0</v>
      </c>
      <c r="AN32" s="504">
        <f>_xlfn.IFERROR(AN31/AN29,0)</f>
        <v>0</v>
      </c>
      <c r="AO32" s="504">
        <f>_xlfn.IFERROR(AO31/AO29,0)</f>
        <v>0</v>
      </c>
      <c r="AP32" s="504">
        <f>_xlfn.IFERROR(AP31/AP29,0)</f>
        <v>0</v>
      </c>
      <c r="AQ32" s="504">
        <f>_xlfn.IFERROR(AQ31/AQ29,0)</f>
        <v>0</v>
      </c>
      <c r="AR32" s="504">
        <f>_xlfn.IFERROR(AR31/AR29,0)</f>
        <v>0</v>
      </c>
      <c r="AS32" s="504">
        <f>_xlfn.IFERROR(AS31/AS29,0)</f>
        <v>0</v>
      </c>
      <c r="AT32" s="504">
        <f>_xlfn.IFERROR(AT31/AT29,0)</f>
        <v>0</v>
      </c>
      <c r="AU32" s="504">
        <f>_xlfn.IFERROR(AU31/AU29,0)</f>
        <v>0</v>
      </c>
      <c r="AV32" s="504">
        <f>_xlfn.IFERROR(AV31/AV29,0)</f>
        <v>0</v>
      </c>
      <c r="AW32" s="504">
        <f>_xlfn.IFERROR(AW31/AW29,0)</f>
        <v>0</v>
      </c>
      <c r="AX32" s="504">
        <f>_xlfn.IFERROR(AX31/AX29,0)</f>
        <v>0</v>
      </c>
      <c r="AY32" s="504">
        <f>_xlfn.IFERROR(AY31/AY29,0)</f>
        <v>0</v>
      </c>
      <c r="AZ32" s="504">
        <f>_xlfn.IFERROR(AZ31/AZ29,0)</f>
        <v>0</v>
      </c>
      <c r="BA32" s="504">
        <f>_xlfn.IFERROR(BA31/BA29,0)</f>
        <v>0</v>
      </c>
      <c r="BB32" s="504">
        <f>_xlfn.IFERROR(BB31/BB29,0)</f>
        <v>0</v>
      </c>
      <c r="BC32" s="504">
        <f>_xlfn.IFERROR(BC31/BC29,0)</f>
        <v>0</v>
      </c>
      <c r="BD32" s="504">
        <f>_xlfn.IFERROR(BD31/BD29,0)</f>
        <v>0</v>
      </c>
      <c r="BE32" s="504">
        <f>_xlfn.IFERROR(BE31/BE29,0)</f>
        <v>0</v>
      </c>
      <c r="BF32" s="504">
        <f>_xlfn.IFERROR(BF31/BF29,0)</f>
        <v>0</v>
      </c>
      <c r="BG32" s="504">
        <f>_xlfn.IFERROR(BG31/BG29,0)</f>
        <v>0</v>
      </c>
      <c r="BH32" s="504">
        <f>_xlfn.IFERROR(BH31/BH29,0)</f>
        <v>0</v>
      </c>
      <c r="BI32" s="504">
        <f>_xlfn.IFERROR(BI31/BI29,0)</f>
        <v>0</v>
      </c>
      <c r="BJ32" s="504">
        <f>_xlfn.IFERROR(BJ31/BJ29,0)</f>
        <v>0</v>
      </c>
      <c r="BK32" s="504">
        <f>_xlfn.IFERROR(BK31/BK29,0)</f>
        <v>0</v>
      </c>
      <c r="BL32" s="504">
        <f>_xlfn.IFERROR(BL31/BL29,0)</f>
        <v>0</v>
      </c>
      <c r="BM32" s="504">
        <f>_xlfn.IFERROR(BM31/BM29,0)</f>
        <v>0</v>
      </c>
      <c r="BN32" s="504">
        <f>_xlfn.IFERROR(BN31/BN29,0)</f>
        <v>0</v>
      </c>
      <c r="BO32" s="504">
        <f>_xlfn.IFERROR(BO31/BO29,0)</f>
        <v>0</v>
      </c>
      <c r="BP32" s="504">
        <f>_xlfn.IFERROR(BP31/BP29,0)</f>
        <v>0</v>
      </c>
      <c r="BQ32" s="504">
        <f>_xlfn.IFERROR(BQ31/BQ29,0)</f>
        <v>0</v>
      </c>
      <c r="BR32" s="504">
        <f>_xlfn.IFERROR(BR31/BR29,0)</f>
        <v>0</v>
      </c>
      <c r="BS32" s="504">
        <f>_xlfn.IFERROR(BS31/BS29,0)</f>
        <v>0</v>
      </c>
      <c r="BT32" s="504">
        <f>_xlfn.IFERROR(BT31/BT29,0)</f>
        <v>0</v>
      </c>
      <c r="BU32" s="504">
        <f>_xlfn.IFERROR(BU31/BU29,0)</f>
        <v>0</v>
      </c>
      <c r="BV32" s="504">
        <f>_xlfn.IFERROR(BV31/BV29,0)</f>
        <v>0</v>
      </c>
      <c r="BW32" s="504">
        <f>_xlfn.IFERROR(BW31/BW29,0)</f>
        <v>0</v>
      </c>
      <c r="BX32" s="504">
        <f>_xlfn.IFERROR(BX31/BX29,0)</f>
        <v>0</v>
      </c>
      <c r="BY32" s="504">
        <f>_xlfn.IFERROR(BY31/BY29,0)</f>
        <v>0</v>
      </c>
      <c r="BZ32" s="504">
        <f>_xlfn.IFERROR(BZ31/BZ29,0)</f>
        <v>0</v>
      </c>
      <c r="CA32" s="504">
        <f>_xlfn.IFERROR(CA31/CA29,0)</f>
        <v>0</v>
      </c>
      <c r="CB32" s="504">
        <f>_xlfn.IFERROR(CB31/CB29,0)</f>
        <v>0</v>
      </c>
      <c r="CC32" s="504">
        <f>_xlfn.IFERROR(CC31/CC29,0)</f>
        <v>0</v>
      </c>
      <c r="CD32" s="504">
        <f>_xlfn.IFERROR(CD31/CD29,0)</f>
        <v>0</v>
      </c>
      <c r="CE32" s="504">
        <f>_xlfn.IFERROR(CE31/CE29,0)</f>
        <v>0</v>
      </c>
      <c r="CF32" s="504">
        <f>_xlfn.IFERROR(CF31/CF29,0)</f>
        <v>0</v>
      </c>
      <c r="CG32" s="504">
        <f>_xlfn.IFERROR(CG31/CG29,0)</f>
        <v>0</v>
      </c>
      <c r="CH32" s="504">
        <f>_xlfn.IFERROR(CH31/CH29,0)</f>
        <v>0</v>
      </c>
      <c r="CI32" s="504">
        <f>_xlfn.IFERROR(CI31/CI29,0)</f>
        <v>0</v>
      </c>
      <c r="CJ32" s="504">
        <f>_xlfn.IFERROR(CJ31/CJ29,0)</f>
        <v>0</v>
      </c>
      <c r="CK32" s="504">
        <f>_xlfn.IFERROR(CK31/CK29,0)</f>
        <v>0</v>
      </c>
      <c r="CL32" s="504">
        <f>_xlfn.IFERROR(CL31/CL29,0)</f>
        <v>0</v>
      </c>
      <c r="CM32" s="504">
        <f>_xlfn.IFERROR(CM31/CM29,0)</f>
        <v>0</v>
      </c>
      <c r="CN32" s="504">
        <f>_xlfn.IFERROR(CN31/CN29,0)</f>
        <v>0</v>
      </c>
      <c r="CO32" s="504">
        <f>_xlfn.IFERROR(CO31/CO29,0)</f>
        <v>0</v>
      </c>
      <c r="CP32" s="504">
        <f>_xlfn.IFERROR(CP31/CP29,0)</f>
        <v>0</v>
      </c>
      <c r="CQ32" s="504">
        <f>_xlfn.IFERROR(CQ31/CQ29,0)</f>
        <v>0</v>
      </c>
      <c r="CR32" s="504">
        <f>_xlfn.IFERROR(CR31/CR29,0)</f>
        <v>0</v>
      </c>
      <c r="CS32" s="504">
        <f>_xlfn.IFERROR(CS31/CS29,0)</f>
        <v>0</v>
      </c>
      <c r="CT32" s="504">
        <f>_xlfn.IFERROR(CT31/CT29,0)</f>
        <v>0</v>
      </c>
      <c r="CU32" s="504">
        <f>_xlfn.IFERROR(CU31/CU29,0)</f>
        <v>0</v>
      </c>
      <c r="CV32" s="504">
        <f>_xlfn.IFERROR(CV31/CV29,0)</f>
        <v>0</v>
      </c>
      <c r="CW32" s="504">
        <f>_xlfn.IFERROR(CW31/CW29,0)</f>
        <v>0</v>
      </c>
      <c r="CX32" s="504">
        <f>_xlfn.IFERROR(CX31/CX29,0)</f>
        <v>0</v>
      </c>
      <c r="CY32" s="504">
        <f>_xlfn.IFERROR(CY31/CY29,0)</f>
        <v>0</v>
      </c>
      <c r="CZ32" s="504">
        <f>_xlfn.IFERROR(CZ31/CZ29,0)</f>
        <v>0</v>
      </c>
      <c r="DA32" s="504">
        <f>_xlfn.IFERROR(DA31/DA29,0)</f>
        <v>0</v>
      </c>
      <c r="DB32" s="504">
        <f>_xlfn.IFERROR(DB31/DB29,0)</f>
        <v>0</v>
      </c>
      <c r="DC32" s="504">
        <f>_xlfn.IFERROR(DC31/DC29,0)</f>
        <v>0</v>
      </c>
      <c r="DD32" s="504">
        <f>_xlfn.IFERROR(DD31/DD29,0)</f>
        <v>0</v>
      </c>
      <c r="DE32" s="504">
        <f>_xlfn.IFERROR(DE31/DE29,0)</f>
        <v>0</v>
      </c>
      <c r="DF32" s="504">
        <f>_xlfn.IFERROR(DF31/DF29,0)</f>
        <v>0</v>
      </c>
      <c r="DG32" s="504">
        <f>_xlfn.IFERROR(DG31/DG29,0)</f>
        <v>0</v>
      </c>
      <c r="DH32" s="504">
        <f>_xlfn.IFERROR(DH31/DH29,0)</f>
        <v>0</v>
      </c>
      <c r="DI32" s="504">
        <f>_xlfn.IFERROR(DI31/DI29,0)</f>
        <v>0</v>
      </c>
      <c r="DJ32" s="504">
        <f>_xlfn.IFERROR(DJ31/DJ29,0)</f>
        <v>0</v>
      </c>
      <c r="DK32" s="504">
        <f>_xlfn.IFERROR(DK31/DK29,0)</f>
        <v>0</v>
      </c>
      <c r="DL32" s="504">
        <f>_xlfn.IFERROR(DL31/DL29,0)</f>
        <v>0</v>
      </c>
      <c r="DM32" s="504">
        <f>_xlfn.IFERROR(DM31/DM29,0)</f>
        <v>0</v>
      </c>
      <c r="DN32" s="504">
        <f>_xlfn.IFERROR(DN31/DN29,0)</f>
        <v>0</v>
      </c>
      <c r="DO32" s="504">
        <f>_xlfn.IFERROR(DO31/DO29,0)</f>
        <v>0</v>
      </c>
      <c r="DP32" s="504">
        <f>_xlfn.IFERROR(DP31/DP29,0)</f>
        <v>0</v>
      </c>
      <c r="DQ32" s="504">
        <f>_xlfn.IFERROR(DQ31/DQ29,0)</f>
        <v>0</v>
      </c>
      <c r="DR32" s="504">
        <f>_xlfn.IFERROR(DR31/DR29,0)</f>
        <v>0</v>
      </c>
      <c r="DS32" s="504">
        <f>_xlfn.IFERROR(DS31/DS29,0)</f>
        <v>0</v>
      </c>
      <c r="DT32" s="504">
        <f>_xlfn.IFERROR(DT31/DT29,0)</f>
        <v>0</v>
      </c>
      <c r="DU32" s="504">
        <f>_xlfn.IFERROR(DU31/DU29,0)</f>
        <v>0</v>
      </c>
      <c r="DV32" s="504">
        <f>_xlfn.IFERROR(DV31/DV29,0)</f>
        <v>0</v>
      </c>
      <c r="DW32" s="504">
        <f>_xlfn.IFERROR(DW31/DW29,0)</f>
        <v>0</v>
      </c>
      <c r="DX32" s="504">
        <f>_xlfn.IFERROR(DX31/DX29,0)</f>
        <v>0</v>
      </c>
      <c r="DY32" s="504">
        <f>_xlfn.IFERROR(DY31/DY29,0)</f>
        <v>0</v>
      </c>
      <c r="DZ32" s="504">
        <f>_xlfn.IFERROR(DZ31/DZ29,0)</f>
        <v>0</v>
      </c>
      <c r="EA32" s="504">
        <f>_xlfn.IFERROR(EA31/EA29,0)</f>
        <v>0</v>
      </c>
      <c r="EB32" s="504">
        <f>_xlfn.IFERROR(EB31/EB29,0)</f>
        <v>0</v>
      </c>
      <c r="EC32" s="504">
        <f>_xlfn.IFERROR(EC31/EC29,0)</f>
        <v>0</v>
      </c>
      <c r="ED32" s="504">
        <f>_xlfn.IFERROR(ED31/ED29,0)</f>
        <v>0</v>
      </c>
      <c r="EE32" s="504">
        <f>_xlfn.IFERROR(EE31/EE29,0)</f>
        <v>0</v>
      </c>
      <c r="EF32" s="504">
        <f>_xlfn.IFERROR(EF31/EF29,0)</f>
        <v>0</v>
      </c>
      <c r="EG32" s="504">
        <f>_xlfn.IFERROR(EG31/EG29,0)</f>
        <v>0</v>
      </c>
      <c r="EH32" s="504">
        <f>_xlfn.IFERROR(EH31/EH29,0)</f>
        <v>0</v>
      </c>
      <c r="EI32" s="504">
        <f>_xlfn.IFERROR(EI31/EI29,0)</f>
        <v>0</v>
      </c>
      <c r="EJ32" s="504">
        <f>_xlfn.IFERROR(EJ31/EJ29,0)</f>
        <v>0</v>
      </c>
      <c r="EK32" s="504">
        <f>_xlfn.IFERROR(EK31/EK29,0)</f>
        <v>0</v>
      </c>
      <c r="EL32" s="504">
        <f>_xlfn.IFERROR(EL31/EL29,0)</f>
        <v>0</v>
      </c>
      <c r="EM32" s="504">
        <f>_xlfn.IFERROR(EM31/EM29,0)</f>
        <v>0</v>
      </c>
      <c r="EN32" s="504">
        <f>_xlfn.IFERROR(EN31/EN29,0)</f>
        <v>0</v>
      </c>
      <c r="EO32" s="504">
        <f>_xlfn.IFERROR(EO31/EO29,0)</f>
        <v>0</v>
      </c>
      <c r="EP32" s="504">
        <f>_xlfn.IFERROR(EP31/EP29,0)</f>
        <v>0</v>
      </c>
      <c r="EQ32" s="504">
        <f>_xlfn.IFERROR(EQ31/EQ29,0)</f>
        <v>0</v>
      </c>
      <c r="ER32" s="504">
        <f>_xlfn.IFERROR(ER31/ER29,0)</f>
        <v>0</v>
      </c>
      <c r="ES32" s="504">
        <f>_xlfn.IFERROR(ES31/ES29,0)</f>
        <v>0</v>
      </c>
      <c r="ET32" s="504">
        <f>_xlfn.IFERROR(ET31/ET29,0)</f>
        <v>0</v>
      </c>
      <c r="EU32" s="504">
        <f>_xlfn.IFERROR(EU31/EU29,0)</f>
        <v>0</v>
      </c>
      <c r="EV32" s="504">
        <f>_xlfn.IFERROR(EV31/EV29,0)</f>
        <v>0</v>
      </c>
      <c r="EW32" s="504">
        <f>_xlfn.IFERROR(EW31/EW29,0)</f>
        <v>0</v>
      </c>
      <c r="EX32" s="504">
        <f>_xlfn.IFERROR(EX31/EX29,0)</f>
        <v>0</v>
      </c>
      <c r="EY32" s="504">
        <f>_xlfn.IFERROR(EY31/EY29,0)</f>
        <v>0</v>
      </c>
      <c r="EZ32" s="504">
        <f>_xlfn.IFERROR(EZ31/EZ29,0)</f>
        <v>0</v>
      </c>
      <c r="FA32" s="504">
        <f>_xlfn.IFERROR(FA31/FA29,0)</f>
        <v>0</v>
      </c>
      <c r="FB32" s="83"/>
      <c r="FE32" s="489" t="s">
        <v>819</v>
      </c>
      <c r="FK32" s="1157" cm="1" t="str">
        <f t="array" ref="FK32:FK32">OFFSET(FJ32,-1,1)</f>
        <v>0</v>
      </c>
      <c r="FL32" s="1159"/>
      <c r="FM32" s="1078" t="s">
        <v>817</v>
      </c>
      <c r="FN32" s="1159"/>
      <c r="FO32" s="1159"/>
      <c r="FP32" s="1159"/>
      <c r="FQ32" s="1159"/>
      <c r="FR32" s="1159"/>
      <c r="FS32" s="1159"/>
      <c r="FT32" s="1159"/>
      <c r="FU32" s="1159"/>
      <c r="FV32" s="1078" t="s">
        <v>255</v>
      </c>
      <c r="FW32" s="1159"/>
      <c r="FX32" s="1078" t="s">
        <v>303</v>
      </c>
      <c r="FY32" s="1078" t="s">
        <v>820</v>
      </c>
      <c r="FZ32" s="1078" t="s">
        <v>821</v>
      </c>
    </row>
    <row customHeight="1" ht="16.575" hidden="1">
      <c r="E33" s="180">
        <v>17</v>
      </c>
      <c r="F33" s="175" cm="1" t="str">
        <f t="array" ref="F33:F33">OFFSET(G33,-1,-1)</f>
        <v>0</v>
      </c>
      <c r="L33" s="175" cm="1" t="str">
        <f t="array" ref="L33:L33">OFFSET(M33,-1,-1)</f>
        <v>false</v>
      </c>
      <c r="R33" s="175" t="s">
        <v>804</v>
      </c>
      <c r="S33" s="175" cm="1" t="str">
        <f t="array" ref="S33:S33">OFFSET(T33,-1,-1)</f>
        <v>false</v>
      </c>
      <c r="T33" s="175" cm="1" t="str">
        <f t="array" ref="T33:T33">T32</f>
        <v>false</v>
      </c>
      <c r="U33" s="753">
        <f>AND(S33,IF(ISBLANK(T33),TRUE,T33))</f>
        <v>0</v>
      </c>
      <c r="AB33" s="1646"/>
      <c r="AD33" s="491">
        <v>2.2</v>
      </c>
      <c r="AE33" s="1631" t="s">
        <v>822</v>
      </c>
      <c r="AF33" s="501"/>
      <c r="AG33" s="491" t="s">
        <v>807</v>
      </c>
      <c r="AH33" s="88"/>
      <c r="AI33" s="89"/>
      <c r="AJ33" s="89"/>
      <c r="AK33" s="89"/>
      <c r="AL33" s="499">
        <f>AM33+AN33</f>
        <v>0</v>
      </c>
      <c r="AM33" s="89"/>
      <c r="AN33" s="89"/>
      <c r="AO33" s="499">
        <f>AP33+AQ33</f>
        <v>0</v>
      </c>
      <c r="AP33" s="89"/>
      <c r="AQ33" s="89"/>
      <c r="AR33" s="499">
        <f>AS33+AT33</f>
        <v>0</v>
      </c>
      <c r="AS33" s="89"/>
      <c r="AT33" s="89"/>
      <c r="AU33" s="499">
        <f>AV33+AW33</f>
        <v>0</v>
      </c>
      <c r="AV33" s="89"/>
      <c r="AW33" s="89"/>
      <c r="AX33" s="499">
        <f>AY33+AZ33</f>
        <v>0</v>
      </c>
      <c r="AY33" s="89"/>
      <c r="AZ33" s="89"/>
      <c r="BA33" s="499">
        <f>BB33+BC33</f>
        <v>0</v>
      </c>
      <c r="BB33" s="89"/>
      <c r="BC33" s="89"/>
      <c r="BD33" s="499">
        <f>BE33+BF33</f>
        <v>0</v>
      </c>
      <c r="BE33" s="89"/>
      <c r="BF33" s="89"/>
      <c r="BG33" s="499">
        <f>BH33+BI33</f>
        <v>0</v>
      </c>
      <c r="BH33" s="89"/>
      <c r="BI33" s="89"/>
      <c r="BJ33" s="499">
        <f>BK33+BL33</f>
        <v>0</v>
      </c>
      <c r="BK33" s="89"/>
      <c r="BL33" s="89"/>
      <c r="BM33" s="499">
        <f>BN33+BO33</f>
        <v>0</v>
      </c>
      <c r="BN33" s="89"/>
      <c r="BO33" s="89"/>
      <c r="BP33" s="499">
        <f>BQ33+BR33</f>
        <v>0</v>
      </c>
      <c r="BQ33" s="89"/>
      <c r="BR33" s="89"/>
      <c r="BS33" s="499">
        <f>BT33+BU33</f>
        <v>0</v>
      </c>
      <c r="BT33" s="89"/>
      <c r="BU33" s="89"/>
      <c r="BV33" s="499">
        <f>BW33+BX33</f>
        <v>0</v>
      </c>
      <c r="BW33" s="89"/>
      <c r="BX33" s="89"/>
      <c r="BY33" s="499">
        <f>BZ33+CA33</f>
        <v>0</v>
      </c>
      <c r="BZ33" s="89"/>
      <c r="CA33" s="89"/>
      <c r="CB33" s="499">
        <f>CC33+CD33</f>
        <v>0</v>
      </c>
      <c r="CC33" s="89"/>
      <c r="CD33" s="89"/>
      <c r="CE33" s="499">
        <f>CF33+CG33</f>
        <v>0</v>
      </c>
      <c r="CF33" s="89"/>
      <c r="CG33" s="89"/>
      <c r="CH33" s="499">
        <f>CI33+CJ33</f>
        <v>0</v>
      </c>
      <c r="CI33" s="89"/>
      <c r="CJ33" s="89"/>
      <c r="CK33" s="499">
        <f>CL33+CM33</f>
        <v>0</v>
      </c>
      <c r="CL33" s="89"/>
      <c r="CM33" s="89"/>
      <c r="CN33" s="499">
        <f>CO33+CP33</f>
        <v>0</v>
      </c>
      <c r="CO33" s="89"/>
      <c r="CP33" s="89"/>
      <c r="CQ33" s="499">
        <f>CR33+CS33</f>
        <v>0</v>
      </c>
      <c r="CR33" s="89"/>
      <c r="CS33" s="89"/>
      <c r="CT33" s="499">
        <f>CU33+CV33</f>
        <v>0</v>
      </c>
      <c r="CU33" s="498"/>
      <c r="CV33" s="498"/>
      <c r="CW33" s="499">
        <f>CX33+CY33</f>
        <v>0</v>
      </c>
      <c r="CX33" s="89"/>
      <c r="CY33" s="89"/>
      <c r="CZ33" s="499">
        <f>DA33+DB33</f>
        <v>0</v>
      </c>
      <c r="DA33" s="89"/>
      <c r="DB33" s="89"/>
      <c r="DC33" s="499">
        <f>DD33+DE33</f>
        <v>0</v>
      </c>
      <c r="DD33" s="89"/>
      <c r="DE33" s="89"/>
      <c r="DF33" s="499">
        <f>DG33+DH33</f>
        <v>0</v>
      </c>
      <c r="DG33" s="89"/>
      <c r="DH33" s="89"/>
      <c r="DI33" s="499">
        <f>DJ33+DK33</f>
        <v>0</v>
      </c>
      <c r="DJ33" s="89"/>
      <c r="DK33" s="89"/>
      <c r="DL33" s="499">
        <f>DM33+DN33</f>
        <v>0</v>
      </c>
      <c r="DM33" s="89"/>
      <c r="DN33" s="89"/>
      <c r="DO33" s="499">
        <f>DP33+DQ33</f>
        <v>0</v>
      </c>
      <c r="DP33" s="89"/>
      <c r="DQ33" s="89"/>
      <c r="DR33" s="499">
        <f>DS33+DT33</f>
        <v>0</v>
      </c>
      <c r="DS33" s="89"/>
      <c r="DT33" s="89"/>
      <c r="DU33" s="499">
        <f>DV33+DW33</f>
        <v>0</v>
      </c>
      <c r="DV33" s="89"/>
      <c r="DW33" s="89"/>
      <c r="DX33" s="499">
        <f>DY33+DZ33</f>
        <v>0</v>
      </c>
      <c r="DY33" s="89"/>
      <c r="DZ33" s="89"/>
      <c r="EA33" s="499">
        <f>EB33+EC33</f>
        <v>0</v>
      </c>
      <c r="EB33" s="89"/>
      <c r="EC33" s="89"/>
      <c r="ED33" s="499">
        <f>EE33+EF33</f>
        <v>0</v>
      </c>
      <c r="EE33" s="89"/>
      <c r="EF33" s="89"/>
      <c r="EG33" s="499">
        <f>EH33+EI33</f>
        <v>0</v>
      </c>
      <c r="EH33" s="89"/>
      <c r="EI33" s="89"/>
      <c r="EJ33" s="499">
        <f>EK33+EL33</f>
        <v>0</v>
      </c>
      <c r="EK33" s="89"/>
      <c r="EL33" s="89"/>
      <c r="EM33" s="499">
        <f>EN33+EO33</f>
        <v>0</v>
      </c>
      <c r="EN33" s="89"/>
      <c r="EO33" s="89"/>
      <c r="EP33" s="499">
        <f>EQ33+ER33</f>
        <v>0</v>
      </c>
      <c r="EQ33" s="89"/>
      <c r="ER33" s="89"/>
      <c r="ES33" s="499">
        <f>ET33+EU33</f>
        <v>0</v>
      </c>
      <c r="ET33" s="89"/>
      <c r="EU33" s="89"/>
      <c r="EV33" s="499">
        <f>EW33+EX33</f>
        <v>0</v>
      </c>
      <c r="EW33" s="89"/>
      <c r="EX33" s="89"/>
      <c r="EY33" s="499">
        <f>EZ33+FA33</f>
        <v>0</v>
      </c>
      <c r="EZ33" s="89"/>
      <c r="FA33" s="89"/>
      <c r="FB33" s="83"/>
      <c r="FE33" s="489" t="s">
        <v>823</v>
      </c>
      <c r="FK33" s="1157" cm="1" t="str">
        <f t="array" ref="FK33:FK33">OFFSET(FJ33,-1,1)</f>
        <v>0</v>
      </c>
      <c r="FL33" s="1159"/>
      <c r="FM33" s="1078" t="s">
        <v>824</v>
      </c>
      <c r="FN33" s="1159"/>
      <c r="FO33" s="1159"/>
      <c r="FP33" s="1159"/>
      <c r="FQ33" s="1159"/>
      <c r="FR33" s="1159"/>
      <c r="FS33" s="1159"/>
      <c r="FT33" s="1159"/>
      <c r="FU33" s="1159"/>
      <c r="FV33" s="1078" t="s">
        <v>219</v>
      </c>
      <c r="FW33" s="1159"/>
      <c r="FX33" s="1078" t="s">
        <v>303</v>
      </c>
      <c r="FY33" s="1078" t="s">
        <v>813</v>
      </c>
      <c r="FZ33" s="1078" t="s">
        <v>814</v>
      </c>
    </row>
    <row customHeight="1" ht="16.575" hidden="1">
      <c r="E34" s="180">
        <v>17</v>
      </c>
      <c r="F34" s="175" cm="1" t="str">
        <f t="array" ref="F34:F34">OFFSET(G34,-1,-1)</f>
        <v>0</v>
      </c>
      <c r="L34" s="175" cm="1" t="str">
        <f t="array" ref="L34:L34">OFFSET(M34,-1,-1)</f>
        <v>false</v>
      </c>
      <c r="R34" s="175" t="s">
        <v>804</v>
      </c>
      <c r="S34" s="175" cm="1" t="str">
        <f t="array" ref="S34:S34">OFFSET(T34,-1,-1)</f>
        <v>false</v>
      </c>
      <c r="T34" s="175" cm="1" t="str">
        <f t="array" ref="T34:T34">T33</f>
        <v>false</v>
      </c>
      <c r="U34" s="753">
        <f>AND(S34,IF(ISBLANK(T34),TRUE,T34))</f>
        <v>0</v>
      </c>
      <c r="AB34" s="1646"/>
      <c r="AD34" s="491" t="s">
        <v>659</v>
      </c>
      <c r="AE34" s="1636" t="s">
        <v>825</v>
      </c>
      <c r="AF34" s="502"/>
      <c r="AG34" s="491" t="s">
        <v>826</v>
      </c>
      <c r="AH34" s="88"/>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89"/>
      <c r="BQ34" s="89"/>
      <c r="BR34" s="89"/>
      <c r="BS34" s="89"/>
      <c r="BT34" s="89"/>
      <c r="BU34" s="89"/>
      <c r="BV34" s="89"/>
      <c r="BW34" s="89"/>
      <c r="BX34" s="89"/>
      <c r="BY34" s="89"/>
      <c r="BZ34" s="89"/>
      <c r="CA34" s="89"/>
      <c r="CB34" s="89"/>
      <c r="CC34" s="89"/>
      <c r="CD34" s="89"/>
      <c r="CE34" s="89"/>
      <c r="CF34" s="89"/>
      <c r="CG34" s="89"/>
      <c r="CH34" s="89"/>
      <c r="CI34" s="89"/>
      <c r="CJ34" s="89"/>
      <c r="CK34" s="89"/>
      <c r="CL34" s="89"/>
      <c r="CM34" s="89"/>
      <c r="CN34" s="89"/>
      <c r="CO34" s="89"/>
      <c r="CP34" s="89"/>
      <c r="CQ34" s="89"/>
      <c r="CR34" s="89"/>
      <c r="CS34" s="89"/>
      <c r="CT34" s="498"/>
      <c r="CU34" s="498"/>
      <c r="CV34" s="498"/>
      <c r="CW34" s="89"/>
      <c r="CX34" s="89"/>
      <c r="CY34" s="89"/>
      <c r="CZ34" s="89"/>
      <c r="DA34" s="89"/>
      <c r="DB34" s="89"/>
      <c r="DC34" s="89"/>
      <c r="DD34" s="89"/>
      <c r="DE34" s="89"/>
      <c r="DF34" s="89"/>
      <c r="DG34" s="89"/>
      <c r="DH34" s="89"/>
      <c r="DI34" s="89"/>
      <c r="DJ34" s="89"/>
      <c r="DK34" s="89"/>
      <c r="DL34" s="89"/>
      <c r="DM34" s="89"/>
      <c r="DN34" s="89"/>
      <c r="DO34" s="89"/>
      <c r="DP34" s="89"/>
      <c r="DQ34" s="89"/>
      <c r="DR34" s="89"/>
      <c r="DS34" s="89"/>
      <c r="DT34" s="89"/>
      <c r="DU34" s="89"/>
      <c r="DV34" s="89"/>
      <c r="DW34" s="89"/>
      <c r="DX34" s="89"/>
      <c r="DY34" s="89"/>
      <c r="DZ34" s="89"/>
      <c r="EA34" s="89"/>
      <c r="EB34" s="89"/>
      <c r="EC34" s="89"/>
      <c r="ED34" s="89"/>
      <c r="EE34" s="89"/>
      <c r="EF34" s="89"/>
      <c r="EG34" s="89"/>
      <c r="EH34" s="89"/>
      <c r="EI34" s="89"/>
      <c r="EJ34" s="89"/>
      <c r="EK34" s="89"/>
      <c r="EL34" s="89"/>
      <c r="EM34" s="89"/>
      <c r="EN34" s="89"/>
      <c r="EO34" s="89"/>
      <c r="EP34" s="89"/>
      <c r="EQ34" s="89"/>
      <c r="ER34" s="89"/>
      <c r="ES34" s="89"/>
      <c r="ET34" s="89"/>
      <c r="EU34" s="89"/>
      <c r="EV34" s="89"/>
      <c r="EW34" s="89"/>
      <c r="EX34" s="89"/>
      <c r="EY34" s="89"/>
      <c r="EZ34" s="89"/>
      <c r="FA34" s="89"/>
      <c r="FB34" s="83"/>
      <c r="FE34" s="489" t="s">
        <v>827</v>
      </c>
      <c r="FK34" s="1157" cm="1" t="str">
        <f t="array" ref="FK34:FK34">OFFSET(FJ34,-1,1)</f>
        <v>0</v>
      </c>
      <c r="FL34" s="1159"/>
      <c r="FM34" s="1078" t="s">
        <v>824</v>
      </c>
      <c r="FN34" s="1159"/>
      <c r="FO34" s="1159"/>
      <c r="FP34" s="1159"/>
      <c r="FQ34" s="1159"/>
      <c r="FR34" s="1159"/>
      <c r="FS34" s="1159"/>
      <c r="FT34" s="1159"/>
      <c r="FU34" s="1159"/>
      <c r="FV34" s="1078" t="s">
        <v>255</v>
      </c>
      <c r="FW34" s="1159"/>
      <c r="FX34" s="1078" t="s">
        <v>303</v>
      </c>
      <c r="FY34" s="1078" t="s">
        <v>828</v>
      </c>
      <c r="FZ34" s="1078" t="s">
        <v>829</v>
      </c>
    </row>
    <row customHeight="1" ht="16.575" hidden="1">
      <c r="E35" s="180">
        <v>17</v>
      </c>
      <c r="F35" s="175" cm="1" t="str">
        <f t="array" ref="F35:F35">OFFSET(G35,-1,-1)</f>
        <v>0</v>
      </c>
      <c r="L35" s="175" cm="1" t="str">
        <f t="array" ref="L35:L35">OFFSET(M35,-1,-1)</f>
        <v>false</v>
      </c>
      <c r="R35" s="175" t="s">
        <v>804</v>
      </c>
      <c r="S35" s="175" cm="1" t="str">
        <f t="array" ref="S35:S35">OFFSET(T35,-1,-1)</f>
        <v>false</v>
      </c>
      <c r="T35" s="175" cm="1" t="str">
        <f t="array" ref="T35:T35">T34</f>
        <v>false</v>
      </c>
      <c r="U35" s="753">
        <f>AND(S35,IF(ISBLANK(T35),TRUE,T35))</f>
        <v>0</v>
      </c>
      <c r="AB35" s="1646"/>
      <c r="AD35" s="491">
        <v>3</v>
      </c>
      <c r="AE35" s="1619" t="s">
        <v>830</v>
      </c>
      <c r="AF35" s="496"/>
      <c r="AG35" s="491" t="s">
        <v>807</v>
      </c>
      <c r="AH35" s="500">
        <f>AH29-AH30</f>
        <v>0</v>
      </c>
      <c r="AI35" s="499">
        <f>AI29-AI30</f>
        <v>0</v>
      </c>
      <c r="AJ35" s="499">
        <f>AJ29-AJ30</f>
        <v>0</v>
      </c>
      <c r="AK35" s="499">
        <f>AK29-AK30</f>
        <v>0</v>
      </c>
      <c r="AL35" s="499">
        <f>AL29-AL30</f>
        <v>0</v>
      </c>
      <c r="AM35" s="499">
        <f>AM29-AM30</f>
        <v>0</v>
      </c>
      <c r="AN35" s="499">
        <f>AN29-AN30</f>
        <v>0</v>
      </c>
      <c r="AO35" s="499">
        <f>AO29-AO30</f>
        <v>0</v>
      </c>
      <c r="AP35" s="499">
        <f>AP29-AP30</f>
        <v>0</v>
      </c>
      <c r="AQ35" s="499">
        <f>AQ29-AQ30</f>
        <v>0</v>
      </c>
      <c r="AR35" s="499">
        <f>AR29-AR30</f>
        <v>0</v>
      </c>
      <c r="AS35" s="499">
        <f>AS29-AS30</f>
        <v>0</v>
      </c>
      <c r="AT35" s="499">
        <f>AT29-AT30</f>
        <v>0</v>
      </c>
      <c r="AU35" s="499">
        <f>AU29-AU30</f>
        <v>0</v>
      </c>
      <c r="AV35" s="499">
        <f>AV29-AV30</f>
        <v>0</v>
      </c>
      <c r="AW35" s="499">
        <f>AW29-AW30</f>
        <v>0</v>
      </c>
      <c r="AX35" s="499">
        <f>AX29-AX30</f>
        <v>0</v>
      </c>
      <c r="AY35" s="499">
        <f>AY29-AY30</f>
        <v>0</v>
      </c>
      <c r="AZ35" s="499">
        <f>AZ29-AZ30</f>
        <v>0</v>
      </c>
      <c r="BA35" s="499">
        <f>BA29-BA30</f>
        <v>0</v>
      </c>
      <c r="BB35" s="499">
        <f>BB29-BB30</f>
        <v>0</v>
      </c>
      <c r="BC35" s="499">
        <f>BC29-BC30</f>
        <v>0</v>
      </c>
      <c r="BD35" s="499">
        <f>BD29-BD30</f>
        <v>0</v>
      </c>
      <c r="BE35" s="499">
        <f>BE29-BE30</f>
        <v>0</v>
      </c>
      <c r="BF35" s="499">
        <f>BF29-BF30</f>
        <v>0</v>
      </c>
      <c r="BG35" s="499">
        <f>BG29-BG30</f>
        <v>0</v>
      </c>
      <c r="BH35" s="499">
        <f>BH29-BH30</f>
        <v>0</v>
      </c>
      <c r="BI35" s="499">
        <f>BI29-BI30</f>
        <v>0</v>
      </c>
      <c r="BJ35" s="499">
        <f>BJ29-BJ30</f>
        <v>0</v>
      </c>
      <c r="BK35" s="499">
        <f>BK29-BK30</f>
        <v>0</v>
      </c>
      <c r="BL35" s="499">
        <f>BL29-BL30</f>
        <v>0</v>
      </c>
      <c r="BM35" s="499">
        <f>BM29-BM30</f>
        <v>0</v>
      </c>
      <c r="BN35" s="499">
        <f>BN29-BN30</f>
        <v>0</v>
      </c>
      <c r="BO35" s="499">
        <f>BO29-BO30</f>
        <v>0</v>
      </c>
      <c r="BP35" s="499">
        <f>BP29-BP30</f>
        <v>0</v>
      </c>
      <c r="BQ35" s="499">
        <f>BQ29-BQ30</f>
        <v>0</v>
      </c>
      <c r="BR35" s="499">
        <f>BR29-BR30</f>
        <v>0</v>
      </c>
      <c r="BS35" s="499">
        <f>BS29-BS30</f>
        <v>0</v>
      </c>
      <c r="BT35" s="499">
        <f>BT29-BT30</f>
        <v>0</v>
      </c>
      <c r="BU35" s="499">
        <f>BU29-BU30</f>
        <v>0</v>
      </c>
      <c r="BV35" s="499">
        <f>BV29-BV30</f>
        <v>0</v>
      </c>
      <c r="BW35" s="499">
        <f>BW29-BW30</f>
        <v>0</v>
      </c>
      <c r="BX35" s="499">
        <f>BX29-BX30</f>
        <v>0</v>
      </c>
      <c r="BY35" s="499">
        <f>BY29-BY30</f>
        <v>0</v>
      </c>
      <c r="BZ35" s="499">
        <f>BZ29-BZ30</f>
        <v>0</v>
      </c>
      <c r="CA35" s="499">
        <f>CA29-CA30</f>
        <v>0</v>
      </c>
      <c r="CB35" s="499">
        <f>CB29-CB30</f>
        <v>0</v>
      </c>
      <c r="CC35" s="499">
        <f>CC29-CC30</f>
        <v>0</v>
      </c>
      <c r="CD35" s="499">
        <f>CD29-CD30</f>
        <v>0</v>
      </c>
      <c r="CE35" s="499">
        <f>CE29-CE30</f>
        <v>0</v>
      </c>
      <c r="CF35" s="499">
        <f>CF29-CF30</f>
        <v>0</v>
      </c>
      <c r="CG35" s="499">
        <f>CG29-CG30</f>
        <v>0</v>
      </c>
      <c r="CH35" s="499">
        <f>CH29-CH30</f>
        <v>0</v>
      </c>
      <c r="CI35" s="499">
        <f>CI29-CI30</f>
        <v>0</v>
      </c>
      <c r="CJ35" s="499">
        <f>CJ29-CJ30</f>
        <v>0</v>
      </c>
      <c r="CK35" s="499">
        <f>CK29-CK30</f>
        <v>0</v>
      </c>
      <c r="CL35" s="499">
        <f>CL29-CL30</f>
        <v>0</v>
      </c>
      <c r="CM35" s="499">
        <f>CM29-CM30</f>
        <v>0</v>
      </c>
      <c r="CN35" s="499">
        <f>CN29-CN30</f>
        <v>0</v>
      </c>
      <c r="CO35" s="499">
        <f>CO29-CO30</f>
        <v>0</v>
      </c>
      <c r="CP35" s="499">
        <f>CP29-CP30</f>
        <v>0</v>
      </c>
      <c r="CQ35" s="499">
        <f>CQ29-CQ30</f>
        <v>0</v>
      </c>
      <c r="CR35" s="499">
        <f>CR29-CR30</f>
        <v>0</v>
      </c>
      <c r="CS35" s="499">
        <f>CS29-CS30</f>
        <v>0</v>
      </c>
      <c r="CT35" s="499">
        <f>CT29-CT30</f>
        <v>0</v>
      </c>
      <c r="CU35" s="499">
        <f>CU29-CU30</f>
        <v>0</v>
      </c>
      <c r="CV35" s="499">
        <f>CV29-CV30</f>
        <v>0</v>
      </c>
      <c r="CW35" s="499">
        <f>CW29-CW30</f>
        <v>0</v>
      </c>
      <c r="CX35" s="499">
        <f>CX29-CX30</f>
        <v>0</v>
      </c>
      <c r="CY35" s="499">
        <f>CY29-CY30</f>
        <v>0</v>
      </c>
      <c r="CZ35" s="499">
        <f>CZ29-CZ30</f>
        <v>0</v>
      </c>
      <c r="DA35" s="499">
        <f>DA29-DA30</f>
        <v>0</v>
      </c>
      <c r="DB35" s="499">
        <f>DB29-DB30</f>
        <v>0</v>
      </c>
      <c r="DC35" s="499">
        <f>DC29-DC30</f>
        <v>0</v>
      </c>
      <c r="DD35" s="499">
        <f>DD29-DD30</f>
        <v>0</v>
      </c>
      <c r="DE35" s="499">
        <f>DE29-DE30</f>
        <v>0</v>
      </c>
      <c r="DF35" s="499">
        <f>DF29-DF30</f>
        <v>0</v>
      </c>
      <c r="DG35" s="499">
        <f>DG29-DG30</f>
        <v>0</v>
      </c>
      <c r="DH35" s="499">
        <f>DH29-DH30</f>
        <v>0</v>
      </c>
      <c r="DI35" s="499">
        <f>DI29-DI30</f>
        <v>0</v>
      </c>
      <c r="DJ35" s="499">
        <f>DJ29-DJ30</f>
        <v>0</v>
      </c>
      <c r="DK35" s="499">
        <f>DK29-DK30</f>
        <v>0</v>
      </c>
      <c r="DL35" s="499">
        <f>DL29-DL30</f>
        <v>0</v>
      </c>
      <c r="DM35" s="499">
        <f>DM29-DM30</f>
        <v>0</v>
      </c>
      <c r="DN35" s="499">
        <f>DN29-DN30</f>
        <v>0</v>
      </c>
      <c r="DO35" s="499">
        <f>DO29-DO30</f>
        <v>0</v>
      </c>
      <c r="DP35" s="499">
        <f>DP29-DP30</f>
        <v>0</v>
      </c>
      <c r="DQ35" s="499">
        <f>DQ29-DQ30</f>
        <v>0</v>
      </c>
      <c r="DR35" s="499">
        <f>DR29-DR30</f>
        <v>0</v>
      </c>
      <c r="DS35" s="499">
        <f>DS29-DS30</f>
        <v>0</v>
      </c>
      <c r="DT35" s="499">
        <f>DT29-DT30</f>
        <v>0</v>
      </c>
      <c r="DU35" s="499">
        <f>DU29-DU30</f>
        <v>0</v>
      </c>
      <c r="DV35" s="499">
        <f>DV29-DV30</f>
        <v>0</v>
      </c>
      <c r="DW35" s="499">
        <f>DW29-DW30</f>
        <v>0</v>
      </c>
      <c r="DX35" s="499">
        <f>DX29-DX30</f>
        <v>0</v>
      </c>
      <c r="DY35" s="499">
        <f>DY29-DY30</f>
        <v>0</v>
      </c>
      <c r="DZ35" s="499">
        <f>DZ29-DZ30</f>
        <v>0</v>
      </c>
      <c r="EA35" s="499">
        <f>EA29-EA30</f>
        <v>0</v>
      </c>
      <c r="EB35" s="499">
        <f>EB29-EB30</f>
        <v>0</v>
      </c>
      <c r="EC35" s="499">
        <f>EC29-EC30</f>
        <v>0</v>
      </c>
      <c r="ED35" s="499">
        <f>ED29-ED30</f>
        <v>0</v>
      </c>
      <c r="EE35" s="499">
        <f>EE29-EE30</f>
        <v>0</v>
      </c>
      <c r="EF35" s="499">
        <f>EF29-EF30</f>
        <v>0</v>
      </c>
      <c r="EG35" s="499">
        <f>EG29-EG30</f>
        <v>0</v>
      </c>
      <c r="EH35" s="499">
        <f>EH29-EH30</f>
        <v>0</v>
      </c>
      <c r="EI35" s="499">
        <f>EI29-EI30</f>
        <v>0</v>
      </c>
      <c r="EJ35" s="499">
        <f>EJ29-EJ30</f>
        <v>0</v>
      </c>
      <c r="EK35" s="499">
        <f>EK29-EK30</f>
        <v>0</v>
      </c>
      <c r="EL35" s="499">
        <f>EL29-EL30</f>
        <v>0</v>
      </c>
      <c r="EM35" s="499">
        <f>EM29-EM30</f>
        <v>0</v>
      </c>
      <c r="EN35" s="499">
        <f>EN29-EN30</f>
        <v>0</v>
      </c>
      <c r="EO35" s="499">
        <f>EO29-EO30</f>
        <v>0</v>
      </c>
      <c r="EP35" s="499">
        <f>EP29-EP30</f>
        <v>0</v>
      </c>
      <c r="EQ35" s="499">
        <f>EQ29-EQ30</f>
        <v>0</v>
      </c>
      <c r="ER35" s="499">
        <f>ER29-ER30</f>
        <v>0</v>
      </c>
      <c r="ES35" s="499">
        <f>ES29-ES30</f>
        <v>0</v>
      </c>
      <c r="ET35" s="499">
        <f>ET29-ET30</f>
        <v>0</v>
      </c>
      <c r="EU35" s="499">
        <f>EU29-EU30</f>
        <v>0</v>
      </c>
      <c r="EV35" s="499">
        <f>EV29-EV30</f>
        <v>0</v>
      </c>
      <c r="EW35" s="499">
        <f>EW29-EW30</f>
        <v>0</v>
      </c>
      <c r="EX35" s="499">
        <f>EX29-EX30</f>
        <v>0</v>
      </c>
      <c r="EY35" s="499">
        <f>EY29-EY30</f>
        <v>0</v>
      </c>
      <c r="EZ35" s="499">
        <f>EZ29-EZ30</f>
        <v>0</v>
      </c>
      <c r="FA35" s="499">
        <f>FA29-FA30</f>
        <v>0</v>
      </c>
      <c r="FB35" s="83"/>
      <c r="FE35" s="489" t="s">
        <v>831</v>
      </c>
      <c r="FK35" s="1157" cm="1" t="str">
        <f t="array" ref="FK35:FK35">OFFSET(FJ35,-1,1)</f>
        <v>0</v>
      </c>
      <c r="FL35" s="1078" t="s">
        <v>518</v>
      </c>
      <c r="FM35" s="1159"/>
      <c r="FN35" s="1159"/>
      <c r="FO35" s="1159"/>
      <c r="FP35" s="1159"/>
      <c r="FQ35" s="1159"/>
      <c r="FR35" s="1159"/>
      <c r="FS35" s="1159"/>
      <c r="FT35" s="1159"/>
      <c r="FU35" s="1159"/>
      <c r="FV35" s="1078" t="s">
        <v>255</v>
      </c>
      <c r="FW35" s="1159"/>
      <c r="FX35" s="1078"/>
      <c r="FY35" s="1078"/>
      <c r="FZ35" s="1159"/>
    </row>
    <row customHeight="1" ht="16.575" hidden="1">
      <c r="E36" s="180">
        <v>17</v>
      </c>
      <c r="F36" s="175" cm="1" t="str">
        <f t="array" ref="F36:F36">OFFSET(G36,-1,-1)</f>
        <v>0</v>
      </c>
      <c r="L36" s="175" cm="1" t="str">
        <f t="array" ref="L36:L36">OFFSET(M36,-1,-1)</f>
        <v>false</v>
      </c>
      <c r="R36" s="175" t="s">
        <v>804</v>
      </c>
      <c r="S36" s="175" cm="1" t="str">
        <f t="array" ref="S36:S36">OFFSET(T36,-1,-1)</f>
        <v>false</v>
      </c>
      <c r="T36" s="175" cm="1" t="str">
        <f t="array" ref="T36:T36">T35</f>
        <v>false</v>
      </c>
      <c r="U36" s="753">
        <f>AND(S36,IF(ISBLANK(T36),TRUE,T36))</f>
        <v>0</v>
      </c>
      <c r="AB36" s="1646"/>
      <c r="AD36" s="491">
        <v>4</v>
      </c>
      <c r="AE36" s="1619" t="s">
        <v>832</v>
      </c>
      <c r="AF36" s="496"/>
      <c r="AG36" s="491" t="s">
        <v>807</v>
      </c>
      <c r="AH36" s="88"/>
      <c r="AI36" s="89"/>
      <c r="AJ36" s="89"/>
      <c r="AK36" s="89"/>
      <c r="AL36" s="499">
        <f>AM36+AN36</f>
        <v>0</v>
      </c>
      <c r="AM36" s="89"/>
      <c r="AN36" s="89"/>
      <c r="AO36" s="499">
        <f>AP36+AQ36</f>
        <v>0</v>
      </c>
      <c r="AP36" s="89"/>
      <c r="AQ36" s="89"/>
      <c r="AR36" s="499">
        <f>AS36+AT36</f>
        <v>0</v>
      </c>
      <c r="AS36" s="89"/>
      <c r="AT36" s="89"/>
      <c r="AU36" s="499">
        <f>AV36+AW36</f>
        <v>0</v>
      </c>
      <c r="AV36" s="89"/>
      <c r="AW36" s="89"/>
      <c r="AX36" s="499">
        <f>AY36+AZ36</f>
        <v>0</v>
      </c>
      <c r="AY36" s="89"/>
      <c r="AZ36" s="89"/>
      <c r="BA36" s="499">
        <f>BB36+BC36</f>
        <v>0</v>
      </c>
      <c r="BB36" s="89"/>
      <c r="BC36" s="89"/>
      <c r="BD36" s="499">
        <f>BE36+BF36</f>
        <v>0</v>
      </c>
      <c r="BE36" s="89"/>
      <c r="BF36" s="89"/>
      <c r="BG36" s="499">
        <f>BH36+BI36</f>
        <v>0</v>
      </c>
      <c r="BH36" s="89"/>
      <c r="BI36" s="89"/>
      <c r="BJ36" s="499">
        <f>BK36+BL36</f>
        <v>0</v>
      </c>
      <c r="BK36" s="89"/>
      <c r="BL36" s="89"/>
      <c r="BM36" s="499">
        <f>BN36+BO36</f>
        <v>0</v>
      </c>
      <c r="BN36" s="89"/>
      <c r="BO36" s="89"/>
      <c r="BP36" s="499">
        <f>BQ36+BR36</f>
        <v>0</v>
      </c>
      <c r="BQ36" s="89"/>
      <c r="BR36" s="89"/>
      <c r="BS36" s="499">
        <f>BT36+BU36</f>
        <v>0</v>
      </c>
      <c r="BT36" s="89"/>
      <c r="BU36" s="89"/>
      <c r="BV36" s="499">
        <f>BW36+BX36</f>
        <v>0</v>
      </c>
      <c r="BW36" s="89"/>
      <c r="BX36" s="89"/>
      <c r="BY36" s="499">
        <f>BZ36+CA36</f>
        <v>0</v>
      </c>
      <c r="BZ36" s="89"/>
      <c r="CA36" s="89"/>
      <c r="CB36" s="499">
        <f>CC36+CD36</f>
        <v>0</v>
      </c>
      <c r="CC36" s="89"/>
      <c r="CD36" s="89"/>
      <c r="CE36" s="499">
        <f>CF36+CG36</f>
        <v>0</v>
      </c>
      <c r="CF36" s="89"/>
      <c r="CG36" s="89"/>
      <c r="CH36" s="499">
        <f>CI36+CJ36</f>
        <v>0</v>
      </c>
      <c r="CI36" s="89"/>
      <c r="CJ36" s="89"/>
      <c r="CK36" s="499">
        <f>CL36+CM36</f>
        <v>0</v>
      </c>
      <c r="CL36" s="89"/>
      <c r="CM36" s="89"/>
      <c r="CN36" s="499">
        <f>CO36+CP36</f>
        <v>0</v>
      </c>
      <c r="CO36" s="89"/>
      <c r="CP36" s="89"/>
      <c r="CQ36" s="499">
        <f>CR36+CS36</f>
        <v>0</v>
      </c>
      <c r="CR36" s="89"/>
      <c r="CS36" s="89"/>
      <c r="CT36" s="499">
        <f>CU36+CV36</f>
        <v>0</v>
      </c>
      <c r="CU36" s="498"/>
      <c r="CV36" s="498"/>
      <c r="CW36" s="499">
        <f>CX36+CY36</f>
        <v>0</v>
      </c>
      <c r="CX36" s="89"/>
      <c r="CY36" s="89"/>
      <c r="CZ36" s="499">
        <f>DA36+DB36</f>
        <v>0</v>
      </c>
      <c r="DA36" s="89"/>
      <c r="DB36" s="89"/>
      <c r="DC36" s="499">
        <f>DD36+DE36</f>
        <v>0</v>
      </c>
      <c r="DD36" s="89"/>
      <c r="DE36" s="89"/>
      <c r="DF36" s="499">
        <f>DG36+DH36</f>
        <v>0</v>
      </c>
      <c r="DG36" s="89"/>
      <c r="DH36" s="89"/>
      <c r="DI36" s="499">
        <f>DJ36+DK36</f>
        <v>0</v>
      </c>
      <c r="DJ36" s="89"/>
      <c r="DK36" s="89"/>
      <c r="DL36" s="499">
        <f>DM36+DN36</f>
        <v>0</v>
      </c>
      <c r="DM36" s="89"/>
      <c r="DN36" s="89"/>
      <c r="DO36" s="499">
        <f>DP36+DQ36</f>
        <v>0</v>
      </c>
      <c r="DP36" s="89"/>
      <c r="DQ36" s="89"/>
      <c r="DR36" s="499">
        <f>DS36+DT36</f>
        <v>0</v>
      </c>
      <c r="DS36" s="89"/>
      <c r="DT36" s="89"/>
      <c r="DU36" s="499">
        <f>DV36+DW36</f>
        <v>0</v>
      </c>
      <c r="DV36" s="89"/>
      <c r="DW36" s="89"/>
      <c r="DX36" s="499">
        <f>DY36+DZ36</f>
        <v>0</v>
      </c>
      <c r="DY36" s="89"/>
      <c r="DZ36" s="89"/>
      <c r="EA36" s="499">
        <f>EB36+EC36</f>
        <v>0</v>
      </c>
      <c r="EB36" s="89"/>
      <c r="EC36" s="89"/>
      <c r="ED36" s="499">
        <f>EE36+EF36</f>
        <v>0</v>
      </c>
      <c r="EE36" s="89"/>
      <c r="EF36" s="89"/>
      <c r="EG36" s="499">
        <f>EH36+EI36</f>
        <v>0</v>
      </c>
      <c r="EH36" s="89"/>
      <c r="EI36" s="89"/>
      <c r="EJ36" s="499">
        <f>EK36+EL36</f>
        <v>0</v>
      </c>
      <c r="EK36" s="89"/>
      <c r="EL36" s="89"/>
      <c r="EM36" s="499">
        <f>EN36+EO36</f>
        <v>0</v>
      </c>
      <c r="EN36" s="89"/>
      <c r="EO36" s="89"/>
      <c r="EP36" s="499">
        <f>EQ36+ER36</f>
        <v>0</v>
      </c>
      <c r="EQ36" s="89"/>
      <c r="ER36" s="89"/>
      <c r="ES36" s="499">
        <f>ET36+EU36</f>
        <v>0</v>
      </c>
      <c r="ET36" s="89"/>
      <c r="EU36" s="89"/>
      <c r="EV36" s="499">
        <f>EW36+EX36</f>
        <v>0</v>
      </c>
      <c r="EW36" s="89"/>
      <c r="EX36" s="89"/>
      <c r="EY36" s="499">
        <f>EZ36+FA36</f>
        <v>0</v>
      </c>
      <c r="EZ36" s="89"/>
      <c r="FA36" s="89"/>
      <c r="FB36" s="83"/>
      <c r="FE36" s="489" t="s">
        <v>833</v>
      </c>
      <c r="FK36" s="1157" cm="1" t="str">
        <f t="array" ref="FK36:FK36">OFFSET(FJ36,-1,1)</f>
        <v>0</v>
      </c>
      <c r="FL36" s="1078" t="s">
        <v>518</v>
      </c>
      <c r="FM36" s="1159"/>
      <c r="FN36" s="1078" t="s">
        <v>834</v>
      </c>
      <c r="FO36" s="1159"/>
      <c r="FP36" s="1159"/>
      <c r="FQ36" s="1159"/>
      <c r="FR36" s="1159"/>
      <c r="FS36" s="1159"/>
      <c r="FT36" s="1159"/>
      <c r="FU36" s="1159"/>
      <c r="FV36" s="1078" t="s">
        <v>219</v>
      </c>
      <c r="FW36" s="1159"/>
      <c r="FX36" s="1078" t="s">
        <v>303</v>
      </c>
      <c r="FY36" s="1078" t="s">
        <v>835</v>
      </c>
      <c r="FZ36" s="1078" t="s">
        <v>836</v>
      </c>
    </row>
    <row customHeight="1" ht="16.575" hidden="1">
      <c r="E37" s="180">
        <v>17</v>
      </c>
      <c r="F37" s="175" cm="1" t="str">
        <f t="array" ref="F37:F37">OFFSET(G37,-1,-1)</f>
        <v>0</v>
      </c>
      <c r="L37" s="175" cm="1" t="str">
        <f t="array" ref="L37:L37">OFFSET(M37,-1,-1)</f>
        <v>false</v>
      </c>
      <c r="R37" s="175" t="s">
        <v>804</v>
      </c>
      <c r="S37" s="175" cm="1" t="str">
        <f t="array" ref="S37:S37">OFFSET(T37,-1,-1)</f>
        <v>false</v>
      </c>
      <c r="T37" s="175" cm="1" t="str">
        <f t="array" ref="T37:T37">T36</f>
        <v>false</v>
      </c>
      <c r="U37" s="753">
        <f>AND(S37,IF(ISBLANK(T37),TRUE,T37))</f>
        <v>0</v>
      </c>
      <c r="AB37" s="1646"/>
      <c r="AD37" s="491">
        <v>4.1</v>
      </c>
      <c r="AE37" s="1631" t="s">
        <v>837</v>
      </c>
      <c r="AF37" s="501"/>
      <c r="AG37" s="491" t="s">
        <v>495</v>
      </c>
      <c r="AH37" s="503">
        <f>_xlfn.IFERROR(AH36/AH35,0)</f>
        <v>0</v>
      </c>
      <c r="AI37" s="504">
        <f>_xlfn.IFERROR(AI36/AI35,0)</f>
        <v>0</v>
      </c>
      <c r="AJ37" s="504">
        <f>_xlfn.IFERROR(AJ36/AJ35,0)</f>
        <v>0</v>
      </c>
      <c r="AK37" s="504">
        <f>_xlfn.IFERROR(AK36/AK35,0)</f>
        <v>0</v>
      </c>
      <c r="AL37" s="504">
        <f>_xlfn.IFERROR(AL36/AL35,0)</f>
        <v>0</v>
      </c>
      <c r="AM37" s="504">
        <f>_xlfn.IFERROR(AM36/AM35,0)</f>
        <v>0</v>
      </c>
      <c r="AN37" s="504">
        <f>_xlfn.IFERROR(AN36/AN35,0)</f>
        <v>0</v>
      </c>
      <c r="AO37" s="504">
        <f>_xlfn.IFERROR(AO36/AO35,0)</f>
        <v>0</v>
      </c>
      <c r="AP37" s="504">
        <f>_xlfn.IFERROR(AP36/AP35,0)</f>
        <v>0</v>
      </c>
      <c r="AQ37" s="504">
        <f>_xlfn.IFERROR(AQ36/AQ35,0)</f>
        <v>0</v>
      </c>
      <c r="AR37" s="504">
        <f>_xlfn.IFERROR(AR36/AR35,0)</f>
        <v>0</v>
      </c>
      <c r="AS37" s="504">
        <f>_xlfn.IFERROR(AS36/AS35,0)</f>
        <v>0</v>
      </c>
      <c r="AT37" s="504">
        <f>_xlfn.IFERROR(AT36/AT35,0)</f>
        <v>0</v>
      </c>
      <c r="AU37" s="504">
        <f>_xlfn.IFERROR(AU36/AU35,0)</f>
        <v>0</v>
      </c>
      <c r="AV37" s="504">
        <f>_xlfn.IFERROR(AV36/AV35,0)</f>
        <v>0</v>
      </c>
      <c r="AW37" s="504">
        <f>_xlfn.IFERROR(AW36/AW35,0)</f>
        <v>0</v>
      </c>
      <c r="AX37" s="504">
        <f>_xlfn.IFERROR(AX36/AX35,0)</f>
        <v>0</v>
      </c>
      <c r="AY37" s="504">
        <f>_xlfn.IFERROR(AY36/AY35,0)</f>
        <v>0</v>
      </c>
      <c r="AZ37" s="504">
        <f>_xlfn.IFERROR(AZ36/AZ35,0)</f>
        <v>0</v>
      </c>
      <c r="BA37" s="504">
        <f>_xlfn.IFERROR(BA36/BA35,0)</f>
        <v>0</v>
      </c>
      <c r="BB37" s="504">
        <f>_xlfn.IFERROR(BB36/BB35,0)</f>
        <v>0</v>
      </c>
      <c r="BC37" s="504">
        <f>_xlfn.IFERROR(BC36/BC35,0)</f>
        <v>0</v>
      </c>
      <c r="BD37" s="504">
        <f>_xlfn.IFERROR(BD36/BD35,0)</f>
        <v>0</v>
      </c>
      <c r="BE37" s="504">
        <f>_xlfn.IFERROR(BE36/BE35,0)</f>
        <v>0</v>
      </c>
      <c r="BF37" s="504">
        <f>_xlfn.IFERROR(BF36/BF35,0)</f>
        <v>0</v>
      </c>
      <c r="BG37" s="504">
        <f>_xlfn.IFERROR(BG36/BG35,0)</f>
        <v>0</v>
      </c>
      <c r="BH37" s="504">
        <f>_xlfn.IFERROR(BH36/BH35,0)</f>
        <v>0</v>
      </c>
      <c r="BI37" s="504">
        <f>_xlfn.IFERROR(BI36/BI35,0)</f>
        <v>0</v>
      </c>
      <c r="BJ37" s="504">
        <f>_xlfn.IFERROR(BJ36/BJ35,0)</f>
        <v>0</v>
      </c>
      <c r="BK37" s="504">
        <f>_xlfn.IFERROR(BK36/BK35,0)</f>
        <v>0</v>
      </c>
      <c r="BL37" s="504">
        <f>_xlfn.IFERROR(BL36/BL35,0)</f>
        <v>0</v>
      </c>
      <c r="BM37" s="504">
        <f>_xlfn.IFERROR(BM36/BM35,0)</f>
        <v>0</v>
      </c>
      <c r="BN37" s="504">
        <f>_xlfn.IFERROR(BN36/BN35,0)</f>
        <v>0</v>
      </c>
      <c r="BO37" s="504">
        <f>_xlfn.IFERROR(BO36/BO35,0)</f>
        <v>0</v>
      </c>
      <c r="BP37" s="504">
        <f>_xlfn.IFERROR(BP36/BP35,0)</f>
        <v>0</v>
      </c>
      <c r="BQ37" s="504">
        <f>_xlfn.IFERROR(BQ36/BQ35,0)</f>
        <v>0</v>
      </c>
      <c r="BR37" s="504">
        <f>_xlfn.IFERROR(BR36/BR35,0)</f>
        <v>0</v>
      </c>
      <c r="BS37" s="504">
        <f>_xlfn.IFERROR(BS36/BS35,0)</f>
        <v>0</v>
      </c>
      <c r="BT37" s="504">
        <f>_xlfn.IFERROR(BT36/BT35,0)</f>
        <v>0</v>
      </c>
      <c r="BU37" s="504">
        <f>_xlfn.IFERROR(BU36/BU35,0)</f>
        <v>0</v>
      </c>
      <c r="BV37" s="504">
        <f>_xlfn.IFERROR(BV36/BV35,0)</f>
        <v>0</v>
      </c>
      <c r="BW37" s="504">
        <f>_xlfn.IFERROR(BW36/BW35,0)</f>
        <v>0</v>
      </c>
      <c r="BX37" s="504">
        <f>_xlfn.IFERROR(BX36/BX35,0)</f>
        <v>0</v>
      </c>
      <c r="BY37" s="504">
        <f>_xlfn.IFERROR(BY36/BY35,0)</f>
        <v>0</v>
      </c>
      <c r="BZ37" s="504">
        <f>_xlfn.IFERROR(BZ36/BZ35,0)</f>
        <v>0</v>
      </c>
      <c r="CA37" s="504">
        <f>_xlfn.IFERROR(CA36/CA35,0)</f>
        <v>0</v>
      </c>
      <c r="CB37" s="504">
        <f>_xlfn.IFERROR(CB36/CB35,0)</f>
        <v>0</v>
      </c>
      <c r="CC37" s="504">
        <f>_xlfn.IFERROR(CC36/CC35,0)</f>
        <v>0</v>
      </c>
      <c r="CD37" s="504">
        <f>_xlfn.IFERROR(CD36/CD35,0)</f>
        <v>0</v>
      </c>
      <c r="CE37" s="504">
        <f>_xlfn.IFERROR(CE36/CE35,0)</f>
        <v>0</v>
      </c>
      <c r="CF37" s="504">
        <f>_xlfn.IFERROR(CF36/CF35,0)</f>
        <v>0</v>
      </c>
      <c r="CG37" s="504">
        <f>_xlfn.IFERROR(CG36/CG35,0)</f>
        <v>0</v>
      </c>
      <c r="CH37" s="504">
        <f>_xlfn.IFERROR(CH36/CH35,0)</f>
        <v>0</v>
      </c>
      <c r="CI37" s="504">
        <f>_xlfn.IFERROR(CI36/CI35,0)</f>
        <v>0</v>
      </c>
      <c r="CJ37" s="504">
        <f>_xlfn.IFERROR(CJ36/CJ35,0)</f>
        <v>0</v>
      </c>
      <c r="CK37" s="504">
        <f>_xlfn.IFERROR(CK36/CK35,0)</f>
        <v>0</v>
      </c>
      <c r="CL37" s="504">
        <f>_xlfn.IFERROR(CL36/CL35,0)</f>
        <v>0</v>
      </c>
      <c r="CM37" s="504">
        <f>_xlfn.IFERROR(CM36/CM35,0)</f>
        <v>0</v>
      </c>
      <c r="CN37" s="504">
        <f>_xlfn.IFERROR(CN36/CN35,0)</f>
        <v>0</v>
      </c>
      <c r="CO37" s="504">
        <f>_xlfn.IFERROR(CO36/CO35,0)</f>
        <v>0</v>
      </c>
      <c r="CP37" s="504">
        <f>_xlfn.IFERROR(CP36/CP35,0)</f>
        <v>0</v>
      </c>
      <c r="CQ37" s="504">
        <f>_xlfn.IFERROR(CQ36/CQ35,0)</f>
        <v>0</v>
      </c>
      <c r="CR37" s="504">
        <f>_xlfn.IFERROR(CR36/CR35,0)</f>
        <v>0</v>
      </c>
      <c r="CS37" s="504">
        <f>_xlfn.IFERROR(CS36/CS35,0)</f>
        <v>0</v>
      </c>
      <c r="CT37" s="504">
        <f>_xlfn.IFERROR(CT36/CT35,0)</f>
        <v>0</v>
      </c>
      <c r="CU37" s="504">
        <f>_xlfn.IFERROR(CU36/CU35,0)</f>
        <v>0</v>
      </c>
      <c r="CV37" s="504">
        <f>_xlfn.IFERROR(CV36/CV35,0)</f>
        <v>0</v>
      </c>
      <c r="CW37" s="504">
        <f>_xlfn.IFERROR(CW36/CW35,0)</f>
        <v>0</v>
      </c>
      <c r="CX37" s="504">
        <f>_xlfn.IFERROR(CX36/CX35,0)</f>
        <v>0</v>
      </c>
      <c r="CY37" s="504">
        <f>_xlfn.IFERROR(CY36/CY35,0)</f>
        <v>0</v>
      </c>
      <c r="CZ37" s="504">
        <f>_xlfn.IFERROR(CZ36/CZ35,0)</f>
        <v>0</v>
      </c>
      <c r="DA37" s="504">
        <f>_xlfn.IFERROR(DA36/DA35,0)</f>
        <v>0</v>
      </c>
      <c r="DB37" s="504">
        <f>_xlfn.IFERROR(DB36/DB35,0)</f>
        <v>0</v>
      </c>
      <c r="DC37" s="504">
        <f>_xlfn.IFERROR(DC36/DC35,0)</f>
        <v>0</v>
      </c>
      <c r="DD37" s="504">
        <f>_xlfn.IFERROR(DD36/DD35,0)</f>
        <v>0</v>
      </c>
      <c r="DE37" s="504">
        <f>_xlfn.IFERROR(DE36/DE35,0)</f>
        <v>0</v>
      </c>
      <c r="DF37" s="504">
        <f>_xlfn.IFERROR(DF36/DF35,0)</f>
        <v>0</v>
      </c>
      <c r="DG37" s="504">
        <f>_xlfn.IFERROR(DG36/DG35,0)</f>
        <v>0</v>
      </c>
      <c r="DH37" s="504">
        <f>_xlfn.IFERROR(DH36/DH35,0)</f>
        <v>0</v>
      </c>
      <c r="DI37" s="504">
        <f>_xlfn.IFERROR(DI36/DI35,0)</f>
        <v>0</v>
      </c>
      <c r="DJ37" s="504">
        <f>_xlfn.IFERROR(DJ36/DJ35,0)</f>
        <v>0</v>
      </c>
      <c r="DK37" s="504">
        <f>_xlfn.IFERROR(DK36/DK35,0)</f>
        <v>0</v>
      </c>
      <c r="DL37" s="504">
        <f>_xlfn.IFERROR(DL36/DL35,0)</f>
        <v>0</v>
      </c>
      <c r="DM37" s="504">
        <f>_xlfn.IFERROR(DM36/DM35,0)</f>
        <v>0</v>
      </c>
      <c r="DN37" s="504">
        <f>_xlfn.IFERROR(DN36/DN35,0)</f>
        <v>0</v>
      </c>
      <c r="DO37" s="504">
        <f>_xlfn.IFERROR(DO36/DO35,0)</f>
        <v>0</v>
      </c>
      <c r="DP37" s="504">
        <f>_xlfn.IFERROR(DP36/DP35,0)</f>
        <v>0</v>
      </c>
      <c r="DQ37" s="504">
        <f>_xlfn.IFERROR(DQ36/DQ35,0)</f>
        <v>0</v>
      </c>
      <c r="DR37" s="504">
        <f>_xlfn.IFERROR(DR36/DR35,0)</f>
        <v>0</v>
      </c>
      <c r="DS37" s="504">
        <f>_xlfn.IFERROR(DS36/DS35,0)</f>
        <v>0</v>
      </c>
      <c r="DT37" s="504">
        <f>_xlfn.IFERROR(DT36/DT35,0)</f>
        <v>0</v>
      </c>
      <c r="DU37" s="504">
        <f>_xlfn.IFERROR(DU36/DU35,0)</f>
        <v>0</v>
      </c>
      <c r="DV37" s="504">
        <f>_xlfn.IFERROR(DV36/DV35,0)</f>
        <v>0</v>
      </c>
      <c r="DW37" s="504">
        <f>_xlfn.IFERROR(DW36/DW35,0)</f>
        <v>0</v>
      </c>
      <c r="DX37" s="504">
        <f>_xlfn.IFERROR(DX36/DX35,0)</f>
        <v>0</v>
      </c>
      <c r="DY37" s="504">
        <f>_xlfn.IFERROR(DY36/DY35,0)</f>
        <v>0</v>
      </c>
      <c r="DZ37" s="504">
        <f>_xlfn.IFERROR(DZ36/DZ35,0)</f>
        <v>0</v>
      </c>
      <c r="EA37" s="504">
        <f>_xlfn.IFERROR(EA36/EA35,0)</f>
        <v>0</v>
      </c>
      <c r="EB37" s="504">
        <f>_xlfn.IFERROR(EB36/EB35,0)</f>
        <v>0</v>
      </c>
      <c r="EC37" s="504">
        <f>_xlfn.IFERROR(EC36/EC35,0)</f>
        <v>0</v>
      </c>
      <c r="ED37" s="504">
        <f>_xlfn.IFERROR(ED36/ED35,0)</f>
        <v>0</v>
      </c>
      <c r="EE37" s="504">
        <f>_xlfn.IFERROR(EE36/EE35,0)</f>
        <v>0</v>
      </c>
      <c r="EF37" s="504">
        <f>_xlfn.IFERROR(EF36/EF35,0)</f>
        <v>0</v>
      </c>
      <c r="EG37" s="504">
        <f>_xlfn.IFERROR(EG36/EG35,0)</f>
        <v>0</v>
      </c>
      <c r="EH37" s="504">
        <f>_xlfn.IFERROR(EH36/EH35,0)</f>
        <v>0</v>
      </c>
      <c r="EI37" s="504">
        <f>_xlfn.IFERROR(EI36/EI35,0)</f>
        <v>0</v>
      </c>
      <c r="EJ37" s="504">
        <f>_xlfn.IFERROR(EJ36/EJ35,0)</f>
        <v>0</v>
      </c>
      <c r="EK37" s="504">
        <f>_xlfn.IFERROR(EK36/EK35,0)</f>
        <v>0</v>
      </c>
      <c r="EL37" s="504">
        <f>_xlfn.IFERROR(EL36/EL35,0)</f>
        <v>0</v>
      </c>
      <c r="EM37" s="504">
        <f>_xlfn.IFERROR(EM36/EM35,0)</f>
        <v>0</v>
      </c>
      <c r="EN37" s="504">
        <f>_xlfn.IFERROR(EN36/EN35,0)</f>
        <v>0</v>
      </c>
      <c r="EO37" s="504">
        <f>_xlfn.IFERROR(EO36/EO35,0)</f>
        <v>0</v>
      </c>
      <c r="EP37" s="504">
        <f>_xlfn.IFERROR(EP36/EP35,0)</f>
        <v>0</v>
      </c>
      <c r="EQ37" s="504">
        <f>_xlfn.IFERROR(EQ36/EQ35,0)</f>
        <v>0</v>
      </c>
      <c r="ER37" s="504">
        <f>_xlfn.IFERROR(ER36/ER35,0)</f>
        <v>0</v>
      </c>
      <c r="ES37" s="504">
        <f>_xlfn.IFERROR(ES36/ES35,0)</f>
        <v>0</v>
      </c>
      <c r="ET37" s="504">
        <f>_xlfn.IFERROR(ET36/ET35,0)</f>
        <v>0</v>
      </c>
      <c r="EU37" s="504">
        <f>_xlfn.IFERROR(EU36/EU35,0)</f>
        <v>0</v>
      </c>
      <c r="EV37" s="504">
        <f>_xlfn.IFERROR(EV36/EV35,0)</f>
        <v>0</v>
      </c>
      <c r="EW37" s="504">
        <f>_xlfn.IFERROR(EW36/EW35,0)</f>
        <v>0</v>
      </c>
      <c r="EX37" s="504">
        <f>_xlfn.IFERROR(EX36/EX35,0)</f>
        <v>0</v>
      </c>
      <c r="EY37" s="504">
        <f>_xlfn.IFERROR(EY36/EY35,0)</f>
        <v>0</v>
      </c>
      <c r="EZ37" s="504">
        <f>_xlfn.IFERROR(EZ36/EZ35,0)</f>
        <v>0</v>
      </c>
      <c r="FA37" s="504">
        <f>_xlfn.IFERROR(FA36/FA35,0)</f>
        <v>0</v>
      </c>
      <c r="FB37" s="83"/>
      <c r="FE37" s="489" t="s">
        <v>838</v>
      </c>
      <c r="FK37" s="1157" cm="1" t="str">
        <f t="array" ref="FK37:FK37">OFFSET(FJ37,-1,1)</f>
        <v>0</v>
      </c>
      <c r="FL37" s="1078" t="s">
        <v>518</v>
      </c>
      <c r="FM37" s="1159"/>
      <c r="FN37" s="1078" t="s">
        <v>834</v>
      </c>
      <c r="FO37" s="1159"/>
      <c r="FP37" s="1159"/>
      <c r="FQ37" s="1159"/>
      <c r="FR37" s="1159"/>
      <c r="FS37" s="1159"/>
      <c r="FT37" s="1159"/>
      <c r="FU37" s="1159"/>
      <c r="FV37" s="1078" t="s">
        <v>255</v>
      </c>
      <c r="FW37" s="1159"/>
      <c r="FX37" s="1078" t="s">
        <v>303</v>
      </c>
      <c r="FY37" s="1078" t="s">
        <v>820</v>
      </c>
      <c r="FZ37" s="1078" t="s">
        <v>821</v>
      </c>
    </row>
    <row customHeight="1" ht="16.575" hidden="1">
      <c r="E38" s="180">
        <v>17</v>
      </c>
      <c r="F38" s="175" cm="1" t="str">
        <f t="array" ref="F38:F38">OFFSET(G38,-1,-1)</f>
        <v>0</v>
      </c>
      <c r="L38" s="175" cm="1" t="str">
        <f t="array" ref="L38:L38">OFFSET(M38,-1,-1)</f>
        <v>false</v>
      </c>
      <c r="R38" s="175" t="s">
        <v>804</v>
      </c>
      <c r="S38" s="175" cm="1" t="str">
        <f t="array" ref="S38:S38">OFFSET(T38,-1,-1)</f>
        <v>false</v>
      </c>
      <c r="T38" s="175" cm="1" t="str">
        <f t="array" ref="T38:T38">T37</f>
        <v>false</v>
      </c>
      <c r="U38" s="753">
        <f>AND(S38,IF(ISBLANK(T38),TRUE,T38))</f>
        <v>0</v>
      </c>
      <c r="AB38" s="1646"/>
      <c r="AD38" s="491">
        <v>5</v>
      </c>
      <c r="AE38" s="1638" t="s">
        <v>839</v>
      </c>
      <c r="AF38" s="1639"/>
      <c r="AG38" s="491" t="s">
        <v>807</v>
      </c>
      <c r="AH38" s="88"/>
      <c r="AI38" s="89"/>
      <c r="AJ38" s="89"/>
      <c r="AK38" s="89"/>
      <c r="AL38" s="499">
        <f>AM38+AN38</f>
        <v>0</v>
      </c>
      <c r="AM38" s="89"/>
      <c r="AN38" s="89"/>
      <c r="AO38" s="499">
        <f>AP38+AQ38</f>
        <v>0</v>
      </c>
      <c r="AP38" s="89"/>
      <c r="AQ38" s="89"/>
      <c r="AR38" s="499">
        <f>AS38+AT38</f>
        <v>0</v>
      </c>
      <c r="AS38" s="89"/>
      <c r="AT38" s="89"/>
      <c r="AU38" s="499">
        <f>AV38+AW38</f>
        <v>0</v>
      </c>
      <c r="AV38" s="89"/>
      <c r="AW38" s="89"/>
      <c r="AX38" s="499">
        <f>AY38+AZ38</f>
        <v>0</v>
      </c>
      <c r="AY38" s="89"/>
      <c r="AZ38" s="89"/>
      <c r="BA38" s="499">
        <f>BB38+BC38</f>
        <v>0</v>
      </c>
      <c r="BB38" s="89"/>
      <c r="BC38" s="89"/>
      <c r="BD38" s="499">
        <f>BE38+BF38</f>
        <v>0</v>
      </c>
      <c r="BE38" s="89"/>
      <c r="BF38" s="89"/>
      <c r="BG38" s="499">
        <f>BH38+BI38</f>
        <v>0</v>
      </c>
      <c r="BH38" s="89"/>
      <c r="BI38" s="89"/>
      <c r="BJ38" s="499">
        <f>BK38+BL38</f>
        <v>0</v>
      </c>
      <c r="BK38" s="89"/>
      <c r="BL38" s="89"/>
      <c r="BM38" s="499">
        <f>BN38+BO38</f>
        <v>0</v>
      </c>
      <c r="BN38" s="89"/>
      <c r="BO38" s="89"/>
      <c r="BP38" s="499">
        <f>BQ38+BR38</f>
        <v>0</v>
      </c>
      <c r="BQ38" s="89"/>
      <c r="BR38" s="89"/>
      <c r="BS38" s="499">
        <f>BT38+BU38</f>
        <v>0</v>
      </c>
      <c r="BT38" s="89"/>
      <c r="BU38" s="89"/>
      <c r="BV38" s="499">
        <f>BW38+BX38</f>
        <v>0</v>
      </c>
      <c r="BW38" s="89"/>
      <c r="BX38" s="89"/>
      <c r="BY38" s="499">
        <f>BZ38+CA38</f>
        <v>0</v>
      </c>
      <c r="BZ38" s="89"/>
      <c r="CA38" s="89"/>
      <c r="CB38" s="499">
        <f>CC38+CD38</f>
        <v>0</v>
      </c>
      <c r="CC38" s="89"/>
      <c r="CD38" s="89"/>
      <c r="CE38" s="499">
        <f>CF38+CG38</f>
        <v>0</v>
      </c>
      <c r="CF38" s="89"/>
      <c r="CG38" s="89"/>
      <c r="CH38" s="499">
        <f>CI38+CJ38</f>
        <v>0</v>
      </c>
      <c r="CI38" s="89"/>
      <c r="CJ38" s="89"/>
      <c r="CK38" s="499">
        <f>CL38+CM38</f>
        <v>0</v>
      </c>
      <c r="CL38" s="89"/>
      <c r="CM38" s="89"/>
      <c r="CN38" s="499">
        <f>CO38+CP38</f>
        <v>0</v>
      </c>
      <c r="CO38" s="89"/>
      <c r="CP38" s="89"/>
      <c r="CQ38" s="499">
        <f>CR38+CS38</f>
        <v>0</v>
      </c>
      <c r="CR38" s="89"/>
      <c r="CS38" s="89"/>
      <c r="CT38" s="499">
        <f>CU38+CV38</f>
        <v>0</v>
      </c>
      <c r="CU38" s="498"/>
      <c r="CV38" s="498"/>
      <c r="CW38" s="499">
        <f>CX38+CY38</f>
        <v>0</v>
      </c>
      <c r="CX38" s="89"/>
      <c r="CY38" s="89"/>
      <c r="CZ38" s="499">
        <f>DA38+DB38</f>
        <v>0</v>
      </c>
      <c r="DA38" s="89"/>
      <c r="DB38" s="89"/>
      <c r="DC38" s="499">
        <f>DD38+DE38</f>
        <v>0</v>
      </c>
      <c r="DD38" s="89"/>
      <c r="DE38" s="89"/>
      <c r="DF38" s="499">
        <f>DG38+DH38</f>
        <v>0</v>
      </c>
      <c r="DG38" s="89"/>
      <c r="DH38" s="89"/>
      <c r="DI38" s="499">
        <f>DJ38+DK38</f>
        <v>0</v>
      </c>
      <c r="DJ38" s="89"/>
      <c r="DK38" s="89"/>
      <c r="DL38" s="499">
        <f>DM38+DN38</f>
        <v>0</v>
      </c>
      <c r="DM38" s="89"/>
      <c r="DN38" s="89"/>
      <c r="DO38" s="499">
        <f>DP38+DQ38</f>
        <v>0</v>
      </c>
      <c r="DP38" s="89"/>
      <c r="DQ38" s="89"/>
      <c r="DR38" s="499">
        <f>DS38+DT38</f>
        <v>0</v>
      </c>
      <c r="DS38" s="89"/>
      <c r="DT38" s="89"/>
      <c r="DU38" s="499">
        <f>DV38+DW38</f>
        <v>0</v>
      </c>
      <c r="DV38" s="89"/>
      <c r="DW38" s="89"/>
      <c r="DX38" s="499">
        <f>DY38+DZ38</f>
        <v>0</v>
      </c>
      <c r="DY38" s="89"/>
      <c r="DZ38" s="89"/>
      <c r="EA38" s="499">
        <f>EB38+EC38</f>
        <v>0</v>
      </c>
      <c r="EB38" s="89"/>
      <c r="EC38" s="89"/>
      <c r="ED38" s="499">
        <f>EE38+EF38</f>
        <v>0</v>
      </c>
      <c r="EE38" s="89"/>
      <c r="EF38" s="89"/>
      <c r="EG38" s="499">
        <f>EH38+EI38</f>
        <v>0</v>
      </c>
      <c r="EH38" s="89"/>
      <c r="EI38" s="89"/>
      <c r="EJ38" s="499">
        <f>EK38+EL38</f>
        <v>0</v>
      </c>
      <c r="EK38" s="89"/>
      <c r="EL38" s="89"/>
      <c r="EM38" s="499">
        <f>EN38+EO38</f>
        <v>0</v>
      </c>
      <c r="EN38" s="89"/>
      <c r="EO38" s="89"/>
      <c r="EP38" s="499">
        <f>EQ38+ER38</f>
        <v>0</v>
      </c>
      <c r="EQ38" s="89"/>
      <c r="ER38" s="89"/>
      <c r="ES38" s="499">
        <f>ET38+EU38</f>
        <v>0</v>
      </c>
      <c r="ET38" s="89"/>
      <c r="EU38" s="89"/>
      <c r="EV38" s="499">
        <f>EW38+EX38</f>
        <v>0</v>
      </c>
      <c r="EW38" s="89"/>
      <c r="EX38" s="89"/>
      <c r="EY38" s="499">
        <f>EZ38+FA38</f>
        <v>0</v>
      </c>
      <c r="EZ38" s="89"/>
      <c r="FA38" s="89"/>
      <c r="FB38" s="83"/>
      <c r="FE38" s="489" t="s">
        <v>840</v>
      </c>
      <c r="FK38" s="1157" cm="1" t="str">
        <f t="array" ref="FK38:FK38">OFFSET(FJ38,-1,1)</f>
        <v>0</v>
      </c>
      <c r="FL38" s="1078" t="s">
        <v>518</v>
      </c>
      <c r="FM38" s="1159"/>
      <c r="FN38" s="1078" t="s">
        <v>841</v>
      </c>
      <c r="FO38" s="1159"/>
      <c r="FP38" s="1159"/>
      <c r="FQ38" s="1159"/>
      <c r="FR38" s="1159"/>
      <c r="FS38" s="1159"/>
      <c r="FT38" s="1159"/>
      <c r="FU38" s="1159"/>
      <c r="FV38" s="1078" t="s">
        <v>219</v>
      </c>
      <c r="FW38" s="1159"/>
      <c r="FX38" s="1078" t="s">
        <v>303</v>
      </c>
      <c r="FY38" s="1078" t="s">
        <v>835</v>
      </c>
      <c r="FZ38" s="1078" t="s">
        <v>836</v>
      </c>
    </row>
    <row customHeight="1" ht="16.575" hidden="1">
      <c r="E39" s="180">
        <v>17</v>
      </c>
      <c r="F39" s="175" cm="1" t="str">
        <f t="array" ref="F39:F39">OFFSET(G39,-1,-1)</f>
        <v>0</v>
      </c>
      <c r="L39" s="175" cm="1" t="str">
        <f t="array" ref="L39:L39">OFFSET(M39,-1,-1)</f>
        <v>false</v>
      </c>
      <c r="R39" s="175" t="s">
        <v>804</v>
      </c>
      <c r="S39" s="175" cm="1" t="str">
        <f t="array" ref="S39:S39">OFFSET(T39,-1,-1)</f>
        <v>false</v>
      </c>
      <c r="T39" s="175" cm="1" t="str">
        <f t="array" ref="T39:T39">T38</f>
        <v>false</v>
      </c>
      <c r="U39" s="753">
        <f>AND(S39,IF(ISBLANK(T39),TRUE,T39))</f>
        <v>0</v>
      </c>
      <c r="AB39" s="1646"/>
      <c r="AD39" s="491">
        <v>5.1</v>
      </c>
      <c r="AE39" s="1631" t="s">
        <v>837</v>
      </c>
      <c r="AF39" s="501"/>
      <c r="AG39" s="491" t="s">
        <v>495</v>
      </c>
      <c r="AH39" s="503">
        <f>_xlfn.IFERROR(AH38/AH35,0)</f>
        <v>0</v>
      </c>
      <c r="AI39" s="504">
        <f>_xlfn.IFERROR(AI38/AI35,0)</f>
        <v>0</v>
      </c>
      <c r="AJ39" s="504">
        <f>_xlfn.IFERROR(AJ38/AJ35,0)</f>
        <v>0</v>
      </c>
      <c r="AK39" s="504">
        <f>_xlfn.IFERROR(AK38/AK35,0)</f>
        <v>0</v>
      </c>
      <c r="AL39" s="504">
        <f>_xlfn.IFERROR(AL38/AL35,0)</f>
        <v>0</v>
      </c>
      <c r="AM39" s="504">
        <f>_xlfn.IFERROR(AM38/AM35,0)</f>
        <v>0</v>
      </c>
      <c r="AN39" s="504">
        <f>_xlfn.IFERROR(AN38/AN35,0)</f>
        <v>0</v>
      </c>
      <c r="AO39" s="504">
        <f>_xlfn.IFERROR(AO38/AO35,0)</f>
        <v>0</v>
      </c>
      <c r="AP39" s="504">
        <f>_xlfn.IFERROR(AP38/AP35,0)</f>
        <v>0</v>
      </c>
      <c r="AQ39" s="504">
        <f>_xlfn.IFERROR(AQ38/AQ35,0)</f>
        <v>0</v>
      </c>
      <c r="AR39" s="504">
        <f>_xlfn.IFERROR(AR38/AR35,0)</f>
        <v>0</v>
      </c>
      <c r="AS39" s="504">
        <f>_xlfn.IFERROR(AS38/AS35,0)</f>
        <v>0</v>
      </c>
      <c r="AT39" s="504">
        <f>_xlfn.IFERROR(AT38/AT35,0)</f>
        <v>0</v>
      </c>
      <c r="AU39" s="504">
        <f>_xlfn.IFERROR(AU38/AU35,0)</f>
        <v>0</v>
      </c>
      <c r="AV39" s="504">
        <f>_xlfn.IFERROR(AV38/AV35,0)</f>
        <v>0</v>
      </c>
      <c r="AW39" s="504">
        <f>_xlfn.IFERROR(AW38/AW35,0)</f>
        <v>0</v>
      </c>
      <c r="AX39" s="504">
        <f>_xlfn.IFERROR(AX38/AX35,0)</f>
        <v>0</v>
      </c>
      <c r="AY39" s="504">
        <f>_xlfn.IFERROR(AY38/AY35,0)</f>
        <v>0</v>
      </c>
      <c r="AZ39" s="504">
        <f>_xlfn.IFERROR(AZ38/AZ35,0)</f>
        <v>0</v>
      </c>
      <c r="BA39" s="504">
        <f>_xlfn.IFERROR(BA38/BA35,0)</f>
        <v>0</v>
      </c>
      <c r="BB39" s="504">
        <f>_xlfn.IFERROR(BB38/BB35,0)</f>
        <v>0</v>
      </c>
      <c r="BC39" s="504">
        <f>_xlfn.IFERROR(BC38/BC35,0)</f>
        <v>0</v>
      </c>
      <c r="BD39" s="504">
        <f>_xlfn.IFERROR(BD38/BD35,0)</f>
        <v>0</v>
      </c>
      <c r="BE39" s="504">
        <f>_xlfn.IFERROR(BE38/BE35,0)</f>
        <v>0</v>
      </c>
      <c r="BF39" s="504">
        <f>_xlfn.IFERROR(BF38/BF35,0)</f>
        <v>0</v>
      </c>
      <c r="BG39" s="504">
        <f>_xlfn.IFERROR(BG38/BG35,0)</f>
        <v>0</v>
      </c>
      <c r="BH39" s="504">
        <f>_xlfn.IFERROR(BH38/BH35,0)</f>
        <v>0</v>
      </c>
      <c r="BI39" s="504">
        <f>_xlfn.IFERROR(BI38/BI35,0)</f>
        <v>0</v>
      </c>
      <c r="BJ39" s="504">
        <f>_xlfn.IFERROR(BJ38/BJ35,0)</f>
        <v>0</v>
      </c>
      <c r="BK39" s="504">
        <f>_xlfn.IFERROR(BK38/BK35,0)</f>
        <v>0</v>
      </c>
      <c r="BL39" s="504">
        <f>_xlfn.IFERROR(BL38/BL35,0)</f>
        <v>0</v>
      </c>
      <c r="BM39" s="504">
        <f>_xlfn.IFERROR(BM38/BM35,0)</f>
        <v>0</v>
      </c>
      <c r="BN39" s="504">
        <f>_xlfn.IFERROR(BN38/BN35,0)</f>
        <v>0</v>
      </c>
      <c r="BO39" s="504">
        <f>_xlfn.IFERROR(BO38/BO35,0)</f>
        <v>0</v>
      </c>
      <c r="BP39" s="504">
        <f>_xlfn.IFERROR(BP38/BP35,0)</f>
        <v>0</v>
      </c>
      <c r="BQ39" s="504">
        <f>_xlfn.IFERROR(BQ38/BQ35,0)</f>
        <v>0</v>
      </c>
      <c r="BR39" s="504">
        <f>_xlfn.IFERROR(BR38/BR35,0)</f>
        <v>0</v>
      </c>
      <c r="BS39" s="504">
        <f>_xlfn.IFERROR(BS38/BS35,0)</f>
        <v>0</v>
      </c>
      <c r="BT39" s="504">
        <f>_xlfn.IFERROR(BT38/BT35,0)</f>
        <v>0</v>
      </c>
      <c r="BU39" s="504">
        <f>_xlfn.IFERROR(BU38/BU35,0)</f>
        <v>0</v>
      </c>
      <c r="BV39" s="504">
        <f>_xlfn.IFERROR(BV38/BV35,0)</f>
        <v>0</v>
      </c>
      <c r="BW39" s="504">
        <f>_xlfn.IFERROR(BW38/BW35,0)</f>
        <v>0</v>
      </c>
      <c r="BX39" s="504">
        <f>_xlfn.IFERROR(BX38/BX35,0)</f>
        <v>0</v>
      </c>
      <c r="BY39" s="504">
        <f>_xlfn.IFERROR(BY38/BY35,0)</f>
        <v>0</v>
      </c>
      <c r="BZ39" s="504">
        <f>_xlfn.IFERROR(BZ38/BZ35,0)</f>
        <v>0</v>
      </c>
      <c r="CA39" s="504">
        <f>_xlfn.IFERROR(CA38/CA35,0)</f>
        <v>0</v>
      </c>
      <c r="CB39" s="504">
        <f>_xlfn.IFERROR(CB38/CB35,0)</f>
        <v>0</v>
      </c>
      <c r="CC39" s="504">
        <f>_xlfn.IFERROR(CC38/CC35,0)</f>
        <v>0</v>
      </c>
      <c r="CD39" s="504">
        <f>_xlfn.IFERROR(CD38/CD35,0)</f>
        <v>0</v>
      </c>
      <c r="CE39" s="504">
        <f>_xlfn.IFERROR(CE38/CE35,0)</f>
        <v>0</v>
      </c>
      <c r="CF39" s="504">
        <f>_xlfn.IFERROR(CF38/CF35,0)</f>
        <v>0</v>
      </c>
      <c r="CG39" s="504">
        <f>_xlfn.IFERROR(CG38/CG35,0)</f>
        <v>0</v>
      </c>
      <c r="CH39" s="504">
        <f>_xlfn.IFERROR(CH38/CH35,0)</f>
        <v>0</v>
      </c>
      <c r="CI39" s="504">
        <f>_xlfn.IFERROR(CI38/CI35,0)</f>
        <v>0</v>
      </c>
      <c r="CJ39" s="504">
        <f>_xlfn.IFERROR(CJ38/CJ35,0)</f>
        <v>0</v>
      </c>
      <c r="CK39" s="504">
        <f>_xlfn.IFERROR(CK38/CK35,0)</f>
        <v>0</v>
      </c>
      <c r="CL39" s="504">
        <f>_xlfn.IFERROR(CL38/CL35,0)</f>
        <v>0</v>
      </c>
      <c r="CM39" s="504">
        <f>_xlfn.IFERROR(CM38/CM35,0)</f>
        <v>0</v>
      </c>
      <c r="CN39" s="504">
        <f>_xlfn.IFERROR(CN38/CN35,0)</f>
        <v>0</v>
      </c>
      <c r="CO39" s="504">
        <f>_xlfn.IFERROR(CO38/CO35,0)</f>
        <v>0</v>
      </c>
      <c r="CP39" s="504">
        <f>_xlfn.IFERROR(CP38/CP35,0)</f>
        <v>0</v>
      </c>
      <c r="CQ39" s="504">
        <f>_xlfn.IFERROR(CQ38/CQ35,0)</f>
        <v>0</v>
      </c>
      <c r="CR39" s="504">
        <f>_xlfn.IFERROR(CR38/CR35,0)</f>
        <v>0</v>
      </c>
      <c r="CS39" s="504">
        <f>_xlfn.IFERROR(CS38/CS35,0)</f>
        <v>0</v>
      </c>
      <c r="CT39" s="504">
        <f>_xlfn.IFERROR(CT38/CT35,0)</f>
        <v>0</v>
      </c>
      <c r="CU39" s="504">
        <f>_xlfn.IFERROR(CU38/CU35,0)</f>
        <v>0</v>
      </c>
      <c r="CV39" s="504">
        <f>_xlfn.IFERROR(CV38/CV35,0)</f>
        <v>0</v>
      </c>
      <c r="CW39" s="504">
        <f>_xlfn.IFERROR(CW38/CW35,0)</f>
        <v>0</v>
      </c>
      <c r="CX39" s="504">
        <f>_xlfn.IFERROR(CX38/CX35,0)</f>
        <v>0</v>
      </c>
      <c r="CY39" s="504">
        <f>_xlfn.IFERROR(CY38/CY35,0)</f>
        <v>0</v>
      </c>
      <c r="CZ39" s="504">
        <f>_xlfn.IFERROR(CZ38/CZ35,0)</f>
        <v>0</v>
      </c>
      <c r="DA39" s="504">
        <f>_xlfn.IFERROR(DA38/DA35,0)</f>
        <v>0</v>
      </c>
      <c r="DB39" s="504">
        <f>_xlfn.IFERROR(DB38/DB35,0)</f>
        <v>0</v>
      </c>
      <c r="DC39" s="504">
        <f>_xlfn.IFERROR(DC38/DC35,0)</f>
        <v>0</v>
      </c>
      <c r="DD39" s="504">
        <f>_xlfn.IFERROR(DD38/DD35,0)</f>
        <v>0</v>
      </c>
      <c r="DE39" s="504">
        <f>_xlfn.IFERROR(DE38/DE35,0)</f>
        <v>0</v>
      </c>
      <c r="DF39" s="504">
        <f>_xlfn.IFERROR(DF38/DF35,0)</f>
        <v>0</v>
      </c>
      <c r="DG39" s="504">
        <f>_xlfn.IFERROR(DG38/DG35,0)</f>
        <v>0</v>
      </c>
      <c r="DH39" s="504">
        <f>_xlfn.IFERROR(DH38/DH35,0)</f>
        <v>0</v>
      </c>
      <c r="DI39" s="504">
        <f>_xlfn.IFERROR(DI38/DI35,0)</f>
        <v>0</v>
      </c>
      <c r="DJ39" s="504">
        <f>_xlfn.IFERROR(DJ38/DJ35,0)</f>
        <v>0</v>
      </c>
      <c r="DK39" s="504">
        <f>_xlfn.IFERROR(DK38/DK35,0)</f>
        <v>0</v>
      </c>
      <c r="DL39" s="504">
        <f>_xlfn.IFERROR(DL38/DL35,0)</f>
        <v>0</v>
      </c>
      <c r="DM39" s="504">
        <f>_xlfn.IFERROR(DM38/DM35,0)</f>
        <v>0</v>
      </c>
      <c r="DN39" s="504">
        <f>_xlfn.IFERROR(DN38/DN35,0)</f>
        <v>0</v>
      </c>
      <c r="DO39" s="504">
        <f>_xlfn.IFERROR(DO38/DO35,0)</f>
        <v>0</v>
      </c>
      <c r="DP39" s="504">
        <f>_xlfn.IFERROR(DP38/DP35,0)</f>
        <v>0</v>
      </c>
      <c r="DQ39" s="504">
        <f>_xlfn.IFERROR(DQ38/DQ35,0)</f>
        <v>0</v>
      </c>
      <c r="DR39" s="504">
        <f>_xlfn.IFERROR(DR38/DR35,0)</f>
        <v>0</v>
      </c>
      <c r="DS39" s="504">
        <f>_xlfn.IFERROR(DS38/DS35,0)</f>
        <v>0</v>
      </c>
      <c r="DT39" s="504">
        <f>_xlfn.IFERROR(DT38/DT35,0)</f>
        <v>0</v>
      </c>
      <c r="DU39" s="504">
        <f>_xlfn.IFERROR(DU38/DU35,0)</f>
        <v>0</v>
      </c>
      <c r="DV39" s="504">
        <f>_xlfn.IFERROR(DV38/DV35,0)</f>
        <v>0</v>
      </c>
      <c r="DW39" s="504">
        <f>_xlfn.IFERROR(DW38/DW35,0)</f>
        <v>0</v>
      </c>
      <c r="DX39" s="504">
        <f>_xlfn.IFERROR(DX38/DX35,0)</f>
        <v>0</v>
      </c>
      <c r="DY39" s="504">
        <f>_xlfn.IFERROR(DY38/DY35,0)</f>
        <v>0</v>
      </c>
      <c r="DZ39" s="504">
        <f>_xlfn.IFERROR(DZ38/DZ35,0)</f>
        <v>0</v>
      </c>
      <c r="EA39" s="504">
        <f>_xlfn.IFERROR(EA38/EA35,0)</f>
        <v>0</v>
      </c>
      <c r="EB39" s="504">
        <f>_xlfn.IFERROR(EB38/EB35,0)</f>
        <v>0</v>
      </c>
      <c r="EC39" s="504">
        <f>_xlfn.IFERROR(EC38/EC35,0)</f>
        <v>0</v>
      </c>
      <c r="ED39" s="504">
        <f>_xlfn.IFERROR(ED38/ED35,0)</f>
        <v>0</v>
      </c>
      <c r="EE39" s="504">
        <f>_xlfn.IFERROR(EE38/EE35,0)</f>
        <v>0</v>
      </c>
      <c r="EF39" s="504">
        <f>_xlfn.IFERROR(EF38/EF35,0)</f>
        <v>0</v>
      </c>
      <c r="EG39" s="504">
        <f>_xlfn.IFERROR(EG38/EG35,0)</f>
        <v>0</v>
      </c>
      <c r="EH39" s="504">
        <f>_xlfn.IFERROR(EH38/EH35,0)</f>
        <v>0</v>
      </c>
      <c r="EI39" s="504">
        <f>_xlfn.IFERROR(EI38/EI35,0)</f>
        <v>0</v>
      </c>
      <c r="EJ39" s="504">
        <f>_xlfn.IFERROR(EJ38/EJ35,0)</f>
        <v>0</v>
      </c>
      <c r="EK39" s="504">
        <f>_xlfn.IFERROR(EK38/EK35,0)</f>
        <v>0</v>
      </c>
      <c r="EL39" s="504">
        <f>_xlfn.IFERROR(EL38/EL35,0)</f>
        <v>0</v>
      </c>
      <c r="EM39" s="504">
        <f>_xlfn.IFERROR(EM38/EM35,0)</f>
        <v>0</v>
      </c>
      <c r="EN39" s="504">
        <f>_xlfn.IFERROR(EN38/EN35,0)</f>
        <v>0</v>
      </c>
      <c r="EO39" s="504">
        <f>_xlfn.IFERROR(EO38/EO35,0)</f>
        <v>0</v>
      </c>
      <c r="EP39" s="504">
        <f>_xlfn.IFERROR(EP38/EP35,0)</f>
        <v>0</v>
      </c>
      <c r="EQ39" s="504">
        <f>_xlfn.IFERROR(EQ38/EQ35,0)</f>
        <v>0</v>
      </c>
      <c r="ER39" s="504">
        <f>_xlfn.IFERROR(ER38/ER35,0)</f>
        <v>0</v>
      </c>
      <c r="ES39" s="504">
        <f>_xlfn.IFERROR(ES38/ES35,0)</f>
        <v>0</v>
      </c>
      <c r="ET39" s="504">
        <f>_xlfn.IFERROR(ET38/ET35,0)</f>
        <v>0</v>
      </c>
      <c r="EU39" s="504">
        <f>_xlfn.IFERROR(EU38/EU35,0)</f>
        <v>0</v>
      </c>
      <c r="EV39" s="504">
        <f>_xlfn.IFERROR(EV38/EV35,0)</f>
        <v>0</v>
      </c>
      <c r="EW39" s="504">
        <f>_xlfn.IFERROR(EW38/EW35,0)</f>
        <v>0</v>
      </c>
      <c r="EX39" s="504">
        <f>_xlfn.IFERROR(EX38/EX35,0)</f>
        <v>0</v>
      </c>
      <c r="EY39" s="504">
        <f>_xlfn.IFERROR(EY38/EY35,0)</f>
        <v>0</v>
      </c>
      <c r="EZ39" s="504">
        <f>_xlfn.IFERROR(EZ38/EZ35,0)</f>
        <v>0</v>
      </c>
      <c r="FA39" s="504">
        <f>_xlfn.IFERROR(FA38/FA35,0)</f>
        <v>0</v>
      </c>
      <c r="FB39" s="83"/>
      <c r="FE39" s="489" t="s">
        <v>842</v>
      </c>
      <c r="FK39" s="1157" cm="1" t="str">
        <f t="array" ref="FK39:FK39">OFFSET(FJ39,-1,1)</f>
        <v>0</v>
      </c>
      <c r="FL39" s="1078" t="s">
        <v>518</v>
      </c>
      <c r="FM39" s="1159"/>
      <c r="FN39" s="1078" t="s">
        <v>841</v>
      </c>
      <c r="FO39" s="1159"/>
      <c r="FP39" s="1159"/>
      <c r="FQ39" s="1159"/>
      <c r="FR39" s="1159"/>
      <c r="FS39" s="1159"/>
      <c r="FT39" s="1159"/>
      <c r="FU39" s="1159"/>
      <c r="FV39" s="1078" t="s">
        <v>255</v>
      </c>
      <c r="FW39" s="1159"/>
      <c r="FX39" s="1078" t="s">
        <v>303</v>
      </c>
      <c r="FY39" s="1078" t="s">
        <v>820</v>
      </c>
      <c r="FZ39" s="1078" t="s">
        <v>821</v>
      </c>
    </row>
    <row customHeight="1" ht="16.575" hidden="1">
      <c r="E40" s="180">
        <v>17</v>
      </c>
      <c r="F40" s="175" cm="1" t="str">
        <f t="array" ref="F40:F40">OFFSET(G40,-1,-1)</f>
        <v>0</v>
      </c>
      <c r="L40" s="175" cm="1" t="str">
        <f t="array" ref="L40:L40">OFFSET(M40,-1,-1)</f>
        <v>false</v>
      </c>
      <c r="R40" s="175" t="s">
        <v>804</v>
      </c>
      <c r="S40" s="175" cm="1" t="str">
        <f t="array" ref="S40:S40">OFFSET(T40,-1,-1)</f>
        <v>false</v>
      </c>
      <c r="T40" s="175" cm="1" t="str">
        <f t="array" ref="T40:T40">T39</f>
        <v>false</v>
      </c>
      <c r="U40" s="753">
        <f>AND(S40,IF(ISBLANK(T40),TRUE,T40))</f>
        <v>0</v>
      </c>
      <c r="AB40" s="1646"/>
      <c r="AD40" s="491">
        <v>6</v>
      </c>
      <c r="AE40" s="1638" t="s">
        <v>843</v>
      </c>
      <c r="AF40" s="1639"/>
      <c r="AG40" s="491" t="s">
        <v>807</v>
      </c>
      <c r="AH40" s="500">
        <f>AH35-AH36-AH38</f>
        <v>0</v>
      </c>
      <c r="AI40" s="499">
        <f>AI35-AI36-AI38</f>
        <v>0</v>
      </c>
      <c r="AJ40" s="499">
        <f>AJ35-AJ36-AJ38</f>
        <v>0</v>
      </c>
      <c r="AK40" s="499">
        <f>AK35-AK36-AK38</f>
        <v>0</v>
      </c>
      <c r="AL40" s="499">
        <f>AL35-AL36-AL38</f>
        <v>0</v>
      </c>
      <c r="AM40" s="499">
        <f>AM35-AM36-AM38</f>
        <v>0</v>
      </c>
      <c r="AN40" s="499">
        <f>AN35-AN36-AN38</f>
        <v>0</v>
      </c>
      <c r="AO40" s="499">
        <f>AO35-AO36-AO38</f>
        <v>0</v>
      </c>
      <c r="AP40" s="499">
        <f>AP35-AP36-AP38</f>
        <v>0</v>
      </c>
      <c r="AQ40" s="499">
        <f>AQ35-AQ36-AQ38</f>
        <v>0</v>
      </c>
      <c r="AR40" s="499">
        <f>AR35-AR36-AR38</f>
        <v>0</v>
      </c>
      <c r="AS40" s="499">
        <f>AS35-AS36-AS38</f>
        <v>0</v>
      </c>
      <c r="AT40" s="499">
        <f>AT35-AT36-AT38</f>
        <v>0</v>
      </c>
      <c r="AU40" s="499">
        <f>AU35-AU36-AU38</f>
        <v>0</v>
      </c>
      <c r="AV40" s="499">
        <f>AV35-AV36-AV38</f>
        <v>0</v>
      </c>
      <c r="AW40" s="499">
        <f>AW35-AW36-AW38</f>
        <v>0</v>
      </c>
      <c r="AX40" s="499">
        <f>AX35-AX36-AX38</f>
        <v>0</v>
      </c>
      <c r="AY40" s="499">
        <f>AY35-AY36-AY38</f>
        <v>0</v>
      </c>
      <c r="AZ40" s="499">
        <f>AZ35-AZ36-AZ38</f>
        <v>0</v>
      </c>
      <c r="BA40" s="499">
        <f>BA35-BA36-BA38</f>
        <v>0</v>
      </c>
      <c r="BB40" s="499">
        <f>BB35-BB36-BB38</f>
        <v>0</v>
      </c>
      <c r="BC40" s="499">
        <f>BC35-BC36-BC38</f>
        <v>0</v>
      </c>
      <c r="BD40" s="499">
        <f>BD35-BD36-BD38</f>
        <v>0</v>
      </c>
      <c r="BE40" s="499">
        <f>BE35-BE36-BE38</f>
        <v>0</v>
      </c>
      <c r="BF40" s="499">
        <f>BF35-BF36-BF38</f>
        <v>0</v>
      </c>
      <c r="BG40" s="499">
        <f>BG35-BG36-BG38</f>
        <v>0</v>
      </c>
      <c r="BH40" s="499">
        <f>BH35-BH36-BH38</f>
        <v>0</v>
      </c>
      <c r="BI40" s="499">
        <f>BI35-BI36-BI38</f>
        <v>0</v>
      </c>
      <c r="BJ40" s="499">
        <f>BJ35-BJ36-BJ38</f>
        <v>0</v>
      </c>
      <c r="BK40" s="499">
        <f>BK35-BK36-BK38</f>
        <v>0</v>
      </c>
      <c r="BL40" s="499">
        <f>BL35-BL36-BL38</f>
        <v>0</v>
      </c>
      <c r="BM40" s="499">
        <f>BM35-BM36-BM38</f>
        <v>0</v>
      </c>
      <c r="BN40" s="499">
        <f>BN35-BN36-BN38</f>
        <v>0</v>
      </c>
      <c r="BO40" s="499">
        <f>BO35-BO36-BO38</f>
        <v>0</v>
      </c>
      <c r="BP40" s="499">
        <f>BP35-BP36-BP38</f>
        <v>0</v>
      </c>
      <c r="BQ40" s="499">
        <f>BQ35-BQ36-BQ38</f>
        <v>0</v>
      </c>
      <c r="BR40" s="499">
        <f>BR35-BR36-BR38</f>
        <v>0</v>
      </c>
      <c r="BS40" s="499">
        <f>BS35-BS36-BS38</f>
        <v>0</v>
      </c>
      <c r="BT40" s="499">
        <f>BT35-BT36-BT38</f>
        <v>0</v>
      </c>
      <c r="BU40" s="499">
        <f>BU35-BU36-BU38</f>
        <v>0</v>
      </c>
      <c r="BV40" s="499">
        <f>BV35-BV36-BV38</f>
        <v>0</v>
      </c>
      <c r="BW40" s="499">
        <f>BW35-BW36-BW38</f>
        <v>0</v>
      </c>
      <c r="BX40" s="499">
        <f>BX35-BX36-BX38</f>
        <v>0</v>
      </c>
      <c r="BY40" s="499">
        <f>BY35-BY36-BY38</f>
        <v>0</v>
      </c>
      <c r="BZ40" s="499">
        <f>BZ35-BZ36-BZ38</f>
        <v>0</v>
      </c>
      <c r="CA40" s="499">
        <f>CA35-CA36-CA38</f>
        <v>0</v>
      </c>
      <c r="CB40" s="499">
        <f>CB35-CB36-CB38</f>
        <v>0</v>
      </c>
      <c r="CC40" s="499">
        <f>CC35-CC36-CC38</f>
        <v>0</v>
      </c>
      <c r="CD40" s="499">
        <f>CD35-CD36-CD38</f>
        <v>0</v>
      </c>
      <c r="CE40" s="499">
        <f>CE35-CE36-CE38</f>
        <v>0</v>
      </c>
      <c r="CF40" s="499">
        <f>CF35-CF36-CF38</f>
        <v>0</v>
      </c>
      <c r="CG40" s="499">
        <f>CG35-CG36-CG38</f>
        <v>0</v>
      </c>
      <c r="CH40" s="499">
        <f>CH35-CH36-CH38</f>
        <v>0</v>
      </c>
      <c r="CI40" s="499">
        <f>CI35-CI36-CI38</f>
        <v>0</v>
      </c>
      <c r="CJ40" s="499">
        <f>CJ35-CJ36-CJ38</f>
        <v>0</v>
      </c>
      <c r="CK40" s="499">
        <f>CK35-CK36-CK38</f>
        <v>0</v>
      </c>
      <c r="CL40" s="499">
        <f>CL35-CL36-CL38</f>
        <v>0</v>
      </c>
      <c r="CM40" s="499">
        <f>CM35-CM36-CM38</f>
        <v>0</v>
      </c>
      <c r="CN40" s="499">
        <f>CN35-CN36-CN38</f>
        <v>0</v>
      </c>
      <c r="CO40" s="499">
        <f>CO35-CO36-CO38</f>
        <v>0</v>
      </c>
      <c r="CP40" s="499">
        <f>CP35-CP36-CP38</f>
        <v>0</v>
      </c>
      <c r="CQ40" s="499">
        <f>CQ35-CQ36-CQ38</f>
        <v>0</v>
      </c>
      <c r="CR40" s="499">
        <f>CR35-CR36-CR38</f>
        <v>0</v>
      </c>
      <c r="CS40" s="499">
        <f>CS35-CS36-CS38</f>
        <v>0</v>
      </c>
      <c r="CT40" s="499">
        <f>CT35-CT36-CT38</f>
        <v>0</v>
      </c>
      <c r="CU40" s="499">
        <f>CU35-CU36-CU38</f>
        <v>0</v>
      </c>
      <c r="CV40" s="499">
        <f>CV35-CV36-CV38</f>
        <v>0</v>
      </c>
      <c r="CW40" s="499">
        <f>CW35-CW36-CW38</f>
        <v>0</v>
      </c>
      <c r="CX40" s="499">
        <f>CX35-CX36-CX38</f>
        <v>0</v>
      </c>
      <c r="CY40" s="499">
        <f>CY35-CY36-CY38</f>
        <v>0</v>
      </c>
      <c r="CZ40" s="499">
        <f>CZ35-CZ36-CZ38</f>
        <v>0</v>
      </c>
      <c r="DA40" s="499">
        <f>DA35-DA36-DA38</f>
        <v>0</v>
      </c>
      <c r="DB40" s="499">
        <f>DB35-DB36-DB38</f>
        <v>0</v>
      </c>
      <c r="DC40" s="499">
        <f>DC35-DC36-DC38</f>
        <v>0</v>
      </c>
      <c r="DD40" s="499">
        <f>DD35-DD36-DD38</f>
        <v>0</v>
      </c>
      <c r="DE40" s="499">
        <f>DE35-DE36-DE38</f>
        <v>0</v>
      </c>
      <c r="DF40" s="499">
        <f>DF35-DF36-DF38</f>
        <v>0</v>
      </c>
      <c r="DG40" s="499">
        <f>DG35-DG36-DG38</f>
        <v>0</v>
      </c>
      <c r="DH40" s="499">
        <f>DH35-DH36-DH38</f>
        <v>0</v>
      </c>
      <c r="DI40" s="499">
        <f>DI35-DI36-DI38</f>
        <v>0</v>
      </c>
      <c r="DJ40" s="499">
        <f>DJ35-DJ36-DJ38</f>
        <v>0</v>
      </c>
      <c r="DK40" s="499">
        <f>DK35-DK36-DK38</f>
        <v>0</v>
      </c>
      <c r="DL40" s="499">
        <f>DL35-DL36-DL38</f>
        <v>0</v>
      </c>
      <c r="DM40" s="499">
        <f>DM35-DM36-DM38</f>
        <v>0</v>
      </c>
      <c r="DN40" s="499">
        <f>DN35-DN36-DN38</f>
        <v>0</v>
      </c>
      <c r="DO40" s="499">
        <f>DO35-DO36-DO38</f>
        <v>0</v>
      </c>
      <c r="DP40" s="499">
        <f>DP35-DP36-DP38</f>
        <v>0</v>
      </c>
      <c r="DQ40" s="499">
        <f>DQ35-DQ36-DQ38</f>
        <v>0</v>
      </c>
      <c r="DR40" s="499">
        <f>DR35-DR36-DR38</f>
        <v>0</v>
      </c>
      <c r="DS40" s="499">
        <f>DS35-DS36-DS38</f>
        <v>0</v>
      </c>
      <c r="DT40" s="499">
        <f>DT35-DT36-DT38</f>
        <v>0</v>
      </c>
      <c r="DU40" s="499">
        <f>DU35-DU36-DU38</f>
        <v>0</v>
      </c>
      <c r="DV40" s="499">
        <f>DV35-DV36-DV38</f>
        <v>0</v>
      </c>
      <c r="DW40" s="499">
        <f>DW35-DW36-DW38</f>
        <v>0</v>
      </c>
      <c r="DX40" s="499">
        <f>DX35-DX36-DX38</f>
        <v>0</v>
      </c>
      <c r="DY40" s="499">
        <f>DY35-DY36-DY38</f>
        <v>0</v>
      </c>
      <c r="DZ40" s="499">
        <f>DZ35-DZ36-DZ38</f>
        <v>0</v>
      </c>
      <c r="EA40" s="499">
        <f>EA35-EA36-EA38</f>
        <v>0</v>
      </c>
      <c r="EB40" s="499">
        <f>EB35-EB36-EB38</f>
        <v>0</v>
      </c>
      <c r="EC40" s="499">
        <f>EC35-EC36-EC38</f>
        <v>0</v>
      </c>
      <c r="ED40" s="499">
        <f>ED35-ED36-ED38</f>
        <v>0</v>
      </c>
      <c r="EE40" s="499">
        <f>EE35-EE36-EE38</f>
        <v>0</v>
      </c>
      <c r="EF40" s="499">
        <f>EF35-EF36-EF38</f>
        <v>0</v>
      </c>
      <c r="EG40" s="499">
        <f>EG35-EG36-EG38</f>
        <v>0</v>
      </c>
      <c r="EH40" s="499">
        <f>EH35-EH36-EH38</f>
        <v>0</v>
      </c>
      <c r="EI40" s="499">
        <f>EI35-EI36-EI38</f>
        <v>0</v>
      </c>
      <c r="EJ40" s="499">
        <f>EJ35-EJ36-EJ38</f>
        <v>0</v>
      </c>
      <c r="EK40" s="499">
        <f>EK35-EK36-EK38</f>
        <v>0</v>
      </c>
      <c r="EL40" s="499">
        <f>EL35-EL36-EL38</f>
        <v>0</v>
      </c>
      <c r="EM40" s="499">
        <f>EM35-EM36-EM38</f>
        <v>0</v>
      </c>
      <c r="EN40" s="499">
        <f>EN35-EN36-EN38</f>
        <v>0</v>
      </c>
      <c r="EO40" s="499">
        <f>EO35-EO36-EO38</f>
        <v>0</v>
      </c>
      <c r="EP40" s="499">
        <f>EP35-EP36-EP38</f>
        <v>0</v>
      </c>
      <c r="EQ40" s="499">
        <f>EQ35-EQ36-EQ38</f>
        <v>0</v>
      </c>
      <c r="ER40" s="499">
        <f>ER35-ER36-ER38</f>
        <v>0</v>
      </c>
      <c r="ES40" s="499">
        <f>ES35-ES36-ES38</f>
        <v>0</v>
      </c>
      <c r="ET40" s="499">
        <f>ET35-ET36-ET38</f>
        <v>0</v>
      </c>
      <c r="EU40" s="499">
        <f>EU35-EU36-EU38</f>
        <v>0</v>
      </c>
      <c r="EV40" s="499">
        <f>EV35-EV36-EV38</f>
        <v>0</v>
      </c>
      <c r="EW40" s="499">
        <f>EW35-EW36-EW38</f>
        <v>0</v>
      </c>
      <c r="EX40" s="499">
        <f>EX35-EX36-EX38</f>
        <v>0</v>
      </c>
      <c r="EY40" s="499">
        <f>EY35-EY36-EY38</f>
        <v>0</v>
      </c>
      <c r="EZ40" s="499">
        <f>EZ35-EZ36-EZ38</f>
        <v>0</v>
      </c>
      <c r="FA40" s="499">
        <f>FA35-FA36-FA38</f>
        <v>0</v>
      </c>
      <c r="FB40" s="83"/>
      <c r="FE40" s="489" t="s">
        <v>844</v>
      </c>
      <c r="FK40" s="1157" cm="1" t="str">
        <f t="array" ref="FK40:FK40">OFFSET(FJ40,-1,1)</f>
        <v>0</v>
      </c>
      <c r="FL40" s="1078" t="s">
        <v>518</v>
      </c>
      <c r="FM40" s="1159"/>
      <c r="FN40" s="1159"/>
      <c r="FO40" s="1078" t="s">
        <v>845</v>
      </c>
      <c r="FP40" s="1159"/>
      <c r="FQ40" s="1159"/>
      <c r="FR40" s="1159"/>
      <c r="FS40" s="1159"/>
      <c r="FT40" s="1159"/>
      <c r="FU40" s="1159"/>
      <c r="FV40" s="1159"/>
      <c r="FW40" s="1159"/>
      <c r="FX40" s="1078" t="s">
        <v>303</v>
      </c>
      <c r="FY40" s="1078" t="s">
        <v>846</v>
      </c>
      <c r="FZ40" s="1078" t="s">
        <v>847</v>
      </c>
    </row>
    <row customHeight="1" ht="29.25" hidden="1">
      <c r="E41" s="180">
        <v>30</v>
      </c>
      <c r="F41" s="175" cm="1" t="str">
        <f t="array" ref="F41:F41">OFFSET(G41,-1,-1)</f>
        <v>0</v>
      </c>
      <c r="L41" s="175" cm="1" t="str">
        <f t="array" ref="L41:L41">OFFSET(M41,-1,-1)</f>
        <v>false</v>
      </c>
      <c r="S41" s="175" cm="1" t="str">
        <f t="array" ref="S41:S41">OFFSET(T41,-1,-1)</f>
        <v>false</v>
      </c>
      <c r="U41" s="753">
        <f>AND(S41,IF(ISBLANK(T41),TRUE,T41))</f>
        <v>0</v>
      </c>
      <c r="AB41" s="1646"/>
      <c r="AD41" s="491">
        <v>7</v>
      </c>
      <c r="AE41" s="1634" t="s">
        <v>848</v>
      </c>
      <c r="AF41" s="505"/>
      <c r="AG41" s="506" t="s">
        <v>629</v>
      </c>
      <c r="AH41" s="88">
        <f>_xlfn.SUMIFS('Баланс Пр'!AE$27:AE$165,'Баланс Пр'!$AB$27:$AB$165,"3.1",'Баланс Пр'!$F$27:$F$165,$F41)+_xlfn.SUMIFS('Баланс Пр'!AE$27:AE$165,'Баланс Пр'!$AB$27:$AB$165,"3.2",'Баланс Пр'!$F$27:$F$165,$F41)</f>
        <v>0</v>
      </c>
      <c r="AI41" s="88">
        <f>_xlfn.SUMIFS('Баланс Пр'!AF$27:AF$165,'Баланс Пр'!$AB$27:$AB$165,"3.1",'Баланс Пр'!$F$27:$F$165,$F41)+_xlfn.SUMIFS('Баланс Пр'!AF$27:AF$165,'Баланс Пр'!$AB$27:$AB$165,"3.2",'Баланс Пр'!$F$27:$F$165,$F41)</f>
        <v>0</v>
      </c>
      <c r="AJ41" s="88">
        <f>_xlfn.SUMIFS('Баланс Пр'!AG$27:AG$165,'Баланс Пр'!$AB$27:$AB$165,"3.1",'Баланс Пр'!$F$27:$F$165,$F41)+_xlfn.SUMIFS('Баланс Пр'!AG$27:AG$165,'Баланс Пр'!$AB$27:$AB$165,"3.2",'Баланс Пр'!$F$27:$F$165,$F41)</f>
        <v>0</v>
      </c>
      <c r="AK41" s="88">
        <f>_xlfn.SUMIFS('Баланс Пр'!AH$27:AH$165,'Баланс Пр'!$AB$27:$AB$165,"3.1",'Баланс Пр'!$F$27:$F$165,$F41)+_xlfn.SUMIFS('Баланс Пр'!AH$27:AH$165,'Баланс Пр'!$AB$27:$AB$165,"3.2",'Баланс Пр'!$F$27:$F$165,$F41)</f>
        <v>0</v>
      </c>
      <c r="AL41" s="88">
        <f>_xlfn.SUMIFS('Баланс Пр'!AI$27:AI$165,'Баланс Пр'!$AB$27:$AB$165,"3.1",'Баланс Пр'!$F$27:$F$165,$F41)+_xlfn.SUMIFS('Баланс Пр'!AI$27:AI$165,'Баланс Пр'!$AB$27:$AB$165,"3.2",'Баланс Пр'!$F$27:$F$165,$F41)</f>
        <v>0</v>
      </c>
      <c r="AM41" s="89"/>
      <c r="AN41" s="89">
        <f>AL41-AM41</f>
        <v>0</v>
      </c>
      <c r="AO41" s="88">
        <f>_xlfn.SUMIFS('Баланс Пр'!AJ$27:AJ$165,'Баланс Пр'!$AB$27:$AB$165,"3.1",'Баланс Пр'!$F$27:$F$165,$F41)+_xlfn.SUMIFS('Баланс Пр'!AJ$27:AJ$165,'Баланс Пр'!$AB$27:$AB$165,"3.2",'Баланс Пр'!$F$27:$F$165,$F41)</f>
        <v>0</v>
      </c>
      <c r="AP41" s="89"/>
      <c r="AQ41" s="89">
        <f>AO41-AP41</f>
        <v>0</v>
      </c>
      <c r="AR41" s="88">
        <f>_xlfn.SUMIFS('Баланс Пр'!AK$27:AK$165,'Баланс Пр'!$AB$27:$AB$165,"3.1",'Баланс Пр'!$F$27:$F$165,$F41)+_xlfn.SUMIFS('Баланс Пр'!AK$27:AK$165,'Баланс Пр'!$AB$27:$AB$165,"3.2",'Баланс Пр'!$F$27:$F$165,$F41)</f>
        <v>0</v>
      </c>
      <c r="AS41" s="89"/>
      <c r="AT41" s="89">
        <f>AR41-AS41</f>
        <v>0</v>
      </c>
      <c r="AU41" s="88">
        <f>_xlfn.SUMIFS('Баланс Пр'!AL$27:AL$165,'Баланс Пр'!$AB$27:$AB$165,"3.1",'Баланс Пр'!$F$27:$F$165,$F41)+_xlfn.SUMIFS('Баланс Пр'!AL$27:AL$165,'Баланс Пр'!$AB$27:$AB$165,"3.2",'Баланс Пр'!$F$27:$F$165,$F41)</f>
        <v>0</v>
      </c>
      <c r="AV41" s="89"/>
      <c r="AW41" s="89">
        <f>AU41-AV41</f>
        <v>0</v>
      </c>
      <c r="AX41" s="88">
        <f>_xlfn.SUMIFS('Баланс Пр'!AM$27:AM$165,'Баланс Пр'!$AB$27:$AB$165,"3.1",'Баланс Пр'!$F$27:$F$165,$F41)+_xlfn.SUMIFS('Баланс Пр'!AM$27:AM$165,'Баланс Пр'!$AB$27:$AB$165,"3.2",'Баланс Пр'!$F$27:$F$165,$F41)</f>
        <v>0</v>
      </c>
      <c r="AY41" s="89"/>
      <c r="AZ41" s="89">
        <f>AX41-AY41</f>
        <v>0</v>
      </c>
      <c r="BA41" s="88">
        <f>_xlfn.SUMIFS('Баланс Пр'!AN$27:AN$165,'Баланс Пр'!$AB$27:$AB$165,"3.1",'Баланс Пр'!$F$27:$F$165,$F41)+_xlfn.SUMIFS('Баланс Пр'!AN$27:AN$165,'Баланс Пр'!$AB$27:$AB$165,"3.2",'Баланс Пр'!$F$27:$F$165,$F41)</f>
        <v>0</v>
      </c>
      <c r="BB41" s="89"/>
      <c r="BC41" s="89">
        <f>BA41-BB41</f>
        <v>0</v>
      </c>
      <c r="BD41" s="88">
        <f>_xlfn.SUMIFS('Баланс Пр'!AO$27:AO$165,'Баланс Пр'!$AB$27:$AB$165,"3.1",'Баланс Пр'!$F$27:$F$165,$F41)+_xlfn.SUMIFS('Баланс Пр'!AO$27:AO$165,'Баланс Пр'!$AB$27:$AB$165,"3.2",'Баланс Пр'!$F$27:$F$165,$F41)</f>
        <v>0</v>
      </c>
      <c r="BE41" s="89"/>
      <c r="BF41" s="89">
        <f>BD41-BE41</f>
        <v>0</v>
      </c>
      <c r="BG41" s="88">
        <f>_xlfn.SUMIFS('Баланс Пр'!AP$27:AP$165,'Баланс Пр'!$AB$27:$AB$165,"3.1",'Баланс Пр'!$F$27:$F$165,$F41)+_xlfn.SUMIFS('Баланс Пр'!AP$27:AP$165,'Баланс Пр'!$AB$27:$AB$165,"3.2",'Баланс Пр'!$F$27:$F$165,$F41)</f>
        <v>0</v>
      </c>
      <c r="BH41" s="89"/>
      <c r="BI41" s="89">
        <f>BG41-BH41</f>
        <v>0</v>
      </c>
      <c r="BJ41" s="88">
        <f>_xlfn.SUMIFS('Баланс Пр'!AQ$27:AQ$165,'Баланс Пр'!$AB$27:$AB$165,"3.1",'Баланс Пр'!$F$27:$F$165,$F41)+_xlfn.SUMIFS('Баланс Пр'!AQ$27:AQ$165,'Баланс Пр'!$AB$27:$AB$165,"3.2",'Баланс Пр'!$F$27:$F$165,$F41)</f>
        <v>0</v>
      </c>
      <c r="BK41" s="89"/>
      <c r="BL41" s="89">
        <f>BJ41-BK41</f>
        <v>0</v>
      </c>
      <c r="BM41" s="88">
        <f>_xlfn.SUMIFS('Баланс Пр'!AR$27:AR$165,'Баланс Пр'!$AB$27:$AB$165,"3.1",'Баланс Пр'!$F$27:$F$165,$F41)+_xlfn.SUMIFS('Баланс Пр'!AR$27:AR$165,'Баланс Пр'!$AB$27:$AB$165,"3.2",'Баланс Пр'!$F$27:$F$165,$F41)</f>
        <v>0</v>
      </c>
      <c r="BN41" s="89"/>
      <c r="BO41" s="89">
        <f>BM41-BN41</f>
        <v>0</v>
      </c>
      <c r="BP41" s="88">
        <f>_xlfn.SUMIFS('Баланс Пр'!AS$27:AS$165,'Баланс Пр'!$AB$27:$AB$165,"3.1",'Баланс Пр'!$F$27:$F$165,$F41)+_xlfn.SUMIFS('Баланс Пр'!AS$27:AS$165,'Баланс Пр'!$AB$27:$AB$165,"3.2",'Баланс Пр'!$F$27:$F$165,$F41)</f>
        <v>0</v>
      </c>
      <c r="BQ41" s="89"/>
      <c r="BR41" s="89">
        <f>BP41-BQ41</f>
        <v>0</v>
      </c>
      <c r="BS41" s="88">
        <f>_xlfn.SUMIFS('Баланс Пр'!AT$27:AT$165,'Баланс Пр'!$AB$27:$AB$165,"3.1",'Баланс Пр'!$F$27:$F$165,$F41)+_xlfn.SUMIFS('Баланс Пр'!AT$27:AT$165,'Баланс Пр'!$AB$27:$AB$165,"3.2",'Баланс Пр'!$F$27:$F$165,$F41)</f>
        <v>0</v>
      </c>
      <c r="BT41" s="89"/>
      <c r="BU41" s="89">
        <f>BS41-BT41</f>
        <v>0</v>
      </c>
      <c r="BV41" s="88">
        <f>_xlfn.SUMIFS('Баланс Пр'!AU$27:AU$165,'Баланс Пр'!$AB$27:$AB$165,"3.1",'Баланс Пр'!$F$27:$F$165,$F41)+_xlfn.SUMIFS('Баланс Пр'!AU$27:AU$165,'Баланс Пр'!$AB$27:$AB$165,"3.2",'Баланс Пр'!$F$27:$F$165,$F41)</f>
        <v>0</v>
      </c>
      <c r="BW41" s="89"/>
      <c r="BX41" s="89">
        <f>BV41-BW41</f>
        <v>0</v>
      </c>
      <c r="BY41" s="88">
        <f>_xlfn.SUMIFS('Баланс Пр'!AV$27:AV$165,'Баланс Пр'!$AB$27:$AB$165,"3.1",'Баланс Пр'!$F$27:$F$165,$F41)+_xlfn.SUMIFS('Баланс Пр'!AV$27:AV$165,'Баланс Пр'!$AB$27:$AB$165,"3.2",'Баланс Пр'!$F$27:$F$165,$F41)</f>
        <v>0</v>
      </c>
      <c r="BZ41" s="89"/>
      <c r="CA41" s="89">
        <f>BY41-BZ41</f>
        <v>0</v>
      </c>
      <c r="CB41" s="88">
        <f>_xlfn.SUMIFS('Баланс Пр'!AW$27:AW$165,'Баланс Пр'!$AB$27:$AB$165,"3.1",'Баланс Пр'!$F$27:$F$165,$F41)+_xlfn.SUMIFS('Баланс Пр'!AW$27:AW$165,'Баланс Пр'!$AB$27:$AB$165,"3.2",'Баланс Пр'!$F$27:$F$165,$F41)</f>
        <v>0</v>
      </c>
      <c r="CC41" s="89"/>
      <c r="CD41" s="89">
        <f>CB41-CC41</f>
        <v>0</v>
      </c>
      <c r="CE41" s="88">
        <f>_xlfn.SUMIFS('Баланс Пр'!AX$27:AX$165,'Баланс Пр'!$AB$27:$AB$165,"3.1",'Баланс Пр'!$F$27:$F$165,$F41)+_xlfn.SUMIFS('Баланс Пр'!AX$27:AX$165,'Баланс Пр'!$AB$27:$AB$165,"3.2",'Баланс Пр'!$F$27:$F$165,$F41)</f>
        <v>0</v>
      </c>
      <c r="CF41" s="89"/>
      <c r="CG41" s="89">
        <f>CE41-CF41</f>
        <v>0</v>
      </c>
      <c r="CH41" s="88">
        <f>_xlfn.SUMIFS('Баланс Пр'!AY$27:AY$165,'Баланс Пр'!$AB$27:$AB$165,"3.1",'Баланс Пр'!$F$27:$F$165,$F41)+_xlfn.SUMIFS('Баланс Пр'!AY$27:AY$165,'Баланс Пр'!$AB$27:$AB$165,"3.2",'Баланс Пр'!$F$27:$F$165,$F41)</f>
        <v>0</v>
      </c>
      <c r="CI41" s="89"/>
      <c r="CJ41" s="89">
        <f>CH41-CI41</f>
        <v>0</v>
      </c>
      <c r="CK41" s="88">
        <f>_xlfn.SUMIFS('Баланс Пр'!AZ$27:AZ$165,'Баланс Пр'!$AB$27:$AB$165,"3.1",'Баланс Пр'!$F$27:$F$165,$F41)+_xlfn.SUMIFS('Баланс Пр'!AZ$27:AZ$165,'Баланс Пр'!$AB$27:$AB$165,"3.2",'Баланс Пр'!$F$27:$F$165,$F41)</f>
        <v>0</v>
      </c>
      <c r="CL41" s="89"/>
      <c r="CM41" s="89">
        <f>CK41-CL41</f>
        <v>0</v>
      </c>
      <c r="CN41" s="88">
        <f>_xlfn.SUMIFS('Баланс Пр'!BA$27:BA$165,'Баланс Пр'!$AB$27:$AB$165,"3.1",'Баланс Пр'!$F$27:$F$165,$F41)+_xlfn.SUMIFS('Баланс Пр'!BA$27:BA$165,'Баланс Пр'!$AB$27:$AB$165,"3.2",'Баланс Пр'!$F$27:$F$165,$F41)</f>
        <v>0</v>
      </c>
      <c r="CO41" s="89"/>
      <c r="CP41" s="89">
        <f>CN41-CO41</f>
        <v>0</v>
      </c>
      <c r="CQ41" s="88">
        <f>_xlfn.SUMIFS('Баланс Пр'!BB$27:BB$165,'Баланс Пр'!$AB$27:$AB$165,"3.1",'Баланс Пр'!$F$27:$F$165,$F41)+_xlfn.SUMIFS('Баланс Пр'!BB$27:BB$165,'Баланс Пр'!$AB$27:$AB$165,"3.2",'Баланс Пр'!$F$27:$F$165,$F41)</f>
        <v>0</v>
      </c>
      <c r="CR41" s="89"/>
      <c r="CS41" s="89">
        <f>CQ41-CR41</f>
        <v>0</v>
      </c>
      <c r="CT41" s="497">
        <f>_xlfn.SUMIFS('Баланс Пр'!BC$27:BC$165,'Баланс Пр'!$AB$27:$AB$165,"3.1",'Баланс Пр'!$F$27:$F$165,$F41)+_xlfn.SUMIFS('Баланс Пр'!BC$27:BC$165,'Баланс Пр'!$AB$27:$AB$165,"3.2",'Баланс Пр'!$F$27:$F$165,$F41)</f>
        <v>0</v>
      </c>
      <c r="CU41" s="498"/>
      <c r="CV41" s="498">
        <f>CT41-CU41</f>
        <v>0</v>
      </c>
      <c r="CW41" s="88">
        <f>_xlfn.SUMIFS('Баланс Пр'!BD$27:BD$165,'Баланс Пр'!$AB$27:$AB$165,"3.1",'Баланс Пр'!$F$27:$F$165,$F41)+_xlfn.SUMIFS('Баланс Пр'!BD$27:BD$165,'Баланс Пр'!$AB$27:$AB$165,"3.2",'Баланс Пр'!$F$27:$F$165,$F41)</f>
        <v>0</v>
      </c>
      <c r="CX41" s="89"/>
      <c r="CY41" s="89">
        <f>CW41-CX41</f>
        <v>0</v>
      </c>
      <c r="CZ41" s="88">
        <f>_xlfn.SUMIFS('Баланс Пр'!BE$27:BE$165,'Баланс Пр'!$AB$27:$AB$165,"3.1",'Баланс Пр'!$F$27:$F$165,$F41)+_xlfn.SUMIFS('Баланс Пр'!BE$27:BE$165,'Баланс Пр'!$AB$27:$AB$165,"3.2",'Баланс Пр'!$F$27:$F$165,$F41)</f>
        <v>0</v>
      </c>
      <c r="DA41" s="89"/>
      <c r="DB41" s="89">
        <f>CZ41-DA41</f>
        <v>0</v>
      </c>
      <c r="DC41" s="88">
        <f>_xlfn.SUMIFS('Баланс Пр'!BF$27:BF$165,'Баланс Пр'!$AB$27:$AB$165,"3.1",'Баланс Пр'!$F$27:$F$165,$F41)+_xlfn.SUMIFS('Баланс Пр'!BF$27:BF$165,'Баланс Пр'!$AB$27:$AB$165,"3.2",'Баланс Пр'!$F$27:$F$165,$F41)</f>
        <v>0</v>
      </c>
      <c r="DD41" s="89"/>
      <c r="DE41" s="89">
        <f>DC41-DD41</f>
        <v>0</v>
      </c>
      <c r="DF41" s="88">
        <f>_xlfn.SUMIFS('Баланс Пр'!BG$27:BG$165,'Баланс Пр'!$AB$27:$AB$165,"3.1",'Баланс Пр'!$F$27:$F$165,$F41)+_xlfn.SUMIFS('Баланс Пр'!BG$27:BG$165,'Баланс Пр'!$AB$27:$AB$165,"3.2",'Баланс Пр'!$F$27:$F$165,$F41)</f>
        <v>0</v>
      </c>
      <c r="DG41" s="89"/>
      <c r="DH41" s="89">
        <f>DF41-DG41</f>
        <v>0</v>
      </c>
      <c r="DI41" s="88">
        <f>_xlfn.SUMIFS('Баланс Пр'!BH$27:BH$165,'Баланс Пр'!$AB$27:$AB$165,"3.1",'Баланс Пр'!$F$27:$F$165,$F41)+_xlfn.SUMIFS('Баланс Пр'!BH$27:BH$165,'Баланс Пр'!$AB$27:$AB$165,"3.2",'Баланс Пр'!$F$27:$F$165,$F41)</f>
        <v>0</v>
      </c>
      <c r="DJ41" s="89"/>
      <c r="DK41" s="89">
        <f>DI41-DJ41</f>
        <v>0</v>
      </c>
      <c r="DL41" s="88">
        <f>_xlfn.SUMIFS('Баланс Пр'!BI$27:BI$165,'Баланс Пр'!$AB$27:$AB$165,"3.1",'Баланс Пр'!$F$27:$F$165,$F41)+_xlfn.SUMIFS('Баланс Пр'!BI$27:BI$165,'Баланс Пр'!$AB$27:$AB$165,"3.2",'Баланс Пр'!$F$27:$F$165,$F41)</f>
        <v>0</v>
      </c>
      <c r="DM41" s="89"/>
      <c r="DN41" s="89">
        <f>DL41-DM41</f>
        <v>0</v>
      </c>
      <c r="DO41" s="88">
        <f>_xlfn.SUMIFS('Баланс Пр'!BJ$27:BJ$165,'Баланс Пр'!$AB$27:$AB$165,"3.1",'Баланс Пр'!$F$27:$F$165,$F41)+_xlfn.SUMIFS('Баланс Пр'!BJ$27:BJ$165,'Баланс Пр'!$AB$27:$AB$165,"3.2",'Баланс Пр'!$F$27:$F$165,$F41)</f>
        <v>0</v>
      </c>
      <c r="DP41" s="89"/>
      <c r="DQ41" s="89">
        <f>DO41-DP41</f>
        <v>0</v>
      </c>
      <c r="DR41" s="88">
        <f>_xlfn.SUMIFS('Баланс Пр'!BK$27:BK$165,'Баланс Пр'!$AB$27:$AB$165,"3.1",'Баланс Пр'!$F$27:$F$165,$F41)+_xlfn.SUMIFS('Баланс Пр'!BK$27:BK$165,'Баланс Пр'!$AB$27:$AB$165,"3.2",'Баланс Пр'!$F$27:$F$165,$F41)</f>
        <v>0</v>
      </c>
      <c r="DS41" s="89"/>
      <c r="DT41" s="89">
        <f>DR41-DS41</f>
        <v>0</v>
      </c>
      <c r="DU41" s="88">
        <f>_xlfn.SUMIFS('Баланс Пр'!BL$27:BL$165,'Баланс Пр'!$AB$27:$AB$165,"3.1",'Баланс Пр'!$F$27:$F$165,$F41)+_xlfn.SUMIFS('Баланс Пр'!BL$27:BL$165,'Баланс Пр'!$AB$27:$AB$165,"3.2",'Баланс Пр'!$F$27:$F$165,$F41)</f>
        <v>0</v>
      </c>
      <c r="DV41" s="89"/>
      <c r="DW41" s="89">
        <f>DU41-DV41</f>
        <v>0</v>
      </c>
      <c r="DX41" s="88">
        <f>_xlfn.SUMIFS('Баланс Пр'!BM$27:BM$165,'Баланс Пр'!$AB$27:$AB$165,"3.1",'Баланс Пр'!$F$27:$F$165,$F41)+_xlfn.SUMIFS('Баланс Пр'!BM$27:BM$165,'Баланс Пр'!$AB$27:$AB$165,"3.2",'Баланс Пр'!$F$27:$F$165,$F41)</f>
        <v>0</v>
      </c>
      <c r="DY41" s="89"/>
      <c r="DZ41" s="89">
        <f>DX41-DY41</f>
        <v>0</v>
      </c>
      <c r="EA41" s="88">
        <f>_xlfn.SUMIFS('Баланс Пр'!BN$27:BN$165,'Баланс Пр'!$AB$27:$AB$165,"3.1",'Баланс Пр'!$F$27:$F$165,$F41)+_xlfn.SUMIFS('Баланс Пр'!BN$27:BN$165,'Баланс Пр'!$AB$27:$AB$165,"3.2",'Баланс Пр'!$F$27:$F$165,$F41)</f>
        <v>0</v>
      </c>
      <c r="EB41" s="89"/>
      <c r="EC41" s="89">
        <f>EA41-EB41</f>
        <v>0</v>
      </c>
      <c r="ED41" s="88">
        <f>_xlfn.SUMIFS('Баланс Пр'!BO$27:BO$165,'Баланс Пр'!$AB$27:$AB$165,"3.1",'Баланс Пр'!$F$27:$F$165,$F41)+_xlfn.SUMIFS('Баланс Пр'!BO$27:BO$165,'Баланс Пр'!$AB$27:$AB$165,"3.2",'Баланс Пр'!$F$27:$F$165,$F41)</f>
        <v>0</v>
      </c>
      <c r="EE41" s="89"/>
      <c r="EF41" s="89">
        <f>ED41-EE41</f>
        <v>0</v>
      </c>
      <c r="EG41" s="88">
        <f>_xlfn.SUMIFS('Баланс Пр'!BP$27:BP$165,'Баланс Пр'!$AB$27:$AB$165,"3.1",'Баланс Пр'!$F$27:$F$165,$F41)+_xlfn.SUMIFS('Баланс Пр'!BP$27:BP$165,'Баланс Пр'!$AB$27:$AB$165,"3.2",'Баланс Пр'!$F$27:$F$165,$F41)</f>
        <v>0</v>
      </c>
      <c r="EH41" s="89"/>
      <c r="EI41" s="89">
        <f>EG41-EH41</f>
        <v>0</v>
      </c>
      <c r="EJ41" s="88">
        <f>_xlfn.SUMIFS('Баланс Пр'!BQ$27:BQ$165,'Баланс Пр'!$AB$27:$AB$165,"3.1",'Баланс Пр'!$F$27:$F$165,$F41)+_xlfn.SUMIFS('Баланс Пр'!BQ$27:BQ$165,'Баланс Пр'!$AB$27:$AB$165,"3.2",'Баланс Пр'!$F$27:$F$165,$F41)</f>
        <v>0</v>
      </c>
      <c r="EK41" s="89"/>
      <c r="EL41" s="89">
        <f>EJ41-EK41</f>
        <v>0</v>
      </c>
      <c r="EM41" s="88">
        <f>_xlfn.SUMIFS('Баланс Пр'!BR$27:BR$165,'Баланс Пр'!$AB$27:$AB$165,"3.1",'Баланс Пр'!$F$27:$F$165,$F41)+_xlfn.SUMIFS('Баланс Пр'!BR$27:BR$165,'Баланс Пр'!$AB$27:$AB$165,"3.2",'Баланс Пр'!$F$27:$F$165,$F41)</f>
        <v>0</v>
      </c>
      <c r="EN41" s="89"/>
      <c r="EO41" s="89">
        <f>EM41-EN41</f>
        <v>0</v>
      </c>
      <c r="EP41" s="88">
        <f>_xlfn.SUMIFS('Баланс Пр'!BS$27:BS$165,'Баланс Пр'!$AB$27:$AB$165,"3.1",'Баланс Пр'!$F$27:$F$165,$F41)+_xlfn.SUMIFS('Баланс Пр'!BS$27:BS$165,'Баланс Пр'!$AB$27:$AB$165,"3.2",'Баланс Пр'!$F$27:$F$165,$F41)</f>
        <v>0</v>
      </c>
      <c r="EQ41" s="89"/>
      <c r="ER41" s="89">
        <f>EP41-EQ41</f>
        <v>0</v>
      </c>
      <c r="ES41" s="88">
        <f>_xlfn.SUMIFS('Баланс Пр'!BT$27:BT$165,'Баланс Пр'!$AB$27:$AB$165,"3.1",'Баланс Пр'!$F$27:$F$165,$F41)+_xlfn.SUMIFS('Баланс Пр'!BT$27:BT$165,'Баланс Пр'!$AB$27:$AB$165,"3.2",'Баланс Пр'!$F$27:$F$165,$F41)</f>
        <v>0</v>
      </c>
      <c r="ET41" s="89"/>
      <c r="EU41" s="89">
        <f>ES41-ET41</f>
        <v>0</v>
      </c>
      <c r="EV41" s="88">
        <f>_xlfn.SUMIFS('Баланс Пр'!BU$27:BU$165,'Баланс Пр'!$AB$27:$AB$165,"3.1",'Баланс Пр'!$F$27:$F$165,$F41)+_xlfn.SUMIFS('Баланс Пр'!BU$27:BU$165,'Баланс Пр'!$AB$27:$AB$165,"3.2",'Баланс Пр'!$F$27:$F$165,$F41)</f>
        <v>0</v>
      </c>
      <c r="EW41" s="89"/>
      <c r="EX41" s="89">
        <f>EV41-EW41</f>
        <v>0</v>
      </c>
      <c r="EY41" s="88">
        <f>_xlfn.SUMIFS('Баланс Пр'!BV$27:BV$165,'Баланс Пр'!$AB$27:$AB$165,"3.1",'Баланс Пр'!$F$27:$F$165,$F41)+_xlfn.SUMIFS('Баланс Пр'!BV$27:BV$165,'Баланс Пр'!$AB$27:$AB$165,"3.2",'Баланс Пр'!$F$27:$F$165,$F41)</f>
        <v>0</v>
      </c>
      <c r="EZ41" s="89"/>
      <c r="FA41" s="89">
        <f>EY41-EZ41</f>
        <v>0</v>
      </c>
      <c r="FB41" s="83"/>
      <c r="FE41" s="489" t="s">
        <v>849</v>
      </c>
      <c r="FK41" s="1157" cm="1" t="str">
        <f t="array" ref="FK41:FK41">OFFSET(FJ41,-1,1)</f>
        <v>0</v>
      </c>
      <c r="FL41" s="1078" t="s">
        <v>850</v>
      </c>
      <c r="FM41" s="1159"/>
      <c r="FN41" s="1159"/>
      <c r="FO41" s="1159"/>
      <c r="FP41" s="1078" t="s">
        <v>666</v>
      </c>
      <c r="FQ41" s="1159"/>
      <c r="FR41" s="1159"/>
      <c r="FS41" s="1159"/>
      <c r="FT41" s="1159"/>
      <c r="FU41" s="1159"/>
      <c r="FV41" s="1159"/>
      <c r="FW41" s="1159"/>
      <c r="FX41" s="1078" t="s">
        <v>303</v>
      </c>
      <c r="FY41" s="1078" t="s">
        <v>667</v>
      </c>
      <c r="FZ41" s="1078" t="s">
        <v>668</v>
      </c>
    </row>
    <row customHeight="1" ht="16.575" hidden="1">
      <c r="E42" s="180">
        <v>17</v>
      </c>
      <c r="F42" s="175" cm="1" t="str">
        <f t="array" ref="F42:F42">OFFSET(G42,-1,-1)</f>
        <v>0</v>
      </c>
      <c r="L42" s="175" cm="1" t="str">
        <f t="array" ref="L42:L42">OFFSET(M42,-1,-1)</f>
        <v>false</v>
      </c>
      <c r="S42" s="175" cm="1" t="str">
        <f t="array" ref="S42:S42">OFFSET(T42,-1,-1)</f>
        <v>false</v>
      </c>
      <c r="U42" s="753">
        <f>AND(S42,IF(ISBLANK(T42),TRUE,T42))</f>
        <v>0</v>
      </c>
      <c r="AB42" s="1646"/>
      <c r="AD42" s="491">
        <v>8</v>
      </c>
      <c r="AE42" s="1634" t="s">
        <v>851</v>
      </c>
      <c r="AF42" s="505"/>
      <c r="AG42" s="506" t="s">
        <v>629</v>
      </c>
      <c r="AH42" s="88">
        <f>_xlfn.SUMIFS('Баланс Пр'!AE$27:AE$165,'Баланс Пр'!$AB$27:$AB$165,"5",'Баланс Пр'!$F$27:$F$165,$F41)</f>
        <v>0</v>
      </c>
      <c r="AI42" s="88">
        <f>_xlfn.SUMIFS('Баланс Пр'!AF$27:AF$165,'Баланс Пр'!$AB$27:$AB$165,"5",'Баланс Пр'!$F$27:$F$165,$F41)</f>
        <v>0</v>
      </c>
      <c r="AJ42" s="88">
        <f>_xlfn.SUMIFS('Баланс Пр'!AG$27:AG$165,'Баланс Пр'!$AB$27:$AB$165,"5",'Баланс Пр'!$F$27:$F$165,$F41)</f>
        <v>0</v>
      </c>
      <c r="AK42" s="88">
        <f>_xlfn.SUMIFS('Баланс Пр'!AH$27:AH$165,'Баланс Пр'!$AB$27:$AB$165,"5",'Баланс Пр'!$F$27:$F$165,$F41)</f>
        <v>0</v>
      </c>
      <c r="AL42" s="88">
        <f>_xlfn.SUMIFS('Баланс Пр'!AI$27:AI$165,'Баланс Пр'!$AB$27:$AB$165,"5",'Баланс Пр'!$F$27:$F$165,$F41)</f>
        <v>0</v>
      </c>
      <c r="AM42" s="89"/>
      <c r="AN42" s="89">
        <f>AL42-AM42</f>
        <v>0</v>
      </c>
      <c r="AO42" s="88">
        <f>_xlfn.SUMIFS('Баланс Пр'!AJ$27:AJ$165,'Баланс Пр'!$AB$27:$AB$165,"5",'Баланс Пр'!$F$27:$F$165,$F41)</f>
        <v>0</v>
      </c>
      <c r="AP42" s="89"/>
      <c r="AQ42" s="89">
        <f>AO42-AP42</f>
        <v>0</v>
      </c>
      <c r="AR42" s="88">
        <f>_xlfn.SUMIFS('Баланс Пр'!AK$27:AK$165,'Баланс Пр'!$AB$27:$AB$165,"5",'Баланс Пр'!$F$27:$F$165,$F41)</f>
        <v>0</v>
      </c>
      <c r="AS42" s="89"/>
      <c r="AT42" s="89">
        <f>AR42-AS42</f>
        <v>0</v>
      </c>
      <c r="AU42" s="88">
        <f>_xlfn.SUMIFS('Баланс Пр'!AL$27:AL$165,'Баланс Пр'!$AB$27:$AB$165,"5",'Баланс Пр'!$F$27:$F$165,$F41)</f>
        <v>0</v>
      </c>
      <c r="AV42" s="89"/>
      <c r="AW42" s="89">
        <f>AU42-AV42</f>
        <v>0</v>
      </c>
      <c r="AX42" s="88">
        <f>_xlfn.SUMIFS('Баланс Пр'!AM$27:AM$165,'Баланс Пр'!$AB$27:$AB$165,"5",'Баланс Пр'!$F$27:$F$165,$F41)</f>
        <v>0</v>
      </c>
      <c r="AY42" s="89"/>
      <c r="AZ42" s="89">
        <f>AX42-AY42</f>
        <v>0</v>
      </c>
      <c r="BA42" s="88">
        <f>_xlfn.SUMIFS('Баланс Пр'!AN$27:AN$165,'Баланс Пр'!$AB$27:$AB$165,"5",'Баланс Пр'!$F$27:$F$165,$F41)</f>
        <v>0</v>
      </c>
      <c r="BB42" s="89"/>
      <c r="BC42" s="89">
        <f>BA42-BB42</f>
        <v>0</v>
      </c>
      <c r="BD42" s="88">
        <f>_xlfn.SUMIFS('Баланс Пр'!AO$27:AO$165,'Баланс Пр'!$AB$27:$AB$165,"5",'Баланс Пр'!$F$27:$F$165,$F41)</f>
        <v>0</v>
      </c>
      <c r="BE42" s="89"/>
      <c r="BF42" s="89">
        <f>BD42-BE42</f>
        <v>0</v>
      </c>
      <c r="BG42" s="88">
        <f>_xlfn.SUMIFS('Баланс Пр'!AP$27:AP$165,'Баланс Пр'!$AB$27:$AB$165,"5",'Баланс Пр'!$F$27:$F$165,$F41)</f>
        <v>0</v>
      </c>
      <c r="BH42" s="89"/>
      <c r="BI42" s="89">
        <f>BG42-BH42</f>
        <v>0</v>
      </c>
      <c r="BJ42" s="88">
        <f>_xlfn.SUMIFS('Баланс Пр'!AQ$27:AQ$165,'Баланс Пр'!$AB$27:$AB$165,"5",'Баланс Пр'!$F$27:$F$165,$F41)</f>
        <v>0</v>
      </c>
      <c r="BK42" s="89"/>
      <c r="BL42" s="89">
        <f>BJ42-BK42</f>
        <v>0</v>
      </c>
      <c r="BM42" s="88">
        <f>_xlfn.SUMIFS('Баланс Пр'!AR$27:AR$165,'Баланс Пр'!$AB$27:$AB$165,"5",'Баланс Пр'!$F$27:$F$165,$F41)</f>
        <v>0</v>
      </c>
      <c r="BN42" s="89"/>
      <c r="BO42" s="89">
        <f>BM42-BN42</f>
        <v>0</v>
      </c>
      <c r="BP42" s="88">
        <f>_xlfn.SUMIFS('Баланс Пр'!AS$27:AS$165,'Баланс Пр'!$AB$27:$AB$165,"5",'Баланс Пр'!$F$27:$F$165,$F41)</f>
        <v>0</v>
      </c>
      <c r="BQ42" s="89"/>
      <c r="BR42" s="89">
        <f>BP42-BQ42</f>
        <v>0</v>
      </c>
      <c r="BS42" s="88">
        <f>_xlfn.SUMIFS('Баланс Пр'!AT$27:AT$165,'Баланс Пр'!$AB$27:$AB$165,"5",'Баланс Пр'!$F$27:$F$165,$F41)</f>
        <v>0</v>
      </c>
      <c r="BT42" s="89"/>
      <c r="BU42" s="89">
        <f>BS42-BT42</f>
        <v>0</v>
      </c>
      <c r="BV42" s="88">
        <f>_xlfn.SUMIFS('Баланс Пр'!AU$27:AU$165,'Баланс Пр'!$AB$27:$AB$165,"5",'Баланс Пр'!$F$27:$F$165,$F41)</f>
        <v>0</v>
      </c>
      <c r="BW42" s="89"/>
      <c r="BX42" s="89">
        <f>BV42-BW42</f>
        <v>0</v>
      </c>
      <c r="BY42" s="88">
        <f>_xlfn.SUMIFS('Баланс Пр'!AV$27:AV$165,'Баланс Пр'!$AB$27:$AB$165,"5",'Баланс Пр'!$F$27:$F$165,$F41)</f>
        <v>0</v>
      </c>
      <c r="BZ42" s="89"/>
      <c r="CA42" s="89">
        <f>BY42-BZ42</f>
        <v>0</v>
      </c>
      <c r="CB42" s="88">
        <f>_xlfn.SUMIFS('Баланс Пр'!AW$27:AW$165,'Баланс Пр'!$AB$27:$AB$165,"5",'Баланс Пр'!$F$27:$F$165,$F41)</f>
        <v>0</v>
      </c>
      <c r="CC42" s="89"/>
      <c r="CD42" s="89">
        <f>CB42-CC42</f>
        <v>0</v>
      </c>
      <c r="CE42" s="88">
        <f>_xlfn.SUMIFS('Баланс Пр'!AX$27:AX$165,'Баланс Пр'!$AB$27:$AB$165,"5",'Баланс Пр'!$F$27:$F$165,$F41)</f>
        <v>0</v>
      </c>
      <c r="CF42" s="89"/>
      <c r="CG42" s="89">
        <f>CE42-CF42</f>
        <v>0</v>
      </c>
      <c r="CH42" s="88">
        <f>_xlfn.SUMIFS('Баланс Пр'!AY$27:AY$165,'Баланс Пр'!$AB$27:$AB$165,"5",'Баланс Пр'!$F$27:$F$165,$F41)</f>
        <v>0</v>
      </c>
      <c r="CI42" s="89"/>
      <c r="CJ42" s="89">
        <f>CH42-CI42</f>
        <v>0</v>
      </c>
      <c r="CK42" s="88">
        <f>_xlfn.SUMIFS('Баланс Пр'!AZ$27:AZ$165,'Баланс Пр'!$AB$27:$AB$165,"5",'Баланс Пр'!$F$27:$F$165,$F41)</f>
        <v>0</v>
      </c>
      <c r="CL42" s="89"/>
      <c r="CM42" s="89">
        <f>CK42-CL42</f>
        <v>0</v>
      </c>
      <c r="CN42" s="88">
        <f>_xlfn.SUMIFS('Баланс Пр'!BA$27:BA$165,'Баланс Пр'!$AB$27:$AB$165,"5",'Баланс Пр'!$F$27:$F$165,$F41)</f>
        <v>0</v>
      </c>
      <c r="CO42" s="89"/>
      <c r="CP42" s="89">
        <f>CN42-CO42</f>
        <v>0</v>
      </c>
      <c r="CQ42" s="88">
        <f>_xlfn.SUMIFS('Баланс Пр'!BB$27:BB$165,'Баланс Пр'!$AB$27:$AB$165,"5",'Баланс Пр'!$F$27:$F$165,$F41)</f>
        <v>0</v>
      </c>
      <c r="CR42" s="89"/>
      <c r="CS42" s="89">
        <f>CQ42-CR42</f>
        <v>0</v>
      </c>
      <c r="CT42" s="497">
        <f>_xlfn.SUMIFS('Баланс Пр'!BC$27:BC$165,'Баланс Пр'!$AB$27:$AB$165,"5",'Баланс Пр'!$F$27:$F$165,$F41)</f>
        <v>0</v>
      </c>
      <c r="CU42" s="498"/>
      <c r="CV42" s="498">
        <f>CT42-CU42</f>
        <v>0</v>
      </c>
      <c r="CW42" s="88">
        <f>_xlfn.SUMIFS('Баланс Пр'!BD$27:BD$165,'Баланс Пр'!$AB$27:$AB$165,"5",'Баланс Пр'!$F$27:$F$165,$F41)</f>
        <v>0</v>
      </c>
      <c r="CX42" s="89"/>
      <c r="CY42" s="89">
        <f>CW42-CX42</f>
        <v>0</v>
      </c>
      <c r="CZ42" s="88">
        <f>_xlfn.SUMIFS('Баланс Пр'!BE$27:BE$165,'Баланс Пр'!$AB$27:$AB$165,"5",'Баланс Пр'!$F$27:$F$165,$F41)</f>
        <v>0</v>
      </c>
      <c r="DA42" s="89"/>
      <c r="DB42" s="89">
        <f>CZ42-DA42</f>
        <v>0</v>
      </c>
      <c r="DC42" s="88">
        <f>_xlfn.SUMIFS('Баланс Пр'!BF$27:BF$165,'Баланс Пр'!$AB$27:$AB$165,"5",'Баланс Пр'!$F$27:$F$165,$F41)</f>
        <v>0</v>
      </c>
      <c r="DD42" s="89"/>
      <c r="DE42" s="89">
        <f>DC42-DD42</f>
        <v>0</v>
      </c>
      <c r="DF42" s="88">
        <f>_xlfn.SUMIFS('Баланс Пр'!BG$27:BG$165,'Баланс Пр'!$AB$27:$AB$165,"5",'Баланс Пр'!$F$27:$F$165,$F41)</f>
        <v>0</v>
      </c>
      <c r="DG42" s="89"/>
      <c r="DH42" s="89">
        <f>DF42-DG42</f>
        <v>0</v>
      </c>
      <c r="DI42" s="88">
        <f>_xlfn.SUMIFS('Баланс Пр'!BH$27:BH$165,'Баланс Пр'!$AB$27:$AB$165,"5",'Баланс Пр'!$F$27:$F$165,$F41)</f>
        <v>0</v>
      </c>
      <c r="DJ42" s="89"/>
      <c r="DK42" s="89">
        <f>DI42-DJ42</f>
        <v>0</v>
      </c>
      <c r="DL42" s="88">
        <f>_xlfn.SUMIFS('Баланс Пр'!BI$27:BI$165,'Баланс Пр'!$AB$27:$AB$165,"5",'Баланс Пр'!$F$27:$F$165,$F41)</f>
        <v>0</v>
      </c>
      <c r="DM42" s="89"/>
      <c r="DN42" s="89">
        <f>DL42-DM42</f>
        <v>0</v>
      </c>
      <c r="DO42" s="88">
        <f>_xlfn.SUMIFS('Баланс Пр'!BJ$27:BJ$165,'Баланс Пр'!$AB$27:$AB$165,"5",'Баланс Пр'!$F$27:$F$165,$F41)</f>
        <v>0</v>
      </c>
      <c r="DP42" s="89"/>
      <c r="DQ42" s="89">
        <f>DO42-DP42</f>
        <v>0</v>
      </c>
      <c r="DR42" s="88">
        <f>_xlfn.SUMIFS('Баланс Пр'!BK$27:BK$165,'Баланс Пр'!$AB$27:$AB$165,"5",'Баланс Пр'!$F$27:$F$165,$F41)</f>
        <v>0</v>
      </c>
      <c r="DS42" s="89"/>
      <c r="DT42" s="89">
        <f>DR42-DS42</f>
        <v>0</v>
      </c>
      <c r="DU42" s="88">
        <f>_xlfn.SUMIFS('Баланс Пр'!BL$27:BL$165,'Баланс Пр'!$AB$27:$AB$165,"5",'Баланс Пр'!$F$27:$F$165,$F41)</f>
        <v>0</v>
      </c>
      <c r="DV42" s="89"/>
      <c r="DW42" s="89">
        <f>DU42-DV42</f>
        <v>0</v>
      </c>
      <c r="DX42" s="88">
        <f>_xlfn.SUMIFS('Баланс Пр'!BM$27:BM$165,'Баланс Пр'!$AB$27:$AB$165,"5",'Баланс Пр'!$F$27:$F$165,$F41)</f>
        <v>0</v>
      </c>
      <c r="DY42" s="89"/>
      <c r="DZ42" s="89">
        <f>DX42-DY42</f>
        <v>0</v>
      </c>
      <c r="EA42" s="88">
        <f>_xlfn.SUMIFS('Баланс Пр'!BN$27:BN$165,'Баланс Пр'!$AB$27:$AB$165,"5",'Баланс Пр'!$F$27:$F$165,$F41)</f>
        <v>0</v>
      </c>
      <c r="EB42" s="89"/>
      <c r="EC42" s="89">
        <f>EA42-EB42</f>
        <v>0</v>
      </c>
      <c r="ED42" s="88">
        <f>_xlfn.SUMIFS('Баланс Пр'!BO$27:BO$165,'Баланс Пр'!$AB$27:$AB$165,"5",'Баланс Пр'!$F$27:$F$165,$F41)</f>
        <v>0</v>
      </c>
      <c r="EE42" s="89"/>
      <c r="EF42" s="89">
        <f>ED42-EE42</f>
        <v>0</v>
      </c>
      <c r="EG42" s="88">
        <f>_xlfn.SUMIFS('Баланс Пр'!BP$27:BP$165,'Баланс Пр'!$AB$27:$AB$165,"5",'Баланс Пр'!$F$27:$F$165,$F41)</f>
        <v>0</v>
      </c>
      <c r="EH42" s="89"/>
      <c r="EI42" s="89">
        <f>EG42-EH42</f>
        <v>0</v>
      </c>
      <c r="EJ42" s="88">
        <f>_xlfn.SUMIFS('Баланс Пр'!BQ$27:BQ$165,'Баланс Пр'!$AB$27:$AB$165,"5",'Баланс Пр'!$F$27:$F$165,$F41)</f>
        <v>0</v>
      </c>
      <c r="EK42" s="89"/>
      <c r="EL42" s="89">
        <f>EJ42-EK42</f>
        <v>0</v>
      </c>
      <c r="EM42" s="88">
        <f>_xlfn.SUMIFS('Баланс Пр'!BR$27:BR$165,'Баланс Пр'!$AB$27:$AB$165,"5",'Баланс Пр'!$F$27:$F$165,$F41)</f>
        <v>0</v>
      </c>
      <c r="EN42" s="89"/>
      <c r="EO42" s="89">
        <f>EM42-EN42</f>
        <v>0</v>
      </c>
      <c r="EP42" s="88">
        <f>_xlfn.SUMIFS('Баланс Пр'!BS$27:BS$165,'Баланс Пр'!$AB$27:$AB$165,"5",'Баланс Пр'!$F$27:$F$165,$F41)</f>
        <v>0</v>
      </c>
      <c r="EQ42" s="89"/>
      <c r="ER42" s="89">
        <f>EP42-EQ42</f>
        <v>0</v>
      </c>
      <c r="ES42" s="88">
        <f>_xlfn.SUMIFS('Баланс Пр'!BT$27:BT$165,'Баланс Пр'!$AB$27:$AB$165,"5",'Баланс Пр'!$F$27:$F$165,$F41)</f>
        <v>0</v>
      </c>
      <c r="ET42" s="89"/>
      <c r="EU42" s="89">
        <f>ES42-ET42</f>
        <v>0</v>
      </c>
      <c r="EV42" s="88">
        <f>_xlfn.SUMIFS('Баланс Пр'!BU$27:BU$165,'Баланс Пр'!$AB$27:$AB$165,"5",'Баланс Пр'!$F$27:$F$165,$F41)</f>
        <v>0</v>
      </c>
      <c r="EW42" s="89"/>
      <c r="EX42" s="89">
        <f>EV42-EW42</f>
        <v>0</v>
      </c>
      <c r="EY42" s="88">
        <f>_xlfn.SUMIFS('Баланс Пр'!BV$27:BV$165,'Баланс Пр'!$AB$27:$AB$165,"5",'Баланс Пр'!$F$27:$F$165,$F41)</f>
        <v>0</v>
      </c>
      <c r="EZ42" s="89"/>
      <c r="FA42" s="89">
        <f>EY42-EZ42</f>
        <v>0</v>
      </c>
      <c r="FB42" s="83"/>
      <c r="FE42" s="489" t="s">
        <v>852</v>
      </c>
      <c r="FK42" s="1157" cm="1" t="str">
        <f t="array" ref="FK42:FK42">OFFSET(FJ42,-1,1)</f>
        <v>0</v>
      </c>
      <c r="FL42" s="1078" t="s">
        <v>850</v>
      </c>
      <c r="FM42" s="1159"/>
      <c r="FN42" s="1159"/>
      <c r="FO42" s="1159"/>
      <c r="FP42" s="1159"/>
      <c r="FQ42" s="1159"/>
      <c r="FR42" s="1159"/>
      <c r="FS42" s="1159"/>
      <c r="FT42" s="1159"/>
      <c r="FU42" s="1159"/>
      <c r="FV42" s="1078" t="s">
        <v>219</v>
      </c>
      <c r="FW42" s="1159"/>
      <c r="FX42" s="1078" t="s">
        <v>303</v>
      </c>
      <c r="FY42" s="1078" t="s">
        <v>813</v>
      </c>
      <c r="FZ42" s="1078" t="s">
        <v>814</v>
      </c>
    </row>
    <row customHeight="1" ht="16.575" hidden="1">
      <c r="E43" s="180">
        <v>17</v>
      </c>
      <c r="F43" s="175" cm="1" t="str">
        <f t="array" ref="F43:F43">OFFSET(G43,-1,-1)</f>
        <v>0</v>
      </c>
      <c r="L43" s="175" cm="1" t="str">
        <f t="array" ref="L43:L43">OFFSET(M43,-1,-1)</f>
        <v>false</v>
      </c>
      <c r="S43" s="175" cm="1" t="str">
        <f t="array" ref="S43:S43">OFFSET(T43,-1,-1)</f>
        <v>false</v>
      </c>
      <c r="U43" s="753">
        <f>AND(S43,IF(ISBLANK(T43),TRUE,T43))</f>
        <v>0</v>
      </c>
      <c r="AB43" s="1646"/>
      <c r="AD43" s="491">
        <v>8.1</v>
      </c>
      <c r="AE43" s="1641" t="s">
        <v>853</v>
      </c>
      <c r="AF43" s="1642"/>
      <c r="AG43" s="507" t="s">
        <v>495</v>
      </c>
      <c r="AH43" s="503">
        <f>_xlfn.IFERROR(AH42/AH41,0)</f>
        <v>0</v>
      </c>
      <c r="AI43" s="504">
        <f>_xlfn.IFERROR(AI42/AI41,0)</f>
        <v>0</v>
      </c>
      <c r="AJ43" s="504">
        <f>_xlfn.IFERROR(AJ42/AJ41,0)</f>
        <v>0</v>
      </c>
      <c r="AK43" s="504">
        <f>_xlfn.IFERROR(AK42/AK41,0)</f>
        <v>0</v>
      </c>
      <c r="AL43" s="504">
        <f>_xlfn.IFERROR(AL42/AL41,0)</f>
        <v>0</v>
      </c>
      <c r="AM43" s="504">
        <f>_xlfn.IFERROR(AM42/AM41,0)</f>
        <v>0</v>
      </c>
      <c r="AN43" s="504">
        <f>_xlfn.IFERROR(AN42/AN41,0)</f>
        <v>0</v>
      </c>
      <c r="AO43" s="504">
        <f>_xlfn.IFERROR(AO42/AO41,0)</f>
        <v>0</v>
      </c>
      <c r="AP43" s="504">
        <f>_xlfn.IFERROR(AP42/AP41,0)</f>
        <v>0</v>
      </c>
      <c r="AQ43" s="504">
        <f>_xlfn.IFERROR(AQ42/AQ41,0)</f>
        <v>0</v>
      </c>
      <c r="AR43" s="504">
        <f>_xlfn.IFERROR(AR42/AR41,0)</f>
        <v>0</v>
      </c>
      <c r="AS43" s="504">
        <f>_xlfn.IFERROR(AS42/AS41,0)</f>
        <v>0</v>
      </c>
      <c r="AT43" s="504">
        <f>_xlfn.IFERROR(AT42/AT41,0)</f>
        <v>0</v>
      </c>
      <c r="AU43" s="504">
        <f>_xlfn.IFERROR(AU42/AU41,0)</f>
        <v>0</v>
      </c>
      <c r="AV43" s="504">
        <f>_xlfn.IFERROR(AV42/AV41,0)</f>
        <v>0</v>
      </c>
      <c r="AW43" s="504">
        <f>_xlfn.IFERROR(AW42/AW41,0)</f>
        <v>0</v>
      </c>
      <c r="AX43" s="504">
        <f>_xlfn.IFERROR(AX42/AX41,0)</f>
        <v>0</v>
      </c>
      <c r="AY43" s="504">
        <f>_xlfn.IFERROR(AY42/AY41,0)</f>
        <v>0</v>
      </c>
      <c r="AZ43" s="504">
        <f>_xlfn.IFERROR(AZ42/AZ41,0)</f>
        <v>0</v>
      </c>
      <c r="BA43" s="504">
        <f>_xlfn.IFERROR(BA42/BA41,0)</f>
        <v>0</v>
      </c>
      <c r="BB43" s="504">
        <f>_xlfn.IFERROR(BB42/BB41,0)</f>
        <v>0</v>
      </c>
      <c r="BC43" s="504">
        <f>_xlfn.IFERROR(BC42/BC41,0)</f>
        <v>0</v>
      </c>
      <c r="BD43" s="504">
        <f>_xlfn.IFERROR(BD42/BD41,0)</f>
        <v>0</v>
      </c>
      <c r="BE43" s="504">
        <f>_xlfn.IFERROR(BE42/BE41,0)</f>
        <v>0</v>
      </c>
      <c r="BF43" s="504">
        <f>_xlfn.IFERROR(BF42/BF41,0)</f>
        <v>0</v>
      </c>
      <c r="BG43" s="504">
        <f>_xlfn.IFERROR(BG42/BG41,0)</f>
        <v>0</v>
      </c>
      <c r="BH43" s="504">
        <f>_xlfn.IFERROR(BH42/BH41,0)</f>
        <v>0</v>
      </c>
      <c r="BI43" s="504">
        <f>_xlfn.IFERROR(BI42/BI41,0)</f>
        <v>0</v>
      </c>
      <c r="BJ43" s="504">
        <f>_xlfn.IFERROR(BJ42/BJ41,0)</f>
        <v>0</v>
      </c>
      <c r="BK43" s="504">
        <f>_xlfn.IFERROR(BK42/BK41,0)</f>
        <v>0</v>
      </c>
      <c r="BL43" s="504">
        <f>_xlfn.IFERROR(BL42/BL41,0)</f>
        <v>0</v>
      </c>
      <c r="BM43" s="504">
        <f>_xlfn.IFERROR(BM42/BM41,0)</f>
        <v>0</v>
      </c>
      <c r="BN43" s="504">
        <f>_xlfn.IFERROR(BN42/BN41,0)</f>
        <v>0</v>
      </c>
      <c r="BO43" s="504">
        <f>_xlfn.IFERROR(BO42/BO41,0)</f>
        <v>0</v>
      </c>
      <c r="BP43" s="504">
        <f>_xlfn.IFERROR(BP42/BP41,0)</f>
        <v>0</v>
      </c>
      <c r="BQ43" s="504">
        <f>_xlfn.IFERROR(BQ42/BQ41,0)</f>
        <v>0</v>
      </c>
      <c r="BR43" s="504">
        <f>_xlfn.IFERROR(BR42/BR41,0)</f>
        <v>0</v>
      </c>
      <c r="BS43" s="504">
        <f>_xlfn.IFERROR(BS42/BS41,0)</f>
        <v>0</v>
      </c>
      <c r="BT43" s="504">
        <f>_xlfn.IFERROR(BT42/BT41,0)</f>
        <v>0</v>
      </c>
      <c r="BU43" s="504">
        <f>_xlfn.IFERROR(BU42/BU41,0)</f>
        <v>0</v>
      </c>
      <c r="BV43" s="504">
        <f>_xlfn.IFERROR(BV42/BV41,0)</f>
        <v>0</v>
      </c>
      <c r="BW43" s="504">
        <f>_xlfn.IFERROR(BW42/BW41,0)</f>
        <v>0</v>
      </c>
      <c r="BX43" s="504">
        <f>_xlfn.IFERROR(BX42/BX41,0)</f>
        <v>0</v>
      </c>
      <c r="BY43" s="504">
        <f>_xlfn.IFERROR(BY42/BY41,0)</f>
        <v>0</v>
      </c>
      <c r="BZ43" s="504">
        <f>_xlfn.IFERROR(BZ42/BZ41,0)</f>
        <v>0</v>
      </c>
      <c r="CA43" s="504">
        <f>_xlfn.IFERROR(CA42/CA41,0)</f>
        <v>0</v>
      </c>
      <c r="CB43" s="504">
        <f>_xlfn.IFERROR(CB42/CB41,0)</f>
        <v>0</v>
      </c>
      <c r="CC43" s="504">
        <f>_xlfn.IFERROR(CC42/CC41,0)</f>
        <v>0</v>
      </c>
      <c r="CD43" s="504">
        <f>_xlfn.IFERROR(CD42/CD41,0)</f>
        <v>0</v>
      </c>
      <c r="CE43" s="504">
        <f>_xlfn.IFERROR(CE42/CE41,0)</f>
        <v>0</v>
      </c>
      <c r="CF43" s="504">
        <f>_xlfn.IFERROR(CF42/CF41,0)</f>
        <v>0</v>
      </c>
      <c r="CG43" s="504">
        <f>_xlfn.IFERROR(CG42/CG41,0)</f>
        <v>0</v>
      </c>
      <c r="CH43" s="504">
        <f>_xlfn.IFERROR(CH42/CH41,0)</f>
        <v>0</v>
      </c>
      <c r="CI43" s="504">
        <f>_xlfn.IFERROR(CI42/CI41,0)</f>
        <v>0</v>
      </c>
      <c r="CJ43" s="504">
        <f>_xlfn.IFERROR(CJ42/CJ41,0)</f>
        <v>0</v>
      </c>
      <c r="CK43" s="504">
        <f>_xlfn.IFERROR(CK42/CK41,0)</f>
        <v>0</v>
      </c>
      <c r="CL43" s="504">
        <f>_xlfn.IFERROR(CL42/CL41,0)</f>
        <v>0</v>
      </c>
      <c r="CM43" s="504">
        <f>_xlfn.IFERROR(CM42/CM41,0)</f>
        <v>0</v>
      </c>
      <c r="CN43" s="504">
        <f>_xlfn.IFERROR(CN42/CN41,0)</f>
        <v>0</v>
      </c>
      <c r="CO43" s="504">
        <f>_xlfn.IFERROR(CO42/CO41,0)</f>
        <v>0</v>
      </c>
      <c r="CP43" s="504">
        <f>_xlfn.IFERROR(CP42/CP41,0)</f>
        <v>0</v>
      </c>
      <c r="CQ43" s="504">
        <f>_xlfn.IFERROR(CQ42/CQ41,0)</f>
        <v>0</v>
      </c>
      <c r="CR43" s="504">
        <f>_xlfn.IFERROR(CR42/CR41,0)</f>
        <v>0</v>
      </c>
      <c r="CS43" s="504">
        <f>_xlfn.IFERROR(CS42/CS41,0)</f>
        <v>0</v>
      </c>
      <c r="CT43" s="504">
        <f>_xlfn.IFERROR(CT42/CT41,0)</f>
        <v>0</v>
      </c>
      <c r="CU43" s="504">
        <f>_xlfn.IFERROR(CU42/CU41,0)</f>
        <v>0</v>
      </c>
      <c r="CV43" s="504">
        <f>_xlfn.IFERROR(CV42/CV41,0)</f>
        <v>0</v>
      </c>
      <c r="CW43" s="504">
        <f>_xlfn.IFERROR(CW42/CW41,0)</f>
        <v>0</v>
      </c>
      <c r="CX43" s="504">
        <f>_xlfn.IFERROR(CX42/CX41,0)</f>
        <v>0</v>
      </c>
      <c r="CY43" s="504">
        <f>_xlfn.IFERROR(CY42/CY41,0)</f>
        <v>0</v>
      </c>
      <c r="CZ43" s="504">
        <f>_xlfn.IFERROR(CZ42/CZ41,0)</f>
        <v>0</v>
      </c>
      <c r="DA43" s="504">
        <f>_xlfn.IFERROR(DA42/DA41,0)</f>
        <v>0</v>
      </c>
      <c r="DB43" s="504">
        <f>_xlfn.IFERROR(DB42/DB41,0)</f>
        <v>0</v>
      </c>
      <c r="DC43" s="504">
        <f>_xlfn.IFERROR(DC42/DC41,0)</f>
        <v>0</v>
      </c>
      <c r="DD43" s="504">
        <f>_xlfn.IFERROR(DD42/DD41,0)</f>
        <v>0</v>
      </c>
      <c r="DE43" s="504">
        <f>_xlfn.IFERROR(DE42/DE41,0)</f>
        <v>0</v>
      </c>
      <c r="DF43" s="504">
        <f>_xlfn.IFERROR(DF42/DF41,0)</f>
        <v>0</v>
      </c>
      <c r="DG43" s="504">
        <f>_xlfn.IFERROR(DG42/DG41,0)</f>
        <v>0</v>
      </c>
      <c r="DH43" s="504">
        <f>_xlfn.IFERROR(DH42/DH41,0)</f>
        <v>0</v>
      </c>
      <c r="DI43" s="504">
        <f>_xlfn.IFERROR(DI42/DI41,0)</f>
        <v>0</v>
      </c>
      <c r="DJ43" s="504">
        <f>_xlfn.IFERROR(DJ42/DJ41,0)</f>
        <v>0</v>
      </c>
      <c r="DK43" s="504">
        <f>_xlfn.IFERROR(DK42/DK41,0)</f>
        <v>0</v>
      </c>
      <c r="DL43" s="504">
        <f>_xlfn.IFERROR(DL42/DL41,0)</f>
        <v>0</v>
      </c>
      <c r="DM43" s="504">
        <f>_xlfn.IFERROR(DM42/DM41,0)</f>
        <v>0</v>
      </c>
      <c r="DN43" s="504">
        <f>_xlfn.IFERROR(DN42/DN41,0)</f>
        <v>0</v>
      </c>
      <c r="DO43" s="504">
        <f>_xlfn.IFERROR(DO42/DO41,0)</f>
        <v>0</v>
      </c>
      <c r="DP43" s="504">
        <f>_xlfn.IFERROR(DP42/DP41,0)</f>
        <v>0</v>
      </c>
      <c r="DQ43" s="504">
        <f>_xlfn.IFERROR(DQ42/DQ41,0)</f>
        <v>0</v>
      </c>
      <c r="DR43" s="504">
        <f>_xlfn.IFERROR(DR42/DR41,0)</f>
        <v>0</v>
      </c>
      <c r="DS43" s="504">
        <f>_xlfn.IFERROR(DS42/DS41,0)</f>
        <v>0</v>
      </c>
      <c r="DT43" s="504">
        <f>_xlfn.IFERROR(DT42/DT41,0)</f>
        <v>0</v>
      </c>
      <c r="DU43" s="504">
        <f>_xlfn.IFERROR(DU42/DU41,0)</f>
        <v>0</v>
      </c>
      <c r="DV43" s="504">
        <f>_xlfn.IFERROR(DV42/DV41,0)</f>
        <v>0</v>
      </c>
      <c r="DW43" s="504">
        <f>_xlfn.IFERROR(DW42/DW41,0)</f>
        <v>0</v>
      </c>
      <c r="DX43" s="504">
        <f>_xlfn.IFERROR(DX42/DX41,0)</f>
        <v>0</v>
      </c>
      <c r="DY43" s="504">
        <f>_xlfn.IFERROR(DY42/DY41,0)</f>
        <v>0</v>
      </c>
      <c r="DZ43" s="504">
        <f>_xlfn.IFERROR(DZ42/DZ41,0)</f>
        <v>0</v>
      </c>
      <c r="EA43" s="504">
        <f>_xlfn.IFERROR(EA42/EA41,0)</f>
        <v>0</v>
      </c>
      <c r="EB43" s="504">
        <f>_xlfn.IFERROR(EB42/EB41,0)</f>
        <v>0</v>
      </c>
      <c r="EC43" s="504">
        <f>_xlfn.IFERROR(EC42/EC41,0)</f>
        <v>0</v>
      </c>
      <c r="ED43" s="504">
        <f>_xlfn.IFERROR(ED42/ED41,0)</f>
        <v>0</v>
      </c>
      <c r="EE43" s="504">
        <f>_xlfn.IFERROR(EE42/EE41,0)</f>
        <v>0</v>
      </c>
      <c r="EF43" s="504">
        <f>_xlfn.IFERROR(EF42/EF41,0)</f>
        <v>0</v>
      </c>
      <c r="EG43" s="504">
        <f>_xlfn.IFERROR(EG42/EG41,0)</f>
        <v>0</v>
      </c>
      <c r="EH43" s="504">
        <f>_xlfn.IFERROR(EH42/EH41,0)</f>
        <v>0</v>
      </c>
      <c r="EI43" s="504">
        <f>_xlfn.IFERROR(EI42/EI41,0)</f>
        <v>0</v>
      </c>
      <c r="EJ43" s="504">
        <f>_xlfn.IFERROR(EJ42/EJ41,0)</f>
        <v>0</v>
      </c>
      <c r="EK43" s="504">
        <f>_xlfn.IFERROR(EK42/EK41,0)</f>
        <v>0</v>
      </c>
      <c r="EL43" s="504">
        <f>_xlfn.IFERROR(EL42/EL41,0)</f>
        <v>0</v>
      </c>
      <c r="EM43" s="504">
        <f>_xlfn.IFERROR(EM42/EM41,0)</f>
        <v>0</v>
      </c>
      <c r="EN43" s="504">
        <f>_xlfn.IFERROR(EN42/EN41,0)</f>
        <v>0</v>
      </c>
      <c r="EO43" s="504">
        <f>_xlfn.IFERROR(EO42/EO41,0)</f>
        <v>0</v>
      </c>
      <c r="EP43" s="504">
        <f>_xlfn.IFERROR(EP42/EP41,0)</f>
        <v>0</v>
      </c>
      <c r="EQ43" s="504">
        <f>_xlfn.IFERROR(EQ42/EQ41,0)</f>
        <v>0</v>
      </c>
      <c r="ER43" s="504">
        <f>_xlfn.IFERROR(ER42/ER41,0)</f>
        <v>0</v>
      </c>
      <c r="ES43" s="504">
        <f>_xlfn.IFERROR(ES42/ES41,0)</f>
        <v>0</v>
      </c>
      <c r="ET43" s="504">
        <f>_xlfn.IFERROR(ET42/ET41,0)</f>
        <v>0</v>
      </c>
      <c r="EU43" s="504">
        <f>_xlfn.IFERROR(EU42/EU41,0)</f>
        <v>0</v>
      </c>
      <c r="EV43" s="504">
        <f>_xlfn.IFERROR(EV42/EV41,0)</f>
        <v>0</v>
      </c>
      <c r="EW43" s="504">
        <f>_xlfn.IFERROR(EW42/EW41,0)</f>
        <v>0</v>
      </c>
      <c r="EX43" s="504">
        <f>_xlfn.IFERROR(EX42/EX41,0)</f>
        <v>0</v>
      </c>
      <c r="EY43" s="504">
        <f>_xlfn.IFERROR(EY42/EY41,0)</f>
        <v>0</v>
      </c>
      <c r="EZ43" s="504">
        <f>_xlfn.IFERROR(EZ42/EZ41,0)</f>
        <v>0</v>
      </c>
      <c r="FA43" s="504">
        <f>_xlfn.IFERROR(FA42/FA41,0)</f>
        <v>0</v>
      </c>
      <c r="FB43" s="83"/>
      <c r="FE43" s="489" t="s">
        <v>854</v>
      </c>
      <c r="FK43" s="1157" cm="1" t="str">
        <f t="array" ref="FK43:FK43">OFFSET(FJ43,-1,1)</f>
        <v>0</v>
      </c>
      <c r="FL43" s="1078" t="s">
        <v>850</v>
      </c>
      <c r="FM43" s="1159"/>
      <c r="FN43" s="1159"/>
      <c r="FO43" s="1159"/>
      <c r="FP43" s="1159"/>
      <c r="FQ43" s="1159"/>
      <c r="FR43" s="1159"/>
      <c r="FS43" s="1159"/>
      <c r="FT43" s="1159"/>
      <c r="FU43" s="1159"/>
      <c r="FV43" s="1078" t="s">
        <v>255</v>
      </c>
      <c r="FW43" s="1159"/>
      <c r="FX43" s="1078" t="s">
        <v>303</v>
      </c>
      <c r="FY43" s="1078" t="s">
        <v>820</v>
      </c>
      <c r="FZ43" s="1078" t="s">
        <v>821</v>
      </c>
    </row>
    <row customHeight="1" ht="29.25" hidden="1">
      <c r="E44" s="180">
        <v>30</v>
      </c>
      <c r="F44" s="175" cm="1" t="str">
        <f t="array" ref="F44:F44">OFFSET(G44,-1,-1)</f>
        <v>0</v>
      </c>
      <c r="L44" s="175" cm="1" t="str">
        <f t="array" ref="L44:L44">OFFSET(M44,-1,-1)</f>
        <v>false</v>
      </c>
      <c r="S44" s="175" cm="1" t="str">
        <f t="array" ref="S44:S44">OFFSET(T44,-1,-1)</f>
        <v>false</v>
      </c>
      <c r="U44" s="753">
        <f>AND(S44,IF(ISBLANK(T44),TRUE,T44))</f>
        <v>0</v>
      </c>
      <c r="AB44" s="1646"/>
      <c r="AD44" s="491">
        <v>9</v>
      </c>
      <c r="AE44" s="1619" t="s">
        <v>855</v>
      </c>
      <c r="AF44" s="496"/>
      <c r="AG44" s="506" t="s">
        <v>629</v>
      </c>
      <c r="AH44" s="500">
        <f>AH41-AH42</f>
        <v>0</v>
      </c>
      <c r="AI44" s="499">
        <f>AI41-AI42</f>
        <v>0</v>
      </c>
      <c r="AJ44" s="499">
        <f>AJ41-AJ42</f>
        <v>0</v>
      </c>
      <c r="AK44" s="499">
        <f>AK41-AK42</f>
        <v>0</v>
      </c>
      <c r="AL44" s="499">
        <f>AL41-AL42</f>
        <v>0</v>
      </c>
      <c r="AM44" s="499">
        <f>AM41-AM42</f>
        <v>0</v>
      </c>
      <c r="AN44" s="499">
        <f>AN41-AN42</f>
        <v>0</v>
      </c>
      <c r="AO44" s="499">
        <f>AO41-AO42</f>
        <v>0</v>
      </c>
      <c r="AP44" s="499">
        <f>AP41-AP42</f>
        <v>0</v>
      </c>
      <c r="AQ44" s="499">
        <f>AQ41-AQ42</f>
        <v>0</v>
      </c>
      <c r="AR44" s="499">
        <f>AR41-AR42</f>
        <v>0</v>
      </c>
      <c r="AS44" s="499">
        <f>AS41-AS42</f>
        <v>0</v>
      </c>
      <c r="AT44" s="499">
        <f>AT41-AT42</f>
        <v>0</v>
      </c>
      <c r="AU44" s="499">
        <f>AU41-AU42</f>
        <v>0</v>
      </c>
      <c r="AV44" s="499">
        <f>AV41-AV42</f>
        <v>0</v>
      </c>
      <c r="AW44" s="499">
        <f>AW41-AW42</f>
        <v>0</v>
      </c>
      <c r="AX44" s="499">
        <f>AX41-AX42</f>
        <v>0</v>
      </c>
      <c r="AY44" s="499">
        <f>AY41-AY42</f>
        <v>0</v>
      </c>
      <c r="AZ44" s="499">
        <f>AZ41-AZ42</f>
        <v>0</v>
      </c>
      <c r="BA44" s="499">
        <f>BA41-BA42</f>
        <v>0</v>
      </c>
      <c r="BB44" s="499">
        <f>BB41-BB42</f>
        <v>0</v>
      </c>
      <c r="BC44" s="499">
        <f>BC41-BC42</f>
        <v>0</v>
      </c>
      <c r="BD44" s="499">
        <f>BD41-BD42</f>
        <v>0</v>
      </c>
      <c r="BE44" s="499">
        <f>BE41-BE42</f>
        <v>0</v>
      </c>
      <c r="BF44" s="499">
        <f>BF41-BF42</f>
        <v>0</v>
      </c>
      <c r="BG44" s="499">
        <f>BG41-BG42</f>
        <v>0</v>
      </c>
      <c r="BH44" s="499">
        <f>BH41-BH42</f>
        <v>0</v>
      </c>
      <c r="BI44" s="499">
        <f>BI41-BI42</f>
        <v>0</v>
      </c>
      <c r="BJ44" s="499">
        <f>BJ41-BJ42</f>
        <v>0</v>
      </c>
      <c r="BK44" s="499">
        <f>BK41-BK42</f>
        <v>0</v>
      </c>
      <c r="BL44" s="499">
        <f>BL41-BL42</f>
        <v>0</v>
      </c>
      <c r="BM44" s="499">
        <f>BM41-BM42</f>
        <v>0</v>
      </c>
      <c r="BN44" s="499">
        <f>BN41-BN42</f>
        <v>0</v>
      </c>
      <c r="BO44" s="499">
        <f>BO41-BO42</f>
        <v>0</v>
      </c>
      <c r="BP44" s="499">
        <f>BP41-BP42</f>
        <v>0</v>
      </c>
      <c r="BQ44" s="499">
        <f>BQ41-BQ42</f>
        <v>0</v>
      </c>
      <c r="BR44" s="499">
        <f>BR41-BR42</f>
        <v>0</v>
      </c>
      <c r="BS44" s="499">
        <f>BS41-BS42</f>
        <v>0</v>
      </c>
      <c r="BT44" s="499">
        <f>BT41-BT42</f>
        <v>0</v>
      </c>
      <c r="BU44" s="499">
        <f>BU41-BU42</f>
        <v>0</v>
      </c>
      <c r="BV44" s="499">
        <f>BV41-BV42</f>
        <v>0</v>
      </c>
      <c r="BW44" s="499">
        <f>BW41-BW42</f>
        <v>0</v>
      </c>
      <c r="BX44" s="499">
        <f>BX41-BX42</f>
        <v>0</v>
      </c>
      <c r="BY44" s="499">
        <f>BY41-BY42</f>
        <v>0</v>
      </c>
      <c r="BZ44" s="499">
        <f>BZ41-BZ42</f>
        <v>0</v>
      </c>
      <c r="CA44" s="499">
        <f>CA41-CA42</f>
        <v>0</v>
      </c>
      <c r="CB44" s="499">
        <f>CB41-CB42</f>
        <v>0</v>
      </c>
      <c r="CC44" s="499">
        <f>CC41-CC42</f>
        <v>0</v>
      </c>
      <c r="CD44" s="499">
        <f>CD41-CD42</f>
        <v>0</v>
      </c>
      <c r="CE44" s="499">
        <f>CE41-CE42</f>
        <v>0</v>
      </c>
      <c r="CF44" s="499">
        <f>CF41-CF42</f>
        <v>0</v>
      </c>
      <c r="CG44" s="499">
        <f>CG41-CG42</f>
        <v>0</v>
      </c>
      <c r="CH44" s="499">
        <f>CH41-CH42</f>
        <v>0</v>
      </c>
      <c r="CI44" s="499">
        <f>CI41-CI42</f>
        <v>0</v>
      </c>
      <c r="CJ44" s="499">
        <f>CJ41-CJ42</f>
        <v>0</v>
      </c>
      <c r="CK44" s="499">
        <f>CK41-CK42</f>
        <v>0</v>
      </c>
      <c r="CL44" s="499">
        <f>CL41-CL42</f>
        <v>0</v>
      </c>
      <c r="CM44" s="499">
        <f>CM41-CM42</f>
        <v>0</v>
      </c>
      <c r="CN44" s="499">
        <f>CN41-CN42</f>
        <v>0</v>
      </c>
      <c r="CO44" s="499">
        <f>CO41-CO42</f>
        <v>0</v>
      </c>
      <c r="CP44" s="499">
        <f>CP41-CP42</f>
        <v>0</v>
      </c>
      <c r="CQ44" s="499">
        <f>CQ41-CQ42</f>
        <v>0</v>
      </c>
      <c r="CR44" s="499">
        <f>CR41-CR42</f>
        <v>0</v>
      </c>
      <c r="CS44" s="499">
        <f>CS41-CS42</f>
        <v>0</v>
      </c>
      <c r="CT44" s="499">
        <f>CT41-CT42</f>
        <v>0</v>
      </c>
      <c r="CU44" s="499">
        <f>CU41-CU42</f>
        <v>0</v>
      </c>
      <c r="CV44" s="499">
        <f>CV41-CV42</f>
        <v>0</v>
      </c>
      <c r="CW44" s="499">
        <f>CW41-CW42</f>
        <v>0</v>
      </c>
      <c r="CX44" s="499">
        <f>CX41-CX42</f>
        <v>0</v>
      </c>
      <c r="CY44" s="499">
        <f>CY41-CY42</f>
        <v>0</v>
      </c>
      <c r="CZ44" s="499">
        <f>CZ41-CZ42</f>
        <v>0</v>
      </c>
      <c r="DA44" s="499">
        <f>DA41-DA42</f>
        <v>0</v>
      </c>
      <c r="DB44" s="499">
        <f>DB41-DB42</f>
        <v>0</v>
      </c>
      <c r="DC44" s="499">
        <f>DC41-DC42</f>
        <v>0</v>
      </c>
      <c r="DD44" s="499">
        <f>DD41-DD42</f>
        <v>0</v>
      </c>
      <c r="DE44" s="499">
        <f>DE41-DE42</f>
        <v>0</v>
      </c>
      <c r="DF44" s="499">
        <f>DF41-DF42</f>
        <v>0</v>
      </c>
      <c r="DG44" s="499">
        <f>DG41-DG42</f>
        <v>0</v>
      </c>
      <c r="DH44" s="499">
        <f>DH41-DH42</f>
        <v>0</v>
      </c>
      <c r="DI44" s="499">
        <f>DI41-DI42</f>
        <v>0</v>
      </c>
      <c r="DJ44" s="499">
        <f>DJ41-DJ42</f>
        <v>0</v>
      </c>
      <c r="DK44" s="499">
        <f>DK41-DK42</f>
        <v>0</v>
      </c>
      <c r="DL44" s="499">
        <f>DL41-DL42</f>
        <v>0</v>
      </c>
      <c r="DM44" s="499">
        <f>DM41-DM42</f>
        <v>0</v>
      </c>
      <c r="DN44" s="499">
        <f>DN41-DN42</f>
        <v>0</v>
      </c>
      <c r="DO44" s="499">
        <f>DO41-DO42</f>
        <v>0</v>
      </c>
      <c r="DP44" s="499">
        <f>DP41-DP42</f>
        <v>0</v>
      </c>
      <c r="DQ44" s="499">
        <f>DQ41-DQ42</f>
        <v>0</v>
      </c>
      <c r="DR44" s="499">
        <f>DR41-DR42</f>
        <v>0</v>
      </c>
      <c r="DS44" s="499">
        <f>DS41-DS42</f>
        <v>0</v>
      </c>
      <c r="DT44" s="499">
        <f>DT41-DT42</f>
        <v>0</v>
      </c>
      <c r="DU44" s="499">
        <f>DU41-DU42</f>
        <v>0</v>
      </c>
      <c r="DV44" s="499">
        <f>DV41-DV42</f>
        <v>0</v>
      </c>
      <c r="DW44" s="499">
        <f>DW41-DW42</f>
        <v>0</v>
      </c>
      <c r="DX44" s="499">
        <f>DX41-DX42</f>
        <v>0</v>
      </c>
      <c r="DY44" s="499">
        <f>DY41-DY42</f>
        <v>0</v>
      </c>
      <c r="DZ44" s="499">
        <f>DZ41-DZ42</f>
        <v>0</v>
      </c>
      <c r="EA44" s="499">
        <f>EA41-EA42</f>
        <v>0</v>
      </c>
      <c r="EB44" s="499">
        <f>EB41-EB42</f>
        <v>0</v>
      </c>
      <c r="EC44" s="499">
        <f>EC41-EC42</f>
        <v>0</v>
      </c>
      <c r="ED44" s="499">
        <f>ED41-ED42</f>
        <v>0</v>
      </c>
      <c r="EE44" s="499">
        <f>EE41-EE42</f>
        <v>0</v>
      </c>
      <c r="EF44" s="499">
        <f>EF41-EF42</f>
        <v>0</v>
      </c>
      <c r="EG44" s="499">
        <f>EG41-EG42</f>
        <v>0</v>
      </c>
      <c r="EH44" s="499">
        <f>EH41-EH42</f>
        <v>0</v>
      </c>
      <c r="EI44" s="499">
        <f>EI41-EI42</f>
        <v>0</v>
      </c>
      <c r="EJ44" s="499">
        <f>EJ41-EJ42</f>
        <v>0</v>
      </c>
      <c r="EK44" s="499">
        <f>EK41-EK42</f>
        <v>0</v>
      </c>
      <c r="EL44" s="499">
        <f>EL41-EL42</f>
        <v>0</v>
      </c>
      <c r="EM44" s="499">
        <f>EM41-EM42</f>
        <v>0</v>
      </c>
      <c r="EN44" s="499">
        <f>EN41-EN42</f>
        <v>0</v>
      </c>
      <c r="EO44" s="499">
        <f>EO41-EO42</f>
        <v>0</v>
      </c>
      <c r="EP44" s="499">
        <f>EP41-EP42</f>
        <v>0</v>
      </c>
      <c r="EQ44" s="499">
        <f>EQ41-EQ42</f>
        <v>0</v>
      </c>
      <c r="ER44" s="499">
        <f>ER41-ER42</f>
        <v>0</v>
      </c>
      <c r="ES44" s="499">
        <f>ES41-ES42</f>
        <v>0</v>
      </c>
      <c r="ET44" s="499">
        <f>ET41-ET42</f>
        <v>0</v>
      </c>
      <c r="EU44" s="499">
        <f>EU41-EU42</f>
        <v>0</v>
      </c>
      <c r="EV44" s="499">
        <f>EV41-EV42</f>
        <v>0</v>
      </c>
      <c r="EW44" s="499">
        <f>EW41-EW42</f>
        <v>0</v>
      </c>
      <c r="EX44" s="499">
        <f>EX41-EX42</f>
        <v>0</v>
      </c>
      <c r="EY44" s="499">
        <f>EY41-EY42</f>
        <v>0</v>
      </c>
      <c r="EZ44" s="499">
        <f>EZ41-EZ42</f>
        <v>0</v>
      </c>
      <c r="FA44" s="499">
        <f>FA41-FA42</f>
        <v>0</v>
      </c>
      <c r="FB44" s="83"/>
      <c r="FE44" s="489" t="s">
        <v>856</v>
      </c>
      <c r="FK44" s="1157" cm="1" t="str">
        <f t="array" ref="FK44:FK44">OFFSET(FJ44,-1,1)</f>
        <v>0</v>
      </c>
      <c r="FL44" s="1078" t="s">
        <v>850</v>
      </c>
      <c r="FM44" s="1159"/>
      <c r="FN44" s="1159"/>
      <c r="FO44" s="1159"/>
      <c r="FP44" s="1159"/>
      <c r="FQ44" s="1078" t="s">
        <v>857</v>
      </c>
      <c r="FR44" s="1159"/>
      <c r="FS44" s="1159"/>
      <c r="FT44" s="1159"/>
      <c r="FU44" s="1159"/>
      <c r="FV44" s="1159"/>
      <c r="FW44" s="1159"/>
      <c r="FX44" s="1078" t="s">
        <v>303</v>
      </c>
      <c r="FY44" s="1078" t="s">
        <v>667</v>
      </c>
      <c r="FZ44" s="1078" t="s">
        <v>668</v>
      </c>
    </row>
    <row customHeight="1" ht="16.575" hidden="1">
      <c r="E45" s="180">
        <v>17</v>
      </c>
      <c r="F45" s="175" cm="1" t="str">
        <f t="array" ref="F45:F45">OFFSET(G45,-1,-1)</f>
        <v>0</v>
      </c>
      <c r="L45" s="175" cm="1" t="str">
        <f t="array" ref="L45:L45">OFFSET(M45,-1,-1)</f>
        <v>false</v>
      </c>
      <c r="R45" s="175" t="s">
        <v>804</v>
      </c>
      <c r="S45" s="175" cm="1" t="str">
        <f t="array" ref="S45:S45">OFFSET(T45,-1,-1)</f>
        <v>false</v>
      </c>
      <c r="T45" s="175" cm="1" t="str">
        <f t="array" ref="T45:T45">L45</f>
        <v>false</v>
      </c>
      <c r="U45" s="753">
        <f>AND(S45,IF(ISBLANK(T45),TRUE,T45))</f>
        <v>0</v>
      </c>
      <c r="AB45" s="1646"/>
      <c r="AD45" s="491">
        <v>10</v>
      </c>
      <c r="AE45" s="1619" t="s">
        <v>830</v>
      </c>
      <c r="AF45" s="496"/>
      <c r="AG45" s="507" t="s">
        <v>807</v>
      </c>
      <c r="AH45" s="88"/>
      <c r="AI45" s="89"/>
      <c r="AJ45" s="89"/>
      <c r="AK45" s="89"/>
      <c r="AL45" s="499">
        <f>AM45+AN45</f>
        <v>0</v>
      </c>
      <c r="AM45" s="89"/>
      <c r="AN45" s="89"/>
      <c r="AO45" s="499">
        <f>AP45+AQ45</f>
        <v>0</v>
      </c>
      <c r="AP45" s="89"/>
      <c r="AQ45" s="89"/>
      <c r="AR45" s="499">
        <f>AS45+AT45</f>
        <v>0</v>
      </c>
      <c r="AS45" s="89"/>
      <c r="AT45" s="89"/>
      <c r="AU45" s="499">
        <f>AV45+AW45</f>
        <v>0</v>
      </c>
      <c r="AV45" s="89"/>
      <c r="AW45" s="89"/>
      <c r="AX45" s="499">
        <f>AY45+AZ45</f>
        <v>0</v>
      </c>
      <c r="AY45" s="89"/>
      <c r="AZ45" s="89"/>
      <c r="BA45" s="499">
        <f>BB45+BC45</f>
        <v>0</v>
      </c>
      <c r="BB45" s="89"/>
      <c r="BC45" s="89"/>
      <c r="BD45" s="499">
        <f>BE45+BF45</f>
        <v>0</v>
      </c>
      <c r="BE45" s="89"/>
      <c r="BF45" s="89"/>
      <c r="BG45" s="499">
        <f>BH45+BI45</f>
        <v>0</v>
      </c>
      <c r="BH45" s="89"/>
      <c r="BI45" s="89"/>
      <c r="BJ45" s="499">
        <f>BK45+BL45</f>
        <v>0</v>
      </c>
      <c r="BK45" s="89"/>
      <c r="BL45" s="89"/>
      <c r="BM45" s="499">
        <f>BN45+BO45</f>
        <v>0</v>
      </c>
      <c r="BN45" s="89"/>
      <c r="BO45" s="89"/>
      <c r="BP45" s="499">
        <f>BQ45+BR45</f>
        <v>0</v>
      </c>
      <c r="BQ45" s="89"/>
      <c r="BR45" s="89"/>
      <c r="BS45" s="499">
        <f>BT45+BU45</f>
        <v>0</v>
      </c>
      <c r="BT45" s="89"/>
      <c r="BU45" s="89"/>
      <c r="BV45" s="499">
        <f>BW45+BX45</f>
        <v>0</v>
      </c>
      <c r="BW45" s="89"/>
      <c r="BX45" s="89"/>
      <c r="BY45" s="499">
        <f>BZ45+CA45</f>
        <v>0</v>
      </c>
      <c r="BZ45" s="89"/>
      <c r="CA45" s="89"/>
      <c r="CB45" s="499">
        <f>CC45+CD45</f>
        <v>0</v>
      </c>
      <c r="CC45" s="89"/>
      <c r="CD45" s="89"/>
      <c r="CE45" s="499">
        <f>CF45+CG45</f>
        <v>0</v>
      </c>
      <c r="CF45" s="89"/>
      <c r="CG45" s="89"/>
      <c r="CH45" s="499">
        <f>CI45+CJ45</f>
        <v>0</v>
      </c>
      <c r="CI45" s="89"/>
      <c r="CJ45" s="89"/>
      <c r="CK45" s="499">
        <f>CL45+CM45</f>
        <v>0</v>
      </c>
      <c r="CL45" s="89"/>
      <c r="CM45" s="89"/>
      <c r="CN45" s="499">
        <f>CO45+CP45</f>
        <v>0</v>
      </c>
      <c r="CO45" s="89"/>
      <c r="CP45" s="89"/>
      <c r="CQ45" s="499">
        <f>CR45+CS45</f>
        <v>0</v>
      </c>
      <c r="CR45" s="89"/>
      <c r="CS45" s="89"/>
      <c r="CT45" s="499">
        <f>CU45+CV45</f>
        <v>0</v>
      </c>
      <c r="CU45" s="498"/>
      <c r="CV45" s="498"/>
      <c r="CW45" s="499">
        <f>CX45+CY45</f>
        <v>0</v>
      </c>
      <c r="CX45" s="89"/>
      <c r="CY45" s="89"/>
      <c r="CZ45" s="499">
        <f>DA45+DB45</f>
        <v>0</v>
      </c>
      <c r="DA45" s="89"/>
      <c r="DB45" s="89"/>
      <c r="DC45" s="499">
        <f>DD45+DE45</f>
        <v>0</v>
      </c>
      <c r="DD45" s="89"/>
      <c r="DE45" s="89"/>
      <c r="DF45" s="499">
        <f>DG45+DH45</f>
        <v>0</v>
      </c>
      <c r="DG45" s="89"/>
      <c r="DH45" s="89"/>
      <c r="DI45" s="499">
        <f>DJ45+DK45</f>
        <v>0</v>
      </c>
      <c r="DJ45" s="89"/>
      <c r="DK45" s="89"/>
      <c r="DL45" s="499">
        <f>DM45+DN45</f>
        <v>0</v>
      </c>
      <c r="DM45" s="89"/>
      <c r="DN45" s="89"/>
      <c r="DO45" s="499">
        <f>DP45+DQ45</f>
        <v>0</v>
      </c>
      <c r="DP45" s="89"/>
      <c r="DQ45" s="89"/>
      <c r="DR45" s="499">
        <f>DS45+DT45</f>
        <v>0</v>
      </c>
      <c r="DS45" s="89"/>
      <c r="DT45" s="89"/>
      <c r="DU45" s="499">
        <f>DV45+DW45</f>
        <v>0</v>
      </c>
      <c r="DV45" s="89"/>
      <c r="DW45" s="89"/>
      <c r="DX45" s="499">
        <f>DY45+DZ45</f>
        <v>0</v>
      </c>
      <c r="DY45" s="89"/>
      <c r="DZ45" s="89"/>
      <c r="EA45" s="499">
        <f>EB45+EC45</f>
        <v>0</v>
      </c>
      <c r="EB45" s="89"/>
      <c r="EC45" s="89"/>
      <c r="ED45" s="499">
        <f>EE45+EF45</f>
        <v>0</v>
      </c>
      <c r="EE45" s="89"/>
      <c r="EF45" s="89"/>
      <c r="EG45" s="499">
        <f>EH45+EI45</f>
        <v>0</v>
      </c>
      <c r="EH45" s="89"/>
      <c r="EI45" s="89"/>
      <c r="EJ45" s="499">
        <f>EK45+EL45</f>
        <v>0</v>
      </c>
      <c r="EK45" s="89"/>
      <c r="EL45" s="89"/>
      <c r="EM45" s="499">
        <f>EN45+EO45</f>
        <v>0</v>
      </c>
      <c r="EN45" s="89"/>
      <c r="EO45" s="89"/>
      <c r="EP45" s="499">
        <f>EQ45+ER45</f>
        <v>0</v>
      </c>
      <c r="EQ45" s="89"/>
      <c r="ER45" s="89"/>
      <c r="ES45" s="499">
        <f>ET45+EU45</f>
        <v>0</v>
      </c>
      <c r="ET45" s="89"/>
      <c r="EU45" s="89"/>
      <c r="EV45" s="499">
        <f>EW45+EX45</f>
        <v>0</v>
      </c>
      <c r="EW45" s="89"/>
      <c r="EX45" s="89"/>
      <c r="EY45" s="499">
        <f>EZ45+FA45</f>
        <v>0</v>
      </c>
      <c r="EZ45" s="89"/>
      <c r="FA45" s="89"/>
      <c r="FB45" s="83"/>
      <c r="FE45" s="489" t="s">
        <v>858</v>
      </c>
      <c r="FK45" s="1157" cm="1" t="str">
        <f t="array" ref="FK45:FK45">OFFSET(FJ45,-1,1)</f>
        <v>0</v>
      </c>
      <c r="FL45" s="1078" t="s">
        <v>518</v>
      </c>
      <c r="FM45" s="1159"/>
      <c r="FN45" s="1159"/>
      <c r="FO45" s="1159"/>
      <c r="FP45" s="1159"/>
      <c r="FQ45" s="1159"/>
      <c r="FR45" s="1159"/>
      <c r="FS45" s="1159"/>
      <c r="FT45" s="1159"/>
      <c r="FU45" s="1159"/>
      <c r="FV45" s="1078" t="s">
        <v>449</v>
      </c>
      <c r="FW45" s="1159"/>
      <c r="FX45" s="1078" t="s">
        <v>303</v>
      </c>
      <c r="FY45" s="1078" t="s">
        <v>846</v>
      </c>
      <c r="FZ45" s="1078" t="s">
        <v>847</v>
      </c>
    </row>
    <row customHeight="1" ht="29.25" hidden="1">
      <c r="E46" s="180">
        <v>30</v>
      </c>
      <c r="F46" s="175" cm="1" t="str">
        <f t="array" ref="F46:F46">OFFSET(G46,-1,-1)</f>
        <v>0</v>
      </c>
      <c r="L46" s="175" cm="1" t="str">
        <f t="array" ref="L46:L46">OFFSET(M46,-1,-1)</f>
        <v>false</v>
      </c>
      <c r="R46" s="175" t="s">
        <v>804</v>
      </c>
      <c r="S46" s="175" cm="1" t="str">
        <f t="array" ref="S46:S46">OFFSET(T46,-1,-1)</f>
        <v>false</v>
      </c>
      <c r="T46" s="175" cm="1" t="str">
        <f t="array" ref="T46:T46">L46</f>
        <v>false</v>
      </c>
      <c r="U46" s="753">
        <f>AND(S46,IF(ISBLANK(T46),TRUE,T46))</f>
        <v>0</v>
      </c>
      <c r="AB46" s="1646"/>
      <c r="AD46" s="491">
        <v>11</v>
      </c>
      <c r="AE46" s="1619" t="s">
        <v>859</v>
      </c>
      <c r="AF46" s="496"/>
      <c r="AG46" s="507" t="s">
        <v>860</v>
      </c>
      <c r="AH46" s="88"/>
      <c r="AI46" s="89"/>
      <c r="AJ46" s="89"/>
      <c r="AK46" s="89"/>
      <c r="AL46" s="499">
        <f>_xlfn.IFERROR(AL47*1000/AL45,0)</f>
        <v>0</v>
      </c>
      <c r="AM46" s="89"/>
      <c r="AN46" s="89" cm="1" t="str">
        <f t="array" ref="AN46:AN46">AM46</f>
        <v>0</v>
      </c>
      <c r="AO46" s="499">
        <f>_xlfn.IFERROR(AO47*1000/AO45,0)</f>
        <v>0</v>
      </c>
      <c r="AP46" s="89"/>
      <c r="AQ46" s="89" cm="1" t="str">
        <f t="array" ref="AQ46:AQ46">AP46</f>
        <v>0</v>
      </c>
      <c r="AR46" s="499">
        <f>_xlfn.IFERROR(AR47*1000/AR45,0)</f>
        <v>0</v>
      </c>
      <c r="AS46" s="89"/>
      <c r="AT46" s="89" cm="1" t="str">
        <f t="array" ref="AT46:AT46">AS46</f>
        <v>0</v>
      </c>
      <c r="AU46" s="499">
        <f>_xlfn.IFERROR(AU47*1000/AU45,0)</f>
        <v>0</v>
      </c>
      <c r="AV46" s="89"/>
      <c r="AW46" s="89" cm="1" t="str">
        <f t="array" ref="AW46:AW46">AV46</f>
        <v>0</v>
      </c>
      <c r="AX46" s="499">
        <f>_xlfn.IFERROR(AX47*1000/AX45,0)</f>
        <v>0</v>
      </c>
      <c r="AY46" s="89"/>
      <c r="AZ46" s="89" cm="1" t="str">
        <f t="array" ref="AZ46:AZ46">AY46</f>
        <v>0</v>
      </c>
      <c r="BA46" s="499">
        <f>_xlfn.IFERROR(BA47*1000/BA45,0)</f>
        <v>0</v>
      </c>
      <c r="BB46" s="89"/>
      <c r="BC46" s="89" cm="1" t="str">
        <f t="array" ref="BC46:BC46">BB46</f>
        <v>0</v>
      </c>
      <c r="BD46" s="499">
        <f>_xlfn.IFERROR(BD47*1000/BD45,0)</f>
        <v>0</v>
      </c>
      <c r="BE46" s="89"/>
      <c r="BF46" s="89" cm="1" t="str">
        <f t="array" ref="BF46:BF46">BE46</f>
        <v>0</v>
      </c>
      <c r="BG46" s="499">
        <f>_xlfn.IFERROR(BG47*1000/BG45,0)</f>
        <v>0</v>
      </c>
      <c r="BH46" s="89"/>
      <c r="BI46" s="89" cm="1" t="str">
        <f t="array" ref="BI46:BI46">BH46</f>
        <v>0</v>
      </c>
      <c r="BJ46" s="499">
        <f>_xlfn.IFERROR(BJ47*1000/BJ45,0)</f>
        <v>0</v>
      </c>
      <c r="BK46" s="89"/>
      <c r="BL46" s="89" cm="1" t="str">
        <f t="array" ref="BL46:BL46">BK46</f>
        <v>0</v>
      </c>
      <c r="BM46" s="499">
        <f>_xlfn.IFERROR(BM47*1000/BM45,0)</f>
        <v>0</v>
      </c>
      <c r="BN46" s="89"/>
      <c r="BO46" s="89" cm="1" t="str">
        <f t="array" ref="BO46:BO46">BN46</f>
        <v>0</v>
      </c>
      <c r="BP46" s="499">
        <f>_xlfn.IFERROR(BP47*1000/BP45,0)</f>
        <v>0</v>
      </c>
      <c r="BQ46" s="89"/>
      <c r="BR46" s="89" cm="1" t="str">
        <f t="array" ref="BR46:BR46">BQ46</f>
        <v>0</v>
      </c>
      <c r="BS46" s="499">
        <f>_xlfn.IFERROR(BS47*1000/BS45,0)</f>
        <v>0</v>
      </c>
      <c r="BT46" s="89"/>
      <c r="BU46" s="89" cm="1" t="str">
        <f t="array" ref="BU46:BU46">BT46</f>
        <v>0</v>
      </c>
      <c r="BV46" s="499">
        <f>_xlfn.IFERROR(BV47*1000/BV45,0)</f>
        <v>0</v>
      </c>
      <c r="BW46" s="89"/>
      <c r="BX46" s="89" cm="1" t="str">
        <f t="array" ref="BX46:BX46">BW46</f>
        <v>0</v>
      </c>
      <c r="BY46" s="499">
        <f>_xlfn.IFERROR(BY47*1000/BY45,0)</f>
        <v>0</v>
      </c>
      <c r="BZ46" s="89"/>
      <c r="CA46" s="89" cm="1" t="str">
        <f t="array" ref="CA46:CA46">BZ46</f>
        <v>0</v>
      </c>
      <c r="CB46" s="499">
        <f>_xlfn.IFERROR(CB47*1000/CB45,0)</f>
        <v>0</v>
      </c>
      <c r="CC46" s="89"/>
      <c r="CD46" s="89" cm="1" t="str">
        <f t="array" ref="CD46:CD46">CC46</f>
        <v>0</v>
      </c>
      <c r="CE46" s="499">
        <f>_xlfn.IFERROR(CE47*1000/CE45,0)</f>
        <v>0</v>
      </c>
      <c r="CF46" s="89"/>
      <c r="CG46" s="89" cm="1" t="str">
        <f t="array" ref="CG46:CG46">CF46</f>
        <v>0</v>
      </c>
      <c r="CH46" s="499">
        <f>_xlfn.IFERROR(CH47*1000/CH45,0)</f>
        <v>0</v>
      </c>
      <c r="CI46" s="89"/>
      <c r="CJ46" s="89" cm="1" t="str">
        <f t="array" ref="CJ46:CJ46">CI46</f>
        <v>0</v>
      </c>
      <c r="CK46" s="499">
        <f>_xlfn.IFERROR(CK47*1000/CK45,0)</f>
        <v>0</v>
      </c>
      <c r="CL46" s="89"/>
      <c r="CM46" s="89" cm="1" t="str">
        <f t="array" ref="CM46:CM46">CL46</f>
        <v>0</v>
      </c>
      <c r="CN46" s="499">
        <f>_xlfn.IFERROR(CN47*1000/CN45,0)</f>
        <v>0</v>
      </c>
      <c r="CO46" s="89"/>
      <c r="CP46" s="89" cm="1" t="str">
        <f t="array" ref="CP46:CP46">CO46</f>
        <v>0</v>
      </c>
      <c r="CQ46" s="499">
        <f>_xlfn.IFERROR(CQ47*1000/CQ45,0)</f>
        <v>0</v>
      </c>
      <c r="CR46" s="89"/>
      <c r="CS46" s="89" cm="1" t="str">
        <f t="array" ref="CS46:CS46">CR46</f>
        <v>0</v>
      </c>
      <c r="CT46" s="499">
        <f>_xlfn.IFERROR(CT47*1000/CT45,0)</f>
        <v>0</v>
      </c>
      <c r="CU46" s="498"/>
      <c r="CV46" s="498" cm="1" t="str">
        <f t="array" ref="CV46:CV46">CU46</f>
        <v>0</v>
      </c>
      <c r="CW46" s="499">
        <f>_xlfn.IFERROR(CW47*1000/CW45,0)</f>
        <v>0</v>
      </c>
      <c r="CX46" s="89"/>
      <c r="CY46" s="89" cm="1" t="str">
        <f t="array" ref="CY46:CY46">CX46</f>
        <v>0</v>
      </c>
      <c r="CZ46" s="499">
        <f>_xlfn.IFERROR(CZ47*1000/CZ45,0)</f>
        <v>0</v>
      </c>
      <c r="DA46" s="89"/>
      <c r="DB46" s="89" cm="1" t="str">
        <f t="array" ref="DB46:DB46">DA46</f>
        <v>0</v>
      </c>
      <c r="DC46" s="499">
        <f>_xlfn.IFERROR(DC47*1000/DC45,0)</f>
        <v>0</v>
      </c>
      <c r="DD46" s="89"/>
      <c r="DE46" s="89" cm="1" t="str">
        <f t="array" ref="DE46:DE46">DD46</f>
        <v>0</v>
      </c>
      <c r="DF46" s="499">
        <f>_xlfn.IFERROR(DF47*1000/DF45,0)</f>
        <v>0</v>
      </c>
      <c r="DG46" s="89"/>
      <c r="DH46" s="89" cm="1" t="str">
        <f t="array" ref="DH46:DH46">DG46</f>
        <v>0</v>
      </c>
      <c r="DI46" s="499">
        <f>_xlfn.IFERROR(DI47*1000/DI45,0)</f>
        <v>0</v>
      </c>
      <c r="DJ46" s="89"/>
      <c r="DK46" s="89" cm="1" t="str">
        <f t="array" ref="DK46:DK46">DJ46</f>
        <v>0</v>
      </c>
      <c r="DL46" s="499">
        <f>_xlfn.IFERROR(DL47*1000/DL45,0)</f>
        <v>0</v>
      </c>
      <c r="DM46" s="89"/>
      <c r="DN46" s="89" cm="1" t="str">
        <f t="array" ref="DN46:DN46">DM46</f>
        <v>0</v>
      </c>
      <c r="DO46" s="499">
        <f>_xlfn.IFERROR(DO47*1000/DO45,0)</f>
        <v>0</v>
      </c>
      <c r="DP46" s="89"/>
      <c r="DQ46" s="89" cm="1" t="str">
        <f t="array" ref="DQ46:DQ46">DP46</f>
        <v>0</v>
      </c>
      <c r="DR46" s="499">
        <f>_xlfn.IFERROR(DR47*1000/DR45,0)</f>
        <v>0</v>
      </c>
      <c r="DS46" s="89"/>
      <c r="DT46" s="89" cm="1" t="str">
        <f t="array" ref="DT46:DT46">DS46</f>
        <v>0</v>
      </c>
      <c r="DU46" s="499">
        <f>_xlfn.IFERROR(DU47*1000/DU45,0)</f>
        <v>0</v>
      </c>
      <c r="DV46" s="89"/>
      <c r="DW46" s="89" cm="1" t="str">
        <f t="array" ref="DW46:DW46">DV46</f>
        <v>0</v>
      </c>
      <c r="DX46" s="499">
        <f>_xlfn.IFERROR(DX47*1000/DX45,0)</f>
        <v>0</v>
      </c>
      <c r="DY46" s="89"/>
      <c r="DZ46" s="89" cm="1" t="str">
        <f t="array" ref="DZ46:DZ46">DY46</f>
        <v>0</v>
      </c>
      <c r="EA46" s="499">
        <f>_xlfn.IFERROR(EA47*1000/EA45,0)</f>
        <v>0</v>
      </c>
      <c r="EB46" s="89"/>
      <c r="EC46" s="89" cm="1" t="str">
        <f t="array" ref="EC46:EC46">EB46</f>
        <v>0</v>
      </c>
      <c r="ED46" s="499">
        <f>_xlfn.IFERROR(ED47*1000/ED45,0)</f>
        <v>0</v>
      </c>
      <c r="EE46" s="89"/>
      <c r="EF46" s="89" cm="1" t="str">
        <f t="array" ref="EF46:EF46">EE46</f>
        <v>0</v>
      </c>
      <c r="EG46" s="499">
        <f>_xlfn.IFERROR(EG47*1000/EG45,0)</f>
        <v>0</v>
      </c>
      <c r="EH46" s="89"/>
      <c r="EI46" s="89" cm="1" t="str">
        <f t="array" ref="EI46:EI46">EH46</f>
        <v>0</v>
      </c>
      <c r="EJ46" s="499">
        <f>_xlfn.IFERROR(EJ47*1000/EJ45,0)</f>
        <v>0</v>
      </c>
      <c r="EK46" s="89"/>
      <c r="EL46" s="89" cm="1" t="str">
        <f t="array" ref="EL46:EL46">EK46</f>
        <v>0</v>
      </c>
      <c r="EM46" s="499">
        <f>_xlfn.IFERROR(EM47*1000/EM45,0)</f>
        <v>0</v>
      </c>
      <c r="EN46" s="89"/>
      <c r="EO46" s="89" cm="1" t="str">
        <f t="array" ref="EO46:EO46">EN46</f>
        <v>0</v>
      </c>
      <c r="EP46" s="499">
        <f>_xlfn.IFERROR(EP47*1000/EP45,0)</f>
        <v>0</v>
      </c>
      <c r="EQ46" s="89"/>
      <c r="ER46" s="89" cm="1" t="str">
        <f t="array" ref="ER46:ER46">EQ46</f>
        <v>0</v>
      </c>
      <c r="ES46" s="499">
        <f>_xlfn.IFERROR(ES47*1000/ES45,0)</f>
        <v>0</v>
      </c>
      <c r="ET46" s="89"/>
      <c r="EU46" s="89" cm="1" t="str">
        <f t="array" ref="EU46:EU46">ET46</f>
        <v>0</v>
      </c>
      <c r="EV46" s="499">
        <f>_xlfn.IFERROR(EV47*1000/EV45,0)</f>
        <v>0</v>
      </c>
      <c r="EW46" s="89"/>
      <c r="EX46" s="89" cm="1" t="str">
        <f t="array" ref="EX46:EX46">EW46</f>
        <v>0</v>
      </c>
      <c r="EY46" s="499">
        <f>_xlfn.IFERROR(EY47*1000/EY45,0)</f>
        <v>0</v>
      </c>
      <c r="EZ46" s="89"/>
      <c r="FA46" s="89" cm="1" t="str">
        <f t="array" ref="FA46:FA46">EZ46</f>
        <v>0</v>
      </c>
      <c r="FB46" s="83"/>
      <c r="FE46" s="489" t="s">
        <v>861</v>
      </c>
      <c r="FK46" s="1157" cm="1" t="str">
        <f t="array" ref="FK46:FK46">OFFSET(FJ46,-1,1)</f>
        <v>0</v>
      </c>
      <c r="FL46" s="1078" t="s">
        <v>862</v>
      </c>
      <c r="FM46" s="1159"/>
      <c r="FN46" s="1159"/>
      <c r="FO46" s="1159"/>
      <c r="FP46" s="1159"/>
      <c r="FQ46" s="1159"/>
      <c r="FR46" s="1159"/>
      <c r="FS46" s="1159"/>
      <c r="FT46" s="1159"/>
      <c r="FU46" s="1159"/>
      <c r="FV46" s="1078" t="s">
        <v>219</v>
      </c>
      <c r="FW46" s="1159"/>
      <c r="FX46" s="1078" t="s">
        <v>303</v>
      </c>
      <c r="FY46" s="1078" t="s">
        <v>863</v>
      </c>
      <c r="FZ46" s="1078" t="s">
        <v>864</v>
      </c>
    </row>
    <row customHeight="1" ht="16.575" hidden="1">
      <c r="E47" s="180">
        <v>17</v>
      </c>
      <c r="F47" s="175" cm="1" t="str">
        <f t="array" ref="F47:F47">OFFSET(G47,-1,-1)</f>
        <v>0</v>
      </c>
      <c r="L47" s="175" cm="1" t="str">
        <f t="array" ref="L47:L47">OFFSET(M47,-1,-1)</f>
        <v>false</v>
      </c>
      <c r="R47" s="175" t="s">
        <v>804</v>
      </c>
      <c r="S47" s="175" cm="1" t="str">
        <f t="array" ref="S47:S47">OFFSET(T47,-1,-1)</f>
        <v>false</v>
      </c>
      <c r="T47" s="175" cm="1" t="str">
        <f t="array" ref="T47:T47">L47</f>
        <v>false</v>
      </c>
      <c r="U47" s="753">
        <f>AND(S47,IF(ISBLANK(T47),TRUE,T47))</f>
        <v>0</v>
      </c>
      <c r="AB47" s="1646"/>
      <c r="AD47" s="491">
        <v>12</v>
      </c>
      <c r="AE47" s="1619" t="s">
        <v>865</v>
      </c>
      <c r="AF47" s="496"/>
      <c r="AG47" s="507" t="s">
        <v>866</v>
      </c>
      <c r="AH47" s="444">
        <f>AH45*AH46/1000</f>
        <v>0</v>
      </c>
      <c r="AI47" s="438">
        <f>AI45*AI46/1000</f>
        <v>0</v>
      </c>
      <c r="AJ47" s="438">
        <f>AJ45*AJ46/1000</f>
        <v>0</v>
      </c>
      <c r="AK47" s="438">
        <f>AK45*AK46/1000</f>
        <v>0</v>
      </c>
      <c r="AL47" s="499">
        <f>AM47+AN47</f>
        <v>0</v>
      </c>
      <c r="AM47" s="438">
        <f>AM45*AM46/1000</f>
        <v>0</v>
      </c>
      <c r="AN47" s="438">
        <f>AN45*AN46/1000</f>
        <v>0</v>
      </c>
      <c r="AO47" s="499">
        <f>AP47+AQ47</f>
        <v>0</v>
      </c>
      <c r="AP47" s="438">
        <f>AP45*AP46/1000</f>
        <v>0</v>
      </c>
      <c r="AQ47" s="438">
        <f>AQ45*AQ46/1000</f>
        <v>0</v>
      </c>
      <c r="AR47" s="499">
        <f>AS47+AT47</f>
        <v>0</v>
      </c>
      <c r="AS47" s="438">
        <f>AS45*AS46/1000</f>
        <v>0</v>
      </c>
      <c r="AT47" s="438">
        <f>AT45*AT46/1000</f>
        <v>0</v>
      </c>
      <c r="AU47" s="499">
        <f>AV47+AW47</f>
        <v>0</v>
      </c>
      <c r="AV47" s="438">
        <f>AV45*AV46/1000</f>
        <v>0</v>
      </c>
      <c r="AW47" s="438">
        <f>AW45*AW46/1000</f>
        <v>0</v>
      </c>
      <c r="AX47" s="499">
        <f>AY47+AZ47</f>
        <v>0</v>
      </c>
      <c r="AY47" s="438">
        <f>AY45*AY46/1000</f>
        <v>0</v>
      </c>
      <c r="AZ47" s="438">
        <f>AZ45*AZ46/1000</f>
        <v>0</v>
      </c>
      <c r="BA47" s="499">
        <f>BB47+BC47</f>
        <v>0</v>
      </c>
      <c r="BB47" s="438">
        <f>BB45*BB46/1000</f>
        <v>0</v>
      </c>
      <c r="BC47" s="438">
        <f>BC45*BC46/1000</f>
        <v>0</v>
      </c>
      <c r="BD47" s="499">
        <f>BE47+BF47</f>
        <v>0</v>
      </c>
      <c r="BE47" s="438">
        <f>BE45*BE46/1000</f>
        <v>0</v>
      </c>
      <c r="BF47" s="438">
        <f>BF45*BF46/1000</f>
        <v>0</v>
      </c>
      <c r="BG47" s="499">
        <f>BH47+BI47</f>
        <v>0</v>
      </c>
      <c r="BH47" s="438">
        <f>BH45*BH46/1000</f>
        <v>0</v>
      </c>
      <c r="BI47" s="438">
        <f>BI45*BI46/1000</f>
        <v>0</v>
      </c>
      <c r="BJ47" s="499">
        <f>BK47+BL47</f>
        <v>0</v>
      </c>
      <c r="BK47" s="438">
        <f>BK45*BK46/1000</f>
        <v>0</v>
      </c>
      <c r="BL47" s="438">
        <f>BL45*BL46/1000</f>
        <v>0</v>
      </c>
      <c r="BM47" s="499">
        <f>BN47+BO47</f>
        <v>0</v>
      </c>
      <c r="BN47" s="438">
        <f>BN45*BN46/1000</f>
        <v>0</v>
      </c>
      <c r="BO47" s="438">
        <f>BO45*BO46/1000</f>
        <v>0</v>
      </c>
      <c r="BP47" s="499">
        <f>BQ47+BR47</f>
        <v>0</v>
      </c>
      <c r="BQ47" s="438">
        <f>BQ45*BQ46/1000</f>
        <v>0</v>
      </c>
      <c r="BR47" s="438">
        <f>BR45*BR46/1000</f>
        <v>0</v>
      </c>
      <c r="BS47" s="499">
        <f>BT47+BU47</f>
        <v>0</v>
      </c>
      <c r="BT47" s="438">
        <f>BT45*BT46/1000</f>
        <v>0</v>
      </c>
      <c r="BU47" s="438">
        <f>BU45*BU46/1000</f>
        <v>0</v>
      </c>
      <c r="BV47" s="499">
        <f>BW47+BX47</f>
        <v>0</v>
      </c>
      <c r="BW47" s="438">
        <f>BW45*BW46/1000</f>
        <v>0</v>
      </c>
      <c r="BX47" s="438">
        <f>BX45*BX46/1000</f>
        <v>0</v>
      </c>
      <c r="BY47" s="499">
        <f>BZ47+CA47</f>
        <v>0</v>
      </c>
      <c r="BZ47" s="438">
        <f>BZ45*BZ46/1000</f>
        <v>0</v>
      </c>
      <c r="CA47" s="438">
        <f>CA45*CA46/1000</f>
        <v>0</v>
      </c>
      <c r="CB47" s="499">
        <f>CC47+CD47</f>
        <v>0</v>
      </c>
      <c r="CC47" s="438">
        <f>CC45*CC46/1000</f>
        <v>0</v>
      </c>
      <c r="CD47" s="438">
        <f>CD45*CD46/1000</f>
        <v>0</v>
      </c>
      <c r="CE47" s="499">
        <f>CF47+CG47</f>
        <v>0</v>
      </c>
      <c r="CF47" s="438">
        <f>CF45*CF46/1000</f>
        <v>0</v>
      </c>
      <c r="CG47" s="438">
        <f>CG45*CG46/1000</f>
        <v>0</v>
      </c>
      <c r="CH47" s="499">
        <f>CI47+CJ47</f>
        <v>0</v>
      </c>
      <c r="CI47" s="438">
        <f>CI45*CI46/1000</f>
        <v>0</v>
      </c>
      <c r="CJ47" s="438">
        <f>CJ45*CJ46/1000</f>
        <v>0</v>
      </c>
      <c r="CK47" s="499">
        <f>CL47+CM47</f>
        <v>0</v>
      </c>
      <c r="CL47" s="438">
        <f>CL45*CL46/1000</f>
        <v>0</v>
      </c>
      <c r="CM47" s="438">
        <f>CM45*CM46/1000</f>
        <v>0</v>
      </c>
      <c r="CN47" s="499">
        <f>CO47+CP47</f>
        <v>0</v>
      </c>
      <c r="CO47" s="438">
        <f>CO45*CO46/1000</f>
        <v>0</v>
      </c>
      <c r="CP47" s="438">
        <f>CP45*CP46/1000</f>
        <v>0</v>
      </c>
      <c r="CQ47" s="499">
        <f>CR47+CS47</f>
        <v>0</v>
      </c>
      <c r="CR47" s="438">
        <f>CR45*CR46/1000</f>
        <v>0</v>
      </c>
      <c r="CS47" s="438">
        <f>CS45*CS46/1000</f>
        <v>0</v>
      </c>
      <c r="CT47" s="499">
        <f>CU47+CV47</f>
        <v>0</v>
      </c>
      <c r="CU47" s="438">
        <f>CU45*CU46/1000</f>
        <v>0</v>
      </c>
      <c r="CV47" s="438">
        <f>CV45*CV46/1000</f>
        <v>0</v>
      </c>
      <c r="CW47" s="499">
        <f>CX47+CY47</f>
        <v>0</v>
      </c>
      <c r="CX47" s="438">
        <f>CX45*CX46/1000</f>
        <v>0</v>
      </c>
      <c r="CY47" s="438">
        <f>CY45*CY46/1000</f>
        <v>0</v>
      </c>
      <c r="CZ47" s="499">
        <f>DA47+DB47</f>
        <v>0</v>
      </c>
      <c r="DA47" s="438">
        <f>DA45*DA46/1000</f>
        <v>0</v>
      </c>
      <c r="DB47" s="438">
        <f>DB45*DB46/1000</f>
        <v>0</v>
      </c>
      <c r="DC47" s="499">
        <f>DD47+DE47</f>
        <v>0</v>
      </c>
      <c r="DD47" s="438">
        <f>DD45*DD46/1000</f>
        <v>0</v>
      </c>
      <c r="DE47" s="438">
        <f>DE45*DE46/1000</f>
        <v>0</v>
      </c>
      <c r="DF47" s="499">
        <f>DG47+DH47</f>
        <v>0</v>
      </c>
      <c r="DG47" s="438">
        <f>DG45*DG46/1000</f>
        <v>0</v>
      </c>
      <c r="DH47" s="438">
        <f>DH45*DH46/1000</f>
        <v>0</v>
      </c>
      <c r="DI47" s="499">
        <f>DJ47+DK47</f>
        <v>0</v>
      </c>
      <c r="DJ47" s="438">
        <f>DJ45*DJ46/1000</f>
        <v>0</v>
      </c>
      <c r="DK47" s="438">
        <f>DK45*DK46/1000</f>
        <v>0</v>
      </c>
      <c r="DL47" s="499">
        <f>DM47+DN47</f>
        <v>0</v>
      </c>
      <c r="DM47" s="438">
        <f>DM45*DM46/1000</f>
        <v>0</v>
      </c>
      <c r="DN47" s="438">
        <f>DN45*DN46/1000</f>
        <v>0</v>
      </c>
      <c r="DO47" s="499">
        <f>DP47+DQ47</f>
        <v>0</v>
      </c>
      <c r="DP47" s="438">
        <f>DP45*DP46/1000</f>
        <v>0</v>
      </c>
      <c r="DQ47" s="438">
        <f>DQ45*DQ46/1000</f>
        <v>0</v>
      </c>
      <c r="DR47" s="499">
        <f>DS47+DT47</f>
        <v>0</v>
      </c>
      <c r="DS47" s="438">
        <f>DS45*DS46/1000</f>
        <v>0</v>
      </c>
      <c r="DT47" s="438">
        <f>DT45*DT46/1000</f>
        <v>0</v>
      </c>
      <c r="DU47" s="499">
        <f>DV47+DW47</f>
        <v>0</v>
      </c>
      <c r="DV47" s="438">
        <f>DV45*DV46/1000</f>
        <v>0</v>
      </c>
      <c r="DW47" s="438">
        <f>DW45*DW46/1000</f>
        <v>0</v>
      </c>
      <c r="DX47" s="499">
        <f>DY47+DZ47</f>
        <v>0</v>
      </c>
      <c r="DY47" s="438">
        <f>DY45*DY46/1000</f>
        <v>0</v>
      </c>
      <c r="DZ47" s="438">
        <f>DZ45*DZ46/1000</f>
        <v>0</v>
      </c>
      <c r="EA47" s="499">
        <f>EB47+EC47</f>
        <v>0</v>
      </c>
      <c r="EB47" s="438">
        <f>EB45*EB46/1000</f>
        <v>0</v>
      </c>
      <c r="EC47" s="438">
        <f>EC45*EC46/1000</f>
        <v>0</v>
      </c>
      <c r="ED47" s="499">
        <f>EE47+EF47</f>
        <v>0</v>
      </c>
      <c r="EE47" s="438">
        <f>EE45*EE46/1000</f>
        <v>0</v>
      </c>
      <c r="EF47" s="438">
        <f>EF45*EF46/1000</f>
        <v>0</v>
      </c>
      <c r="EG47" s="499">
        <f>EH47+EI47</f>
        <v>0</v>
      </c>
      <c r="EH47" s="438">
        <f>EH45*EH46/1000</f>
        <v>0</v>
      </c>
      <c r="EI47" s="438">
        <f>EI45*EI46/1000</f>
        <v>0</v>
      </c>
      <c r="EJ47" s="499">
        <f>EK47+EL47</f>
        <v>0</v>
      </c>
      <c r="EK47" s="438">
        <f>EK45*EK46/1000</f>
        <v>0</v>
      </c>
      <c r="EL47" s="438">
        <f>EL45*EL46/1000</f>
        <v>0</v>
      </c>
      <c r="EM47" s="499">
        <f>EN47+EO47</f>
        <v>0</v>
      </c>
      <c r="EN47" s="438">
        <f>EN45*EN46/1000</f>
        <v>0</v>
      </c>
      <c r="EO47" s="438">
        <f>EO45*EO46/1000</f>
        <v>0</v>
      </c>
      <c r="EP47" s="499">
        <f>EQ47+ER47</f>
        <v>0</v>
      </c>
      <c r="EQ47" s="438">
        <f>EQ45*EQ46/1000</f>
        <v>0</v>
      </c>
      <c r="ER47" s="438">
        <f>ER45*ER46/1000</f>
        <v>0</v>
      </c>
      <c r="ES47" s="499">
        <f>ET47+EU47</f>
        <v>0</v>
      </c>
      <c r="ET47" s="438">
        <f>ET45*ET46/1000</f>
        <v>0</v>
      </c>
      <c r="EU47" s="438">
        <f>EU45*EU46/1000</f>
        <v>0</v>
      </c>
      <c r="EV47" s="499">
        <f>EW47+EX47</f>
        <v>0</v>
      </c>
      <c r="EW47" s="438">
        <f>EW45*EW46/1000</f>
        <v>0</v>
      </c>
      <c r="EX47" s="438">
        <f>EX45*EX46/1000</f>
        <v>0</v>
      </c>
      <c r="EY47" s="499">
        <f>EZ47+FA47</f>
        <v>0</v>
      </c>
      <c r="EZ47" s="438">
        <f>EZ45*EZ46/1000</f>
        <v>0</v>
      </c>
      <c r="FA47" s="438">
        <f>FA45*FA46/1000</f>
        <v>0</v>
      </c>
      <c r="FB47" s="83"/>
      <c r="FE47" s="489" t="s">
        <v>867</v>
      </c>
      <c r="FK47" s="1157" cm="1" t="str">
        <f t="array" ref="FK47:FK47">OFFSET(FJ47,-1,1)</f>
        <v>0</v>
      </c>
      <c r="FL47" s="1078" t="s">
        <v>862</v>
      </c>
      <c r="FM47" s="1078" t="s">
        <v>817</v>
      </c>
      <c r="FN47" s="1159"/>
      <c r="FO47" s="1159"/>
      <c r="FP47" s="1159"/>
      <c r="FQ47" s="1159"/>
      <c r="FR47" s="1159"/>
      <c r="FS47" s="1159"/>
      <c r="FT47" s="1159"/>
      <c r="FU47" s="1159"/>
      <c r="FV47" s="1159"/>
      <c r="FW47" s="1159"/>
      <c r="FX47" s="1078" t="s">
        <v>303</v>
      </c>
      <c r="FY47" s="1078" t="s">
        <v>868</v>
      </c>
      <c r="FZ47" s="1078" t="s">
        <v>869</v>
      </c>
    </row>
    <row customHeight="1" ht="29.25" hidden="1">
      <c r="E48" s="180">
        <v>30</v>
      </c>
      <c r="F48" s="175" cm="1" t="str">
        <f t="array" ref="F48:F48">OFFSET(G48,-1,-1)</f>
        <v>0</v>
      </c>
      <c r="L48" s="175" cm="1" t="str">
        <f t="array" ref="L48:L48">OFFSET(M48,-1,-1)</f>
        <v>false</v>
      </c>
      <c r="S48" s="175" cm="1" t="str">
        <f t="array" ref="S48:S48">OFFSET(T48,-1,-1)</f>
        <v>false</v>
      </c>
      <c r="U48" s="753">
        <f>AND(S48,IF(ISBLANK(T48),TRUE,T48))</f>
        <v>0</v>
      </c>
      <c r="AB48" s="1646"/>
      <c r="AD48" s="491">
        <v>13</v>
      </c>
      <c r="AE48" s="1619" t="s">
        <v>848</v>
      </c>
      <c r="AF48" s="496"/>
      <c r="AG48" s="507" t="s">
        <v>629</v>
      </c>
      <c r="AH48" s="88" cm="1" t="str">
        <f t="array" ref="AH48:AH48">AH41</f>
        <v>0</v>
      </c>
      <c r="AI48" s="88" cm="1" t="str">
        <f t="array" ref="AI48:AI48">AI41</f>
        <v>0</v>
      </c>
      <c r="AJ48" s="88" cm="1" t="str">
        <f t="array" ref="AJ48:AJ48">AJ41</f>
        <v>0</v>
      </c>
      <c r="AK48" s="88" cm="1" t="str">
        <f t="array" ref="AK48:AK48">AK41</f>
        <v>0</v>
      </c>
      <c r="AL48" s="88" cm="1" t="str">
        <f t="array" ref="AL48:AL48">AL41</f>
        <v>0</v>
      </c>
      <c r="AM48" s="88" cm="1" t="str">
        <f t="array" ref="AM48:AM48">AM41</f>
        <v>0</v>
      </c>
      <c r="AN48" s="88" cm="1" t="str">
        <f t="array" ref="AN48:AN48">AN41</f>
        <v>0</v>
      </c>
      <c r="AO48" s="88" cm="1" t="str">
        <f t="array" ref="AO48:AO48">AO41</f>
        <v>0</v>
      </c>
      <c r="AP48" s="88" cm="1" t="str">
        <f t="array" ref="AP48:AP48">AP41</f>
        <v>0</v>
      </c>
      <c r="AQ48" s="88" cm="1" t="str">
        <f t="array" ref="AQ48:AQ48">AQ41</f>
        <v>0</v>
      </c>
      <c r="AR48" s="88" cm="1" t="str">
        <f t="array" ref="AR48:AR48">AR41</f>
        <v>0</v>
      </c>
      <c r="AS48" s="88" cm="1" t="str">
        <f t="array" ref="AS48:AS48">AS41</f>
        <v>0</v>
      </c>
      <c r="AT48" s="88" cm="1" t="str">
        <f t="array" ref="AT48:AT48">AT41</f>
        <v>0</v>
      </c>
      <c r="AU48" s="88" cm="1" t="str">
        <f t="array" ref="AU48:AU48">AU41</f>
        <v>0</v>
      </c>
      <c r="AV48" s="88" cm="1" t="str">
        <f t="array" ref="AV48:AV48">AV41</f>
        <v>0</v>
      </c>
      <c r="AW48" s="88" cm="1" t="str">
        <f t="array" ref="AW48:AW48">AW41</f>
        <v>0</v>
      </c>
      <c r="AX48" s="88" cm="1" t="str">
        <f t="array" ref="AX48:AX48">AX41</f>
        <v>0</v>
      </c>
      <c r="AY48" s="88" cm="1" t="str">
        <f t="array" ref="AY48:AY48">AY41</f>
        <v>0</v>
      </c>
      <c r="AZ48" s="88" cm="1" t="str">
        <f t="array" ref="AZ48:AZ48">AZ41</f>
        <v>0</v>
      </c>
      <c r="BA48" s="88" cm="1" t="str">
        <f t="array" ref="BA48:BA48">BA41</f>
        <v>0</v>
      </c>
      <c r="BB48" s="88" cm="1" t="str">
        <f t="array" ref="BB48:BB48">BB41</f>
        <v>0</v>
      </c>
      <c r="BC48" s="88" cm="1" t="str">
        <f t="array" ref="BC48:BC48">BC41</f>
        <v>0</v>
      </c>
      <c r="BD48" s="88" cm="1" t="str">
        <f t="array" ref="BD48:BD48">BD41</f>
        <v>0</v>
      </c>
      <c r="BE48" s="88" cm="1" t="str">
        <f t="array" ref="BE48:BE48">BE41</f>
        <v>0</v>
      </c>
      <c r="BF48" s="88" cm="1" t="str">
        <f t="array" ref="BF48:BF48">BF41</f>
        <v>0</v>
      </c>
      <c r="BG48" s="88" cm="1" t="str">
        <f t="array" ref="BG48:BG48">BG41</f>
        <v>0</v>
      </c>
      <c r="BH48" s="88" cm="1" t="str">
        <f t="array" ref="BH48:BH48">BH41</f>
        <v>0</v>
      </c>
      <c r="BI48" s="88" cm="1" t="str">
        <f t="array" ref="BI48:BI48">BI41</f>
        <v>0</v>
      </c>
      <c r="BJ48" s="88" cm="1" t="str">
        <f t="array" ref="BJ48:BJ48">BJ41</f>
        <v>0</v>
      </c>
      <c r="BK48" s="88" cm="1" t="str">
        <f t="array" ref="BK48:BK48">BK41</f>
        <v>0</v>
      </c>
      <c r="BL48" s="88" cm="1" t="str">
        <f t="array" ref="BL48:BL48">BL41</f>
        <v>0</v>
      </c>
      <c r="BM48" s="88" cm="1" t="str">
        <f t="array" ref="BM48:BM48">BM41</f>
        <v>0</v>
      </c>
      <c r="BN48" s="88" cm="1" t="str">
        <f t="array" ref="BN48:BN48">BN41</f>
        <v>0</v>
      </c>
      <c r="BO48" s="88" cm="1" t="str">
        <f t="array" ref="BO48:BO48">BO41</f>
        <v>0</v>
      </c>
      <c r="BP48" s="88" cm="1" t="str">
        <f t="array" ref="BP48:BP48">BP41</f>
        <v>0</v>
      </c>
      <c r="BQ48" s="88" cm="1" t="str">
        <f t="array" ref="BQ48:BQ48">BQ41</f>
        <v>0</v>
      </c>
      <c r="BR48" s="88" cm="1" t="str">
        <f t="array" ref="BR48:BR48">BR41</f>
        <v>0</v>
      </c>
      <c r="BS48" s="88" cm="1" t="str">
        <f t="array" ref="BS48:BS48">BS41</f>
        <v>0</v>
      </c>
      <c r="BT48" s="88" cm="1" t="str">
        <f t="array" ref="BT48:BT48">BT41</f>
        <v>0</v>
      </c>
      <c r="BU48" s="88" cm="1" t="str">
        <f t="array" ref="BU48:BU48">BU41</f>
        <v>0</v>
      </c>
      <c r="BV48" s="88" cm="1" t="str">
        <f t="array" ref="BV48:BV48">BV41</f>
        <v>0</v>
      </c>
      <c r="BW48" s="88" cm="1" t="str">
        <f t="array" ref="BW48:BW48">BW41</f>
        <v>0</v>
      </c>
      <c r="BX48" s="88" cm="1" t="str">
        <f t="array" ref="BX48:BX48">BX41</f>
        <v>0</v>
      </c>
      <c r="BY48" s="88" cm="1" t="str">
        <f t="array" ref="BY48:BY48">BY41</f>
        <v>0</v>
      </c>
      <c r="BZ48" s="88" cm="1" t="str">
        <f t="array" ref="BZ48:BZ48">BZ41</f>
        <v>0</v>
      </c>
      <c r="CA48" s="88" cm="1" t="str">
        <f t="array" ref="CA48:CA48">CA41</f>
        <v>0</v>
      </c>
      <c r="CB48" s="88" cm="1" t="str">
        <f t="array" ref="CB48:CB48">CB41</f>
        <v>0</v>
      </c>
      <c r="CC48" s="88" cm="1" t="str">
        <f t="array" ref="CC48:CC48">CC41</f>
        <v>0</v>
      </c>
      <c r="CD48" s="88" cm="1" t="str">
        <f t="array" ref="CD48:CD48">CD41</f>
        <v>0</v>
      </c>
      <c r="CE48" s="88" cm="1" t="str">
        <f t="array" ref="CE48:CE48">CE41</f>
        <v>0</v>
      </c>
      <c r="CF48" s="88" cm="1" t="str">
        <f t="array" ref="CF48:CF48">CF41</f>
        <v>0</v>
      </c>
      <c r="CG48" s="88" cm="1" t="str">
        <f t="array" ref="CG48:CG48">CG41</f>
        <v>0</v>
      </c>
      <c r="CH48" s="88" cm="1" t="str">
        <f t="array" ref="CH48:CH48">CH41</f>
        <v>0</v>
      </c>
      <c r="CI48" s="88" cm="1" t="str">
        <f t="array" ref="CI48:CI48">CI41</f>
        <v>0</v>
      </c>
      <c r="CJ48" s="88" cm="1" t="str">
        <f t="array" ref="CJ48:CJ48">CJ41</f>
        <v>0</v>
      </c>
      <c r="CK48" s="88" cm="1" t="str">
        <f t="array" ref="CK48:CK48">CK41</f>
        <v>0</v>
      </c>
      <c r="CL48" s="88" cm="1" t="str">
        <f t="array" ref="CL48:CL48">CL41</f>
        <v>0</v>
      </c>
      <c r="CM48" s="88" cm="1" t="str">
        <f t="array" ref="CM48:CM48">CM41</f>
        <v>0</v>
      </c>
      <c r="CN48" s="88" cm="1" t="str">
        <f t="array" ref="CN48:CN48">CN41</f>
        <v>0</v>
      </c>
      <c r="CO48" s="88" cm="1" t="str">
        <f t="array" ref="CO48:CO48">CO41</f>
        <v>0</v>
      </c>
      <c r="CP48" s="88" cm="1" t="str">
        <f t="array" ref="CP48:CP48">CP41</f>
        <v>0</v>
      </c>
      <c r="CQ48" s="88" cm="1" t="str">
        <f t="array" ref="CQ48:CQ48">CQ41</f>
        <v>0</v>
      </c>
      <c r="CR48" s="88" cm="1" t="str">
        <f t="array" ref="CR48:CR48">CR41</f>
        <v>0</v>
      </c>
      <c r="CS48" s="88" cm="1" t="str">
        <f t="array" ref="CS48:CS48">CS41</f>
        <v>0</v>
      </c>
      <c r="CT48" s="497" cm="1" t="str">
        <f t="array" ref="CT48:CT48">CT41</f>
        <v>0</v>
      </c>
      <c r="CU48" s="497" cm="1" t="str">
        <f t="array" ref="CU48:CU48">CU41</f>
        <v>0</v>
      </c>
      <c r="CV48" s="497" cm="1" t="str">
        <f t="array" ref="CV48:CV48">CV41</f>
        <v>0</v>
      </c>
      <c r="CW48" s="88" cm="1" t="str">
        <f t="array" ref="CW48:CW48">CW41</f>
        <v>0</v>
      </c>
      <c r="CX48" s="88" cm="1" t="str">
        <f t="array" ref="CX48:CX48">CX41</f>
        <v>0</v>
      </c>
      <c r="CY48" s="88" cm="1" t="str">
        <f t="array" ref="CY48:CY48">CY41</f>
        <v>0</v>
      </c>
      <c r="CZ48" s="88" cm="1" t="str">
        <f t="array" ref="CZ48:CZ48">CZ41</f>
        <v>0</v>
      </c>
      <c r="DA48" s="88" cm="1" t="str">
        <f t="array" ref="DA48:DA48">DA41</f>
        <v>0</v>
      </c>
      <c r="DB48" s="88" cm="1" t="str">
        <f t="array" ref="DB48:DB48">DB41</f>
        <v>0</v>
      </c>
      <c r="DC48" s="88" cm="1" t="str">
        <f t="array" ref="DC48:DC48">DC41</f>
        <v>0</v>
      </c>
      <c r="DD48" s="88" cm="1" t="str">
        <f t="array" ref="DD48:DD48">DD41</f>
        <v>0</v>
      </c>
      <c r="DE48" s="88" cm="1" t="str">
        <f t="array" ref="DE48:DE48">DE41</f>
        <v>0</v>
      </c>
      <c r="DF48" s="88" cm="1" t="str">
        <f t="array" ref="DF48:DF48">DF41</f>
        <v>0</v>
      </c>
      <c r="DG48" s="88" cm="1" t="str">
        <f t="array" ref="DG48:DG48">DG41</f>
        <v>0</v>
      </c>
      <c r="DH48" s="88" cm="1" t="str">
        <f t="array" ref="DH48:DH48">DH41</f>
        <v>0</v>
      </c>
      <c r="DI48" s="88" cm="1" t="str">
        <f t="array" ref="DI48:DI48">DI41</f>
        <v>0</v>
      </c>
      <c r="DJ48" s="88" cm="1" t="str">
        <f t="array" ref="DJ48:DJ48">DJ41</f>
        <v>0</v>
      </c>
      <c r="DK48" s="88" cm="1" t="str">
        <f t="array" ref="DK48:DK48">DK41</f>
        <v>0</v>
      </c>
      <c r="DL48" s="88" cm="1" t="str">
        <f t="array" ref="DL48:DL48">DL41</f>
        <v>0</v>
      </c>
      <c r="DM48" s="88" cm="1" t="str">
        <f t="array" ref="DM48:DM48">DM41</f>
        <v>0</v>
      </c>
      <c r="DN48" s="88" cm="1" t="str">
        <f t="array" ref="DN48:DN48">DN41</f>
        <v>0</v>
      </c>
      <c r="DO48" s="88" cm="1" t="str">
        <f t="array" ref="DO48:DO48">DO41</f>
        <v>0</v>
      </c>
      <c r="DP48" s="88" cm="1" t="str">
        <f t="array" ref="DP48:DP48">DP41</f>
        <v>0</v>
      </c>
      <c r="DQ48" s="88" cm="1" t="str">
        <f t="array" ref="DQ48:DQ48">DQ41</f>
        <v>0</v>
      </c>
      <c r="DR48" s="88" cm="1" t="str">
        <f t="array" ref="DR48:DR48">DR41</f>
        <v>0</v>
      </c>
      <c r="DS48" s="88" cm="1" t="str">
        <f t="array" ref="DS48:DS48">DS41</f>
        <v>0</v>
      </c>
      <c r="DT48" s="88" cm="1" t="str">
        <f t="array" ref="DT48:DT48">DT41</f>
        <v>0</v>
      </c>
      <c r="DU48" s="88" cm="1" t="str">
        <f t="array" ref="DU48:DU48">DU41</f>
        <v>0</v>
      </c>
      <c r="DV48" s="88" cm="1" t="str">
        <f t="array" ref="DV48:DV48">DV41</f>
        <v>0</v>
      </c>
      <c r="DW48" s="88" cm="1" t="str">
        <f t="array" ref="DW48:DW48">DW41</f>
        <v>0</v>
      </c>
      <c r="DX48" s="88" cm="1" t="str">
        <f t="array" ref="DX48:DX48">DX41</f>
        <v>0</v>
      </c>
      <c r="DY48" s="88" cm="1" t="str">
        <f t="array" ref="DY48:DY48">DY41</f>
        <v>0</v>
      </c>
      <c r="DZ48" s="88" cm="1" t="str">
        <f t="array" ref="DZ48:DZ48">DZ41</f>
        <v>0</v>
      </c>
      <c r="EA48" s="88" cm="1" t="str">
        <f t="array" ref="EA48:EA48">EA41</f>
        <v>0</v>
      </c>
      <c r="EB48" s="88" cm="1" t="str">
        <f t="array" ref="EB48:EB48">EB41</f>
        <v>0</v>
      </c>
      <c r="EC48" s="88" cm="1" t="str">
        <f t="array" ref="EC48:EC48">EC41</f>
        <v>0</v>
      </c>
      <c r="ED48" s="88" cm="1" t="str">
        <f t="array" ref="ED48:ED48">ED41</f>
        <v>0</v>
      </c>
      <c r="EE48" s="88" cm="1" t="str">
        <f t="array" ref="EE48:EE48">EE41</f>
        <v>0</v>
      </c>
      <c r="EF48" s="88" cm="1" t="str">
        <f t="array" ref="EF48:EF48">EF41</f>
        <v>0</v>
      </c>
      <c r="EG48" s="88" cm="1" t="str">
        <f t="array" ref="EG48:EG48">EG41</f>
        <v>0</v>
      </c>
      <c r="EH48" s="88" cm="1" t="str">
        <f t="array" ref="EH48:EH48">EH41</f>
        <v>0</v>
      </c>
      <c r="EI48" s="88" cm="1" t="str">
        <f t="array" ref="EI48:EI48">EI41</f>
        <v>0</v>
      </c>
      <c r="EJ48" s="88" cm="1" t="str">
        <f t="array" ref="EJ48:EJ48">EJ41</f>
        <v>0</v>
      </c>
      <c r="EK48" s="88" cm="1" t="str">
        <f t="array" ref="EK48:EK48">EK41</f>
        <v>0</v>
      </c>
      <c r="EL48" s="88" cm="1" t="str">
        <f t="array" ref="EL48:EL48">EL41</f>
        <v>0</v>
      </c>
      <c r="EM48" s="88" cm="1" t="str">
        <f t="array" ref="EM48:EM48">EM41</f>
        <v>0</v>
      </c>
      <c r="EN48" s="88" cm="1" t="str">
        <f t="array" ref="EN48:EN48">EN41</f>
        <v>0</v>
      </c>
      <c r="EO48" s="88" cm="1" t="str">
        <f t="array" ref="EO48:EO48">EO41</f>
        <v>0</v>
      </c>
      <c r="EP48" s="88" cm="1" t="str">
        <f t="array" ref="EP48:EP48">EP41</f>
        <v>0</v>
      </c>
      <c r="EQ48" s="88" cm="1" t="str">
        <f t="array" ref="EQ48:EQ48">EQ41</f>
        <v>0</v>
      </c>
      <c r="ER48" s="88" cm="1" t="str">
        <f t="array" ref="ER48:ER48">ER41</f>
        <v>0</v>
      </c>
      <c r="ES48" s="88" cm="1" t="str">
        <f t="array" ref="ES48:ES48">ES41</f>
        <v>0</v>
      </c>
      <c r="ET48" s="88" cm="1" t="str">
        <f t="array" ref="ET48:ET48">ET41</f>
        <v>0</v>
      </c>
      <c r="EU48" s="88" cm="1" t="str">
        <f t="array" ref="EU48:EU48">EU41</f>
        <v>0</v>
      </c>
      <c r="EV48" s="88" cm="1" t="str">
        <f t="array" ref="EV48:EV48">EV41</f>
        <v>0</v>
      </c>
      <c r="EW48" s="88" cm="1" t="str">
        <f t="array" ref="EW48:EW48">EW41</f>
        <v>0</v>
      </c>
      <c r="EX48" s="88" cm="1" t="str">
        <f t="array" ref="EX48:EX48">EX41</f>
        <v>0</v>
      </c>
      <c r="EY48" s="88" cm="1" t="str">
        <f t="array" ref="EY48:EY48">EY41</f>
        <v>0</v>
      </c>
      <c r="EZ48" s="88" cm="1" t="str">
        <f t="array" ref="EZ48:EZ48">EZ41</f>
        <v>0</v>
      </c>
      <c r="FA48" s="88" cm="1" t="str">
        <f t="array" ref="FA48:FA48">FA41</f>
        <v>0</v>
      </c>
      <c r="FB48" s="83"/>
      <c r="FE48" s="489" t="s">
        <v>870</v>
      </c>
      <c r="FK48" s="1157" cm="1" t="str">
        <f t="array" ref="FK48:FK48">OFFSET(FJ48,-1,1)</f>
        <v>0</v>
      </c>
      <c r="FL48" s="1078" t="s">
        <v>850</v>
      </c>
      <c r="FM48" s="1159"/>
      <c r="FN48" s="1159"/>
      <c r="FO48" s="1159"/>
      <c r="FP48" s="1078" t="s">
        <v>666</v>
      </c>
      <c r="FQ48" s="1078" t="s">
        <v>857</v>
      </c>
      <c r="FR48" s="1159"/>
      <c r="FS48" s="1159"/>
      <c r="FT48" s="1159"/>
      <c r="FU48" s="1159"/>
      <c r="FV48" s="1159"/>
      <c r="FW48" s="1159"/>
      <c r="FX48" s="1078" t="s">
        <v>303</v>
      </c>
      <c r="FY48" s="1078" t="s">
        <v>667</v>
      </c>
      <c r="FZ48" s="1078" t="s">
        <v>668</v>
      </c>
    </row>
    <row customHeight="1" ht="29.25" hidden="1">
      <c r="E49" s="180">
        <v>30</v>
      </c>
      <c r="F49" s="175" cm="1" t="str">
        <f t="array" ref="F49:F49">OFFSET(G49,-1,-1)</f>
        <v>0</v>
      </c>
      <c r="L49" s="175" cm="1" t="str">
        <f t="array" ref="L49:L49">OFFSET(M49,-1,-1)</f>
        <v>false</v>
      </c>
      <c r="S49" s="175" cm="1" t="str">
        <f t="array" ref="S49:S49">OFFSET(T49,-1,-1)</f>
        <v>false</v>
      </c>
      <c r="U49" s="753">
        <f>AND(S49,IF(ISBLANK(T49),TRUE,T49))</f>
        <v>0</v>
      </c>
      <c r="AB49" s="1646"/>
      <c r="AD49" s="491">
        <v>14</v>
      </c>
      <c r="AE49" s="1619" t="s">
        <v>871</v>
      </c>
      <c r="AF49" s="496"/>
      <c r="AG49" s="491" t="s">
        <v>872</v>
      </c>
      <c r="AH49" s="88">
        <f>_xlfn.IFERROR(AH50/AH48*1000,0)</f>
        <v>0</v>
      </c>
      <c r="AI49" s="88">
        <f>_xlfn.IFERROR(AI50/AI48*1000,0)</f>
        <v>0</v>
      </c>
      <c r="AJ49" s="88">
        <f>_xlfn.IFERROR(AJ50/AJ48*1000,0)</f>
        <v>0</v>
      </c>
      <c r="AK49" s="88">
        <f>_xlfn.IFERROR(AK50/AK48*1000,0)</f>
        <v>0</v>
      </c>
      <c r="AL49" s="88"/>
      <c r="AM49" s="88" cm="1" t="str">
        <f t="array" ref="AM49:AM49">AL49</f>
        <v>0</v>
      </c>
      <c r="AN49" s="88" cm="1" t="str">
        <f t="array" ref="AN49:AN49">AL49</f>
        <v>0</v>
      </c>
      <c r="AO49" s="88"/>
      <c r="AP49" s="88" cm="1" t="str">
        <f t="array" ref="AP49:AP49">AO49</f>
        <v>0</v>
      </c>
      <c r="AQ49" s="88" cm="1" t="str">
        <f t="array" ref="AQ49:AQ49">AO49</f>
        <v>0</v>
      </c>
      <c r="AR49" s="88"/>
      <c r="AS49" s="88" cm="1" t="str">
        <f t="array" ref="AS49:AS49">AR49</f>
        <v>0</v>
      </c>
      <c r="AT49" s="88" cm="1" t="str">
        <f t="array" ref="AT49:AT49">AR49</f>
        <v>0</v>
      </c>
      <c r="AU49" s="88"/>
      <c r="AV49" s="88" cm="1" t="str">
        <f t="array" ref="AV49:AV49">AU49</f>
        <v>0</v>
      </c>
      <c r="AW49" s="88" cm="1" t="str">
        <f t="array" ref="AW49:AW49">AU49</f>
        <v>0</v>
      </c>
      <c r="AX49" s="88"/>
      <c r="AY49" s="88" cm="1" t="str">
        <f t="array" ref="AY49:AY49">AX49</f>
        <v>0</v>
      </c>
      <c r="AZ49" s="88" cm="1" t="str">
        <f t="array" ref="AZ49:AZ49">AX49</f>
        <v>0</v>
      </c>
      <c r="BA49" s="88"/>
      <c r="BB49" s="88" cm="1" t="str">
        <f t="array" ref="BB49:BB49">BA49</f>
        <v>0</v>
      </c>
      <c r="BC49" s="88" cm="1" t="str">
        <f t="array" ref="BC49:BC49">BA49</f>
        <v>0</v>
      </c>
      <c r="BD49" s="88"/>
      <c r="BE49" s="88" cm="1" t="str">
        <f t="array" ref="BE49:BE49">BD49</f>
        <v>0</v>
      </c>
      <c r="BF49" s="88" cm="1" t="str">
        <f t="array" ref="BF49:BF49">BD49</f>
        <v>0</v>
      </c>
      <c r="BG49" s="88"/>
      <c r="BH49" s="88" cm="1" t="str">
        <f t="array" ref="BH49:BH49">BG49</f>
        <v>0</v>
      </c>
      <c r="BI49" s="88" cm="1" t="str">
        <f t="array" ref="BI49:BI49">BG49</f>
        <v>0</v>
      </c>
      <c r="BJ49" s="88"/>
      <c r="BK49" s="88" cm="1" t="str">
        <f t="array" ref="BK49:BK49">BJ49</f>
        <v>0</v>
      </c>
      <c r="BL49" s="88" cm="1" t="str">
        <f t="array" ref="BL49:BL49">BJ49</f>
        <v>0</v>
      </c>
      <c r="BM49" s="88"/>
      <c r="BN49" s="88" cm="1" t="str">
        <f t="array" ref="BN49:BN49">BM49</f>
        <v>0</v>
      </c>
      <c r="BO49" s="88" cm="1" t="str">
        <f t="array" ref="BO49:BO49">BM49</f>
        <v>0</v>
      </c>
      <c r="BP49" s="88"/>
      <c r="BQ49" s="88" cm="1" t="str">
        <f t="array" ref="BQ49:BQ49">BP49</f>
        <v>0</v>
      </c>
      <c r="BR49" s="88" cm="1" t="str">
        <f t="array" ref="BR49:BR49">BP49</f>
        <v>0</v>
      </c>
      <c r="BS49" s="88"/>
      <c r="BT49" s="88" cm="1" t="str">
        <f t="array" ref="BT49:BT49">BS49</f>
        <v>0</v>
      </c>
      <c r="BU49" s="88" cm="1" t="str">
        <f t="array" ref="BU49:BU49">BS49</f>
        <v>0</v>
      </c>
      <c r="BV49" s="88"/>
      <c r="BW49" s="88" cm="1" t="str">
        <f t="array" ref="BW49:BW49">BV49</f>
        <v>0</v>
      </c>
      <c r="BX49" s="88" cm="1" t="str">
        <f t="array" ref="BX49:BX49">BV49</f>
        <v>0</v>
      </c>
      <c r="BY49" s="88"/>
      <c r="BZ49" s="88" cm="1" t="str">
        <f t="array" ref="BZ49:BZ49">BY49</f>
        <v>0</v>
      </c>
      <c r="CA49" s="88" cm="1" t="str">
        <f t="array" ref="CA49:CA49">BY49</f>
        <v>0</v>
      </c>
      <c r="CB49" s="88"/>
      <c r="CC49" s="88" cm="1" t="str">
        <f t="array" ref="CC49:CC49">CB49</f>
        <v>0</v>
      </c>
      <c r="CD49" s="88" cm="1" t="str">
        <f t="array" ref="CD49:CD49">CB49</f>
        <v>0</v>
      </c>
      <c r="CE49" s="88"/>
      <c r="CF49" s="88" cm="1" t="str">
        <f t="array" ref="CF49:CF49">CE49</f>
        <v>0</v>
      </c>
      <c r="CG49" s="88" cm="1" t="str">
        <f t="array" ref="CG49:CG49">CE49</f>
        <v>0</v>
      </c>
      <c r="CH49" s="88"/>
      <c r="CI49" s="88" cm="1" t="str">
        <f t="array" ref="CI49:CI49">CH49</f>
        <v>0</v>
      </c>
      <c r="CJ49" s="88" cm="1" t="str">
        <f t="array" ref="CJ49:CJ49">CH49</f>
        <v>0</v>
      </c>
      <c r="CK49" s="88"/>
      <c r="CL49" s="88" cm="1" t="str">
        <f t="array" ref="CL49:CL49">CK49</f>
        <v>0</v>
      </c>
      <c r="CM49" s="88" cm="1" t="str">
        <f t="array" ref="CM49:CM49">CK49</f>
        <v>0</v>
      </c>
      <c r="CN49" s="88"/>
      <c r="CO49" s="88" cm="1" t="str">
        <f t="array" ref="CO49:CO49">CN49</f>
        <v>0</v>
      </c>
      <c r="CP49" s="88" cm="1" t="str">
        <f t="array" ref="CP49:CP49">CN49</f>
        <v>0</v>
      </c>
      <c r="CQ49" s="88"/>
      <c r="CR49" s="88" cm="1" t="str">
        <f t="array" ref="CR49:CR49">CQ49</f>
        <v>0</v>
      </c>
      <c r="CS49" s="88" cm="1" t="str">
        <f t="array" ref="CS49:CS49">CQ49</f>
        <v>0</v>
      </c>
      <c r="CT49" s="497"/>
      <c r="CU49" s="497" cm="1" t="str">
        <f t="array" ref="CU49:CU49">CT49</f>
        <v>0</v>
      </c>
      <c r="CV49" s="497" cm="1" t="str">
        <f t="array" ref="CV49:CV49">CT49</f>
        <v>0</v>
      </c>
      <c r="CW49" s="88"/>
      <c r="CX49" s="88" cm="1" t="str">
        <f t="array" ref="CX49:CX49">CW49</f>
        <v>0</v>
      </c>
      <c r="CY49" s="88" cm="1" t="str">
        <f t="array" ref="CY49:CY49">CW49</f>
        <v>0</v>
      </c>
      <c r="CZ49" s="88"/>
      <c r="DA49" s="88" cm="1" t="str">
        <f t="array" ref="DA49:DA49">CZ49</f>
        <v>0</v>
      </c>
      <c r="DB49" s="88" cm="1" t="str">
        <f t="array" ref="DB49:DB49">CZ49</f>
        <v>0</v>
      </c>
      <c r="DC49" s="88"/>
      <c r="DD49" s="88" cm="1" t="str">
        <f t="array" ref="DD49:DD49">DC49</f>
        <v>0</v>
      </c>
      <c r="DE49" s="88" cm="1" t="str">
        <f t="array" ref="DE49:DE49">DC49</f>
        <v>0</v>
      </c>
      <c r="DF49" s="88"/>
      <c r="DG49" s="88" cm="1" t="str">
        <f t="array" ref="DG49:DG49">DF49</f>
        <v>0</v>
      </c>
      <c r="DH49" s="88" cm="1" t="str">
        <f t="array" ref="DH49:DH49">DF49</f>
        <v>0</v>
      </c>
      <c r="DI49" s="88"/>
      <c r="DJ49" s="88" cm="1" t="str">
        <f t="array" ref="DJ49:DJ49">DI49</f>
        <v>0</v>
      </c>
      <c r="DK49" s="88" cm="1" t="str">
        <f t="array" ref="DK49:DK49">DI49</f>
        <v>0</v>
      </c>
      <c r="DL49" s="88"/>
      <c r="DM49" s="88" cm="1" t="str">
        <f t="array" ref="DM49:DM49">DL49</f>
        <v>0</v>
      </c>
      <c r="DN49" s="88" cm="1" t="str">
        <f t="array" ref="DN49:DN49">DL49</f>
        <v>0</v>
      </c>
      <c r="DO49" s="88"/>
      <c r="DP49" s="88" cm="1" t="str">
        <f t="array" ref="DP49:DP49">DO49</f>
        <v>0</v>
      </c>
      <c r="DQ49" s="88" cm="1" t="str">
        <f t="array" ref="DQ49:DQ49">DO49</f>
        <v>0</v>
      </c>
      <c r="DR49" s="88"/>
      <c r="DS49" s="88" cm="1" t="str">
        <f t="array" ref="DS49:DS49">DR49</f>
        <v>0</v>
      </c>
      <c r="DT49" s="88" cm="1" t="str">
        <f t="array" ref="DT49:DT49">DR49</f>
        <v>0</v>
      </c>
      <c r="DU49" s="88"/>
      <c r="DV49" s="88" cm="1" t="str">
        <f t="array" ref="DV49:DV49">DU49</f>
        <v>0</v>
      </c>
      <c r="DW49" s="88" cm="1" t="str">
        <f t="array" ref="DW49:DW49">DU49</f>
        <v>0</v>
      </c>
      <c r="DX49" s="88"/>
      <c r="DY49" s="88" cm="1" t="str">
        <f t="array" ref="DY49:DY49">DX49</f>
        <v>0</v>
      </c>
      <c r="DZ49" s="88" cm="1" t="str">
        <f t="array" ref="DZ49:DZ49">DX49</f>
        <v>0</v>
      </c>
      <c r="EA49" s="88"/>
      <c r="EB49" s="88" cm="1" t="str">
        <f t="array" ref="EB49:EB49">EA49</f>
        <v>0</v>
      </c>
      <c r="EC49" s="88" cm="1" t="str">
        <f t="array" ref="EC49:EC49">EA49</f>
        <v>0</v>
      </c>
      <c r="ED49" s="88"/>
      <c r="EE49" s="88" cm="1" t="str">
        <f t="array" ref="EE49:EE49">ED49</f>
        <v>0</v>
      </c>
      <c r="EF49" s="88" cm="1" t="str">
        <f t="array" ref="EF49:EF49">ED49</f>
        <v>0</v>
      </c>
      <c r="EG49" s="88"/>
      <c r="EH49" s="88" cm="1" t="str">
        <f t="array" ref="EH49:EH49">EG49</f>
        <v>0</v>
      </c>
      <c r="EI49" s="88" cm="1" t="str">
        <f t="array" ref="EI49:EI49">EG49</f>
        <v>0</v>
      </c>
      <c r="EJ49" s="88"/>
      <c r="EK49" s="88" cm="1" t="str">
        <f t="array" ref="EK49:EK49">EJ49</f>
        <v>0</v>
      </c>
      <c r="EL49" s="88" cm="1" t="str">
        <f t="array" ref="EL49:EL49">EJ49</f>
        <v>0</v>
      </c>
      <c r="EM49" s="88"/>
      <c r="EN49" s="88" cm="1" t="str">
        <f t="array" ref="EN49:EN49">EM49</f>
        <v>0</v>
      </c>
      <c r="EO49" s="88" cm="1" t="str">
        <f t="array" ref="EO49:EO49">EM49</f>
        <v>0</v>
      </c>
      <c r="EP49" s="88"/>
      <c r="EQ49" s="88" cm="1" t="str">
        <f t="array" ref="EQ49:EQ49">EP49</f>
        <v>0</v>
      </c>
      <c r="ER49" s="88" cm="1" t="str">
        <f t="array" ref="ER49:ER49">EP49</f>
        <v>0</v>
      </c>
      <c r="ES49" s="88"/>
      <c r="ET49" s="88" cm="1" t="str">
        <f t="array" ref="ET49:ET49">ES49</f>
        <v>0</v>
      </c>
      <c r="EU49" s="88" cm="1" t="str">
        <f t="array" ref="EU49:EU49">ES49</f>
        <v>0</v>
      </c>
      <c r="EV49" s="88"/>
      <c r="EW49" s="88" cm="1" t="str">
        <f t="array" ref="EW49:EW49">EV49</f>
        <v>0</v>
      </c>
      <c r="EX49" s="88" cm="1" t="str">
        <f t="array" ref="EX49:EX49">EV49</f>
        <v>0</v>
      </c>
      <c r="EY49" s="88"/>
      <c r="EZ49" s="88" cm="1" t="str">
        <f t="array" ref="EZ49:EZ49">EY49</f>
        <v>0</v>
      </c>
      <c r="FA49" s="88" cm="1" t="str">
        <f t="array" ref="FA49:FA49">EY49</f>
        <v>0</v>
      </c>
      <c r="FB49" s="83"/>
      <c r="FE49" s="489" t="s">
        <v>873</v>
      </c>
      <c r="FK49" s="1157" cm="1" t="str">
        <f t="array" ref="FK49:FK49">OFFSET(FJ49,-1,1)</f>
        <v>0</v>
      </c>
      <c r="FL49" s="1078" t="s">
        <v>862</v>
      </c>
      <c r="FM49" s="1078" t="s">
        <v>824</v>
      </c>
      <c r="FN49" s="1159"/>
      <c r="FO49" s="1159"/>
      <c r="FP49" s="1159"/>
      <c r="FQ49" s="1159"/>
      <c r="FR49" s="1159"/>
      <c r="FS49" s="1159"/>
      <c r="FT49" s="1159"/>
      <c r="FU49" s="1159"/>
      <c r="FV49" s="1159"/>
      <c r="FW49" s="1159"/>
      <c r="FX49" s="1078" t="s">
        <v>303</v>
      </c>
      <c r="FY49" s="1078" t="s">
        <v>868</v>
      </c>
      <c r="FZ49" s="1078" t="s">
        <v>869</v>
      </c>
    </row>
    <row customHeight="1" ht="16.575" hidden="1">
      <c r="E50" s="180">
        <v>17</v>
      </c>
      <c r="F50" s="175" cm="1" t="str">
        <f t="array" ref="F50:F50">OFFSET(G50,-1,-1)</f>
        <v>0</v>
      </c>
      <c r="L50" s="175" cm="1" t="str">
        <f t="array" ref="L50:L50">OFFSET(M50,-1,-1)</f>
        <v>false</v>
      </c>
      <c r="S50" s="175" cm="1" t="str">
        <f t="array" ref="S50:S50">OFFSET(T50,-1,-1)</f>
        <v>false</v>
      </c>
      <c r="U50" s="753">
        <f>AND(S50,IF(ISBLANK(T50),TRUE,T50))</f>
        <v>0</v>
      </c>
      <c r="AB50" s="1609" t="s">
        <v>874</v>
      </c>
      <c r="AD50" s="491">
        <v>15</v>
      </c>
      <c r="AE50" s="1619" t="s">
        <v>875</v>
      </c>
      <c r="AF50" s="496"/>
      <c r="AG50" s="491" t="s">
        <v>866</v>
      </c>
      <c r="AH50" s="88"/>
      <c r="AI50" s="88"/>
      <c r="AJ50" s="88"/>
      <c r="AK50" s="88"/>
      <c r="AL50" s="500">
        <f>AM50+AN50</f>
        <v>0</v>
      </c>
      <c r="AM50" s="88">
        <f>AM49*AM48/1000</f>
        <v>0</v>
      </c>
      <c r="AN50" s="88">
        <f>AN49*AN48/1000</f>
        <v>0</v>
      </c>
      <c r="AO50" s="500">
        <f>AP50+AQ50</f>
        <v>0</v>
      </c>
      <c r="AP50" s="88">
        <f>AP49*AP48/1000</f>
        <v>0</v>
      </c>
      <c r="AQ50" s="88">
        <f>AQ49*AQ48/1000</f>
        <v>0</v>
      </c>
      <c r="AR50" s="500">
        <f>AS50+AT50</f>
        <v>0</v>
      </c>
      <c r="AS50" s="88">
        <f>AS49*AS48/1000</f>
        <v>0</v>
      </c>
      <c r="AT50" s="88">
        <f>AT49*AT48/1000</f>
        <v>0</v>
      </c>
      <c r="AU50" s="500">
        <f>AV50+AW50</f>
        <v>0</v>
      </c>
      <c r="AV50" s="88">
        <f>AV49*AV48/1000</f>
        <v>0</v>
      </c>
      <c r="AW50" s="88">
        <f>AW49*AW48/1000</f>
        <v>0</v>
      </c>
      <c r="AX50" s="500">
        <f>AY50+AZ50</f>
        <v>0</v>
      </c>
      <c r="AY50" s="88">
        <f>AY49*AY48/1000</f>
        <v>0</v>
      </c>
      <c r="AZ50" s="88">
        <f>AZ49*AZ48/1000</f>
        <v>0</v>
      </c>
      <c r="BA50" s="500">
        <f>BB50+BC50</f>
        <v>0</v>
      </c>
      <c r="BB50" s="88">
        <f>BB49*BB48/1000</f>
        <v>0</v>
      </c>
      <c r="BC50" s="88">
        <f>BC49*BC48/1000</f>
        <v>0</v>
      </c>
      <c r="BD50" s="500">
        <f>BE50+BF50</f>
        <v>0</v>
      </c>
      <c r="BE50" s="88">
        <f>BE49*BE48/1000</f>
        <v>0</v>
      </c>
      <c r="BF50" s="88">
        <f>BF49*BF48/1000</f>
        <v>0</v>
      </c>
      <c r="BG50" s="500">
        <f>BH50+BI50</f>
        <v>0</v>
      </c>
      <c r="BH50" s="88">
        <f>BH49*BH48/1000</f>
        <v>0</v>
      </c>
      <c r="BI50" s="88">
        <f>BI49*BI48/1000</f>
        <v>0</v>
      </c>
      <c r="BJ50" s="500">
        <f>BK50+BL50</f>
        <v>0</v>
      </c>
      <c r="BK50" s="88">
        <f>BK49*BK48/1000</f>
        <v>0</v>
      </c>
      <c r="BL50" s="88">
        <f>BL49*BL48/1000</f>
        <v>0</v>
      </c>
      <c r="BM50" s="500">
        <f>BN50+BO50</f>
        <v>0</v>
      </c>
      <c r="BN50" s="88">
        <f>BN49*BN48/1000</f>
        <v>0</v>
      </c>
      <c r="BO50" s="88">
        <f>BO49*BO48/1000</f>
        <v>0</v>
      </c>
      <c r="BP50" s="500">
        <f>BQ50+BR50</f>
        <v>0</v>
      </c>
      <c r="BQ50" s="88">
        <f>BQ49*BQ48/1000</f>
        <v>0</v>
      </c>
      <c r="BR50" s="88">
        <f>BR49*BR48/1000</f>
        <v>0</v>
      </c>
      <c r="BS50" s="500">
        <f>BT50+BU50</f>
        <v>0</v>
      </c>
      <c r="BT50" s="88">
        <f>BT49*BT48/1000</f>
        <v>0</v>
      </c>
      <c r="BU50" s="88">
        <f>BU49*BU48/1000</f>
        <v>0</v>
      </c>
      <c r="BV50" s="500">
        <f>BW50+BX50</f>
        <v>0</v>
      </c>
      <c r="BW50" s="88">
        <f>BW49*BW48/1000</f>
        <v>0</v>
      </c>
      <c r="BX50" s="88">
        <f>BX49*BX48/1000</f>
        <v>0</v>
      </c>
      <c r="BY50" s="500">
        <f>BZ50+CA50</f>
        <v>0</v>
      </c>
      <c r="BZ50" s="88">
        <f>BZ49*BZ48/1000</f>
        <v>0</v>
      </c>
      <c r="CA50" s="88">
        <f>CA49*CA48/1000</f>
        <v>0</v>
      </c>
      <c r="CB50" s="500">
        <f>CC50+CD50</f>
        <v>0</v>
      </c>
      <c r="CC50" s="88">
        <f>CC49*CC48/1000</f>
        <v>0</v>
      </c>
      <c r="CD50" s="88">
        <f>CD49*CD48/1000</f>
        <v>0</v>
      </c>
      <c r="CE50" s="500">
        <f>CF50+CG50</f>
        <v>0</v>
      </c>
      <c r="CF50" s="88">
        <f>CF49*CF48/1000</f>
        <v>0</v>
      </c>
      <c r="CG50" s="88">
        <f>CG49*CG48/1000</f>
        <v>0</v>
      </c>
      <c r="CH50" s="500">
        <f>CI50+CJ50</f>
        <v>0</v>
      </c>
      <c r="CI50" s="88">
        <f>CI49*CI48/1000</f>
        <v>0</v>
      </c>
      <c r="CJ50" s="88">
        <f>CJ49*CJ48/1000</f>
        <v>0</v>
      </c>
      <c r="CK50" s="500">
        <f>CL50+CM50</f>
        <v>0</v>
      </c>
      <c r="CL50" s="88">
        <f>CL49*CL48/1000</f>
        <v>0</v>
      </c>
      <c r="CM50" s="88">
        <f>CM49*CM48/1000</f>
        <v>0</v>
      </c>
      <c r="CN50" s="500">
        <f>CO50+CP50</f>
        <v>0</v>
      </c>
      <c r="CO50" s="88">
        <f>CO49*CO48/1000</f>
        <v>0</v>
      </c>
      <c r="CP50" s="88">
        <f>CP49*CP48/1000</f>
        <v>0</v>
      </c>
      <c r="CQ50" s="500">
        <f>CR50+CS50</f>
        <v>0</v>
      </c>
      <c r="CR50" s="88">
        <f>CR49*CR48/1000</f>
        <v>0</v>
      </c>
      <c r="CS50" s="88">
        <f>CS49*CS48/1000</f>
        <v>0</v>
      </c>
      <c r="CT50" s="500">
        <f>CU50+CV50</f>
        <v>0</v>
      </c>
      <c r="CU50" s="497">
        <f>CU49*CU48/1000</f>
        <v>0</v>
      </c>
      <c r="CV50" s="497">
        <f>CV49*CV48/1000</f>
        <v>0</v>
      </c>
      <c r="CW50" s="500">
        <f>CX50+CY50</f>
        <v>0</v>
      </c>
      <c r="CX50" s="88">
        <f>CX49*CX48/1000</f>
        <v>0</v>
      </c>
      <c r="CY50" s="88">
        <f>CY49*CY48/1000</f>
        <v>0</v>
      </c>
      <c r="CZ50" s="500">
        <f>DA50+DB50</f>
        <v>0</v>
      </c>
      <c r="DA50" s="88">
        <f>DA49*DA48/1000</f>
        <v>0</v>
      </c>
      <c r="DB50" s="88">
        <f>DB49*DB48/1000</f>
        <v>0</v>
      </c>
      <c r="DC50" s="500">
        <f>DD50+DE50</f>
        <v>0</v>
      </c>
      <c r="DD50" s="88">
        <f>DD49*DD48/1000</f>
        <v>0</v>
      </c>
      <c r="DE50" s="88">
        <f>DE49*DE48/1000</f>
        <v>0</v>
      </c>
      <c r="DF50" s="500">
        <f>DG50+DH50</f>
        <v>0</v>
      </c>
      <c r="DG50" s="88">
        <f>DG49*DG48/1000</f>
        <v>0</v>
      </c>
      <c r="DH50" s="88">
        <f>DH49*DH48/1000</f>
        <v>0</v>
      </c>
      <c r="DI50" s="500">
        <f>DJ50+DK50</f>
        <v>0</v>
      </c>
      <c r="DJ50" s="88">
        <f>DJ49*DJ48/1000</f>
        <v>0</v>
      </c>
      <c r="DK50" s="88">
        <f>DK49*DK48/1000</f>
        <v>0</v>
      </c>
      <c r="DL50" s="500">
        <f>DM50+DN50</f>
        <v>0</v>
      </c>
      <c r="DM50" s="88">
        <f>DM49*DM48/1000</f>
        <v>0</v>
      </c>
      <c r="DN50" s="88">
        <f>DN49*DN48/1000</f>
        <v>0</v>
      </c>
      <c r="DO50" s="500">
        <f>DP50+DQ50</f>
        <v>0</v>
      </c>
      <c r="DP50" s="88">
        <f>DP49*DP48/1000</f>
        <v>0</v>
      </c>
      <c r="DQ50" s="88">
        <f>DQ49*DQ48/1000</f>
        <v>0</v>
      </c>
      <c r="DR50" s="500">
        <f>DS50+DT50</f>
        <v>0</v>
      </c>
      <c r="DS50" s="88">
        <f>DS49*DS48/1000</f>
        <v>0</v>
      </c>
      <c r="DT50" s="88">
        <f>DT49*DT48/1000</f>
        <v>0</v>
      </c>
      <c r="DU50" s="500">
        <f>DV50+DW50</f>
        <v>0</v>
      </c>
      <c r="DV50" s="88">
        <f>DV49*DV48/1000</f>
        <v>0</v>
      </c>
      <c r="DW50" s="88">
        <f>DW49*DW48/1000</f>
        <v>0</v>
      </c>
      <c r="DX50" s="500">
        <f>DY50+DZ50</f>
        <v>0</v>
      </c>
      <c r="DY50" s="88">
        <f>DY49*DY48/1000</f>
        <v>0</v>
      </c>
      <c r="DZ50" s="88">
        <f>DZ49*DZ48/1000</f>
        <v>0</v>
      </c>
      <c r="EA50" s="500">
        <f>EB50+EC50</f>
        <v>0</v>
      </c>
      <c r="EB50" s="88">
        <f>EB49*EB48/1000</f>
        <v>0</v>
      </c>
      <c r="EC50" s="88">
        <f>EC49*EC48/1000</f>
        <v>0</v>
      </c>
      <c r="ED50" s="500">
        <f>EE50+EF50</f>
        <v>0</v>
      </c>
      <c r="EE50" s="88">
        <f>EE49*EE48/1000</f>
        <v>0</v>
      </c>
      <c r="EF50" s="88">
        <f>EF49*EF48/1000</f>
        <v>0</v>
      </c>
      <c r="EG50" s="500">
        <f>EH50+EI50</f>
        <v>0</v>
      </c>
      <c r="EH50" s="88">
        <f>EH49*EH48/1000</f>
        <v>0</v>
      </c>
      <c r="EI50" s="88">
        <f>EI49*EI48/1000</f>
        <v>0</v>
      </c>
      <c r="EJ50" s="500">
        <f>EK50+EL50</f>
        <v>0</v>
      </c>
      <c r="EK50" s="88">
        <f>EK49*EK48/1000</f>
        <v>0</v>
      </c>
      <c r="EL50" s="88">
        <f>EL49*EL48/1000</f>
        <v>0</v>
      </c>
      <c r="EM50" s="500">
        <f>EN50+EO50</f>
        <v>0</v>
      </c>
      <c r="EN50" s="88">
        <f>EN49*EN48/1000</f>
        <v>0</v>
      </c>
      <c r="EO50" s="88">
        <f>EO49*EO48/1000</f>
        <v>0</v>
      </c>
      <c r="EP50" s="500">
        <f>EQ50+ER50</f>
        <v>0</v>
      </c>
      <c r="EQ50" s="88">
        <f>EQ49*EQ48/1000</f>
        <v>0</v>
      </c>
      <c r="ER50" s="88">
        <f>ER49*ER48/1000</f>
        <v>0</v>
      </c>
      <c r="ES50" s="500">
        <f>ET50+EU50</f>
        <v>0</v>
      </c>
      <c r="ET50" s="88">
        <f>ET49*ET48/1000</f>
        <v>0</v>
      </c>
      <c r="EU50" s="88">
        <f>EU49*EU48/1000</f>
        <v>0</v>
      </c>
      <c r="EV50" s="500">
        <f>EW50+EX50</f>
        <v>0</v>
      </c>
      <c r="EW50" s="88">
        <f>EW49*EW48/1000</f>
        <v>0</v>
      </c>
      <c r="EX50" s="88">
        <f>EX49*EX48/1000</f>
        <v>0</v>
      </c>
      <c r="EY50" s="500">
        <f>EZ50+FA50</f>
        <v>0</v>
      </c>
      <c r="EZ50" s="88">
        <f>EZ49*EZ48/1000</f>
        <v>0</v>
      </c>
      <c r="FA50" s="88">
        <f>FA49*FA48/1000</f>
        <v>0</v>
      </c>
      <c r="FB50" s="83"/>
      <c r="FE50" s="489" t="s">
        <v>876</v>
      </c>
      <c r="FK50" s="1157" cm="1" t="str">
        <f t="array" ref="FK50:FK50">OFFSET(FJ50,-1,1)</f>
        <v>0</v>
      </c>
      <c r="FL50" s="1078" t="s">
        <v>862</v>
      </c>
      <c r="FM50" s="1159"/>
      <c r="FN50" s="1159"/>
      <c r="FO50" s="1159"/>
      <c r="FP50" s="1159"/>
      <c r="FQ50" s="1159"/>
      <c r="FR50" s="1159"/>
      <c r="FS50" s="1159"/>
      <c r="FT50" s="1159"/>
      <c r="FU50" s="1159"/>
      <c r="FV50" s="1078" t="s">
        <v>255</v>
      </c>
      <c r="FW50" s="1159"/>
      <c r="FX50" s="1078" t="s">
        <v>303</v>
      </c>
      <c r="FY50" s="1078" t="s">
        <v>877</v>
      </c>
      <c r="FZ50" s="1078" t="s">
        <v>878</v>
      </c>
    </row>
    <row customHeight="1" ht="16.575" hidden="1">
      <c r="E51" s="180">
        <v>17</v>
      </c>
      <c r="F51" s="175" cm="1" t="str">
        <f t="array" ref="F51:F51">OFFSET(G51,-1,-1)</f>
        <v>0</v>
      </c>
      <c r="L51" s="175" cm="1" t="str">
        <f t="array" ref="L51:L51">OFFSET(M51,-1,-1)</f>
        <v>false</v>
      </c>
      <c r="S51" s="175" cm="1" t="str">
        <f t="array" ref="S51:S51">OFFSET(T51,-1,-1)</f>
        <v>false</v>
      </c>
      <c r="U51" s="753">
        <f>AND(S51,IF(ISBLANK(T51),TRUE,T51))</f>
        <v>0</v>
      </c>
      <c r="AB51" s="1610"/>
      <c r="AD51" s="491">
        <v>16</v>
      </c>
      <c r="AE51" s="1619" t="s">
        <v>879</v>
      </c>
      <c r="AF51" s="496"/>
      <c r="AG51" s="491" t="s">
        <v>866</v>
      </c>
      <c r="AH51" s="500">
        <f>AH50+AH47</f>
        <v>0</v>
      </c>
      <c r="AI51" s="500">
        <f>AI50+AI47</f>
        <v>0</v>
      </c>
      <c r="AJ51" s="500">
        <f>AJ50+AJ47</f>
        <v>0</v>
      </c>
      <c r="AK51" s="500">
        <f>AK50+AK47</f>
        <v>0</v>
      </c>
      <c r="AL51" s="500">
        <f>AM51+AN51</f>
        <v>0</v>
      </c>
      <c r="AM51" s="500">
        <f>AM50+AM47</f>
        <v>0</v>
      </c>
      <c r="AN51" s="500">
        <f>AN50+AN47</f>
        <v>0</v>
      </c>
      <c r="AO51" s="500">
        <f>AP51+AQ51</f>
        <v>0</v>
      </c>
      <c r="AP51" s="500">
        <f>AP50+AP47</f>
        <v>0</v>
      </c>
      <c r="AQ51" s="500">
        <f>AQ50+AQ47</f>
        <v>0</v>
      </c>
      <c r="AR51" s="500">
        <f>AS51+AT51</f>
        <v>0</v>
      </c>
      <c r="AS51" s="500">
        <f>AS50+AS47</f>
        <v>0</v>
      </c>
      <c r="AT51" s="500">
        <f>AT50+AT47</f>
        <v>0</v>
      </c>
      <c r="AU51" s="500">
        <f>AV51+AW51</f>
        <v>0</v>
      </c>
      <c r="AV51" s="500">
        <f>AV50+AV47</f>
        <v>0</v>
      </c>
      <c r="AW51" s="500">
        <f>AW50+AW47</f>
        <v>0</v>
      </c>
      <c r="AX51" s="500">
        <f>AY51+AZ51</f>
        <v>0</v>
      </c>
      <c r="AY51" s="500">
        <f>AY50+AY47</f>
        <v>0</v>
      </c>
      <c r="AZ51" s="500">
        <f>AZ50+AZ47</f>
        <v>0</v>
      </c>
      <c r="BA51" s="500">
        <f>BB51+BC51</f>
        <v>0</v>
      </c>
      <c r="BB51" s="500">
        <f>BB50+BB47</f>
        <v>0</v>
      </c>
      <c r="BC51" s="500">
        <f>BC50+BC47</f>
        <v>0</v>
      </c>
      <c r="BD51" s="500">
        <f>BE51+BF51</f>
        <v>0</v>
      </c>
      <c r="BE51" s="500">
        <f>BE50+BE47</f>
        <v>0</v>
      </c>
      <c r="BF51" s="500">
        <f>BF50+BF47</f>
        <v>0</v>
      </c>
      <c r="BG51" s="500">
        <f>BH51+BI51</f>
        <v>0</v>
      </c>
      <c r="BH51" s="500">
        <f>BH50+BH47</f>
        <v>0</v>
      </c>
      <c r="BI51" s="500">
        <f>BI50+BI47</f>
        <v>0</v>
      </c>
      <c r="BJ51" s="500">
        <f>BK51+BL51</f>
        <v>0</v>
      </c>
      <c r="BK51" s="500">
        <f>BK50+BK47</f>
        <v>0</v>
      </c>
      <c r="BL51" s="500">
        <f>BL50+BL47</f>
        <v>0</v>
      </c>
      <c r="BM51" s="500">
        <f>BN51+BO51</f>
        <v>0</v>
      </c>
      <c r="BN51" s="500">
        <f>BN50+BN47</f>
        <v>0</v>
      </c>
      <c r="BO51" s="500">
        <f>BO50+BO47</f>
        <v>0</v>
      </c>
      <c r="BP51" s="500">
        <f>BQ51+BR51</f>
        <v>0</v>
      </c>
      <c r="BQ51" s="500">
        <f>BQ50+BQ47</f>
        <v>0</v>
      </c>
      <c r="BR51" s="500">
        <f>BR50+BR47</f>
        <v>0</v>
      </c>
      <c r="BS51" s="500">
        <f>BT51+BU51</f>
        <v>0</v>
      </c>
      <c r="BT51" s="500">
        <f>BT50+BT47</f>
        <v>0</v>
      </c>
      <c r="BU51" s="500">
        <f>BU50+BU47</f>
        <v>0</v>
      </c>
      <c r="BV51" s="500">
        <f>BW51+BX51</f>
        <v>0</v>
      </c>
      <c r="BW51" s="500">
        <f>BW50+BW47</f>
        <v>0</v>
      </c>
      <c r="BX51" s="500">
        <f>BX50+BX47</f>
        <v>0</v>
      </c>
      <c r="BY51" s="500">
        <f>BZ51+CA51</f>
        <v>0</v>
      </c>
      <c r="BZ51" s="500">
        <f>BZ50+BZ47</f>
        <v>0</v>
      </c>
      <c r="CA51" s="500">
        <f>CA50+CA47</f>
        <v>0</v>
      </c>
      <c r="CB51" s="500">
        <f>CC51+CD51</f>
        <v>0</v>
      </c>
      <c r="CC51" s="500">
        <f>CC50+CC47</f>
        <v>0</v>
      </c>
      <c r="CD51" s="500">
        <f>CD50+CD47</f>
        <v>0</v>
      </c>
      <c r="CE51" s="500">
        <f>CF51+CG51</f>
        <v>0</v>
      </c>
      <c r="CF51" s="500">
        <f>CF50+CF47</f>
        <v>0</v>
      </c>
      <c r="CG51" s="500">
        <f>CG50+CG47</f>
        <v>0</v>
      </c>
      <c r="CH51" s="500">
        <f>CI51+CJ51</f>
        <v>0</v>
      </c>
      <c r="CI51" s="500">
        <f>CI50+CI47</f>
        <v>0</v>
      </c>
      <c r="CJ51" s="500">
        <f>CJ50+CJ47</f>
        <v>0</v>
      </c>
      <c r="CK51" s="500">
        <f>CL51+CM51</f>
        <v>0</v>
      </c>
      <c r="CL51" s="500">
        <f>CL50+CL47</f>
        <v>0</v>
      </c>
      <c r="CM51" s="500">
        <f>CM50+CM47</f>
        <v>0</v>
      </c>
      <c r="CN51" s="500">
        <f>CO51+CP51</f>
        <v>0</v>
      </c>
      <c r="CO51" s="500">
        <f>CO50+CO47</f>
        <v>0</v>
      </c>
      <c r="CP51" s="500">
        <f>CP50+CP47</f>
        <v>0</v>
      </c>
      <c r="CQ51" s="500">
        <f>CR51+CS51</f>
        <v>0</v>
      </c>
      <c r="CR51" s="500">
        <f>CR50+CR47</f>
        <v>0</v>
      </c>
      <c r="CS51" s="500">
        <f>CS50+CS47</f>
        <v>0</v>
      </c>
      <c r="CT51" s="500">
        <f>CU51+CV51</f>
        <v>0</v>
      </c>
      <c r="CU51" s="500">
        <f>CU50+CU47</f>
        <v>0</v>
      </c>
      <c r="CV51" s="500">
        <f>CV50+CV47</f>
        <v>0</v>
      </c>
      <c r="CW51" s="500">
        <f>CX51+CY51</f>
        <v>0</v>
      </c>
      <c r="CX51" s="500">
        <f>CX50+CX47</f>
        <v>0</v>
      </c>
      <c r="CY51" s="500">
        <f>CY50+CY47</f>
        <v>0</v>
      </c>
      <c r="CZ51" s="500">
        <f>DA51+DB51</f>
        <v>0</v>
      </c>
      <c r="DA51" s="500">
        <f>DA50+DA47</f>
        <v>0</v>
      </c>
      <c r="DB51" s="500">
        <f>DB50+DB47</f>
        <v>0</v>
      </c>
      <c r="DC51" s="500">
        <f>DD51+DE51</f>
        <v>0</v>
      </c>
      <c r="DD51" s="500">
        <f>DD50+DD47</f>
        <v>0</v>
      </c>
      <c r="DE51" s="500">
        <f>DE50+DE47</f>
        <v>0</v>
      </c>
      <c r="DF51" s="500">
        <f>DG51+DH51</f>
        <v>0</v>
      </c>
      <c r="DG51" s="500">
        <f>DG50+DG47</f>
        <v>0</v>
      </c>
      <c r="DH51" s="500">
        <f>DH50+DH47</f>
        <v>0</v>
      </c>
      <c r="DI51" s="500">
        <f>DJ51+DK51</f>
        <v>0</v>
      </c>
      <c r="DJ51" s="500">
        <f>DJ50+DJ47</f>
        <v>0</v>
      </c>
      <c r="DK51" s="500">
        <f>DK50+DK47</f>
        <v>0</v>
      </c>
      <c r="DL51" s="500">
        <f>DM51+DN51</f>
        <v>0</v>
      </c>
      <c r="DM51" s="500">
        <f>DM50+DM47</f>
        <v>0</v>
      </c>
      <c r="DN51" s="500">
        <f>DN50+DN47</f>
        <v>0</v>
      </c>
      <c r="DO51" s="500">
        <f>DP51+DQ51</f>
        <v>0</v>
      </c>
      <c r="DP51" s="500">
        <f>DP50+DP47</f>
        <v>0</v>
      </c>
      <c r="DQ51" s="500">
        <f>DQ50+DQ47</f>
        <v>0</v>
      </c>
      <c r="DR51" s="500">
        <f>DS51+DT51</f>
        <v>0</v>
      </c>
      <c r="DS51" s="500">
        <f>DS50+DS47</f>
        <v>0</v>
      </c>
      <c r="DT51" s="500">
        <f>DT50+DT47</f>
        <v>0</v>
      </c>
      <c r="DU51" s="500">
        <f>DV51+DW51</f>
        <v>0</v>
      </c>
      <c r="DV51" s="500">
        <f>DV50+DV47</f>
        <v>0</v>
      </c>
      <c r="DW51" s="500">
        <f>DW50+DW47</f>
        <v>0</v>
      </c>
      <c r="DX51" s="500">
        <f>DY51+DZ51</f>
        <v>0</v>
      </c>
      <c r="DY51" s="500">
        <f>DY50+DY47</f>
        <v>0</v>
      </c>
      <c r="DZ51" s="500">
        <f>DZ50+DZ47</f>
        <v>0</v>
      </c>
      <c r="EA51" s="500">
        <f>EB51+EC51</f>
        <v>0</v>
      </c>
      <c r="EB51" s="500">
        <f>EB50+EB47</f>
        <v>0</v>
      </c>
      <c r="EC51" s="500">
        <f>EC50+EC47</f>
        <v>0</v>
      </c>
      <c r="ED51" s="500">
        <f>EE51+EF51</f>
        <v>0</v>
      </c>
      <c r="EE51" s="500">
        <f>EE50+EE47</f>
        <v>0</v>
      </c>
      <c r="EF51" s="500">
        <f>EF50+EF47</f>
        <v>0</v>
      </c>
      <c r="EG51" s="500">
        <f>EH51+EI51</f>
        <v>0</v>
      </c>
      <c r="EH51" s="500">
        <f>EH50+EH47</f>
        <v>0</v>
      </c>
      <c r="EI51" s="500">
        <f>EI50+EI47</f>
        <v>0</v>
      </c>
      <c r="EJ51" s="500">
        <f>EK51+EL51</f>
        <v>0</v>
      </c>
      <c r="EK51" s="500">
        <f>EK50+EK47</f>
        <v>0</v>
      </c>
      <c r="EL51" s="500">
        <f>EL50+EL47</f>
        <v>0</v>
      </c>
      <c r="EM51" s="500">
        <f>EN51+EO51</f>
        <v>0</v>
      </c>
      <c r="EN51" s="500">
        <f>EN50+EN47</f>
        <v>0</v>
      </c>
      <c r="EO51" s="500">
        <f>EO50+EO47</f>
        <v>0</v>
      </c>
      <c r="EP51" s="500">
        <f>EQ51+ER51</f>
        <v>0</v>
      </c>
      <c r="EQ51" s="500">
        <f>EQ50+EQ47</f>
        <v>0</v>
      </c>
      <c r="ER51" s="500">
        <f>ER50+ER47</f>
        <v>0</v>
      </c>
      <c r="ES51" s="500">
        <f>ET51+EU51</f>
        <v>0</v>
      </c>
      <c r="ET51" s="500">
        <f>ET50+ET47</f>
        <v>0</v>
      </c>
      <c r="EU51" s="500">
        <f>EU50+EU47</f>
        <v>0</v>
      </c>
      <c r="EV51" s="500">
        <f>EW51+EX51</f>
        <v>0</v>
      </c>
      <c r="EW51" s="500">
        <f>EW50+EW47</f>
        <v>0</v>
      </c>
      <c r="EX51" s="500">
        <f>EX50+EX47</f>
        <v>0</v>
      </c>
      <c r="EY51" s="500">
        <f>EZ51+FA51</f>
        <v>0</v>
      </c>
      <c r="EZ51" s="500">
        <f>EZ50+EZ47</f>
        <v>0</v>
      </c>
      <c r="FA51" s="500">
        <f>FA50+FA47</f>
        <v>0</v>
      </c>
      <c r="FB51" s="83"/>
      <c r="FE51" s="489" t="s">
        <v>880</v>
      </c>
      <c r="FK51" s="1157" cm="1" t="str">
        <f t="array" ref="FK51:FK51">OFFSET(FJ51,-1,1)</f>
        <v>0</v>
      </c>
      <c r="FL51" s="1078" t="s">
        <v>862</v>
      </c>
      <c r="FM51" s="1159"/>
      <c r="FN51" s="1159"/>
      <c r="FO51" s="1159"/>
      <c r="FP51" s="1159"/>
      <c r="FQ51" s="1159"/>
      <c r="FR51" s="1159"/>
      <c r="FS51" s="1159"/>
      <c r="FT51" s="1159"/>
      <c r="FU51" s="1159"/>
      <c r="FV51" s="1078" t="s">
        <v>449</v>
      </c>
      <c r="FW51" s="1159"/>
      <c r="FX51" s="1078"/>
      <c r="FY51" s="1078"/>
      <c r="FZ51" s="1159"/>
    </row>
    <row customHeight="1" ht="16.575" hidden="1">
      <c r="E52" s="180">
        <v>17</v>
      </c>
      <c r="F52" s="175" cm="1" t="str">
        <f t="array" ref="F52:F52">OFFSET(G52,-1,-1)</f>
        <v>0</v>
      </c>
      <c r="L52" s="175" cm="1" t="str">
        <f t="array" ref="L52:L52">OFFSET(M52,-1,-1)</f>
        <v>false</v>
      </c>
      <c r="R52" s="175" t="s">
        <v>804</v>
      </c>
      <c r="S52" s="175" cm="1" t="str">
        <f t="array" ref="S52:S52">OFFSET(T52,-1,-1)</f>
        <v>false</v>
      </c>
      <c r="T52" s="175" cm="1" t="str">
        <f t="array" ref="T52:T52">L52</f>
        <v>false</v>
      </c>
      <c r="U52" s="753">
        <f>AND(S52,IF(ISBLANK(T52),TRUE,T52))</f>
        <v>0</v>
      </c>
      <c r="AB52" s="1610"/>
      <c r="AD52" s="491">
        <v>17</v>
      </c>
      <c r="AE52" s="1619" t="s">
        <v>881</v>
      </c>
      <c r="AF52" s="496"/>
      <c r="AG52" s="491" t="s">
        <v>495</v>
      </c>
      <c r="AH52" s="503">
        <f>_xlfn.IFERROR(AH50/AH51,0)</f>
        <v>0</v>
      </c>
      <c r="AI52" s="504">
        <f>_xlfn.IFERROR(AI50/AI51,0)</f>
        <v>0</v>
      </c>
      <c r="AJ52" s="504">
        <f>_xlfn.IFERROR(AJ50/AJ51,0)</f>
        <v>0</v>
      </c>
      <c r="AK52" s="504">
        <f>_xlfn.IFERROR(AK50/AK51,0)</f>
        <v>0</v>
      </c>
      <c r="AL52" s="504">
        <f>_xlfn.IFERROR(AL50/AL51,0)</f>
        <v>0</v>
      </c>
      <c r="AM52" s="504">
        <f>_xlfn.IFERROR(AM50/AM51,0)</f>
        <v>0</v>
      </c>
      <c r="AN52" s="504">
        <f>_xlfn.IFERROR(AN50/AN51,0)</f>
        <v>0</v>
      </c>
      <c r="AO52" s="504">
        <f>_xlfn.IFERROR(AO50/AO51,0)</f>
        <v>0</v>
      </c>
      <c r="AP52" s="504">
        <f>_xlfn.IFERROR(AP50/AP51,0)</f>
        <v>0</v>
      </c>
      <c r="AQ52" s="504">
        <f>_xlfn.IFERROR(AQ50/AQ51,0)</f>
        <v>0</v>
      </c>
      <c r="AR52" s="504">
        <f>_xlfn.IFERROR(AR50/AR51,0)</f>
        <v>0</v>
      </c>
      <c r="AS52" s="504">
        <f>_xlfn.IFERROR(AS50/AS51,0)</f>
        <v>0</v>
      </c>
      <c r="AT52" s="504">
        <f>_xlfn.IFERROR(AT50/AT51,0)</f>
        <v>0</v>
      </c>
      <c r="AU52" s="504">
        <f>_xlfn.IFERROR(AU50/AU51,0)</f>
        <v>0</v>
      </c>
      <c r="AV52" s="504">
        <f>_xlfn.IFERROR(AV50/AV51,0)</f>
        <v>0</v>
      </c>
      <c r="AW52" s="504">
        <f>_xlfn.IFERROR(AW50/AW51,0)</f>
        <v>0</v>
      </c>
      <c r="AX52" s="504">
        <f>_xlfn.IFERROR(AX50/AX51,0)</f>
        <v>0</v>
      </c>
      <c r="AY52" s="504">
        <f>_xlfn.IFERROR(AY50/AY51,0)</f>
        <v>0</v>
      </c>
      <c r="AZ52" s="504">
        <f>_xlfn.IFERROR(AZ50/AZ51,0)</f>
        <v>0</v>
      </c>
      <c r="BA52" s="504">
        <f>_xlfn.IFERROR(BA50/BA51,0)</f>
        <v>0</v>
      </c>
      <c r="BB52" s="504">
        <f>_xlfn.IFERROR(BB50/BB51,0)</f>
        <v>0</v>
      </c>
      <c r="BC52" s="504">
        <f>_xlfn.IFERROR(BC50/BC51,0)</f>
        <v>0</v>
      </c>
      <c r="BD52" s="504">
        <f>_xlfn.IFERROR(BD50/BD51,0)</f>
        <v>0</v>
      </c>
      <c r="BE52" s="504">
        <f>_xlfn.IFERROR(BE50/BE51,0)</f>
        <v>0</v>
      </c>
      <c r="BF52" s="504">
        <f>_xlfn.IFERROR(BF50/BF51,0)</f>
        <v>0</v>
      </c>
      <c r="BG52" s="504">
        <f>_xlfn.IFERROR(BG50/BG51,0)</f>
        <v>0</v>
      </c>
      <c r="BH52" s="504">
        <f>_xlfn.IFERROR(BH50/BH51,0)</f>
        <v>0</v>
      </c>
      <c r="BI52" s="504">
        <f>_xlfn.IFERROR(BI50/BI51,0)</f>
        <v>0</v>
      </c>
      <c r="BJ52" s="504">
        <f>_xlfn.IFERROR(BJ50/BJ51,0)</f>
        <v>0</v>
      </c>
      <c r="BK52" s="504">
        <f>_xlfn.IFERROR(BK50/BK51,0)</f>
        <v>0</v>
      </c>
      <c r="BL52" s="504">
        <f>_xlfn.IFERROR(BL50/BL51,0)</f>
        <v>0</v>
      </c>
      <c r="BM52" s="504">
        <f>_xlfn.IFERROR(BM50/BM51,0)</f>
        <v>0</v>
      </c>
      <c r="BN52" s="504">
        <f>_xlfn.IFERROR(BN50/BN51,0)</f>
        <v>0</v>
      </c>
      <c r="BO52" s="504">
        <f>_xlfn.IFERROR(BO50/BO51,0)</f>
        <v>0</v>
      </c>
      <c r="BP52" s="504">
        <f>_xlfn.IFERROR(BP50/BP51,0)</f>
        <v>0</v>
      </c>
      <c r="BQ52" s="504">
        <f>_xlfn.IFERROR(BQ50/BQ51,0)</f>
        <v>0</v>
      </c>
      <c r="BR52" s="504">
        <f>_xlfn.IFERROR(BR50/BR51,0)</f>
        <v>0</v>
      </c>
      <c r="BS52" s="504">
        <f>_xlfn.IFERROR(BS50/BS51,0)</f>
        <v>0</v>
      </c>
      <c r="BT52" s="504">
        <f>_xlfn.IFERROR(BT50/BT51,0)</f>
        <v>0</v>
      </c>
      <c r="BU52" s="504">
        <f>_xlfn.IFERROR(BU50/BU51,0)</f>
        <v>0</v>
      </c>
      <c r="BV52" s="504">
        <f>_xlfn.IFERROR(BV50/BV51,0)</f>
        <v>0</v>
      </c>
      <c r="BW52" s="504">
        <f>_xlfn.IFERROR(BW50/BW51,0)</f>
        <v>0</v>
      </c>
      <c r="BX52" s="504">
        <f>_xlfn.IFERROR(BX50/BX51,0)</f>
        <v>0</v>
      </c>
      <c r="BY52" s="504">
        <f>_xlfn.IFERROR(BY50/BY51,0)</f>
        <v>0</v>
      </c>
      <c r="BZ52" s="504">
        <f>_xlfn.IFERROR(BZ50/BZ51,0)</f>
        <v>0</v>
      </c>
      <c r="CA52" s="504">
        <f>_xlfn.IFERROR(CA50/CA51,0)</f>
        <v>0</v>
      </c>
      <c r="CB52" s="504">
        <f>_xlfn.IFERROR(CB50/CB51,0)</f>
        <v>0</v>
      </c>
      <c r="CC52" s="504">
        <f>_xlfn.IFERROR(CC50/CC51,0)</f>
        <v>0</v>
      </c>
      <c r="CD52" s="504">
        <f>_xlfn.IFERROR(CD50/CD51,0)</f>
        <v>0</v>
      </c>
      <c r="CE52" s="504">
        <f>_xlfn.IFERROR(CE50/CE51,0)</f>
        <v>0</v>
      </c>
      <c r="CF52" s="504">
        <f>_xlfn.IFERROR(CF50/CF51,0)</f>
        <v>0</v>
      </c>
      <c r="CG52" s="504">
        <f>_xlfn.IFERROR(CG50/CG51,0)</f>
        <v>0</v>
      </c>
      <c r="CH52" s="504">
        <f>_xlfn.IFERROR(CH50/CH51,0)</f>
        <v>0</v>
      </c>
      <c r="CI52" s="504">
        <f>_xlfn.IFERROR(CI50/CI51,0)</f>
        <v>0</v>
      </c>
      <c r="CJ52" s="504">
        <f>_xlfn.IFERROR(CJ50/CJ51,0)</f>
        <v>0</v>
      </c>
      <c r="CK52" s="504">
        <f>_xlfn.IFERROR(CK50/CK51,0)</f>
        <v>0</v>
      </c>
      <c r="CL52" s="504">
        <f>_xlfn.IFERROR(CL50/CL51,0)</f>
        <v>0</v>
      </c>
      <c r="CM52" s="504">
        <f>_xlfn.IFERROR(CM50/CM51,0)</f>
        <v>0</v>
      </c>
      <c r="CN52" s="504">
        <f>_xlfn.IFERROR(CN50/CN51,0)</f>
        <v>0</v>
      </c>
      <c r="CO52" s="504">
        <f>_xlfn.IFERROR(CO50/CO51,0)</f>
        <v>0</v>
      </c>
      <c r="CP52" s="504">
        <f>_xlfn.IFERROR(CP50/CP51,0)</f>
        <v>0</v>
      </c>
      <c r="CQ52" s="504">
        <f>_xlfn.IFERROR(CQ50/CQ51,0)</f>
        <v>0</v>
      </c>
      <c r="CR52" s="504">
        <f>_xlfn.IFERROR(CR50/CR51,0)</f>
        <v>0</v>
      </c>
      <c r="CS52" s="504">
        <f>_xlfn.IFERROR(CS50/CS51,0)</f>
        <v>0</v>
      </c>
      <c r="CT52" s="504">
        <f>_xlfn.IFERROR(CT50/CT51,0)</f>
        <v>0</v>
      </c>
      <c r="CU52" s="504">
        <f>_xlfn.IFERROR(CU50/CU51,0)</f>
        <v>0</v>
      </c>
      <c r="CV52" s="504">
        <f>_xlfn.IFERROR(CV50/CV51,0)</f>
        <v>0</v>
      </c>
      <c r="CW52" s="504">
        <f>_xlfn.IFERROR(CW50/CW51,0)</f>
        <v>0</v>
      </c>
      <c r="CX52" s="504">
        <f>_xlfn.IFERROR(CX50/CX51,0)</f>
        <v>0</v>
      </c>
      <c r="CY52" s="504">
        <f>_xlfn.IFERROR(CY50/CY51,0)</f>
        <v>0</v>
      </c>
      <c r="CZ52" s="504">
        <f>_xlfn.IFERROR(CZ50/CZ51,0)</f>
        <v>0</v>
      </c>
      <c r="DA52" s="504">
        <f>_xlfn.IFERROR(DA50/DA51,0)</f>
        <v>0</v>
      </c>
      <c r="DB52" s="504">
        <f>_xlfn.IFERROR(DB50/DB51,0)</f>
        <v>0</v>
      </c>
      <c r="DC52" s="504">
        <f>_xlfn.IFERROR(DC50/DC51,0)</f>
        <v>0</v>
      </c>
      <c r="DD52" s="504">
        <f>_xlfn.IFERROR(DD50/DD51,0)</f>
        <v>0</v>
      </c>
      <c r="DE52" s="504">
        <f>_xlfn.IFERROR(DE50/DE51,0)</f>
        <v>0</v>
      </c>
      <c r="DF52" s="504">
        <f>_xlfn.IFERROR(DF50/DF51,0)</f>
        <v>0</v>
      </c>
      <c r="DG52" s="504">
        <f>_xlfn.IFERROR(DG50/DG51,0)</f>
        <v>0</v>
      </c>
      <c r="DH52" s="504">
        <f>_xlfn.IFERROR(DH50/DH51,0)</f>
        <v>0</v>
      </c>
      <c r="DI52" s="504">
        <f>_xlfn.IFERROR(DI50/DI51,0)</f>
        <v>0</v>
      </c>
      <c r="DJ52" s="504">
        <f>_xlfn.IFERROR(DJ50/DJ51,0)</f>
        <v>0</v>
      </c>
      <c r="DK52" s="504">
        <f>_xlfn.IFERROR(DK50/DK51,0)</f>
        <v>0</v>
      </c>
      <c r="DL52" s="504">
        <f>_xlfn.IFERROR(DL50/DL51,0)</f>
        <v>0</v>
      </c>
      <c r="DM52" s="504">
        <f>_xlfn.IFERROR(DM50/DM51,0)</f>
        <v>0</v>
      </c>
      <c r="DN52" s="504">
        <f>_xlfn.IFERROR(DN50/DN51,0)</f>
        <v>0</v>
      </c>
      <c r="DO52" s="504">
        <f>_xlfn.IFERROR(DO50/DO51,0)</f>
        <v>0</v>
      </c>
      <c r="DP52" s="504">
        <f>_xlfn.IFERROR(DP50/DP51,0)</f>
        <v>0</v>
      </c>
      <c r="DQ52" s="504">
        <f>_xlfn.IFERROR(DQ50/DQ51,0)</f>
        <v>0</v>
      </c>
      <c r="DR52" s="504">
        <f>_xlfn.IFERROR(DR50/DR51,0)</f>
        <v>0</v>
      </c>
      <c r="DS52" s="504">
        <f>_xlfn.IFERROR(DS50/DS51,0)</f>
        <v>0</v>
      </c>
      <c r="DT52" s="504">
        <f>_xlfn.IFERROR(DT50/DT51,0)</f>
        <v>0</v>
      </c>
      <c r="DU52" s="504">
        <f>_xlfn.IFERROR(DU50/DU51,0)</f>
        <v>0</v>
      </c>
      <c r="DV52" s="504">
        <f>_xlfn.IFERROR(DV50/DV51,0)</f>
        <v>0</v>
      </c>
      <c r="DW52" s="504">
        <f>_xlfn.IFERROR(DW50/DW51,0)</f>
        <v>0</v>
      </c>
      <c r="DX52" s="504">
        <f>_xlfn.IFERROR(DX50/DX51,0)</f>
        <v>0</v>
      </c>
      <c r="DY52" s="504">
        <f>_xlfn.IFERROR(DY50/DY51,0)</f>
        <v>0</v>
      </c>
      <c r="DZ52" s="504">
        <f>_xlfn.IFERROR(DZ50/DZ51,0)</f>
        <v>0</v>
      </c>
      <c r="EA52" s="504">
        <f>_xlfn.IFERROR(EA50/EA51,0)</f>
        <v>0</v>
      </c>
      <c r="EB52" s="504">
        <f>_xlfn.IFERROR(EB50/EB51,0)</f>
        <v>0</v>
      </c>
      <c r="EC52" s="504">
        <f>_xlfn.IFERROR(EC50/EC51,0)</f>
        <v>0</v>
      </c>
      <c r="ED52" s="504">
        <f>_xlfn.IFERROR(ED50/ED51,0)</f>
        <v>0</v>
      </c>
      <c r="EE52" s="504">
        <f>_xlfn.IFERROR(EE50/EE51,0)</f>
        <v>0</v>
      </c>
      <c r="EF52" s="504">
        <f>_xlfn.IFERROR(EF50/EF51,0)</f>
        <v>0</v>
      </c>
      <c r="EG52" s="504">
        <f>_xlfn.IFERROR(EG50/EG51,0)</f>
        <v>0</v>
      </c>
      <c r="EH52" s="504">
        <f>_xlfn.IFERROR(EH50/EH51,0)</f>
        <v>0</v>
      </c>
      <c r="EI52" s="504">
        <f>_xlfn.IFERROR(EI50/EI51,0)</f>
        <v>0</v>
      </c>
      <c r="EJ52" s="504">
        <f>_xlfn.IFERROR(EJ50/EJ51,0)</f>
        <v>0</v>
      </c>
      <c r="EK52" s="504">
        <f>_xlfn.IFERROR(EK50/EK51,0)</f>
        <v>0</v>
      </c>
      <c r="EL52" s="504">
        <f>_xlfn.IFERROR(EL50/EL51,0)</f>
        <v>0</v>
      </c>
      <c r="EM52" s="504">
        <f>_xlfn.IFERROR(EM50/EM51,0)</f>
        <v>0</v>
      </c>
      <c r="EN52" s="504">
        <f>_xlfn.IFERROR(EN50/EN51,0)</f>
        <v>0</v>
      </c>
      <c r="EO52" s="504">
        <f>_xlfn.IFERROR(EO50/EO51,0)</f>
        <v>0</v>
      </c>
      <c r="EP52" s="504">
        <f>_xlfn.IFERROR(EP50/EP51,0)</f>
        <v>0</v>
      </c>
      <c r="EQ52" s="504">
        <f>_xlfn.IFERROR(EQ50/EQ51,0)</f>
        <v>0</v>
      </c>
      <c r="ER52" s="504">
        <f>_xlfn.IFERROR(ER50/ER51,0)</f>
        <v>0</v>
      </c>
      <c r="ES52" s="504">
        <f>_xlfn.IFERROR(ES50/ES51,0)</f>
        <v>0</v>
      </c>
      <c r="ET52" s="504">
        <f>_xlfn.IFERROR(ET50/ET51,0)</f>
        <v>0</v>
      </c>
      <c r="EU52" s="504">
        <f>_xlfn.IFERROR(EU50/EU51,0)</f>
        <v>0</v>
      </c>
      <c r="EV52" s="504">
        <f>_xlfn.IFERROR(EV50/EV51,0)</f>
        <v>0</v>
      </c>
      <c r="EW52" s="504">
        <f>_xlfn.IFERROR(EW50/EW51,0)</f>
        <v>0</v>
      </c>
      <c r="EX52" s="504">
        <f>_xlfn.IFERROR(EX50/EX51,0)</f>
        <v>0</v>
      </c>
      <c r="EY52" s="504">
        <f>_xlfn.IFERROR(EY50/EY51,0)</f>
        <v>0</v>
      </c>
      <c r="EZ52" s="504">
        <f>_xlfn.IFERROR(EZ50/EZ51,0)</f>
        <v>0</v>
      </c>
      <c r="FA52" s="504">
        <f>_xlfn.IFERROR(FA50/FA51,0)</f>
        <v>0</v>
      </c>
      <c r="FB52" s="83"/>
      <c r="FE52" s="489" t="s">
        <v>882</v>
      </c>
      <c r="FK52" s="1157" cm="1" t="str">
        <f t="array" ref="FK52:FK52">OFFSET(FJ52,-1,1)</f>
        <v>0</v>
      </c>
      <c r="FL52" s="1078" t="s">
        <v>862</v>
      </c>
      <c r="FM52" s="1159"/>
      <c r="FN52" s="1159"/>
      <c r="FO52" s="1159"/>
      <c r="FP52" s="1159"/>
      <c r="FQ52" s="1159"/>
      <c r="FR52" s="1159"/>
      <c r="FS52" s="1159"/>
      <c r="FT52" s="1159"/>
      <c r="FU52" s="1159"/>
      <c r="FV52" s="1078" t="s">
        <v>883</v>
      </c>
      <c r="FW52" s="1159"/>
      <c r="FX52" s="1078" t="s">
        <v>303</v>
      </c>
      <c r="FY52" s="1078" t="s">
        <v>820</v>
      </c>
      <c r="FZ52" s="1078" t="s">
        <v>821</v>
      </c>
    </row>
    <row customHeight="1" ht="16.575" hidden="1">
      <c r="E53" s="180">
        <v>17</v>
      </c>
      <c r="F53" s="175" cm="1" t="str">
        <f t="array" ref="F53:F53">OFFSET(G53,-1,-1)</f>
        <v>0</v>
      </c>
      <c r="L53" s="175" cm="1" t="str">
        <f t="array" ref="L53:L53">OFFSET(M53,-1,-1)</f>
        <v>false</v>
      </c>
      <c r="S53" s="175" cm="1" t="str">
        <f t="array" ref="S53:S53">OFFSET(T53,-1,-1)</f>
        <v>false</v>
      </c>
      <c r="U53" s="753">
        <f>AND(S53,IF(ISBLANK(T53),TRUE,T53))</f>
        <v>0</v>
      </c>
      <c r="AB53" s="1610"/>
      <c r="AD53" s="491">
        <v>18</v>
      </c>
      <c r="AE53" s="1619" t="s">
        <v>884</v>
      </c>
      <c r="AF53" s="496"/>
      <c r="AG53" s="491" t="s">
        <v>866</v>
      </c>
      <c r="AH53" s="500">
        <f>SUM(AH55:AH56)</f>
        <v>0</v>
      </c>
      <c r="AI53" s="500">
        <f>SUM(AI55:AI56)</f>
        <v>0</v>
      </c>
      <c r="AJ53" s="500">
        <f>SUM(AJ55:AJ56)</f>
        <v>0</v>
      </c>
      <c r="AK53" s="500">
        <f>SUM(AK55:AK56)</f>
        <v>0</v>
      </c>
      <c r="AL53" s="500">
        <f>SUM(AL55:AL56)</f>
        <v>0</v>
      </c>
      <c r="AM53" s="500">
        <f>SUM(AM55:AM56)</f>
        <v>0</v>
      </c>
      <c r="AN53" s="500">
        <f>SUM(AN55:AN56)</f>
        <v>0</v>
      </c>
      <c r="AO53" s="500">
        <f>SUM(AO55:AO56)</f>
        <v>0</v>
      </c>
      <c r="AP53" s="500">
        <f>SUM(AP55:AP56)</f>
        <v>0</v>
      </c>
      <c r="AQ53" s="500">
        <f>SUM(AQ55:AQ56)</f>
        <v>0</v>
      </c>
      <c r="AR53" s="500">
        <f>SUM(AR55:AR56)</f>
        <v>0</v>
      </c>
      <c r="AS53" s="500">
        <f>SUM(AS55:AS56)</f>
        <v>0</v>
      </c>
      <c r="AT53" s="500">
        <f>SUM(AT55:AT56)</f>
        <v>0</v>
      </c>
      <c r="AU53" s="500">
        <f>SUM(AU55:AU56)</f>
        <v>0</v>
      </c>
      <c r="AV53" s="500">
        <f>SUM(AV55:AV56)</f>
        <v>0</v>
      </c>
      <c r="AW53" s="500">
        <f>SUM(AW55:AW56)</f>
        <v>0</v>
      </c>
      <c r="AX53" s="500">
        <f>SUM(AX55:AX56)</f>
        <v>0</v>
      </c>
      <c r="AY53" s="500">
        <f>SUM(AY55:AY56)</f>
        <v>0</v>
      </c>
      <c r="AZ53" s="500">
        <f>SUM(AZ55:AZ56)</f>
        <v>0</v>
      </c>
      <c r="BA53" s="500">
        <f>SUM(BA55:BA56)</f>
        <v>0</v>
      </c>
      <c r="BB53" s="500">
        <f>SUM(BB55:BB56)</f>
        <v>0</v>
      </c>
      <c r="BC53" s="500">
        <f>SUM(BC55:BC56)</f>
        <v>0</v>
      </c>
      <c r="BD53" s="500">
        <f>SUM(BD55:BD56)</f>
        <v>0</v>
      </c>
      <c r="BE53" s="500">
        <f>SUM(BE55:BE56)</f>
        <v>0</v>
      </c>
      <c r="BF53" s="500">
        <f>SUM(BF55:BF56)</f>
        <v>0</v>
      </c>
      <c r="BG53" s="500">
        <f>SUM(BG55:BG56)</f>
        <v>0</v>
      </c>
      <c r="BH53" s="500">
        <f>SUM(BH55:BH56)</f>
        <v>0</v>
      </c>
      <c r="BI53" s="500">
        <f>SUM(BI55:BI56)</f>
        <v>0</v>
      </c>
      <c r="BJ53" s="500">
        <f>SUM(BJ55:BJ56)</f>
        <v>0</v>
      </c>
      <c r="BK53" s="500">
        <f>SUM(BK55:BK56)</f>
        <v>0</v>
      </c>
      <c r="BL53" s="500">
        <f>SUM(BL55:BL56)</f>
        <v>0</v>
      </c>
      <c r="BM53" s="500">
        <f>SUM(BM55:BM56)</f>
        <v>0</v>
      </c>
      <c r="BN53" s="500">
        <f>SUM(BN55:BN56)</f>
        <v>0</v>
      </c>
      <c r="BO53" s="500">
        <f>SUM(BO55:BO56)</f>
        <v>0</v>
      </c>
      <c r="BP53" s="500">
        <f>SUM(BP55:BP56)</f>
        <v>0</v>
      </c>
      <c r="BQ53" s="500">
        <f>SUM(BQ55:BQ56)</f>
        <v>0</v>
      </c>
      <c r="BR53" s="500">
        <f>SUM(BR55:BR56)</f>
        <v>0</v>
      </c>
      <c r="BS53" s="500">
        <f>SUM(BS55:BS56)</f>
        <v>0</v>
      </c>
      <c r="BT53" s="500">
        <f>SUM(BT55:BT56)</f>
        <v>0</v>
      </c>
      <c r="BU53" s="500">
        <f>SUM(BU55:BU56)</f>
        <v>0</v>
      </c>
      <c r="BV53" s="500">
        <f>SUM(BV55:BV56)</f>
        <v>0</v>
      </c>
      <c r="BW53" s="500">
        <f>SUM(BW55:BW56)</f>
        <v>0</v>
      </c>
      <c r="BX53" s="500">
        <f>SUM(BX55:BX56)</f>
        <v>0</v>
      </c>
      <c r="BY53" s="500">
        <f>SUM(BY55:BY56)</f>
        <v>0</v>
      </c>
      <c r="BZ53" s="500">
        <f>SUM(BZ55:BZ56)</f>
        <v>0</v>
      </c>
      <c r="CA53" s="500">
        <f>SUM(CA55:CA56)</f>
        <v>0</v>
      </c>
      <c r="CB53" s="500">
        <f>SUM(CB55:CB56)</f>
        <v>0</v>
      </c>
      <c r="CC53" s="500">
        <f>SUM(CC55:CC56)</f>
        <v>0</v>
      </c>
      <c r="CD53" s="500">
        <f>SUM(CD55:CD56)</f>
        <v>0</v>
      </c>
      <c r="CE53" s="500">
        <f>SUM(CE55:CE56)</f>
        <v>0</v>
      </c>
      <c r="CF53" s="500">
        <f>SUM(CF55:CF56)</f>
        <v>0</v>
      </c>
      <c r="CG53" s="500">
        <f>SUM(CG55:CG56)</f>
        <v>0</v>
      </c>
      <c r="CH53" s="500">
        <f>SUM(CH55:CH56)</f>
        <v>0</v>
      </c>
      <c r="CI53" s="500">
        <f>SUM(CI55:CI56)</f>
        <v>0</v>
      </c>
      <c r="CJ53" s="500">
        <f>SUM(CJ55:CJ56)</f>
        <v>0</v>
      </c>
      <c r="CK53" s="500">
        <f>SUM(CK55:CK56)</f>
        <v>0</v>
      </c>
      <c r="CL53" s="500">
        <f>SUM(CL55:CL56)</f>
        <v>0</v>
      </c>
      <c r="CM53" s="500">
        <f>SUM(CM55:CM56)</f>
        <v>0</v>
      </c>
      <c r="CN53" s="500">
        <f>SUM(CN55:CN56)</f>
        <v>0</v>
      </c>
      <c r="CO53" s="500">
        <f>SUM(CO55:CO56)</f>
        <v>0</v>
      </c>
      <c r="CP53" s="500">
        <f>SUM(CP55:CP56)</f>
        <v>0</v>
      </c>
      <c r="CQ53" s="500">
        <f>SUM(CQ55:CQ56)</f>
        <v>0</v>
      </c>
      <c r="CR53" s="500">
        <f>SUM(CR55:CR56)</f>
        <v>0</v>
      </c>
      <c r="CS53" s="500">
        <f>SUM(CS55:CS56)</f>
        <v>0</v>
      </c>
      <c r="CT53" s="500">
        <f>SUM(CT55:CT56)</f>
        <v>0</v>
      </c>
      <c r="CU53" s="500">
        <f>SUM(CU55:CU56)</f>
        <v>0</v>
      </c>
      <c r="CV53" s="500">
        <f>SUM(CV55:CV56)</f>
        <v>0</v>
      </c>
      <c r="CW53" s="500">
        <f>SUM(CW55:CW56)</f>
        <v>0</v>
      </c>
      <c r="CX53" s="500">
        <f>SUM(CX55:CX56)</f>
        <v>0</v>
      </c>
      <c r="CY53" s="500">
        <f>SUM(CY55:CY56)</f>
        <v>0</v>
      </c>
      <c r="CZ53" s="500">
        <f>SUM(CZ55:CZ56)</f>
        <v>0</v>
      </c>
      <c r="DA53" s="500">
        <f>SUM(DA55:DA56)</f>
        <v>0</v>
      </c>
      <c r="DB53" s="500">
        <f>SUM(DB55:DB56)</f>
        <v>0</v>
      </c>
      <c r="DC53" s="500">
        <f>SUM(DC55:DC56)</f>
        <v>0</v>
      </c>
      <c r="DD53" s="500">
        <f>SUM(DD55:DD56)</f>
        <v>0</v>
      </c>
      <c r="DE53" s="500">
        <f>SUM(DE55:DE56)</f>
        <v>0</v>
      </c>
      <c r="DF53" s="500">
        <f>SUM(DF55:DF56)</f>
        <v>0</v>
      </c>
      <c r="DG53" s="500">
        <f>SUM(DG55:DG56)</f>
        <v>0</v>
      </c>
      <c r="DH53" s="500">
        <f>SUM(DH55:DH56)</f>
        <v>0</v>
      </c>
      <c r="DI53" s="500">
        <f>SUM(DI55:DI56)</f>
        <v>0</v>
      </c>
      <c r="DJ53" s="500">
        <f>SUM(DJ55:DJ56)</f>
        <v>0</v>
      </c>
      <c r="DK53" s="500">
        <f>SUM(DK55:DK56)</f>
        <v>0</v>
      </c>
      <c r="DL53" s="500">
        <f>SUM(DL55:DL56)</f>
        <v>0</v>
      </c>
      <c r="DM53" s="500">
        <f>SUM(DM55:DM56)</f>
        <v>0</v>
      </c>
      <c r="DN53" s="500">
        <f>SUM(DN55:DN56)</f>
        <v>0</v>
      </c>
      <c r="DO53" s="500">
        <f>SUM(DO55:DO56)</f>
        <v>0</v>
      </c>
      <c r="DP53" s="500">
        <f>SUM(DP55:DP56)</f>
        <v>0</v>
      </c>
      <c r="DQ53" s="500">
        <f>SUM(DQ55:DQ56)</f>
        <v>0</v>
      </c>
      <c r="DR53" s="500">
        <f>SUM(DR55:DR56)</f>
        <v>0</v>
      </c>
      <c r="DS53" s="500">
        <f>SUM(DS55:DS56)</f>
        <v>0</v>
      </c>
      <c r="DT53" s="500">
        <f>SUM(DT55:DT56)</f>
        <v>0</v>
      </c>
      <c r="DU53" s="500">
        <f>SUM(DU55:DU56)</f>
        <v>0</v>
      </c>
      <c r="DV53" s="500">
        <f>SUM(DV55:DV56)</f>
        <v>0</v>
      </c>
      <c r="DW53" s="500">
        <f>SUM(DW55:DW56)</f>
        <v>0</v>
      </c>
      <c r="DX53" s="500">
        <f>SUM(DX55:DX56)</f>
        <v>0</v>
      </c>
      <c r="DY53" s="500">
        <f>SUM(DY55:DY56)</f>
        <v>0</v>
      </c>
      <c r="DZ53" s="500">
        <f>SUM(DZ55:DZ56)</f>
        <v>0</v>
      </c>
      <c r="EA53" s="500">
        <f>SUM(EA55:EA56)</f>
        <v>0</v>
      </c>
      <c r="EB53" s="500">
        <f>SUM(EB55:EB56)</f>
        <v>0</v>
      </c>
      <c r="EC53" s="500">
        <f>SUM(EC55:EC56)</f>
        <v>0</v>
      </c>
      <c r="ED53" s="500">
        <f>SUM(ED55:ED56)</f>
        <v>0</v>
      </c>
      <c r="EE53" s="500">
        <f>SUM(EE55:EE56)</f>
        <v>0</v>
      </c>
      <c r="EF53" s="500">
        <f>SUM(EF55:EF56)</f>
        <v>0</v>
      </c>
      <c r="EG53" s="500">
        <f>SUM(EG55:EG56)</f>
        <v>0</v>
      </c>
      <c r="EH53" s="500">
        <f>SUM(EH55:EH56)</f>
        <v>0</v>
      </c>
      <c r="EI53" s="500">
        <f>SUM(EI55:EI56)</f>
        <v>0</v>
      </c>
      <c r="EJ53" s="500">
        <f>SUM(EJ55:EJ56)</f>
        <v>0</v>
      </c>
      <c r="EK53" s="500">
        <f>SUM(EK55:EK56)</f>
        <v>0</v>
      </c>
      <c r="EL53" s="500">
        <f>SUM(EL55:EL56)</f>
        <v>0</v>
      </c>
      <c r="EM53" s="500">
        <f>SUM(EM55:EM56)</f>
        <v>0</v>
      </c>
      <c r="EN53" s="500">
        <f>SUM(EN55:EN56)</f>
        <v>0</v>
      </c>
      <c r="EO53" s="500">
        <f>SUM(EO55:EO56)</f>
        <v>0</v>
      </c>
      <c r="EP53" s="500">
        <f>SUM(EP55:EP56)</f>
        <v>0</v>
      </c>
      <c r="EQ53" s="500">
        <f>SUM(EQ55:EQ56)</f>
        <v>0</v>
      </c>
      <c r="ER53" s="500">
        <f>SUM(ER55:ER56)</f>
        <v>0</v>
      </c>
      <c r="ES53" s="500">
        <f>SUM(ES55:ES56)</f>
        <v>0</v>
      </c>
      <c r="ET53" s="500">
        <f>SUM(ET55:ET56)</f>
        <v>0</v>
      </c>
      <c r="EU53" s="500">
        <f>SUM(EU55:EU56)</f>
        <v>0</v>
      </c>
      <c r="EV53" s="500">
        <f>SUM(EV55:EV56)</f>
        <v>0</v>
      </c>
      <c r="EW53" s="500">
        <f>SUM(EW55:EW56)</f>
        <v>0</v>
      </c>
      <c r="EX53" s="500">
        <f>SUM(EX55:EX56)</f>
        <v>0</v>
      </c>
      <c r="EY53" s="500">
        <f>SUM(EY55:EY56)</f>
        <v>0</v>
      </c>
      <c r="EZ53" s="500">
        <f>SUM(EZ55:EZ56)</f>
        <v>0</v>
      </c>
      <c r="FA53" s="500">
        <f>SUM(FA55:FA56)</f>
        <v>0</v>
      </c>
      <c r="FB53" s="83"/>
      <c r="FE53" s="489" t="s">
        <v>885</v>
      </c>
      <c r="FK53" s="1157" cm="1" t="str">
        <f t="array" ref="FK53:FK53">OFFSET(FJ53,-1,1)</f>
        <v>0</v>
      </c>
      <c r="FL53" s="1078" t="s">
        <v>862</v>
      </c>
      <c r="FM53" s="1159"/>
      <c r="FN53" s="1159"/>
      <c r="FO53" s="1159"/>
      <c r="FP53" s="1159"/>
      <c r="FQ53" s="1159"/>
      <c r="FR53" s="1159"/>
      <c r="FS53" s="1159"/>
      <c r="FT53" s="1159"/>
      <c r="FU53" s="1159"/>
      <c r="FV53" s="1078" t="s">
        <v>886</v>
      </c>
      <c r="FW53" s="1159"/>
      <c r="FX53" s="1078"/>
      <c r="FY53" s="1078"/>
      <c r="FZ53" s="1159"/>
    </row>
    <row customHeight="1" ht="16.575" hidden="1">
      <c r="E54" s="180">
        <v>17</v>
      </c>
      <c r="F54" s="175" cm="1" t="str">
        <f t="array" ref="F54:F54">OFFSET(G54,-1,-1)</f>
        <v>0</v>
      </c>
      <c r="L54" s="175" cm="1" t="str">
        <f t="array" ref="L54:L54">OFFSET(M54,-1,-1)</f>
        <v>false</v>
      </c>
      <c r="R54" s="175" t="s">
        <v>804</v>
      </c>
      <c r="S54" s="175" cm="1" t="str">
        <f t="array" ref="S54:S54">OFFSET(T54,-1,-1)</f>
        <v>false</v>
      </c>
      <c r="T54" s="175" cm="1" t="str">
        <f t="array" ref="T54:T54">L54</f>
        <v>false</v>
      </c>
      <c r="U54" s="753">
        <f>AND(S54,IF(ISBLANK(T54),TRUE,T54))</f>
        <v>0</v>
      </c>
      <c r="AB54" s="1610"/>
      <c r="AD54" s="491" t="s">
        <v>887</v>
      </c>
      <c r="AE54" s="1619" t="s">
        <v>822</v>
      </c>
      <c r="AF54" s="496"/>
      <c r="AG54" s="491" t="s">
        <v>866</v>
      </c>
      <c r="AH54" s="88">
        <f>AH$52*AH53</f>
        <v>0</v>
      </c>
      <c r="AI54" s="89">
        <f>AI$52*AI53</f>
        <v>0</v>
      </c>
      <c r="AJ54" s="89">
        <f>AJ$52*AJ53</f>
        <v>0</v>
      </c>
      <c r="AK54" s="89">
        <f>AK$52*AK53</f>
        <v>0</v>
      </c>
      <c r="AL54" s="500">
        <f>AM54+AN54</f>
        <v>0</v>
      </c>
      <c r="AM54" s="89">
        <f>AM$52*AM53</f>
        <v>0</v>
      </c>
      <c r="AN54" s="89">
        <f>AN$52*AN53</f>
        <v>0</v>
      </c>
      <c r="AO54" s="500">
        <f>AP54+AQ54</f>
        <v>0</v>
      </c>
      <c r="AP54" s="89">
        <f>AP$52*AP53</f>
        <v>0</v>
      </c>
      <c r="AQ54" s="89">
        <f>AQ$52*AQ53</f>
        <v>0</v>
      </c>
      <c r="AR54" s="500">
        <f>AS54+AT54</f>
        <v>0</v>
      </c>
      <c r="AS54" s="89">
        <f>AS$52*AS53</f>
        <v>0</v>
      </c>
      <c r="AT54" s="89">
        <f>AT$52*AT53</f>
        <v>0</v>
      </c>
      <c r="AU54" s="500">
        <f>AV54+AW54</f>
        <v>0</v>
      </c>
      <c r="AV54" s="89">
        <f>AV$52*AV53</f>
        <v>0</v>
      </c>
      <c r="AW54" s="89">
        <f>AW$52*AW53</f>
        <v>0</v>
      </c>
      <c r="AX54" s="500">
        <f>AY54+AZ54</f>
        <v>0</v>
      </c>
      <c r="AY54" s="89">
        <f>AY$52*AY53</f>
        <v>0</v>
      </c>
      <c r="AZ54" s="89">
        <f>AZ$52*AZ53</f>
        <v>0</v>
      </c>
      <c r="BA54" s="500">
        <f>BB54+BC54</f>
        <v>0</v>
      </c>
      <c r="BB54" s="89">
        <f>BB$52*BB53</f>
        <v>0</v>
      </c>
      <c r="BC54" s="89">
        <f>BC$52*BC53</f>
        <v>0</v>
      </c>
      <c r="BD54" s="500">
        <f>BE54+BF54</f>
        <v>0</v>
      </c>
      <c r="BE54" s="89">
        <f>BE$52*BE53</f>
        <v>0</v>
      </c>
      <c r="BF54" s="89">
        <f>BF$52*BF53</f>
        <v>0</v>
      </c>
      <c r="BG54" s="500">
        <f>BH54+BI54</f>
        <v>0</v>
      </c>
      <c r="BH54" s="89">
        <f>BH$52*BH53</f>
        <v>0</v>
      </c>
      <c r="BI54" s="89">
        <f>BI$52*BI53</f>
        <v>0</v>
      </c>
      <c r="BJ54" s="500">
        <f>BK54+BL54</f>
        <v>0</v>
      </c>
      <c r="BK54" s="89">
        <f>BK$52*BK53</f>
        <v>0</v>
      </c>
      <c r="BL54" s="89">
        <f>BL$52*BL53</f>
        <v>0</v>
      </c>
      <c r="BM54" s="500">
        <f>BN54+BO54</f>
        <v>0</v>
      </c>
      <c r="BN54" s="89">
        <f>BN$52*BN53</f>
        <v>0</v>
      </c>
      <c r="BO54" s="89">
        <f>BO$52*BO53</f>
        <v>0</v>
      </c>
      <c r="BP54" s="500">
        <f>BQ54+BR54</f>
        <v>0</v>
      </c>
      <c r="BQ54" s="89">
        <f>BQ$52*BQ53</f>
        <v>0</v>
      </c>
      <c r="BR54" s="89">
        <f>BR$52*BR53</f>
        <v>0</v>
      </c>
      <c r="BS54" s="500">
        <f>BT54+BU54</f>
        <v>0</v>
      </c>
      <c r="BT54" s="89">
        <f>BT$52*BT53</f>
        <v>0</v>
      </c>
      <c r="BU54" s="89">
        <f>BU$52*BU53</f>
        <v>0</v>
      </c>
      <c r="BV54" s="500">
        <f>BW54+BX54</f>
        <v>0</v>
      </c>
      <c r="BW54" s="89">
        <f>BW$52*BW53</f>
        <v>0</v>
      </c>
      <c r="BX54" s="89">
        <f>BX$52*BX53</f>
        <v>0</v>
      </c>
      <c r="BY54" s="500">
        <f>BZ54+CA54</f>
        <v>0</v>
      </c>
      <c r="BZ54" s="89">
        <f>BZ$52*BZ53</f>
        <v>0</v>
      </c>
      <c r="CA54" s="89">
        <f>CA$52*CA53</f>
        <v>0</v>
      </c>
      <c r="CB54" s="500">
        <f>CC54+CD54</f>
        <v>0</v>
      </c>
      <c r="CC54" s="89">
        <f>CC$52*CC53</f>
        <v>0</v>
      </c>
      <c r="CD54" s="89">
        <f>CD$52*CD53</f>
        <v>0</v>
      </c>
      <c r="CE54" s="500">
        <f>CF54+CG54</f>
        <v>0</v>
      </c>
      <c r="CF54" s="89">
        <f>CF$52*CF53</f>
        <v>0</v>
      </c>
      <c r="CG54" s="89">
        <f>CG$52*CG53</f>
        <v>0</v>
      </c>
      <c r="CH54" s="500">
        <f>CI54+CJ54</f>
        <v>0</v>
      </c>
      <c r="CI54" s="89">
        <f>CI$52*CI53</f>
        <v>0</v>
      </c>
      <c r="CJ54" s="89">
        <f>CJ$52*CJ53</f>
        <v>0</v>
      </c>
      <c r="CK54" s="500">
        <f>CL54+CM54</f>
        <v>0</v>
      </c>
      <c r="CL54" s="89">
        <f>CL$52*CL53</f>
        <v>0</v>
      </c>
      <c r="CM54" s="89">
        <f>CM$52*CM53</f>
        <v>0</v>
      </c>
      <c r="CN54" s="500">
        <f>CO54+CP54</f>
        <v>0</v>
      </c>
      <c r="CO54" s="89">
        <f>CO$52*CO53</f>
        <v>0</v>
      </c>
      <c r="CP54" s="89">
        <f>CP$52*CP53</f>
        <v>0</v>
      </c>
      <c r="CQ54" s="500">
        <f>CR54+CS54</f>
        <v>0</v>
      </c>
      <c r="CR54" s="89">
        <f>CR$52*CR53</f>
        <v>0</v>
      </c>
      <c r="CS54" s="89">
        <f>CS$52*CS53</f>
        <v>0</v>
      </c>
      <c r="CT54" s="500">
        <f>CU54+CV54</f>
        <v>0</v>
      </c>
      <c r="CU54" s="498">
        <f>CU$52*CU53</f>
        <v>0</v>
      </c>
      <c r="CV54" s="498">
        <f>CV$52*CV53</f>
        <v>0</v>
      </c>
      <c r="CW54" s="500">
        <f>CX54+CY54</f>
        <v>0</v>
      </c>
      <c r="CX54" s="89">
        <f>CX$52*CX53</f>
        <v>0</v>
      </c>
      <c r="CY54" s="89">
        <f>CY$52*CY53</f>
        <v>0</v>
      </c>
      <c r="CZ54" s="500">
        <f>DA54+DB54</f>
        <v>0</v>
      </c>
      <c r="DA54" s="89">
        <f>DA$52*DA53</f>
        <v>0</v>
      </c>
      <c r="DB54" s="89">
        <f>DB$52*DB53</f>
        <v>0</v>
      </c>
      <c r="DC54" s="500">
        <f>DD54+DE54</f>
        <v>0</v>
      </c>
      <c r="DD54" s="89">
        <f>DD$52*DD53</f>
        <v>0</v>
      </c>
      <c r="DE54" s="89">
        <f>DE$52*DE53</f>
        <v>0</v>
      </c>
      <c r="DF54" s="500">
        <f>DG54+DH54</f>
        <v>0</v>
      </c>
      <c r="DG54" s="89">
        <f>DG$52*DG53</f>
        <v>0</v>
      </c>
      <c r="DH54" s="89">
        <f>DH$52*DH53</f>
        <v>0</v>
      </c>
      <c r="DI54" s="500">
        <f>DJ54+DK54</f>
        <v>0</v>
      </c>
      <c r="DJ54" s="89">
        <f>DJ$52*DJ53</f>
        <v>0</v>
      </c>
      <c r="DK54" s="89">
        <f>DK$52*DK53</f>
        <v>0</v>
      </c>
      <c r="DL54" s="500">
        <f>DM54+DN54</f>
        <v>0</v>
      </c>
      <c r="DM54" s="89">
        <f>DM$52*DM53</f>
        <v>0</v>
      </c>
      <c r="DN54" s="89">
        <f>DN$52*DN53</f>
        <v>0</v>
      </c>
      <c r="DO54" s="500">
        <f>DP54+DQ54</f>
        <v>0</v>
      </c>
      <c r="DP54" s="89">
        <f>DP$52*DP53</f>
        <v>0</v>
      </c>
      <c r="DQ54" s="89">
        <f>DQ$52*DQ53</f>
        <v>0</v>
      </c>
      <c r="DR54" s="500">
        <f>DS54+DT54</f>
        <v>0</v>
      </c>
      <c r="DS54" s="89">
        <f>DS$52*DS53</f>
        <v>0</v>
      </c>
      <c r="DT54" s="89">
        <f>DT$52*DT53</f>
        <v>0</v>
      </c>
      <c r="DU54" s="500">
        <f>DV54+DW54</f>
        <v>0</v>
      </c>
      <c r="DV54" s="89">
        <f>DV$52*DV53</f>
        <v>0</v>
      </c>
      <c r="DW54" s="89">
        <f>DW$52*DW53</f>
        <v>0</v>
      </c>
      <c r="DX54" s="500">
        <f>DY54+DZ54</f>
        <v>0</v>
      </c>
      <c r="DY54" s="89">
        <f>DY$52*DY53</f>
        <v>0</v>
      </c>
      <c r="DZ54" s="89">
        <f>DZ$52*DZ53</f>
        <v>0</v>
      </c>
      <c r="EA54" s="500">
        <f>EB54+EC54</f>
        <v>0</v>
      </c>
      <c r="EB54" s="89">
        <f>EB$52*EB53</f>
        <v>0</v>
      </c>
      <c r="EC54" s="89">
        <f>EC$52*EC53</f>
        <v>0</v>
      </c>
      <c r="ED54" s="500">
        <f>EE54+EF54</f>
        <v>0</v>
      </c>
      <c r="EE54" s="89">
        <f>EE$52*EE53</f>
        <v>0</v>
      </c>
      <c r="EF54" s="89">
        <f>EF$52*EF53</f>
        <v>0</v>
      </c>
      <c r="EG54" s="500">
        <f>EH54+EI54</f>
        <v>0</v>
      </c>
      <c r="EH54" s="89">
        <f>EH$52*EH53</f>
        <v>0</v>
      </c>
      <c r="EI54" s="89">
        <f>EI$52*EI53</f>
        <v>0</v>
      </c>
      <c r="EJ54" s="500">
        <f>EK54+EL54</f>
        <v>0</v>
      </c>
      <c r="EK54" s="89">
        <f>EK$52*EK53</f>
        <v>0</v>
      </c>
      <c r="EL54" s="89">
        <f>EL$52*EL53</f>
        <v>0</v>
      </c>
      <c r="EM54" s="500">
        <f>EN54+EO54</f>
        <v>0</v>
      </c>
      <c r="EN54" s="89">
        <f>EN$52*EN53</f>
        <v>0</v>
      </c>
      <c r="EO54" s="89">
        <f>EO$52*EO53</f>
        <v>0</v>
      </c>
      <c r="EP54" s="500">
        <f>EQ54+ER54</f>
        <v>0</v>
      </c>
      <c r="EQ54" s="89">
        <f>EQ$52*EQ53</f>
        <v>0</v>
      </c>
      <c r="ER54" s="89">
        <f>ER$52*ER53</f>
        <v>0</v>
      </c>
      <c r="ES54" s="500">
        <f>ET54+EU54</f>
        <v>0</v>
      </c>
      <c r="ET54" s="89">
        <f>ET$52*ET53</f>
        <v>0</v>
      </c>
      <c r="EU54" s="89">
        <f>EU$52*EU53</f>
        <v>0</v>
      </c>
      <c r="EV54" s="500">
        <f>EW54+EX54</f>
        <v>0</v>
      </c>
      <c r="EW54" s="89">
        <f>EW$52*EW53</f>
        <v>0</v>
      </c>
      <c r="EX54" s="89">
        <f>EX$52*EX53</f>
        <v>0</v>
      </c>
      <c r="EY54" s="500">
        <f>EZ54+FA54</f>
        <v>0</v>
      </c>
      <c r="EZ54" s="89">
        <f>EZ$52*EZ53</f>
        <v>0</v>
      </c>
      <c r="FA54" s="89">
        <f>FA$52*FA53</f>
        <v>0</v>
      </c>
      <c r="FB54" s="83"/>
      <c r="FE54" s="489" t="s">
        <v>888</v>
      </c>
      <c r="FK54" s="1157" cm="1" t="str">
        <f t="array" ref="FK54:FK54">OFFSET(FJ54,-1,1)</f>
        <v>0</v>
      </c>
      <c r="FL54" s="1078"/>
      <c r="FM54" s="1160"/>
      <c r="FN54" s="1160"/>
      <c r="FO54" s="1160"/>
      <c r="FP54" s="1160"/>
      <c r="FQ54" s="1160"/>
      <c r="FR54" s="1160"/>
      <c r="FS54" s="1159"/>
      <c r="FT54" s="1160"/>
      <c r="FU54" s="1160"/>
      <c r="FV54" s="286" t="s">
        <v>255</v>
      </c>
      <c r="FW54" s="1078"/>
      <c r="FX54" s="1078" t="s">
        <v>303</v>
      </c>
      <c r="FY54" s="1078" t="s">
        <v>877</v>
      </c>
      <c r="FZ54" s="1078" t="s">
        <v>878</v>
      </c>
    </row>
    <row customHeight="1" ht="16.575" hidden="1">
      <c r="E55" s="180">
        <v>17</v>
      </c>
      <c r="F55" s="175" cm="1" t="str">
        <f t="array" ref="F55:F55">OFFSET(G55,-1,-1)</f>
        <v>0</v>
      </c>
      <c r="L55" s="175" cm="1" t="str">
        <f t="array" ref="L55:L55">OFFSET(M55,-1,-1)</f>
        <v>false</v>
      </c>
      <c r="S55" s="175" cm="1" t="str">
        <f t="array" ref="S55:S55">OFFSET(T55,-1,-1)</f>
        <v>false</v>
      </c>
      <c r="T55" s="175">
        <f>AD55&lt;&gt;"18.0"</f>
        <v>0</v>
      </c>
      <c r="U55" s="753">
        <f>AND(S55,IF(ISBLANK(T55),TRUE,T55))</f>
        <v>0</v>
      </c>
      <c r="X55" s="175" t="s">
        <v>189</v>
      </c>
      <c r="AB55" s="1610"/>
      <c r="AC55" s="477" t="s">
        <v>171</v>
      </c>
      <c r="AD55" s="491" t="s">
        <v>887</v>
      </c>
      <c r="AE55" s="90"/>
      <c r="AF55" s="91"/>
      <c r="AG55" s="491" t="s">
        <v>866</v>
      </c>
      <c r="AH55" s="88">
        <f>AH$51*AH58</f>
        <v>0</v>
      </c>
      <c r="AI55" s="88">
        <f>AI64*AI61</f>
        <v>0</v>
      </c>
      <c r="AJ55" s="88">
        <f>AJ64*AJ61</f>
        <v>0</v>
      </c>
      <c r="AK55" s="88">
        <f>AK$51*AK58</f>
        <v>0</v>
      </c>
      <c r="AL55" s="500">
        <f>AM55+AN55</f>
        <v>0</v>
      </c>
      <c r="AM55" s="88">
        <f>AM$51*AM58</f>
        <v>0</v>
      </c>
      <c r="AN55" s="88">
        <f>AN$51*AN58</f>
        <v>0</v>
      </c>
      <c r="AO55" s="500">
        <f>AP55+AQ55</f>
        <v>0</v>
      </c>
      <c r="AP55" s="88">
        <f>AP$51*AP58</f>
        <v>0</v>
      </c>
      <c r="AQ55" s="88">
        <f>AQ$51*AQ58</f>
        <v>0</v>
      </c>
      <c r="AR55" s="500">
        <f>AS55+AT55</f>
        <v>0</v>
      </c>
      <c r="AS55" s="88">
        <f>AS$51*AS58</f>
        <v>0</v>
      </c>
      <c r="AT55" s="88">
        <f>AT$51*AT58</f>
        <v>0</v>
      </c>
      <c r="AU55" s="500">
        <f>AV55+AW55</f>
        <v>0</v>
      </c>
      <c r="AV55" s="88">
        <f>AV$51*AV58</f>
        <v>0</v>
      </c>
      <c r="AW55" s="88">
        <f>AW$51*AW58</f>
        <v>0</v>
      </c>
      <c r="AX55" s="500">
        <f>AY55+AZ55</f>
        <v>0</v>
      </c>
      <c r="AY55" s="88">
        <f>AY$51*AY58</f>
        <v>0</v>
      </c>
      <c r="AZ55" s="88">
        <f>AZ$51*AZ58</f>
        <v>0</v>
      </c>
      <c r="BA55" s="500">
        <f>BB55+BC55</f>
        <v>0</v>
      </c>
      <c r="BB55" s="88">
        <f>BB$51*BB58</f>
        <v>0</v>
      </c>
      <c r="BC55" s="88">
        <f>BC$51*BC58</f>
        <v>0</v>
      </c>
      <c r="BD55" s="500">
        <f>BE55+BF55</f>
        <v>0</v>
      </c>
      <c r="BE55" s="88">
        <f>BE$51*BE58</f>
        <v>0</v>
      </c>
      <c r="BF55" s="88">
        <f>BF$51*BF58</f>
        <v>0</v>
      </c>
      <c r="BG55" s="500">
        <f>BH55+BI55</f>
        <v>0</v>
      </c>
      <c r="BH55" s="88">
        <f>BH$51*BH58</f>
        <v>0</v>
      </c>
      <c r="BI55" s="88">
        <f>BI$51*BI58</f>
        <v>0</v>
      </c>
      <c r="BJ55" s="500">
        <f>BK55+BL55</f>
        <v>0</v>
      </c>
      <c r="BK55" s="88">
        <f>BK$51*BK58</f>
        <v>0</v>
      </c>
      <c r="BL55" s="88">
        <f>BL$51*BL58</f>
        <v>0</v>
      </c>
      <c r="BM55" s="500">
        <f>BN55+BO55</f>
        <v>0</v>
      </c>
      <c r="BN55" s="88">
        <f>BN$51*BN58</f>
        <v>0</v>
      </c>
      <c r="BO55" s="88">
        <f>BO$51*BO58</f>
        <v>0</v>
      </c>
      <c r="BP55" s="500">
        <f>BQ55+BR55</f>
        <v>0</v>
      </c>
      <c r="BQ55" s="88">
        <f>BQ$51*BQ58</f>
        <v>0</v>
      </c>
      <c r="BR55" s="88">
        <f>BR$51*BR58</f>
        <v>0</v>
      </c>
      <c r="BS55" s="500">
        <f>BT55+BU55</f>
        <v>0</v>
      </c>
      <c r="BT55" s="88">
        <f>BT$51*BT58</f>
        <v>0</v>
      </c>
      <c r="BU55" s="88">
        <f>BU$51*BU58</f>
        <v>0</v>
      </c>
      <c r="BV55" s="500">
        <f>BW55+BX55</f>
        <v>0</v>
      </c>
      <c r="BW55" s="88">
        <f>BW$51*BW58</f>
        <v>0</v>
      </c>
      <c r="BX55" s="88">
        <f>BX$51*BX58</f>
        <v>0</v>
      </c>
      <c r="BY55" s="500">
        <f>BZ55+CA55</f>
        <v>0</v>
      </c>
      <c r="BZ55" s="88">
        <f>BZ$51*BZ58</f>
        <v>0</v>
      </c>
      <c r="CA55" s="88">
        <f>CA$51*CA58</f>
        <v>0</v>
      </c>
      <c r="CB55" s="500">
        <f>CC55+CD55</f>
        <v>0</v>
      </c>
      <c r="CC55" s="88">
        <f>CC$51*CC58</f>
        <v>0</v>
      </c>
      <c r="CD55" s="88">
        <f>CD$51*CD58</f>
        <v>0</v>
      </c>
      <c r="CE55" s="500">
        <f>CF55+CG55</f>
        <v>0</v>
      </c>
      <c r="CF55" s="88">
        <f>CF$51*CF58</f>
        <v>0</v>
      </c>
      <c r="CG55" s="88">
        <f>CG$51*CG58</f>
        <v>0</v>
      </c>
      <c r="CH55" s="500">
        <f>CI55+CJ55</f>
        <v>0</v>
      </c>
      <c r="CI55" s="88">
        <f>CI$51*CI58</f>
        <v>0</v>
      </c>
      <c r="CJ55" s="88">
        <f>CJ$51*CJ58</f>
        <v>0</v>
      </c>
      <c r="CK55" s="500">
        <f>CL55+CM55</f>
        <v>0</v>
      </c>
      <c r="CL55" s="88">
        <f>CL$51*CL58</f>
        <v>0</v>
      </c>
      <c r="CM55" s="88">
        <f>CM$51*CM58</f>
        <v>0</v>
      </c>
      <c r="CN55" s="500">
        <f>CO55+CP55</f>
        <v>0</v>
      </c>
      <c r="CO55" s="88">
        <f>CO$51*CO58</f>
        <v>0</v>
      </c>
      <c r="CP55" s="88">
        <f>CP$51*CP58</f>
        <v>0</v>
      </c>
      <c r="CQ55" s="500">
        <f>CR55+CS55</f>
        <v>0</v>
      </c>
      <c r="CR55" s="88">
        <f>CR$51*CR58</f>
        <v>0</v>
      </c>
      <c r="CS55" s="88">
        <f>CS$51*CS58</f>
        <v>0</v>
      </c>
      <c r="CT55" s="500">
        <f>CU55+CV55</f>
        <v>0</v>
      </c>
      <c r="CU55" s="497">
        <f>CU$51*CU58</f>
        <v>0</v>
      </c>
      <c r="CV55" s="497">
        <f>CV$51*CV58</f>
        <v>0</v>
      </c>
      <c r="CW55" s="500">
        <f>CX55+CY55</f>
        <v>0</v>
      </c>
      <c r="CX55" s="88">
        <f>CX$51*CX58</f>
        <v>0</v>
      </c>
      <c r="CY55" s="88">
        <f>CY$51*CY58</f>
        <v>0</v>
      </c>
      <c r="CZ55" s="500">
        <f>DA55+DB55</f>
        <v>0</v>
      </c>
      <c r="DA55" s="88">
        <f>DA$51*DA58</f>
        <v>0</v>
      </c>
      <c r="DB55" s="88">
        <f>DB$51*DB58</f>
        <v>0</v>
      </c>
      <c r="DC55" s="500">
        <f>DD55+DE55</f>
        <v>0</v>
      </c>
      <c r="DD55" s="88">
        <f>DD$51*DD58</f>
        <v>0</v>
      </c>
      <c r="DE55" s="88">
        <f>DE$51*DE58</f>
        <v>0</v>
      </c>
      <c r="DF55" s="500">
        <f>DG55+DH55</f>
        <v>0</v>
      </c>
      <c r="DG55" s="88">
        <f>DG$51*DG58</f>
        <v>0</v>
      </c>
      <c r="DH55" s="88">
        <f>DH$51*DH58</f>
        <v>0</v>
      </c>
      <c r="DI55" s="500">
        <f>DJ55+DK55</f>
        <v>0</v>
      </c>
      <c r="DJ55" s="88">
        <f>DJ$51*DJ58</f>
        <v>0</v>
      </c>
      <c r="DK55" s="88">
        <f>DK$51*DK58</f>
        <v>0</v>
      </c>
      <c r="DL55" s="500">
        <f>DM55+DN55</f>
        <v>0</v>
      </c>
      <c r="DM55" s="88">
        <f>DM$51*DM58</f>
        <v>0</v>
      </c>
      <c r="DN55" s="88">
        <f>DN$51*DN58</f>
        <v>0</v>
      </c>
      <c r="DO55" s="500">
        <f>DP55+DQ55</f>
        <v>0</v>
      </c>
      <c r="DP55" s="88">
        <f>DP$51*DP58</f>
        <v>0</v>
      </c>
      <c r="DQ55" s="88">
        <f>DQ$51*DQ58</f>
        <v>0</v>
      </c>
      <c r="DR55" s="500">
        <f>DS55+DT55</f>
        <v>0</v>
      </c>
      <c r="DS55" s="88">
        <f>DS$51*DS58</f>
        <v>0</v>
      </c>
      <c r="DT55" s="88">
        <f>DT$51*DT58</f>
        <v>0</v>
      </c>
      <c r="DU55" s="500">
        <f>DV55+DW55</f>
        <v>0</v>
      </c>
      <c r="DV55" s="88">
        <f>DV$51*DV58</f>
        <v>0</v>
      </c>
      <c r="DW55" s="88">
        <f>DW$51*DW58</f>
        <v>0</v>
      </c>
      <c r="DX55" s="500">
        <f>DY55+DZ55</f>
        <v>0</v>
      </c>
      <c r="DY55" s="88">
        <f>DY$51*DY58</f>
        <v>0</v>
      </c>
      <c r="DZ55" s="88">
        <f>DZ$51*DZ58</f>
        <v>0</v>
      </c>
      <c r="EA55" s="500">
        <f>EB55+EC55</f>
        <v>0</v>
      </c>
      <c r="EB55" s="88">
        <f>EB$51*EB58</f>
        <v>0</v>
      </c>
      <c r="EC55" s="88">
        <f>EC$51*EC58</f>
        <v>0</v>
      </c>
      <c r="ED55" s="500">
        <f>EE55+EF55</f>
        <v>0</v>
      </c>
      <c r="EE55" s="88">
        <f>EE$51*EE58</f>
        <v>0</v>
      </c>
      <c r="EF55" s="88">
        <f>EF$51*EF58</f>
        <v>0</v>
      </c>
      <c r="EG55" s="500">
        <f>EH55+EI55</f>
        <v>0</v>
      </c>
      <c r="EH55" s="88">
        <f>EH$51*EH58</f>
        <v>0</v>
      </c>
      <c r="EI55" s="88">
        <f>EI$51*EI58</f>
        <v>0</v>
      </c>
      <c r="EJ55" s="500">
        <f>EK55+EL55</f>
        <v>0</v>
      </c>
      <c r="EK55" s="88">
        <f>EK$51*EK58</f>
        <v>0</v>
      </c>
      <c r="EL55" s="88">
        <f>EL$51*EL58</f>
        <v>0</v>
      </c>
      <c r="EM55" s="500">
        <f>EN55+EO55</f>
        <v>0</v>
      </c>
      <c r="EN55" s="88">
        <f>EN$51*EN58</f>
        <v>0</v>
      </c>
      <c r="EO55" s="88">
        <f>EO$51*EO58</f>
        <v>0</v>
      </c>
      <c r="EP55" s="500">
        <f>EQ55+ER55</f>
        <v>0</v>
      </c>
      <c r="EQ55" s="88">
        <f>EQ$51*EQ58</f>
        <v>0</v>
      </c>
      <c r="ER55" s="88">
        <f>ER$51*ER58</f>
        <v>0</v>
      </c>
      <c r="ES55" s="500">
        <f>ET55+EU55</f>
        <v>0</v>
      </c>
      <c r="ET55" s="88">
        <f>ET$51*ET58</f>
        <v>0</v>
      </c>
      <c r="EU55" s="88">
        <f>EU$51*EU58</f>
        <v>0</v>
      </c>
      <c r="EV55" s="500">
        <f>EW55+EX55</f>
        <v>0</v>
      </c>
      <c r="EW55" s="88">
        <f>EW$51*EW58</f>
        <v>0</v>
      </c>
      <c r="EX55" s="88">
        <f>EX$51*EX58</f>
        <v>0</v>
      </c>
      <c r="EY55" s="500">
        <f>EZ55+FA55</f>
        <v>0</v>
      </c>
      <c r="EZ55" s="88">
        <f>EZ$51*EZ58</f>
        <v>0</v>
      </c>
      <c r="FA55" s="88">
        <f>FA$51*FA58</f>
        <v>0</v>
      </c>
      <c r="FB55" s="83"/>
      <c r="FE55" s="489" t="s">
        <v>889</v>
      </c>
      <c r="FF55" s="648" t="s">
        <v>890</v>
      </c>
      <c r="FG55" s="648" cm="1" t="str">
        <f t="array" ref="FG55:FG55">AE55</f>
        <v>0</v>
      </c>
      <c r="FH55" s="648" cm="1" t="str">
        <f t="array" ref="FH55:FH55">AF55</f>
        <v>0</v>
      </c>
      <c r="FJ55" s="649" t="b">
        <v>1</v>
      </c>
      <c r="FK55" s="1157" cm="1" t="str">
        <f t="array" ref="FK55:FK55">OFFSET(FJ55,-1,1)</f>
        <v>0</v>
      </c>
      <c r="FL55" s="1078" t="s">
        <v>862</v>
      </c>
      <c r="FM55" s="1159"/>
      <c r="FN55" s="1159"/>
      <c r="FO55" s="1159"/>
      <c r="FP55" s="1159"/>
      <c r="FQ55" s="1159"/>
      <c r="FR55" s="1159"/>
      <c r="FS55" s="1159"/>
      <c r="FT55" s="1159"/>
      <c r="FU55" s="1159"/>
      <c r="FV55" s="1159"/>
      <c r="FW55" s="1078" t="str">
        <f>$AE55&amp;"|"&amp;$AF55</f>
        <v>|</v>
      </c>
      <c r="FX55" s="1078" t="s">
        <v>303</v>
      </c>
      <c r="FY55" s="1078" t="s">
        <v>877</v>
      </c>
      <c r="FZ55" s="1078" t="s">
        <v>878</v>
      </c>
    </row>
    <row customHeight="1" ht="16.575" hidden="1">
      <c r="E56" s="180">
        <v>17</v>
      </c>
      <c r="F56" s="175" cm="1" t="str">
        <f t="array" ref="F56:F56">OFFSET(G56,-1,-1)</f>
        <v>0</v>
      </c>
      <c r="L56" s="175" cm="1" t="str">
        <f t="array" ref="L56:L56">OFFSET(M56,-1,-1)</f>
        <v>false</v>
      </c>
      <c r="S56" s="175" cm="1" t="str">
        <f t="array" ref="S56:S56">OFFSET(T56,-1,-1)</f>
        <v>false</v>
      </c>
      <c r="U56" s="753">
        <f>AND(S56,IF(ISBLANK(T56),TRUE,T56))</f>
        <v>0</v>
      </c>
      <c r="X56" s="980" t="str">
        <f>"{                  
         funcDyn: 'msg',
         blok: 'blok_2',
         wsCross: 'Топливо 4.4',
         linkFormula: 'AE-AE#AF-AF',
         levelDyn: "&amp;Y28&amp;"
}"</f>
        <v>{                  
         funcDyn: 'msg',
         blok: 'blok_2',
         wsCross: 'Топливо 4.4',
         linkFormula: 'AE-AE#AF-AF',
         levelDyn: 0
}</v>
      </c>
      <c r="AB56" s="1610"/>
      <c r="AD56" s="405"/>
      <c r="AE56" s="510" t="s">
        <v>191</v>
      </c>
      <c r="AF56" s="510"/>
      <c r="AG56" s="510"/>
      <c r="AH56" s="510"/>
      <c r="AI56" s="510"/>
      <c r="AJ56" s="510"/>
      <c r="AK56" s="510"/>
      <c r="AL56" s="510"/>
      <c r="AM56" s="510"/>
      <c r="AN56" s="510"/>
      <c r="AO56" s="510"/>
      <c r="AP56" s="510"/>
      <c r="AQ56" s="510"/>
      <c r="AR56" s="510"/>
      <c r="AS56" s="510"/>
      <c r="AT56" s="510"/>
      <c r="AU56" s="510"/>
      <c r="AV56" s="510"/>
      <c r="AW56" s="510"/>
      <c r="AX56" s="510"/>
      <c r="AY56" s="510"/>
      <c r="AZ56" s="510"/>
      <c r="BA56" s="510"/>
      <c r="BB56" s="510"/>
      <c r="BC56" s="510"/>
      <c r="BD56" s="510"/>
      <c r="BE56" s="510"/>
      <c r="BF56" s="510"/>
      <c r="BG56" s="510"/>
      <c r="BH56" s="510"/>
      <c r="BI56" s="510"/>
      <c r="BJ56" s="510"/>
      <c r="BK56" s="510"/>
      <c r="BL56" s="510"/>
      <c r="BM56" s="510"/>
      <c r="BN56" s="510"/>
      <c r="BO56" s="510"/>
      <c r="BP56" s="510"/>
      <c r="BQ56" s="510"/>
      <c r="BR56" s="510"/>
      <c r="BS56" s="510"/>
      <c r="BT56" s="510"/>
      <c r="BU56" s="510"/>
      <c r="BV56" s="510"/>
      <c r="BW56" s="510"/>
      <c r="BX56" s="510"/>
      <c r="BY56" s="510"/>
      <c r="BZ56" s="510"/>
      <c r="CA56" s="510"/>
      <c r="CB56" s="510"/>
      <c r="CC56" s="510"/>
      <c r="CD56" s="510"/>
      <c r="CE56" s="510"/>
      <c r="CF56" s="510"/>
      <c r="CG56" s="510"/>
      <c r="CH56" s="510"/>
      <c r="CI56" s="510"/>
      <c r="CJ56" s="510"/>
      <c r="CK56" s="510"/>
      <c r="CL56" s="510"/>
      <c r="CM56" s="510"/>
      <c r="CN56" s="510"/>
      <c r="CO56" s="510"/>
      <c r="CP56" s="510"/>
      <c r="CQ56" s="510"/>
      <c r="CR56" s="510"/>
      <c r="CS56" s="510"/>
      <c r="CT56" s="510"/>
      <c r="CU56" s="510"/>
      <c r="CV56" s="510"/>
      <c r="CW56" s="510"/>
      <c r="CX56" s="510"/>
      <c r="CY56" s="510"/>
      <c r="CZ56" s="510"/>
      <c r="DA56" s="510"/>
      <c r="DB56" s="510"/>
      <c r="DC56" s="510"/>
      <c r="DD56" s="510"/>
      <c r="DE56" s="510"/>
      <c r="DF56" s="510"/>
      <c r="DG56" s="510"/>
      <c r="DH56" s="510"/>
      <c r="DI56" s="510"/>
      <c r="DJ56" s="510"/>
      <c r="DK56" s="510"/>
      <c r="DL56" s="510"/>
      <c r="DM56" s="510"/>
      <c r="DN56" s="510"/>
      <c r="DO56" s="510"/>
      <c r="DP56" s="510"/>
      <c r="DQ56" s="510"/>
      <c r="DR56" s="510"/>
      <c r="DS56" s="510"/>
      <c r="DT56" s="510"/>
      <c r="DU56" s="510"/>
      <c r="DV56" s="510"/>
      <c r="DW56" s="510"/>
      <c r="DX56" s="510"/>
      <c r="DY56" s="510"/>
      <c r="DZ56" s="510"/>
      <c r="EA56" s="510"/>
      <c r="EB56" s="510"/>
      <c r="EC56" s="510"/>
      <c r="ED56" s="510"/>
      <c r="EE56" s="510"/>
      <c r="EF56" s="510"/>
      <c r="EG56" s="510"/>
      <c r="EH56" s="510"/>
      <c r="EI56" s="510"/>
      <c r="EJ56" s="510"/>
      <c r="EK56" s="510"/>
      <c r="EL56" s="510"/>
      <c r="EM56" s="510"/>
      <c r="EN56" s="510"/>
      <c r="EO56" s="510"/>
      <c r="EP56" s="510"/>
      <c r="EQ56" s="510"/>
      <c r="ER56" s="510"/>
      <c r="ES56" s="510"/>
      <c r="ET56" s="510"/>
      <c r="EU56" s="510"/>
      <c r="EV56" s="510"/>
      <c r="EW56" s="510"/>
      <c r="EX56" s="510"/>
      <c r="EY56" s="510"/>
      <c r="EZ56" s="510"/>
      <c r="FA56" s="510"/>
      <c r="FB56" s="511"/>
      <c r="FE56" s="489" t="str">
        <f>IF(AND(ISNUMBER(VALUE(TRIM(SUBSTITUTE(AD56,".","")))),TRIM(SUBSTITUTE(AD56,".",""))&lt;&gt;""),"P"&amp;SUBSTITUTE(AD56,".",""),"")</f>
        <v/>
      </c>
      <c r="FI56" s="649" t="s">
        <v>890</v>
      </c>
      <c r="FK56" s="1157" cm="1" t="str">
        <f t="array" ref="FK56:FK56">OFFSET(FJ56,-1,1)</f>
        <v>0</v>
      </c>
      <c r="FL56" s="1078"/>
      <c r="FM56" s="1159"/>
      <c r="FN56" s="1159"/>
      <c r="FO56" s="1159"/>
      <c r="FP56" s="1159"/>
      <c r="FQ56" s="1159"/>
      <c r="FR56" s="1159"/>
      <c r="FS56" s="1159"/>
      <c r="FT56" s="1159"/>
      <c r="FU56" s="1159"/>
      <c r="FV56" s="1159"/>
      <c r="FW56" s="1159"/>
      <c r="FX56" s="1159"/>
      <c r="FY56" s="1159"/>
      <c r="FZ56" s="1159"/>
    </row>
    <row customHeight="1" ht="16.575" hidden="1">
      <c r="E57" s="180">
        <v>17</v>
      </c>
      <c r="F57" s="175" cm="1" t="str">
        <f t="array" ref="F57:F57">OFFSET(G57,-1,-1)</f>
        <v>0</v>
      </c>
      <c r="L57" s="175" cm="1" t="str">
        <f t="array" ref="L57:L57">OFFSET(M57,-1,-1)</f>
        <v>false</v>
      </c>
      <c r="S57" s="175" cm="1" t="str">
        <f t="array" ref="S57:S57">OFFSET(T57,-1,-1)</f>
        <v>false</v>
      </c>
      <c r="U57" s="753">
        <f>AND(S57,IF(ISBLANK(T57),TRUE,T57))</f>
        <v>0</v>
      </c>
      <c r="AB57" s="1610"/>
      <c r="AD57" s="491">
        <v>19</v>
      </c>
      <c r="AE57" s="1647" t="s">
        <v>891</v>
      </c>
      <c r="AF57" s="1648"/>
      <c r="AG57" s="512" t="s">
        <v>495</v>
      </c>
      <c r="AH57" s="513">
        <f>SUM(AH58:AH59)</f>
        <v>0</v>
      </c>
      <c r="AI57" s="513">
        <f>SUM(AI58:AI59)</f>
        <v>0</v>
      </c>
      <c r="AJ57" s="513">
        <f>SUM(AJ58:AJ59)</f>
        <v>0</v>
      </c>
      <c r="AK57" s="513">
        <f>SUM(AK58:AK59)</f>
        <v>0</v>
      </c>
      <c r="AL57" s="513">
        <f>SUM(AL58:AL59)</f>
        <v>0</v>
      </c>
      <c r="AM57" s="513">
        <f>SUM(AM58:AM59)</f>
        <v>0</v>
      </c>
      <c r="AN57" s="513">
        <f>SUM(AN58:AN59)</f>
        <v>0</v>
      </c>
      <c r="AO57" s="513">
        <f>SUM(AO58:AO59)</f>
        <v>0</v>
      </c>
      <c r="AP57" s="513">
        <f>SUM(AP58:AP59)</f>
        <v>0</v>
      </c>
      <c r="AQ57" s="513">
        <f>SUM(AQ58:AQ59)</f>
        <v>0</v>
      </c>
      <c r="AR57" s="513">
        <f>SUM(AR58:AR59)</f>
        <v>0</v>
      </c>
      <c r="AS57" s="513">
        <f>SUM(AS58:AS59)</f>
        <v>0</v>
      </c>
      <c r="AT57" s="513">
        <f>SUM(AT58:AT59)</f>
        <v>0</v>
      </c>
      <c r="AU57" s="513">
        <f>SUM(AU58:AU59)</f>
        <v>0</v>
      </c>
      <c r="AV57" s="513">
        <f>SUM(AV58:AV59)</f>
        <v>0</v>
      </c>
      <c r="AW57" s="513">
        <f>SUM(AW58:AW59)</f>
        <v>0</v>
      </c>
      <c r="AX57" s="513">
        <f>SUM(AX58:AX59)</f>
        <v>0</v>
      </c>
      <c r="AY57" s="513">
        <f>SUM(AY58:AY59)</f>
        <v>0</v>
      </c>
      <c r="AZ57" s="513">
        <f>SUM(AZ58:AZ59)</f>
        <v>0</v>
      </c>
      <c r="BA57" s="513">
        <f>SUM(BA58:BA59)</f>
        <v>0</v>
      </c>
      <c r="BB57" s="513">
        <f>SUM(BB58:BB59)</f>
        <v>0</v>
      </c>
      <c r="BC57" s="513">
        <f>SUM(BC58:BC59)</f>
        <v>0</v>
      </c>
      <c r="BD57" s="513">
        <f>SUM(BD58:BD59)</f>
        <v>0</v>
      </c>
      <c r="BE57" s="513">
        <f>SUM(BE58:BE59)</f>
        <v>0</v>
      </c>
      <c r="BF57" s="513">
        <f>SUM(BF58:BF59)</f>
        <v>0</v>
      </c>
      <c r="BG57" s="513">
        <f>SUM(BG58:BG59)</f>
        <v>0</v>
      </c>
      <c r="BH57" s="513">
        <f>SUM(BH58:BH59)</f>
        <v>0</v>
      </c>
      <c r="BI57" s="513">
        <f>SUM(BI58:BI59)</f>
        <v>0</v>
      </c>
      <c r="BJ57" s="513">
        <f>SUM(BJ58:BJ59)</f>
        <v>0</v>
      </c>
      <c r="BK57" s="513">
        <f>SUM(BK58:BK59)</f>
        <v>0</v>
      </c>
      <c r="BL57" s="513">
        <f>SUM(BL58:BL59)</f>
        <v>0</v>
      </c>
      <c r="BM57" s="513">
        <f>SUM(BM58:BM59)</f>
        <v>0</v>
      </c>
      <c r="BN57" s="513">
        <f>SUM(BN58:BN59)</f>
        <v>0</v>
      </c>
      <c r="BO57" s="513">
        <f>SUM(BO58:BO59)</f>
        <v>0</v>
      </c>
      <c r="BP57" s="513">
        <f>SUM(BP58:BP59)</f>
        <v>0</v>
      </c>
      <c r="BQ57" s="513">
        <f>SUM(BQ58:BQ59)</f>
        <v>0</v>
      </c>
      <c r="BR57" s="513">
        <f>SUM(BR58:BR59)</f>
        <v>0</v>
      </c>
      <c r="BS57" s="513">
        <f>SUM(BS58:BS59)</f>
        <v>0</v>
      </c>
      <c r="BT57" s="513">
        <f>SUM(BT58:BT59)</f>
        <v>0</v>
      </c>
      <c r="BU57" s="513">
        <f>SUM(BU58:BU59)</f>
        <v>0</v>
      </c>
      <c r="BV57" s="513">
        <f>SUM(BV58:BV59)</f>
        <v>0</v>
      </c>
      <c r="BW57" s="513">
        <f>SUM(BW58:BW59)</f>
        <v>0</v>
      </c>
      <c r="BX57" s="513">
        <f>SUM(BX58:BX59)</f>
        <v>0</v>
      </c>
      <c r="BY57" s="513">
        <f>SUM(BY58:BY59)</f>
        <v>0</v>
      </c>
      <c r="BZ57" s="513">
        <f>SUM(BZ58:BZ59)</f>
        <v>0</v>
      </c>
      <c r="CA57" s="513">
        <f>SUM(CA58:CA59)</f>
        <v>0</v>
      </c>
      <c r="CB57" s="513">
        <f>SUM(CB58:CB59)</f>
        <v>0</v>
      </c>
      <c r="CC57" s="513">
        <f>SUM(CC58:CC59)</f>
        <v>0</v>
      </c>
      <c r="CD57" s="513">
        <f>SUM(CD58:CD59)</f>
        <v>0</v>
      </c>
      <c r="CE57" s="513">
        <f>SUM(CE58:CE59)</f>
        <v>0</v>
      </c>
      <c r="CF57" s="513">
        <f>SUM(CF58:CF59)</f>
        <v>0</v>
      </c>
      <c r="CG57" s="513">
        <f>SUM(CG58:CG59)</f>
        <v>0</v>
      </c>
      <c r="CH57" s="513">
        <f>SUM(CH58:CH59)</f>
        <v>0</v>
      </c>
      <c r="CI57" s="513">
        <f>SUM(CI58:CI59)</f>
        <v>0</v>
      </c>
      <c r="CJ57" s="513">
        <f>SUM(CJ58:CJ59)</f>
        <v>0</v>
      </c>
      <c r="CK57" s="513">
        <f>SUM(CK58:CK59)</f>
        <v>0</v>
      </c>
      <c r="CL57" s="513">
        <f>SUM(CL58:CL59)</f>
        <v>0</v>
      </c>
      <c r="CM57" s="513">
        <f>SUM(CM58:CM59)</f>
        <v>0</v>
      </c>
      <c r="CN57" s="513">
        <f>SUM(CN58:CN59)</f>
        <v>0</v>
      </c>
      <c r="CO57" s="513">
        <f>SUM(CO58:CO59)</f>
        <v>0</v>
      </c>
      <c r="CP57" s="513">
        <f>SUM(CP58:CP59)</f>
        <v>0</v>
      </c>
      <c r="CQ57" s="513">
        <f>SUM(CQ58:CQ59)</f>
        <v>0</v>
      </c>
      <c r="CR57" s="513">
        <f>SUM(CR58:CR59)</f>
        <v>0</v>
      </c>
      <c r="CS57" s="513">
        <f>SUM(CS58:CS59)</f>
        <v>0</v>
      </c>
      <c r="CT57" s="513">
        <f>SUM(CT58:CT59)</f>
        <v>0</v>
      </c>
      <c r="CU57" s="513">
        <f>SUM(CU58:CU59)</f>
        <v>0</v>
      </c>
      <c r="CV57" s="513">
        <f>SUM(CV58:CV59)</f>
        <v>0</v>
      </c>
      <c r="CW57" s="513">
        <f>SUM(CW58:CW59)</f>
        <v>0</v>
      </c>
      <c r="CX57" s="513">
        <f>SUM(CX58:CX59)</f>
        <v>0</v>
      </c>
      <c r="CY57" s="513">
        <f>SUM(CY58:CY59)</f>
        <v>0</v>
      </c>
      <c r="CZ57" s="513">
        <f>SUM(CZ58:CZ59)</f>
        <v>0</v>
      </c>
      <c r="DA57" s="513">
        <f>SUM(DA58:DA59)</f>
        <v>0</v>
      </c>
      <c r="DB57" s="513">
        <f>SUM(DB58:DB59)</f>
        <v>0</v>
      </c>
      <c r="DC57" s="513">
        <f>SUM(DC58:DC59)</f>
        <v>0</v>
      </c>
      <c r="DD57" s="513">
        <f>SUM(DD58:DD59)</f>
        <v>0</v>
      </c>
      <c r="DE57" s="513">
        <f>SUM(DE58:DE59)</f>
        <v>0</v>
      </c>
      <c r="DF57" s="513">
        <f>SUM(DF58:DF59)</f>
        <v>0</v>
      </c>
      <c r="DG57" s="513">
        <f>SUM(DG58:DG59)</f>
        <v>0</v>
      </c>
      <c r="DH57" s="513">
        <f>SUM(DH58:DH59)</f>
        <v>0</v>
      </c>
      <c r="DI57" s="513">
        <f>SUM(DI58:DI59)</f>
        <v>0</v>
      </c>
      <c r="DJ57" s="513">
        <f>SUM(DJ58:DJ59)</f>
        <v>0</v>
      </c>
      <c r="DK57" s="513">
        <f>SUM(DK58:DK59)</f>
        <v>0</v>
      </c>
      <c r="DL57" s="513">
        <f>SUM(DL58:DL59)</f>
        <v>0</v>
      </c>
      <c r="DM57" s="513">
        <f>SUM(DM58:DM59)</f>
        <v>0</v>
      </c>
      <c r="DN57" s="513">
        <f>SUM(DN58:DN59)</f>
        <v>0</v>
      </c>
      <c r="DO57" s="513">
        <f>SUM(DO58:DO59)</f>
        <v>0</v>
      </c>
      <c r="DP57" s="513">
        <f>SUM(DP58:DP59)</f>
        <v>0</v>
      </c>
      <c r="DQ57" s="513">
        <f>SUM(DQ58:DQ59)</f>
        <v>0</v>
      </c>
      <c r="DR57" s="513">
        <f>SUM(DR58:DR59)</f>
        <v>0</v>
      </c>
      <c r="DS57" s="513">
        <f>SUM(DS58:DS59)</f>
        <v>0</v>
      </c>
      <c r="DT57" s="513">
        <f>SUM(DT58:DT59)</f>
        <v>0</v>
      </c>
      <c r="DU57" s="513">
        <f>SUM(DU58:DU59)</f>
        <v>0</v>
      </c>
      <c r="DV57" s="513">
        <f>SUM(DV58:DV59)</f>
        <v>0</v>
      </c>
      <c r="DW57" s="513">
        <f>SUM(DW58:DW59)</f>
        <v>0</v>
      </c>
      <c r="DX57" s="513">
        <f>SUM(DX58:DX59)</f>
        <v>0</v>
      </c>
      <c r="DY57" s="513">
        <f>SUM(DY58:DY59)</f>
        <v>0</v>
      </c>
      <c r="DZ57" s="513">
        <f>SUM(DZ58:DZ59)</f>
        <v>0</v>
      </c>
      <c r="EA57" s="513">
        <f>SUM(EA58:EA59)</f>
        <v>0</v>
      </c>
      <c r="EB57" s="513">
        <f>SUM(EB58:EB59)</f>
        <v>0</v>
      </c>
      <c r="EC57" s="513">
        <f>SUM(EC58:EC59)</f>
        <v>0</v>
      </c>
      <c r="ED57" s="513">
        <f>SUM(ED58:ED59)</f>
        <v>0</v>
      </c>
      <c r="EE57" s="513">
        <f>SUM(EE58:EE59)</f>
        <v>0</v>
      </c>
      <c r="EF57" s="513">
        <f>SUM(EF58:EF59)</f>
        <v>0</v>
      </c>
      <c r="EG57" s="513">
        <f>SUM(EG58:EG59)</f>
        <v>0</v>
      </c>
      <c r="EH57" s="513">
        <f>SUM(EH58:EH59)</f>
        <v>0</v>
      </c>
      <c r="EI57" s="513">
        <f>SUM(EI58:EI59)</f>
        <v>0</v>
      </c>
      <c r="EJ57" s="513">
        <f>SUM(EJ58:EJ59)</f>
        <v>0</v>
      </c>
      <c r="EK57" s="513">
        <f>SUM(EK58:EK59)</f>
        <v>0</v>
      </c>
      <c r="EL57" s="513">
        <f>SUM(EL58:EL59)</f>
        <v>0</v>
      </c>
      <c r="EM57" s="513">
        <f>SUM(EM58:EM59)</f>
        <v>0</v>
      </c>
      <c r="EN57" s="513">
        <f>SUM(EN58:EN59)</f>
        <v>0</v>
      </c>
      <c r="EO57" s="513">
        <f>SUM(EO58:EO59)</f>
        <v>0</v>
      </c>
      <c r="EP57" s="513">
        <f>SUM(EP58:EP59)</f>
        <v>0</v>
      </c>
      <c r="EQ57" s="513">
        <f>SUM(EQ58:EQ59)</f>
        <v>0</v>
      </c>
      <c r="ER57" s="513">
        <f>SUM(ER58:ER59)</f>
        <v>0</v>
      </c>
      <c r="ES57" s="513">
        <f>SUM(ES58:ES59)</f>
        <v>0</v>
      </c>
      <c r="ET57" s="513">
        <f>SUM(ET58:ET59)</f>
        <v>0</v>
      </c>
      <c r="EU57" s="513">
        <f>SUM(EU58:EU59)</f>
        <v>0</v>
      </c>
      <c r="EV57" s="513">
        <f>SUM(EV58:EV59)</f>
        <v>0</v>
      </c>
      <c r="EW57" s="513">
        <f>SUM(EW58:EW59)</f>
        <v>0</v>
      </c>
      <c r="EX57" s="513">
        <f>SUM(EX58:EX59)</f>
        <v>0</v>
      </c>
      <c r="EY57" s="513">
        <f>SUM(EY58:EY59)</f>
        <v>0</v>
      </c>
      <c r="EZ57" s="513">
        <f>SUM(EZ58:EZ59)</f>
        <v>0</v>
      </c>
      <c r="FA57" s="513">
        <f>SUM(FA58:FA59)</f>
        <v>0</v>
      </c>
      <c r="FB57" s="86"/>
      <c r="FE57" s="489" t="s">
        <v>892</v>
      </c>
      <c r="FK57" s="1157" cm="1" t="str">
        <f t="array" ref="FK57:FK57">OFFSET(FJ57,-1,1)</f>
        <v>0</v>
      </c>
      <c r="FL57" s="1159"/>
      <c r="FM57" s="1159"/>
      <c r="FN57" s="1159"/>
      <c r="FO57" s="1159"/>
      <c r="FP57" s="1159"/>
      <c r="FQ57" s="1159"/>
      <c r="FR57" s="1159"/>
      <c r="FS57" s="1159"/>
      <c r="FT57" s="1159"/>
      <c r="FU57" s="1159"/>
      <c r="FV57" s="1159" t="s">
        <v>449</v>
      </c>
      <c r="FW57" s="1159"/>
      <c r="FX57" s="1159" t="s">
        <v>303</v>
      </c>
      <c r="FY57" s="1159" t="s">
        <v>820</v>
      </c>
      <c r="FZ57" s="1159" t="s">
        <v>821</v>
      </c>
    </row>
    <row customHeight="1" ht="16.575" hidden="1">
      <c r="E58" s="180">
        <v>17</v>
      </c>
      <c r="F58" s="175" cm="1" t="str">
        <f t="array" ref="F58:F58">OFFSET(G58,-1,-1)</f>
        <v>0</v>
      </c>
      <c r="L58" s="175" cm="1" t="str">
        <f t="array" ref="L58:L58">OFFSET(M58,-1,-1)</f>
        <v>false</v>
      </c>
      <c r="S58" s="175" cm="1" t="str">
        <f t="array" ref="S58:S58">OFFSET(T58,-1,-1)</f>
        <v>false</v>
      </c>
      <c r="T58" s="175">
        <f>AD58&lt;&gt;"19.0"</f>
        <v>0</v>
      </c>
      <c r="U58" s="753">
        <f>AND(S58,IF(ISBLANK(T58),TRUE,T58))</f>
        <v>0</v>
      </c>
      <c r="X58" s="175" t="s">
        <v>189</v>
      </c>
      <c r="AB58" s="1610"/>
      <c r="AD58" s="491" t="s">
        <v>893</v>
      </c>
      <c r="AE58" s="514"/>
      <c r="AF58" s="515"/>
      <c r="AG58" s="491" t="s">
        <v>495</v>
      </c>
      <c r="AH58" s="92"/>
      <c r="AI58" s="92">
        <f>_xlfn.IFERROR(AI55/AI$53,0)</f>
        <v>0</v>
      </c>
      <c r="AJ58" s="92">
        <f>_xlfn.IFERROR(AJ55/AJ$53,0)</f>
        <v>0</v>
      </c>
      <c r="AK58" s="92"/>
      <c r="AL58" s="503">
        <f>_xlfn.IFERROR(AL55/AL$51,0)</f>
        <v>0</v>
      </c>
      <c r="AM58" s="92"/>
      <c r="AN58" s="92"/>
      <c r="AO58" s="503">
        <f>_xlfn.IFERROR(AO55/AO$51,0)</f>
        <v>0</v>
      </c>
      <c r="AP58" s="92"/>
      <c r="AQ58" s="92"/>
      <c r="AR58" s="503">
        <f>_xlfn.IFERROR(AR55/AR$51,0)</f>
        <v>0</v>
      </c>
      <c r="AS58" s="92"/>
      <c r="AT58" s="92"/>
      <c r="AU58" s="503">
        <f>_xlfn.IFERROR(AU55/AU$51,0)</f>
        <v>0</v>
      </c>
      <c r="AV58" s="92"/>
      <c r="AW58" s="92"/>
      <c r="AX58" s="503">
        <f>_xlfn.IFERROR(AX55/AX$51,0)</f>
        <v>0</v>
      </c>
      <c r="AY58" s="92"/>
      <c r="AZ58" s="92"/>
      <c r="BA58" s="503">
        <f>_xlfn.IFERROR(BA55/BA$51,0)</f>
        <v>0</v>
      </c>
      <c r="BB58" s="92"/>
      <c r="BC58" s="92"/>
      <c r="BD58" s="503">
        <f>_xlfn.IFERROR(BD55/BD$51,0)</f>
        <v>0</v>
      </c>
      <c r="BE58" s="92"/>
      <c r="BF58" s="92"/>
      <c r="BG58" s="503">
        <f>_xlfn.IFERROR(BG55/BG$51,0)</f>
        <v>0</v>
      </c>
      <c r="BH58" s="92"/>
      <c r="BI58" s="92"/>
      <c r="BJ58" s="503">
        <f>_xlfn.IFERROR(BJ55/BJ$51,0)</f>
        <v>0</v>
      </c>
      <c r="BK58" s="92"/>
      <c r="BL58" s="92"/>
      <c r="BM58" s="503">
        <f>_xlfn.IFERROR(BM55/BM$51,0)</f>
        <v>0</v>
      </c>
      <c r="BN58" s="92"/>
      <c r="BO58" s="92"/>
      <c r="BP58" s="503">
        <f>_xlfn.IFERROR(BP55/BP$51,0)</f>
        <v>0</v>
      </c>
      <c r="BQ58" s="92"/>
      <c r="BR58" s="92"/>
      <c r="BS58" s="503">
        <f>_xlfn.IFERROR(BS55/BS$51,0)</f>
        <v>0</v>
      </c>
      <c r="BT58" s="92"/>
      <c r="BU58" s="92"/>
      <c r="BV58" s="503">
        <f>_xlfn.IFERROR(BV55/BV$51,0)</f>
        <v>0</v>
      </c>
      <c r="BW58" s="92"/>
      <c r="BX58" s="92"/>
      <c r="BY58" s="503">
        <f>_xlfn.IFERROR(BY55/BY$51,0)</f>
        <v>0</v>
      </c>
      <c r="BZ58" s="92"/>
      <c r="CA58" s="92"/>
      <c r="CB58" s="503">
        <f>_xlfn.IFERROR(CB55/CB$51,0)</f>
        <v>0</v>
      </c>
      <c r="CC58" s="92"/>
      <c r="CD58" s="92"/>
      <c r="CE58" s="503">
        <f>_xlfn.IFERROR(CE55/CE$51,0)</f>
        <v>0</v>
      </c>
      <c r="CF58" s="92"/>
      <c r="CG58" s="92"/>
      <c r="CH58" s="503">
        <f>_xlfn.IFERROR(CH55/CH$51,0)</f>
        <v>0</v>
      </c>
      <c r="CI58" s="92"/>
      <c r="CJ58" s="92"/>
      <c r="CK58" s="503">
        <f>_xlfn.IFERROR(CK55/CK$51,0)</f>
        <v>0</v>
      </c>
      <c r="CL58" s="92"/>
      <c r="CM58" s="92"/>
      <c r="CN58" s="503">
        <f>_xlfn.IFERROR(CN55/CN$51,0)</f>
        <v>0</v>
      </c>
      <c r="CO58" s="92"/>
      <c r="CP58" s="92"/>
      <c r="CQ58" s="503">
        <f>_xlfn.IFERROR(CQ55/CQ$51,0)</f>
        <v>0</v>
      </c>
      <c r="CR58" s="92"/>
      <c r="CS58" s="92"/>
      <c r="CT58" s="503">
        <f>_xlfn.IFERROR(CT55/CT$51,0)</f>
        <v>0</v>
      </c>
      <c r="CU58" s="516"/>
      <c r="CV58" s="516"/>
      <c r="CW58" s="503">
        <f>_xlfn.IFERROR(CW55/CW$51,0)</f>
        <v>0</v>
      </c>
      <c r="CX58" s="92"/>
      <c r="CY58" s="92"/>
      <c r="CZ58" s="503">
        <f>_xlfn.IFERROR(CZ55/CZ$51,0)</f>
        <v>0</v>
      </c>
      <c r="DA58" s="92"/>
      <c r="DB58" s="92"/>
      <c r="DC58" s="503">
        <f>_xlfn.IFERROR(DC55/DC$51,0)</f>
        <v>0</v>
      </c>
      <c r="DD58" s="92"/>
      <c r="DE58" s="92"/>
      <c r="DF58" s="503">
        <f>_xlfn.IFERROR(DF55/DF$51,0)</f>
        <v>0</v>
      </c>
      <c r="DG58" s="92"/>
      <c r="DH58" s="92"/>
      <c r="DI58" s="503">
        <f>_xlfn.IFERROR(DI55/DI$51,0)</f>
        <v>0</v>
      </c>
      <c r="DJ58" s="92"/>
      <c r="DK58" s="92"/>
      <c r="DL58" s="503">
        <f>_xlfn.IFERROR(DL55/DL$51,0)</f>
        <v>0</v>
      </c>
      <c r="DM58" s="92"/>
      <c r="DN58" s="92"/>
      <c r="DO58" s="503">
        <f>_xlfn.IFERROR(DO55/DO$51,0)</f>
        <v>0</v>
      </c>
      <c r="DP58" s="92"/>
      <c r="DQ58" s="92"/>
      <c r="DR58" s="503">
        <f>_xlfn.IFERROR(DR55/DR$51,0)</f>
        <v>0</v>
      </c>
      <c r="DS58" s="92"/>
      <c r="DT58" s="92"/>
      <c r="DU58" s="503">
        <f>_xlfn.IFERROR(DU55/DU$51,0)</f>
        <v>0</v>
      </c>
      <c r="DV58" s="92"/>
      <c r="DW58" s="92"/>
      <c r="DX58" s="503">
        <f>_xlfn.IFERROR(DX55/DX$51,0)</f>
        <v>0</v>
      </c>
      <c r="DY58" s="92"/>
      <c r="DZ58" s="92"/>
      <c r="EA58" s="503">
        <f>_xlfn.IFERROR(EA55/EA$51,0)</f>
        <v>0</v>
      </c>
      <c r="EB58" s="92"/>
      <c r="EC58" s="92"/>
      <c r="ED58" s="503">
        <f>_xlfn.IFERROR(ED55/ED$51,0)</f>
        <v>0</v>
      </c>
      <c r="EE58" s="92"/>
      <c r="EF58" s="92"/>
      <c r="EG58" s="503">
        <f>_xlfn.IFERROR(EG55/EG$51,0)</f>
        <v>0</v>
      </c>
      <c r="EH58" s="92"/>
      <c r="EI58" s="92"/>
      <c r="EJ58" s="503">
        <f>_xlfn.IFERROR(EJ55/EJ$51,0)</f>
        <v>0</v>
      </c>
      <c r="EK58" s="92"/>
      <c r="EL58" s="92"/>
      <c r="EM58" s="503">
        <f>_xlfn.IFERROR(EM55/EM$51,0)</f>
        <v>0</v>
      </c>
      <c r="EN58" s="92"/>
      <c r="EO58" s="92"/>
      <c r="EP58" s="503">
        <f>_xlfn.IFERROR(EP55/EP$51,0)</f>
        <v>0</v>
      </c>
      <c r="EQ58" s="92"/>
      <c r="ER58" s="92"/>
      <c r="ES58" s="503">
        <f>_xlfn.IFERROR(ES55/ES$51,0)</f>
        <v>0</v>
      </c>
      <c r="ET58" s="92"/>
      <c r="EU58" s="92"/>
      <c r="EV58" s="503">
        <f>_xlfn.IFERROR(EV55/EV$51,0)</f>
        <v>0</v>
      </c>
      <c r="EW58" s="92"/>
      <c r="EX58" s="92"/>
      <c r="EY58" s="503">
        <f>_xlfn.IFERROR(EY55/EY$51,0)</f>
        <v>0</v>
      </c>
      <c r="EZ58" s="92"/>
      <c r="FA58" s="92"/>
      <c r="FB58" s="83"/>
      <c r="FE58" s="489" t="s">
        <v>892</v>
      </c>
      <c r="FF58" s="648" t="s">
        <v>890</v>
      </c>
      <c r="FG58" s="648" cm="1" t="str">
        <f t="array" ref="FG58:FG58">AE58</f>
        <v>0</v>
      </c>
      <c r="FH58" s="648" cm="1" t="str">
        <f t="array" ref="FH58:FH58">AF58</f>
        <v>0</v>
      </c>
      <c r="FK58" s="1157" cm="1" t="str">
        <f t="array" ref="FK58:FK58">OFFSET(FJ58,-1,1)</f>
        <v>0</v>
      </c>
      <c r="FL58" s="1159"/>
      <c r="FM58" s="1159"/>
      <c r="FN58" s="1159"/>
      <c r="FO58" s="1159"/>
      <c r="FP58" s="1159"/>
      <c r="FQ58" s="1159"/>
      <c r="FR58" s="1159"/>
      <c r="FS58" s="1159" t="s">
        <v>894</v>
      </c>
      <c r="FT58" s="1159"/>
      <c r="FU58" s="1159"/>
      <c r="FV58" s="1159"/>
      <c r="FW58" s="1078" t="str">
        <f>$AE58&amp;"|"&amp;$AF58</f>
        <v>|</v>
      </c>
      <c r="FX58" s="1159" t="s">
        <v>303</v>
      </c>
      <c r="FY58" s="1159" t="s">
        <v>820</v>
      </c>
      <c r="FZ58" s="1159" t="s">
        <v>821</v>
      </c>
    </row>
    <row customHeight="1" ht="17.25" hidden="1">
      <c r="E59" s="965">
        <v>0</v>
      </c>
      <c r="F59" s="175" cm="1" t="str">
        <f t="array" ref="F59:F59">OFFSET(G59,-1,-1)</f>
        <v>0</v>
      </c>
      <c r="L59" s="175" cm="1" t="str">
        <f t="array" ref="L59:L59">OFFSET(M59,-1,-1)</f>
        <v>false</v>
      </c>
      <c r="S59" s="175" cm="1" t="str">
        <f t="array" ref="S59:S59">OFFSET(T59,-1,-1)</f>
        <v>false</v>
      </c>
      <c r="U59" s="753">
        <f>AND(S59,IF(ISBLANK(T59),TRUE,T59))</f>
        <v>0</v>
      </c>
      <c r="X59" s="980" t="str">
        <f>"{                  
         funcDyn: 'msg1',
         blok: 'blok_2',
         wsCross: 'Топливо 4.4',
         linkFormula: 'AE-AE#AF-AF',
         levelDyn: "&amp;Y28&amp;"
}"</f>
        <v>{                  
         funcDyn: 'msg1',
         blok: 'blok_2',
         wsCross: 'Топливо 4.4',
         linkFormula: 'AE-AE#AF-AF',
         levelDyn: 0
}</v>
      </c>
      <c r="AB59" s="1610"/>
      <c r="AD59" s="517"/>
      <c r="AE59" s="518" t="s">
        <v>191</v>
      </c>
      <c r="AF59" s="519"/>
      <c r="AG59" s="507"/>
      <c r="AH59" s="521"/>
      <c r="AI59" s="521"/>
      <c r="AJ59" s="521"/>
      <c r="AK59" s="521"/>
      <c r="AL59" s="521"/>
      <c r="AM59" s="521"/>
      <c r="AN59" s="521"/>
      <c r="AO59" s="521"/>
      <c r="AP59" s="521"/>
      <c r="AQ59" s="521"/>
      <c r="AR59" s="521"/>
      <c r="AS59" s="521"/>
      <c r="AT59" s="521"/>
      <c r="AU59" s="521"/>
      <c r="AV59" s="521"/>
      <c r="AW59" s="521"/>
      <c r="AX59" s="521"/>
      <c r="AY59" s="521"/>
      <c r="AZ59" s="521"/>
      <c r="BA59" s="521"/>
      <c r="BB59" s="521"/>
      <c r="BC59" s="521"/>
      <c r="BD59" s="521"/>
      <c r="BE59" s="521"/>
      <c r="BF59" s="521"/>
      <c r="BG59" s="521"/>
      <c r="BH59" s="521"/>
      <c r="BI59" s="521"/>
      <c r="BJ59" s="521"/>
      <c r="BK59" s="521"/>
      <c r="BL59" s="521"/>
      <c r="BM59" s="521"/>
      <c r="BN59" s="521"/>
      <c r="BO59" s="521"/>
      <c r="BP59" s="521"/>
      <c r="BQ59" s="521"/>
      <c r="BR59" s="521"/>
      <c r="BS59" s="521"/>
      <c r="BT59" s="521"/>
      <c r="BU59" s="521"/>
      <c r="BV59" s="521"/>
      <c r="BW59" s="521"/>
      <c r="BX59" s="521"/>
      <c r="BY59" s="521"/>
      <c r="BZ59" s="521"/>
      <c r="CA59" s="521"/>
      <c r="CB59" s="521"/>
      <c r="CC59" s="521"/>
      <c r="CD59" s="521"/>
      <c r="CE59" s="521"/>
      <c r="CF59" s="521"/>
      <c r="CG59" s="521"/>
      <c r="CH59" s="521"/>
      <c r="CI59" s="521"/>
      <c r="CJ59" s="521"/>
      <c r="CK59" s="521"/>
      <c r="CL59" s="521"/>
      <c r="CM59" s="521"/>
      <c r="CN59" s="521"/>
      <c r="CO59" s="521"/>
      <c r="CP59" s="521"/>
      <c r="CQ59" s="521"/>
      <c r="CR59" s="521"/>
      <c r="CS59" s="521"/>
      <c r="CT59" s="521"/>
      <c r="CU59" s="521"/>
      <c r="CV59" s="521"/>
      <c r="CW59" s="521"/>
      <c r="CX59" s="521"/>
      <c r="CY59" s="521"/>
      <c r="CZ59" s="521"/>
      <c r="DA59" s="521"/>
      <c r="DB59" s="521"/>
      <c r="DC59" s="521"/>
      <c r="DD59" s="521"/>
      <c r="DE59" s="521"/>
      <c r="DF59" s="521"/>
      <c r="DG59" s="521"/>
      <c r="DH59" s="521"/>
      <c r="DI59" s="521"/>
      <c r="DJ59" s="521"/>
      <c r="DK59" s="521"/>
      <c r="DL59" s="521"/>
      <c r="DM59" s="521"/>
      <c r="DN59" s="521"/>
      <c r="DO59" s="521"/>
      <c r="DP59" s="521"/>
      <c r="DQ59" s="521"/>
      <c r="DR59" s="521"/>
      <c r="DS59" s="521"/>
      <c r="DT59" s="521"/>
      <c r="DU59" s="521"/>
      <c r="DV59" s="521"/>
      <c r="DW59" s="521"/>
      <c r="DX59" s="521"/>
      <c r="DY59" s="521"/>
      <c r="DZ59" s="521"/>
      <c r="EA59" s="521"/>
      <c r="EB59" s="521"/>
      <c r="EC59" s="521"/>
      <c r="ED59" s="521"/>
      <c r="EE59" s="521"/>
      <c r="EF59" s="521"/>
      <c r="EG59" s="521"/>
      <c r="EH59" s="521"/>
      <c r="EI59" s="521"/>
      <c r="EJ59" s="521"/>
      <c r="EK59" s="521"/>
      <c r="EL59" s="521"/>
      <c r="EM59" s="521"/>
      <c r="EN59" s="521"/>
      <c r="EO59" s="521"/>
      <c r="EP59" s="521"/>
      <c r="EQ59" s="521"/>
      <c r="ER59" s="521"/>
      <c r="ES59" s="521"/>
      <c r="ET59" s="521"/>
      <c r="EU59" s="521"/>
      <c r="EV59" s="521"/>
      <c r="EW59" s="521"/>
      <c r="EX59" s="521"/>
      <c r="EY59" s="521"/>
      <c r="EZ59" s="521"/>
      <c r="FA59" s="521"/>
      <c r="FB59" s="93"/>
      <c r="FE59" s="489" t="str">
        <f>IF(AND(ISNUMBER(VALUE(TRIM(SUBSTITUTE(AD59,".","")))),TRIM(SUBSTITUTE(AD59,".",""))&lt;&gt;""),"P"&amp;SUBSTITUTE(AD59,".",""),"")</f>
        <v/>
      </c>
      <c r="FK59" s="1157" cm="1" t="str">
        <f t="array" ref="FK59:FK59">OFFSET(FJ59,-1,1)</f>
        <v>0</v>
      </c>
      <c r="FL59" s="1159"/>
      <c r="FM59" s="1159"/>
      <c r="FN59" s="1159"/>
      <c r="FO59" s="1159"/>
      <c r="FP59" s="1159"/>
      <c r="FQ59" s="1159"/>
      <c r="FR59" s="1159"/>
      <c r="FS59" s="1159"/>
      <c r="FT59" s="1159"/>
      <c r="FU59" s="1159"/>
      <c r="FV59" s="1159"/>
      <c r="FW59" s="1159"/>
      <c r="FX59" s="1159"/>
      <c r="FY59" s="1159"/>
      <c r="FZ59" s="1159"/>
    </row>
    <row customHeight="1" ht="16.575" hidden="1">
      <c r="E60" s="180">
        <v>17</v>
      </c>
      <c r="F60" s="175" cm="1" t="str">
        <f t="array" ref="F60:F60">OFFSET(G60,-1,-1)</f>
        <v>0</v>
      </c>
      <c r="L60" s="175" cm="1" t="str">
        <f t="array" ref="L60:L60">OFFSET(M60,-1,-1)</f>
        <v>false</v>
      </c>
      <c r="S60" s="175" cm="1" t="str">
        <f t="array" ref="S60:S60">OFFSET(T60,-1,-1)</f>
        <v>false</v>
      </c>
      <c r="U60" s="753">
        <f>AND(S60,IF(ISBLANK(T60),TRUE,T60))</f>
        <v>0</v>
      </c>
      <c r="AB60" s="1610"/>
      <c r="AD60" s="491">
        <v>20</v>
      </c>
      <c r="AE60" s="1619" t="s">
        <v>895</v>
      </c>
      <c r="AF60" s="496"/>
      <c r="AG60" s="523"/>
      <c r="AH60" s="524"/>
      <c r="AI60" s="525"/>
      <c r="AJ60" s="525"/>
      <c r="AK60" s="525"/>
      <c r="AL60" s="525"/>
      <c r="AM60" s="525"/>
      <c r="AN60" s="525"/>
      <c r="AO60" s="525"/>
      <c r="AP60" s="525"/>
      <c r="AQ60" s="525"/>
      <c r="AR60" s="525"/>
      <c r="AS60" s="525"/>
      <c r="AT60" s="525"/>
      <c r="AU60" s="525"/>
      <c r="AV60" s="525"/>
      <c r="AW60" s="525"/>
      <c r="AX60" s="525"/>
      <c r="AY60" s="525"/>
      <c r="AZ60" s="525"/>
      <c r="BA60" s="525"/>
      <c r="BB60" s="525"/>
      <c r="BC60" s="525"/>
      <c r="BD60" s="525"/>
      <c r="BE60" s="525"/>
      <c r="BF60" s="525"/>
      <c r="BG60" s="525"/>
      <c r="BH60" s="525"/>
      <c r="BI60" s="525"/>
      <c r="BJ60" s="525"/>
      <c r="BK60" s="525"/>
      <c r="BL60" s="525"/>
      <c r="BM60" s="525"/>
      <c r="BN60" s="525"/>
      <c r="BO60" s="525"/>
      <c r="BP60" s="525"/>
      <c r="BQ60" s="525"/>
      <c r="BR60" s="525"/>
      <c r="BS60" s="525"/>
      <c r="BT60" s="525"/>
      <c r="BU60" s="525"/>
      <c r="BV60" s="525"/>
      <c r="BW60" s="525"/>
      <c r="BX60" s="525"/>
      <c r="BY60" s="525"/>
      <c r="BZ60" s="525"/>
      <c r="CA60" s="525"/>
      <c r="CB60" s="525"/>
      <c r="CC60" s="525"/>
      <c r="CD60" s="525"/>
      <c r="CE60" s="525"/>
      <c r="CF60" s="525"/>
      <c r="CG60" s="525"/>
      <c r="CH60" s="525"/>
      <c r="CI60" s="525"/>
      <c r="CJ60" s="525"/>
      <c r="CK60" s="525"/>
      <c r="CL60" s="525"/>
      <c r="CM60" s="525"/>
      <c r="CN60" s="525"/>
      <c r="CO60" s="525"/>
      <c r="CP60" s="525"/>
      <c r="CQ60" s="525"/>
      <c r="CR60" s="525"/>
      <c r="CS60" s="525"/>
      <c r="CT60" s="525"/>
      <c r="CU60" s="525"/>
      <c r="CV60" s="525"/>
      <c r="CW60" s="525"/>
      <c r="CX60" s="525"/>
      <c r="CY60" s="525"/>
      <c r="CZ60" s="525"/>
      <c r="DA60" s="525"/>
      <c r="DB60" s="525"/>
      <c r="DC60" s="525"/>
      <c r="DD60" s="525"/>
      <c r="DE60" s="525"/>
      <c r="DF60" s="525"/>
      <c r="DG60" s="525"/>
      <c r="DH60" s="525"/>
      <c r="DI60" s="525"/>
      <c r="DJ60" s="525"/>
      <c r="DK60" s="525"/>
      <c r="DL60" s="525"/>
      <c r="DM60" s="525"/>
      <c r="DN60" s="525"/>
      <c r="DO60" s="525"/>
      <c r="DP60" s="525"/>
      <c r="DQ60" s="525"/>
      <c r="DR60" s="525"/>
      <c r="DS60" s="525"/>
      <c r="DT60" s="525"/>
      <c r="DU60" s="525"/>
      <c r="DV60" s="525"/>
      <c r="DW60" s="525"/>
      <c r="DX60" s="525"/>
      <c r="DY60" s="525"/>
      <c r="DZ60" s="525"/>
      <c r="EA60" s="525"/>
      <c r="EB60" s="525"/>
      <c r="EC60" s="525"/>
      <c r="ED60" s="525"/>
      <c r="EE60" s="525"/>
      <c r="EF60" s="525"/>
      <c r="EG60" s="525"/>
      <c r="EH60" s="525"/>
      <c r="EI60" s="525"/>
      <c r="EJ60" s="525"/>
      <c r="EK60" s="525"/>
      <c r="EL60" s="525"/>
      <c r="EM60" s="525"/>
      <c r="EN60" s="525"/>
      <c r="EO60" s="525"/>
      <c r="EP60" s="525"/>
      <c r="EQ60" s="525"/>
      <c r="ER60" s="525"/>
      <c r="ES60" s="525"/>
      <c r="ET60" s="525"/>
      <c r="EU60" s="525"/>
      <c r="EV60" s="525"/>
      <c r="EW60" s="525"/>
      <c r="EX60" s="525"/>
      <c r="EY60" s="525"/>
      <c r="EZ60" s="525"/>
      <c r="FA60" s="525"/>
      <c r="FB60" s="83"/>
      <c r="FE60" s="489" t="s">
        <v>896</v>
      </c>
      <c r="FK60" s="1157" cm="1" t="str">
        <f t="array" ref="FK60:FK60">OFFSET(FJ60,-1,1)</f>
        <v>0</v>
      </c>
      <c r="FL60" s="1078"/>
      <c r="FM60" s="1159"/>
      <c r="FN60" s="1159"/>
      <c r="FO60" s="1159"/>
      <c r="FP60" s="1159"/>
      <c r="FQ60" s="1159"/>
      <c r="FR60" s="1159"/>
      <c r="FS60" s="1078" t="s">
        <v>897</v>
      </c>
      <c r="FT60" s="1159"/>
      <c r="FU60" s="1159"/>
      <c r="FV60" s="1159"/>
      <c r="FW60" s="1159"/>
      <c r="FX60" s="1078"/>
      <c r="FY60" s="1078"/>
      <c r="FZ60" s="1078"/>
    </row>
    <row customHeight="1" ht="16.575" hidden="1">
      <c r="E61" s="180">
        <v>17</v>
      </c>
      <c r="F61" s="175" cm="1" t="str">
        <f t="array" ref="F61:F61">OFFSET(G61,-1,-1)</f>
        <v>0</v>
      </c>
      <c r="L61" s="175" cm="1" t="str">
        <f t="array" ref="L61:L61">OFFSET(M61,-1,-1)</f>
        <v>false</v>
      </c>
      <c r="S61" s="175" cm="1" t="str">
        <f t="array" ref="S61:S61">OFFSET(T61,-1,-1)</f>
        <v>false</v>
      </c>
      <c r="T61" s="175">
        <f>AD61&lt;&gt;"20.0"</f>
        <v>0</v>
      </c>
      <c r="U61" s="753">
        <f>AND(S61,IF(ISBLANK(T61),TRUE,T61))</f>
        <v>0</v>
      </c>
      <c r="X61" s="175" t="s">
        <v>189</v>
      </c>
      <c r="AB61" s="1610"/>
      <c r="AD61" s="491" t="s">
        <v>898</v>
      </c>
      <c r="AE61" s="514"/>
      <c r="AF61" s="515"/>
      <c r="AG61" s="523"/>
      <c r="AH61" s="88"/>
      <c r="AI61" s="89"/>
      <c r="AJ61" s="89"/>
      <c r="AK61" s="89"/>
      <c r="AL61" s="499">
        <f>_xlfn.IFERROR(AL55/AL64,0)</f>
        <v>0</v>
      </c>
      <c r="AM61" s="89"/>
      <c r="AN61" s="89" cm="1" t="str">
        <f t="array" ref="AN61:AN61">AM61</f>
        <v>0</v>
      </c>
      <c r="AO61" s="499">
        <f>_xlfn.IFERROR(AO55/AO64,0)</f>
        <v>0</v>
      </c>
      <c r="AP61" s="89"/>
      <c r="AQ61" s="89" cm="1" t="str">
        <f t="array" ref="AQ61:AQ61">AP61</f>
        <v>0</v>
      </c>
      <c r="AR61" s="499">
        <f>_xlfn.IFERROR(AR55/AR64,0)</f>
        <v>0</v>
      </c>
      <c r="AS61" s="89"/>
      <c r="AT61" s="89" cm="1" t="str">
        <f t="array" ref="AT61:AT61">AS61</f>
        <v>0</v>
      </c>
      <c r="AU61" s="499">
        <f>_xlfn.IFERROR(AU55/AU64,0)</f>
        <v>0</v>
      </c>
      <c r="AV61" s="89"/>
      <c r="AW61" s="89" cm="1" t="str">
        <f t="array" ref="AW61:AW61">AV61</f>
        <v>0</v>
      </c>
      <c r="AX61" s="499">
        <f>_xlfn.IFERROR(AX55/AX64,0)</f>
        <v>0</v>
      </c>
      <c r="AY61" s="89"/>
      <c r="AZ61" s="89" cm="1" t="str">
        <f t="array" ref="AZ61:AZ61">AY61</f>
        <v>0</v>
      </c>
      <c r="BA61" s="499">
        <f>_xlfn.IFERROR(BA55/BA64,0)</f>
        <v>0</v>
      </c>
      <c r="BB61" s="89"/>
      <c r="BC61" s="89" cm="1" t="str">
        <f t="array" ref="BC61:BC61">BB61</f>
        <v>0</v>
      </c>
      <c r="BD61" s="499">
        <f>_xlfn.IFERROR(BD55/BD64,0)</f>
        <v>0</v>
      </c>
      <c r="BE61" s="89"/>
      <c r="BF61" s="89" cm="1" t="str">
        <f t="array" ref="BF61:BF61">BE61</f>
        <v>0</v>
      </c>
      <c r="BG61" s="499">
        <f>_xlfn.IFERROR(BG55/BG64,0)</f>
        <v>0</v>
      </c>
      <c r="BH61" s="89"/>
      <c r="BI61" s="89" cm="1" t="str">
        <f t="array" ref="BI61:BI61">BH61</f>
        <v>0</v>
      </c>
      <c r="BJ61" s="499">
        <f>_xlfn.IFERROR(BJ55/BJ64,0)</f>
        <v>0</v>
      </c>
      <c r="BK61" s="89"/>
      <c r="BL61" s="89" cm="1" t="str">
        <f t="array" ref="BL61:BL61">BK61</f>
        <v>0</v>
      </c>
      <c r="BM61" s="499">
        <f>_xlfn.IFERROR(BM55/BM64,0)</f>
        <v>0</v>
      </c>
      <c r="BN61" s="89"/>
      <c r="BO61" s="89" cm="1" t="str">
        <f t="array" ref="BO61:BO61">BN61</f>
        <v>0</v>
      </c>
      <c r="BP61" s="499">
        <f>_xlfn.IFERROR(BP55/BP64,0)</f>
        <v>0</v>
      </c>
      <c r="BQ61" s="89"/>
      <c r="BR61" s="89" cm="1" t="str">
        <f t="array" ref="BR61:BR61">BQ61</f>
        <v>0</v>
      </c>
      <c r="BS61" s="499">
        <f>_xlfn.IFERROR(BS55/BS64,0)</f>
        <v>0</v>
      </c>
      <c r="BT61" s="89"/>
      <c r="BU61" s="89" cm="1" t="str">
        <f t="array" ref="BU61:BU61">BT61</f>
        <v>0</v>
      </c>
      <c r="BV61" s="499">
        <f>_xlfn.IFERROR(BV55/BV64,0)</f>
        <v>0</v>
      </c>
      <c r="BW61" s="89"/>
      <c r="BX61" s="89" cm="1" t="str">
        <f t="array" ref="BX61:BX61">BW61</f>
        <v>0</v>
      </c>
      <c r="BY61" s="499">
        <f>_xlfn.IFERROR(BY55/BY64,0)</f>
        <v>0</v>
      </c>
      <c r="BZ61" s="89"/>
      <c r="CA61" s="89" cm="1" t="str">
        <f t="array" ref="CA61:CA61">BZ61</f>
        <v>0</v>
      </c>
      <c r="CB61" s="499">
        <f>_xlfn.IFERROR(CB55/CB64,0)</f>
        <v>0</v>
      </c>
      <c r="CC61" s="89"/>
      <c r="CD61" s="89" cm="1" t="str">
        <f t="array" ref="CD61:CD61">CC61</f>
        <v>0</v>
      </c>
      <c r="CE61" s="499">
        <f>_xlfn.IFERROR(CE55/CE64,0)</f>
        <v>0</v>
      </c>
      <c r="CF61" s="89"/>
      <c r="CG61" s="89" cm="1" t="str">
        <f t="array" ref="CG61:CG61">CF61</f>
        <v>0</v>
      </c>
      <c r="CH61" s="499">
        <f>_xlfn.IFERROR(CH55/CH64,0)</f>
        <v>0</v>
      </c>
      <c r="CI61" s="89"/>
      <c r="CJ61" s="89" cm="1" t="str">
        <f t="array" ref="CJ61:CJ61">CI61</f>
        <v>0</v>
      </c>
      <c r="CK61" s="499">
        <f>_xlfn.IFERROR(CK55/CK64,0)</f>
        <v>0</v>
      </c>
      <c r="CL61" s="89"/>
      <c r="CM61" s="89" cm="1" t="str">
        <f t="array" ref="CM61:CM61">CL61</f>
        <v>0</v>
      </c>
      <c r="CN61" s="499">
        <f>_xlfn.IFERROR(CN55/CN64,0)</f>
        <v>0</v>
      </c>
      <c r="CO61" s="89"/>
      <c r="CP61" s="89" cm="1" t="str">
        <f t="array" ref="CP61:CP61">CO61</f>
        <v>0</v>
      </c>
      <c r="CQ61" s="499">
        <f>_xlfn.IFERROR(CQ55/CQ64,0)</f>
        <v>0</v>
      </c>
      <c r="CR61" s="89"/>
      <c r="CS61" s="89" cm="1" t="str">
        <f t="array" ref="CS61:CS61">CR61</f>
        <v>0</v>
      </c>
      <c r="CT61" s="499">
        <f>_xlfn.IFERROR(CT55/CT64,0)</f>
        <v>0</v>
      </c>
      <c r="CU61" s="498"/>
      <c r="CV61" s="498" cm="1" t="str">
        <f t="array" ref="CV61:CV61">CU61</f>
        <v>0</v>
      </c>
      <c r="CW61" s="499">
        <f>_xlfn.IFERROR(CW55/CW64,0)</f>
        <v>0</v>
      </c>
      <c r="CX61" s="89"/>
      <c r="CY61" s="89" cm="1" t="str">
        <f t="array" ref="CY61:CY61">CX61</f>
        <v>0</v>
      </c>
      <c r="CZ61" s="499">
        <f>_xlfn.IFERROR(CZ55/CZ64,0)</f>
        <v>0</v>
      </c>
      <c r="DA61" s="89"/>
      <c r="DB61" s="89" cm="1" t="str">
        <f t="array" ref="DB61:DB61">DA61</f>
        <v>0</v>
      </c>
      <c r="DC61" s="499">
        <f>_xlfn.IFERROR(DC55/DC64,0)</f>
        <v>0</v>
      </c>
      <c r="DD61" s="89"/>
      <c r="DE61" s="89" cm="1" t="str">
        <f t="array" ref="DE61:DE61">DD61</f>
        <v>0</v>
      </c>
      <c r="DF61" s="499">
        <f>_xlfn.IFERROR(DF55/DF64,0)</f>
        <v>0</v>
      </c>
      <c r="DG61" s="89"/>
      <c r="DH61" s="89" cm="1" t="str">
        <f t="array" ref="DH61:DH61">DG61</f>
        <v>0</v>
      </c>
      <c r="DI61" s="499">
        <f>_xlfn.IFERROR(DI55/DI64,0)</f>
        <v>0</v>
      </c>
      <c r="DJ61" s="89"/>
      <c r="DK61" s="89" cm="1" t="str">
        <f t="array" ref="DK61:DK61">DJ61</f>
        <v>0</v>
      </c>
      <c r="DL61" s="499">
        <f>_xlfn.IFERROR(DL55/DL64,0)</f>
        <v>0</v>
      </c>
      <c r="DM61" s="89"/>
      <c r="DN61" s="89" cm="1" t="str">
        <f t="array" ref="DN61:DN61">DM61</f>
        <v>0</v>
      </c>
      <c r="DO61" s="499">
        <f>_xlfn.IFERROR(DO55/DO64,0)</f>
        <v>0</v>
      </c>
      <c r="DP61" s="89"/>
      <c r="DQ61" s="89" cm="1" t="str">
        <f t="array" ref="DQ61:DQ61">DP61</f>
        <v>0</v>
      </c>
      <c r="DR61" s="499">
        <f>_xlfn.IFERROR(DR55/DR64,0)</f>
        <v>0</v>
      </c>
      <c r="DS61" s="89"/>
      <c r="DT61" s="89" cm="1" t="str">
        <f t="array" ref="DT61:DT61">DS61</f>
        <v>0</v>
      </c>
      <c r="DU61" s="499">
        <f>_xlfn.IFERROR(DU55/DU64,0)</f>
        <v>0</v>
      </c>
      <c r="DV61" s="89"/>
      <c r="DW61" s="89" cm="1" t="str">
        <f t="array" ref="DW61:DW61">DV61</f>
        <v>0</v>
      </c>
      <c r="DX61" s="499">
        <f>_xlfn.IFERROR(DX55/DX64,0)</f>
        <v>0</v>
      </c>
      <c r="DY61" s="89"/>
      <c r="DZ61" s="89" cm="1" t="str">
        <f t="array" ref="DZ61:DZ61">DY61</f>
        <v>0</v>
      </c>
      <c r="EA61" s="499">
        <f>_xlfn.IFERROR(EA55/EA64,0)</f>
        <v>0</v>
      </c>
      <c r="EB61" s="89"/>
      <c r="EC61" s="89" cm="1" t="str">
        <f t="array" ref="EC61:EC61">EB61</f>
        <v>0</v>
      </c>
      <c r="ED61" s="499">
        <f>_xlfn.IFERROR(ED55/ED64,0)</f>
        <v>0</v>
      </c>
      <c r="EE61" s="89"/>
      <c r="EF61" s="89" cm="1" t="str">
        <f t="array" ref="EF61:EF61">EE61</f>
        <v>0</v>
      </c>
      <c r="EG61" s="499">
        <f>_xlfn.IFERROR(EG55/EG64,0)</f>
        <v>0</v>
      </c>
      <c r="EH61" s="89"/>
      <c r="EI61" s="89" cm="1" t="str">
        <f t="array" ref="EI61:EI61">EH61</f>
        <v>0</v>
      </c>
      <c r="EJ61" s="499">
        <f>_xlfn.IFERROR(EJ55/EJ64,0)</f>
        <v>0</v>
      </c>
      <c r="EK61" s="89"/>
      <c r="EL61" s="89" cm="1" t="str">
        <f t="array" ref="EL61:EL61">EK61</f>
        <v>0</v>
      </c>
      <c r="EM61" s="499">
        <f>_xlfn.IFERROR(EM55/EM64,0)</f>
        <v>0</v>
      </c>
      <c r="EN61" s="89"/>
      <c r="EO61" s="89" cm="1" t="str">
        <f t="array" ref="EO61:EO61">EN61</f>
        <v>0</v>
      </c>
      <c r="EP61" s="499">
        <f>_xlfn.IFERROR(EP55/EP64,0)</f>
        <v>0</v>
      </c>
      <c r="EQ61" s="89"/>
      <c r="ER61" s="89" cm="1" t="str">
        <f t="array" ref="ER61:ER61">EQ61</f>
        <v>0</v>
      </c>
      <c r="ES61" s="499">
        <f>_xlfn.IFERROR(ES55/ES64,0)</f>
        <v>0</v>
      </c>
      <c r="ET61" s="89"/>
      <c r="EU61" s="89" cm="1" t="str">
        <f t="array" ref="EU61:EU61">ET61</f>
        <v>0</v>
      </c>
      <c r="EV61" s="499">
        <f>_xlfn.IFERROR(EV55/EV64,0)</f>
        <v>0</v>
      </c>
      <c r="EW61" s="89"/>
      <c r="EX61" s="89" cm="1" t="str">
        <f t="array" ref="EX61:EX61">EW61</f>
        <v>0</v>
      </c>
      <c r="EY61" s="499">
        <f>_xlfn.IFERROR(EY55/EY64,0)</f>
        <v>0</v>
      </c>
      <c r="EZ61" s="89"/>
      <c r="FA61" s="89" cm="1" t="str">
        <f t="array" ref="FA61:FA61">EZ61</f>
        <v>0</v>
      </c>
      <c r="FB61" s="83"/>
      <c r="FE61" s="489" t="s">
        <v>896</v>
      </c>
      <c r="FF61" s="648" t="s">
        <v>890</v>
      </c>
      <c r="FG61" s="648" cm="1" t="str">
        <f t="array" ref="FG61:FG61">AE61</f>
        <v>0</v>
      </c>
      <c r="FH61" s="648" cm="1" t="str">
        <f t="array" ref="FH61:FH61">AF61</f>
        <v>0</v>
      </c>
      <c r="FK61" s="1157" cm="1" t="str">
        <f t="array" ref="FK61:FK61">OFFSET(FJ61,-1,1)</f>
        <v>0</v>
      </c>
      <c r="FL61" s="1159"/>
      <c r="FM61" s="1159"/>
      <c r="FN61" s="1159"/>
      <c r="FO61" s="1159"/>
      <c r="FP61" s="1159"/>
      <c r="FQ61" s="1159"/>
      <c r="FR61" s="1159"/>
      <c r="FS61" s="1159" t="s">
        <v>897</v>
      </c>
      <c r="FT61" s="1159"/>
      <c r="FU61" s="1159"/>
      <c r="FV61" s="1159"/>
      <c r="FW61" s="1078" t="str">
        <f>$AE61&amp;"|"&amp;$AF61</f>
        <v>|</v>
      </c>
      <c r="FX61" s="1159" t="s">
        <v>303</v>
      </c>
      <c r="FY61" s="1159" t="s">
        <v>899</v>
      </c>
      <c r="FZ61" s="1159" t="s">
        <v>900</v>
      </c>
    </row>
    <row customHeight="1" ht="17.25" hidden="1">
      <c r="E62" s="965">
        <v>0</v>
      </c>
      <c r="F62" s="175" cm="1" t="str">
        <f t="array" ref="F62:F62">OFFSET(G62,-1,-1)</f>
        <v>0</v>
      </c>
      <c r="L62" s="175" cm="1" t="str">
        <f t="array" ref="L62:L62">OFFSET(M62,-1,-1)</f>
        <v>false</v>
      </c>
      <c r="S62" s="175" cm="1" t="str">
        <f t="array" ref="S62:S62">OFFSET(T62,-1,-1)</f>
        <v>false</v>
      </c>
      <c r="U62" s="753">
        <f>AND(S62,IF(ISBLANK(T62),TRUE,T62))</f>
        <v>0</v>
      </c>
      <c r="X62" s="980" t="str">
        <f>"{                  
         funcDyn: 'msg1',
         blok: 'blok_2',
         wsCross: 'Топливо 4.4',
         linkFormula: 'AE-AE#AF-AF',
         levelDyn: "&amp;Y28&amp;"
}"</f>
        <v>{                  
         funcDyn: 'msg1',
         blok: 'blok_2',
         wsCross: 'Топливо 4.4',
         linkFormula: 'AE-AE#AF-AF',
         levelDyn: 0
}</v>
      </c>
      <c r="AB62" s="1610"/>
      <c r="AD62" s="517"/>
      <c r="AE62" s="518" t="s">
        <v>191</v>
      </c>
      <c r="AF62" s="519"/>
      <c r="AG62" s="526"/>
      <c r="AH62" s="524"/>
      <c r="AI62" s="525"/>
      <c r="AJ62" s="525"/>
      <c r="AK62" s="525"/>
      <c r="AL62" s="525"/>
      <c r="AM62" s="525"/>
      <c r="AN62" s="525"/>
      <c r="AO62" s="525"/>
      <c r="AP62" s="525"/>
      <c r="AQ62" s="525"/>
      <c r="AR62" s="525"/>
      <c r="AS62" s="525"/>
      <c r="AT62" s="525"/>
      <c r="AU62" s="525"/>
      <c r="AV62" s="525"/>
      <c r="AW62" s="525"/>
      <c r="AX62" s="525"/>
      <c r="AY62" s="525"/>
      <c r="AZ62" s="525"/>
      <c r="BA62" s="525"/>
      <c r="BB62" s="525"/>
      <c r="BC62" s="525"/>
      <c r="BD62" s="525"/>
      <c r="BE62" s="525"/>
      <c r="BF62" s="525"/>
      <c r="BG62" s="525"/>
      <c r="BH62" s="525"/>
      <c r="BI62" s="525"/>
      <c r="BJ62" s="525"/>
      <c r="BK62" s="525"/>
      <c r="BL62" s="525"/>
      <c r="BM62" s="525"/>
      <c r="BN62" s="525"/>
      <c r="BO62" s="525"/>
      <c r="BP62" s="525"/>
      <c r="BQ62" s="525"/>
      <c r="BR62" s="525"/>
      <c r="BS62" s="525"/>
      <c r="BT62" s="525"/>
      <c r="BU62" s="525"/>
      <c r="BV62" s="525"/>
      <c r="BW62" s="525"/>
      <c r="BX62" s="525"/>
      <c r="BY62" s="525"/>
      <c r="BZ62" s="525"/>
      <c r="CA62" s="525"/>
      <c r="CB62" s="525"/>
      <c r="CC62" s="525"/>
      <c r="CD62" s="525"/>
      <c r="CE62" s="525"/>
      <c r="CF62" s="525"/>
      <c r="CG62" s="525"/>
      <c r="CH62" s="525"/>
      <c r="CI62" s="525"/>
      <c r="CJ62" s="525"/>
      <c r="CK62" s="525"/>
      <c r="CL62" s="525"/>
      <c r="CM62" s="525"/>
      <c r="CN62" s="525"/>
      <c r="CO62" s="525"/>
      <c r="CP62" s="525"/>
      <c r="CQ62" s="525"/>
      <c r="CR62" s="525"/>
      <c r="CS62" s="525"/>
      <c r="CT62" s="525"/>
      <c r="CU62" s="525"/>
      <c r="CV62" s="525"/>
      <c r="CW62" s="525"/>
      <c r="CX62" s="525"/>
      <c r="CY62" s="525"/>
      <c r="CZ62" s="525"/>
      <c r="DA62" s="525"/>
      <c r="DB62" s="525"/>
      <c r="DC62" s="525"/>
      <c r="DD62" s="525"/>
      <c r="DE62" s="525"/>
      <c r="DF62" s="525"/>
      <c r="DG62" s="525"/>
      <c r="DH62" s="525"/>
      <c r="DI62" s="525"/>
      <c r="DJ62" s="525"/>
      <c r="DK62" s="525"/>
      <c r="DL62" s="525"/>
      <c r="DM62" s="525"/>
      <c r="DN62" s="525"/>
      <c r="DO62" s="525"/>
      <c r="DP62" s="525"/>
      <c r="DQ62" s="525"/>
      <c r="DR62" s="525"/>
      <c r="DS62" s="525"/>
      <c r="DT62" s="525"/>
      <c r="DU62" s="525"/>
      <c r="DV62" s="525"/>
      <c r="DW62" s="525"/>
      <c r="DX62" s="525"/>
      <c r="DY62" s="525"/>
      <c r="DZ62" s="525"/>
      <c r="EA62" s="525"/>
      <c r="EB62" s="525"/>
      <c r="EC62" s="525"/>
      <c r="ED62" s="525"/>
      <c r="EE62" s="525"/>
      <c r="EF62" s="525"/>
      <c r="EG62" s="525"/>
      <c r="EH62" s="525"/>
      <c r="EI62" s="525"/>
      <c r="EJ62" s="525"/>
      <c r="EK62" s="525"/>
      <c r="EL62" s="525"/>
      <c r="EM62" s="525"/>
      <c r="EN62" s="525"/>
      <c r="EO62" s="525"/>
      <c r="EP62" s="525"/>
      <c r="EQ62" s="525"/>
      <c r="ER62" s="525"/>
      <c r="ES62" s="525"/>
      <c r="ET62" s="525"/>
      <c r="EU62" s="525"/>
      <c r="EV62" s="525"/>
      <c r="EW62" s="525"/>
      <c r="EX62" s="525"/>
      <c r="EY62" s="525"/>
      <c r="EZ62" s="525"/>
      <c r="FA62" s="525"/>
      <c r="FB62" s="93"/>
      <c r="FE62" s="489" t="str">
        <f>IF(AND(ISNUMBER(VALUE(TRIM(SUBSTITUTE(AD62,".","")))),TRIM(SUBSTITUTE(AD62,".",""))&lt;&gt;""),"P"&amp;SUBSTITUTE(AD62,".",""),"")</f>
        <v/>
      </c>
      <c r="FK62" s="1157" cm="1" t="str">
        <f t="array" ref="FK62:FK62">OFFSET(FJ62,-1,1)</f>
        <v>0</v>
      </c>
      <c r="FL62" s="1159"/>
      <c r="FM62" s="1159"/>
      <c r="FN62" s="1159"/>
      <c r="FO62" s="1159"/>
      <c r="FP62" s="1159"/>
      <c r="FQ62" s="1159"/>
      <c r="FR62" s="1159"/>
      <c r="FS62" s="1159"/>
      <c r="FT62" s="1159"/>
      <c r="FU62" s="1159"/>
      <c r="FV62" s="1159"/>
      <c r="FW62" s="1159"/>
      <c r="FX62" s="1159"/>
      <c r="FY62" s="1159"/>
      <c r="FZ62" s="1159"/>
    </row>
    <row customHeight="1" ht="16.575" hidden="1">
      <c r="E63" s="180">
        <v>17</v>
      </c>
      <c r="F63" s="175" cm="1" t="str">
        <f t="array" ref="F63:F63">OFFSET(G63,-1,-1)</f>
        <v>0</v>
      </c>
      <c r="L63" s="175" cm="1" t="str">
        <f t="array" ref="L63:L63">OFFSET(M63,-1,-1)</f>
        <v>false</v>
      </c>
      <c r="S63" s="175" cm="1" t="str">
        <f t="array" ref="S63:S63">OFFSET(T63,-1,-1)</f>
        <v>false</v>
      </c>
      <c r="U63" s="753">
        <f>AND(S63,IF(ISBLANK(T63),TRUE,T63))</f>
        <v>0</v>
      </c>
      <c r="AB63" s="1610"/>
      <c r="AD63" s="491">
        <v>21</v>
      </c>
      <c r="AE63" s="1629" t="s">
        <v>901</v>
      </c>
      <c r="AF63" s="529"/>
      <c r="AG63" s="523"/>
      <c r="AH63" s="524"/>
      <c r="AI63" s="525"/>
      <c r="AJ63" s="525"/>
      <c r="AK63" s="525"/>
      <c r="AL63" s="525"/>
      <c r="AM63" s="525"/>
      <c r="AN63" s="525"/>
      <c r="AO63" s="525"/>
      <c r="AP63" s="525"/>
      <c r="AQ63" s="525"/>
      <c r="AR63" s="525"/>
      <c r="AS63" s="525"/>
      <c r="AT63" s="525"/>
      <c r="AU63" s="525"/>
      <c r="AV63" s="525"/>
      <c r="AW63" s="525"/>
      <c r="AX63" s="525"/>
      <c r="AY63" s="525"/>
      <c r="AZ63" s="525"/>
      <c r="BA63" s="525"/>
      <c r="BB63" s="525"/>
      <c r="BC63" s="525"/>
      <c r="BD63" s="525"/>
      <c r="BE63" s="525"/>
      <c r="BF63" s="525"/>
      <c r="BG63" s="525"/>
      <c r="BH63" s="525"/>
      <c r="BI63" s="525"/>
      <c r="BJ63" s="525"/>
      <c r="BK63" s="525"/>
      <c r="BL63" s="525"/>
      <c r="BM63" s="525"/>
      <c r="BN63" s="525"/>
      <c r="BO63" s="525"/>
      <c r="BP63" s="525"/>
      <c r="BQ63" s="525"/>
      <c r="BR63" s="525"/>
      <c r="BS63" s="525"/>
      <c r="BT63" s="525"/>
      <c r="BU63" s="525"/>
      <c r="BV63" s="525"/>
      <c r="BW63" s="525"/>
      <c r="BX63" s="525"/>
      <c r="BY63" s="525"/>
      <c r="BZ63" s="525"/>
      <c r="CA63" s="525"/>
      <c r="CB63" s="525"/>
      <c r="CC63" s="525"/>
      <c r="CD63" s="525"/>
      <c r="CE63" s="525"/>
      <c r="CF63" s="525"/>
      <c r="CG63" s="525"/>
      <c r="CH63" s="525"/>
      <c r="CI63" s="525"/>
      <c r="CJ63" s="525"/>
      <c r="CK63" s="525"/>
      <c r="CL63" s="525"/>
      <c r="CM63" s="525"/>
      <c r="CN63" s="525"/>
      <c r="CO63" s="525"/>
      <c r="CP63" s="525"/>
      <c r="CQ63" s="525"/>
      <c r="CR63" s="525"/>
      <c r="CS63" s="525"/>
      <c r="CT63" s="525"/>
      <c r="CU63" s="525"/>
      <c r="CV63" s="525"/>
      <c r="CW63" s="525"/>
      <c r="CX63" s="525"/>
      <c r="CY63" s="525"/>
      <c r="CZ63" s="525"/>
      <c r="DA63" s="525"/>
      <c r="DB63" s="525"/>
      <c r="DC63" s="525"/>
      <c r="DD63" s="525"/>
      <c r="DE63" s="525"/>
      <c r="DF63" s="525"/>
      <c r="DG63" s="525"/>
      <c r="DH63" s="525"/>
      <c r="DI63" s="525"/>
      <c r="DJ63" s="525"/>
      <c r="DK63" s="525"/>
      <c r="DL63" s="525"/>
      <c r="DM63" s="525"/>
      <c r="DN63" s="525"/>
      <c r="DO63" s="525"/>
      <c r="DP63" s="525"/>
      <c r="DQ63" s="525"/>
      <c r="DR63" s="525"/>
      <c r="DS63" s="525"/>
      <c r="DT63" s="525"/>
      <c r="DU63" s="525"/>
      <c r="DV63" s="525"/>
      <c r="DW63" s="525"/>
      <c r="DX63" s="525"/>
      <c r="DY63" s="525"/>
      <c r="DZ63" s="525"/>
      <c r="EA63" s="525"/>
      <c r="EB63" s="525"/>
      <c r="EC63" s="525"/>
      <c r="ED63" s="525"/>
      <c r="EE63" s="525"/>
      <c r="EF63" s="525"/>
      <c r="EG63" s="525"/>
      <c r="EH63" s="525"/>
      <c r="EI63" s="525"/>
      <c r="EJ63" s="525"/>
      <c r="EK63" s="525"/>
      <c r="EL63" s="525"/>
      <c r="EM63" s="525"/>
      <c r="EN63" s="525"/>
      <c r="EO63" s="525"/>
      <c r="EP63" s="525"/>
      <c r="EQ63" s="525"/>
      <c r="ER63" s="525"/>
      <c r="ES63" s="525"/>
      <c r="ET63" s="525"/>
      <c r="EU63" s="525"/>
      <c r="EV63" s="525"/>
      <c r="EW63" s="525"/>
      <c r="EX63" s="525"/>
      <c r="EY63" s="525"/>
      <c r="EZ63" s="525"/>
      <c r="FA63" s="525"/>
      <c r="FB63" s="83"/>
      <c r="FE63" s="489" t="s">
        <v>902</v>
      </c>
      <c r="FK63" s="1157" cm="1" t="str">
        <f t="array" ref="FK63:FK63">OFFSET(FJ63,-1,1)</f>
        <v>0</v>
      </c>
      <c r="FL63" s="1078"/>
      <c r="FM63" s="1159"/>
      <c r="FN63" s="1159"/>
      <c r="FO63" s="1159"/>
      <c r="FP63" s="1159"/>
      <c r="FQ63" s="1159"/>
      <c r="FR63" s="1159"/>
      <c r="FS63" s="1159"/>
      <c r="FT63" s="1159"/>
      <c r="FU63" s="1159"/>
      <c r="FV63" s="1159"/>
      <c r="FW63" s="1159"/>
      <c r="FX63" s="1078"/>
      <c r="FY63" s="1078"/>
      <c r="FZ63" s="1078"/>
    </row>
    <row customHeight="1" ht="16.575" hidden="1">
      <c r="E64" s="180">
        <v>17</v>
      </c>
      <c r="F64" s="175" cm="1" t="str">
        <f t="array" ref="F64:F64">OFFSET(G64,-1,-1)</f>
        <v>0</v>
      </c>
      <c r="L64" s="175" cm="1" t="str">
        <f t="array" ref="L64:L64">OFFSET(M64,-1,-1)</f>
        <v>false</v>
      </c>
      <c r="S64" s="175" cm="1" t="str">
        <f t="array" ref="S64:S64">OFFSET(T64,-1,-1)</f>
        <v>false</v>
      </c>
      <c r="T64" s="175">
        <f>AD64&lt;&gt;"21.0"</f>
        <v>0</v>
      </c>
      <c r="U64" s="753">
        <f>AND(S64,IF(ISBLANK(T64),TRUE,T64))</f>
        <v>0</v>
      </c>
      <c r="X64" s="175" t="s">
        <v>189</v>
      </c>
      <c r="AB64" s="1610"/>
      <c r="AD64" s="491" t="s">
        <v>903</v>
      </c>
      <c r="AE64" s="514"/>
      <c r="AF64" s="515"/>
      <c r="AG64" s="530" t="str">
        <f>_xlfn.IFERROR(INDEX(fuel_ed_izm_list,MATCH(AE64,fuel_list,0)),"тнт")</f>
        <v>тнт</v>
      </c>
      <c r="AH64" s="89">
        <f>_xlfn.IFERROR(AH55/AH61,0)</f>
        <v>0</v>
      </c>
      <c r="AI64" s="89"/>
      <c r="AJ64" s="89"/>
      <c r="AK64" s="89">
        <f>_xlfn.IFERROR(AK55/AK61,0)</f>
        <v>0</v>
      </c>
      <c r="AL64" s="500">
        <f>AM64+AN64</f>
        <v>0</v>
      </c>
      <c r="AM64" s="89">
        <f>_xlfn.IFERROR(AM55/AM61,0)</f>
        <v>0</v>
      </c>
      <c r="AN64" s="89">
        <f>_xlfn.IFERROR(AN55/AN61,0)</f>
        <v>0</v>
      </c>
      <c r="AO64" s="500">
        <f>AP64+AQ64</f>
        <v>0</v>
      </c>
      <c r="AP64" s="89">
        <f>_xlfn.IFERROR(AP55/AP61,0)</f>
        <v>0</v>
      </c>
      <c r="AQ64" s="89">
        <f>_xlfn.IFERROR(AQ55/AQ61,0)</f>
        <v>0</v>
      </c>
      <c r="AR64" s="500">
        <f>AS64+AT64</f>
        <v>0</v>
      </c>
      <c r="AS64" s="89">
        <f>_xlfn.IFERROR(AS55/AS61,0)</f>
        <v>0</v>
      </c>
      <c r="AT64" s="89">
        <f>_xlfn.IFERROR(AT55/AT61,0)</f>
        <v>0</v>
      </c>
      <c r="AU64" s="500">
        <f>AV64+AW64</f>
        <v>0</v>
      </c>
      <c r="AV64" s="89">
        <f>_xlfn.IFERROR(AV55/AV61,0)</f>
        <v>0</v>
      </c>
      <c r="AW64" s="89">
        <f>_xlfn.IFERROR(AW55/AW61,0)</f>
        <v>0</v>
      </c>
      <c r="AX64" s="500">
        <f>AY64+AZ64</f>
        <v>0</v>
      </c>
      <c r="AY64" s="89">
        <f>_xlfn.IFERROR(AY55/AY61,0)</f>
        <v>0</v>
      </c>
      <c r="AZ64" s="89">
        <f>_xlfn.IFERROR(AZ55/AZ61,0)</f>
        <v>0</v>
      </c>
      <c r="BA64" s="500">
        <f>BB64+BC64</f>
        <v>0</v>
      </c>
      <c r="BB64" s="89">
        <f>_xlfn.IFERROR(BB55/BB61,0)</f>
        <v>0</v>
      </c>
      <c r="BC64" s="89">
        <f>_xlfn.IFERROR(BC55/BC61,0)</f>
        <v>0</v>
      </c>
      <c r="BD64" s="500">
        <f>BE64+BF64</f>
        <v>0</v>
      </c>
      <c r="BE64" s="89">
        <f>_xlfn.IFERROR(BE55/BE61,0)</f>
        <v>0</v>
      </c>
      <c r="BF64" s="89">
        <f>_xlfn.IFERROR(BF55/BF61,0)</f>
        <v>0</v>
      </c>
      <c r="BG64" s="500">
        <f>BH64+BI64</f>
        <v>0</v>
      </c>
      <c r="BH64" s="89">
        <f>_xlfn.IFERROR(BH55/BH61,0)</f>
        <v>0</v>
      </c>
      <c r="BI64" s="89">
        <f>_xlfn.IFERROR(BI55/BI61,0)</f>
        <v>0</v>
      </c>
      <c r="BJ64" s="500">
        <f>BK64+BL64</f>
        <v>0</v>
      </c>
      <c r="BK64" s="89">
        <f>_xlfn.IFERROR(BK55/BK61,0)</f>
        <v>0</v>
      </c>
      <c r="BL64" s="89">
        <f>_xlfn.IFERROR(BL55/BL61,0)</f>
        <v>0</v>
      </c>
      <c r="BM64" s="500">
        <f>BN64+BO64</f>
        <v>0</v>
      </c>
      <c r="BN64" s="89">
        <f>_xlfn.IFERROR(BN55/BN61,0)</f>
        <v>0</v>
      </c>
      <c r="BO64" s="89">
        <f>_xlfn.IFERROR(BO55/BO61,0)</f>
        <v>0</v>
      </c>
      <c r="BP64" s="500">
        <f>BQ64+BR64</f>
        <v>0</v>
      </c>
      <c r="BQ64" s="89">
        <f>_xlfn.IFERROR(BQ55/BQ61,0)</f>
        <v>0</v>
      </c>
      <c r="BR64" s="89">
        <f>_xlfn.IFERROR(BR55/BR61,0)</f>
        <v>0</v>
      </c>
      <c r="BS64" s="500">
        <f>BT64+BU64</f>
        <v>0</v>
      </c>
      <c r="BT64" s="89">
        <f>_xlfn.IFERROR(BT55/BT61,0)</f>
        <v>0</v>
      </c>
      <c r="BU64" s="89">
        <f>_xlfn.IFERROR(BU55/BU61,0)</f>
        <v>0</v>
      </c>
      <c r="BV64" s="500">
        <f>BW64+BX64</f>
        <v>0</v>
      </c>
      <c r="BW64" s="89">
        <f>_xlfn.IFERROR(BW55/BW61,0)</f>
        <v>0</v>
      </c>
      <c r="BX64" s="89">
        <f>_xlfn.IFERROR(BX55/BX61,0)</f>
        <v>0</v>
      </c>
      <c r="BY64" s="500">
        <f>BZ64+CA64</f>
        <v>0</v>
      </c>
      <c r="BZ64" s="89">
        <f>_xlfn.IFERROR(BZ55/BZ61,0)</f>
        <v>0</v>
      </c>
      <c r="CA64" s="89">
        <f>_xlfn.IFERROR(CA55/CA61,0)</f>
        <v>0</v>
      </c>
      <c r="CB64" s="500">
        <f>CC64+CD64</f>
        <v>0</v>
      </c>
      <c r="CC64" s="89">
        <f>_xlfn.IFERROR(CC55/CC61,0)</f>
        <v>0</v>
      </c>
      <c r="CD64" s="89">
        <f>_xlfn.IFERROR(CD55/CD61,0)</f>
        <v>0</v>
      </c>
      <c r="CE64" s="500">
        <f>CF64+CG64</f>
        <v>0</v>
      </c>
      <c r="CF64" s="89">
        <f>_xlfn.IFERROR(CF55/CF61,0)</f>
        <v>0</v>
      </c>
      <c r="CG64" s="89">
        <f>_xlfn.IFERROR(CG55/CG61,0)</f>
        <v>0</v>
      </c>
      <c r="CH64" s="500">
        <f>CI64+CJ64</f>
        <v>0</v>
      </c>
      <c r="CI64" s="89">
        <f>_xlfn.IFERROR(CI55/CI61,0)</f>
        <v>0</v>
      </c>
      <c r="CJ64" s="89">
        <f>_xlfn.IFERROR(CJ55/CJ61,0)</f>
        <v>0</v>
      </c>
      <c r="CK64" s="500">
        <f>CL64+CM64</f>
        <v>0</v>
      </c>
      <c r="CL64" s="89">
        <f>_xlfn.IFERROR(CL55/CL61,0)</f>
        <v>0</v>
      </c>
      <c r="CM64" s="89">
        <f>_xlfn.IFERROR(CM55/CM61,0)</f>
        <v>0</v>
      </c>
      <c r="CN64" s="500">
        <f>CO64+CP64</f>
        <v>0</v>
      </c>
      <c r="CO64" s="89">
        <f>_xlfn.IFERROR(CO55/CO61,0)</f>
        <v>0</v>
      </c>
      <c r="CP64" s="89">
        <f>_xlfn.IFERROR(CP55/CP61,0)</f>
        <v>0</v>
      </c>
      <c r="CQ64" s="500">
        <f>CR64+CS64</f>
        <v>0</v>
      </c>
      <c r="CR64" s="89">
        <f>_xlfn.IFERROR(CR55/CR61,0)</f>
        <v>0</v>
      </c>
      <c r="CS64" s="89">
        <f>_xlfn.IFERROR(CS55/CS61,0)</f>
        <v>0</v>
      </c>
      <c r="CT64" s="500">
        <f>CU64+CV64</f>
        <v>0</v>
      </c>
      <c r="CU64" s="498">
        <f>_xlfn.IFERROR(CU55/CU61,0)</f>
        <v>0</v>
      </c>
      <c r="CV64" s="498">
        <f>_xlfn.IFERROR(CV55/CV61,0)</f>
        <v>0</v>
      </c>
      <c r="CW64" s="500">
        <f>CX64+CY64</f>
        <v>0</v>
      </c>
      <c r="CX64" s="89">
        <f>_xlfn.IFERROR(CX55/CX61,0)</f>
        <v>0</v>
      </c>
      <c r="CY64" s="89">
        <f>_xlfn.IFERROR(CY55/CY61,0)</f>
        <v>0</v>
      </c>
      <c r="CZ64" s="500">
        <f>DA64+DB64</f>
        <v>0</v>
      </c>
      <c r="DA64" s="89">
        <f>_xlfn.IFERROR(DA55/DA61,0)</f>
        <v>0</v>
      </c>
      <c r="DB64" s="89">
        <f>_xlfn.IFERROR(DB55/DB61,0)</f>
        <v>0</v>
      </c>
      <c r="DC64" s="500">
        <f>DD64+DE64</f>
        <v>0</v>
      </c>
      <c r="DD64" s="89">
        <f>_xlfn.IFERROR(DD55/DD61,0)</f>
        <v>0</v>
      </c>
      <c r="DE64" s="89">
        <f>_xlfn.IFERROR(DE55/DE61,0)</f>
        <v>0</v>
      </c>
      <c r="DF64" s="500">
        <f>DG64+DH64</f>
        <v>0</v>
      </c>
      <c r="DG64" s="89">
        <f>_xlfn.IFERROR(DG55/DG61,0)</f>
        <v>0</v>
      </c>
      <c r="DH64" s="89">
        <f>_xlfn.IFERROR(DH55/DH61,0)</f>
        <v>0</v>
      </c>
      <c r="DI64" s="500">
        <f>DJ64+DK64</f>
        <v>0</v>
      </c>
      <c r="DJ64" s="89">
        <f>_xlfn.IFERROR(DJ55/DJ61,0)</f>
        <v>0</v>
      </c>
      <c r="DK64" s="89">
        <f>_xlfn.IFERROR(DK55/DK61,0)</f>
        <v>0</v>
      </c>
      <c r="DL64" s="500">
        <f>DM64+DN64</f>
        <v>0</v>
      </c>
      <c r="DM64" s="89">
        <f>_xlfn.IFERROR(DM55/DM61,0)</f>
        <v>0</v>
      </c>
      <c r="DN64" s="89">
        <f>_xlfn.IFERROR(DN55/DN61,0)</f>
        <v>0</v>
      </c>
      <c r="DO64" s="500">
        <f>DP64+DQ64</f>
        <v>0</v>
      </c>
      <c r="DP64" s="89">
        <f>_xlfn.IFERROR(DP55/DP61,0)</f>
        <v>0</v>
      </c>
      <c r="DQ64" s="89">
        <f>_xlfn.IFERROR(DQ55/DQ61,0)</f>
        <v>0</v>
      </c>
      <c r="DR64" s="500">
        <f>DS64+DT64</f>
        <v>0</v>
      </c>
      <c r="DS64" s="89">
        <f>_xlfn.IFERROR(DS55/DS61,0)</f>
        <v>0</v>
      </c>
      <c r="DT64" s="89">
        <f>_xlfn.IFERROR(DT55/DT61,0)</f>
        <v>0</v>
      </c>
      <c r="DU64" s="500">
        <f>DV64+DW64</f>
        <v>0</v>
      </c>
      <c r="DV64" s="89">
        <f>_xlfn.IFERROR(DV55/DV61,0)</f>
        <v>0</v>
      </c>
      <c r="DW64" s="89">
        <f>_xlfn.IFERROR(DW55/DW61,0)</f>
        <v>0</v>
      </c>
      <c r="DX64" s="500">
        <f>DY64+DZ64</f>
        <v>0</v>
      </c>
      <c r="DY64" s="89">
        <f>_xlfn.IFERROR(DY55/DY61,0)</f>
        <v>0</v>
      </c>
      <c r="DZ64" s="89">
        <f>_xlfn.IFERROR(DZ55/DZ61,0)</f>
        <v>0</v>
      </c>
      <c r="EA64" s="500">
        <f>EB64+EC64</f>
        <v>0</v>
      </c>
      <c r="EB64" s="89">
        <f>_xlfn.IFERROR(EB55/EB61,0)</f>
        <v>0</v>
      </c>
      <c r="EC64" s="89">
        <f>_xlfn.IFERROR(EC55/EC61,0)</f>
        <v>0</v>
      </c>
      <c r="ED64" s="500">
        <f>EE64+EF64</f>
        <v>0</v>
      </c>
      <c r="EE64" s="89">
        <f>_xlfn.IFERROR(EE55/EE61,0)</f>
        <v>0</v>
      </c>
      <c r="EF64" s="89">
        <f>_xlfn.IFERROR(EF55/EF61,0)</f>
        <v>0</v>
      </c>
      <c r="EG64" s="500">
        <f>EH64+EI64</f>
        <v>0</v>
      </c>
      <c r="EH64" s="89">
        <f>_xlfn.IFERROR(EH55/EH61,0)</f>
        <v>0</v>
      </c>
      <c r="EI64" s="89">
        <f>_xlfn.IFERROR(EI55/EI61,0)</f>
        <v>0</v>
      </c>
      <c r="EJ64" s="500">
        <f>EK64+EL64</f>
        <v>0</v>
      </c>
      <c r="EK64" s="89">
        <f>_xlfn.IFERROR(EK55/EK61,0)</f>
        <v>0</v>
      </c>
      <c r="EL64" s="89">
        <f>_xlfn.IFERROR(EL55/EL61,0)</f>
        <v>0</v>
      </c>
      <c r="EM64" s="500">
        <f>EN64+EO64</f>
        <v>0</v>
      </c>
      <c r="EN64" s="89">
        <f>_xlfn.IFERROR(EN55/EN61,0)</f>
        <v>0</v>
      </c>
      <c r="EO64" s="89">
        <f>_xlfn.IFERROR(EO55/EO61,0)</f>
        <v>0</v>
      </c>
      <c r="EP64" s="500">
        <f>EQ64+ER64</f>
        <v>0</v>
      </c>
      <c r="EQ64" s="89">
        <f>_xlfn.IFERROR(EQ55/EQ61,0)</f>
        <v>0</v>
      </c>
      <c r="ER64" s="89">
        <f>_xlfn.IFERROR(ER55/ER61,0)</f>
        <v>0</v>
      </c>
      <c r="ES64" s="500">
        <f>ET64+EU64</f>
        <v>0</v>
      </c>
      <c r="ET64" s="89">
        <f>_xlfn.IFERROR(ET55/ET61,0)</f>
        <v>0</v>
      </c>
      <c r="EU64" s="89">
        <f>_xlfn.IFERROR(EU55/EU61,0)</f>
        <v>0</v>
      </c>
      <c r="EV64" s="500">
        <f>EW64+EX64</f>
        <v>0</v>
      </c>
      <c r="EW64" s="89">
        <f>_xlfn.IFERROR(EW55/EW61,0)</f>
        <v>0</v>
      </c>
      <c r="EX64" s="89">
        <f>_xlfn.IFERROR(EX55/EX61,0)</f>
        <v>0</v>
      </c>
      <c r="EY64" s="500">
        <f>EZ64+FA64</f>
        <v>0</v>
      </c>
      <c r="EZ64" s="89">
        <f>_xlfn.IFERROR(EZ55/EZ61,0)</f>
        <v>0</v>
      </c>
      <c r="FA64" s="89">
        <f>_xlfn.IFERROR(FA55/FA61,0)</f>
        <v>0</v>
      </c>
      <c r="FB64" s="83"/>
      <c r="FE64" s="489" t="s">
        <v>902</v>
      </c>
      <c r="FF64" s="648" t="s">
        <v>890</v>
      </c>
      <c r="FG64" s="648" cm="1" t="str">
        <f t="array" ref="FG64:FG64">AE64</f>
        <v>0</v>
      </c>
      <c r="FH64" s="648" cm="1" t="str">
        <f t="array" ref="FH64:FH64">AF64</f>
        <v>0</v>
      </c>
      <c r="FK64" s="1157" cm="1" t="str">
        <f t="array" ref="FK64:FK64">OFFSET(FJ64,-1,1)</f>
        <v>0</v>
      </c>
      <c r="FL64" s="1159"/>
      <c r="FM64" s="1159"/>
      <c r="FN64" s="1159"/>
      <c r="FO64" s="1159"/>
      <c r="FP64" s="1159"/>
      <c r="FQ64" s="1159"/>
      <c r="FR64" s="1159"/>
      <c r="FS64" s="1159" t="s">
        <v>904</v>
      </c>
      <c r="FT64" s="1159"/>
      <c r="FU64" s="1159"/>
      <c r="FV64" s="1159" t="s">
        <v>219</v>
      </c>
      <c r="FW64" s="1078" t="str">
        <f>$AE64&amp;"|"&amp;$AF64</f>
        <v>|</v>
      </c>
      <c r="FX64" s="1078" t="s">
        <v>303</v>
      </c>
      <c r="FY64" s="1078" t="s">
        <v>905</v>
      </c>
      <c r="FZ64" s="1078" t="s">
        <v>906</v>
      </c>
    </row>
    <row customHeight="1" ht="17.25" hidden="1">
      <c r="E65" s="965">
        <v>0</v>
      </c>
      <c r="F65" s="175" cm="1" t="str">
        <f t="array" ref="F65:F65">OFFSET(G65,-1,-1)</f>
        <v>0</v>
      </c>
      <c r="L65" s="175" cm="1" t="str">
        <f t="array" ref="L65:L65">OFFSET(M65,-1,-1)</f>
        <v>false</v>
      </c>
      <c r="S65" s="175" cm="1" t="str">
        <f t="array" ref="S65:S65">OFFSET(T65,-1,-1)</f>
        <v>false</v>
      </c>
      <c r="U65" s="753">
        <f>AND(S65,IF(ISBLANK(T65),TRUE,T65))</f>
        <v>0</v>
      </c>
      <c r="X65" s="980" t="str">
        <f>"{                  
         funcDyn: 'msg1',
         blok: 'blok_2',
         wsCross: 'Топливо 4.4',
         linkFormula: 'AE-AE#AF-AF',
         levelDyn: "&amp;Y28&amp;"
}"</f>
        <v>{                  
         funcDyn: 'msg1',
         blok: 'blok_2',
         wsCross: 'Топливо 4.4',
         linkFormula: 'AE-AE#AF-AF',
         levelDyn: 0
}</v>
      </c>
      <c r="AB65" s="1611"/>
      <c r="AD65" s="517"/>
      <c r="AE65" s="518" t="s">
        <v>191</v>
      </c>
      <c r="AF65" s="519"/>
      <c r="AG65" s="526"/>
      <c r="AH65" s="524"/>
      <c r="AI65" s="525"/>
      <c r="AJ65" s="525"/>
      <c r="AK65" s="525"/>
      <c r="AL65" s="524"/>
      <c r="AM65" s="525"/>
      <c r="AN65" s="525"/>
      <c r="AO65" s="524"/>
      <c r="AP65" s="525"/>
      <c r="AQ65" s="525"/>
      <c r="AR65" s="524"/>
      <c r="AS65" s="525"/>
      <c r="AT65" s="525"/>
      <c r="AU65" s="524"/>
      <c r="AV65" s="525"/>
      <c r="AW65" s="525"/>
      <c r="AX65" s="524"/>
      <c r="AY65" s="525"/>
      <c r="AZ65" s="525"/>
      <c r="BA65" s="524"/>
      <c r="BB65" s="525"/>
      <c r="BC65" s="525"/>
      <c r="BD65" s="524"/>
      <c r="BE65" s="525"/>
      <c r="BF65" s="525"/>
      <c r="BG65" s="524"/>
      <c r="BH65" s="525"/>
      <c r="BI65" s="525"/>
      <c r="BJ65" s="524"/>
      <c r="BK65" s="525"/>
      <c r="BL65" s="525"/>
      <c r="BM65" s="524"/>
      <c r="BN65" s="525"/>
      <c r="BO65" s="525"/>
      <c r="BP65" s="524"/>
      <c r="BQ65" s="525"/>
      <c r="BR65" s="525"/>
      <c r="BS65" s="524"/>
      <c r="BT65" s="525"/>
      <c r="BU65" s="525"/>
      <c r="BV65" s="524"/>
      <c r="BW65" s="525"/>
      <c r="BX65" s="525"/>
      <c r="BY65" s="524"/>
      <c r="BZ65" s="525"/>
      <c r="CA65" s="525"/>
      <c r="CB65" s="524"/>
      <c r="CC65" s="525"/>
      <c r="CD65" s="525"/>
      <c r="CE65" s="524"/>
      <c r="CF65" s="525"/>
      <c r="CG65" s="525"/>
      <c r="CH65" s="524"/>
      <c r="CI65" s="525"/>
      <c r="CJ65" s="525"/>
      <c r="CK65" s="524"/>
      <c r="CL65" s="525"/>
      <c r="CM65" s="525"/>
      <c r="CN65" s="524"/>
      <c r="CO65" s="525"/>
      <c r="CP65" s="525"/>
      <c r="CQ65" s="524"/>
      <c r="CR65" s="525"/>
      <c r="CS65" s="525"/>
      <c r="CT65" s="524"/>
      <c r="CU65" s="525"/>
      <c r="CV65" s="525"/>
      <c r="CW65" s="524"/>
      <c r="CX65" s="525"/>
      <c r="CY65" s="525"/>
      <c r="CZ65" s="524"/>
      <c r="DA65" s="525"/>
      <c r="DB65" s="525"/>
      <c r="DC65" s="524"/>
      <c r="DD65" s="525"/>
      <c r="DE65" s="525"/>
      <c r="DF65" s="524"/>
      <c r="DG65" s="525"/>
      <c r="DH65" s="525"/>
      <c r="DI65" s="524"/>
      <c r="DJ65" s="525"/>
      <c r="DK65" s="525"/>
      <c r="DL65" s="524"/>
      <c r="DM65" s="525"/>
      <c r="DN65" s="525"/>
      <c r="DO65" s="524"/>
      <c r="DP65" s="525"/>
      <c r="DQ65" s="525"/>
      <c r="DR65" s="524"/>
      <c r="DS65" s="525"/>
      <c r="DT65" s="525"/>
      <c r="DU65" s="524"/>
      <c r="DV65" s="525"/>
      <c r="DW65" s="525"/>
      <c r="DX65" s="524"/>
      <c r="DY65" s="525"/>
      <c r="DZ65" s="525"/>
      <c r="EA65" s="524"/>
      <c r="EB65" s="525"/>
      <c r="EC65" s="525"/>
      <c r="ED65" s="524"/>
      <c r="EE65" s="525"/>
      <c r="EF65" s="525"/>
      <c r="EG65" s="524"/>
      <c r="EH65" s="525"/>
      <c r="EI65" s="525"/>
      <c r="EJ65" s="524"/>
      <c r="EK65" s="525"/>
      <c r="EL65" s="525"/>
      <c r="EM65" s="524"/>
      <c r="EN65" s="525"/>
      <c r="EO65" s="525"/>
      <c r="EP65" s="524"/>
      <c r="EQ65" s="525"/>
      <c r="ER65" s="525"/>
      <c r="ES65" s="524"/>
      <c r="ET65" s="525"/>
      <c r="EU65" s="525"/>
      <c r="EV65" s="524"/>
      <c r="EW65" s="525"/>
      <c r="EX65" s="525"/>
      <c r="EY65" s="524"/>
      <c r="EZ65" s="525"/>
      <c r="FA65" s="525"/>
      <c r="FB65" s="93"/>
      <c r="FE65" s="489" t="str">
        <f>IF(AND(ISNUMBER(VALUE(TRIM(SUBSTITUTE(AD65,".","")))),TRIM(SUBSTITUTE(AD65,".",""))&lt;&gt;""),"P"&amp;SUBSTITUTE(AD65,".",""),"")</f>
        <v/>
      </c>
      <c r="FK65" s="1157" cm="1" t="str">
        <f t="array" ref="FK65:FK65">OFFSET(FJ65,-1,1)</f>
        <v>0</v>
      </c>
      <c r="FL65" s="1159"/>
      <c r="FM65" s="1159"/>
      <c r="FN65" s="1159"/>
      <c r="FO65" s="1159"/>
      <c r="FP65" s="1159"/>
      <c r="FQ65" s="1159"/>
      <c r="FR65" s="1159"/>
      <c r="FS65" s="1159"/>
      <c r="FT65" s="1159"/>
      <c r="FU65" s="1159"/>
      <c r="FV65" s="1159"/>
      <c r="FW65" s="1159"/>
      <c r="FX65" s="1159"/>
      <c r="FY65" s="1159"/>
      <c r="FZ65" s="1159"/>
    </row>
    <row customHeight="1" ht="16.575" hidden="1">
      <c r="E66" s="180">
        <v>17</v>
      </c>
      <c r="F66" s="175" cm="1" t="str">
        <f t="array" ref="F66:F66">OFFSET(G66,-1,-1)</f>
        <v>0</v>
      </c>
      <c r="L66" s="175" cm="1" t="str">
        <f t="array" ref="L66:L66">OFFSET(M66,-1,-1)</f>
        <v>false</v>
      </c>
      <c r="S66" s="175" cm="1" t="str">
        <f t="array" ref="S66:S66">OFFSET(T66,-1,-1)</f>
        <v>false</v>
      </c>
      <c r="U66" s="753">
        <f>AND(S66,IF(ISBLANK(T66),TRUE,T66))</f>
        <v>0</v>
      </c>
      <c r="AB66" s="1606" t="s">
        <v>907</v>
      </c>
      <c r="AD66" s="491">
        <v>22</v>
      </c>
      <c r="AE66" s="1619" t="s">
        <v>908</v>
      </c>
      <c r="AF66" s="496"/>
      <c r="AG66" s="523"/>
      <c r="AH66" s="524"/>
      <c r="AI66" s="525"/>
      <c r="AJ66" s="525"/>
      <c r="AK66" s="525"/>
      <c r="AL66" s="525"/>
      <c r="AM66" s="525"/>
      <c r="AN66" s="525"/>
      <c r="AO66" s="525"/>
      <c r="AP66" s="525"/>
      <c r="AQ66" s="525"/>
      <c r="AR66" s="525"/>
      <c r="AS66" s="525"/>
      <c r="AT66" s="525"/>
      <c r="AU66" s="525"/>
      <c r="AV66" s="525"/>
      <c r="AW66" s="525"/>
      <c r="AX66" s="525"/>
      <c r="AY66" s="525"/>
      <c r="AZ66" s="525"/>
      <c r="BA66" s="525"/>
      <c r="BB66" s="525"/>
      <c r="BC66" s="525"/>
      <c r="BD66" s="525"/>
      <c r="BE66" s="525"/>
      <c r="BF66" s="525"/>
      <c r="BG66" s="525"/>
      <c r="BH66" s="525"/>
      <c r="BI66" s="525"/>
      <c r="BJ66" s="525"/>
      <c r="BK66" s="525"/>
      <c r="BL66" s="525"/>
      <c r="BM66" s="525"/>
      <c r="BN66" s="525"/>
      <c r="BO66" s="525"/>
      <c r="BP66" s="525"/>
      <c r="BQ66" s="525"/>
      <c r="BR66" s="525"/>
      <c r="BS66" s="525"/>
      <c r="BT66" s="525"/>
      <c r="BU66" s="525"/>
      <c r="BV66" s="525"/>
      <c r="BW66" s="525"/>
      <c r="BX66" s="525"/>
      <c r="BY66" s="525"/>
      <c r="BZ66" s="525"/>
      <c r="CA66" s="525"/>
      <c r="CB66" s="525"/>
      <c r="CC66" s="525"/>
      <c r="CD66" s="525"/>
      <c r="CE66" s="525"/>
      <c r="CF66" s="525"/>
      <c r="CG66" s="525"/>
      <c r="CH66" s="525"/>
      <c r="CI66" s="525"/>
      <c r="CJ66" s="525"/>
      <c r="CK66" s="525"/>
      <c r="CL66" s="525"/>
      <c r="CM66" s="525"/>
      <c r="CN66" s="525"/>
      <c r="CO66" s="525"/>
      <c r="CP66" s="525"/>
      <c r="CQ66" s="525"/>
      <c r="CR66" s="525"/>
      <c r="CS66" s="525"/>
      <c r="CT66" s="525"/>
      <c r="CU66" s="525"/>
      <c r="CV66" s="525"/>
      <c r="CW66" s="525"/>
      <c r="CX66" s="525"/>
      <c r="CY66" s="525"/>
      <c r="CZ66" s="525"/>
      <c r="DA66" s="525"/>
      <c r="DB66" s="525"/>
      <c r="DC66" s="525"/>
      <c r="DD66" s="525"/>
      <c r="DE66" s="525"/>
      <c r="DF66" s="525"/>
      <c r="DG66" s="525"/>
      <c r="DH66" s="525"/>
      <c r="DI66" s="525"/>
      <c r="DJ66" s="525"/>
      <c r="DK66" s="525"/>
      <c r="DL66" s="525"/>
      <c r="DM66" s="525"/>
      <c r="DN66" s="525"/>
      <c r="DO66" s="525"/>
      <c r="DP66" s="525"/>
      <c r="DQ66" s="525"/>
      <c r="DR66" s="525"/>
      <c r="DS66" s="525"/>
      <c r="DT66" s="525"/>
      <c r="DU66" s="525"/>
      <c r="DV66" s="525"/>
      <c r="DW66" s="525"/>
      <c r="DX66" s="525"/>
      <c r="DY66" s="525"/>
      <c r="DZ66" s="525"/>
      <c r="EA66" s="525"/>
      <c r="EB66" s="525"/>
      <c r="EC66" s="525"/>
      <c r="ED66" s="525"/>
      <c r="EE66" s="525"/>
      <c r="EF66" s="525"/>
      <c r="EG66" s="525"/>
      <c r="EH66" s="525"/>
      <c r="EI66" s="525"/>
      <c r="EJ66" s="525"/>
      <c r="EK66" s="525"/>
      <c r="EL66" s="525"/>
      <c r="EM66" s="525"/>
      <c r="EN66" s="525"/>
      <c r="EO66" s="525"/>
      <c r="EP66" s="525"/>
      <c r="EQ66" s="525"/>
      <c r="ER66" s="525"/>
      <c r="ES66" s="525"/>
      <c r="ET66" s="525"/>
      <c r="EU66" s="525"/>
      <c r="EV66" s="525"/>
      <c r="EW66" s="525"/>
      <c r="EX66" s="525"/>
      <c r="EY66" s="525"/>
      <c r="EZ66" s="525"/>
      <c r="FA66" s="525"/>
      <c r="FB66" s="83"/>
      <c r="FE66" s="489" t="s">
        <v>909</v>
      </c>
      <c r="FK66" s="1157" cm="1" t="str">
        <f t="array" ref="FK66:FK66">OFFSET(FJ66,-1,1)</f>
        <v>0</v>
      </c>
      <c r="FL66" s="1078"/>
      <c r="FM66" s="1159"/>
      <c r="FN66" s="1159"/>
      <c r="FO66" s="1159"/>
      <c r="FP66" s="1159"/>
      <c r="FQ66" s="1159"/>
      <c r="FR66" s="1159"/>
      <c r="FS66" s="1078" t="s">
        <v>904</v>
      </c>
      <c r="FT66" s="1159"/>
      <c r="FU66" s="1159"/>
      <c r="FV66" s="1078" t="s">
        <v>219</v>
      </c>
      <c r="FW66" s="1159"/>
      <c r="FX66" s="1078"/>
      <c r="FY66" s="1078"/>
      <c r="FZ66" s="1078"/>
    </row>
    <row customHeight="1" ht="16.575" hidden="1">
      <c r="E67" s="180">
        <v>17</v>
      </c>
      <c r="F67" s="175" cm="1" t="str">
        <f t="array" ref="F67:F67">OFFSET(G67,-1,-1)</f>
        <v>0</v>
      </c>
      <c r="L67" s="175" cm="1" t="str">
        <f t="array" ref="L67:L67">OFFSET(M67,-1,-1)</f>
        <v>false</v>
      </c>
      <c r="S67" s="175" cm="1" t="str">
        <f t="array" ref="S67:S67">OFFSET(T67,-1,-1)</f>
        <v>false</v>
      </c>
      <c r="T67" s="175">
        <f>AD67&lt;&gt;"22.0"</f>
        <v>0</v>
      </c>
      <c r="U67" s="753">
        <f>AND(S67,IF(ISBLANK(T67),TRUE,T67))</f>
        <v>0</v>
      </c>
      <c r="X67" s="175" t="s">
        <v>189</v>
      </c>
      <c r="AB67" s="1607"/>
      <c r="AD67" s="491" t="s">
        <v>910</v>
      </c>
      <c r="AE67" s="514"/>
      <c r="AF67" s="515"/>
      <c r="AG67" s="526" t="s">
        <v>495</v>
      </c>
      <c r="AH67" s="94"/>
      <c r="AI67" s="95"/>
      <c r="AJ67" s="95"/>
      <c r="AK67" s="95"/>
      <c r="AL67" s="533"/>
      <c r="AM67" s="95"/>
      <c r="AN67" s="95"/>
      <c r="AO67" s="533"/>
      <c r="AP67" s="95"/>
      <c r="AQ67" s="95"/>
      <c r="AR67" s="533"/>
      <c r="AS67" s="95"/>
      <c r="AT67" s="95"/>
      <c r="AU67" s="533"/>
      <c r="AV67" s="95"/>
      <c r="AW67" s="95"/>
      <c r="AX67" s="533"/>
      <c r="AY67" s="95"/>
      <c r="AZ67" s="95"/>
      <c r="BA67" s="533"/>
      <c r="BB67" s="95"/>
      <c r="BC67" s="95"/>
      <c r="BD67" s="533"/>
      <c r="BE67" s="95"/>
      <c r="BF67" s="95"/>
      <c r="BG67" s="533"/>
      <c r="BH67" s="95"/>
      <c r="BI67" s="95"/>
      <c r="BJ67" s="533"/>
      <c r="BK67" s="95"/>
      <c r="BL67" s="95"/>
      <c r="BM67" s="533"/>
      <c r="BN67" s="95"/>
      <c r="BO67" s="95"/>
      <c r="BP67" s="533"/>
      <c r="BQ67" s="95"/>
      <c r="BR67" s="95"/>
      <c r="BS67" s="533"/>
      <c r="BT67" s="95"/>
      <c r="BU67" s="95"/>
      <c r="BV67" s="533"/>
      <c r="BW67" s="95"/>
      <c r="BX67" s="95"/>
      <c r="BY67" s="533"/>
      <c r="BZ67" s="95"/>
      <c r="CA67" s="95"/>
      <c r="CB67" s="533"/>
      <c r="CC67" s="95"/>
      <c r="CD67" s="95"/>
      <c r="CE67" s="533"/>
      <c r="CF67" s="95"/>
      <c r="CG67" s="95"/>
      <c r="CH67" s="533"/>
      <c r="CI67" s="95"/>
      <c r="CJ67" s="95"/>
      <c r="CK67" s="533"/>
      <c r="CL67" s="95"/>
      <c r="CM67" s="95"/>
      <c r="CN67" s="533"/>
      <c r="CO67" s="95"/>
      <c r="CP67" s="95"/>
      <c r="CQ67" s="533"/>
      <c r="CR67" s="95"/>
      <c r="CS67" s="95"/>
      <c r="CT67" s="533"/>
      <c r="CU67" s="532"/>
      <c r="CV67" s="532"/>
      <c r="CW67" s="533"/>
      <c r="CX67" s="95"/>
      <c r="CY67" s="95"/>
      <c r="CZ67" s="533"/>
      <c r="DA67" s="95"/>
      <c r="DB67" s="95"/>
      <c r="DC67" s="533"/>
      <c r="DD67" s="95"/>
      <c r="DE67" s="95"/>
      <c r="DF67" s="533"/>
      <c r="DG67" s="95"/>
      <c r="DH67" s="95"/>
      <c r="DI67" s="533"/>
      <c r="DJ67" s="95"/>
      <c r="DK67" s="95"/>
      <c r="DL67" s="533"/>
      <c r="DM67" s="95"/>
      <c r="DN67" s="95"/>
      <c r="DO67" s="533"/>
      <c r="DP67" s="95"/>
      <c r="DQ67" s="95"/>
      <c r="DR67" s="533"/>
      <c r="DS67" s="95"/>
      <c r="DT67" s="95"/>
      <c r="DU67" s="533"/>
      <c r="DV67" s="95"/>
      <c r="DW67" s="95"/>
      <c r="DX67" s="533"/>
      <c r="DY67" s="95"/>
      <c r="DZ67" s="95"/>
      <c r="EA67" s="533"/>
      <c r="EB67" s="95"/>
      <c r="EC67" s="95"/>
      <c r="ED67" s="533"/>
      <c r="EE67" s="95"/>
      <c r="EF67" s="95"/>
      <c r="EG67" s="533"/>
      <c r="EH67" s="95"/>
      <c r="EI67" s="95"/>
      <c r="EJ67" s="533"/>
      <c r="EK67" s="95"/>
      <c r="EL67" s="95"/>
      <c r="EM67" s="533"/>
      <c r="EN67" s="95"/>
      <c r="EO67" s="95"/>
      <c r="EP67" s="533"/>
      <c r="EQ67" s="95"/>
      <c r="ER67" s="95"/>
      <c r="ES67" s="533"/>
      <c r="ET67" s="95"/>
      <c r="EU67" s="95"/>
      <c r="EV67" s="533"/>
      <c r="EW67" s="95"/>
      <c r="EX67" s="95"/>
      <c r="EY67" s="533"/>
      <c r="EZ67" s="95"/>
      <c r="FA67" s="95"/>
      <c r="FB67" s="83"/>
      <c r="FE67" s="489" t="s">
        <v>909</v>
      </c>
      <c r="FF67" s="648" t="s">
        <v>890</v>
      </c>
      <c r="FG67" s="648" cm="1" t="str">
        <f t="array" ref="FG67:FG67">AE67</f>
        <v>0</v>
      </c>
      <c r="FH67" s="648" cm="1" t="str">
        <f t="array" ref="FH67:FH67">AF67</f>
        <v>0</v>
      </c>
      <c r="FK67" s="1157" cm="1" t="str">
        <f t="array" ref="FK67:FK67">OFFSET(FJ67,-1,1)</f>
        <v>0</v>
      </c>
      <c r="FL67" s="1159"/>
      <c r="FM67" s="1159"/>
      <c r="FN67" s="1159"/>
      <c r="FO67" s="1159"/>
      <c r="FP67" s="1159"/>
      <c r="FQ67" s="1159"/>
      <c r="FR67" s="1159"/>
      <c r="FS67" s="1159" t="s">
        <v>904</v>
      </c>
      <c r="FT67" s="1159"/>
      <c r="FU67" s="1159"/>
      <c r="FV67" s="1159" t="s">
        <v>255</v>
      </c>
      <c r="FW67" s="1078" t="str">
        <f>$AE67&amp;"|"&amp;$AF67</f>
        <v>|</v>
      </c>
      <c r="FX67" s="1159" t="s">
        <v>303</v>
      </c>
      <c r="FY67" s="1159" t="s">
        <v>519</v>
      </c>
      <c r="FZ67" s="1159" t="s">
        <v>520</v>
      </c>
    </row>
    <row customHeight="1" ht="17.25" hidden="1">
      <c r="E68" s="965">
        <v>0</v>
      </c>
      <c r="F68" s="175" cm="1" t="str">
        <f t="array" ref="F68:F68">OFFSET(G68,-1,-1)</f>
        <v>0</v>
      </c>
      <c r="L68" s="175" cm="1" t="str">
        <f t="array" ref="L68:L68">OFFSET(M68,-1,-1)</f>
        <v>false</v>
      </c>
      <c r="S68" s="175" cm="1" t="str">
        <f t="array" ref="S68:S68">OFFSET(T68,-1,-1)</f>
        <v>false</v>
      </c>
      <c r="U68" s="753">
        <f>AND(S68,IF(ISBLANK(T68),TRUE,T68))</f>
        <v>0</v>
      </c>
      <c r="X68" s="980" t="str">
        <f>"{                  
         funcDyn: 'msg1',
         blok: 'blok_2',
         wsCross: 'Топливо 4.4',
         linkFormula: 'AE-AE#AF-AF',
         levelDyn: "&amp;Y28&amp;"
}"</f>
        <v>{                  
         funcDyn: 'msg1',
         blok: 'blok_2',
         wsCross: 'Топливо 4.4',
         linkFormula: 'AE-AE#AF-AF',
         levelDyn: 0
}</v>
      </c>
      <c r="AB68" s="1607"/>
      <c r="AD68" s="517"/>
      <c r="AE68" s="518" t="s">
        <v>191</v>
      </c>
      <c r="AF68" s="519"/>
      <c r="AG68" s="526"/>
      <c r="AH68" s="524"/>
      <c r="AI68" s="525"/>
      <c r="AJ68" s="525"/>
      <c r="AK68" s="525"/>
      <c r="AL68" s="525"/>
      <c r="AM68" s="525"/>
      <c r="AN68" s="525"/>
      <c r="AO68" s="525"/>
      <c r="AP68" s="525"/>
      <c r="AQ68" s="525"/>
      <c r="AR68" s="525"/>
      <c r="AS68" s="525"/>
      <c r="AT68" s="525"/>
      <c r="AU68" s="525"/>
      <c r="AV68" s="525"/>
      <c r="AW68" s="525"/>
      <c r="AX68" s="525"/>
      <c r="AY68" s="525"/>
      <c r="AZ68" s="525"/>
      <c r="BA68" s="525"/>
      <c r="BB68" s="525"/>
      <c r="BC68" s="525"/>
      <c r="BD68" s="525"/>
      <c r="BE68" s="525"/>
      <c r="BF68" s="525"/>
      <c r="BG68" s="525"/>
      <c r="BH68" s="525"/>
      <c r="BI68" s="525"/>
      <c r="BJ68" s="525"/>
      <c r="BK68" s="525"/>
      <c r="BL68" s="525"/>
      <c r="BM68" s="525"/>
      <c r="BN68" s="525"/>
      <c r="BO68" s="525"/>
      <c r="BP68" s="525"/>
      <c r="BQ68" s="525"/>
      <c r="BR68" s="525"/>
      <c r="BS68" s="525"/>
      <c r="BT68" s="525"/>
      <c r="BU68" s="525"/>
      <c r="BV68" s="525"/>
      <c r="BW68" s="525"/>
      <c r="BX68" s="525"/>
      <c r="BY68" s="525"/>
      <c r="BZ68" s="525"/>
      <c r="CA68" s="525"/>
      <c r="CB68" s="525"/>
      <c r="CC68" s="525"/>
      <c r="CD68" s="525"/>
      <c r="CE68" s="525"/>
      <c r="CF68" s="525"/>
      <c r="CG68" s="525"/>
      <c r="CH68" s="525"/>
      <c r="CI68" s="525"/>
      <c r="CJ68" s="525"/>
      <c r="CK68" s="525"/>
      <c r="CL68" s="525"/>
      <c r="CM68" s="525"/>
      <c r="CN68" s="525"/>
      <c r="CO68" s="525"/>
      <c r="CP68" s="525"/>
      <c r="CQ68" s="525"/>
      <c r="CR68" s="525"/>
      <c r="CS68" s="525"/>
      <c r="CT68" s="525"/>
      <c r="CU68" s="525"/>
      <c r="CV68" s="525"/>
      <c r="CW68" s="525"/>
      <c r="CX68" s="525"/>
      <c r="CY68" s="525"/>
      <c r="CZ68" s="525"/>
      <c r="DA68" s="525"/>
      <c r="DB68" s="525"/>
      <c r="DC68" s="525"/>
      <c r="DD68" s="525"/>
      <c r="DE68" s="525"/>
      <c r="DF68" s="525"/>
      <c r="DG68" s="525"/>
      <c r="DH68" s="525"/>
      <c r="DI68" s="525"/>
      <c r="DJ68" s="525"/>
      <c r="DK68" s="525"/>
      <c r="DL68" s="525"/>
      <c r="DM68" s="525"/>
      <c r="DN68" s="525"/>
      <c r="DO68" s="525"/>
      <c r="DP68" s="525"/>
      <c r="DQ68" s="525"/>
      <c r="DR68" s="525"/>
      <c r="DS68" s="525"/>
      <c r="DT68" s="525"/>
      <c r="DU68" s="525"/>
      <c r="DV68" s="525"/>
      <c r="DW68" s="525"/>
      <c r="DX68" s="525"/>
      <c r="DY68" s="525"/>
      <c r="DZ68" s="525"/>
      <c r="EA68" s="525"/>
      <c r="EB68" s="525"/>
      <c r="EC68" s="525"/>
      <c r="ED68" s="525"/>
      <c r="EE68" s="525"/>
      <c r="EF68" s="525"/>
      <c r="EG68" s="525"/>
      <c r="EH68" s="525"/>
      <c r="EI68" s="525"/>
      <c r="EJ68" s="525"/>
      <c r="EK68" s="525"/>
      <c r="EL68" s="525"/>
      <c r="EM68" s="525"/>
      <c r="EN68" s="525"/>
      <c r="EO68" s="525"/>
      <c r="EP68" s="525"/>
      <c r="EQ68" s="525"/>
      <c r="ER68" s="525"/>
      <c r="ES68" s="525"/>
      <c r="ET68" s="525"/>
      <c r="EU68" s="525"/>
      <c r="EV68" s="525"/>
      <c r="EW68" s="525"/>
      <c r="EX68" s="525"/>
      <c r="EY68" s="525"/>
      <c r="EZ68" s="525"/>
      <c r="FA68" s="525"/>
      <c r="FB68" s="93"/>
      <c r="FE68" s="489" t="str">
        <f>IF(AND(ISNUMBER(VALUE(TRIM(SUBSTITUTE(AD68,".","")))),TRIM(SUBSTITUTE(AD68,".",""))&lt;&gt;""),"P"&amp;SUBSTITUTE(AD68,".",""),"")</f>
        <v/>
      </c>
      <c r="FK68" s="1157" cm="1" t="str">
        <f t="array" ref="FK68:FK68">OFFSET(FJ68,-1,1)</f>
        <v>0</v>
      </c>
      <c r="FL68" s="1159"/>
      <c r="FM68" s="1159"/>
      <c r="FN68" s="1159"/>
      <c r="FO68" s="1159"/>
      <c r="FP68" s="1159"/>
      <c r="FQ68" s="1159"/>
      <c r="FR68" s="1159"/>
      <c r="FS68" s="1159"/>
      <c r="FT68" s="1159"/>
      <c r="FU68" s="1159"/>
      <c r="FV68" s="1159"/>
      <c r="FW68" s="1159"/>
      <c r="FX68" s="1159"/>
      <c r="FY68" s="1159"/>
      <c r="FZ68" s="1159"/>
    </row>
    <row customHeight="1" ht="16.575" hidden="1">
      <c r="E69" s="180">
        <v>17</v>
      </c>
      <c r="F69" s="175" cm="1" t="str">
        <f t="array" ref="F69:F69">OFFSET(G69,-1,-1)</f>
        <v>0</v>
      </c>
      <c r="L69" s="175" cm="1" t="str">
        <f t="array" ref="L69:L69">OFFSET(M69,-1,-1)</f>
        <v>false</v>
      </c>
      <c r="S69" s="175" cm="1" t="str">
        <f t="array" ref="S69:S69">OFFSET(T69,-1,-1)</f>
        <v>false</v>
      </c>
      <c r="U69" s="753">
        <f>AND(S69,IF(ISBLANK(T69),TRUE,T69))</f>
        <v>0</v>
      </c>
      <c r="AB69" s="1607"/>
      <c r="AD69" s="491">
        <v>23</v>
      </c>
      <c r="AE69" s="1619" t="s">
        <v>911</v>
      </c>
      <c r="AF69" s="496"/>
      <c r="AG69" s="523"/>
      <c r="AH69" s="524"/>
      <c r="AI69" s="525"/>
      <c r="AJ69" s="525"/>
      <c r="AK69" s="525"/>
      <c r="AL69" s="525"/>
      <c r="AM69" s="525"/>
      <c r="AN69" s="525"/>
      <c r="AO69" s="525"/>
      <c r="AP69" s="525"/>
      <c r="AQ69" s="525"/>
      <c r="AR69" s="525"/>
      <c r="AS69" s="525"/>
      <c r="AT69" s="525"/>
      <c r="AU69" s="525"/>
      <c r="AV69" s="525"/>
      <c r="AW69" s="525"/>
      <c r="AX69" s="525"/>
      <c r="AY69" s="525"/>
      <c r="AZ69" s="525"/>
      <c r="BA69" s="525"/>
      <c r="BB69" s="525"/>
      <c r="BC69" s="525"/>
      <c r="BD69" s="525"/>
      <c r="BE69" s="525"/>
      <c r="BF69" s="525"/>
      <c r="BG69" s="525"/>
      <c r="BH69" s="525"/>
      <c r="BI69" s="525"/>
      <c r="BJ69" s="525"/>
      <c r="BK69" s="525"/>
      <c r="BL69" s="525"/>
      <c r="BM69" s="525"/>
      <c r="BN69" s="525"/>
      <c r="BO69" s="525"/>
      <c r="BP69" s="525"/>
      <c r="BQ69" s="525"/>
      <c r="BR69" s="525"/>
      <c r="BS69" s="525"/>
      <c r="BT69" s="525"/>
      <c r="BU69" s="525"/>
      <c r="BV69" s="525"/>
      <c r="BW69" s="525"/>
      <c r="BX69" s="525"/>
      <c r="BY69" s="525"/>
      <c r="BZ69" s="525"/>
      <c r="CA69" s="525"/>
      <c r="CB69" s="525"/>
      <c r="CC69" s="525"/>
      <c r="CD69" s="525"/>
      <c r="CE69" s="525"/>
      <c r="CF69" s="525"/>
      <c r="CG69" s="525"/>
      <c r="CH69" s="525"/>
      <c r="CI69" s="525"/>
      <c r="CJ69" s="525"/>
      <c r="CK69" s="525"/>
      <c r="CL69" s="525"/>
      <c r="CM69" s="525"/>
      <c r="CN69" s="525"/>
      <c r="CO69" s="525"/>
      <c r="CP69" s="525"/>
      <c r="CQ69" s="525"/>
      <c r="CR69" s="525"/>
      <c r="CS69" s="525"/>
      <c r="CT69" s="525"/>
      <c r="CU69" s="525"/>
      <c r="CV69" s="525"/>
      <c r="CW69" s="525"/>
      <c r="CX69" s="525"/>
      <c r="CY69" s="525"/>
      <c r="CZ69" s="525"/>
      <c r="DA69" s="525"/>
      <c r="DB69" s="525"/>
      <c r="DC69" s="525"/>
      <c r="DD69" s="525"/>
      <c r="DE69" s="525"/>
      <c r="DF69" s="525"/>
      <c r="DG69" s="525"/>
      <c r="DH69" s="525"/>
      <c r="DI69" s="525"/>
      <c r="DJ69" s="525"/>
      <c r="DK69" s="525"/>
      <c r="DL69" s="525"/>
      <c r="DM69" s="525"/>
      <c r="DN69" s="525"/>
      <c r="DO69" s="525"/>
      <c r="DP69" s="525"/>
      <c r="DQ69" s="525"/>
      <c r="DR69" s="525"/>
      <c r="DS69" s="525"/>
      <c r="DT69" s="525"/>
      <c r="DU69" s="525"/>
      <c r="DV69" s="525"/>
      <c r="DW69" s="525"/>
      <c r="DX69" s="525"/>
      <c r="DY69" s="525"/>
      <c r="DZ69" s="525"/>
      <c r="EA69" s="525"/>
      <c r="EB69" s="525"/>
      <c r="EC69" s="525"/>
      <c r="ED69" s="525"/>
      <c r="EE69" s="525"/>
      <c r="EF69" s="525"/>
      <c r="EG69" s="525"/>
      <c r="EH69" s="525"/>
      <c r="EI69" s="525"/>
      <c r="EJ69" s="525"/>
      <c r="EK69" s="525"/>
      <c r="EL69" s="525"/>
      <c r="EM69" s="525"/>
      <c r="EN69" s="525"/>
      <c r="EO69" s="525"/>
      <c r="EP69" s="525"/>
      <c r="EQ69" s="525"/>
      <c r="ER69" s="525"/>
      <c r="ES69" s="525"/>
      <c r="ET69" s="525"/>
      <c r="EU69" s="525"/>
      <c r="EV69" s="525"/>
      <c r="EW69" s="525"/>
      <c r="EX69" s="525"/>
      <c r="EY69" s="525"/>
      <c r="EZ69" s="525"/>
      <c r="FA69" s="525"/>
      <c r="FB69" s="83"/>
      <c r="FE69" s="489" t="s">
        <v>912</v>
      </c>
      <c r="FK69" s="1157" cm="1" t="str">
        <f t="array" ref="FK69:FK69">OFFSET(FJ69,-1,1)</f>
        <v>0</v>
      </c>
      <c r="FL69" s="1078"/>
      <c r="FM69" s="1159"/>
      <c r="FN69" s="1159"/>
      <c r="FO69" s="1159"/>
      <c r="FP69" s="1159"/>
      <c r="FQ69" s="1159"/>
      <c r="FR69" s="1159"/>
      <c r="FS69" s="1078" t="s">
        <v>904</v>
      </c>
      <c r="FT69" s="1159"/>
      <c r="FU69" s="1159"/>
      <c r="FV69" s="1078" t="s">
        <v>255</v>
      </c>
      <c r="FW69" s="1159"/>
      <c r="FX69" s="1078"/>
      <c r="FY69" s="1078"/>
      <c r="FZ69" s="1078"/>
    </row>
    <row customHeight="1" ht="16.575" hidden="1">
      <c r="E70" s="180">
        <v>17</v>
      </c>
      <c r="F70" s="175" cm="1" t="str">
        <f t="array" ref="F70:F70">OFFSET(G70,-1,-1)</f>
        <v>0</v>
      </c>
      <c r="L70" s="175" cm="1" t="str">
        <f t="array" ref="L70:L70">OFFSET(M70,-1,-1)</f>
        <v>false</v>
      </c>
      <c r="S70" s="175" cm="1" t="str">
        <f t="array" ref="S70:S70">OFFSET(T70,-1,-1)</f>
        <v>false</v>
      </c>
      <c r="T70" s="175">
        <f>AD70&lt;&gt;"23.0"</f>
        <v>0</v>
      </c>
      <c r="U70" s="753">
        <f>AND(S70,IF(ISBLANK(T70),TRUE,T70))</f>
        <v>0</v>
      </c>
      <c r="X70" s="175" t="s">
        <v>189</v>
      </c>
      <c r="AB70" s="1607"/>
      <c r="AD70" s="491" t="s">
        <v>913</v>
      </c>
      <c r="AE70" s="514"/>
      <c r="AF70" s="515"/>
      <c r="AG70" s="530" t="str">
        <f>"руб./"&amp;_xlfn.IFERROR(INDEX(fuel_ed_izm_list,MATCH(AE70,fuel_list,0)),"")</f>
        <v>руб./</v>
      </c>
      <c r="AH70" s="88">
        <f>_xlfn.IFERROR(AH74/AH64,0)*1000</f>
        <v>0</v>
      </c>
      <c r="AI70" s="89">
        <f>_xlfn.IFERROR(AI74/AI64,0)*1000</f>
        <v>0</v>
      </c>
      <c r="AJ70" s="89">
        <f>_xlfn.IFERROR(AJ74/AJ64,0)*1000</f>
        <v>0</v>
      </c>
      <c r="AK70" s="89">
        <f>_xlfn.IFERROR(AK74/AK64,0)*1000</f>
        <v>0</v>
      </c>
      <c r="AL70" s="499">
        <f>_xlfn.IFERROR(AL74/AL64,0)*1000</f>
        <v>0</v>
      </c>
      <c r="AM70" s="89"/>
      <c r="AN70" s="89"/>
      <c r="AO70" s="499">
        <f>_xlfn.IFERROR(AO74/AO64,0)*1000</f>
        <v>0</v>
      </c>
      <c r="AP70" s="89"/>
      <c r="AQ70" s="89"/>
      <c r="AR70" s="499">
        <f>_xlfn.IFERROR(AR74/AR64,0)*1000</f>
        <v>0</v>
      </c>
      <c r="AS70" s="89"/>
      <c r="AT70" s="89"/>
      <c r="AU70" s="499">
        <f>_xlfn.IFERROR(AU74/AU64,0)*1000</f>
        <v>0</v>
      </c>
      <c r="AV70" s="89"/>
      <c r="AW70" s="89"/>
      <c r="AX70" s="499">
        <f>_xlfn.IFERROR(AX74/AX64,0)*1000</f>
        <v>0</v>
      </c>
      <c r="AY70" s="89"/>
      <c r="AZ70" s="89"/>
      <c r="BA70" s="499">
        <f>_xlfn.IFERROR(BA74/BA64,0)*1000</f>
        <v>0</v>
      </c>
      <c r="BB70" s="89"/>
      <c r="BC70" s="89"/>
      <c r="BD70" s="499">
        <f>_xlfn.IFERROR(BD74/BD64,0)*1000</f>
        <v>0</v>
      </c>
      <c r="BE70" s="89"/>
      <c r="BF70" s="89"/>
      <c r="BG70" s="499">
        <f>_xlfn.IFERROR(BG74/BG64,0)*1000</f>
        <v>0</v>
      </c>
      <c r="BH70" s="89"/>
      <c r="BI70" s="89"/>
      <c r="BJ70" s="499">
        <f>_xlfn.IFERROR(BJ74/BJ64,0)*1000</f>
        <v>0</v>
      </c>
      <c r="BK70" s="89"/>
      <c r="BL70" s="89"/>
      <c r="BM70" s="499">
        <f>_xlfn.IFERROR(BM74/BM64,0)*1000</f>
        <v>0</v>
      </c>
      <c r="BN70" s="89"/>
      <c r="BO70" s="89"/>
      <c r="BP70" s="499">
        <f>_xlfn.IFERROR(BP74/BP64,0)*1000</f>
        <v>0</v>
      </c>
      <c r="BQ70" s="89"/>
      <c r="BR70" s="89"/>
      <c r="BS70" s="499">
        <f>_xlfn.IFERROR(BS74/BS64,0)*1000</f>
        <v>0</v>
      </c>
      <c r="BT70" s="89"/>
      <c r="BU70" s="89"/>
      <c r="BV70" s="499">
        <f>_xlfn.IFERROR(BV74/BV64,0)*1000</f>
        <v>0</v>
      </c>
      <c r="BW70" s="89"/>
      <c r="BX70" s="89"/>
      <c r="BY70" s="499">
        <f>_xlfn.IFERROR(BY74/BY64,0)*1000</f>
        <v>0</v>
      </c>
      <c r="BZ70" s="89"/>
      <c r="CA70" s="89"/>
      <c r="CB70" s="499">
        <f>_xlfn.IFERROR(CB74/CB64,0)*1000</f>
        <v>0</v>
      </c>
      <c r="CC70" s="89"/>
      <c r="CD70" s="89"/>
      <c r="CE70" s="499">
        <f>_xlfn.IFERROR(CE74/CE64,0)*1000</f>
        <v>0</v>
      </c>
      <c r="CF70" s="89"/>
      <c r="CG70" s="89"/>
      <c r="CH70" s="499">
        <f>_xlfn.IFERROR(CH74/CH64,0)*1000</f>
        <v>0</v>
      </c>
      <c r="CI70" s="89"/>
      <c r="CJ70" s="89"/>
      <c r="CK70" s="499">
        <f>_xlfn.IFERROR(CK74/CK64,0)*1000</f>
        <v>0</v>
      </c>
      <c r="CL70" s="89"/>
      <c r="CM70" s="89"/>
      <c r="CN70" s="499">
        <f>_xlfn.IFERROR(CN74/CN64,0)*1000</f>
        <v>0</v>
      </c>
      <c r="CO70" s="89"/>
      <c r="CP70" s="89"/>
      <c r="CQ70" s="499">
        <f>_xlfn.IFERROR(CQ74/CQ64,0)*1000</f>
        <v>0</v>
      </c>
      <c r="CR70" s="89"/>
      <c r="CS70" s="89"/>
      <c r="CT70" s="499">
        <f>_xlfn.IFERROR(CT74/CT64,0)*1000</f>
        <v>0</v>
      </c>
      <c r="CU70" s="498"/>
      <c r="CV70" s="498"/>
      <c r="CW70" s="499">
        <f>_xlfn.IFERROR(CW74/CW64,0)*1000</f>
        <v>0</v>
      </c>
      <c r="CX70" s="89"/>
      <c r="CY70" s="89"/>
      <c r="CZ70" s="499">
        <f>_xlfn.IFERROR(CZ74/CZ64,0)*1000</f>
        <v>0</v>
      </c>
      <c r="DA70" s="89"/>
      <c r="DB70" s="89"/>
      <c r="DC70" s="499">
        <f>_xlfn.IFERROR(DC74/DC64,0)*1000</f>
        <v>0</v>
      </c>
      <c r="DD70" s="89"/>
      <c r="DE70" s="89"/>
      <c r="DF70" s="499">
        <f>_xlfn.IFERROR(DF74/DF64,0)*1000</f>
        <v>0</v>
      </c>
      <c r="DG70" s="89"/>
      <c r="DH70" s="89"/>
      <c r="DI70" s="499">
        <f>_xlfn.IFERROR(DI74/DI64,0)*1000</f>
        <v>0</v>
      </c>
      <c r="DJ70" s="89"/>
      <c r="DK70" s="89"/>
      <c r="DL70" s="499">
        <f>_xlfn.IFERROR(DL74/DL64,0)*1000</f>
        <v>0</v>
      </c>
      <c r="DM70" s="89"/>
      <c r="DN70" s="89"/>
      <c r="DO70" s="499">
        <f>_xlfn.IFERROR(DO74/DO64,0)*1000</f>
        <v>0</v>
      </c>
      <c r="DP70" s="89"/>
      <c r="DQ70" s="89"/>
      <c r="DR70" s="499">
        <f>_xlfn.IFERROR(DR74/DR64,0)*1000</f>
        <v>0</v>
      </c>
      <c r="DS70" s="89"/>
      <c r="DT70" s="89"/>
      <c r="DU70" s="499">
        <f>_xlfn.IFERROR(DU74/DU64,0)*1000</f>
        <v>0</v>
      </c>
      <c r="DV70" s="89"/>
      <c r="DW70" s="89"/>
      <c r="DX70" s="499">
        <f>_xlfn.IFERROR(DX74/DX64,0)*1000</f>
        <v>0</v>
      </c>
      <c r="DY70" s="89"/>
      <c r="DZ70" s="89"/>
      <c r="EA70" s="499">
        <f>_xlfn.IFERROR(EA74/EA64,0)*1000</f>
        <v>0</v>
      </c>
      <c r="EB70" s="89"/>
      <c r="EC70" s="89"/>
      <c r="ED70" s="499">
        <f>_xlfn.IFERROR(ED74/ED64,0)*1000</f>
        <v>0</v>
      </c>
      <c r="EE70" s="89"/>
      <c r="EF70" s="89"/>
      <c r="EG70" s="499">
        <f>_xlfn.IFERROR(EG74/EG64,0)*1000</f>
        <v>0</v>
      </c>
      <c r="EH70" s="89"/>
      <c r="EI70" s="89"/>
      <c r="EJ70" s="499">
        <f>_xlfn.IFERROR(EJ74/EJ64,0)*1000</f>
        <v>0</v>
      </c>
      <c r="EK70" s="89"/>
      <c r="EL70" s="89"/>
      <c r="EM70" s="499">
        <f>_xlfn.IFERROR(EM74/EM64,0)*1000</f>
        <v>0</v>
      </c>
      <c r="EN70" s="89"/>
      <c r="EO70" s="89"/>
      <c r="EP70" s="499">
        <f>_xlfn.IFERROR(EP74/EP64,0)*1000</f>
        <v>0</v>
      </c>
      <c r="EQ70" s="89"/>
      <c r="ER70" s="89"/>
      <c r="ES70" s="499">
        <f>_xlfn.IFERROR(ES74/ES64,0)*1000</f>
        <v>0</v>
      </c>
      <c r="ET70" s="89"/>
      <c r="EU70" s="89"/>
      <c r="EV70" s="499">
        <f>_xlfn.IFERROR(EV74/EV64,0)*1000</f>
        <v>0</v>
      </c>
      <c r="EW70" s="89"/>
      <c r="EX70" s="89"/>
      <c r="EY70" s="499">
        <f>_xlfn.IFERROR(EY74/EY64,0)*1000</f>
        <v>0</v>
      </c>
      <c r="EZ70" s="89"/>
      <c r="FA70" s="89"/>
      <c r="FB70" s="83"/>
      <c r="FE70" s="489" t="s">
        <v>912</v>
      </c>
      <c r="FF70" s="648" t="s">
        <v>890</v>
      </c>
      <c r="FG70" s="648" cm="1" t="str">
        <f t="array" ref="FG70:FG70">AE70</f>
        <v>0</v>
      </c>
      <c r="FH70" s="648" cm="1" t="str">
        <f t="array" ref="FH70:FH70">AF70</f>
        <v>0</v>
      </c>
      <c r="FK70" s="1157" cm="1" t="str">
        <f t="array" ref="FK70:FK70">OFFSET(FJ70,-1,1)</f>
        <v>0</v>
      </c>
      <c r="FL70" s="1159"/>
      <c r="FM70" s="1159"/>
      <c r="FN70" s="1159"/>
      <c r="FO70" s="1159"/>
      <c r="FP70" s="1159"/>
      <c r="FQ70" s="1159"/>
      <c r="FR70" s="1159"/>
      <c r="FS70" s="1159" t="s">
        <v>904</v>
      </c>
      <c r="FT70" s="1159"/>
      <c r="FU70" s="1159"/>
      <c r="FV70" s="1159" t="s">
        <v>449</v>
      </c>
      <c r="FW70" s="1078" t="str">
        <f>$AE70&amp;"|"&amp;$AF70</f>
        <v>|</v>
      </c>
      <c r="FX70" s="1159" t="s">
        <v>303</v>
      </c>
      <c r="FY70" s="1159" t="s">
        <v>914</v>
      </c>
      <c r="FZ70" s="1159" t="s">
        <v>915</v>
      </c>
    </row>
    <row customHeight="1" ht="17.25" hidden="1">
      <c r="E71" s="965">
        <v>0</v>
      </c>
      <c r="F71" s="175" cm="1" t="str">
        <f t="array" ref="F71:F71">OFFSET(G71,-1,-1)</f>
        <v>0</v>
      </c>
      <c r="L71" s="175" cm="1" t="str">
        <f t="array" ref="L71:L71">OFFSET(M71,-1,-1)</f>
        <v>false</v>
      </c>
      <c r="S71" s="175" cm="1" t="str">
        <f t="array" ref="S71:S71">OFFSET(T71,-1,-1)</f>
        <v>false</v>
      </c>
      <c r="U71" s="753">
        <f>AND(S71,IF(ISBLANK(T71),TRUE,T71))</f>
        <v>0</v>
      </c>
      <c r="X71" s="980" t="str">
        <f>"{                  
         funcDyn: 'msg1',
         blok: 'blok_2',
         wsCross: 'Топливо 4.4',
         linkFormula: 'AE-AE#AF-AF',
         levelDyn: "&amp;Y28&amp;"
}"</f>
        <v>{                  
         funcDyn: 'msg1',
         blok: 'blok_2',
         wsCross: 'Топливо 4.4',
         linkFormula: 'AE-AE#AF-AF',
         levelDyn: 0
}</v>
      </c>
      <c r="AB71" s="1607"/>
      <c r="AD71" s="517"/>
      <c r="AE71" s="518" t="s">
        <v>191</v>
      </c>
      <c r="AF71" s="519"/>
      <c r="AG71" s="526"/>
      <c r="AH71" s="524"/>
      <c r="AI71" s="525"/>
      <c r="AJ71" s="525"/>
      <c r="AK71" s="525"/>
      <c r="AL71" s="525"/>
      <c r="AM71" s="525"/>
      <c r="AN71" s="525"/>
      <c r="AO71" s="525"/>
      <c r="AP71" s="525"/>
      <c r="AQ71" s="525"/>
      <c r="AR71" s="525"/>
      <c r="AS71" s="525"/>
      <c r="AT71" s="525"/>
      <c r="AU71" s="525"/>
      <c r="AV71" s="525"/>
      <c r="AW71" s="525"/>
      <c r="AX71" s="525"/>
      <c r="AY71" s="525"/>
      <c r="AZ71" s="525"/>
      <c r="BA71" s="525"/>
      <c r="BB71" s="525"/>
      <c r="BC71" s="525"/>
      <c r="BD71" s="525"/>
      <c r="BE71" s="525"/>
      <c r="BF71" s="525"/>
      <c r="BG71" s="525"/>
      <c r="BH71" s="525"/>
      <c r="BI71" s="525"/>
      <c r="BJ71" s="525"/>
      <c r="BK71" s="525"/>
      <c r="BL71" s="525"/>
      <c r="BM71" s="525"/>
      <c r="BN71" s="525"/>
      <c r="BO71" s="525"/>
      <c r="BP71" s="525"/>
      <c r="BQ71" s="525"/>
      <c r="BR71" s="525"/>
      <c r="BS71" s="525"/>
      <c r="BT71" s="525"/>
      <c r="BU71" s="525"/>
      <c r="BV71" s="525"/>
      <c r="BW71" s="525"/>
      <c r="BX71" s="525"/>
      <c r="BY71" s="525"/>
      <c r="BZ71" s="525"/>
      <c r="CA71" s="525"/>
      <c r="CB71" s="525"/>
      <c r="CC71" s="525"/>
      <c r="CD71" s="525"/>
      <c r="CE71" s="525"/>
      <c r="CF71" s="525"/>
      <c r="CG71" s="525"/>
      <c r="CH71" s="525"/>
      <c r="CI71" s="525"/>
      <c r="CJ71" s="525"/>
      <c r="CK71" s="525"/>
      <c r="CL71" s="525"/>
      <c r="CM71" s="525"/>
      <c r="CN71" s="525"/>
      <c r="CO71" s="525"/>
      <c r="CP71" s="525"/>
      <c r="CQ71" s="525"/>
      <c r="CR71" s="525"/>
      <c r="CS71" s="525"/>
      <c r="CT71" s="525"/>
      <c r="CU71" s="525"/>
      <c r="CV71" s="525"/>
      <c r="CW71" s="525"/>
      <c r="CX71" s="525"/>
      <c r="CY71" s="525"/>
      <c r="CZ71" s="525"/>
      <c r="DA71" s="525"/>
      <c r="DB71" s="525"/>
      <c r="DC71" s="525"/>
      <c r="DD71" s="525"/>
      <c r="DE71" s="525"/>
      <c r="DF71" s="525"/>
      <c r="DG71" s="525"/>
      <c r="DH71" s="525"/>
      <c r="DI71" s="525"/>
      <c r="DJ71" s="525"/>
      <c r="DK71" s="525"/>
      <c r="DL71" s="525"/>
      <c r="DM71" s="525"/>
      <c r="DN71" s="525"/>
      <c r="DO71" s="525"/>
      <c r="DP71" s="525"/>
      <c r="DQ71" s="525"/>
      <c r="DR71" s="525"/>
      <c r="DS71" s="525"/>
      <c r="DT71" s="525"/>
      <c r="DU71" s="525"/>
      <c r="DV71" s="525"/>
      <c r="DW71" s="525"/>
      <c r="DX71" s="525"/>
      <c r="DY71" s="525"/>
      <c r="DZ71" s="525"/>
      <c r="EA71" s="525"/>
      <c r="EB71" s="525"/>
      <c r="EC71" s="525"/>
      <c r="ED71" s="525"/>
      <c r="EE71" s="525"/>
      <c r="EF71" s="525"/>
      <c r="EG71" s="525"/>
      <c r="EH71" s="525"/>
      <c r="EI71" s="525"/>
      <c r="EJ71" s="525"/>
      <c r="EK71" s="525"/>
      <c r="EL71" s="525"/>
      <c r="EM71" s="525"/>
      <c r="EN71" s="525"/>
      <c r="EO71" s="525"/>
      <c r="EP71" s="525"/>
      <c r="EQ71" s="525"/>
      <c r="ER71" s="525"/>
      <c r="ES71" s="525"/>
      <c r="ET71" s="525"/>
      <c r="EU71" s="525"/>
      <c r="EV71" s="525"/>
      <c r="EW71" s="525"/>
      <c r="EX71" s="525"/>
      <c r="EY71" s="525"/>
      <c r="EZ71" s="525"/>
      <c r="FA71" s="525"/>
      <c r="FB71" s="93"/>
      <c r="FE71" s="489" t="str">
        <f>IF(AND(ISNUMBER(VALUE(TRIM(SUBSTITUTE(AD71,".","")))),TRIM(SUBSTITUTE(AD71,".",""))&lt;&gt;""),"P"&amp;SUBSTITUTE(AD71,".",""),"")</f>
        <v/>
      </c>
      <c r="FK71" s="1157" cm="1" t="str">
        <f t="array" ref="FK71:FK71">OFFSET(FJ71,-1,1)</f>
        <v>0</v>
      </c>
      <c r="FL71" s="1159"/>
      <c r="FM71" s="1159"/>
      <c r="FN71" s="1159"/>
      <c r="FO71" s="1159"/>
      <c r="FP71" s="1159"/>
      <c r="FQ71" s="1159"/>
      <c r="FR71" s="1159"/>
      <c r="FS71" s="1159"/>
      <c r="FT71" s="1159"/>
      <c r="FU71" s="1159"/>
      <c r="FV71" s="1159"/>
      <c r="FW71" s="1159"/>
      <c r="FX71" s="1159"/>
      <c r="FY71" s="1159"/>
      <c r="FZ71" s="1159"/>
    </row>
    <row customHeight="1" ht="16.575" hidden="1">
      <c r="E72" s="180">
        <v>17</v>
      </c>
      <c r="F72" s="175" cm="1" t="str">
        <f t="array" ref="F72:F72">OFFSET(G72,-1,-1)</f>
        <v>0</v>
      </c>
      <c r="L72" s="175" cm="1" t="str">
        <f t="array" ref="L72:L72">OFFSET(M72,-1,-1)</f>
        <v>false</v>
      </c>
      <c r="S72" s="175" cm="1" t="str">
        <f t="array" ref="S72:S72">OFFSET(T72,-1,-1)</f>
        <v>false</v>
      </c>
      <c r="U72" s="753">
        <f>AND(S72,IF(ISBLANK(T72),TRUE,T72))</f>
        <v>0</v>
      </c>
      <c r="AB72" s="1607"/>
      <c r="AD72" s="491">
        <v>24</v>
      </c>
      <c r="AE72" s="1619" t="s">
        <v>916</v>
      </c>
      <c r="AF72" s="496"/>
      <c r="AG72" s="526" t="s">
        <v>917</v>
      </c>
      <c r="AH72" s="500">
        <f>SUM(AH74:AH75)</f>
        <v>0</v>
      </c>
      <c r="AI72" s="500">
        <f>SUM(AI74:AI75)</f>
        <v>0</v>
      </c>
      <c r="AJ72" s="500">
        <f>SUM(AJ74:AJ75)</f>
        <v>0</v>
      </c>
      <c r="AK72" s="500">
        <f>SUM(AK74:AK75)</f>
        <v>0</v>
      </c>
      <c r="AL72" s="500">
        <f>SUM(AL74:AL75)</f>
        <v>0</v>
      </c>
      <c r="AM72" s="500">
        <f>SUM(AM74:AM75)</f>
        <v>0</v>
      </c>
      <c r="AN72" s="500">
        <f>SUM(AN74:AN75)</f>
        <v>0</v>
      </c>
      <c r="AO72" s="500">
        <f>SUM(AO74:AO75)</f>
        <v>0</v>
      </c>
      <c r="AP72" s="500">
        <f>SUM(AP74:AP75)</f>
        <v>0</v>
      </c>
      <c r="AQ72" s="500">
        <f>SUM(AQ74:AQ75)</f>
        <v>0</v>
      </c>
      <c r="AR72" s="500">
        <f>SUM(AR74:AR75)</f>
        <v>0</v>
      </c>
      <c r="AS72" s="500">
        <f>SUM(AS74:AS75)</f>
        <v>0</v>
      </c>
      <c r="AT72" s="500">
        <f>SUM(AT74:AT75)</f>
        <v>0</v>
      </c>
      <c r="AU72" s="500">
        <f>SUM(AU74:AU75)</f>
        <v>0</v>
      </c>
      <c r="AV72" s="500">
        <f>SUM(AV74:AV75)</f>
        <v>0</v>
      </c>
      <c r="AW72" s="500">
        <f>SUM(AW74:AW75)</f>
        <v>0</v>
      </c>
      <c r="AX72" s="500">
        <f>SUM(AX74:AX75)</f>
        <v>0</v>
      </c>
      <c r="AY72" s="500">
        <f>SUM(AY74:AY75)</f>
        <v>0</v>
      </c>
      <c r="AZ72" s="500">
        <f>SUM(AZ74:AZ75)</f>
        <v>0</v>
      </c>
      <c r="BA72" s="500">
        <f>SUM(BA74:BA75)</f>
        <v>0</v>
      </c>
      <c r="BB72" s="500">
        <f>SUM(BB74:BB75)</f>
        <v>0</v>
      </c>
      <c r="BC72" s="500">
        <f>SUM(BC74:BC75)</f>
        <v>0</v>
      </c>
      <c r="BD72" s="500">
        <f>SUM(BD74:BD75)</f>
        <v>0</v>
      </c>
      <c r="BE72" s="500">
        <f>SUM(BE74:BE75)</f>
        <v>0</v>
      </c>
      <c r="BF72" s="500">
        <f>SUM(BF74:BF75)</f>
        <v>0</v>
      </c>
      <c r="BG72" s="500">
        <f>SUM(BG74:BG75)</f>
        <v>0</v>
      </c>
      <c r="BH72" s="500">
        <f>SUM(BH74:BH75)</f>
        <v>0</v>
      </c>
      <c r="BI72" s="500">
        <f>SUM(BI74:BI75)</f>
        <v>0</v>
      </c>
      <c r="BJ72" s="500">
        <f>SUM(BJ74:BJ75)</f>
        <v>0</v>
      </c>
      <c r="BK72" s="500">
        <f>SUM(BK74:BK75)</f>
        <v>0</v>
      </c>
      <c r="BL72" s="500">
        <f>SUM(BL74:BL75)</f>
        <v>0</v>
      </c>
      <c r="BM72" s="500">
        <f>SUM(BM74:BM75)</f>
        <v>0</v>
      </c>
      <c r="BN72" s="500">
        <f>SUM(BN74:BN75)</f>
        <v>0</v>
      </c>
      <c r="BO72" s="500">
        <f>SUM(BO74:BO75)</f>
        <v>0</v>
      </c>
      <c r="BP72" s="500">
        <f>SUM(BP74:BP75)</f>
        <v>0</v>
      </c>
      <c r="BQ72" s="500">
        <f>SUM(BQ74:BQ75)</f>
        <v>0</v>
      </c>
      <c r="BR72" s="500">
        <f>SUM(BR74:BR75)</f>
        <v>0</v>
      </c>
      <c r="BS72" s="500">
        <f>SUM(BS74:BS75)</f>
        <v>0</v>
      </c>
      <c r="BT72" s="500">
        <f>SUM(BT74:BT75)</f>
        <v>0</v>
      </c>
      <c r="BU72" s="500">
        <f>SUM(BU74:BU75)</f>
        <v>0</v>
      </c>
      <c r="BV72" s="500">
        <f>SUM(BV74:BV75)</f>
        <v>0</v>
      </c>
      <c r="BW72" s="500">
        <f>SUM(BW74:BW75)</f>
        <v>0</v>
      </c>
      <c r="BX72" s="500">
        <f>SUM(BX74:BX75)</f>
        <v>0</v>
      </c>
      <c r="BY72" s="500">
        <f>SUM(BY74:BY75)</f>
        <v>0</v>
      </c>
      <c r="BZ72" s="500">
        <f>SUM(BZ74:BZ75)</f>
        <v>0</v>
      </c>
      <c r="CA72" s="500">
        <f>SUM(CA74:CA75)</f>
        <v>0</v>
      </c>
      <c r="CB72" s="500">
        <f>SUM(CB74:CB75)</f>
        <v>0</v>
      </c>
      <c r="CC72" s="500">
        <f>SUM(CC74:CC75)</f>
        <v>0</v>
      </c>
      <c r="CD72" s="500">
        <f>SUM(CD74:CD75)</f>
        <v>0</v>
      </c>
      <c r="CE72" s="500">
        <f>SUM(CE74:CE75)</f>
        <v>0</v>
      </c>
      <c r="CF72" s="500">
        <f>SUM(CF74:CF75)</f>
        <v>0</v>
      </c>
      <c r="CG72" s="500">
        <f>SUM(CG74:CG75)</f>
        <v>0</v>
      </c>
      <c r="CH72" s="500">
        <f>SUM(CH74:CH75)</f>
        <v>0</v>
      </c>
      <c r="CI72" s="500">
        <f>SUM(CI74:CI75)</f>
        <v>0</v>
      </c>
      <c r="CJ72" s="500">
        <f>SUM(CJ74:CJ75)</f>
        <v>0</v>
      </c>
      <c r="CK72" s="500">
        <f>SUM(CK74:CK75)</f>
        <v>0</v>
      </c>
      <c r="CL72" s="500">
        <f>SUM(CL74:CL75)</f>
        <v>0</v>
      </c>
      <c r="CM72" s="500">
        <f>SUM(CM74:CM75)</f>
        <v>0</v>
      </c>
      <c r="CN72" s="500">
        <f>SUM(CN74:CN75)</f>
        <v>0</v>
      </c>
      <c r="CO72" s="500">
        <f>SUM(CO74:CO75)</f>
        <v>0</v>
      </c>
      <c r="CP72" s="500">
        <f>SUM(CP74:CP75)</f>
        <v>0</v>
      </c>
      <c r="CQ72" s="500">
        <f>SUM(CQ74:CQ75)</f>
        <v>0</v>
      </c>
      <c r="CR72" s="500">
        <f>SUM(CR74:CR75)</f>
        <v>0</v>
      </c>
      <c r="CS72" s="500">
        <f>SUM(CS74:CS75)</f>
        <v>0</v>
      </c>
      <c r="CT72" s="500">
        <f>SUM(CT74:CT75)</f>
        <v>0</v>
      </c>
      <c r="CU72" s="500">
        <f>SUM(CU74:CU75)</f>
        <v>0</v>
      </c>
      <c r="CV72" s="500">
        <f>SUM(CV74:CV75)</f>
        <v>0</v>
      </c>
      <c r="CW72" s="500">
        <f>SUM(CW74:CW75)</f>
        <v>0</v>
      </c>
      <c r="CX72" s="500">
        <f>SUM(CX74:CX75)</f>
        <v>0</v>
      </c>
      <c r="CY72" s="500">
        <f>SUM(CY74:CY75)</f>
        <v>0</v>
      </c>
      <c r="CZ72" s="500">
        <f>SUM(CZ74:CZ75)</f>
        <v>0</v>
      </c>
      <c r="DA72" s="500">
        <f>SUM(DA74:DA75)</f>
        <v>0</v>
      </c>
      <c r="DB72" s="500">
        <f>SUM(DB74:DB75)</f>
        <v>0</v>
      </c>
      <c r="DC72" s="500">
        <f>SUM(DC74:DC75)</f>
        <v>0</v>
      </c>
      <c r="DD72" s="500">
        <f>SUM(DD74:DD75)</f>
        <v>0</v>
      </c>
      <c r="DE72" s="500">
        <f>SUM(DE74:DE75)</f>
        <v>0</v>
      </c>
      <c r="DF72" s="500">
        <f>SUM(DF74:DF75)</f>
        <v>0</v>
      </c>
      <c r="DG72" s="500">
        <f>SUM(DG74:DG75)</f>
        <v>0</v>
      </c>
      <c r="DH72" s="500">
        <f>SUM(DH74:DH75)</f>
        <v>0</v>
      </c>
      <c r="DI72" s="500">
        <f>SUM(DI74:DI75)</f>
        <v>0</v>
      </c>
      <c r="DJ72" s="500">
        <f>SUM(DJ74:DJ75)</f>
        <v>0</v>
      </c>
      <c r="DK72" s="500">
        <f>SUM(DK74:DK75)</f>
        <v>0</v>
      </c>
      <c r="DL72" s="500">
        <f>SUM(DL74:DL75)</f>
        <v>0</v>
      </c>
      <c r="DM72" s="500">
        <f>SUM(DM74:DM75)</f>
        <v>0</v>
      </c>
      <c r="DN72" s="500">
        <f>SUM(DN74:DN75)</f>
        <v>0</v>
      </c>
      <c r="DO72" s="500">
        <f>SUM(DO74:DO75)</f>
        <v>0</v>
      </c>
      <c r="DP72" s="500">
        <f>SUM(DP74:DP75)</f>
        <v>0</v>
      </c>
      <c r="DQ72" s="500">
        <f>SUM(DQ74:DQ75)</f>
        <v>0</v>
      </c>
      <c r="DR72" s="500">
        <f>SUM(DR74:DR75)</f>
        <v>0</v>
      </c>
      <c r="DS72" s="500">
        <f>SUM(DS74:DS75)</f>
        <v>0</v>
      </c>
      <c r="DT72" s="500">
        <f>SUM(DT74:DT75)</f>
        <v>0</v>
      </c>
      <c r="DU72" s="500">
        <f>SUM(DU74:DU75)</f>
        <v>0</v>
      </c>
      <c r="DV72" s="500">
        <f>SUM(DV74:DV75)</f>
        <v>0</v>
      </c>
      <c r="DW72" s="500">
        <f>SUM(DW74:DW75)</f>
        <v>0</v>
      </c>
      <c r="DX72" s="500">
        <f>SUM(DX74:DX75)</f>
        <v>0</v>
      </c>
      <c r="DY72" s="500">
        <f>SUM(DY74:DY75)</f>
        <v>0</v>
      </c>
      <c r="DZ72" s="500">
        <f>SUM(DZ74:DZ75)</f>
        <v>0</v>
      </c>
      <c r="EA72" s="500">
        <f>SUM(EA74:EA75)</f>
        <v>0</v>
      </c>
      <c r="EB72" s="500">
        <f>SUM(EB74:EB75)</f>
        <v>0</v>
      </c>
      <c r="EC72" s="500">
        <f>SUM(EC74:EC75)</f>
        <v>0</v>
      </c>
      <c r="ED72" s="500">
        <f>SUM(ED74:ED75)</f>
        <v>0</v>
      </c>
      <c r="EE72" s="500">
        <f>SUM(EE74:EE75)</f>
        <v>0</v>
      </c>
      <c r="EF72" s="500">
        <f>SUM(EF74:EF75)</f>
        <v>0</v>
      </c>
      <c r="EG72" s="500">
        <f>SUM(EG74:EG75)</f>
        <v>0</v>
      </c>
      <c r="EH72" s="500">
        <f>SUM(EH74:EH75)</f>
        <v>0</v>
      </c>
      <c r="EI72" s="500">
        <f>SUM(EI74:EI75)</f>
        <v>0</v>
      </c>
      <c r="EJ72" s="500">
        <f>SUM(EJ74:EJ75)</f>
        <v>0</v>
      </c>
      <c r="EK72" s="500">
        <f>SUM(EK74:EK75)</f>
        <v>0</v>
      </c>
      <c r="EL72" s="500">
        <f>SUM(EL74:EL75)</f>
        <v>0</v>
      </c>
      <c r="EM72" s="500">
        <f>SUM(EM74:EM75)</f>
        <v>0</v>
      </c>
      <c r="EN72" s="500">
        <f>SUM(EN74:EN75)</f>
        <v>0</v>
      </c>
      <c r="EO72" s="500">
        <f>SUM(EO74:EO75)</f>
        <v>0</v>
      </c>
      <c r="EP72" s="500">
        <f>SUM(EP74:EP75)</f>
        <v>0</v>
      </c>
      <c r="EQ72" s="500">
        <f>SUM(EQ74:EQ75)</f>
        <v>0</v>
      </c>
      <c r="ER72" s="500">
        <f>SUM(ER74:ER75)</f>
        <v>0</v>
      </c>
      <c r="ES72" s="500">
        <f>SUM(ES74:ES75)</f>
        <v>0</v>
      </c>
      <c r="ET72" s="500">
        <f>SUM(ET74:ET75)</f>
        <v>0</v>
      </c>
      <c r="EU72" s="500">
        <f>SUM(EU74:EU75)</f>
        <v>0</v>
      </c>
      <c r="EV72" s="500">
        <f>SUM(EV74:EV75)</f>
        <v>0</v>
      </c>
      <c r="EW72" s="500">
        <f>SUM(EW74:EW75)</f>
        <v>0</v>
      </c>
      <c r="EX72" s="500">
        <f>SUM(EX74:EX75)</f>
        <v>0</v>
      </c>
      <c r="EY72" s="500">
        <f>SUM(EY74:EY75)</f>
        <v>0</v>
      </c>
      <c r="EZ72" s="500">
        <f>SUM(EZ74:EZ75)</f>
        <v>0</v>
      </c>
      <c r="FA72" s="500">
        <f>SUM(FA74:FA75)</f>
        <v>0</v>
      </c>
      <c r="FB72" s="83"/>
      <c r="FE72" s="489" t="s">
        <v>918</v>
      </c>
      <c r="FK72" s="1157" cm="1" t="str">
        <f t="array" ref="FK72:FK72">OFFSET(FJ72,-1,1)</f>
        <v>0</v>
      </c>
      <c r="FL72" s="1078"/>
      <c r="FM72" s="1159"/>
      <c r="FN72" s="1159"/>
      <c r="FO72" s="1159"/>
      <c r="FP72" s="1159"/>
      <c r="FQ72" s="1159"/>
      <c r="FR72" s="1159"/>
      <c r="FS72" s="1078" t="s">
        <v>904</v>
      </c>
      <c r="FT72" s="1159"/>
      <c r="FU72" s="1159"/>
      <c r="FV72" s="1078" t="s">
        <v>449</v>
      </c>
      <c r="FW72" s="1159"/>
      <c r="FX72" s="1078" t="s">
        <v>303</v>
      </c>
      <c r="FY72" s="1078" t="s">
        <v>919</v>
      </c>
      <c r="FZ72" s="1078" t="s">
        <v>920</v>
      </c>
    </row>
    <row customHeight="1" ht="16.575" hidden="1">
      <c r="E73" s="180">
        <v>17</v>
      </c>
      <c r="F73" s="175" cm="1" t="str">
        <f t="array" ref="F73:F73">OFFSET(G73,-1,-1)</f>
        <v>0</v>
      </c>
      <c r="L73" s="175" cm="1" t="str">
        <f t="array" ref="L73:L73">OFFSET(M73,-1,-1)</f>
        <v>false</v>
      </c>
      <c r="R73" s="175" t="s">
        <v>804</v>
      </c>
      <c r="S73" s="175" cm="1" t="str">
        <f t="array" ref="S73:S73">OFFSET(T73,-1,-1)</f>
        <v>false</v>
      </c>
      <c r="T73" s="175" t="b">
        <v>0</v>
      </c>
      <c r="U73" s="753">
        <f>AND(S73,IF(ISBLANK(T73),TRUE,T73))</f>
        <v>0</v>
      </c>
      <c r="AB73" s="1607"/>
      <c r="AD73" s="491" t="str">
        <f>AD72&amp;".0"</f>
        <v>24.0</v>
      </c>
      <c r="AE73" s="1631" t="s">
        <v>822</v>
      </c>
      <c r="AF73" s="501"/>
      <c r="AG73" s="526" t="s">
        <v>917</v>
      </c>
      <c r="AH73" s="88">
        <f>AH$52*AH72/1000</f>
        <v>0</v>
      </c>
      <c r="AI73" s="88">
        <f>AI$52*AI72/1000</f>
        <v>0</v>
      </c>
      <c r="AJ73" s="88">
        <f>AJ$52*AJ72/1000</f>
        <v>0</v>
      </c>
      <c r="AK73" s="88">
        <f>AK$52*AK72/1000</f>
        <v>0</v>
      </c>
      <c r="AL73" s="499">
        <f>AM73+AN73</f>
        <v>0</v>
      </c>
      <c r="AM73" s="89">
        <f>AM$52*AM72</f>
        <v>0</v>
      </c>
      <c r="AN73" s="89">
        <f>AN$52*AN72</f>
        <v>0</v>
      </c>
      <c r="AO73" s="499">
        <f>AP73+AQ73</f>
        <v>0</v>
      </c>
      <c r="AP73" s="89">
        <f>AP$52*AP72</f>
        <v>0</v>
      </c>
      <c r="AQ73" s="89">
        <f>AQ$52*AQ72</f>
        <v>0</v>
      </c>
      <c r="AR73" s="499">
        <f>AS73+AT73</f>
        <v>0</v>
      </c>
      <c r="AS73" s="89">
        <f>AS$52*AS72</f>
        <v>0</v>
      </c>
      <c r="AT73" s="89">
        <f>AT$52*AT72</f>
        <v>0</v>
      </c>
      <c r="AU73" s="499">
        <f>AV73+AW73</f>
        <v>0</v>
      </c>
      <c r="AV73" s="89">
        <f>AV$52*AV72</f>
        <v>0</v>
      </c>
      <c r="AW73" s="89">
        <f>AW$52*AW72</f>
        <v>0</v>
      </c>
      <c r="AX73" s="499">
        <f>AY73+AZ73</f>
        <v>0</v>
      </c>
      <c r="AY73" s="89">
        <f>AY$52*AY72</f>
        <v>0</v>
      </c>
      <c r="AZ73" s="89">
        <f>AZ$52*AZ72</f>
        <v>0</v>
      </c>
      <c r="BA73" s="499">
        <f>BB73+BC73</f>
        <v>0</v>
      </c>
      <c r="BB73" s="89">
        <f>BB$52*BB72</f>
        <v>0</v>
      </c>
      <c r="BC73" s="89">
        <f>BC$52*BC72</f>
        <v>0</v>
      </c>
      <c r="BD73" s="499">
        <f>BE73+BF73</f>
        <v>0</v>
      </c>
      <c r="BE73" s="89">
        <f>BE$52*BE72</f>
        <v>0</v>
      </c>
      <c r="BF73" s="89">
        <f>BF$52*BF72</f>
        <v>0</v>
      </c>
      <c r="BG73" s="499">
        <f>BH73+BI73</f>
        <v>0</v>
      </c>
      <c r="BH73" s="89">
        <f>BH$52*BH72</f>
        <v>0</v>
      </c>
      <c r="BI73" s="89">
        <f>BI$52*BI72</f>
        <v>0</v>
      </c>
      <c r="BJ73" s="499">
        <f>BK73+BL73</f>
        <v>0</v>
      </c>
      <c r="BK73" s="89">
        <f>BK$52*BK72</f>
        <v>0</v>
      </c>
      <c r="BL73" s="89">
        <f>BL$52*BL72</f>
        <v>0</v>
      </c>
      <c r="BM73" s="499">
        <f>BN73+BO73</f>
        <v>0</v>
      </c>
      <c r="BN73" s="89">
        <f>BN$52*BN72</f>
        <v>0</v>
      </c>
      <c r="BO73" s="89">
        <f>BO$52*BO72</f>
        <v>0</v>
      </c>
      <c r="BP73" s="499">
        <f>BQ73+BR73</f>
        <v>0</v>
      </c>
      <c r="BQ73" s="89">
        <f>BQ$52*BQ72</f>
        <v>0</v>
      </c>
      <c r="BR73" s="89">
        <f>BR$52*BR72</f>
        <v>0</v>
      </c>
      <c r="BS73" s="499">
        <f>BT73+BU73</f>
        <v>0</v>
      </c>
      <c r="BT73" s="89">
        <f>BT$52*BT72</f>
        <v>0</v>
      </c>
      <c r="BU73" s="89">
        <f>BU$52*BU72</f>
        <v>0</v>
      </c>
      <c r="BV73" s="499">
        <f>BW73+BX73</f>
        <v>0</v>
      </c>
      <c r="BW73" s="89">
        <f>BW$52*BW72</f>
        <v>0</v>
      </c>
      <c r="BX73" s="89">
        <f>BX$52*BX72</f>
        <v>0</v>
      </c>
      <c r="BY73" s="499">
        <f>BZ73+CA73</f>
        <v>0</v>
      </c>
      <c r="BZ73" s="89">
        <f>BZ$52*BZ72</f>
        <v>0</v>
      </c>
      <c r="CA73" s="89">
        <f>CA$52*CA72</f>
        <v>0</v>
      </c>
      <c r="CB73" s="499">
        <f>CC73+CD73</f>
        <v>0</v>
      </c>
      <c r="CC73" s="89">
        <f>CC$52*CC72</f>
        <v>0</v>
      </c>
      <c r="CD73" s="89">
        <f>CD$52*CD72</f>
        <v>0</v>
      </c>
      <c r="CE73" s="499">
        <f>CF73+CG73</f>
        <v>0</v>
      </c>
      <c r="CF73" s="89">
        <f>CF$52*CF72</f>
        <v>0</v>
      </c>
      <c r="CG73" s="89">
        <f>CG$52*CG72</f>
        <v>0</v>
      </c>
      <c r="CH73" s="499">
        <f>CI73+CJ73</f>
        <v>0</v>
      </c>
      <c r="CI73" s="89">
        <f>CI$52*CI72</f>
        <v>0</v>
      </c>
      <c r="CJ73" s="89">
        <f>CJ$52*CJ72</f>
        <v>0</v>
      </c>
      <c r="CK73" s="499">
        <f>CL73+CM73</f>
        <v>0</v>
      </c>
      <c r="CL73" s="89">
        <f>CL$52*CL72</f>
        <v>0</v>
      </c>
      <c r="CM73" s="89">
        <f>CM$52*CM72</f>
        <v>0</v>
      </c>
      <c r="CN73" s="499">
        <f>CO73+CP73</f>
        <v>0</v>
      </c>
      <c r="CO73" s="89">
        <f>CO$52*CO72</f>
        <v>0</v>
      </c>
      <c r="CP73" s="89">
        <f>CP$52*CP72</f>
        <v>0</v>
      </c>
      <c r="CQ73" s="499">
        <f>CR73+CS73</f>
        <v>0</v>
      </c>
      <c r="CR73" s="89">
        <f>CR$52*CR72</f>
        <v>0</v>
      </c>
      <c r="CS73" s="89">
        <f>CS$52*CS72</f>
        <v>0</v>
      </c>
      <c r="CT73" s="499">
        <f>CU73+CV73</f>
        <v>0</v>
      </c>
      <c r="CU73" s="498">
        <f>CU$52*CU72</f>
        <v>0</v>
      </c>
      <c r="CV73" s="498">
        <f>CV$52*CV72</f>
        <v>0</v>
      </c>
      <c r="CW73" s="499">
        <f>CX73+CY73</f>
        <v>0</v>
      </c>
      <c r="CX73" s="89">
        <f>CX$52*CX72</f>
        <v>0</v>
      </c>
      <c r="CY73" s="89">
        <f>CY$52*CY72</f>
        <v>0</v>
      </c>
      <c r="CZ73" s="499">
        <f>DA73+DB73</f>
        <v>0</v>
      </c>
      <c r="DA73" s="89">
        <f>DA$52*DA72</f>
        <v>0</v>
      </c>
      <c r="DB73" s="89">
        <f>DB$52*DB72</f>
        <v>0</v>
      </c>
      <c r="DC73" s="499">
        <f>DD73+DE73</f>
        <v>0</v>
      </c>
      <c r="DD73" s="89">
        <f>DD$52*DD72</f>
        <v>0</v>
      </c>
      <c r="DE73" s="89">
        <f>DE$52*DE72</f>
        <v>0</v>
      </c>
      <c r="DF73" s="499">
        <f>DG73+DH73</f>
        <v>0</v>
      </c>
      <c r="DG73" s="89">
        <f>DG$52*DG72</f>
        <v>0</v>
      </c>
      <c r="DH73" s="89">
        <f>DH$52*DH72</f>
        <v>0</v>
      </c>
      <c r="DI73" s="499">
        <f>DJ73+DK73</f>
        <v>0</v>
      </c>
      <c r="DJ73" s="89">
        <f>DJ$52*DJ72</f>
        <v>0</v>
      </c>
      <c r="DK73" s="89">
        <f>DK$52*DK72</f>
        <v>0</v>
      </c>
      <c r="DL73" s="499">
        <f>DM73+DN73</f>
        <v>0</v>
      </c>
      <c r="DM73" s="89">
        <f>DM$52*DM72</f>
        <v>0</v>
      </c>
      <c r="DN73" s="89">
        <f>DN$52*DN72</f>
        <v>0</v>
      </c>
      <c r="DO73" s="499">
        <f>DP73+DQ73</f>
        <v>0</v>
      </c>
      <c r="DP73" s="89">
        <f>DP$52*DP72</f>
        <v>0</v>
      </c>
      <c r="DQ73" s="89">
        <f>DQ$52*DQ72</f>
        <v>0</v>
      </c>
      <c r="DR73" s="499">
        <f>DS73+DT73</f>
        <v>0</v>
      </c>
      <c r="DS73" s="89">
        <f>DS$52*DS72</f>
        <v>0</v>
      </c>
      <c r="DT73" s="89">
        <f>DT$52*DT72</f>
        <v>0</v>
      </c>
      <c r="DU73" s="499">
        <f>DV73+DW73</f>
        <v>0</v>
      </c>
      <c r="DV73" s="89">
        <f>DV$52*DV72</f>
        <v>0</v>
      </c>
      <c r="DW73" s="89">
        <f>DW$52*DW72</f>
        <v>0</v>
      </c>
      <c r="DX73" s="499">
        <f>DY73+DZ73</f>
        <v>0</v>
      </c>
      <c r="DY73" s="89">
        <f>DY$52*DY72</f>
        <v>0</v>
      </c>
      <c r="DZ73" s="89">
        <f>DZ$52*DZ72</f>
        <v>0</v>
      </c>
      <c r="EA73" s="499">
        <f>EB73+EC73</f>
        <v>0</v>
      </c>
      <c r="EB73" s="89">
        <f>EB$52*EB72</f>
        <v>0</v>
      </c>
      <c r="EC73" s="89">
        <f>EC$52*EC72</f>
        <v>0</v>
      </c>
      <c r="ED73" s="499">
        <f>EE73+EF73</f>
        <v>0</v>
      </c>
      <c r="EE73" s="89">
        <f>EE$52*EE72</f>
        <v>0</v>
      </c>
      <c r="EF73" s="89">
        <f>EF$52*EF72</f>
        <v>0</v>
      </c>
      <c r="EG73" s="499">
        <f>EH73+EI73</f>
        <v>0</v>
      </c>
      <c r="EH73" s="89">
        <f>EH$52*EH72</f>
        <v>0</v>
      </c>
      <c r="EI73" s="89">
        <f>EI$52*EI72</f>
        <v>0</v>
      </c>
      <c r="EJ73" s="499">
        <f>EK73+EL73</f>
        <v>0</v>
      </c>
      <c r="EK73" s="89">
        <f>EK$52*EK72</f>
        <v>0</v>
      </c>
      <c r="EL73" s="89">
        <f>EL$52*EL72</f>
        <v>0</v>
      </c>
      <c r="EM73" s="499">
        <f>EN73+EO73</f>
        <v>0</v>
      </c>
      <c r="EN73" s="89">
        <f>EN$52*EN72</f>
        <v>0</v>
      </c>
      <c r="EO73" s="89">
        <f>EO$52*EO72</f>
        <v>0</v>
      </c>
      <c r="EP73" s="499">
        <f>EQ73+ER73</f>
        <v>0</v>
      </c>
      <c r="EQ73" s="89">
        <f>EQ$52*EQ72</f>
        <v>0</v>
      </c>
      <c r="ER73" s="89">
        <f>ER$52*ER72</f>
        <v>0</v>
      </c>
      <c r="ES73" s="499">
        <f>ET73+EU73</f>
        <v>0</v>
      </c>
      <c r="ET73" s="89">
        <f>ET$52*ET72</f>
        <v>0</v>
      </c>
      <c r="EU73" s="89">
        <f>EU$52*EU72</f>
        <v>0</v>
      </c>
      <c r="EV73" s="499">
        <f>EW73+EX73</f>
        <v>0</v>
      </c>
      <c r="EW73" s="89">
        <f>EW$52*EW72</f>
        <v>0</v>
      </c>
      <c r="EX73" s="89">
        <f>EX$52*EX72</f>
        <v>0</v>
      </c>
      <c r="EY73" s="499">
        <f>EZ73+FA73</f>
        <v>0</v>
      </c>
      <c r="EZ73" s="89">
        <f>EZ$52*EZ72</f>
        <v>0</v>
      </c>
      <c r="FA73" s="89">
        <f>FA$52*FA72</f>
        <v>0</v>
      </c>
      <c r="FB73" s="83"/>
      <c r="FE73" s="489" t="s">
        <v>921</v>
      </c>
      <c r="FK73" s="1157" cm="1" t="str">
        <f t="array" ref="FK73:FK73">OFFSET(FJ73,-1,1)</f>
        <v>0</v>
      </c>
      <c r="FL73" s="1159"/>
      <c r="FM73" s="1078" t="s">
        <v>824</v>
      </c>
      <c r="FN73" s="1159"/>
      <c r="FO73" s="1159"/>
      <c r="FP73" s="1159"/>
      <c r="FQ73" s="1159"/>
      <c r="FR73" s="1159"/>
      <c r="FS73" s="1078" t="s">
        <v>904</v>
      </c>
      <c r="FT73" s="1159"/>
      <c r="FU73" s="1159"/>
      <c r="FV73" s="1159"/>
      <c r="FW73" s="1159"/>
      <c r="FX73" s="1078" t="s">
        <v>303</v>
      </c>
      <c r="FY73" s="1078" t="s">
        <v>919</v>
      </c>
      <c r="FZ73" s="1078" t="s">
        <v>920</v>
      </c>
    </row>
    <row customHeight="1" ht="16.575" hidden="1">
      <c r="E74" s="180">
        <v>17</v>
      </c>
      <c r="F74" s="175" cm="1" t="str">
        <f t="array" ref="F74:F74">OFFSET(G74,-1,-1)</f>
        <v>0</v>
      </c>
      <c r="L74" s="175" cm="1" t="str">
        <f t="array" ref="L74:L74">OFFSET(M74,-1,-1)</f>
        <v>false</v>
      </c>
      <c r="S74" s="175" cm="1" t="str">
        <f t="array" ref="S74:S74">OFFSET(T74,-1,-1)</f>
        <v>false</v>
      </c>
      <c r="T74" s="175">
        <f>AD74&lt;&gt;"24.0"</f>
        <v>0</v>
      </c>
      <c r="U74" s="753">
        <f>AND(S74,IF(ISBLANK(T74),TRUE,T74))</f>
        <v>0</v>
      </c>
      <c r="X74" s="175" t="s">
        <v>189</v>
      </c>
      <c r="AB74" s="1607"/>
      <c r="AD74" s="491" t="s">
        <v>922</v>
      </c>
      <c r="AE74" s="514"/>
      <c r="AF74" s="515"/>
      <c r="AG74" s="526" t="s">
        <v>917</v>
      </c>
      <c r="AH74" s="88"/>
      <c r="AI74" s="89"/>
      <c r="AJ74" s="89"/>
      <c r="AK74" s="89"/>
      <c r="AL74" s="499">
        <f>AM74+AN74</f>
        <v>0</v>
      </c>
      <c r="AM74" s="89">
        <f>AM70*AM64/1000</f>
        <v>0</v>
      </c>
      <c r="AN74" s="89">
        <f>AN70*AN64/1000</f>
        <v>0</v>
      </c>
      <c r="AO74" s="499">
        <f>AP74+AQ74</f>
        <v>0</v>
      </c>
      <c r="AP74" s="89">
        <f>AP70*AP64/1000</f>
        <v>0</v>
      </c>
      <c r="AQ74" s="89">
        <f>AQ70*AQ64/1000</f>
        <v>0</v>
      </c>
      <c r="AR74" s="499">
        <f>AS74+AT74</f>
        <v>0</v>
      </c>
      <c r="AS74" s="89">
        <f>AS70*AS64/1000</f>
        <v>0</v>
      </c>
      <c r="AT74" s="89">
        <f>AT70*AT64/1000</f>
        <v>0</v>
      </c>
      <c r="AU74" s="499">
        <f>AV74+AW74</f>
        <v>0</v>
      </c>
      <c r="AV74" s="89">
        <f>AV70*AV64/1000</f>
        <v>0</v>
      </c>
      <c r="AW74" s="89">
        <f>AW70*AW64/1000</f>
        <v>0</v>
      </c>
      <c r="AX74" s="499">
        <f>AY74+AZ74</f>
        <v>0</v>
      </c>
      <c r="AY74" s="89">
        <f>AY70*AY64/1000</f>
        <v>0</v>
      </c>
      <c r="AZ74" s="89">
        <f>AZ70*AZ64/1000</f>
        <v>0</v>
      </c>
      <c r="BA74" s="499">
        <f>BB74+BC74</f>
        <v>0</v>
      </c>
      <c r="BB74" s="89">
        <f>BB70*BB64/1000</f>
        <v>0</v>
      </c>
      <c r="BC74" s="89">
        <f>BC70*BC64/1000</f>
        <v>0</v>
      </c>
      <c r="BD74" s="499">
        <f>BE74+BF74</f>
        <v>0</v>
      </c>
      <c r="BE74" s="89">
        <f>BE70*BE64/1000</f>
        <v>0</v>
      </c>
      <c r="BF74" s="89">
        <f>BF70*BF64/1000</f>
        <v>0</v>
      </c>
      <c r="BG74" s="499">
        <f>BH74+BI74</f>
        <v>0</v>
      </c>
      <c r="BH74" s="89">
        <f>BH70*BH64/1000</f>
        <v>0</v>
      </c>
      <c r="BI74" s="89">
        <f>BI70*BI64/1000</f>
        <v>0</v>
      </c>
      <c r="BJ74" s="499">
        <f>BK74+BL74</f>
        <v>0</v>
      </c>
      <c r="BK74" s="89">
        <f>BK70*BK64/1000</f>
        <v>0</v>
      </c>
      <c r="BL74" s="89">
        <f>BL70*BL64/1000</f>
        <v>0</v>
      </c>
      <c r="BM74" s="499">
        <f>BN74+BO74</f>
        <v>0</v>
      </c>
      <c r="BN74" s="89">
        <f>BN70*BN64/1000</f>
        <v>0</v>
      </c>
      <c r="BO74" s="89">
        <f>BO70*BO64/1000</f>
        <v>0</v>
      </c>
      <c r="BP74" s="499">
        <f>BQ74+BR74</f>
        <v>0</v>
      </c>
      <c r="BQ74" s="89">
        <f>BQ70*BQ64/1000</f>
        <v>0</v>
      </c>
      <c r="BR74" s="89">
        <f>BR70*BR64/1000</f>
        <v>0</v>
      </c>
      <c r="BS74" s="499">
        <f>BT74+BU74</f>
        <v>0</v>
      </c>
      <c r="BT74" s="89">
        <f>BT70*BT64/1000</f>
        <v>0</v>
      </c>
      <c r="BU74" s="89">
        <f>BU70*BU64/1000</f>
        <v>0</v>
      </c>
      <c r="BV74" s="499">
        <f>BW74+BX74</f>
        <v>0</v>
      </c>
      <c r="BW74" s="89">
        <f>BW70*BW64/1000</f>
        <v>0</v>
      </c>
      <c r="BX74" s="89">
        <f>BX70*BX64/1000</f>
        <v>0</v>
      </c>
      <c r="BY74" s="499">
        <f>BZ74+CA74</f>
        <v>0</v>
      </c>
      <c r="BZ74" s="89">
        <f>BZ70*BZ64/1000</f>
        <v>0</v>
      </c>
      <c r="CA74" s="89">
        <f>CA70*CA64/1000</f>
        <v>0</v>
      </c>
      <c r="CB74" s="499">
        <f>CC74+CD74</f>
        <v>0</v>
      </c>
      <c r="CC74" s="89">
        <f>CC70*CC64/1000</f>
        <v>0</v>
      </c>
      <c r="CD74" s="89">
        <f>CD70*CD64/1000</f>
        <v>0</v>
      </c>
      <c r="CE74" s="499">
        <f>CF74+CG74</f>
        <v>0</v>
      </c>
      <c r="CF74" s="89">
        <f>CF70*CF64/1000</f>
        <v>0</v>
      </c>
      <c r="CG74" s="89">
        <f>CG70*CG64/1000</f>
        <v>0</v>
      </c>
      <c r="CH74" s="499">
        <f>CI74+CJ74</f>
        <v>0</v>
      </c>
      <c r="CI74" s="89">
        <f>CI70*CI64/1000</f>
        <v>0</v>
      </c>
      <c r="CJ74" s="89">
        <f>CJ70*CJ64/1000</f>
        <v>0</v>
      </c>
      <c r="CK74" s="499">
        <f>CL74+CM74</f>
        <v>0</v>
      </c>
      <c r="CL74" s="89">
        <f>CL70*CL64/1000</f>
        <v>0</v>
      </c>
      <c r="CM74" s="89">
        <f>CM70*CM64/1000</f>
        <v>0</v>
      </c>
      <c r="CN74" s="499">
        <f>CO74+CP74</f>
        <v>0</v>
      </c>
      <c r="CO74" s="89">
        <f>CO70*CO64/1000</f>
        <v>0</v>
      </c>
      <c r="CP74" s="89">
        <f>CP70*CP64/1000</f>
        <v>0</v>
      </c>
      <c r="CQ74" s="499">
        <f>CR74+CS74</f>
        <v>0</v>
      </c>
      <c r="CR74" s="89">
        <f>CR70*CR64/1000</f>
        <v>0</v>
      </c>
      <c r="CS74" s="89">
        <f>CS70*CS64/1000</f>
        <v>0</v>
      </c>
      <c r="CT74" s="499">
        <f>CU74+CV74</f>
        <v>0</v>
      </c>
      <c r="CU74" s="498">
        <f>CU70*CU64/1000</f>
        <v>0</v>
      </c>
      <c r="CV74" s="498">
        <f>CV70*CV64/1000</f>
        <v>0</v>
      </c>
      <c r="CW74" s="499">
        <f>CX74+CY74</f>
        <v>0</v>
      </c>
      <c r="CX74" s="89">
        <f>CX70*CX64/1000</f>
        <v>0</v>
      </c>
      <c r="CY74" s="89">
        <f>CY70*CY64/1000</f>
        <v>0</v>
      </c>
      <c r="CZ74" s="499">
        <f>DA74+DB74</f>
        <v>0</v>
      </c>
      <c r="DA74" s="89">
        <f>DA70*DA64/1000</f>
        <v>0</v>
      </c>
      <c r="DB74" s="89">
        <f>DB70*DB64/1000</f>
        <v>0</v>
      </c>
      <c r="DC74" s="499">
        <f>DD74+DE74</f>
        <v>0</v>
      </c>
      <c r="DD74" s="89">
        <f>DD70*DD64/1000</f>
        <v>0</v>
      </c>
      <c r="DE74" s="89">
        <f>DE70*DE64/1000</f>
        <v>0</v>
      </c>
      <c r="DF74" s="499">
        <f>DG74+DH74</f>
        <v>0</v>
      </c>
      <c r="DG74" s="89">
        <f>DG70*DG64/1000</f>
        <v>0</v>
      </c>
      <c r="DH74" s="89">
        <f>DH70*DH64/1000</f>
        <v>0</v>
      </c>
      <c r="DI74" s="499">
        <f>DJ74+DK74</f>
        <v>0</v>
      </c>
      <c r="DJ74" s="89">
        <f>DJ70*DJ64/1000</f>
        <v>0</v>
      </c>
      <c r="DK74" s="89">
        <f>DK70*DK64/1000</f>
        <v>0</v>
      </c>
      <c r="DL74" s="499">
        <f>DM74+DN74</f>
        <v>0</v>
      </c>
      <c r="DM74" s="89">
        <f>DM70*DM64/1000</f>
        <v>0</v>
      </c>
      <c r="DN74" s="89">
        <f>DN70*DN64/1000</f>
        <v>0</v>
      </c>
      <c r="DO74" s="499">
        <f>DP74+DQ74</f>
        <v>0</v>
      </c>
      <c r="DP74" s="89">
        <f>DP70*DP64/1000</f>
        <v>0</v>
      </c>
      <c r="DQ74" s="89">
        <f>DQ70*DQ64/1000</f>
        <v>0</v>
      </c>
      <c r="DR74" s="499">
        <f>DS74+DT74</f>
        <v>0</v>
      </c>
      <c r="DS74" s="89">
        <f>DS70*DS64/1000</f>
        <v>0</v>
      </c>
      <c r="DT74" s="89">
        <f>DT70*DT64/1000</f>
        <v>0</v>
      </c>
      <c r="DU74" s="499">
        <f>DV74+DW74</f>
        <v>0</v>
      </c>
      <c r="DV74" s="89">
        <f>DV70*DV64/1000</f>
        <v>0</v>
      </c>
      <c r="DW74" s="89">
        <f>DW70*DW64/1000</f>
        <v>0</v>
      </c>
      <c r="DX74" s="499">
        <f>DY74+DZ74</f>
        <v>0</v>
      </c>
      <c r="DY74" s="89">
        <f>DY70*DY64/1000</f>
        <v>0</v>
      </c>
      <c r="DZ74" s="89">
        <f>DZ70*DZ64/1000</f>
        <v>0</v>
      </c>
      <c r="EA74" s="499">
        <f>EB74+EC74</f>
        <v>0</v>
      </c>
      <c r="EB74" s="89">
        <f>EB70*EB64/1000</f>
        <v>0</v>
      </c>
      <c r="EC74" s="89">
        <f>EC70*EC64/1000</f>
        <v>0</v>
      </c>
      <c r="ED74" s="499">
        <f>EE74+EF74</f>
        <v>0</v>
      </c>
      <c r="EE74" s="89">
        <f>EE70*EE64/1000</f>
        <v>0</v>
      </c>
      <c r="EF74" s="89">
        <f>EF70*EF64/1000</f>
        <v>0</v>
      </c>
      <c r="EG74" s="499">
        <f>EH74+EI74</f>
        <v>0</v>
      </c>
      <c r="EH74" s="89">
        <f>EH70*EH64/1000</f>
        <v>0</v>
      </c>
      <c r="EI74" s="89">
        <f>EI70*EI64/1000</f>
        <v>0</v>
      </c>
      <c r="EJ74" s="499">
        <f>EK74+EL74</f>
        <v>0</v>
      </c>
      <c r="EK74" s="89">
        <f>EK70*EK64/1000</f>
        <v>0</v>
      </c>
      <c r="EL74" s="89">
        <f>EL70*EL64/1000</f>
        <v>0</v>
      </c>
      <c r="EM74" s="499">
        <f>EN74+EO74</f>
        <v>0</v>
      </c>
      <c r="EN74" s="89">
        <f>EN70*EN64/1000</f>
        <v>0</v>
      </c>
      <c r="EO74" s="89">
        <f>EO70*EO64/1000</f>
        <v>0</v>
      </c>
      <c r="EP74" s="499">
        <f>EQ74+ER74</f>
        <v>0</v>
      </c>
      <c r="EQ74" s="89">
        <f>EQ70*EQ64/1000</f>
        <v>0</v>
      </c>
      <c r="ER74" s="89">
        <f>ER70*ER64/1000</f>
        <v>0</v>
      </c>
      <c r="ES74" s="499">
        <f>ET74+EU74</f>
        <v>0</v>
      </c>
      <c r="ET74" s="89">
        <f>ET70*ET64/1000</f>
        <v>0</v>
      </c>
      <c r="EU74" s="89">
        <f>EU70*EU64/1000</f>
        <v>0</v>
      </c>
      <c r="EV74" s="499">
        <f>EW74+EX74</f>
        <v>0</v>
      </c>
      <c r="EW74" s="89">
        <f>EW70*EW64/1000</f>
        <v>0</v>
      </c>
      <c r="EX74" s="89">
        <f>EX70*EX64/1000</f>
        <v>0</v>
      </c>
      <c r="EY74" s="499">
        <f>EZ74+FA74</f>
        <v>0</v>
      </c>
      <c r="EZ74" s="89">
        <f>EZ70*EZ64/1000</f>
        <v>0</v>
      </c>
      <c r="FA74" s="89">
        <f>FA70*FA64/1000</f>
        <v>0</v>
      </c>
      <c r="FB74" s="83"/>
      <c r="FE74" s="489" t="s">
        <v>921</v>
      </c>
      <c r="FF74" s="648" t="s">
        <v>890</v>
      </c>
      <c r="FG74" s="648" cm="1" t="str">
        <f t="array" ref="FG74:FG74">AE74</f>
        <v>0</v>
      </c>
      <c r="FH74" s="648" cm="1" t="str">
        <f t="array" ref="FH74:FH74">AF74</f>
        <v>0</v>
      </c>
      <c r="FK74" s="1157" cm="1" t="str">
        <f t="array" ref="FK74:FK74">OFFSET(FJ74,-1,1)</f>
        <v>0</v>
      </c>
      <c r="FL74" s="1159"/>
      <c r="FM74" s="1159"/>
      <c r="FN74" s="1159"/>
      <c r="FO74" s="1159"/>
      <c r="FP74" s="1159"/>
      <c r="FQ74" s="1159"/>
      <c r="FR74" s="1159"/>
      <c r="FS74" s="1159" t="s">
        <v>904</v>
      </c>
      <c r="FT74" s="1159"/>
      <c r="FU74" s="1159"/>
      <c r="FV74" s="1159" t="s">
        <v>883</v>
      </c>
      <c r="FW74" s="1078" t="str">
        <f>$AE74&amp;"|"&amp;$AF74</f>
        <v>|</v>
      </c>
      <c r="FX74" s="1159" t="s">
        <v>303</v>
      </c>
      <c r="FY74" s="1159" t="s">
        <v>919</v>
      </c>
      <c r="FZ74" s="1159" t="s">
        <v>920</v>
      </c>
    </row>
    <row customHeight="1" ht="17.25" hidden="1">
      <c r="E75" s="965">
        <v>0</v>
      </c>
      <c r="F75" s="175" cm="1" t="str">
        <f t="array" ref="F75:F75">OFFSET(G75,-1,-1)</f>
        <v>0</v>
      </c>
      <c r="L75" s="175" cm="1" t="str">
        <f t="array" ref="L75:L75">OFFSET(M75,-1,-1)</f>
        <v>false</v>
      </c>
      <c r="S75" s="175" cm="1" t="str">
        <f t="array" ref="S75:S75">OFFSET(T75,-1,-1)</f>
        <v>false</v>
      </c>
      <c r="U75" s="753">
        <f>AND(S75,IF(ISBLANK(T75),TRUE,T75))</f>
        <v>0</v>
      </c>
      <c r="X75" s="980" t="str">
        <f>"{                  
         funcDyn: 'msg1',
         blok: 'blok_2',
         wsCross: 'Топливо 4.4',
         linkFormula: 'AE-AE#AF-AF',
         levelDyn: "&amp;Y28&amp;"
}"</f>
        <v>{                  
         funcDyn: 'msg1',
         blok: 'blok_2',
         wsCross: 'Топливо 4.4',
         linkFormula: 'AE-AE#AF-AF',
         levelDyn: 0
}</v>
      </c>
      <c r="AB75" s="1607"/>
      <c r="AD75" s="517"/>
      <c r="AE75" s="518" t="s">
        <v>191</v>
      </c>
      <c r="AF75" s="519"/>
      <c r="AG75" s="470"/>
      <c r="AH75" s="524"/>
      <c r="AI75" s="525"/>
      <c r="AJ75" s="525"/>
      <c r="AK75" s="525"/>
      <c r="AL75" s="525"/>
      <c r="AM75" s="525"/>
      <c r="AN75" s="525"/>
      <c r="AO75" s="525"/>
      <c r="AP75" s="525"/>
      <c r="AQ75" s="525"/>
      <c r="AR75" s="525"/>
      <c r="AS75" s="525"/>
      <c r="AT75" s="525"/>
      <c r="AU75" s="525"/>
      <c r="AV75" s="525"/>
      <c r="AW75" s="525"/>
      <c r="AX75" s="525"/>
      <c r="AY75" s="525"/>
      <c r="AZ75" s="525"/>
      <c r="BA75" s="525"/>
      <c r="BB75" s="525"/>
      <c r="BC75" s="525"/>
      <c r="BD75" s="525"/>
      <c r="BE75" s="525"/>
      <c r="BF75" s="525"/>
      <c r="BG75" s="525"/>
      <c r="BH75" s="525"/>
      <c r="BI75" s="525"/>
      <c r="BJ75" s="525"/>
      <c r="BK75" s="525"/>
      <c r="BL75" s="525"/>
      <c r="BM75" s="525"/>
      <c r="BN75" s="525"/>
      <c r="BO75" s="525"/>
      <c r="BP75" s="525"/>
      <c r="BQ75" s="525"/>
      <c r="BR75" s="525"/>
      <c r="BS75" s="525"/>
      <c r="BT75" s="525"/>
      <c r="BU75" s="525"/>
      <c r="BV75" s="525"/>
      <c r="BW75" s="525"/>
      <c r="BX75" s="525"/>
      <c r="BY75" s="525"/>
      <c r="BZ75" s="525"/>
      <c r="CA75" s="525"/>
      <c r="CB75" s="525"/>
      <c r="CC75" s="525"/>
      <c r="CD75" s="525"/>
      <c r="CE75" s="525"/>
      <c r="CF75" s="525"/>
      <c r="CG75" s="525"/>
      <c r="CH75" s="525"/>
      <c r="CI75" s="525"/>
      <c r="CJ75" s="525"/>
      <c r="CK75" s="525"/>
      <c r="CL75" s="525"/>
      <c r="CM75" s="525"/>
      <c r="CN75" s="525"/>
      <c r="CO75" s="525"/>
      <c r="CP75" s="525"/>
      <c r="CQ75" s="525"/>
      <c r="CR75" s="525"/>
      <c r="CS75" s="525"/>
      <c r="CT75" s="525"/>
      <c r="CU75" s="525"/>
      <c r="CV75" s="525"/>
      <c r="CW75" s="525"/>
      <c r="CX75" s="525"/>
      <c r="CY75" s="525"/>
      <c r="CZ75" s="525"/>
      <c r="DA75" s="525"/>
      <c r="DB75" s="525"/>
      <c r="DC75" s="525"/>
      <c r="DD75" s="525"/>
      <c r="DE75" s="525"/>
      <c r="DF75" s="525"/>
      <c r="DG75" s="525"/>
      <c r="DH75" s="525"/>
      <c r="DI75" s="525"/>
      <c r="DJ75" s="525"/>
      <c r="DK75" s="525"/>
      <c r="DL75" s="525"/>
      <c r="DM75" s="525"/>
      <c r="DN75" s="525"/>
      <c r="DO75" s="525"/>
      <c r="DP75" s="525"/>
      <c r="DQ75" s="525"/>
      <c r="DR75" s="525"/>
      <c r="DS75" s="525"/>
      <c r="DT75" s="525"/>
      <c r="DU75" s="525"/>
      <c r="DV75" s="525"/>
      <c r="DW75" s="525"/>
      <c r="DX75" s="525"/>
      <c r="DY75" s="525"/>
      <c r="DZ75" s="525"/>
      <c r="EA75" s="525"/>
      <c r="EB75" s="525"/>
      <c r="EC75" s="525"/>
      <c r="ED75" s="525"/>
      <c r="EE75" s="525"/>
      <c r="EF75" s="525"/>
      <c r="EG75" s="525"/>
      <c r="EH75" s="525"/>
      <c r="EI75" s="525"/>
      <c r="EJ75" s="525"/>
      <c r="EK75" s="525"/>
      <c r="EL75" s="525"/>
      <c r="EM75" s="525"/>
      <c r="EN75" s="525"/>
      <c r="EO75" s="525"/>
      <c r="EP75" s="525"/>
      <c r="EQ75" s="525"/>
      <c r="ER75" s="525"/>
      <c r="ES75" s="525"/>
      <c r="ET75" s="525"/>
      <c r="EU75" s="525"/>
      <c r="EV75" s="525"/>
      <c r="EW75" s="525"/>
      <c r="EX75" s="525"/>
      <c r="EY75" s="525"/>
      <c r="EZ75" s="525"/>
      <c r="FA75" s="525"/>
      <c r="FB75" s="93"/>
      <c r="FE75" s="489" t="str">
        <f>IF(AND(ISNUMBER(VALUE(TRIM(SUBSTITUTE(AD75,".","")))),TRIM(SUBSTITUTE(AD75,".",""))&lt;&gt;""),"P"&amp;SUBSTITUTE(AD75,".",""),"")</f>
        <v/>
      </c>
      <c r="FK75" s="1157" cm="1" t="str">
        <f t="array" ref="FK75:FK75">OFFSET(FJ75,-1,1)</f>
        <v>0</v>
      </c>
      <c r="FL75" s="1159"/>
      <c r="FM75" s="1159"/>
      <c r="FN75" s="1159"/>
      <c r="FO75" s="1159"/>
      <c r="FP75" s="1159"/>
      <c r="FQ75" s="1159"/>
      <c r="FR75" s="1159"/>
      <c r="FS75" s="1159"/>
      <c r="FT75" s="1159"/>
      <c r="FU75" s="1159"/>
      <c r="FV75" s="1159"/>
      <c r="FW75" s="1159"/>
      <c r="FX75" s="1159"/>
      <c r="FY75" s="1159"/>
      <c r="FZ75" s="1159"/>
    </row>
    <row customHeight="1" ht="21.450000000000003" hidden="1">
      <c r="E76" s="180">
        <v>22</v>
      </c>
      <c r="F76" s="175" cm="1" t="str">
        <f t="array" ref="F76:F76">OFFSET(G76,-1,-1)</f>
        <v>0</v>
      </c>
      <c r="L76" s="175" cm="1" t="str">
        <f t="array" ref="L76:L76">OFFSET(M76,-1,-1)</f>
        <v>false</v>
      </c>
      <c r="R76" s="175" t="s">
        <v>804</v>
      </c>
      <c r="S76" s="175" cm="1" t="str">
        <f t="array" ref="S76:S76">OFFSET(T76,-1,-1)</f>
        <v>false</v>
      </c>
      <c r="T76" s="175" cm="1" t="str">
        <f t="array" ref="T76:T76">L76</f>
        <v>false</v>
      </c>
      <c r="U76" s="753">
        <f>AND(S76,IF(ISBLANK(T76),TRUE,T76))</f>
        <v>0</v>
      </c>
      <c r="AB76" s="1607"/>
      <c r="AD76" s="491">
        <v>25</v>
      </c>
      <c r="AE76" s="1629" t="s">
        <v>923</v>
      </c>
      <c r="AF76" s="529"/>
      <c r="AG76" s="526" t="s">
        <v>917</v>
      </c>
      <c r="AH76" s="500">
        <f>SUM(AH77:AH78)</f>
        <v>0</v>
      </c>
      <c r="AI76" s="500">
        <f>SUM(AI77:AI78)</f>
        <v>0</v>
      </c>
      <c r="AJ76" s="500">
        <f>SUM(AJ77:AJ78)</f>
        <v>0</v>
      </c>
      <c r="AK76" s="500">
        <f>SUM(AK77:AK78)</f>
        <v>0</v>
      </c>
      <c r="AL76" s="500">
        <f>SUM(AL77:AL78)</f>
        <v>0</v>
      </c>
      <c r="AM76" s="500">
        <f>SUM(AM77:AM78)</f>
        <v>0</v>
      </c>
      <c r="AN76" s="500">
        <f>SUM(AN77:AN78)</f>
        <v>0</v>
      </c>
      <c r="AO76" s="500">
        <f>SUM(AO77:AO78)</f>
        <v>0</v>
      </c>
      <c r="AP76" s="500">
        <f>SUM(AP77:AP78)</f>
        <v>0</v>
      </c>
      <c r="AQ76" s="500">
        <f>SUM(AQ77:AQ78)</f>
        <v>0</v>
      </c>
      <c r="AR76" s="500">
        <f>SUM(AR77:AR78)</f>
        <v>0</v>
      </c>
      <c r="AS76" s="500">
        <f>SUM(AS77:AS78)</f>
        <v>0</v>
      </c>
      <c r="AT76" s="500">
        <f>SUM(AT77:AT78)</f>
        <v>0</v>
      </c>
      <c r="AU76" s="500">
        <f>SUM(AU77:AU78)</f>
        <v>0</v>
      </c>
      <c r="AV76" s="500">
        <f>SUM(AV77:AV78)</f>
        <v>0</v>
      </c>
      <c r="AW76" s="500">
        <f>SUM(AW77:AW78)</f>
        <v>0</v>
      </c>
      <c r="AX76" s="500">
        <f>SUM(AX77:AX78)</f>
        <v>0</v>
      </c>
      <c r="AY76" s="500">
        <f>SUM(AY77:AY78)</f>
        <v>0</v>
      </c>
      <c r="AZ76" s="500">
        <f>SUM(AZ77:AZ78)</f>
        <v>0</v>
      </c>
      <c r="BA76" s="500">
        <f>SUM(BA77:BA78)</f>
        <v>0</v>
      </c>
      <c r="BB76" s="500">
        <f>SUM(BB77:BB78)</f>
        <v>0</v>
      </c>
      <c r="BC76" s="500">
        <f>SUM(BC77:BC78)</f>
        <v>0</v>
      </c>
      <c r="BD76" s="500">
        <f>SUM(BD77:BD78)</f>
        <v>0</v>
      </c>
      <c r="BE76" s="500">
        <f>SUM(BE77:BE78)</f>
        <v>0</v>
      </c>
      <c r="BF76" s="500">
        <f>SUM(BF77:BF78)</f>
        <v>0</v>
      </c>
      <c r="BG76" s="500">
        <f>SUM(BG77:BG78)</f>
        <v>0</v>
      </c>
      <c r="BH76" s="500">
        <f>SUM(BH77:BH78)</f>
        <v>0</v>
      </c>
      <c r="BI76" s="500">
        <f>SUM(BI77:BI78)</f>
        <v>0</v>
      </c>
      <c r="BJ76" s="500">
        <f>SUM(BJ77:BJ78)</f>
        <v>0</v>
      </c>
      <c r="BK76" s="500">
        <f>SUM(BK77:BK78)</f>
        <v>0</v>
      </c>
      <c r="BL76" s="500">
        <f>SUM(BL77:BL78)</f>
        <v>0</v>
      </c>
      <c r="BM76" s="500">
        <f>SUM(BM77:BM78)</f>
        <v>0</v>
      </c>
      <c r="BN76" s="500">
        <f>SUM(BN77:BN78)</f>
        <v>0</v>
      </c>
      <c r="BO76" s="500">
        <f>SUM(BO77:BO78)</f>
        <v>0</v>
      </c>
      <c r="BP76" s="500">
        <f>SUM(BP77:BP78)</f>
        <v>0</v>
      </c>
      <c r="BQ76" s="500">
        <f>SUM(BQ77:BQ78)</f>
        <v>0</v>
      </c>
      <c r="BR76" s="500">
        <f>SUM(BR77:BR78)</f>
        <v>0</v>
      </c>
      <c r="BS76" s="500">
        <f>SUM(BS77:BS78)</f>
        <v>0</v>
      </c>
      <c r="BT76" s="500">
        <f>SUM(BT77:BT78)</f>
        <v>0</v>
      </c>
      <c r="BU76" s="500">
        <f>SUM(BU77:BU78)</f>
        <v>0</v>
      </c>
      <c r="BV76" s="500">
        <f>SUM(BV77:BV78)</f>
        <v>0</v>
      </c>
      <c r="BW76" s="500">
        <f>SUM(BW77:BW78)</f>
        <v>0</v>
      </c>
      <c r="BX76" s="500">
        <f>SUM(BX77:BX78)</f>
        <v>0</v>
      </c>
      <c r="BY76" s="500">
        <f>SUM(BY77:BY78)</f>
        <v>0</v>
      </c>
      <c r="BZ76" s="500">
        <f>SUM(BZ77:BZ78)</f>
        <v>0</v>
      </c>
      <c r="CA76" s="500">
        <f>SUM(CA77:CA78)</f>
        <v>0</v>
      </c>
      <c r="CB76" s="500">
        <f>SUM(CB77:CB78)</f>
        <v>0</v>
      </c>
      <c r="CC76" s="500">
        <f>SUM(CC77:CC78)</f>
        <v>0</v>
      </c>
      <c r="CD76" s="500">
        <f>SUM(CD77:CD78)</f>
        <v>0</v>
      </c>
      <c r="CE76" s="500">
        <f>SUM(CE77:CE78)</f>
        <v>0</v>
      </c>
      <c r="CF76" s="500">
        <f>SUM(CF77:CF78)</f>
        <v>0</v>
      </c>
      <c r="CG76" s="500">
        <f>SUM(CG77:CG78)</f>
        <v>0</v>
      </c>
      <c r="CH76" s="500">
        <f>SUM(CH77:CH78)</f>
        <v>0</v>
      </c>
      <c r="CI76" s="500">
        <f>SUM(CI77:CI78)</f>
        <v>0</v>
      </c>
      <c r="CJ76" s="500">
        <f>SUM(CJ77:CJ78)</f>
        <v>0</v>
      </c>
      <c r="CK76" s="500">
        <f>SUM(CK77:CK78)</f>
        <v>0</v>
      </c>
      <c r="CL76" s="500">
        <f>SUM(CL77:CL78)</f>
        <v>0</v>
      </c>
      <c r="CM76" s="500">
        <f>SUM(CM77:CM78)</f>
        <v>0</v>
      </c>
      <c r="CN76" s="500">
        <f>SUM(CN77:CN78)</f>
        <v>0</v>
      </c>
      <c r="CO76" s="500">
        <f>SUM(CO77:CO78)</f>
        <v>0</v>
      </c>
      <c r="CP76" s="500">
        <f>SUM(CP77:CP78)</f>
        <v>0</v>
      </c>
      <c r="CQ76" s="500">
        <f>SUM(CQ77:CQ78)</f>
        <v>0</v>
      </c>
      <c r="CR76" s="500">
        <f>SUM(CR77:CR78)</f>
        <v>0</v>
      </c>
      <c r="CS76" s="500">
        <f>SUM(CS77:CS78)</f>
        <v>0</v>
      </c>
      <c r="CT76" s="500">
        <f>SUM(CT77:CT78)</f>
        <v>0</v>
      </c>
      <c r="CU76" s="500">
        <f>SUM(CU77:CU78)</f>
        <v>0</v>
      </c>
      <c r="CV76" s="500">
        <f>SUM(CV77:CV78)</f>
        <v>0</v>
      </c>
      <c r="CW76" s="500">
        <f>SUM(CW77:CW78)</f>
        <v>0</v>
      </c>
      <c r="CX76" s="500">
        <f>SUM(CX77:CX78)</f>
        <v>0</v>
      </c>
      <c r="CY76" s="500">
        <f>SUM(CY77:CY78)</f>
        <v>0</v>
      </c>
      <c r="CZ76" s="500">
        <f>SUM(CZ77:CZ78)</f>
        <v>0</v>
      </c>
      <c r="DA76" s="500">
        <f>SUM(DA77:DA78)</f>
        <v>0</v>
      </c>
      <c r="DB76" s="500">
        <f>SUM(DB77:DB78)</f>
        <v>0</v>
      </c>
      <c r="DC76" s="500">
        <f>SUM(DC77:DC78)</f>
        <v>0</v>
      </c>
      <c r="DD76" s="500">
        <f>SUM(DD77:DD78)</f>
        <v>0</v>
      </c>
      <c r="DE76" s="500">
        <f>SUM(DE77:DE78)</f>
        <v>0</v>
      </c>
      <c r="DF76" s="500">
        <f>SUM(DF77:DF78)</f>
        <v>0</v>
      </c>
      <c r="DG76" s="500">
        <f>SUM(DG77:DG78)</f>
        <v>0</v>
      </c>
      <c r="DH76" s="500">
        <f>SUM(DH77:DH78)</f>
        <v>0</v>
      </c>
      <c r="DI76" s="500">
        <f>SUM(DI77:DI78)</f>
        <v>0</v>
      </c>
      <c r="DJ76" s="500">
        <f>SUM(DJ77:DJ78)</f>
        <v>0</v>
      </c>
      <c r="DK76" s="500">
        <f>SUM(DK77:DK78)</f>
        <v>0</v>
      </c>
      <c r="DL76" s="500">
        <f>SUM(DL77:DL78)</f>
        <v>0</v>
      </c>
      <c r="DM76" s="500">
        <f>SUM(DM77:DM78)</f>
        <v>0</v>
      </c>
      <c r="DN76" s="500">
        <f>SUM(DN77:DN78)</f>
        <v>0</v>
      </c>
      <c r="DO76" s="500">
        <f>SUM(DO77:DO78)</f>
        <v>0</v>
      </c>
      <c r="DP76" s="500">
        <f>SUM(DP77:DP78)</f>
        <v>0</v>
      </c>
      <c r="DQ76" s="500">
        <f>SUM(DQ77:DQ78)</f>
        <v>0</v>
      </c>
      <c r="DR76" s="500">
        <f>SUM(DR77:DR78)</f>
        <v>0</v>
      </c>
      <c r="DS76" s="500">
        <f>SUM(DS77:DS78)</f>
        <v>0</v>
      </c>
      <c r="DT76" s="500">
        <f>SUM(DT77:DT78)</f>
        <v>0</v>
      </c>
      <c r="DU76" s="500">
        <f>SUM(DU77:DU78)</f>
        <v>0</v>
      </c>
      <c r="DV76" s="500">
        <f>SUM(DV77:DV78)</f>
        <v>0</v>
      </c>
      <c r="DW76" s="500">
        <f>SUM(DW77:DW78)</f>
        <v>0</v>
      </c>
      <c r="DX76" s="500">
        <f>SUM(DX77:DX78)</f>
        <v>0</v>
      </c>
      <c r="DY76" s="500">
        <f>SUM(DY77:DY78)</f>
        <v>0</v>
      </c>
      <c r="DZ76" s="500">
        <f>SUM(DZ77:DZ78)</f>
        <v>0</v>
      </c>
      <c r="EA76" s="500">
        <f>SUM(EA77:EA78)</f>
        <v>0</v>
      </c>
      <c r="EB76" s="500">
        <f>SUM(EB77:EB78)</f>
        <v>0</v>
      </c>
      <c r="EC76" s="500">
        <f>SUM(EC77:EC78)</f>
        <v>0</v>
      </c>
      <c r="ED76" s="500">
        <f>SUM(ED77:ED78)</f>
        <v>0</v>
      </c>
      <c r="EE76" s="500">
        <f>SUM(EE77:EE78)</f>
        <v>0</v>
      </c>
      <c r="EF76" s="500">
        <f>SUM(EF77:EF78)</f>
        <v>0</v>
      </c>
      <c r="EG76" s="500">
        <f>SUM(EG77:EG78)</f>
        <v>0</v>
      </c>
      <c r="EH76" s="500">
        <f>SUM(EH77:EH78)</f>
        <v>0</v>
      </c>
      <c r="EI76" s="500">
        <f>SUM(EI77:EI78)</f>
        <v>0</v>
      </c>
      <c r="EJ76" s="500">
        <f>SUM(EJ77:EJ78)</f>
        <v>0</v>
      </c>
      <c r="EK76" s="500">
        <f>SUM(EK77:EK78)</f>
        <v>0</v>
      </c>
      <c r="EL76" s="500">
        <f>SUM(EL77:EL78)</f>
        <v>0</v>
      </c>
      <c r="EM76" s="500">
        <f>SUM(EM77:EM78)</f>
        <v>0</v>
      </c>
      <c r="EN76" s="500">
        <f>SUM(EN77:EN78)</f>
        <v>0</v>
      </c>
      <c r="EO76" s="500">
        <f>SUM(EO77:EO78)</f>
        <v>0</v>
      </c>
      <c r="EP76" s="500">
        <f>SUM(EP77:EP78)</f>
        <v>0</v>
      </c>
      <c r="EQ76" s="500">
        <f>SUM(EQ77:EQ78)</f>
        <v>0</v>
      </c>
      <c r="ER76" s="500">
        <f>SUM(ER77:ER78)</f>
        <v>0</v>
      </c>
      <c r="ES76" s="500">
        <f>SUM(ES77:ES78)</f>
        <v>0</v>
      </c>
      <c r="ET76" s="500">
        <f>SUM(ET77:ET78)</f>
        <v>0</v>
      </c>
      <c r="EU76" s="500">
        <f>SUM(EU77:EU78)</f>
        <v>0</v>
      </c>
      <c r="EV76" s="500">
        <f>SUM(EV77:EV78)</f>
        <v>0</v>
      </c>
      <c r="EW76" s="500">
        <f>SUM(EW77:EW78)</f>
        <v>0</v>
      </c>
      <c r="EX76" s="500">
        <f>SUM(EX77:EX78)</f>
        <v>0</v>
      </c>
      <c r="EY76" s="500">
        <f>SUM(EY77:EY78)</f>
        <v>0</v>
      </c>
      <c r="EZ76" s="500">
        <f>SUM(EZ77:EZ78)</f>
        <v>0</v>
      </c>
      <c r="FA76" s="500">
        <f>SUM(FA77:FA78)</f>
        <v>0</v>
      </c>
      <c r="FB76" s="83"/>
      <c r="FE76" s="489" t="s">
        <v>924</v>
      </c>
      <c r="FK76" s="1157" cm="1" t="str">
        <f t="array" ref="FK76:FK76">OFFSET(FJ76,-1,1)</f>
        <v>0</v>
      </c>
      <c r="FL76" s="1078"/>
      <c r="FM76" s="1159" t="s">
        <v>824</v>
      </c>
      <c r="FN76" s="1159"/>
      <c r="FO76" s="1159"/>
      <c r="FP76" s="1159"/>
      <c r="FQ76" s="1159"/>
      <c r="FR76" s="1159" t="s">
        <v>561</v>
      </c>
      <c r="FS76" s="1159" t="s">
        <v>904</v>
      </c>
      <c r="FT76" s="1159"/>
      <c r="FU76" s="1159"/>
      <c r="FV76" s="1159"/>
      <c r="FW76" s="1159"/>
      <c r="FX76" s="1159" t="s">
        <v>303</v>
      </c>
      <c r="FY76" s="1159" t="s">
        <v>919</v>
      </c>
      <c r="FZ76" s="1159" t="s">
        <v>920</v>
      </c>
    </row>
    <row customHeight="1" ht="16.575" hidden="1">
      <c r="E77" s="180">
        <v>17</v>
      </c>
      <c r="F77" s="175" cm="1" t="str">
        <f t="array" ref="F77:F77">OFFSET(G77,-1,-1)</f>
        <v>0</v>
      </c>
      <c r="L77" s="175" cm="1" t="str">
        <f t="array" ref="L77:L77">OFFSET(M77,-1,-1)</f>
        <v>false</v>
      </c>
      <c r="R77" s="175" t="s">
        <v>804</v>
      </c>
      <c r="S77" s="175" cm="1" t="str">
        <f t="array" ref="S77:S77">OFFSET(T77,-1,-1)</f>
        <v>false</v>
      </c>
      <c r="T77" s="175">
        <f>AND(L77,AD77&lt;&gt;"25.0")</f>
        <v>0</v>
      </c>
      <c r="U77" s="753">
        <f>AND(S77,IF(ISBLANK(T77),TRUE,T77))</f>
        <v>0</v>
      </c>
      <c r="X77" s="175" t="s">
        <v>189</v>
      </c>
      <c r="AB77" s="1607"/>
      <c r="AD77" s="491" t="s">
        <v>925</v>
      </c>
      <c r="AE77" s="514"/>
      <c r="AF77" s="515"/>
      <c r="AG77" s="526" t="s">
        <v>917</v>
      </c>
      <c r="AH77" s="88">
        <f>AH$52*AH74</f>
        <v>0</v>
      </c>
      <c r="AI77" s="89">
        <f>AI$52*AI74</f>
        <v>0</v>
      </c>
      <c r="AJ77" s="89">
        <f>AJ$52*AJ74</f>
        <v>0</v>
      </c>
      <c r="AK77" s="89">
        <f>AK$52*AK74</f>
        <v>0</v>
      </c>
      <c r="AL77" s="499">
        <f>AM77+AN77</f>
        <v>0</v>
      </c>
      <c r="AM77" s="89">
        <f>AM$52*AM74</f>
        <v>0</v>
      </c>
      <c r="AN77" s="89">
        <f>AN$52*AN74</f>
        <v>0</v>
      </c>
      <c r="AO77" s="499">
        <f>AP77+AQ77</f>
        <v>0</v>
      </c>
      <c r="AP77" s="89">
        <f>AP$52*AP74</f>
        <v>0</v>
      </c>
      <c r="AQ77" s="89">
        <f>AQ$52*AQ74</f>
        <v>0</v>
      </c>
      <c r="AR77" s="499">
        <f>AS77+AT77</f>
        <v>0</v>
      </c>
      <c r="AS77" s="89">
        <f>AS$52*AS74</f>
        <v>0</v>
      </c>
      <c r="AT77" s="89">
        <f>AT$52*AT74</f>
        <v>0</v>
      </c>
      <c r="AU77" s="499">
        <f>AV77+AW77</f>
        <v>0</v>
      </c>
      <c r="AV77" s="89">
        <f>AV$52*AV74</f>
        <v>0</v>
      </c>
      <c r="AW77" s="89">
        <f>AW$52*AW74</f>
        <v>0</v>
      </c>
      <c r="AX77" s="499">
        <f>AY77+AZ77</f>
        <v>0</v>
      </c>
      <c r="AY77" s="89">
        <f>AY$52*AY74</f>
        <v>0</v>
      </c>
      <c r="AZ77" s="89">
        <f>AZ$52*AZ74</f>
        <v>0</v>
      </c>
      <c r="BA77" s="499">
        <f>BB77+BC77</f>
        <v>0</v>
      </c>
      <c r="BB77" s="89">
        <f>BB$52*BB74</f>
        <v>0</v>
      </c>
      <c r="BC77" s="89">
        <f>BC$52*BC74</f>
        <v>0</v>
      </c>
      <c r="BD77" s="499">
        <f>BE77+BF77</f>
        <v>0</v>
      </c>
      <c r="BE77" s="89">
        <f>BE$52*BE74</f>
        <v>0</v>
      </c>
      <c r="BF77" s="89">
        <f>BF$52*BF74</f>
        <v>0</v>
      </c>
      <c r="BG77" s="499">
        <f>BH77+BI77</f>
        <v>0</v>
      </c>
      <c r="BH77" s="89">
        <f>BH$52*BH74</f>
        <v>0</v>
      </c>
      <c r="BI77" s="89">
        <f>BI$52*BI74</f>
        <v>0</v>
      </c>
      <c r="BJ77" s="499">
        <f>BK77+BL77</f>
        <v>0</v>
      </c>
      <c r="BK77" s="89">
        <f>BK$52*BK74</f>
        <v>0</v>
      </c>
      <c r="BL77" s="89">
        <f>BL$52*BL74</f>
        <v>0</v>
      </c>
      <c r="BM77" s="499">
        <f>BN77+BO77</f>
        <v>0</v>
      </c>
      <c r="BN77" s="89">
        <f>BN$52*BN74</f>
        <v>0</v>
      </c>
      <c r="BO77" s="89">
        <f>BO$52*BO74</f>
        <v>0</v>
      </c>
      <c r="BP77" s="499">
        <f>BQ77+BR77</f>
        <v>0</v>
      </c>
      <c r="BQ77" s="89">
        <f>BQ$52*BQ74</f>
        <v>0</v>
      </c>
      <c r="BR77" s="89">
        <f>BR$52*BR74</f>
        <v>0</v>
      </c>
      <c r="BS77" s="499">
        <f>BT77+BU77</f>
        <v>0</v>
      </c>
      <c r="BT77" s="89">
        <f>BT$52*BT74</f>
        <v>0</v>
      </c>
      <c r="BU77" s="89">
        <f>BU$52*BU74</f>
        <v>0</v>
      </c>
      <c r="BV77" s="499">
        <f>BW77+BX77</f>
        <v>0</v>
      </c>
      <c r="BW77" s="89">
        <f>BW$52*BW74</f>
        <v>0</v>
      </c>
      <c r="BX77" s="89">
        <f>BX$52*BX74</f>
        <v>0</v>
      </c>
      <c r="BY77" s="499">
        <f>BZ77+CA77</f>
        <v>0</v>
      </c>
      <c r="BZ77" s="89">
        <f>BZ$52*BZ74</f>
        <v>0</v>
      </c>
      <c r="CA77" s="89">
        <f>CA$52*CA74</f>
        <v>0</v>
      </c>
      <c r="CB77" s="499">
        <f>CC77+CD77</f>
        <v>0</v>
      </c>
      <c r="CC77" s="89">
        <f>CC$52*CC74</f>
        <v>0</v>
      </c>
      <c r="CD77" s="89">
        <f>CD$52*CD74</f>
        <v>0</v>
      </c>
      <c r="CE77" s="499">
        <f>CF77+CG77</f>
        <v>0</v>
      </c>
      <c r="CF77" s="89">
        <f>CF$52*CF74</f>
        <v>0</v>
      </c>
      <c r="CG77" s="89">
        <f>CG$52*CG74</f>
        <v>0</v>
      </c>
      <c r="CH77" s="499">
        <f>CI77+CJ77</f>
        <v>0</v>
      </c>
      <c r="CI77" s="89">
        <f>CI$52*CI74</f>
        <v>0</v>
      </c>
      <c r="CJ77" s="89">
        <f>CJ$52*CJ74</f>
        <v>0</v>
      </c>
      <c r="CK77" s="499">
        <f>CL77+CM77</f>
        <v>0</v>
      </c>
      <c r="CL77" s="89">
        <f>CL$52*CL74</f>
        <v>0</v>
      </c>
      <c r="CM77" s="89">
        <f>CM$52*CM74</f>
        <v>0</v>
      </c>
      <c r="CN77" s="499">
        <f>CO77+CP77</f>
        <v>0</v>
      </c>
      <c r="CO77" s="89">
        <f>CO$52*CO74</f>
        <v>0</v>
      </c>
      <c r="CP77" s="89">
        <f>CP$52*CP74</f>
        <v>0</v>
      </c>
      <c r="CQ77" s="499">
        <f>CR77+CS77</f>
        <v>0</v>
      </c>
      <c r="CR77" s="89">
        <f>CR$52*CR74</f>
        <v>0</v>
      </c>
      <c r="CS77" s="89">
        <f>CS$52*CS74</f>
        <v>0</v>
      </c>
      <c r="CT77" s="499">
        <f>CU77+CV77</f>
        <v>0</v>
      </c>
      <c r="CU77" s="498">
        <f>CU$52*CU74</f>
        <v>0</v>
      </c>
      <c r="CV77" s="498">
        <f>CV$52*CV74</f>
        <v>0</v>
      </c>
      <c r="CW77" s="499">
        <f>CX77+CY77</f>
        <v>0</v>
      </c>
      <c r="CX77" s="89">
        <f>CX$52*CX74</f>
        <v>0</v>
      </c>
      <c r="CY77" s="89">
        <f>CY$52*CY74</f>
        <v>0</v>
      </c>
      <c r="CZ77" s="499">
        <f>DA77+DB77</f>
        <v>0</v>
      </c>
      <c r="DA77" s="89">
        <f>DA$52*DA74</f>
        <v>0</v>
      </c>
      <c r="DB77" s="89">
        <f>DB$52*DB74</f>
        <v>0</v>
      </c>
      <c r="DC77" s="499">
        <f>DD77+DE77</f>
        <v>0</v>
      </c>
      <c r="DD77" s="89">
        <f>DD$52*DD74</f>
        <v>0</v>
      </c>
      <c r="DE77" s="89">
        <f>DE$52*DE74</f>
        <v>0</v>
      </c>
      <c r="DF77" s="499">
        <f>DG77+DH77</f>
        <v>0</v>
      </c>
      <c r="DG77" s="89">
        <f>DG$52*DG74</f>
        <v>0</v>
      </c>
      <c r="DH77" s="89">
        <f>DH$52*DH74</f>
        <v>0</v>
      </c>
      <c r="DI77" s="499">
        <f>DJ77+DK77</f>
        <v>0</v>
      </c>
      <c r="DJ77" s="89">
        <f>DJ$52*DJ74</f>
        <v>0</v>
      </c>
      <c r="DK77" s="89">
        <f>DK$52*DK74</f>
        <v>0</v>
      </c>
      <c r="DL77" s="499">
        <f>DM77+DN77</f>
        <v>0</v>
      </c>
      <c r="DM77" s="89">
        <f>DM$52*DM74</f>
        <v>0</v>
      </c>
      <c r="DN77" s="89">
        <f>DN$52*DN74</f>
        <v>0</v>
      </c>
      <c r="DO77" s="499">
        <f>DP77+DQ77</f>
        <v>0</v>
      </c>
      <c r="DP77" s="89">
        <f>DP$52*DP74</f>
        <v>0</v>
      </c>
      <c r="DQ77" s="89">
        <f>DQ$52*DQ74</f>
        <v>0</v>
      </c>
      <c r="DR77" s="499">
        <f>DS77+DT77</f>
        <v>0</v>
      </c>
      <c r="DS77" s="89">
        <f>DS$52*DS74</f>
        <v>0</v>
      </c>
      <c r="DT77" s="89">
        <f>DT$52*DT74</f>
        <v>0</v>
      </c>
      <c r="DU77" s="499">
        <f>DV77+DW77</f>
        <v>0</v>
      </c>
      <c r="DV77" s="89">
        <f>DV$52*DV74</f>
        <v>0</v>
      </c>
      <c r="DW77" s="89">
        <f>DW$52*DW74</f>
        <v>0</v>
      </c>
      <c r="DX77" s="499">
        <f>DY77+DZ77</f>
        <v>0</v>
      </c>
      <c r="DY77" s="89">
        <f>DY$52*DY74</f>
        <v>0</v>
      </c>
      <c r="DZ77" s="89">
        <f>DZ$52*DZ74</f>
        <v>0</v>
      </c>
      <c r="EA77" s="499">
        <f>EB77+EC77</f>
        <v>0</v>
      </c>
      <c r="EB77" s="89">
        <f>EB$52*EB74</f>
        <v>0</v>
      </c>
      <c r="EC77" s="89">
        <f>EC$52*EC74</f>
        <v>0</v>
      </c>
      <c r="ED77" s="499">
        <f>EE77+EF77</f>
        <v>0</v>
      </c>
      <c r="EE77" s="89">
        <f>EE$52*EE74</f>
        <v>0</v>
      </c>
      <c r="EF77" s="89">
        <f>EF$52*EF74</f>
        <v>0</v>
      </c>
      <c r="EG77" s="499">
        <f>EH77+EI77</f>
        <v>0</v>
      </c>
      <c r="EH77" s="89">
        <f>EH$52*EH74</f>
        <v>0</v>
      </c>
      <c r="EI77" s="89">
        <f>EI$52*EI74</f>
        <v>0</v>
      </c>
      <c r="EJ77" s="499">
        <f>EK77+EL77</f>
        <v>0</v>
      </c>
      <c r="EK77" s="89">
        <f>EK$52*EK74</f>
        <v>0</v>
      </c>
      <c r="EL77" s="89">
        <f>EL$52*EL74</f>
        <v>0</v>
      </c>
      <c r="EM77" s="499">
        <f>EN77+EO77</f>
        <v>0</v>
      </c>
      <c r="EN77" s="89">
        <f>EN$52*EN74</f>
        <v>0</v>
      </c>
      <c r="EO77" s="89">
        <f>EO$52*EO74</f>
        <v>0</v>
      </c>
      <c r="EP77" s="499">
        <f>EQ77+ER77</f>
        <v>0</v>
      </c>
      <c r="EQ77" s="89">
        <f>EQ$52*EQ74</f>
        <v>0</v>
      </c>
      <c r="ER77" s="89">
        <f>ER$52*ER74</f>
        <v>0</v>
      </c>
      <c r="ES77" s="499">
        <f>ET77+EU77</f>
        <v>0</v>
      </c>
      <c r="ET77" s="89">
        <f>ET$52*ET74</f>
        <v>0</v>
      </c>
      <c r="EU77" s="89">
        <f>EU$52*EU74</f>
        <v>0</v>
      </c>
      <c r="EV77" s="499">
        <f>EW77+EX77</f>
        <v>0</v>
      </c>
      <c r="EW77" s="89">
        <f>EW$52*EW74</f>
        <v>0</v>
      </c>
      <c r="EX77" s="89">
        <f>EX$52*EX74</f>
        <v>0</v>
      </c>
      <c r="EY77" s="499">
        <f>EZ77+FA77</f>
        <v>0</v>
      </c>
      <c r="EZ77" s="89">
        <f>EZ$52*EZ74</f>
        <v>0</v>
      </c>
      <c r="FA77" s="89">
        <f>FA$52*FA74</f>
        <v>0</v>
      </c>
      <c r="FB77" s="83"/>
      <c r="FE77" s="489" t="s">
        <v>924</v>
      </c>
      <c r="FF77" s="648" t="s">
        <v>890</v>
      </c>
      <c r="FG77" s="648" cm="1" t="str">
        <f t="array" ref="FG77:FG77">AE77</f>
        <v>0</v>
      </c>
      <c r="FH77" s="648" cm="1" t="str">
        <f t="array" ref="FH77:FH77">AF77</f>
        <v>0</v>
      </c>
      <c r="FK77" s="1157" cm="1" t="str">
        <f t="array" ref="FK77:FK77">OFFSET(FJ77,-1,1)</f>
        <v>0</v>
      </c>
      <c r="FL77" s="1159"/>
      <c r="FM77" s="1159" t="s">
        <v>824</v>
      </c>
      <c r="FN77" s="1159"/>
      <c r="FO77" s="1159"/>
      <c r="FP77" s="1159"/>
      <c r="FQ77" s="1159"/>
      <c r="FR77" s="1159" t="s">
        <v>561</v>
      </c>
      <c r="FS77" s="1159" t="s">
        <v>904</v>
      </c>
      <c r="FT77" s="1159"/>
      <c r="FU77" s="1159"/>
      <c r="FV77" s="1159"/>
      <c r="FW77" s="1078" t="str">
        <f>$AE77&amp;"|"&amp;$AF77</f>
        <v>|</v>
      </c>
      <c r="FX77" s="1159" t="s">
        <v>303</v>
      </c>
      <c r="FY77" s="1159" t="s">
        <v>919</v>
      </c>
      <c r="FZ77" s="1159" t="s">
        <v>920</v>
      </c>
    </row>
    <row customHeight="1" ht="15" hidden="1">
      <c r="E78" s="965">
        <v>0</v>
      </c>
      <c r="F78" s="175" cm="1" t="str">
        <f t="array" ref="F78:F78">OFFSET(G78,-1,-1)</f>
        <v>0</v>
      </c>
      <c r="L78" s="175" cm="1" t="str">
        <f t="array" ref="L78:L78">OFFSET(M78,-1,-1)</f>
        <v>false</v>
      </c>
      <c r="S78" s="175" cm="1" t="str">
        <f t="array" ref="S78:S78">OFFSET(T78,-1,-1)</f>
        <v>false</v>
      </c>
      <c r="U78" s="753">
        <f>AND(S78,IF(ISBLANK(T78),TRUE,T78))</f>
        <v>0</v>
      </c>
      <c r="X78" s="980" t="str">
        <f>"{                  
         funcDyn: 'msg1',
         blok: 'blok_2',
         wsCross: 'Топливо 4.4',
         linkFormula: 'AE-AE#AF-AF',
         levelDyn: "&amp;Y28&amp;"
}"</f>
        <v>{                  
         funcDyn: 'msg1',
         blok: 'blok_2',
         wsCross: 'Топливо 4.4',
         linkFormula: 'AE-AE#AF-AF',
         levelDyn: 0
}</v>
      </c>
      <c r="AB78" s="1608"/>
      <c r="AD78" s="517"/>
      <c r="AE78" s="518" t="s">
        <v>191</v>
      </c>
      <c r="AF78" s="519"/>
      <c r="AG78" s="526"/>
      <c r="AH78" s="524"/>
      <c r="AI78" s="525"/>
      <c r="AJ78" s="525"/>
      <c r="AK78" s="525"/>
      <c r="AL78" s="525"/>
      <c r="AM78" s="525"/>
      <c r="AN78" s="525"/>
      <c r="AO78" s="525"/>
      <c r="AP78" s="525"/>
      <c r="AQ78" s="525"/>
      <c r="AR78" s="525"/>
      <c r="AS78" s="525"/>
      <c r="AT78" s="525"/>
      <c r="AU78" s="525"/>
      <c r="AV78" s="525"/>
      <c r="AW78" s="525"/>
      <c r="AX78" s="525"/>
      <c r="AY78" s="525"/>
      <c r="AZ78" s="525"/>
      <c r="BA78" s="525"/>
      <c r="BB78" s="525"/>
      <c r="BC78" s="525"/>
      <c r="BD78" s="525"/>
      <c r="BE78" s="525"/>
      <c r="BF78" s="525"/>
      <c r="BG78" s="525"/>
      <c r="BH78" s="525"/>
      <c r="BI78" s="525"/>
      <c r="BJ78" s="525"/>
      <c r="BK78" s="525"/>
      <c r="BL78" s="525"/>
      <c r="BM78" s="525"/>
      <c r="BN78" s="525"/>
      <c r="BO78" s="525"/>
      <c r="BP78" s="525"/>
      <c r="BQ78" s="525"/>
      <c r="BR78" s="525"/>
      <c r="BS78" s="525"/>
      <c r="BT78" s="525"/>
      <c r="BU78" s="525"/>
      <c r="BV78" s="525"/>
      <c r="BW78" s="525"/>
      <c r="BX78" s="525"/>
      <c r="BY78" s="525"/>
      <c r="BZ78" s="525"/>
      <c r="CA78" s="525"/>
      <c r="CB78" s="525"/>
      <c r="CC78" s="525"/>
      <c r="CD78" s="525"/>
      <c r="CE78" s="525"/>
      <c r="CF78" s="525"/>
      <c r="CG78" s="525"/>
      <c r="CH78" s="525"/>
      <c r="CI78" s="525"/>
      <c r="CJ78" s="525"/>
      <c r="CK78" s="525"/>
      <c r="CL78" s="525"/>
      <c r="CM78" s="525"/>
      <c r="CN78" s="525"/>
      <c r="CO78" s="525"/>
      <c r="CP78" s="525"/>
      <c r="CQ78" s="525"/>
      <c r="CR78" s="525"/>
      <c r="CS78" s="525"/>
      <c r="CT78" s="525"/>
      <c r="CU78" s="525"/>
      <c r="CV78" s="525"/>
      <c r="CW78" s="525"/>
      <c r="CX78" s="525"/>
      <c r="CY78" s="525"/>
      <c r="CZ78" s="525"/>
      <c r="DA78" s="525"/>
      <c r="DB78" s="525"/>
      <c r="DC78" s="525"/>
      <c r="DD78" s="525"/>
      <c r="DE78" s="525"/>
      <c r="DF78" s="525"/>
      <c r="DG78" s="525"/>
      <c r="DH78" s="525"/>
      <c r="DI78" s="525"/>
      <c r="DJ78" s="525"/>
      <c r="DK78" s="525"/>
      <c r="DL78" s="525"/>
      <c r="DM78" s="525"/>
      <c r="DN78" s="525"/>
      <c r="DO78" s="525"/>
      <c r="DP78" s="525"/>
      <c r="DQ78" s="525"/>
      <c r="DR78" s="525"/>
      <c r="DS78" s="525"/>
      <c r="DT78" s="525"/>
      <c r="DU78" s="525"/>
      <c r="DV78" s="525"/>
      <c r="DW78" s="525"/>
      <c r="DX78" s="525"/>
      <c r="DY78" s="525"/>
      <c r="DZ78" s="525"/>
      <c r="EA78" s="525"/>
      <c r="EB78" s="525"/>
      <c r="EC78" s="525"/>
      <c r="ED78" s="525"/>
      <c r="EE78" s="525"/>
      <c r="EF78" s="525"/>
      <c r="EG78" s="525"/>
      <c r="EH78" s="525"/>
      <c r="EI78" s="525"/>
      <c r="EJ78" s="525"/>
      <c r="EK78" s="525"/>
      <c r="EL78" s="525"/>
      <c r="EM78" s="525"/>
      <c r="EN78" s="525"/>
      <c r="EO78" s="525"/>
      <c r="EP78" s="525"/>
      <c r="EQ78" s="525"/>
      <c r="ER78" s="525"/>
      <c r="ES78" s="525"/>
      <c r="ET78" s="525"/>
      <c r="EU78" s="525"/>
      <c r="EV78" s="525"/>
      <c r="EW78" s="525"/>
      <c r="EX78" s="525"/>
      <c r="EY78" s="525"/>
      <c r="EZ78" s="525"/>
      <c r="FA78" s="525"/>
      <c r="FB78" s="93"/>
      <c r="FE78" s="489" t="str">
        <f>IF(AND(ISNUMBER(VALUE(TRIM(SUBSTITUTE(AD78,".","")))),TRIM(SUBSTITUTE(AD78,".",""))&lt;&gt;""),"P"&amp;SUBSTITUTE(AD78,".",""),"")</f>
        <v/>
      </c>
      <c r="FK78" s="1157" cm="1" t="str">
        <f t="array" ref="FK78:FK78">OFFSET(FJ78,-1,1)</f>
        <v>0</v>
      </c>
      <c r="FL78" s="1159"/>
      <c r="FM78" s="1159"/>
      <c r="FN78" s="1159"/>
      <c r="FO78" s="1159"/>
      <c r="FP78" s="1159"/>
      <c r="FQ78" s="1159"/>
      <c r="FR78" s="1159"/>
      <c r="FS78" s="1159"/>
      <c r="FT78" s="1159"/>
      <c r="FU78" s="1159"/>
      <c r="FV78" s="1159"/>
      <c r="FW78" s="1159"/>
      <c r="FX78" s="1159"/>
      <c r="FY78" s="1159"/>
      <c r="FZ78" s="1159"/>
    </row>
    <row customHeight="1" ht="16.575" hidden="1">
      <c r="E79" s="180">
        <v>17</v>
      </c>
      <c r="F79" s="175" cm="1" t="str">
        <f t="array" ref="F79:F79">OFFSET(G79,-1,-1)</f>
        <v>0</v>
      </c>
      <c r="L79" s="175" cm="1" t="str">
        <f t="array" ref="L79:L79">OFFSET(M79,-1,-1)</f>
        <v>false</v>
      </c>
      <c r="S79" s="175" cm="1" t="str">
        <f t="array" ref="S79:S79">OFFSET(T79,-1,-1)</f>
        <v>false</v>
      </c>
      <c r="U79" s="753">
        <f>AND(S79,IF(ISBLANK(T79),TRUE,T79))</f>
        <v>0</v>
      </c>
      <c r="AB79" s="1612" t="s">
        <v>926</v>
      </c>
      <c r="AD79" s="327">
        <v>26</v>
      </c>
      <c r="AE79" s="1618" t="s">
        <v>927</v>
      </c>
      <c r="AF79" s="427"/>
      <c r="AG79" s="534"/>
      <c r="AH79" s="524"/>
      <c r="AI79" s="525"/>
      <c r="AJ79" s="525"/>
      <c r="AK79" s="525"/>
      <c r="AL79" s="525"/>
      <c r="AM79" s="525"/>
      <c r="AN79" s="525"/>
      <c r="AO79" s="525"/>
      <c r="AP79" s="525"/>
      <c r="AQ79" s="525"/>
      <c r="AR79" s="525"/>
      <c r="AS79" s="525"/>
      <c r="AT79" s="525"/>
      <c r="AU79" s="525"/>
      <c r="AV79" s="525"/>
      <c r="AW79" s="525"/>
      <c r="AX79" s="525"/>
      <c r="AY79" s="525"/>
      <c r="AZ79" s="525"/>
      <c r="BA79" s="525"/>
      <c r="BB79" s="525"/>
      <c r="BC79" s="525"/>
      <c r="BD79" s="525"/>
      <c r="BE79" s="525"/>
      <c r="BF79" s="525"/>
      <c r="BG79" s="525"/>
      <c r="BH79" s="525"/>
      <c r="BI79" s="525"/>
      <c r="BJ79" s="525"/>
      <c r="BK79" s="525"/>
      <c r="BL79" s="525"/>
      <c r="BM79" s="525"/>
      <c r="BN79" s="525"/>
      <c r="BO79" s="525"/>
      <c r="BP79" s="525"/>
      <c r="BQ79" s="525"/>
      <c r="BR79" s="525"/>
      <c r="BS79" s="525"/>
      <c r="BT79" s="525"/>
      <c r="BU79" s="525"/>
      <c r="BV79" s="525"/>
      <c r="BW79" s="525"/>
      <c r="BX79" s="525"/>
      <c r="BY79" s="525"/>
      <c r="BZ79" s="525"/>
      <c r="CA79" s="525"/>
      <c r="CB79" s="525"/>
      <c r="CC79" s="525"/>
      <c r="CD79" s="525"/>
      <c r="CE79" s="525"/>
      <c r="CF79" s="525"/>
      <c r="CG79" s="525"/>
      <c r="CH79" s="525"/>
      <c r="CI79" s="525"/>
      <c r="CJ79" s="525"/>
      <c r="CK79" s="525"/>
      <c r="CL79" s="525"/>
      <c r="CM79" s="525"/>
      <c r="CN79" s="525"/>
      <c r="CO79" s="525"/>
      <c r="CP79" s="525"/>
      <c r="CQ79" s="525"/>
      <c r="CR79" s="525"/>
      <c r="CS79" s="525"/>
      <c r="CT79" s="525"/>
      <c r="CU79" s="525"/>
      <c r="CV79" s="525"/>
      <c r="CW79" s="525"/>
      <c r="CX79" s="525"/>
      <c r="CY79" s="525"/>
      <c r="CZ79" s="525"/>
      <c r="DA79" s="525"/>
      <c r="DB79" s="525"/>
      <c r="DC79" s="525"/>
      <c r="DD79" s="525"/>
      <c r="DE79" s="525"/>
      <c r="DF79" s="525"/>
      <c r="DG79" s="525"/>
      <c r="DH79" s="525"/>
      <c r="DI79" s="525"/>
      <c r="DJ79" s="525"/>
      <c r="DK79" s="525"/>
      <c r="DL79" s="525"/>
      <c r="DM79" s="525"/>
      <c r="DN79" s="525"/>
      <c r="DO79" s="525"/>
      <c r="DP79" s="525"/>
      <c r="DQ79" s="525"/>
      <c r="DR79" s="525"/>
      <c r="DS79" s="525"/>
      <c r="DT79" s="525"/>
      <c r="DU79" s="525"/>
      <c r="DV79" s="525"/>
      <c r="DW79" s="525"/>
      <c r="DX79" s="525"/>
      <c r="DY79" s="525"/>
      <c r="DZ79" s="525"/>
      <c r="EA79" s="525"/>
      <c r="EB79" s="525"/>
      <c r="EC79" s="525"/>
      <c r="ED79" s="525"/>
      <c r="EE79" s="525"/>
      <c r="EF79" s="525"/>
      <c r="EG79" s="525"/>
      <c r="EH79" s="525"/>
      <c r="EI79" s="525"/>
      <c r="EJ79" s="525"/>
      <c r="EK79" s="525"/>
      <c r="EL79" s="525"/>
      <c r="EM79" s="525"/>
      <c r="EN79" s="525"/>
      <c r="EO79" s="525"/>
      <c r="EP79" s="525"/>
      <c r="EQ79" s="525"/>
      <c r="ER79" s="525"/>
      <c r="ES79" s="525"/>
      <c r="ET79" s="525"/>
      <c r="EU79" s="525"/>
      <c r="EV79" s="525"/>
      <c r="EW79" s="525"/>
      <c r="EX79" s="525"/>
      <c r="EY79" s="525"/>
      <c r="EZ79" s="525"/>
      <c r="FA79" s="525"/>
      <c r="FB79" s="83"/>
      <c r="FE79" s="489" t="s">
        <v>928</v>
      </c>
      <c r="FK79" s="1157" cm="1" t="str">
        <f t="array" ref="FK79:FK79">OFFSET(FJ79,-1,1)</f>
        <v>0</v>
      </c>
      <c r="FL79" s="1078"/>
      <c r="FM79" s="1159"/>
      <c r="FN79" s="1159"/>
      <c r="FO79" s="1159"/>
      <c r="FP79" s="1159"/>
      <c r="FQ79" s="1159"/>
      <c r="FR79" s="1159"/>
      <c r="FS79" s="1159"/>
      <c r="FT79" s="1159" t="s">
        <v>929</v>
      </c>
      <c r="FU79" s="1159"/>
      <c r="FV79" s="1159" t="s">
        <v>219</v>
      </c>
      <c r="FW79" s="1159"/>
      <c r="FX79" s="1159"/>
      <c r="FY79" s="1159"/>
      <c r="FZ79" s="1159"/>
    </row>
    <row customHeight="1" ht="16.575" hidden="1">
      <c r="E80" s="180">
        <v>17</v>
      </c>
      <c r="F80" s="175" cm="1" t="str">
        <f t="array" ref="F80:F80">OFFSET(G80,-1,-1)</f>
        <v>0</v>
      </c>
      <c r="L80" s="175" cm="1" t="str">
        <f t="array" ref="L80:L80">OFFSET(M80,-1,-1)</f>
        <v>false</v>
      </c>
      <c r="S80" s="175" cm="1" t="str">
        <f t="array" ref="S80:S80">OFFSET(T80,-1,-1)</f>
        <v>false</v>
      </c>
      <c r="T80" s="175">
        <f>AD80&lt;&gt;"26.0"</f>
        <v>0</v>
      </c>
      <c r="U80" s="753">
        <f>AND(S80,IF(ISBLANK(T80),TRUE,T80))</f>
        <v>0</v>
      </c>
      <c r="X80" s="175" t="s">
        <v>189</v>
      </c>
      <c r="AB80" s="1613"/>
      <c r="AD80" s="491" t="s">
        <v>930</v>
      </c>
      <c r="AE80" s="514"/>
      <c r="AF80" s="515"/>
      <c r="AG80" s="470" t="s">
        <v>495</v>
      </c>
      <c r="AH80" s="92"/>
      <c r="AI80" s="96"/>
      <c r="AJ80" s="96"/>
      <c r="AK80" s="96"/>
      <c r="AL80" s="525"/>
      <c r="AM80" s="89"/>
      <c r="AN80" s="89"/>
      <c r="AO80" s="525"/>
      <c r="AP80" s="96"/>
      <c r="AQ80" s="96"/>
      <c r="AR80" s="525"/>
      <c r="AS80" s="96"/>
      <c r="AT80" s="96"/>
      <c r="AU80" s="525"/>
      <c r="AV80" s="96"/>
      <c r="AW80" s="96"/>
      <c r="AX80" s="525"/>
      <c r="AY80" s="96"/>
      <c r="AZ80" s="96"/>
      <c r="BA80" s="525"/>
      <c r="BB80" s="96"/>
      <c r="BC80" s="96"/>
      <c r="BD80" s="525"/>
      <c r="BE80" s="96"/>
      <c r="BF80" s="96"/>
      <c r="BG80" s="525"/>
      <c r="BH80" s="96"/>
      <c r="BI80" s="96"/>
      <c r="BJ80" s="525"/>
      <c r="BK80" s="96"/>
      <c r="BL80" s="96"/>
      <c r="BM80" s="525"/>
      <c r="BN80" s="96"/>
      <c r="BO80" s="96"/>
      <c r="BP80" s="525"/>
      <c r="BQ80" s="96"/>
      <c r="BR80" s="96"/>
      <c r="BS80" s="525"/>
      <c r="BT80" s="96"/>
      <c r="BU80" s="96"/>
      <c r="BV80" s="525"/>
      <c r="BW80" s="96"/>
      <c r="BX80" s="96"/>
      <c r="BY80" s="525"/>
      <c r="BZ80" s="96"/>
      <c r="CA80" s="96"/>
      <c r="CB80" s="525"/>
      <c r="CC80" s="96"/>
      <c r="CD80" s="96"/>
      <c r="CE80" s="525"/>
      <c r="CF80" s="96"/>
      <c r="CG80" s="96"/>
      <c r="CH80" s="525"/>
      <c r="CI80" s="96"/>
      <c r="CJ80" s="96"/>
      <c r="CK80" s="525"/>
      <c r="CL80" s="96"/>
      <c r="CM80" s="96"/>
      <c r="CN80" s="525"/>
      <c r="CO80" s="96"/>
      <c r="CP80" s="96"/>
      <c r="CQ80" s="525"/>
      <c r="CR80" s="96"/>
      <c r="CS80" s="96"/>
      <c r="CT80" s="525"/>
      <c r="CU80" s="535"/>
      <c r="CV80" s="535"/>
      <c r="CW80" s="525"/>
      <c r="CX80" s="96"/>
      <c r="CY80" s="96"/>
      <c r="CZ80" s="525"/>
      <c r="DA80" s="96"/>
      <c r="DB80" s="96"/>
      <c r="DC80" s="525"/>
      <c r="DD80" s="96"/>
      <c r="DE80" s="96"/>
      <c r="DF80" s="525"/>
      <c r="DG80" s="96"/>
      <c r="DH80" s="96"/>
      <c r="DI80" s="525"/>
      <c r="DJ80" s="96"/>
      <c r="DK80" s="96"/>
      <c r="DL80" s="525"/>
      <c r="DM80" s="96"/>
      <c r="DN80" s="96"/>
      <c r="DO80" s="525"/>
      <c r="DP80" s="96"/>
      <c r="DQ80" s="96"/>
      <c r="DR80" s="525"/>
      <c r="DS80" s="96"/>
      <c r="DT80" s="96"/>
      <c r="DU80" s="525"/>
      <c r="DV80" s="96"/>
      <c r="DW80" s="96"/>
      <c r="DX80" s="525"/>
      <c r="DY80" s="96"/>
      <c r="DZ80" s="96"/>
      <c r="EA80" s="525"/>
      <c r="EB80" s="96"/>
      <c r="EC80" s="96"/>
      <c r="ED80" s="525"/>
      <c r="EE80" s="96"/>
      <c r="EF80" s="96"/>
      <c r="EG80" s="525"/>
      <c r="EH80" s="96"/>
      <c r="EI80" s="96"/>
      <c r="EJ80" s="525"/>
      <c r="EK80" s="96"/>
      <c r="EL80" s="96"/>
      <c r="EM80" s="525"/>
      <c r="EN80" s="96"/>
      <c r="EO80" s="96"/>
      <c r="EP80" s="525"/>
      <c r="EQ80" s="96"/>
      <c r="ER80" s="96"/>
      <c r="ES80" s="525"/>
      <c r="ET80" s="96"/>
      <c r="EU80" s="96"/>
      <c r="EV80" s="525"/>
      <c r="EW80" s="96"/>
      <c r="EX80" s="96"/>
      <c r="EY80" s="525"/>
      <c r="EZ80" s="96"/>
      <c r="FA80" s="96"/>
      <c r="FB80" s="83"/>
      <c r="FE80" s="489" t="s">
        <v>928</v>
      </c>
      <c r="FF80" s="648" t="s">
        <v>890</v>
      </c>
      <c r="FG80" s="648" cm="1" t="str">
        <f t="array" ref="FG80:FG80">AE80</f>
        <v>0</v>
      </c>
      <c r="FH80" s="648" cm="1" t="str">
        <f t="array" ref="FH80:FH80">AF80</f>
        <v>0</v>
      </c>
      <c r="FK80" s="1157" cm="1" t="str">
        <f t="array" ref="FK80:FK80">OFFSET(FJ80,-1,1)</f>
        <v>0</v>
      </c>
      <c r="FL80" s="1159"/>
      <c r="FM80" s="1159"/>
      <c r="FN80" s="1159"/>
      <c r="FO80" s="1159"/>
      <c r="FP80" s="1159"/>
      <c r="FQ80" s="1159"/>
      <c r="FR80" s="1159"/>
      <c r="FS80" s="1159"/>
      <c r="FT80" s="1159" t="s">
        <v>929</v>
      </c>
      <c r="FU80" s="1159"/>
      <c r="FV80" s="1159" t="s">
        <v>219</v>
      </c>
      <c r="FW80" s="1078" t="str">
        <f>$AE80&amp;"|"&amp;$AF80</f>
        <v>|</v>
      </c>
      <c r="FX80" s="1159" t="s">
        <v>303</v>
      </c>
      <c r="FY80" s="1159" t="s">
        <v>931</v>
      </c>
      <c r="FZ80" s="1159" t="s">
        <v>932</v>
      </c>
    </row>
    <row customHeight="1" ht="15" hidden="1">
      <c r="E81" s="965">
        <v>0</v>
      </c>
      <c r="F81" s="175" cm="1" t="str">
        <f t="array" ref="F81:F81">OFFSET(G81,-1,-1)</f>
        <v>0</v>
      </c>
      <c r="L81" s="175" cm="1" t="str">
        <f t="array" ref="L81:L81">OFFSET(M81,-1,-1)</f>
        <v>false</v>
      </c>
      <c r="S81" s="175" cm="1" t="str">
        <f t="array" ref="S81:S81">OFFSET(T81,-1,-1)</f>
        <v>false</v>
      </c>
      <c r="U81" s="753">
        <f>AND(S81,IF(ISBLANK(T81),TRUE,T81))</f>
        <v>0</v>
      </c>
      <c r="X81" s="980" t="str">
        <f>"{                  
         funcDyn: 'msg1',
         blok: 'blok_2',
         wsCross: 'Топливо 4.4',
         linkFormula: 'AE-AE#AF-AF',
         levelDyn: "&amp;Y28&amp;"
}"</f>
        <v>{                  
         funcDyn: 'msg1',
         blok: 'blok_2',
         wsCross: 'Топливо 4.4',
         linkFormula: 'AE-AE#AF-AF',
         levelDyn: 0
}</v>
      </c>
      <c r="AB81" s="1613"/>
      <c r="AD81" s="517"/>
      <c r="AE81" s="518" t="s">
        <v>191</v>
      </c>
      <c r="AF81" s="519"/>
      <c r="AG81" s="470"/>
      <c r="AH81" s="521"/>
      <c r="AI81" s="97"/>
      <c r="AJ81" s="97"/>
      <c r="AK81" s="97"/>
      <c r="AL81" s="525"/>
      <c r="AM81" s="97"/>
      <c r="AN81" s="97"/>
      <c r="AO81" s="525"/>
      <c r="AP81" s="97"/>
      <c r="AQ81" s="97"/>
      <c r="AR81" s="525"/>
      <c r="AS81" s="97"/>
      <c r="AT81" s="97"/>
      <c r="AU81" s="525"/>
      <c r="AV81" s="97"/>
      <c r="AW81" s="97"/>
      <c r="AX81" s="525"/>
      <c r="AY81" s="97"/>
      <c r="AZ81" s="97"/>
      <c r="BA81" s="525"/>
      <c r="BB81" s="97"/>
      <c r="BC81" s="97"/>
      <c r="BD81" s="525"/>
      <c r="BE81" s="97"/>
      <c r="BF81" s="97"/>
      <c r="BG81" s="525"/>
      <c r="BH81" s="97"/>
      <c r="BI81" s="97"/>
      <c r="BJ81" s="525"/>
      <c r="BK81" s="97"/>
      <c r="BL81" s="97"/>
      <c r="BM81" s="525"/>
      <c r="BN81" s="97"/>
      <c r="BO81" s="97"/>
      <c r="BP81" s="525"/>
      <c r="BQ81" s="97"/>
      <c r="BR81" s="97"/>
      <c r="BS81" s="525"/>
      <c r="BT81" s="97"/>
      <c r="BU81" s="97"/>
      <c r="BV81" s="525"/>
      <c r="BW81" s="97"/>
      <c r="BX81" s="97"/>
      <c r="BY81" s="525"/>
      <c r="BZ81" s="97"/>
      <c r="CA81" s="97"/>
      <c r="CB81" s="525"/>
      <c r="CC81" s="97"/>
      <c r="CD81" s="97"/>
      <c r="CE81" s="525"/>
      <c r="CF81" s="97"/>
      <c r="CG81" s="97"/>
      <c r="CH81" s="525"/>
      <c r="CI81" s="97"/>
      <c r="CJ81" s="97"/>
      <c r="CK81" s="525"/>
      <c r="CL81" s="97"/>
      <c r="CM81" s="97"/>
      <c r="CN81" s="525"/>
      <c r="CO81" s="97"/>
      <c r="CP81" s="97"/>
      <c r="CQ81" s="525"/>
      <c r="CR81" s="97"/>
      <c r="CS81" s="97"/>
      <c r="CT81" s="525"/>
      <c r="CU81" s="97"/>
      <c r="CV81" s="97"/>
      <c r="CW81" s="525"/>
      <c r="CX81" s="97"/>
      <c r="CY81" s="97"/>
      <c r="CZ81" s="525"/>
      <c r="DA81" s="97"/>
      <c r="DB81" s="97"/>
      <c r="DC81" s="525"/>
      <c r="DD81" s="97"/>
      <c r="DE81" s="97"/>
      <c r="DF81" s="525"/>
      <c r="DG81" s="97"/>
      <c r="DH81" s="97"/>
      <c r="DI81" s="525"/>
      <c r="DJ81" s="97"/>
      <c r="DK81" s="97"/>
      <c r="DL81" s="525"/>
      <c r="DM81" s="97"/>
      <c r="DN81" s="97"/>
      <c r="DO81" s="525"/>
      <c r="DP81" s="97"/>
      <c r="DQ81" s="97"/>
      <c r="DR81" s="525"/>
      <c r="DS81" s="97"/>
      <c r="DT81" s="97"/>
      <c r="DU81" s="525"/>
      <c r="DV81" s="97"/>
      <c r="DW81" s="97"/>
      <c r="DX81" s="525"/>
      <c r="DY81" s="97"/>
      <c r="DZ81" s="97"/>
      <c r="EA81" s="525"/>
      <c r="EB81" s="97"/>
      <c r="EC81" s="97"/>
      <c r="ED81" s="525"/>
      <c r="EE81" s="97"/>
      <c r="EF81" s="97"/>
      <c r="EG81" s="525"/>
      <c r="EH81" s="97"/>
      <c r="EI81" s="97"/>
      <c r="EJ81" s="525"/>
      <c r="EK81" s="97"/>
      <c r="EL81" s="97"/>
      <c r="EM81" s="525"/>
      <c r="EN81" s="97"/>
      <c r="EO81" s="97"/>
      <c r="EP81" s="525"/>
      <c r="EQ81" s="97"/>
      <c r="ER81" s="97"/>
      <c r="ES81" s="525"/>
      <c r="ET81" s="97"/>
      <c r="EU81" s="97"/>
      <c r="EV81" s="525"/>
      <c r="EW81" s="97"/>
      <c r="EX81" s="97"/>
      <c r="EY81" s="525"/>
      <c r="EZ81" s="97"/>
      <c r="FA81" s="97"/>
      <c r="FB81" s="93"/>
      <c r="FE81" s="489" t="str">
        <f>IF(AND(ISNUMBER(VALUE(TRIM(SUBSTITUTE(AD81,".","")))),TRIM(SUBSTITUTE(AD81,".",""))&lt;&gt;""),"P"&amp;SUBSTITUTE(AD81,".",""),"")</f>
        <v/>
      </c>
      <c r="FK81" s="1157" cm="1" t="str">
        <f t="array" ref="FK81:FK81">OFFSET(FJ81,-1,1)</f>
        <v>0</v>
      </c>
      <c r="FL81" s="1159"/>
      <c r="FM81" s="1159"/>
      <c r="FN81" s="1159"/>
      <c r="FO81" s="1159"/>
      <c r="FP81" s="1159"/>
      <c r="FQ81" s="1159"/>
      <c r="FR81" s="1159"/>
      <c r="FS81" s="1159"/>
      <c r="FT81" s="1159"/>
      <c r="FU81" s="1159"/>
      <c r="FV81" s="1159"/>
      <c r="FW81" s="1159"/>
      <c r="FX81" s="1159"/>
      <c r="FY81" s="1159"/>
      <c r="FZ81" s="1159"/>
    </row>
    <row customHeight="1" ht="16.575" hidden="1">
      <c r="E82" s="180">
        <v>17</v>
      </c>
      <c r="F82" s="175" cm="1" t="str">
        <f t="array" ref="F82:F82">OFFSET(G82,-1,-1)</f>
        <v>0</v>
      </c>
      <c r="L82" s="175" cm="1" t="str">
        <f t="array" ref="L82:L82">OFFSET(M82,-1,-1)</f>
        <v>false</v>
      </c>
      <c r="S82" s="175" cm="1" t="str">
        <f t="array" ref="S82:S82">OFFSET(T82,-1,-1)</f>
        <v>false</v>
      </c>
      <c r="U82" s="753">
        <f>AND(S82,IF(ISBLANK(T82),TRUE,T82))</f>
        <v>0</v>
      </c>
      <c r="AB82" s="1613"/>
      <c r="AD82" s="327">
        <v>27</v>
      </c>
      <c r="AE82" s="1618" t="s">
        <v>933</v>
      </c>
      <c r="AF82" s="427"/>
      <c r="AG82" s="534"/>
      <c r="AH82" s="524"/>
      <c r="AI82" s="525"/>
      <c r="AJ82" s="525"/>
      <c r="AK82" s="525"/>
      <c r="AL82" s="525"/>
      <c r="AM82" s="525"/>
      <c r="AN82" s="525"/>
      <c r="AO82" s="525"/>
      <c r="AP82" s="525"/>
      <c r="AQ82" s="525"/>
      <c r="AR82" s="525"/>
      <c r="AS82" s="525"/>
      <c r="AT82" s="525"/>
      <c r="AU82" s="525"/>
      <c r="AV82" s="525"/>
      <c r="AW82" s="525"/>
      <c r="AX82" s="525"/>
      <c r="AY82" s="525"/>
      <c r="AZ82" s="525"/>
      <c r="BA82" s="525"/>
      <c r="BB82" s="525"/>
      <c r="BC82" s="525"/>
      <c r="BD82" s="525"/>
      <c r="BE82" s="525"/>
      <c r="BF82" s="525"/>
      <c r="BG82" s="525"/>
      <c r="BH82" s="525"/>
      <c r="BI82" s="525"/>
      <c r="BJ82" s="525"/>
      <c r="BK82" s="525"/>
      <c r="BL82" s="525"/>
      <c r="BM82" s="525"/>
      <c r="BN82" s="525"/>
      <c r="BO82" s="525"/>
      <c r="BP82" s="525"/>
      <c r="BQ82" s="525"/>
      <c r="BR82" s="525"/>
      <c r="BS82" s="525"/>
      <c r="BT82" s="525"/>
      <c r="BU82" s="525"/>
      <c r="BV82" s="525"/>
      <c r="BW82" s="525"/>
      <c r="BX82" s="525"/>
      <c r="BY82" s="525"/>
      <c r="BZ82" s="525"/>
      <c r="CA82" s="525"/>
      <c r="CB82" s="525"/>
      <c r="CC82" s="525"/>
      <c r="CD82" s="525"/>
      <c r="CE82" s="525"/>
      <c r="CF82" s="525"/>
      <c r="CG82" s="525"/>
      <c r="CH82" s="525"/>
      <c r="CI82" s="525"/>
      <c r="CJ82" s="525"/>
      <c r="CK82" s="525"/>
      <c r="CL82" s="525"/>
      <c r="CM82" s="525"/>
      <c r="CN82" s="525"/>
      <c r="CO82" s="525"/>
      <c r="CP82" s="525"/>
      <c r="CQ82" s="525"/>
      <c r="CR82" s="525"/>
      <c r="CS82" s="525"/>
      <c r="CT82" s="525"/>
      <c r="CU82" s="525"/>
      <c r="CV82" s="525"/>
      <c r="CW82" s="525"/>
      <c r="CX82" s="525"/>
      <c r="CY82" s="525"/>
      <c r="CZ82" s="525"/>
      <c r="DA82" s="525"/>
      <c r="DB82" s="525"/>
      <c r="DC82" s="525"/>
      <c r="DD82" s="525"/>
      <c r="DE82" s="525"/>
      <c r="DF82" s="525"/>
      <c r="DG82" s="525"/>
      <c r="DH82" s="525"/>
      <c r="DI82" s="525"/>
      <c r="DJ82" s="525"/>
      <c r="DK82" s="525"/>
      <c r="DL82" s="525"/>
      <c r="DM82" s="525"/>
      <c r="DN82" s="525"/>
      <c r="DO82" s="525"/>
      <c r="DP82" s="525"/>
      <c r="DQ82" s="525"/>
      <c r="DR82" s="525"/>
      <c r="DS82" s="525"/>
      <c r="DT82" s="525"/>
      <c r="DU82" s="525"/>
      <c r="DV82" s="525"/>
      <c r="DW82" s="525"/>
      <c r="DX82" s="525"/>
      <c r="DY82" s="525"/>
      <c r="DZ82" s="525"/>
      <c r="EA82" s="525"/>
      <c r="EB82" s="525"/>
      <c r="EC82" s="525"/>
      <c r="ED82" s="525"/>
      <c r="EE82" s="525"/>
      <c r="EF82" s="525"/>
      <c r="EG82" s="525"/>
      <c r="EH82" s="525"/>
      <c r="EI82" s="525"/>
      <c r="EJ82" s="525"/>
      <c r="EK82" s="525"/>
      <c r="EL82" s="525"/>
      <c r="EM82" s="525"/>
      <c r="EN82" s="525"/>
      <c r="EO82" s="525"/>
      <c r="EP82" s="525"/>
      <c r="EQ82" s="525"/>
      <c r="ER82" s="525"/>
      <c r="ES82" s="525"/>
      <c r="ET82" s="525"/>
      <c r="EU82" s="525"/>
      <c r="EV82" s="525"/>
      <c r="EW82" s="525"/>
      <c r="EX82" s="525"/>
      <c r="EY82" s="525"/>
      <c r="EZ82" s="525"/>
      <c r="FA82" s="525"/>
      <c r="FB82" s="83"/>
      <c r="FE82" s="489" t="s">
        <v>934</v>
      </c>
      <c r="FK82" s="1157" cm="1" t="str">
        <f t="array" ref="FK82:FK82">OFFSET(FJ82,-1,1)</f>
        <v>0</v>
      </c>
      <c r="FL82" s="1078"/>
      <c r="FM82" s="1159"/>
      <c r="FN82" s="1159"/>
      <c r="FO82" s="1159"/>
      <c r="FP82" s="1159"/>
      <c r="FQ82" s="1159"/>
      <c r="FR82" s="1159"/>
      <c r="FS82" s="1159"/>
      <c r="FT82" s="1078" t="s">
        <v>929</v>
      </c>
      <c r="FU82" s="1159"/>
      <c r="FV82" s="1078" t="s">
        <v>255</v>
      </c>
      <c r="FW82" s="1159"/>
      <c r="FX82" s="1159"/>
      <c r="FY82" s="1159"/>
      <c r="FZ82" s="1159"/>
    </row>
    <row customHeight="1" ht="16.575" hidden="1">
      <c r="E83" s="180">
        <v>17</v>
      </c>
      <c r="F83" s="175" cm="1" t="str">
        <f t="array" ref="F83:F83">OFFSET(G83,-1,-1)</f>
        <v>0</v>
      </c>
      <c r="L83" s="175" cm="1" t="str">
        <f t="array" ref="L83:L83">OFFSET(M83,-1,-1)</f>
        <v>false</v>
      </c>
      <c r="S83" s="175" cm="1" t="str">
        <f t="array" ref="S83:S83">OFFSET(T83,-1,-1)</f>
        <v>false</v>
      </c>
      <c r="T83" s="175">
        <f>AD83&lt;&gt;"27.0"</f>
        <v>0</v>
      </c>
      <c r="U83" s="753">
        <f>AND(S83,IF(ISBLANK(T83),TRUE,T83))</f>
        <v>0</v>
      </c>
      <c r="X83" s="175" t="s">
        <v>189</v>
      </c>
      <c r="AB83" s="1613"/>
      <c r="AD83" s="491" t="s">
        <v>935</v>
      </c>
      <c r="AE83" s="514"/>
      <c r="AF83" s="515"/>
      <c r="AG83" s="530" t="str">
        <f>"руб./"&amp;_xlfn.IFERROR(INDEX(fuel_ed_izm_list,MATCH(AE83,fuel_list,0)),"")</f>
        <v>руб./</v>
      </c>
      <c r="AH83" s="88">
        <f>_xlfn.IFERROR(AH87/AH64,0)*1000</f>
        <v>0</v>
      </c>
      <c r="AI83" s="88">
        <f>_xlfn.IFERROR(AI87/AI64,0)*1000</f>
        <v>0</v>
      </c>
      <c r="AJ83" s="88">
        <f>_xlfn.IFERROR(AJ87/AJ64,0)*1000</f>
        <v>0</v>
      </c>
      <c r="AK83" s="88">
        <f>_xlfn.IFERROR(AK87/AK64,0)*1000</f>
        <v>0</v>
      </c>
      <c r="AL83" s="499">
        <f>_xlfn.IFERROR(AL87/AL64,0)*1000</f>
        <v>0</v>
      </c>
      <c r="AM83" s="89"/>
      <c r="AN83" s="89"/>
      <c r="AO83" s="499">
        <f>_xlfn.IFERROR(AO87/AO64,0)*1000</f>
        <v>0</v>
      </c>
      <c r="AP83" s="89"/>
      <c r="AQ83" s="89"/>
      <c r="AR83" s="499">
        <f>_xlfn.IFERROR(AR87/AR64,0)*1000</f>
        <v>0</v>
      </c>
      <c r="AS83" s="89"/>
      <c r="AT83" s="89"/>
      <c r="AU83" s="499">
        <f>_xlfn.IFERROR(AU87/AU64,0)*1000</f>
        <v>0</v>
      </c>
      <c r="AV83" s="89"/>
      <c r="AW83" s="89"/>
      <c r="AX83" s="499">
        <f>_xlfn.IFERROR(AX87/AX64,0)*1000</f>
        <v>0</v>
      </c>
      <c r="AY83" s="89"/>
      <c r="AZ83" s="89"/>
      <c r="BA83" s="499">
        <f>_xlfn.IFERROR(BA87/BA64,0)*1000</f>
        <v>0</v>
      </c>
      <c r="BB83" s="89"/>
      <c r="BC83" s="89"/>
      <c r="BD83" s="499">
        <f>_xlfn.IFERROR(BD87/BD64,0)*1000</f>
        <v>0</v>
      </c>
      <c r="BE83" s="89"/>
      <c r="BF83" s="89"/>
      <c r="BG83" s="499">
        <f>_xlfn.IFERROR(BG87/BG64,0)*1000</f>
        <v>0</v>
      </c>
      <c r="BH83" s="89"/>
      <c r="BI83" s="89"/>
      <c r="BJ83" s="499">
        <f>_xlfn.IFERROR(BJ87/BJ64,0)*1000</f>
        <v>0</v>
      </c>
      <c r="BK83" s="89"/>
      <c r="BL83" s="89"/>
      <c r="BM83" s="499">
        <f>_xlfn.IFERROR(BM87/BM64,0)*1000</f>
        <v>0</v>
      </c>
      <c r="BN83" s="89"/>
      <c r="BO83" s="89"/>
      <c r="BP83" s="499">
        <f>_xlfn.IFERROR(BP87/BP64,0)*1000</f>
        <v>0</v>
      </c>
      <c r="BQ83" s="89"/>
      <c r="BR83" s="89"/>
      <c r="BS83" s="499">
        <f>_xlfn.IFERROR(BS87/BS64,0)*1000</f>
        <v>0</v>
      </c>
      <c r="BT83" s="89"/>
      <c r="BU83" s="89"/>
      <c r="BV83" s="499">
        <f>_xlfn.IFERROR(BV87/BV64,0)*1000</f>
        <v>0</v>
      </c>
      <c r="BW83" s="89"/>
      <c r="BX83" s="89"/>
      <c r="BY83" s="499">
        <f>_xlfn.IFERROR(BY87/BY64,0)*1000</f>
        <v>0</v>
      </c>
      <c r="BZ83" s="89"/>
      <c r="CA83" s="89"/>
      <c r="CB83" s="499">
        <f>_xlfn.IFERROR(CB87/CB64,0)*1000</f>
        <v>0</v>
      </c>
      <c r="CC83" s="89"/>
      <c r="CD83" s="89"/>
      <c r="CE83" s="499">
        <f>_xlfn.IFERROR(CE87/CE64,0)*1000</f>
        <v>0</v>
      </c>
      <c r="CF83" s="89"/>
      <c r="CG83" s="89"/>
      <c r="CH83" s="499">
        <f>_xlfn.IFERROR(CH87/CH64,0)*1000</f>
        <v>0</v>
      </c>
      <c r="CI83" s="89"/>
      <c r="CJ83" s="89"/>
      <c r="CK83" s="499">
        <f>_xlfn.IFERROR(CK87/CK64,0)*1000</f>
        <v>0</v>
      </c>
      <c r="CL83" s="89"/>
      <c r="CM83" s="89"/>
      <c r="CN83" s="499">
        <f>_xlfn.IFERROR(CN87/CN64,0)*1000</f>
        <v>0</v>
      </c>
      <c r="CO83" s="89"/>
      <c r="CP83" s="89"/>
      <c r="CQ83" s="499">
        <f>_xlfn.IFERROR(CQ87/CQ64,0)*1000</f>
        <v>0</v>
      </c>
      <c r="CR83" s="89"/>
      <c r="CS83" s="89"/>
      <c r="CT83" s="499">
        <f>_xlfn.IFERROR(CT87/CT64,0)*1000</f>
        <v>0</v>
      </c>
      <c r="CU83" s="498"/>
      <c r="CV83" s="498"/>
      <c r="CW83" s="499">
        <f>_xlfn.IFERROR(CW87/CW64,0)*1000</f>
        <v>0</v>
      </c>
      <c r="CX83" s="89"/>
      <c r="CY83" s="89"/>
      <c r="CZ83" s="499">
        <f>_xlfn.IFERROR(CZ87/CZ64,0)*1000</f>
        <v>0</v>
      </c>
      <c r="DA83" s="89"/>
      <c r="DB83" s="89"/>
      <c r="DC83" s="499">
        <f>_xlfn.IFERROR(DC87/DC64,0)*1000</f>
        <v>0</v>
      </c>
      <c r="DD83" s="89"/>
      <c r="DE83" s="89"/>
      <c r="DF83" s="499">
        <f>_xlfn.IFERROR(DF87/DF64,0)*1000</f>
        <v>0</v>
      </c>
      <c r="DG83" s="89"/>
      <c r="DH83" s="89"/>
      <c r="DI83" s="499">
        <f>_xlfn.IFERROR(DI87/DI64,0)*1000</f>
        <v>0</v>
      </c>
      <c r="DJ83" s="89"/>
      <c r="DK83" s="89"/>
      <c r="DL83" s="499">
        <f>_xlfn.IFERROR(DL87/DL64,0)*1000</f>
        <v>0</v>
      </c>
      <c r="DM83" s="89"/>
      <c r="DN83" s="89"/>
      <c r="DO83" s="499">
        <f>_xlfn.IFERROR(DO87/DO64,0)*1000</f>
        <v>0</v>
      </c>
      <c r="DP83" s="89"/>
      <c r="DQ83" s="89"/>
      <c r="DR83" s="499">
        <f>_xlfn.IFERROR(DR87/DR64,0)*1000</f>
        <v>0</v>
      </c>
      <c r="DS83" s="89"/>
      <c r="DT83" s="89"/>
      <c r="DU83" s="499">
        <f>_xlfn.IFERROR(DU87/DU64,0)*1000</f>
        <v>0</v>
      </c>
      <c r="DV83" s="89"/>
      <c r="DW83" s="89"/>
      <c r="DX83" s="499">
        <f>_xlfn.IFERROR(DX87/DX64,0)*1000</f>
        <v>0</v>
      </c>
      <c r="DY83" s="89"/>
      <c r="DZ83" s="89"/>
      <c r="EA83" s="499">
        <f>_xlfn.IFERROR(EA87/EA64,0)*1000</f>
        <v>0</v>
      </c>
      <c r="EB83" s="89"/>
      <c r="EC83" s="89"/>
      <c r="ED83" s="499">
        <f>_xlfn.IFERROR(ED87/ED64,0)*1000</f>
        <v>0</v>
      </c>
      <c r="EE83" s="89"/>
      <c r="EF83" s="89"/>
      <c r="EG83" s="499">
        <f>_xlfn.IFERROR(EG87/EG64,0)*1000</f>
        <v>0</v>
      </c>
      <c r="EH83" s="89"/>
      <c r="EI83" s="89"/>
      <c r="EJ83" s="499">
        <f>_xlfn.IFERROR(EJ87/EJ64,0)*1000</f>
        <v>0</v>
      </c>
      <c r="EK83" s="89"/>
      <c r="EL83" s="89"/>
      <c r="EM83" s="499">
        <f>_xlfn.IFERROR(EM87/EM64,0)*1000</f>
        <v>0</v>
      </c>
      <c r="EN83" s="89"/>
      <c r="EO83" s="89"/>
      <c r="EP83" s="499">
        <f>_xlfn.IFERROR(EP87/EP64,0)*1000</f>
        <v>0</v>
      </c>
      <c r="EQ83" s="89"/>
      <c r="ER83" s="89"/>
      <c r="ES83" s="499">
        <f>_xlfn.IFERROR(ES87/ES64,0)*1000</f>
        <v>0</v>
      </c>
      <c r="ET83" s="89"/>
      <c r="EU83" s="89"/>
      <c r="EV83" s="499">
        <f>_xlfn.IFERROR(EV87/EV64,0)*1000</f>
        <v>0</v>
      </c>
      <c r="EW83" s="89"/>
      <c r="EX83" s="89"/>
      <c r="EY83" s="499">
        <f>_xlfn.IFERROR(EY87/EY64,0)*1000</f>
        <v>0</v>
      </c>
      <c r="EZ83" s="89"/>
      <c r="FA83" s="89"/>
      <c r="FB83" s="83"/>
      <c r="FE83" s="489" t="s">
        <v>934</v>
      </c>
      <c r="FF83" s="648" t="s">
        <v>890</v>
      </c>
      <c r="FG83" s="648" cm="1" t="str">
        <f t="array" ref="FG83:FG83">AE83</f>
        <v>0</v>
      </c>
      <c r="FH83" s="648" cm="1" t="str">
        <f t="array" ref="FH83:FH83">AF83</f>
        <v>0</v>
      </c>
      <c r="FK83" s="1157" cm="1" t="str">
        <f t="array" ref="FK83:FK83">OFFSET(FJ83,-1,1)</f>
        <v>0</v>
      </c>
      <c r="FL83" s="1159"/>
      <c r="FM83" s="1159"/>
      <c r="FN83" s="1159"/>
      <c r="FO83" s="1159"/>
      <c r="FP83" s="1159"/>
      <c r="FQ83" s="1159"/>
      <c r="FR83" s="1159"/>
      <c r="FS83" s="1159"/>
      <c r="FT83" s="1159" t="s">
        <v>929</v>
      </c>
      <c r="FU83" s="1159"/>
      <c r="FV83" s="1159" t="s">
        <v>255</v>
      </c>
      <c r="FW83" s="1078" t="str">
        <f>$AE83&amp;"|"&amp;$AF83</f>
        <v>|</v>
      </c>
      <c r="FX83" s="1159" t="s">
        <v>303</v>
      </c>
      <c r="FY83" s="1159" t="s">
        <v>936</v>
      </c>
      <c r="FZ83" s="1159" t="s">
        <v>937</v>
      </c>
    </row>
    <row customHeight="1" ht="15" hidden="1">
      <c r="E84" s="965">
        <v>0</v>
      </c>
      <c r="F84" s="175" cm="1" t="str">
        <f t="array" ref="F84:F84">OFFSET(G84,-1,-1)</f>
        <v>0</v>
      </c>
      <c r="L84" s="175" cm="1" t="str">
        <f t="array" ref="L84:L84">OFFSET(M84,-1,-1)</f>
        <v>false</v>
      </c>
      <c r="S84" s="175" cm="1" t="str">
        <f t="array" ref="S84:S84">OFFSET(T84,-1,-1)</f>
        <v>false</v>
      </c>
      <c r="U84" s="753">
        <f>AND(S84,IF(ISBLANK(T84),TRUE,T84))</f>
        <v>0</v>
      </c>
      <c r="X84" s="980" t="str">
        <f>"{                  
         funcDyn: 'msg1',
         blok: 'blok_2',
         wsCross: 'Топливо 4.4',
         linkFormula: 'AE-AE#AF-AF',
         levelDyn: "&amp;Y28&amp;"
}"</f>
        <v>{                  
         funcDyn: 'msg1',
         blok: 'blok_2',
         wsCross: 'Топливо 4.4',
         linkFormula: 'AE-AE#AF-AF',
         levelDyn: 0
}</v>
      </c>
      <c r="AB84" s="1613"/>
      <c r="AD84" s="517"/>
      <c r="AE84" s="518" t="s">
        <v>191</v>
      </c>
      <c r="AF84" s="519"/>
      <c r="AG84" s="470"/>
      <c r="AH84" s="524"/>
      <c r="AI84" s="525"/>
      <c r="AJ84" s="525"/>
      <c r="AK84" s="525"/>
      <c r="AL84" s="525"/>
      <c r="AM84" s="525"/>
      <c r="AN84" s="525"/>
      <c r="AO84" s="525"/>
      <c r="AP84" s="525"/>
      <c r="AQ84" s="525"/>
      <c r="AR84" s="525"/>
      <c r="AS84" s="525"/>
      <c r="AT84" s="525"/>
      <c r="AU84" s="525"/>
      <c r="AV84" s="525"/>
      <c r="AW84" s="525"/>
      <c r="AX84" s="525"/>
      <c r="AY84" s="525"/>
      <c r="AZ84" s="525"/>
      <c r="BA84" s="525"/>
      <c r="BB84" s="525"/>
      <c r="BC84" s="525"/>
      <c r="BD84" s="525"/>
      <c r="BE84" s="525"/>
      <c r="BF84" s="525"/>
      <c r="BG84" s="525"/>
      <c r="BH84" s="525"/>
      <c r="BI84" s="525"/>
      <c r="BJ84" s="525"/>
      <c r="BK84" s="525"/>
      <c r="BL84" s="525"/>
      <c r="BM84" s="525"/>
      <c r="BN84" s="525"/>
      <c r="BO84" s="525"/>
      <c r="BP84" s="525"/>
      <c r="BQ84" s="525"/>
      <c r="BR84" s="525"/>
      <c r="BS84" s="525"/>
      <c r="BT84" s="525"/>
      <c r="BU84" s="525"/>
      <c r="BV84" s="525"/>
      <c r="BW84" s="525"/>
      <c r="BX84" s="525"/>
      <c r="BY84" s="525"/>
      <c r="BZ84" s="525"/>
      <c r="CA84" s="525"/>
      <c r="CB84" s="525"/>
      <c r="CC84" s="525"/>
      <c r="CD84" s="525"/>
      <c r="CE84" s="525"/>
      <c r="CF84" s="525"/>
      <c r="CG84" s="525"/>
      <c r="CH84" s="525"/>
      <c r="CI84" s="525"/>
      <c r="CJ84" s="525"/>
      <c r="CK84" s="525"/>
      <c r="CL84" s="525"/>
      <c r="CM84" s="525"/>
      <c r="CN84" s="525"/>
      <c r="CO84" s="525"/>
      <c r="CP84" s="525"/>
      <c r="CQ84" s="525"/>
      <c r="CR84" s="525"/>
      <c r="CS84" s="525"/>
      <c r="CT84" s="525"/>
      <c r="CU84" s="525"/>
      <c r="CV84" s="525"/>
      <c r="CW84" s="525"/>
      <c r="CX84" s="525"/>
      <c r="CY84" s="525"/>
      <c r="CZ84" s="525"/>
      <c r="DA84" s="525"/>
      <c r="DB84" s="525"/>
      <c r="DC84" s="525"/>
      <c r="DD84" s="525"/>
      <c r="DE84" s="525"/>
      <c r="DF84" s="525"/>
      <c r="DG84" s="525"/>
      <c r="DH84" s="525"/>
      <c r="DI84" s="525"/>
      <c r="DJ84" s="525"/>
      <c r="DK84" s="525"/>
      <c r="DL84" s="525"/>
      <c r="DM84" s="525"/>
      <c r="DN84" s="525"/>
      <c r="DO84" s="525"/>
      <c r="DP84" s="525"/>
      <c r="DQ84" s="525"/>
      <c r="DR84" s="525"/>
      <c r="DS84" s="525"/>
      <c r="DT84" s="525"/>
      <c r="DU84" s="525"/>
      <c r="DV84" s="525"/>
      <c r="DW84" s="525"/>
      <c r="DX84" s="525"/>
      <c r="DY84" s="525"/>
      <c r="DZ84" s="525"/>
      <c r="EA84" s="525"/>
      <c r="EB84" s="525"/>
      <c r="EC84" s="525"/>
      <c r="ED84" s="525"/>
      <c r="EE84" s="525"/>
      <c r="EF84" s="525"/>
      <c r="EG84" s="525"/>
      <c r="EH84" s="525"/>
      <c r="EI84" s="525"/>
      <c r="EJ84" s="525"/>
      <c r="EK84" s="525"/>
      <c r="EL84" s="525"/>
      <c r="EM84" s="525"/>
      <c r="EN84" s="525"/>
      <c r="EO84" s="525"/>
      <c r="EP84" s="525"/>
      <c r="EQ84" s="525"/>
      <c r="ER84" s="525"/>
      <c r="ES84" s="525"/>
      <c r="ET84" s="525"/>
      <c r="EU84" s="525"/>
      <c r="EV84" s="525"/>
      <c r="EW84" s="525"/>
      <c r="EX84" s="525"/>
      <c r="EY84" s="525"/>
      <c r="EZ84" s="525"/>
      <c r="FA84" s="525"/>
      <c r="FB84" s="93"/>
      <c r="FE84" s="489" t="str">
        <f>IF(AND(ISNUMBER(VALUE(TRIM(SUBSTITUTE(AD84,".","")))),TRIM(SUBSTITUTE(AD84,".",""))&lt;&gt;""),"P"&amp;SUBSTITUTE(AD84,".",""),"")</f>
        <v/>
      </c>
      <c r="FK84" s="1157" cm="1" t="str">
        <f t="array" ref="FK84:FK84">OFFSET(FJ84,-1,1)</f>
        <v>0</v>
      </c>
      <c r="FL84" s="1159"/>
      <c r="FM84" s="1159"/>
      <c r="FN84" s="1159"/>
      <c r="FO84" s="1159"/>
      <c r="FP84" s="1159"/>
      <c r="FQ84" s="1159"/>
      <c r="FR84" s="1159"/>
      <c r="FS84" s="1159"/>
      <c r="FT84" s="1159"/>
      <c r="FU84" s="1159"/>
      <c r="FV84" s="1159"/>
      <c r="FW84" s="1159"/>
      <c r="FX84" s="1159"/>
      <c r="FY84" s="1159"/>
      <c r="FZ84" s="1159"/>
    </row>
    <row customHeight="1" ht="16.575" hidden="1">
      <c r="E85" s="180">
        <v>17</v>
      </c>
      <c r="F85" s="175" cm="1" t="str">
        <f t="array" ref="F85:F85">OFFSET(G85,-1,-1)</f>
        <v>0</v>
      </c>
      <c r="L85" s="175" cm="1" t="str">
        <f t="array" ref="L85:L85">OFFSET(M85,-1,-1)</f>
        <v>false</v>
      </c>
      <c r="S85" s="175" cm="1" t="str">
        <f t="array" ref="S85:S85">OFFSET(T85,-1,-1)</f>
        <v>false</v>
      </c>
      <c r="U85" s="753">
        <f>AND(S85,IF(ISBLANK(T85),TRUE,T85))</f>
        <v>0</v>
      </c>
      <c r="AB85" s="1613"/>
      <c r="AD85" s="327">
        <v>28</v>
      </c>
      <c r="AE85" s="1618" t="s">
        <v>938</v>
      </c>
      <c r="AF85" s="427"/>
      <c r="AG85" s="470" t="s">
        <v>917</v>
      </c>
      <c r="AH85" s="500">
        <f>SUM(AH87:AH88)</f>
        <v>0</v>
      </c>
      <c r="AI85" s="500">
        <f>SUM(AI87:AI88)</f>
        <v>0</v>
      </c>
      <c r="AJ85" s="500">
        <f>SUM(AJ87:AJ88)</f>
        <v>0</v>
      </c>
      <c r="AK85" s="500">
        <f>SUM(AK87:AK88)</f>
        <v>0</v>
      </c>
      <c r="AL85" s="500">
        <f>SUM(AL87:AL88)</f>
        <v>0</v>
      </c>
      <c r="AM85" s="500">
        <f>SUM(AM87:AM88)</f>
        <v>0</v>
      </c>
      <c r="AN85" s="500">
        <f>SUM(AN87:AN88)</f>
        <v>0</v>
      </c>
      <c r="AO85" s="500">
        <f>SUM(AO87:AO88)</f>
        <v>0</v>
      </c>
      <c r="AP85" s="500">
        <f>SUM(AP87:AP88)</f>
        <v>0</v>
      </c>
      <c r="AQ85" s="500">
        <f>SUM(AQ87:AQ88)</f>
        <v>0</v>
      </c>
      <c r="AR85" s="500">
        <f>SUM(AR87:AR88)</f>
        <v>0</v>
      </c>
      <c r="AS85" s="500">
        <f>SUM(AS87:AS88)</f>
        <v>0</v>
      </c>
      <c r="AT85" s="500">
        <f>SUM(AT87:AT88)</f>
        <v>0</v>
      </c>
      <c r="AU85" s="500">
        <f>SUM(AU87:AU88)</f>
        <v>0</v>
      </c>
      <c r="AV85" s="500">
        <f>SUM(AV87:AV88)</f>
        <v>0</v>
      </c>
      <c r="AW85" s="500">
        <f>SUM(AW87:AW88)</f>
        <v>0</v>
      </c>
      <c r="AX85" s="500">
        <f>SUM(AX87:AX88)</f>
        <v>0</v>
      </c>
      <c r="AY85" s="500">
        <f>SUM(AY87:AY88)</f>
        <v>0</v>
      </c>
      <c r="AZ85" s="500">
        <f>SUM(AZ87:AZ88)</f>
        <v>0</v>
      </c>
      <c r="BA85" s="500">
        <f>SUM(BA87:BA88)</f>
        <v>0</v>
      </c>
      <c r="BB85" s="500">
        <f>SUM(BB87:BB88)</f>
        <v>0</v>
      </c>
      <c r="BC85" s="500">
        <f>SUM(BC87:BC88)</f>
        <v>0</v>
      </c>
      <c r="BD85" s="500">
        <f>SUM(BD87:BD88)</f>
        <v>0</v>
      </c>
      <c r="BE85" s="500">
        <f>SUM(BE87:BE88)</f>
        <v>0</v>
      </c>
      <c r="BF85" s="500">
        <f>SUM(BF87:BF88)</f>
        <v>0</v>
      </c>
      <c r="BG85" s="500">
        <f>SUM(BG87:BG88)</f>
        <v>0</v>
      </c>
      <c r="BH85" s="500">
        <f>SUM(BH87:BH88)</f>
        <v>0</v>
      </c>
      <c r="BI85" s="500">
        <f>SUM(BI87:BI88)</f>
        <v>0</v>
      </c>
      <c r="BJ85" s="500">
        <f>SUM(BJ87:BJ88)</f>
        <v>0</v>
      </c>
      <c r="BK85" s="500">
        <f>SUM(BK87:BK88)</f>
        <v>0</v>
      </c>
      <c r="BL85" s="500">
        <f>SUM(BL87:BL88)</f>
        <v>0</v>
      </c>
      <c r="BM85" s="500">
        <f>SUM(BM87:BM88)</f>
        <v>0</v>
      </c>
      <c r="BN85" s="500">
        <f>SUM(BN87:BN88)</f>
        <v>0</v>
      </c>
      <c r="BO85" s="500">
        <f>SUM(BO87:BO88)</f>
        <v>0</v>
      </c>
      <c r="BP85" s="500">
        <f>SUM(BP87:BP88)</f>
        <v>0</v>
      </c>
      <c r="BQ85" s="500">
        <f>SUM(BQ87:BQ88)</f>
        <v>0</v>
      </c>
      <c r="BR85" s="500">
        <f>SUM(BR87:BR88)</f>
        <v>0</v>
      </c>
      <c r="BS85" s="500">
        <f>SUM(BS87:BS88)</f>
        <v>0</v>
      </c>
      <c r="BT85" s="500">
        <f>SUM(BT87:BT88)</f>
        <v>0</v>
      </c>
      <c r="BU85" s="500">
        <f>SUM(BU87:BU88)</f>
        <v>0</v>
      </c>
      <c r="BV85" s="500">
        <f>SUM(BV87:BV88)</f>
        <v>0</v>
      </c>
      <c r="BW85" s="500">
        <f>SUM(BW87:BW88)</f>
        <v>0</v>
      </c>
      <c r="BX85" s="500">
        <f>SUM(BX87:BX88)</f>
        <v>0</v>
      </c>
      <c r="BY85" s="500">
        <f>SUM(BY87:BY88)</f>
        <v>0</v>
      </c>
      <c r="BZ85" s="500">
        <f>SUM(BZ87:BZ88)</f>
        <v>0</v>
      </c>
      <c r="CA85" s="500">
        <f>SUM(CA87:CA88)</f>
        <v>0</v>
      </c>
      <c r="CB85" s="500">
        <f>SUM(CB87:CB88)</f>
        <v>0</v>
      </c>
      <c r="CC85" s="500">
        <f>SUM(CC87:CC88)</f>
        <v>0</v>
      </c>
      <c r="CD85" s="500">
        <f>SUM(CD87:CD88)</f>
        <v>0</v>
      </c>
      <c r="CE85" s="500">
        <f>SUM(CE87:CE88)</f>
        <v>0</v>
      </c>
      <c r="CF85" s="500">
        <f>SUM(CF87:CF88)</f>
        <v>0</v>
      </c>
      <c r="CG85" s="500">
        <f>SUM(CG87:CG88)</f>
        <v>0</v>
      </c>
      <c r="CH85" s="500">
        <f>SUM(CH87:CH88)</f>
        <v>0</v>
      </c>
      <c r="CI85" s="500">
        <f>SUM(CI87:CI88)</f>
        <v>0</v>
      </c>
      <c r="CJ85" s="500">
        <f>SUM(CJ87:CJ88)</f>
        <v>0</v>
      </c>
      <c r="CK85" s="500">
        <f>SUM(CK87:CK88)</f>
        <v>0</v>
      </c>
      <c r="CL85" s="500">
        <f>SUM(CL87:CL88)</f>
        <v>0</v>
      </c>
      <c r="CM85" s="500">
        <f>SUM(CM87:CM88)</f>
        <v>0</v>
      </c>
      <c r="CN85" s="500">
        <f>SUM(CN87:CN88)</f>
        <v>0</v>
      </c>
      <c r="CO85" s="500">
        <f>SUM(CO87:CO88)</f>
        <v>0</v>
      </c>
      <c r="CP85" s="500">
        <f>SUM(CP87:CP88)</f>
        <v>0</v>
      </c>
      <c r="CQ85" s="500">
        <f>SUM(CQ87:CQ88)</f>
        <v>0</v>
      </c>
      <c r="CR85" s="500">
        <f>SUM(CR87:CR88)</f>
        <v>0</v>
      </c>
      <c r="CS85" s="500">
        <f>SUM(CS87:CS88)</f>
        <v>0</v>
      </c>
      <c r="CT85" s="500">
        <f>SUM(CT87:CT88)</f>
        <v>0</v>
      </c>
      <c r="CU85" s="500">
        <f>SUM(CU87:CU88)</f>
        <v>0</v>
      </c>
      <c r="CV85" s="500">
        <f>SUM(CV87:CV88)</f>
        <v>0</v>
      </c>
      <c r="CW85" s="500">
        <f>SUM(CW87:CW88)</f>
        <v>0</v>
      </c>
      <c r="CX85" s="500">
        <f>SUM(CX87:CX88)</f>
        <v>0</v>
      </c>
      <c r="CY85" s="500">
        <f>SUM(CY87:CY88)</f>
        <v>0</v>
      </c>
      <c r="CZ85" s="500">
        <f>SUM(CZ87:CZ88)</f>
        <v>0</v>
      </c>
      <c r="DA85" s="500">
        <f>SUM(DA87:DA88)</f>
        <v>0</v>
      </c>
      <c r="DB85" s="500">
        <f>SUM(DB87:DB88)</f>
        <v>0</v>
      </c>
      <c r="DC85" s="500">
        <f>SUM(DC87:DC88)</f>
        <v>0</v>
      </c>
      <c r="DD85" s="500">
        <f>SUM(DD87:DD88)</f>
        <v>0</v>
      </c>
      <c r="DE85" s="500">
        <f>SUM(DE87:DE88)</f>
        <v>0</v>
      </c>
      <c r="DF85" s="500">
        <f>SUM(DF87:DF88)</f>
        <v>0</v>
      </c>
      <c r="DG85" s="500">
        <f>SUM(DG87:DG88)</f>
        <v>0</v>
      </c>
      <c r="DH85" s="500">
        <f>SUM(DH87:DH88)</f>
        <v>0</v>
      </c>
      <c r="DI85" s="500">
        <f>SUM(DI87:DI88)</f>
        <v>0</v>
      </c>
      <c r="DJ85" s="500">
        <f>SUM(DJ87:DJ88)</f>
        <v>0</v>
      </c>
      <c r="DK85" s="500">
        <f>SUM(DK87:DK88)</f>
        <v>0</v>
      </c>
      <c r="DL85" s="500">
        <f>SUM(DL87:DL88)</f>
        <v>0</v>
      </c>
      <c r="DM85" s="500">
        <f>SUM(DM87:DM88)</f>
        <v>0</v>
      </c>
      <c r="DN85" s="500">
        <f>SUM(DN87:DN88)</f>
        <v>0</v>
      </c>
      <c r="DO85" s="500">
        <f>SUM(DO87:DO88)</f>
        <v>0</v>
      </c>
      <c r="DP85" s="500">
        <f>SUM(DP87:DP88)</f>
        <v>0</v>
      </c>
      <c r="DQ85" s="500">
        <f>SUM(DQ87:DQ88)</f>
        <v>0</v>
      </c>
      <c r="DR85" s="500">
        <f>SUM(DR87:DR88)</f>
        <v>0</v>
      </c>
      <c r="DS85" s="500">
        <f>SUM(DS87:DS88)</f>
        <v>0</v>
      </c>
      <c r="DT85" s="500">
        <f>SUM(DT87:DT88)</f>
        <v>0</v>
      </c>
      <c r="DU85" s="500">
        <f>SUM(DU87:DU88)</f>
        <v>0</v>
      </c>
      <c r="DV85" s="500">
        <f>SUM(DV87:DV88)</f>
        <v>0</v>
      </c>
      <c r="DW85" s="500">
        <f>SUM(DW87:DW88)</f>
        <v>0</v>
      </c>
      <c r="DX85" s="500">
        <f>SUM(DX87:DX88)</f>
        <v>0</v>
      </c>
      <c r="DY85" s="500">
        <f>SUM(DY87:DY88)</f>
        <v>0</v>
      </c>
      <c r="DZ85" s="500">
        <f>SUM(DZ87:DZ88)</f>
        <v>0</v>
      </c>
      <c r="EA85" s="500">
        <f>SUM(EA87:EA88)</f>
        <v>0</v>
      </c>
      <c r="EB85" s="500">
        <f>SUM(EB87:EB88)</f>
        <v>0</v>
      </c>
      <c r="EC85" s="500">
        <f>SUM(EC87:EC88)</f>
        <v>0</v>
      </c>
      <c r="ED85" s="500">
        <f>SUM(ED87:ED88)</f>
        <v>0</v>
      </c>
      <c r="EE85" s="500">
        <f>SUM(EE87:EE88)</f>
        <v>0</v>
      </c>
      <c r="EF85" s="500">
        <f>SUM(EF87:EF88)</f>
        <v>0</v>
      </c>
      <c r="EG85" s="500">
        <f>SUM(EG87:EG88)</f>
        <v>0</v>
      </c>
      <c r="EH85" s="500">
        <f>SUM(EH87:EH88)</f>
        <v>0</v>
      </c>
      <c r="EI85" s="500">
        <f>SUM(EI87:EI88)</f>
        <v>0</v>
      </c>
      <c r="EJ85" s="500">
        <f>SUM(EJ87:EJ88)</f>
        <v>0</v>
      </c>
      <c r="EK85" s="500">
        <f>SUM(EK87:EK88)</f>
        <v>0</v>
      </c>
      <c r="EL85" s="500">
        <f>SUM(EL87:EL88)</f>
        <v>0</v>
      </c>
      <c r="EM85" s="500">
        <f>SUM(EM87:EM88)</f>
        <v>0</v>
      </c>
      <c r="EN85" s="500">
        <f>SUM(EN87:EN88)</f>
        <v>0</v>
      </c>
      <c r="EO85" s="500">
        <f>SUM(EO87:EO88)</f>
        <v>0</v>
      </c>
      <c r="EP85" s="500">
        <f>SUM(EP87:EP88)</f>
        <v>0</v>
      </c>
      <c r="EQ85" s="500">
        <f>SUM(EQ87:EQ88)</f>
        <v>0</v>
      </c>
      <c r="ER85" s="500">
        <f>SUM(ER87:ER88)</f>
        <v>0</v>
      </c>
      <c r="ES85" s="500">
        <f>SUM(ES87:ES88)</f>
        <v>0</v>
      </c>
      <c r="ET85" s="500">
        <f>SUM(ET87:ET88)</f>
        <v>0</v>
      </c>
      <c r="EU85" s="500">
        <f>SUM(EU87:EU88)</f>
        <v>0</v>
      </c>
      <c r="EV85" s="500">
        <f>SUM(EV87:EV88)</f>
        <v>0</v>
      </c>
      <c r="EW85" s="500">
        <f>SUM(EW87:EW88)</f>
        <v>0</v>
      </c>
      <c r="EX85" s="500">
        <f>SUM(EX87:EX88)</f>
        <v>0</v>
      </c>
      <c r="EY85" s="500">
        <f>SUM(EY87:EY88)</f>
        <v>0</v>
      </c>
      <c r="EZ85" s="500">
        <f>SUM(EZ87:EZ88)</f>
        <v>0</v>
      </c>
      <c r="FA85" s="500">
        <f>SUM(FA87:FA88)</f>
        <v>0</v>
      </c>
      <c r="FB85" s="83"/>
      <c r="FE85" s="489" t="s">
        <v>939</v>
      </c>
      <c r="FK85" s="1157" cm="1" t="str">
        <f t="array" ref="FK85:FK85">OFFSET(FJ85,-1,1)</f>
        <v>0</v>
      </c>
      <c r="FL85" s="1078"/>
      <c r="FM85" s="1159"/>
      <c r="FN85" s="1159"/>
      <c r="FO85" s="1159"/>
      <c r="FP85" s="1159"/>
      <c r="FQ85" s="1159"/>
      <c r="FR85" s="1159"/>
      <c r="FS85" s="1159"/>
      <c r="FT85" s="1078" t="s">
        <v>929</v>
      </c>
      <c r="FU85" s="1159"/>
      <c r="FV85" s="1078" t="s">
        <v>449</v>
      </c>
      <c r="FW85" s="1159"/>
      <c r="FX85" s="1078" t="s">
        <v>303</v>
      </c>
      <c r="FY85" s="1078" t="s">
        <v>919</v>
      </c>
      <c r="FZ85" s="1078" t="s">
        <v>920</v>
      </c>
    </row>
    <row customHeight="1" ht="16.575" hidden="1">
      <c r="E86" s="180">
        <v>17</v>
      </c>
      <c r="F86" s="175" cm="1" t="str">
        <f t="array" ref="F86:F86">OFFSET(G86,-1,-1)</f>
        <v>0</v>
      </c>
      <c r="L86" s="175" cm="1" t="str">
        <f t="array" ref="L86:L86">OFFSET(M86,-1,-1)</f>
        <v>false</v>
      </c>
      <c r="R86" s="175" t="s">
        <v>804</v>
      </c>
      <c r="S86" s="175" cm="1" t="str">
        <f t="array" ref="S86:S86">OFFSET(T86,-1,-1)</f>
        <v>false</v>
      </c>
      <c r="T86" s="175" t="b">
        <v>0</v>
      </c>
      <c r="U86" s="753">
        <f>AND(S86,IF(ISBLANK(T86),TRUE,T86))</f>
        <v>0</v>
      </c>
      <c r="AB86" s="1613"/>
      <c r="AD86" s="491" t="str">
        <f>AD85&amp;".0"</f>
        <v>28.0</v>
      </c>
      <c r="AE86" s="537" t="s">
        <v>822</v>
      </c>
      <c r="AF86" s="368"/>
      <c r="AG86" s="470" t="s">
        <v>917</v>
      </c>
      <c r="AH86" s="88">
        <f>AH$52*AH85</f>
        <v>0</v>
      </c>
      <c r="AI86" s="89">
        <f>AI$52*AI85</f>
        <v>0</v>
      </c>
      <c r="AJ86" s="89">
        <f>AJ$52*AJ85</f>
        <v>0</v>
      </c>
      <c r="AK86" s="89">
        <f>AK$52*AK85</f>
        <v>0</v>
      </c>
      <c r="AL86" s="499">
        <f>AM86+AN86</f>
        <v>0</v>
      </c>
      <c r="AM86" s="89">
        <f>AM$52*AM85</f>
        <v>0</v>
      </c>
      <c r="AN86" s="89">
        <f>AN$52*AN85</f>
        <v>0</v>
      </c>
      <c r="AO86" s="499">
        <f>AP86+AQ86</f>
        <v>0</v>
      </c>
      <c r="AP86" s="89">
        <f>AP$52*AP85</f>
        <v>0</v>
      </c>
      <c r="AQ86" s="89">
        <f>AQ$52*AQ85</f>
        <v>0</v>
      </c>
      <c r="AR86" s="499">
        <f>AS86+AT86</f>
        <v>0</v>
      </c>
      <c r="AS86" s="89">
        <f>AS$52*AS85</f>
        <v>0</v>
      </c>
      <c r="AT86" s="89">
        <f>AT$52*AT85</f>
        <v>0</v>
      </c>
      <c r="AU86" s="499">
        <f>AV86+AW86</f>
        <v>0</v>
      </c>
      <c r="AV86" s="89">
        <f>AV$52*AV85</f>
        <v>0</v>
      </c>
      <c r="AW86" s="89">
        <f>AW$52*AW85</f>
        <v>0</v>
      </c>
      <c r="AX86" s="499">
        <f>AY86+AZ86</f>
        <v>0</v>
      </c>
      <c r="AY86" s="89">
        <f>AY$52*AY85</f>
        <v>0</v>
      </c>
      <c r="AZ86" s="89">
        <f>AZ$52*AZ85</f>
        <v>0</v>
      </c>
      <c r="BA86" s="499">
        <f>BB86+BC86</f>
        <v>0</v>
      </c>
      <c r="BB86" s="89">
        <f>BB$52*BB85</f>
        <v>0</v>
      </c>
      <c r="BC86" s="89">
        <f>BC$52*BC85</f>
        <v>0</v>
      </c>
      <c r="BD86" s="499">
        <f>BE86+BF86</f>
        <v>0</v>
      </c>
      <c r="BE86" s="89">
        <f>BE$52*BE85</f>
        <v>0</v>
      </c>
      <c r="BF86" s="89">
        <f>BF$52*BF85</f>
        <v>0</v>
      </c>
      <c r="BG86" s="499">
        <f>BH86+BI86</f>
        <v>0</v>
      </c>
      <c r="BH86" s="89">
        <f>BH$52*BH85</f>
        <v>0</v>
      </c>
      <c r="BI86" s="89">
        <f>BI$52*BI85</f>
        <v>0</v>
      </c>
      <c r="BJ86" s="499">
        <f>BK86+BL86</f>
        <v>0</v>
      </c>
      <c r="BK86" s="89">
        <f>BK$52*BK85</f>
        <v>0</v>
      </c>
      <c r="BL86" s="89">
        <f>BL$52*BL85</f>
        <v>0</v>
      </c>
      <c r="BM86" s="499">
        <f>BN86+BO86</f>
        <v>0</v>
      </c>
      <c r="BN86" s="89">
        <f>BN$52*BN85</f>
        <v>0</v>
      </c>
      <c r="BO86" s="89">
        <f>BO$52*BO85</f>
        <v>0</v>
      </c>
      <c r="BP86" s="499">
        <f>BQ86+BR86</f>
        <v>0</v>
      </c>
      <c r="BQ86" s="89">
        <f>BQ$52*BQ85</f>
        <v>0</v>
      </c>
      <c r="BR86" s="89">
        <f>BR$52*BR85</f>
        <v>0</v>
      </c>
      <c r="BS86" s="499">
        <f>BT86+BU86</f>
        <v>0</v>
      </c>
      <c r="BT86" s="89">
        <f>BT$52*BT85</f>
        <v>0</v>
      </c>
      <c r="BU86" s="89">
        <f>BU$52*BU85</f>
        <v>0</v>
      </c>
      <c r="BV86" s="499">
        <f>BW86+BX86</f>
        <v>0</v>
      </c>
      <c r="BW86" s="89">
        <f>BW$52*BW85</f>
        <v>0</v>
      </c>
      <c r="BX86" s="89">
        <f>BX$52*BX85</f>
        <v>0</v>
      </c>
      <c r="BY86" s="499">
        <f>BZ86+CA86</f>
        <v>0</v>
      </c>
      <c r="BZ86" s="89">
        <f>BZ$52*BZ85</f>
        <v>0</v>
      </c>
      <c r="CA86" s="89">
        <f>CA$52*CA85</f>
        <v>0</v>
      </c>
      <c r="CB86" s="499">
        <f>CC86+CD86</f>
        <v>0</v>
      </c>
      <c r="CC86" s="89">
        <f>CC$52*CC85</f>
        <v>0</v>
      </c>
      <c r="CD86" s="89">
        <f>CD$52*CD85</f>
        <v>0</v>
      </c>
      <c r="CE86" s="499">
        <f>CF86+CG86</f>
        <v>0</v>
      </c>
      <c r="CF86" s="89">
        <f>CF$52*CF85</f>
        <v>0</v>
      </c>
      <c r="CG86" s="89">
        <f>CG$52*CG85</f>
        <v>0</v>
      </c>
      <c r="CH86" s="499">
        <f>CI86+CJ86</f>
        <v>0</v>
      </c>
      <c r="CI86" s="89">
        <f>CI$52*CI85</f>
        <v>0</v>
      </c>
      <c r="CJ86" s="89">
        <f>CJ$52*CJ85</f>
        <v>0</v>
      </c>
      <c r="CK86" s="499">
        <f>CL86+CM86</f>
        <v>0</v>
      </c>
      <c r="CL86" s="89">
        <f>CL$52*CL85</f>
        <v>0</v>
      </c>
      <c r="CM86" s="89">
        <f>CM$52*CM85</f>
        <v>0</v>
      </c>
      <c r="CN86" s="499">
        <f>CO86+CP86</f>
        <v>0</v>
      </c>
      <c r="CO86" s="89">
        <f>CO$52*CO85</f>
        <v>0</v>
      </c>
      <c r="CP86" s="89">
        <f>CP$52*CP85</f>
        <v>0</v>
      </c>
      <c r="CQ86" s="499">
        <f>CR86+CS86</f>
        <v>0</v>
      </c>
      <c r="CR86" s="89">
        <f>CR$52*CR85</f>
        <v>0</v>
      </c>
      <c r="CS86" s="89">
        <f>CS$52*CS85</f>
        <v>0</v>
      </c>
      <c r="CT86" s="499">
        <f>CU86+CV86</f>
        <v>0</v>
      </c>
      <c r="CU86" s="498">
        <f>CU$52*CU85</f>
        <v>0</v>
      </c>
      <c r="CV86" s="498">
        <f>CV$52*CV85</f>
        <v>0</v>
      </c>
      <c r="CW86" s="499">
        <f>CX86+CY86</f>
        <v>0</v>
      </c>
      <c r="CX86" s="89">
        <f>CX$52*CX85</f>
        <v>0</v>
      </c>
      <c r="CY86" s="89">
        <f>CY$52*CY85</f>
        <v>0</v>
      </c>
      <c r="CZ86" s="499">
        <f>DA86+DB86</f>
        <v>0</v>
      </c>
      <c r="DA86" s="89">
        <f>DA$52*DA85</f>
        <v>0</v>
      </c>
      <c r="DB86" s="89">
        <f>DB$52*DB85</f>
        <v>0</v>
      </c>
      <c r="DC86" s="499">
        <f>DD86+DE86</f>
        <v>0</v>
      </c>
      <c r="DD86" s="89">
        <f>DD$52*DD85</f>
        <v>0</v>
      </c>
      <c r="DE86" s="89">
        <f>DE$52*DE85</f>
        <v>0</v>
      </c>
      <c r="DF86" s="499">
        <f>DG86+DH86</f>
        <v>0</v>
      </c>
      <c r="DG86" s="89">
        <f>DG$52*DG85</f>
        <v>0</v>
      </c>
      <c r="DH86" s="89">
        <f>DH$52*DH85</f>
        <v>0</v>
      </c>
      <c r="DI86" s="499">
        <f>DJ86+DK86</f>
        <v>0</v>
      </c>
      <c r="DJ86" s="89">
        <f>DJ$52*DJ85</f>
        <v>0</v>
      </c>
      <c r="DK86" s="89">
        <f>DK$52*DK85</f>
        <v>0</v>
      </c>
      <c r="DL86" s="499">
        <f>DM86+DN86</f>
        <v>0</v>
      </c>
      <c r="DM86" s="89">
        <f>DM$52*DM85</f>
        <v>0</v>
      </c>
      <c r="DN86" s="89">
        <f>DN$52*DN85</f>
        <v>0</v>
      </c>
      <c r="DO86" s="499">
        <f>DP86+DQ86</f>
        <v>0</v>
      </c>
      <c r="DP86" s="89">
        <f>DP$52*DP85</f>
        <v>0</v>
      </c>
      <c r="DQ86" s="89">
        <f>DQ$52*DQ85</f>
        <v>0</v>
      </c>
      <c r="DR86" s="499">
        <f>DS86+DT86</f>
        <v>0</v>
      </c>
      <c r="DS86" s="89">
        <f>DS$52*DS85</f>
        <v>0</v>
      </c>
      <c r="DT86" s="89">
        <f>DT$52*DT85</f>
        <v>0</v>
      </c>
      <c r="DU86" s="499">
        <f>DV86+DW86</f>
        <v>0</v>
      </c>
      <c r="DV86" s="89">
        <f>DV$52*DV85</f>
        <v>0</v>
      </c>
      <c r="DW86" s="89">
        <f>DW$52*DW85</f>
        <v>0</v>
      </c>
      <c r="DX86" s="499">
        <f>DY86+DZ86</f>
        <v>0</v>
      </c>
      <c r="DY86" s="89">
        <f>DY$52*DY85</f>
        <v>0</v>
      </c>
      <c r="DZ86" s="89">
        <f>DZ$52*DZ85</f>
        <v>0</v>
      </c>
      <c r="EA86" s="499">
        <f>EB86+EC86</f>
        <v>0</v>
      </c>
      <c r="EB86" s="89">
        <f>EB$52*EB85</f>
        <v>0</v>
      </c>
      <c r="EC86" s="89">
        <f>EC$52*EC85</f>
        <v>0</v>
      </c>
      <c r="ED86" s="499">
        <f>EE86+EF86</f>
        <v>0</v>
      </c>
      <c r="EE86" s="89">
        <f>EE$52*EE85</f>
        <v>0</v>
      </c>
      <c r="EF86" s="89">
        <f>EF$52*EF85</f>
        <v>0</v>
      </c>
      <c r="EG86" s="499">
        <f>EH86+EI86</f>
        <v>0</v>
      </c>
      <c r="EH86" s="89">
        <f>EH$52*EH85</f>
        <v>0</v>
      </c>
      <c r="EI86" s="89">
        <f>EI$52*EI85</f>
        <v>0</v>
      </c>
      <c r="EJ86" s="499">
        <f>EK86+EL86</f>
        <v>0</v>
      </c>
      <c r="EK86" s="89">
        <f>EK$52*EK85</f>
        <v>0</v>
      </c>
      <c r="EL86" s="89">
        <f>EL$52*EL85</f>
        <v>0</v>
      </c>
      <c r="EM86" s="499">
        <f>EN86+EO86</f>
        <v>0</v>
      </c>
      <c r="EN86" s="89">
        <f>EN$52*EN85</f>
        <v>0</v>
      </c>
      <c r="EO86" s="89">
        <f>EO$52*EO85</f>
        <v>0</v>
      </c>
      <c r="EP86" s="499">
        <f>EQ86+ER86</f>
        <v>0</v>
      </c>
      <c r="EQ86" s="89">
        <f>EQ$52*EQ85</f>
        <v>0</v>
      </c>
      <c r="ER86" s="89">
        <f>ER$52*ER85</f>
        <v>0</v>
      </c>
      <c r="ES86" s="499">
        <f>ET86+EU86</f>
        <v>0</v>
      </c>
      <c r="ET86" s="89">
        <f>ET$52*ET85</f>
        <v>0</v>
      </c>
      <c r="EU86" s="89">
        <f>EU$52*EU85</f>
        <v>0</v>
      </c>
      <c r="EV86" s="499">
        <f>EW86+EX86</f>
        <v>0</v>
      </c>
      <c r="EW86" s="89">
        <f>EW$52*EW85</f>
        <v>0</v>
      </c>
      <c r="EX86" s="89">
        <f>EX$52*EX85</f>
        <v>0</v>
      </c>
      <c r="EY86" s="499">
        <f>EZ86+FA86</f>
        <v>0</v>
      </c>
      <c r="EZ86" s="89">
        <f>EZ$52*EZ85</f>
        <v>0</v>
      </c>
      <c r="FA86" s="89">
        <f>FA$52*FA85</f>
        <v>0</v>
      </c>
      <c r="FB86" s="83"/>
      <c r="FE86" s="489" t="s">
        <v>940</v>
      </c>
      <c r="FK86" s="1157" cm="1" t="str">
        <f t="array" ref="FK86:FK86">OFFSET(FJ86,-1,1)</f>
        <v>0</v>
      </c>
      <c r="FL86" s="1159"/>
      <c r="FM86" s="1078" t="s">
        <v>824</v>
      </c>
      <c r="FN86" s="1159"/>
      <c r="FO86" s="1159"/>
      <c r="FP86" s="1159"/>
      <c r="FQ86" s="1159"/>
      <c r="FR86" s="1159"/>
      <c r="FS86" s="1159"/>
      <c r="FT86" s="1078" t="s">
        <v>929</v>
      </c>
      <c r="FU86" s="1159"/>
      <c r="FV86" s="1159"/>
      <c r="FW86" s="1159"/>
      <c r="FX86" s="1078" t="s">
        <v>303</v>
      </c>
      <c r="FY86" s="1078" t="s">
        <v>919</v>
      </c>
      <c r="FZ86" s="1078" t="s">
        <v>920</v>
      </c>
    </row>
    <row customHeight="1" ht="16.575" hidden="1">
      <c r="E87" s="180">
        <v>17</v>
      </c>
      <c r="F87" s="175" cm="1" t="str">
        <f t="array" ref="F87:F87">OFFSET(G87,-1,-1)</f>
        <v>0</v>
      </c>
      <c r="L87" s="175" cm="1" t="str">
        <f t="array" ref="L87:L87">OFFSET(M87,-1,-1)</f>
        <v>false</v>
      </c>
      <c r="S87" s="175" cm="1" t="str">
        <f t="array" ref="S87:S87">OFFSET(T87,-1,-1)</f>
        <v>false</v>
      </c>
      <c r="T87" s="175">
        <f>AD87&lt;&gt;"28.0"</f>
        <v>0</v>
      </c>
      <c r="U87" s="753">
        <f>AND(S87,IF(ISBLANK(T87),TRUE,T87))</f>
        <v>0</v>
      </c>
      <c r="X87" s="175" t="s">
        <v>189</v>
      </c>
      <c r="AB87" s="1613"/>
      <c r="AD87" s="491" t="s">
        <v>941</v>
      </c>
      <c r="AE87" s="514"/>
      <c r="AF87" s="515"/>
      <c r="AG87" s="470" t="s">
        <v>917</v>
      </c>
      <c r="AH87" s="88"/>
      <c r="AI87" s="89"/>
      <c r="AJ87" s="89"/>
      <c r="AK87" s="89"/>
      <c r="AL87" s="499">
        <f>AM87+AN87</f>
        <v>0</v>
      </c>
      <c r="AM87" s="89">
        <f>AM83*AM64/1000</f>
        <v>0</v>
      </c>
      <c r="AN87" s="89">
        <f>AN83*AN64/1000</f>
        <v>0</v>
      </c>
      <c r="AO87" s="499">
        <f>AP87+AQ87</f>
        <v>0</v>
      </c>
      <c r="AP87" s="89">
        <f>AP83*AP64/1000</f>
        <v>0</v>
      </c>
      <c r="AQ87" s="89">
        <f>AQ83*AQ64/1000</f>
        <v>0</v>
      </c>
      <c r="AR87" s="499">
        <f>AS87+AT87</f>
        <v>0</v>
      </c>
      <c r="AS87" s="89">
        <f>AS83*AS64/1000</f>
        <v>0</v>
      </c>
      <c r="AT87" s="89">
        <f>AT83*AT64/1000</f>
        <v>0</v>
      </c>
      <c r="AU87" s="499">
        <f>AV87+AW87</f>
        <v>0</v>
      </c>
      <c r="AV87" s="89">
        <f>AV83*AV64/1000</f>
        <v>0</v>
      </c>
      <c r="AW87" s="89">
        <f>AW83*AW64/1000</f>
        <v>0</v>
      </c>
      <c r="AX87" s="499">
        <f>AY87+AZ87</f>
        <v>0</v>
      </c>
      <c r="AY87" s="89">
        <f>AY83*AY64/1000</f>
        <v>0</v>
      </c>
      <c r="AZ87" s="89">
        <f>AZ83*AZ64/1000</f>
        <v>0</v>
      </c>
      <c r="BA87" s="499">
        <f>BB87+BC87</f>
        <v>0</v>
      </c>
      <c r="BB87" s="89">
        <f>BB83*BB64/1000</f>
        <v>0</v>
      </c>
      <c r="BC87" s="89">
        <f>BC83*BC64/1000</f>
        <v>0</v>
      </c>
      <c r="BD87" s="499">
        <f>BE87+BF87</f>
        <v>0</v>
      </c>
      <c r="BE87" s="89">
        <f>BE83*BE64/1000</f>
        <v>0</v>
      </c>
      <c r="BF87" s="89">
        <f>BF83*BF64/1000</f>
        <v>0</v>
      </c>
      <c r="BG87" s="499">
        <f>BH87+BI87</f>
        <v>0</v>
      </c>
      <c r="BH87" s="89">
        <f>BH83*BH64/1000</f>
        <v>0</v>
      </c>
      <c r="BI87" s="89">
        <f>BI83*BI64/1000</f>
        <v>0</v>
      </c>
      <c r="BJ87" s="499">
        <f>BK87+BL87</f>
        <v>0</v>
      </c>
      <c r="BK87" s="89">
        <f>BK83*BK64/1000</f>
        <v>0</v>
      </c>
      <c r="BL87" s="89">
        <f>BL83*BL64/1000</f>
        <v>0</v>
      </c>
      <c r="BM87" s="499">
        <f>BN87+BO87</f>
        <v>0</v>
      </c>
      <c r="BN87" s="89">
        <f>BN83*BN64/1000</f>
        <v>0</v>
      </c>
      <c r="BO87" s="89">
        <f>BO83*BO64/1000</f>
        <v>0</v>
      </c>
      <c r="BP87" s="499">
        <f>BQ87+BR87</f>
        <v>0</v>
      </c>
      <c r="BQ87" s="89">
        <f>BQ83*BQ64/1000</f>
        <v>0</v>
      </c>
      <c r="BR87" s="89">
        <f>BR83*BR64/1000</f>
        <v>0</v>
      </c>
      <c r="BS87" s="499">
        <f>BT87+BU87</f>
        <v>0</v>
      </c>
      <c r="BT87" s="89">
        <f>BT83*BT64/1000</f>
        <v>0</v>
      </c>
      <c r="BU87" s="89">
        <f>BU83*BU64/1000</f>
        <v>0</v>
      </c>
      <c r="BV87" s="499">
        <f>BW87+BX87</f>
        <v>0</v>
      </c>
      <c r="BW87" s="89">
        <f>BW83*BW64/1000</f>
        <v>0</v>
      </c>
      <c r="BX87" s="89">
        <f>BX83*BX64/1000</f>
        <v>0</v>
      </c>
      <c r="BY87" s="499">
        <f>BZ87+CA87</f>
        <v>0</v>
      </c>
      <c r="BZ87" s="89">
        <f>BZ83*BZ64/1000</f>
        <v>0</v>
      </c>
      <c r="CA87" s="89">
        <f>CA83*CA64/1000</f>
        <v>0</v>
      </c>
      <c r="CB87" s="499">
        <f>CC87+CD87</f>
        <v>0</v>
      </c>
      <c r="CC87" s="89">
        <f>CC83*CC64/1000</f>
        <v>0</v>
      </c>
      <c r="CD87" s="89">
        <f>CD83*CD64/1000</f>
        <v>0</v>
      </c>
      <c r="CE87" s="499">
        <f>CF87+CG87</f>
        <v>0</v>
      </c>
      <c r="CF87" s="89">
        <f>CF83*CF64/1000</f>
        <v>0</v>
      </c>
      <c r="CG87" s="89">
        <f>CG83*CG64/1000</f>
        <v>0</v>
      </c>
      <c r="CH87" s="499">
        <f>CI87+CJ87</f>
        <v>0</v>
      </c>
      <c r="CI87" s="89">
        <f>CI83*CI64/1000</f>
        <v>0</v>
      </c>
      <c r="CJ87" s="89">
        <f>CJ83*CJ64/1000</f>
        <v>0</v>
      </c>
      <c r="CK87" s="499">
        <f>CL87+CM87</f>
        <v>0</v>
      </c>
      <c r="CL87" s="89">
        <f>CL83*CL64/1000</f>
        <v>0</v>
      </c>
      <c r="CM87" s="89">
        <f>CM83*CM64/1000</f>
        <v>0</v>
      </c>
      <c r="CN87" s="499">
        <f>CO87+CP87</f>
        <v>0</v>
      </c>
      <c r="CO87" s="89">
        <f>CO83*CO64/1000</f>
        <v>0</v>
      </c>
      <c r="CP87" s="89">
        <f>CP83*CP64/1000</f>
        <v>0</v>
      </c>
      <c r="CQ87" s="499">
        <f>CR87+CS87</f>
        <v>0</v>
      </c>
      <c r="CR87" s="89">
        <f>CR83*CR64/1000</f>
        <v>0</v>
      </c>
      <c r="CS87" s="89">
        <f>CS83*CS64/1000</f>
        <v>0</v>
      </c>
      <c r="CT87" s="499">
        <f>CU87+CV87</f>
        <v>0</v>
      </c>
      <c r="CU87" s="498">
        <f>CU83*CU64/1000</f>
        <v>0</v>
      </c>
      <c r="CV87" s="498">
        <f>CV83*CV64/1000</f>
        <v>0</v>
      </c>
      <c r="CW87" s="499">
        <f>CX87+CY87</f>
        <v>0</v>
      </c>
      <c r="CX87" s="89">
        <f>CX83*CX64/1000</f>
        <v>0</v>
      </c>
      <c r="CY87" s="89">
        <f>CY83*CY64/1000</f>
        <v>0</v>
      </c>
      <c r="CZ87" s="499">
        <f>DA87+DB87</f>
        <v>0</v>
      </c>
      <c r="DA87" s="89">
        <f>DA83*DA64/1000</f>
        <v>0</v>
      </c>
      <c r="DB87" s="89">
        <f>DB83*DB64/1000</f>
        <v>0</v>
      </c>
      <c r="DC87" s="499">
        <f>DD87+DE87</f>
        <v>0</v>
      </c>
      <c r="DD87" s="89">
        <f>DD83*DD64/1000</f>
        <v>0</v>
      </c>
      <c r="DE87" s="89">
        <f>DE83*DE64/1000</f>
        <v>0</v>
      </c>
      <c r="DF87" s="499">
        <f>DG87+DH87</f>
        <v>0</v>
      </c>
      <c r="DG87" s="89">
        <f>DG83*DG64/1000</f>
        <v>0</v>
      </c>
      <c r="DH87" s="89">
        <f>DH83*DH64/1000</f>
        <v>0</v>
      </c>
      <c r="DI87" s="499">
        <f>DJ87+DK87</f>
        <v>0</v>
      </c>
      <c r="DJ87" s="89">
        <f>DJ83*DJ64/1000</f>
        <v>0</v>
      </c>
      <c r="DK87" s="89">
        <f>DK83*DK64/1000</f>
        <v>0</v>
      </c>
      <c r="DL87" s="499">
        <f>DM87+DN87</f>
        <v>0</v>
      </c>
      <c r="DM87" s="89">
        <f>DM83*DM64/1000</f>
        <v>0</v>
      </c>
      <c r="DN87" s="89">
        <f>DN83*DN64/1000</f>
        <v>0</v>
      </c>
      <c r="DO87" s="499">
        <f>DP87+DQ87</f>
        <v>0</v>
      </c>
      <c r="DP87" s="89">
        <f>DP83*DP64/1000</f>
        <v>0</v>
      </c>
      <c r="DQ87" s="89">
        <f>DQ83*DQ64/1000</f>
        <v>0</v>
      </c>
      <c r="DR87" s="499">
        <f>DS87+DT87</f>
        <v>0</v>
      </c>
      <c r="DS87" s="89">
        <f>DS83*DS64/1000</f>
        <v>0</v>
      </c>
      <c r="DT87" s="89">
        <f>DT83*DT64/1000</f>
        <v>0</v>
      </c>
      <c r="DU87" s="499">
        <f>DV87+DW87</f>
        <v>0</v>
      </c>
      <c r="DV87" s="89">
        <f>DV83*DV64/1000</f>
        <v>0</v>
      </c>
      <c r="DW87" s="89">
        <f>DW83*DW64/1000</f>
        <v>0</v>
      </c>
      <c r="DX87" s="499">
        <f>DY87+DZ87</f>
        <v>0</v>
      </c>
      <c r="DY87" s="89">
        <f>DY83*DY64/1000</f>
        <v>0</v>
      </c>
      <c r="DZ87" s="89">
        <f>DZ83*DZ64/1000</f>
        <v>0</v>
      </c>
      <c r="EA87" s="499">
        <f>EB87+EC87</f>
        <v>0</v>
      </c>
      <c r="EB87" s="89">
        <f>EB83*EB64/1000</f>
        <v>0</v>
      </c>
      <c r="EC87" s="89">
        <f>EC83*EC64/1000</f>
        <v>0</v>
      </c>
      <c r="ED87" s="499">
        <f>EE87+EF87</f>
        <v>0</v>
      </c>
      <c r="EE87" s="89">
        <f>EE83*EE64/1000</f>
        <v>0</v>
      </c>
      <c r="EF87" s="89">
        <f>EF83*EF64/1000</f>
        <v>0</v>
      </c>
      <c r="EG87" s="499">
        <f>EH87+EI87</f>
        <v>0</v>
      </c>
      <c r="EH87" s="89">
        <f>EH83*EH64/1000</f>
        <v>0</v>
      </c>
      <c r="EI87" s="89">
        <f>EI83*EI64/1000</f>
        <v>0</v>
      </c>
      <c r="EJ87" s="499">
        <f>EK87+EL87</f>
        <v>0</v>
      </c>
      <c r="EK87" s="89">
        <f>EK83*EK64/1000</f>
        <v>0</v>
      </c>
      <c r="EL87" s="89">
        <f>EL83*EL64/1000</f>
        <v>0</v>
      </c>
      <c r="EM87" s="499">
        <f>EN87+EO87</f>
        <v>0</v>
      </c>
      <c r="EN87" s="89">
        <f>EN83*EN64/1000</f>
        <v>0</v>
      </c>
      <c r="EO87" s="89">
        <f>EO83*EO64/1000</f>
        <v>0</v>
      </c>
      <c r="EP87" s="499">
        <f>EQ87+ER87</f>
        <v>0</v>
      </c>
      <c r="EQ87" s="89">
        <f>EQ83*EQ64/1000</f>
        <v>0</v>
      </c>
      <c r="ER87" s="89">
        <f>ER83*ER64/1000</f>
        <v>0</v>
      </c>
      <c r="ES87" s="499">
        <f>ET87+EU87</f>
        <v>0</v>
      </c>
      <c r="ET87" s="89">
        <f>ET83*ET64/1000</f>
        <v>0</v>
      </c>
      <c r="EU87" s="89">
        <f>EU83*EU64/1000</f>
        <v>0</v>
      </c>
      <c r="EV87" s="499">
        <f>EW87+EX87</f>
        <v>0</v>
      </c>
      <c r="EW87" s="89">
        <f>EW83*EW64/1000</f>
        <v>0</v>
      </c>
      <c r="EX87" s="89">
        <f>EX83*EX64/1000</f>
        <v>0</v>
      </c>
      <c r="EY87" s="499">
        <f>EZ87+FA87</f>
        <v>0</v>
      </c>
      <c r="EZ87" s="89">
        <f>EZ83*EZ64/1000</f>
        <v>0</v>
      </c>
      <c r="FA87" s="89">
        <f>FA83*FA64/1000</f>
        <v>0</v>
      </c>
      <c r="FB87" s="83"/>
      <c r="FE87" s="489" t="s">
        <v>940</v>
      </c>
      <c r="FF87" s="648" t="s">
        <v>890</v>
      </c>
      <c r="FG87" s="648" cm="1" t="str">
        <f t="array" ref="FG87:FG87">AE87</f>
        <v>0</v>
      </c>
      <c r="FH87" s="648" cm="1" t="str">
        <f t="array" ref="FH87:FH87">AF87</f>
        <v>0</v>
      </c>
      <c r="FK87" s="1157" cm="1" t="str">
        <f t="array" ref="FK87:FK87">OFFSET(FJ87,-1,1)</f>
        <v>0</v>
      </c>
      <c r="FL87" s="1159"/>
      <c r="FM87" s="1159"/>
      <c r="FN87" s="1159"/>
      <c r="FO87" s="1159"/>
      <c r="FP87" s="1159"/>
      <c r="FQ87" s="1159"/>
      <c r="FR87" s="1159"/>
      <c r="FS87" s="1159"/>
      <c r="FT87" s="1159" t="s">
        <v>929</v>
      </c>
      <c r="FU87" s="1159"/>
      <c r="FV87" s="1159" t="s">
        <v>449</v>
      </c>
      <c r="FW87" s="1078" t="str">
        <f>$AE87&amp;"|"&amp;$AF87</f>
        <v>|</v>
      </c>
      <c r="FX87" s="1159" t="s">
        <v>303</v>
      </c>
      <c r="FY87" s="1159" t="s">
        <v>919</v>
      </c>
      <c r="FZ87" s="1159" t="s">
        <v>920</v>
      </c>
    </row>
    <row customHeight="1" ht="15" hidden="1">
      <c r="E88" s="965">
        <v>0</v>
      </c>
      <c r="F88" s="175" cm="1" t="str">
        <f t="array" ref="F88:F88">OFFSET(G88,-1,-1)</f>
        <v>0</v>
      </c>
      <c r="L88" s="175" cm="1" t="str">
        <f t="array" ref="L88:L88">OFFSET(M88,-1,-1)</f>
        <v>false</v>
      </c>
      <c r="S88" s="175" cm="1" t="str">
        <f t="array" ref="S88:S88">OFFSET(T88,-1,-1)</f>
        <v>false</v>
      </c>
      <c r="U88" s="753">
        <f>AND(S88,IF(ISBLANK(T88),TRUE,T88))</f>
        <v>0</v>
      </c>
      <c r="X88" s="980" t="str">
        <f>"{                  
         funcDyn: 'msg1',
         blok: 'blok_2',
         wsCross: 'Топливо 4.4',
         linkFormula: 'AE-AE#AF-AF',
         levelDyn: "&amp;Y28&amp;"
}"</f>
        <v>{                  
         funcDyn: 'msg1',
         blok: 'blok_2',
         wsCross: 'Топливо 4.4',
         linkFormula: 'AE-AE#AF-AF',
         levelDyn: 0
}</v>
      </c>
      <c r="AB88" s="1613"/>
      <c r="AD88" s="517"/>
      <c r="AE88" s="518" t="s">
        <v>191</v>
      </c>
      <c r="AF88" s="519"/>
      <c r="AG88" s="470"/>
      <c r="AH88" s="524"/>
      <c r="AI88" s="525"/>
      <c r="AJ88" s="525"/>
      <c r="AK88" s="525"/>
      <c r="AL88" s="525"/>
      <c r="AM88" s="525"/>
      <c r="AN88" s="525"/>
      <c r="AO88" s="525"/>
      <c r="AP88" s="525"/>
      <c r="AQ88" s="525"/>
      <c r="AR88" s="525"/>
      <c r="AS88" s="525"/>
      <c r="AT88" s="525"/>
      <c r="AU88" s="525"/>
      <c r="AV88" s="525"/>
      <c r="AW88" s="525"/>
      <c r="AX88" s="525"/>
      <c r="AY88" s="525"/>
      <c r="AZ88" s="525"/>
      <c r="BA88" s="525"/>
      <c r="BB88" s="525"/>
      <c r="BC88" s="525"/>
      <c r="BD88" s="525"/>
      <c r="BE88" s="525"/>
      <c r="BF88" s="525"/>
      <c r="BG88" s="525"/>
      <c r="BH88" s="525"/>
      <c r="BI88" s="525"/>
      <c r="BJ88" s="525"/>
      <c r="BK88" s="525"/>
      <c r="BL88" s="525"/>
      <c r="BM88" s="525"/>
      <c r="BN88" s="525"/>
      <c r="BO88" s="525"/>
      <c r="BP88" s="525"/>
      <c r="BQ88" s="525"/>
      <c r="BR88" s="525"/>
      <c r="BS88" s="525"/>
      <c r="BT88" s="525"/>
      <c r="BU88" s="525"/>
      <c r="BV88" s="525"/>
      <c r="BW88" s="525"/>
      <c r="BX88" s="525"/>
      <c r="BY88" s="525"/>
      <c r="BZ88" s="525"/>
      <c r="CA88" s="525"/>
      <c r="CB88" s="525"/>
      <c r="CC88" s="525"/>
      <c r="CD88" s="525"/>
      <c r="CE88" s="525"/>
      <c r="CF88" s="525"/>
      <c r="CG88" s="525"/>
      <c r="CH88" s="525"/>
      <c r="CI88" s="525"/>
      <c r="CJ88" s="525"/>
      <c r="CK88" s="525"/>
      <c r="CL88" s="525"/>
      <c r="CM88" s="525"/>
      <c r="CN88" s="525"/>
      <c r="CO88" s="525"/>
      <c r="CP88" s="525"/>
      <c r="CQ88" s="525"/>
      <c r="CR88" s="525"/>
      <c r="CS88" s="525"/>
      <c r="CT88" s="525"/>
      <c r="CU88" s="525"/>
      <c r="CV88" s="525"/>
      <c r="CW88" s="525"/>
      <c r="CX88" s="525"/>
      <c r="CY88" s="525"/>
      <c r="CZ88" s="525"/>
      <c r="DA88" s="525"/>
      <c r="DB88" s="525"/>
      <c r="DC88" s="525"/>
      <c r="DD88" s="525"/>
      <c r="DE88" s="525"/>
      <c r="DF88" s="525"/>
      <c r="DG88" s="525"/>
      <c r="DH88" s="525"/>
      <c r="DI88" s="525"/>
      <c r="DJ88" s="525"/>
      <c r="DK88" s="525"/>
      <c r="DL88" s="525"/>
      <c r="DM88" s="525"/>
      <c r="DN88" s="525"/>
      <c r="DO88" s="525"/>
      <c r="DP88" s="525"/>
      <c r="DQ88" s="525"/>
      <c r="DR88" s="525"/>
      <c r="DS88" s="525"/>
      <c r="DT88" s="525"/>
      <c r="DU88" s="525"/>
      <c r="DV88" s="525"/>
      <c r="DW88" s="525"/>
      <c r="DX88" s="525"/>
      <c r="DY88" s="525"/>
      <c r="DZ88" s="525"/>
      <c r="EA88" s="525"/>
      <c r="EB88" s="525"/>
      <c r="EC88" s="525"/>
      <c r="ED88" s="525"/>
      <c r="EE88" s="525"/>
      <c r="EF88" s="525"/>
      <c r="EG88" s="525"/>
      <c r="EH88" s="525"/>
      <c r="EI88" s="525"/>
      <c r="EJ88" s="525"/>
      <c r="EK88" s="525"/>
      <c r="EL88" s="525"/>
      <c r="EM88" s="525"/>
      <c r="EN88" s="525"/>
      <c r="EO88" s="525"/>
      <c r="EP88" s="525"/>
      <c r="EQ88" s="525"/>
      <c r="ER88" s="525"/>
      <c r="ES88" s="525"/>
      <c r="ET88" s="525"/>
      <c r="EU88" s="525"/>
      <c r="EV88" s="525"/>
      <c r="EW88" s="525"/>
      <c r="EX88" s="525"/>
      <c r="EY88" s="525"/>
      <c r="EZ88" s="525"/>
      <c r="FA88" s="525"/>
      <c r="FB88" s="93"/>
      <c r="FE88" s="489" t="str">
        <f>IF(AND(ISNUMBER(VALUE(TRIM(SUBSTITUTE(AD88,".","")))),TRIM(SUBSTITUTE(AD88,".",""))&lt;&gt;""),"P"&amp;SUBSTITUTE(AD88,".",""),"")</f>
        <v/>
      </c>
      <c r="FK88" s="1157" cm="1" t="str">
        <f t="array" ref="FK88:FK88">OFFSET(FJ88,-1,1)</f>
        <v>0</v>
      </c>
      <c r="FL88" s="1159"/>
      <c r="FM88" s="1159"/>
      <c r="FN88" s="1159"/>
      <c r="FO88" s="1159"/>
      <c r="FP88" s="1159"/>
      <c r="FQ88" s="1159"/>
      <c r="FR88" s="1159"/>
      <c r="FS88" s="1159"/>
      <c r="FT88" s="1159"/>
      <c r="FU88" s="1159"/>
      <c r="FV88" s="1159"/>
      <c r="FW88" s="1159"/>
      <c r="FX88" s="1159"/>
      <c r="FY88" s="1159"/>
      <c r="FZ88" s="1159"/>
    </row>
    <row customHeight="1" ht="29.25" hidden="1">
      <c r="E89" s="180">
        <v>30</v>
      </c>
      <c r="F89" s="175" cm="1" t="str">
        <f t="array" ref="F89:F89">OFFSET(G89,-1,-1)</f>
        <v>0</v>
      </c>
      <c r="L89" s="175" cm="1" t="str">
        <f t="array" ref="L89:L89">OFFSET(M89,-1,-1)</f>
        <v>false</v>
      </c>
      <c r="R89" s="175" t="s">
        <v>804</v>
      </c>
      <c r="S89" s="175" cm="1" t="str">
        <f t="array" ref="S89:S89">OFFSET(T89,-1,-1)</f>
        <v>false</v>
      </c>
      <c r="T89" s="175" cm="1" t="str">
        <f t="array" ref="T89:T89">L89</f>
        <v>false</v>
      </c>
      <c r="U89" s="753">
        <f>AND(S89,IF(ISBLANK(T89),TRUE,T89))</f>
        <v>0</v>
      </c>
      <c r="AB89" s="1613"/>
      <c r="AD89" s="327">
        <v>29</v>
      </c>
      <c r="AE89" s="1623" t="s">
        <v>942</v>
      </c>
      <c r="AF89" s="437"/>
      <c r="AG89" s="470" t="s">
        <v>917</v>
      </c>
      <c r="AH89" s="500">
        <f>SUM(AH90:AH91)</f>
        <v>0</v>
      </c>
      <c r="AI89" s="500">
        <f>SUM(AI90:AI91)</f>
        <v>0</v>
      </c>
      <c r="AJ89" s="500">
        <f>SUM(AJ90:AJ91)</f>
        <v>0</v>
      </c>
      <c r="AK89" s="500">
        <f>SUM(AK90:AK91)</f>
        <v>0</v>
      </c>
      <c r="AL89" s="500">
        <f>SUM(AL90:AL91)</f>
        <v>0</v>
      </c>
      <c r="AM89" s="500">
        <f>SUM(AM90:AM91)</f>
        <v>0</v>
      </c>
      <c r="AN89" s="500">
        <f>SUM(AN90:AN91)</f>
        <v>0</v>
      </c>
      <c r="AO89" s="500">
        <f>SUM(AO90:AO91)</f>
        <v>0</v>
      </c>
      <c r="AP89" s="500">
        <f>SUM(AP90:AP91)</f>
        <v>0</v>
      </c>
      <c r="AQ89" s="500">
        <f>SUM(AQ90:AQ91)</f>
        <v>0</v>
      </c>
      <c r="AR89" s="500">
        <f>SUM(AR90:AR91)</f>
        <v>0</v>
      </c>
      <c r="AS89" s="500">
        <f>SUM(AS90:AS91)</f>
        <v>0</v>
      </c>
      <c r="AT89" s="500">
        <f>SUM(AT90:AT91)</f>
        <v>0</v>
      </c>
      <c r="AU89" s="500">
        <f>SUM(AU90:AU91)</f>
        <v>0</v>
      </c>
      <c r="AV89" s="500">
        <f>SUM(AV90:AV91)</f>
        <v>0</v>
      </c>
      <c r="AW89" s="500">
        <f>SUM(AW90:AW91)</f>
        <v>0</v>
      </c>
      <c r="AX89" s="500">
        <f>SUM(AX90:AX91)</f>
        <v>0</v>
      </c>
      <c r="AY89" s="500">
        <f>SUM(AY90:AY91)</f>
        <v>0</v>
      </c>
      <c r="AZ89" s="500">
        <f>SUM(AZ90:AZ91)</f>
        <v>0</v>
      </c>
      <c r="BA89" s="500">
        <f>SUM(BA90:BA91)</f>
        <v>0</v>
      </c>
      <c r="BB89" s="500">
        <f>SUM(BB90:BB91)</f>
        <v>0</v>
      </c>
      <c r="BC89" s="500">
        <f>SUM(BC90:BC91)</f>
        <v>0</v>
      </c>
      <c r="BD89" s="500">
        <f>SUM(BD90:BD91)</f>
        <v>0</v>
      </c>
      <c r="BE89" s="500">
        <f>SUM(BE90:BE91)</f>
        <v>0</v>
      </c>
      <c r="BF89" s="500">
        <f>SUM(BF90:BF91)</f>
        <v>0</v>
      </c>
      <c r="BG89" s="500">
        <f>SUM(BG90:BG91)</f>
        <v>0</v>
      </c>
      <c r="BH89" s="500">
        <f>SUM(BH90:BH91)</f>
        <v>0</v>
      </c>
      <c r="BI89" s="500">
        <f>SUM(BI90:BI91)</f>
        <v>0</v>
      </c>
      <c r="BJ89" s="500">
        <f>SUM(BJ90:BJ91)</f>
        <v>0</v>
      </c>
      <c r="BK89" s="500">
        <f>SUM(BK90:BK91)</f>
        <v>0</v>
      </c>
      <c r="BL89" s="500">
        <f>SUM(BL90:BL91)</f>
        <v>0</v>
      </c>
      <c r="BM89" s="500">
        <f>SUM(BM90:BM91)</f>
        <v>0</v>
      </c>
      <c r="BN89" s="500">
        <f>SUM(BN90:BN91)</f>
        <v>0</v>
      </c>
      <c r="BO89" s="500">
        <f>SUM(BO90:BO91)</f>
        <v>0</v>
      </c>
      <c r="BP89" s="500">
        <f>SUM(BP90:BP91)</f>
        <v>0</v>
      </c>
      <c r="BQ89" s="500">
        <f>SUM(BQ90:BQ91)</f>
        <v>0</v>
      </c>
      <c r="BR89" s="500">
        <f>SUM(BR90:BR91)</f>
        <v>0</v>
      </c>
      <c r="BS89" s="500">
        <f>SUM(BS90:BS91)</f>
        <v>0</v>
      </c>
      <c r="BT89" s="500">
        <f>SUM(BT90:BT91)</f>
        <v>0</v>
      </c>
      <c r="BU89" s="500">
        <f>SUM(BU90:BU91)</f>
        <v>0</v>
      </c>
      <c r="BV89" s="500">
        <f>SUM(BV90:BV91)</f>
        <v>0</v>
      </c>
      <c r="BW89" s="500">
        <f>SUM(BW90:BW91)</f>
        <v>0</v>
      </c>
      <c r="BX89" s="500">
        <f>SUM(BX90:BX91)</f>
        <v>0</v>
      </c>
      <c r="BY89" s="500">
        <f>SUM(BY90:BY91)</f>
        <v>0</v>
      </c>
      <c r="BZ89" s="500">
        <f>SUM(BZ90:BZ91)</f>
        <v>0</v>
      </c>
      <c r="CA89" s="500">
        <f>SUM(CA90:CA91)</f>
        <v>0</v>
      </c>
      <c r="CB89" s="500">
        <f>SUM(CB90:CB91)</f>
        <v>0</v>
      </c>
      <c r="CC89" s="500">
        <f>SUM(CC90:CC91)</f>
        <v>0</v>
      </c>
      <c r="CD89" s="500">
        <f>SUM(CD90:CD91)</f>
        <v>0</v>
      </c>
      <c r="CE89" s="500">
        <f>SUM(CE90:CE91)</f>
        <v>0</v>
      </c>
      <c r="CF89" s="500">
        <f>SUM(CF90:CF91)</f>
        <v>0</v>
      </c>
      <c r="CG89" s="500">
        <f>SUM(CG90:CG91)</f>
        <v>0</v>
      </c>
      <c r="CH89" s="500">
        <f>SUM(CH90:CH91)</f>
        <v>0</v>
      </c>
      <c r="CI89" s="500">
        <f>SUM(CI90:CI91)</f>
        <v>0</v>
      </c>
      <c r="CJ89" s="500">
        <f>SUM(CJ90:CJ91)</f>
        <v>0</v>
      </c>
      <c r="CK89" s="500">
        <f>SUM(CK90:CK91)</f>
        <v>0</v>
      </c>
      <c r="CL89" s="500">
        <f>SUM(CL90:CL91)</f>
        <v>0</v>
      </c>
      <c r="CM89" s="500">
        <f>SUM(CM90:CM91)</f>
        <v>0</v>
      </c>
      <c r="CN89" s="500">
        <f>SUM(CN90:CN91)</f>
        <v>0</v>
      </c>
      <c r="CO89" s="500">
        <f>SUM(CO90:CO91)</f>
        <v>0</v>
      </c>
      <c r="CP89" s="500">
        <f>SUM(CP90:CP91)</f>
        <v>0</v>
      </c>
      <c r="CQ89" s="500">
        <f>SUM(CQ90:CQ91)</f>
        <v>0</v>
      </c>
      <c r="CR89" s="500">
        <f>SUM(CR90:CR91)</f>
        <v>0</v>
      </c>
      <c r="CS89" s="500">
        <f>SUM(CS90:CS91)</f>
        <v>0</v>
      </c>
      <c r="CT89" s="500">
        <f>SUM(CT90:CT91)</f>
        <v>0</v>
      </c>
      <c r="CU89" s="500">
        <f>SUM(CU90:CU91)</f>
        <v>0</v>
      </c>
      <c r="CV89" s="500">
        <f>SUM(CV90:CV91)</f>
        <v>0</v>
      </c>
      <c r="CW89" s="500">
        <f>SUM(CW90:CW91)</f>
        <v>0</v>
      </c>
      <c r="CX89" s="500">
        <f>SUM(CX90:CX91)</f>
        <v>0</v>
      </c>
      <c r="CY89" s="500">
        <f>SUM(CY90:CY91)</f>
        <v>0</v>
      </c>
      <c r="CZ89" s="500">
        <f>SUM(CZ90:CZ91)</f>
        <v>0</v>
      </c>
      <c r="DA89" s="500">
        <f>SUM(DA90:DA91)</f>
        <v>0</v>
      </c>
      <c r="DB89" s="500">
        <f>SUM(DB90:DB91)</f>
        <v>0</v>
      </c>
      <c r="DC89" s="500">
        <f>SUM(DC90:DC91)</f>
        <v>0</v>
      </c>
      <c r="DD89" s="500">
        <f>SUM(DD90:DD91)</f>
        <v>0</v>
      </c>
      <c r="DE89" s="500">
        <f>SUM(DE90:DE91)</f>
        <v>0</v>
      </c>
      <c r="DF89" s="500">
        <f>SUM(DF90:DF91)</f>
        <v>0</v>
      </c>
      <c r="DG89" s="500">
        <f>SUM(DG90:DG91)</f>
        <v>0</v>
      </c>
      <c r="DH89" s="500">
        <f>SUM(DH90:DH91)</f>
        <v>0</v>
      </c>
      <c r="DI89" s="500">
        <f>SUM(DI90:DI91)</f>
        <v>0</v>
      </c>
      <c r="DJ89" s="500">
        <f>SUM(DJ90:DJ91)</f>
        <v>0</v>
      </c>
      <c r="DK89" s="500">
        <f>SUM(DK90:DK91)</f>
        <v>0</v>
      </c>
      <c r="DL89" s="500">
        <f>SUM(DL90:DL91)</f>
        <v>0</v>
      </c>
      <c r="DM89" s="500">
        <f>SUM(DM90:DM91)</f>
        <v>0</v>
      </c>
      <c r="DN89" s="500">
        <f>SUM(DN90:DN91)</f>
        <v>0</v>
      </c>
      <c r="DO89" s="500">
        <f>SUM(DO90:DO91)</f>
        <v>0</v>
      </c>
      <c r="DP89" s="500">
        <f>SUM(DP90:DP91)</f>
        <v>0</v>
      </c>
      <c r="DQ89" s="500">
        <f>SUM(DQ90:DQ91)</f>
        <v>0</v>
      </c>
      <c r="DR89" s="500">
        <f>SUM(DR90:DR91)</f>
        <v>0</v>
      </c>
      <c r="DS89" s="500">
        <f>SUM(DS90:DS91)</f>
        <v>0</v>
      </c>
      <c r="DT89" s="500">
        <f>SUM(DT90:DT91)</f>
        <v>0</v>
      </c>
      <c r="DU89" s="500">
        <f>SUM(DU90:DU91)</f>
        <v>0</v>
      </c>
      <c r="DV89" s="500">
        <f>SUM(DV90:DV91)</f>
        <v>0</v>
      </c>
      <c r="DW89" s="500">
        <f>SUM(DW90:DW91)</f>
        <v>0</v>
      </c>
      <c r="DX89" s="500">
        <f>SUM(DX90:DX91)</f>
        <v>0</v>
      </c>
      <c r="DY89" s="500">
        <f>SUM(DY90:DY91)</f>
        <v>0</v>
      </c>
      <c r="DZ89" s="500">
        <f>SUM(DZ90:DZ91)</f>
        <v>0</v>
      </c>
      <c r="EA89" s="500">
        <f>SUM(EA90:EA91)</f>
        <v>0</v>
      </c>
      <c r="EB89" s="500">
        <f>SUM(EB90:EB91)</f>
        <v>0</v>
      </c>
      <c r="EC89" s="500">
        <f>SUM(EC90:EC91)</f>
        <v>0</v>
      </c>
      <c r="ED89" s="500">
        <f>SUM(ED90:ED91)</f>
        <v>0</v>
      </c>
      <c r="EE89" s="500">
        <f>SUM(EE90:EE91)</f>
        <v>0</v>
      </c>
      <c r="EF89" s="500">
        <f>SUM(EF90:EF91)</f>
        <v>0</v>
      </c>
      <c r="EG89" s="500">
        <f>SUM(EG90:EG91)</f>
        <v>0</v>
      </c>
      <c r="EH89" s="500">
        <f>SUM(EH90:EH91)</f>
        <v>0</v>
      </c>
      <c r="EI89" s="500">
        <f>SUM(EI90:EI91)</f>
        <v>0</v>
      </c>
      <c r="EJ89" s="500">
        <f>SUM(EJ90:EJ91)</f>
        <v>0</v>
      </c>
      <c r="EK89" s="500">
        <f>SUM(EK90:EK91)</f>
        <v>0</v>
      </c>
      <c r="EL89" s="500">
        <f>SUM(EL90:EL91)</f>
        <v>0</v>
      </c>
      <c r="EM89" s="500">
        <f>SUM(EM90:EM91)</f>
        <v>0</v>
      </c>
      <c r="EN89" s="500">
        <f>SUM(EN90:EN91)</f>
        <v>0</v>
      </c>
      <c r="EO89" s="500">
        <f>SUM(EO90:EO91)</f>
        <v>0</v>
      </c>
      <c r="EP89" s="500">
        <f>SUM(EP90:EP91)</f>
        <v>0</v>
      </c>
      <c r="EQ89" s="500">
        <f>SUM(EQ90:EQ91)</f>
        <v>0</v>
      </c>
      <c r="ER89" s="500">
        <f>SUM(ER90:ER91)</f>
        <v>0</v>
      </c>
      <c r="ES89" s="500">
        <f>SUM(ES90:ES91)</f>
        <v>0</v>
      </c>
      <c r="ET89" s="500">
        <f>SUM(ET90:ET91)</f>
        <v>0</v>
      </c>
      <c r="EU89" s="500">
        <f>SUM(EU90:EU91)</f>
        <v>0</v>
      </c>
      <c r="EV89" s="500">
        <f>SUM(EV90:EV91)</f>
        <v>0</v>
      </c>
      <c r="EW89" s="500">
        <f>SUM(EW90:EW91)</f>
        <v>0</v>
      </c>
      <c r="EX89" s="500">
        <f>SUM(EX90:EX91)</f>
        <v>0</v>
      </c>
      <c r="EY89" s="500">
        <f>SUM(EY90:EY91)</f>
        <v>0</v>
      </c>
      <c r="EZ89" s="500">
        <f>SUM(EZ90:EZ91)</f>
        <v>0</v>
      </c>
      <c r="FA89" s="500">
        <f>SUM(FA90:FA91)</f>
        <v>0</v>
      </c>
      <c r="FB89" s="83"/>
      <c r="FE89" s="489" t="s">
        <v>943</v>
      </c>
      <c r="FK89" s="1157" cm="1" t="str">
        <f t="array" ref="FK89:FK89">OFFSET(FJ89,-1,1)</f>
        <v>0</v>
      </c>
      <c r="FL89" s="1078"/>
      <c r="FM89" s="1078" t="s">
        <v>824</v>
      </c>
      <c r="FN89" s="1159"/>
      <c r="FO89" s="1159"/>
      <c r="FP89" s="1159"/>
      <c r="FQ89" s="1159"/>
      <c r="FR89" s="1078" t="s">
        <v>561</v>
      </c>
      <c r="FS89" s="1159"/>
      <c r="FT89" s="1078" t="s">
        <v>929</v>
      </c>
      <c r="FU89" s="1159"/>
      <c r="FV89" s="1159"/>
      <c r="FW89" s="1159"/>
      <c r="FX89" s="1078" t="s">
        <v>303</v>
      </c>
      <c r="FY89" s="1078" t="s">
        <v>919</v>
      </c>
      <c r="FZ89" s="1078" t="s">
        <v>920</v>
      </c>
    </row>
    <row customHeight="1" ht="16.575" hidden="1">
      <c r="E90" s="180">
        <v>17</v>
      </c>
      <c r="F90" s="175" cm="1" t="str">
        <f t="array" ref="F90:F90">OFFSET(G90,-1,-1)</f>
        <v>0</v>
      </c>
      <c r="L90" s="175" cm="1" t="str">
        <f t="array" ref="L90:L90">OFFSET(M90,-1,-1)</f>
        <v>false</v>
      </c>
      <c r="R90" s="175" t="s">
        <v>804</v>
      </c>
      <c r="S90" s="175" cm="1" t="str">
        <f t="array" ref="S90:S90">OFFSET(T90,-1,-1)</f>
        <v>false</v>
      </c>
      <c r="T90" s="175">
        <f>AND(L90,AD90&lt;&gt;"29.0")</f>
        <v>0</v>
      </c>
      <c r="U90" s="753">
        <f>AND(S90,IF(ISBLANK(T90),TRUE,T90))</f>
        <v>0</v>
      </c>
      <c r="X90" s="175" t="s">
        <v>189</v>
      </c>
      <c r="AB90" s="1613"/>
      <c r="AD90" s="491" t="s">
        <v>944</v>
      </c>
      <c r="AE90" s="514"/>
      <c r="AF90" s="515"/>
      <c r="AG90" s="470" t="s">
        <v>917</v>
      </c>
      <c r="AH90" s="88">
        <f>AH$52*AH87</f>
        <v>0</v>
      </c>
      <c r="AI90" s="89">
        <f>AI$52*AI87</f>
        <v>0</v>
      </c>
      <c r="AJ90" s="89">
        <f>AJ$52*AJ87</f>
        <v>0</v>
      </c>
      <c r="AK90" s="89">
        <f>AK$52*AK87</f>
        <v>0</v>
      </c>
      <c r="AL90" s="499">
        <f>AM90+AN90</f>
        <v>0</v>
      </c>
      <c r="AM90" s="89">
        <f>AM$52*AM87</f>
        <v>0</v>
      </c>
      <c r="AN90" s="89">
        <f>AN$52*AN87</f>
        <v>0</v>
      </c>
      <c r="AO90" s="499">
        <f>AP90+AQ90</f>
        <v>0</v>
      </c>
      <c r="AP90" s="89">
        <f>AP$52*AP87</f>
        <v>0</v>
      </c>
      <c r="AQ90" s="89">
        <f>AQ$52*AQ87</f>
        <v>0</v>
      </c>
      <c r="AR90" s="499">
        <f>AS90+AT90</f>
        <v>0</v>
      </c>
      <c r="AS90" s="89">
        <f>AS$52*AS87</f>
        <v>0</v>
      </c>
      <c r="AT90" s="89">
        <f>AT$52*AT87</f>
        <v>0</v>
      </c>
      <c r="AU90" s="499">
        <f>AV90+AW90</f>
        <v>0</v>
      </c>
      <c r="AV90" s="89">
        <f>AV$52*AV87</f>
        <v>0</v>
      </c>
      <c r="AW90" s="89">
        <f>AW$52*AW87</f>
        <v>0</v>
      </c>
      <c r="AX90" s="499">
        <f>AY90+AZ90</f>
        <v>0</v>
      </c>
      <c r="AY90" s="89">
        <f>AY$52*AY87</f>
        <v>0</v>
      </c>
      <c r="AZ90" s="89">
        <f>AZ$52*AZ87</f>
        <v>0</v>
      </c>
      <c r="BA90" s="499">
        <f>BB90+BC90</f>
        <v>0</v>
      </c>
      <c r="BB90" s="89">
        <f>BB$52*BB87</f>
        <v>0</v>
      </c>
      <c r="BC90" s="89">
        <f>BC$52*BC87</f>
        <v>0</v>
      </c>
      <c r="BD90" s="499">
        <f>BE90+BF90</f>
        <v>0</v>
      </c>
      <c r="BE90" s="89">
        <f>BE$52*BE87</f>
        <v>0</v>
      </c>
      <c r="BF90" s="89">
        <f>BF$52*BF87</f>
        <v>0</v>
      </c>
      <c r="BG90" s="499">
        <f>BH90+BI90</f>
        <v>0</v>
      </c>
      <c r="BH90" s="89">
        <f>BH$52*BH87</f>
        <v>0</v>
      </c>
      <c r="BI90" s="89">
        <f>BI$52*BI87</f>
        <v>0</v>
      </c>
      <c r="BJ90" s="499">
        <f>BK90+BL90</f>
        <v>0</v>
      </c>
      <c r="BK90" s="89">
        <f>BK$52*BK87</f>
        <v>0</v>
      </c>
      <c r="BL90" s="89">
        <f>BL$52*BL87</f>
        <v>0</v>
      </c>
      <c r="BM90" s="499">
        <f>BN90+BO90</f>
        <v>0</v>
      </c>
      <c r="BN90" s="89">
        <f>BN$52*BN87</f>
        <v>0</v>
      </c>
      <c r="BO90" s="89">
        <f>BO$52*BO87</f>
        <v>0</v>
      </c>
      <c r="BP90" s="499">
        <f>BQ90+BR90</f>
        <v>0</v>
      </c>
      <c r="BQ90" s="89">
        <f>BQ$52*BQ87</f>
        <v>0</v>
      </c>
      <c r="BR90" s="89">
        <f>BR$52*BR87</f>
        <v>0</v>
      </c>
      <c r="BS90" s="499">
        <f>BT90+BU90</f>
        <v>0</v>
      </c>
      <c r="BT90" s="89">
        <f>BT$52*BT87</f>
        <v>0</v>
      </c>
      <c r="BU90" s="89">
        <f>BU$52*BU87</f>
        <v>0</v>
      </c>
      <c r="BV90" s="499">
        <f>BW90+BX90</f>
        <v>0</v>
      </c>
      <c r="BW90" s="89">
        <f>BW$52*BW87</f>
        <v>0</v>
      </c>
      <c r="BX90" s="89">
        <f>BX$52*BX87</f>
        <v>0</v>
      </c>
      <c r="BY90" s="499">
        <f>BZ90+CA90</f>
        <v>0</v>
      </c>
      <c r="BZ90" s="89">
        <f>BZ$52*BZ87</f>
        <v>0</v>
      </c>
      <c r="CA90" s="89">
        <f>CA$52*CA87</f>
        <v>0</v>
      </c>
      <c r="CB90" s="499">
        <f>CC90+CD90</f>
        <v>0</v>
      </c>
      <c r="CC90" s="89">
        <f>CC$52*CC87</f>
        <v>0</v>
      </c>
      <c r="CD90" s="89">
        <f>CD$52*CD87</f>
        <v>0</v>
      </c>
      <c r="CE90" s="499">
        <f>CF90+CG90</f>
        <v>0</v>
      </c>
      <c r="CF90" s="89">
        <f>CF$52*CF87</f>
        <v>0</v>
      </c>
      <c r="CG90" s="89">
        <f>CG$52*CG87</f>
        <v>0</v>
      </c>
      <c r="CH90" s="499">
        <f>CI90+CJ90</f>
        <v>0</v>
      </c>
      <c r="CI90" s="89">
        <f>CI$52*CI87</f>
        <v>0</v>
      </c>
      <c r="CJ90" s="89">
        <f>CJ$52*CJ87</f>
        <v>0</v>
      </c>
      <c r="CK90" s="499">
        <f>CL90+CM90</f>
        <v>0</v>
      </c>
      <c r="CL90" s="89">
        <f>CL$52*CL87</f>
        <v>0</v>
      </c>
      <c r="CM90" s="89">
        <f>CM$52*CM87</f>
        <v>0</v>
      </c>
      <c r="CN90" s="499">
        <f>CO90+CP90</f>
        <v>0</v>
      </c>
      <c r="CO90" s="89">
        <f>CO$52*CO87</f>
        <v>0</v>
      </c>
      <c r="CP90" s="89">
        <f>CP$52*CP87</f>
        <v>0</v>
      </c>
      <c r="CQ90" s="499">
        <f>CR90+CS90</f>
        <v>0</v>
      </c>
      <c r="CR90" s="89">
        <f>CR$52*CR87</f>
        <v>0</v>
      </c>
      <c r="CS90" s="89">
        <f>CS$52*CS87</f>
        <v>0</v>
      </c>
      <c r="CT90" s="499">
        <f>CU90+CV90</f>
        <v>0</v>
      </c>
      <c r="CU90" s="498">
        <f>CU$52*CU87</f>
        <v>0</v>
      </c>
      <c r="CV90" s="498">
        <f>CV$52*CV87</f>
        <v>0</v>
      </c>
      <c r="CW90" s="499">
        <f>CX90+CY90</f>
        <v>0</v>
      </c>
      <c r="CX90" s="89">
        <f>CX$52*CX87</f>
        <v>0</v>
      </c>
      <c r="CY90" s="89">
        <f>CY$52*CY87</f>
        <v>0</v>
      </c>
      <c r="CZ90" s="499">
        <f>DA90+DB90</f>
        <v>0</v>
      </c>
      <c r="DA90" s="89">
        <f>DA$52*DA87</f>
        <v>0</v>
      </c>
      <c r="DB90" s="89">
        <f>DB$52*DB87</f>
        <v>0</v>
      </c>
      <c r="DC90" s="499">
        <f>DD90+DE90</f>
        <v>0</v>
      </c>
      <c r="DD90" s="89">
        <f>DD$52*DD87</f>
        <v>0</v>
      </c>
      <c r="DE90" s="89">
        <f>DE$52*DE87</f>
        <v>0</v>
      </c>
      <c r="DF90" s="499">
        <f>DG90+DH90</f>
        <v>0</v>
      </c>
      <c r="DG90" s="89">
        <f>DG$52*DG87</f>
        <v>0</v>
      </c>
      <c r="DH90" s="89">
        <f>DH$52*DH87</f>
        <v>0</v>
      </c>
      <c r="DI90" s="499">
        <f>DJ90+DK90</f>
        <v>0</v>
      </c>
      <c r="DJ90" s="89">
        <f>DJ$52*DJ87</f>
        <v>0</v>
      </c>
      <c r="DK90" s="89">
        <f>DK$52*DK87</f>
        <v>0</v>
      </c>
      <c r="DL90" s="499">
        <f>DM90+DN90</f>
        <v>0</v>
      </c>
      <c r="DM90" s="89">
        <f>DM$52*DM87</f>
        <v>0</v>
      </c>
      <c r="DN90" s="89">
        <f>DN$52*DN87</f>
        <v>0</v>
      </c>
      <c r="DO90" s="499">
        <f>DP90+DQ90</f>
        <v>0</v>
      </c>
      <c r="DP90" s="89">
        <f>DP$52*DP87</f>
        <v>0</v>
      </c>
      <c r="DQ90" s="89">
        <f>DQ$52*DQ87</f>
        <v>0</v>
      </c>
      <c r="DR90" s="499">
        <f>DS90+DT90</f>
        <v>0</v>
      </c>
      <c r="DS90" s="89">
        <f>DS$52*DS87</f>
        <v>0</v>
      </c>
      <c r="DT90" s="89">
        <f>DT$52*DT87</f>
        <v>0</v>
      </c>
      <c r="DU90" s="499">
        <f>DV90+DW90</f>
        <v>0</v>
      </c>
      <c r="DV90" s="89">
        <f>DV$52*DV87</f>
        <v>0</v>
      </c>
      <c r="DW90" s="89">
        <f>DW$52*DW87</f>
        <v>0</v>
      </c>
      <c r="DX90" s="499">
        <f>DY90+DZ90</f>
        <v>0</v>
      </c>
      <c r="DY90" s="89">
        <f>DY$52*DY87</f>
        <v>0</v>
      </c>
      <c r="DZ90" s="89">
        <f>DZ$52*DZ87</f>
        <v>0</v>
      </c>
      <c r="EA90" s="499">
        <f>EB90+EC90</f>
        <v>0</v>
      </c>
      <c r="EB90" s="89">
        <f>EB$52*EB87</f>
        <v>0</v>
      </c>
      <c r="EC90" s="89">
        <f>EC$52*EC87</f>
        <v>0</v>
      </c>
      <c r="ED90" s="499">
        <f>EE90+EF90</f>
        <v>0</v>
      </c>
      <c r="EE90" s="89">
        <f>EE$52*EE87</f>
        <v>0</v>
      </c>
      <c r="EF90" s="89">
        <f>EF$52*EF87</f>
        <v>0</v>
      </c>
      <c r="EG90" s="499">
        <f>EH90+EI90</f>
        <v>0</v>
      </c>
      <c r="EH90" s="89">
        <f>EH$52*EH87</f>
        <v>0</v>
      </c>
      <c r="EI90" s="89">
        <f>EI$52*EI87</f>
        <v>0</v>
      </c>
      <c r="EJ90" s="499">
        <f>EK90+EL90</f>
        <v>0</v>
      </c>
      <c r="EK90" s="89">
        <f>EK$52*EK87</f>
        <v>0</v>
      </c>
      <c r="EL90" s="89">
        <f>EL$52*EL87</f>
        <v>0</v>
      </c>
      <c r="EM90" s="499">
        <f>EN90+EO90</f>
        <v>0</v>
      </c>
      <c r="EN90" s="89">
        <f>EN$52*EN87</f>
        <v>0</v>
      </c>
      <c r="EO90" s="89">
        <f>EO$52*EO87</f>
        <v>0</v>
      </c>
      <c r="EP90" s="499">
        <f>EQ90+ER90</f>
        <v>0</v>
      </c>
      <c r="EQ90" s="89">
        <f>EQ$52*EQ87</f>
        <v>0</v>
      </c>
      <c r="ER90" s="89">
        <f>ER$52*ER87</f>
        <v>0</v>
      </c>
      <c r="ES90" s="499">
        <f>ET90+EU90</f>
        <v>0</v>
      </c>
      <c r="ET90" s="89">
        <f>ET$52*ET87</f>
        <v>0</v>
      </c>
      <c r="EU90" s="89">
        <f>EU$52*EU87</f>
        <v>0</v>
      </c>
      <c r="EV90" s="499">
        <f>EW90+EX90</f>
        <v>0</v>
      </c>
      <c r="EW90" s="89">
        <f>EW$52*EW87</f>
        <v>0</v>
      </c>
      <c r="EX90" s="89">
        <f>EX$52*EX87</f>
        <v>0</v>
      </c>
      <c r="EY90" s="499">
        <f>EZ90+FA90</f>
        <v>0</v>
      </c>
      <c r="EZ90" s="89">
        <f>EZ$52*EZ87</f>
        <v>0</v>
      </c>
      <c r="FA90" s="89">
        <f>FA$52*FA87</f>
        <v>0</v>
      </c>
      <c r="FB90" s="83"/>
      <c r="FE90" s="489" t="s">
        <v>943</v>
      </c>
      <c r="FF90" s="648" t="s">
        <v>890</v>
      </c>
      <c r="FG90" s="648" cm="1" t="str">
        <f t="array" ref="FG90:FG90">AE90</f>
        <v>0</v>
      </c>
      <c r="FH90" s="648" cm="1" t="str">
        <f t="array" ref="FH90:FH90">AF90</f>
        <v>0</v>
      </c>
      <c r="FK90" s="1157" cm="1" t="str">
        <f t="array" ref="FK90:FK90">OFFSET(FJ90,-1,1)</f>
        <v>0</v>
      </c>
      <c r="FL90" s="1159"/>
      <c r="FM90" s="1159" t="s">
        <v>824</v>
      </c>
      <c r="FN90" s="1159"/>
      <c r="FO90" s="1159"/>
      <c r="FP90" s="1159"/>
      <c r="FQ90" s="1159"/>
      <c r="FR90" s="1159" t="s">
        <v>561</v>
      </c>
      <c r="FS90" s="1159"/>
      <c r="FT90" s="1159" t="s">
        <v>929</v>
      </c>
      <c r="FU90" s="1159"/>
      <c r="FV90" s="1159"/>
      <c r="FW90" s="1078" t="str">
        <f>$AE90&amp;"|"&amp;$AF90</f>
        <v>|</v>
      </c>
      <c r="FX90" s="1159" t="s">
        <v>303</v>
      </c>
      <c r="FY90" s="1159" t="s">
        <v>919</v>
      </c>
      <c r="FZ90" s="1159" t="s">
        <v>920</v>
      </c>
    </row>
    <row customHeight="1" ht="15" hidden="1">
      <c r="E91" s="965">
        <v>0</v>
      </c>
      <c r="F91" s="175" cm="1" t="str">
        <f t="array" ref="F91:F91">OFFSET(G91,-1,-1)</f>
        <v>0</v>
      </c>
      <c r="L91" s="175" cm="1" t="str">
        <f t="array" ref="L91:L91">OFFSET(M91,-1,-1)</f>
        <v>false</v>
      </c>
      <c r="S91" s="175" cm="1" t="str">
        <f t="array" ref="S91:S91">OFFSET(T91,-1,-1)</f>
        <v>false</v>
      </c>
      <c r="U91" s="753">
        <f>AND(S91,IF(ISBLANK(T91),TRUE,T91))</f>
        <v>0</v>
      </c>
      <c r="X91" s="980" t="str">
        <f>"{                  
         funcDyn: 'msg1',
         blok: 'blok_2',
         wsCross: 'Топливо 4.4',
         linkFormula: 'AE-AE#AF-AF',
         levelDyn: "&amp;Y28&amp;"
}"</f>
        <v>{                  
         funcDyn: 'msg1',
         blok: 'blok_2',
         wsCross: 'Топливо 4.4',
         linkFormula: 'AE-AE#AF-AF',
         levelDyn: 0
}</v>
      </c>
      <c r="AB91" s="1614"/>
      <c r="AD91" s="517"/>
      <c r="AE91" s="518" t="s">
        <v>191</v>
      </c>
      <c r="AF91" s="519"/>
      <c r="AG91" s="470"/>
      <c r="AH91" s="524"/>
      <c r="AI91" s="525"/>
      <c r="AJ91" s="525"/>
      <c r="AK91" s="525"/>
      <c r="AL91" s="525"/>
      <c r="AM91" s="525"/>
      <c r="AN91" s="525"/>
      <c r="AO91" s="525"/>
      <c r="AP91" s="525"/>
      <c r="AQ91" s="525"/>
      <c r="AR91" s="525"/>
      <c r="AS91" s="525"/>
      <c r="AT91" s="525"/>
      <c r="AU91" s="525"/>
      <c r="AV91" s="525"/>
      <c r="AW91" s="525"/>
      <c r="AX91" s="525"/>
      <c r="AY91" s="525"/>
      <c r="AZ91" s="525"/>
      <c r="BA91" s="525"/>
      <c r="BB91" s="525"/>
      <c r="BC91" s="525"/>
      <c r="BD91" s="525"/>
      <c r="BE91" s="525"/>
      <c r="BF91" s="525"/>
      <c r="BG91" s="525"/>
      <c r="BH91" s="525"/>
      <c r="BI91" s="525"/>
      <c r="BJ91" s="525"/>
      <c r="BK91" s="525"/>
      <c r="BL91" s="525"/>
      <c r="BM91" s="525"/>
      <c r="BN91" s="525"/>
      <c r="BO91" s="525"/>
      <c r="BP91" s="525"/>
      <c r="BQ91" s="525"/>
      <c r="BR91" s="525"/>
      <c r="BS91" s="525"/>
      <c r="BT91" s="525"/>
      <c r="BU91" s="525"/>
      <c r="BV91" s="525"/>
      <c r="BW91" s="525"/>
      <c r="BX91" s="525"/>
      <c r="BY91" s="525"/>
      <c r="BZ91" s="525"/>
      <c r="CA91" s="525"/>
      <c r="CB91" s="525"/>
      <c r="CC91" s="525"/>
      <c r="CD91" s="525"/>
      <c r="CE91" s="525"/>
      <c r="CF91" s="525"/>
      <c r="CG91" s="525"/>
      <c r="CH91" s="525"/>
      <c r="CI91" s="525"/>
      <c r="CJ91" s="525"/>
      <c r="CK91" s="525"/>
      <c r="CL91" s="525"/>
      <c r="CM91" s="525"/>
      <c r="CN91" s="525"/>
      <c r="CO91" s="525"/>
      <c r="CP91" s="525"/>
      <c r="CQ91" s="525"/>
      <c r="CR91" s="525"/>
      <c r="CS91" s="525"/>
      <c r="CT91" s="525"/>
      <c r="CU91" s="525"/>
      <c r="CV91" s="525"/>
      <c r="CW91" s="525"/>
      <c r="CX91" s="525"/>
      <c r="CY91" s="525"/>
      <c r="CZ91" s="525"/>
      <c r="DA91" s="525"/>
      <c r="DB91" s="525"/>
      <c r="DC91" s="525"/>
      <c r="DD91" s="525"/>
      <c r="DE91" s="525"/>
      <c r="DF91" s="525"/>
      <c r="DG91" s="525"/>
      <c r="DH91" s="525"/>
      <c r="DI91" s="525"/>
      <c r="DJ91" s="525"/>
      <c r="DK91" s="525"/>
      <c r="DL91" s="525"/>
      <c r="DM91" s="525"/>
      <c r="DN91" s="525"/>
      <c r="DO91" s="525"/>
      <c r="DP91" s="525"/>
      <c r="DQ91" s="525"/>
      <c r="DR91" s="525"/>
      <c r="DS91" s="525"/>
      <c r="DT91" s="525"/>
      <c r="DU91" s="525"/>
      <c r="DV91" s="525"/>
      <c r="DW91" s="525"/>
      <c r="DX91" s="525"/>
      <c r="DY91" s="525"/>
      <c r="DZ91" s="525"/>
      <c r="EA91" s="525"/>
      <c r="EB91" s="525"/>
      <c r="EC91" s="525"/>
      <c r="ED91" s="525"/>
      <c r="EE91" s="525"/>
      <c r="EF91" s="525"/>
      <c r="EG91" s="525"/>
      <c r="EH91" s="525"/>
      <c r="EI91" s="525"/>
      <c r="EJ91" s="525"/>
      <c r="EK91" s="525"/>
      <c r="EL91" s="525"/>
      <c r="EM91" s="525"/>
      <c r="EN91" s="525"/>
      <c r="EO91" s="525"/>
      <c r="EP91" s="525"/>
      <c r="EQ91" s="525"/>
      <c r="ER91" s="525"/>
      <c r="ES91" s="525"/>
      <c r="ET91" s="525"/>
      <c r="EU91" s="525"/>
      <c r="EV91" s="525"/>
      <c r="EW91" s="525"/>
      <c r="EX91" s="525"/>
      <c r="EY91" s="525"/>
      <c r="EZ91" s="525"/>
      <c r="FA91" s="525"/>
      <c r="FB91" s="93"/>
      <c r="FE91" s="489" t="str">
        <f>IF(AND(ISNUMBER(VALUE(TRIM(SUBSTITUTE(AD91,".","")))),TRIM(SUBSTITUTE(AD91,".",""))&lt;&gt;""),"P"&amp;SUBSTITUTE(AD91,".",""),"")</f>
        <v/>
      </c>
      <c r="FK91" s="1157" cm="1" t="str">
        <f t="array" ref="FK91:FK91">OFFSET(FJ91,-1,1)</f>
        <v>0</v>
      </c>
      <c r="FL91" s="1159"/>
      <c r="FM91" s="1159"/>
      <c r="FN91" s="1159"/>
      <c r="FO91" s="1159"/>
      <c r="FP91" s="1159"/>
      <c r="FQ91" s="1159"/>
      <c r="FR91" s="1159"/>
      <c r="FS91" s="1159"/>
      <c r="FT91" s="1159"/>
      <c r="FU91" s="1159"/>
      <c r="FV91" s="1159"/>
      <c r="FW91" s="1159"/>
      <c r="FX91" s="1159"/>
      <c r="FY91" s="1159"/>
      <c r="FZ91" s="1159"/>
    </row>
    <row customHeight="1" ht="16.575" hidden="1">
      <c r="E92" s="180">
        <v>17</v>
      </c>
      <c r="F92" s="175" cm="1" t="str">
        <f t="array" ref="F92:F92">OFFSET(G92,-1,-1)</f>
        <v>0</v>
      </c>
      <c r="L92" s="175" cm="1" t="str">
        <f t="array" ref="L92:L92">OFFSET(M92,-1,-1)</f>
        <v>false</v>
      </c>
      <c r="S92" s="175" cm="1" t="str">
        <f t="array" ref="S92:S92">OFFSET(T92,-1,-1)</f>
        <v>false</v>
      </c>
      <c r="U92" s="753">
        <f>AND(S92,IF(ISBLANK(T92),TRUE,T92))</f>
        <v>0</v>
      </c>
      <c r="AB92" s="1615" t="s">
        <v>945</v>
      </c>
      <c r="AD92" s="327">
        <v>30</v>
      </c>
      <c r="AE92" s="1618" t="s">
        <v>946</v>
      </c>
      <c r="AF92" s="427"/>
      <c r="AG92" s="534"/>
      <c r="AH92" s="524"/>
      <c r="AI92" s="525"/>
      <c r="AJ92" s="525"/>
      <c r="AK92" s="525"/>
      <c r="AL92" s="525"/>
      <c r="AM92" s="525"/>
      <c r="AN92" s="525"/>
      <c r="AO92" s="525"/>
      <c r="AP92" s="525"/>
      <c r="AQ92" s="525"/>
      <c r="AR92" s="525"/>
      <c r="AS92" s="525"/>
      <c r="AT92" s="525"/>
      <c r="AU92" s="525"/>
      <c r="AV92" s="525"/>
      <c r="AW92" s="525"/>
      <c r="AX92" s="525"/>
      <c r="AY92" s="525"/>
      <c r="AZ92" s="525"/>
      <c r="BA92" s="525"/>
      <c r="BB92" s="525"/>
      <c r="BC92" s="525"/>
      <c r="BD92" s="525"/>
      <c r="BE92" s="525"/>
      <c r="BF92" s="525"/>
      <c r="BG92" s="525"/>
      <c r="BH92" s="525"/>
      <c r="BI92" s="525"/>
      <c r="BJ92" s="525"/>
      <c r="BK92" s="525"/>
      <c r="BL92" s="525"/>
      <c r="BM92" s="525"/>
      <c r="BN92" s="525"/>
      <c r="BO92" s="525"/>
      <c r="BP92" s="525"/>
      <c r="BQ92" s="525"/>
      <c r="BR92" s="525"/>
      <c r="BS92" s="525"/>
      <c r="BT92" s="525"/>
      <c r="BU92" s="525"/>
      <c r="BV92" s="525"/>
      <c r="BW92" s="525"/>
      <c r="BX92" s="525"/>
      <c r="BY92" s="525"/>
      <c r="BZ92" s="525"/>
      <c r="CA92" s="525"/>
      <c r="CB92" s="525"/>
      <c r="CC92" s="525"/>
      <c r="CD92" s="525"/>
      <c r="CE92" s="525"/>
      <c r="CF92" s="525"/>
      <c r="CG92" s="525"/>
      <c r="CH92" s="525"/>
      <c r="CI92" s="525"/>
      <c r="CJ92" s="525"/>
      <c r="CK92" s="525"/>
      <c r="CL92" s="525"/>
      <c r="CM92" s="525"/>
      <c r="CN92" s="525"/>
      <c r="CO92" s="525"/>
      <c r="CP92" s="525"/>
      <c r="CQ92" s="525"/>
      <c r="CR92" s="525"/>
      <c r="CS92" s="525"/>
      <c r="CT92" s="525"/>
      <c r="CU92" s="525"/>
      <c r="CV92" s="525"/>
      <c r="CW92" s="525"/>
      <c r="CX92" s="525"/>
      <c r="CY92" s="525"/>
      <c r="CZ92" s="525"/>
      <c r="DA92" s="525"/>
      <c r="DB92" s="525"/>
      <c r="DC92" s="525"/>
      <c r="DD92" s="525"/>
      <c r="DE92" s="525"/>
      <c r="DF92" s="525"/>
      <c r="DG92" s="525"/>
      <c r="DH92" s="525"/>
      <c r="DI92" s="525"/>
      <c r="DJ92" s="525"/>
      <c r="DK92" s="525"/>
      <c r="DL92" s="525"/>
      <c r="DM92" s="525"/>
      <c r="DN92" s="525"/>
      <c r="DO92" s="525"/>
      <c r="DP92" s="525"/>
      <c r="DQ92" s="525"/>
      <c r="DR92" s="525"/>
      <c r="DS92" s="525"/>
      <c r="DT92" s="525"/>
      <c r="DU92" s="525"/>
      <c r="DV92" s="525"/>
      <c r="DW92" s="525"/>
      <c r="DX92" s="525"/>
      <c r="DY92" s="525"/>
      <c r="DZ92" s="525"/>
      <c r="EA92" s="525"/>
      <c r="EB92" s="525"/>
      <c r="EC92" s="525"/>
      <c r="ED92" s="525"/>
      <c r="EE92" s="525"/>
      <c r="EF92" s="525"/>
      <c r="EG92" s="525"/>
      <c r="EH92" s="525"/>
      <c r="EI92" s="525"/>
      <c r="EJ92" s="525"/>
      <c r="EK92" s="525"/>
      <c r="EL92" s="525"/>
      <c r="EM92" s="525"/>
      <c r="EN92" s="525"/>
      <c r="EO92" s="525"/>
      <c r="EP92" s="525"/>
      <c r="EQ92" s="525"/>
      <c r="ER92" s="525"/>
      <c r="ES92" s="525"/>
      <c r="ET92" s="525"/>
      <c r="EU92" s="525"/>
      <c r="EV92" s="525"/>
      <c r="EW92" s="525"/>
      <c r="EX92" s="525"/>
      <c r="EY92" s="525"/>
      <c r="EZ92" s="525"/>
      <c r="FA92" s="525"/>
      <c r="FB92" s="83"/>
      <c r="FE92" s="489" t="s">
        <v>947</v>
      </c>
      <c r="FK92" s="1157" cm="1" t="str">
        <f t="array" ref="FK92:FK92">OFFSET(FJ92,-1,1)</f>
        <v>0</v>
      </c>
      <c r="FL92" s="1078"/>
      <c r="FM92" s="1159"/>
      <c r="FN92" s="1159"/>
      <c r="FO92" s="1159"/>
      <c r="FP92" s="1159"/>
      <c r="FQ92" s="1159"/>
      <c r="FR92" s="1159"/>
      <c r="FS92" s="1159"/>
      <c r="FT92" s="1078" t="s">
        <v>948</v>
      </c>
      <c r="FU92" s="1159"/>
      <c r="FV92" s="1078" t="s">
        <v>219</v>
      </c>
      <c r="FW92" s="1159"/>
      <c r="FX92" s="1078"/>
      <c r="FY92" s="1078"/>
      <c r="FZ92" s="1078"/>
    </row>
    <row customHeight="1" ht="16.575" hidden="1">
      <c r="E93" s="180">
        <v>17</v>
      </c>
      <c r="F93" s="175" cm="1" t="str">
        <f t="array" ref="F93:F93">OFFSET(G93,-1,-1)</f>
        <v>0</v>
      </c>
      <c r="L93" s="175" cm="1" t="str">
        <f t="array" ref="L93:L93">OFFSET(M93,-1,-1)</f>
        <v>false</v>
      </c>
      <c r="S93" s="175" cm="1" t="str">
        <f t="array" ref="S93:S93">OFFSET(T93,-1,-1)</f>
        <v>false</v>
      </c>
      <c r="T93" s="175">
        <f>AD93&lt;&gt;"30.0"</f>
        <v>0</v>
      </c>
      <c r="U93" s="753">
        <f>AND(S93,IF(ISBLANK(T93),TRUE,T93))</f>
        <v>0</v>
      </c>
      <c r="X93" s="175" t="s">
        <v>189</v>
      </c>
      <c r="AB93" s="1616"/>
      <c r="AD93" s="491" t="s">
        <v>949</v>
      </c>
      <c r="AE93" s="514"/>
      <c r="AF93" s="515"/>
      <c r="AG93" s="470" t="s">
        <v>495</v>
      </c>
      <c r="AH93" s="92"/>
      <c r="AI93" s="96"/>
      <c r="AJ93" s="96"/>
      <c r="AK93" s="96"/>
      <c r="AL93" s="525"/>
      <c r="AM93" s="96"/>
      <c r="AN93" s="96"/>
      <c r="AO93" s="525"/>
      <c r="AP93" s="96"/>
      <c r="AQ93" s="96"/>
      <c r="AR93" s="525"/>
      <c r="AS93" s="96"/>
      <c r="AT93" s="96"/>
      <c r="AU93" s="525"/>
      <c r="AV93" s="96"/>
      <c r="AW93" s="96"/>
      <c r="AX93" s="525"/>
      <c r="AY93" s="96"/>
      <c r="AZ93" s="96"/>
      <c r="BA93" s="525"/>
      <c r="BB93" s="96"/>
      <c r="BC93" s="96"/>
      <c r="BD93" s="525"/>
      <c r="BE93" s="96"/>
      <c r="BF93" s="96"/>
      <c r="BG93" s="525"/>
      <c r="BH93" s="96"/>
      <c r="BI93" s="96"/>
      <c r="BJ93" s="525"/>
      <c r="BK93" s="96"/>
      <c r="BL93" s="96"/>
      <c r="BM93" s="525"/>
      <c r="BN93" s="96"/>
      <c r="BO93" s="96"/>
      <c r="BP93" s="525"/>
      <c r="BQ93" s="96"/>
      <c r="BR93" s="96"/>
      <c r="BS93" s="525"/>
      <c r="BT93" s="96"/>
      <c r="BU93" s="96"/>
      <c r="BV93" s="525"/>
      <c r="BW93" s="96"/>
      <c r="BX93" s="96"/>
      <c r="BY93" s="525"/>
      <c r="BZ93" s="96"/>
      <c r="CA93" s="96"/>
      <c r="CB93" s="525"/>
      <c r="CC93" s="96"/>
      <c r="CD93" s="96"/>
      <c r="CE93" s="525"/>
      <c r="CF93" s="96"/>
      <c r="CG93" s="96"/>
      <c r="CH93" s="525"/>
      <c r="CI93" s="96"/>
      <c r="CJ93" s="96"/>
      <c r="CK93" s="525"/>
      <c r="CL93" s="96"/>
      <c r="CM93" s="96"/>
      <c r="CN93" s="525"/>
      <c r="CO93" s="96"/>
      <c r="CP93" s="96"/>
      <c r="CQ93" s="525"/>
      <c r="CR93" s="96"/>
      <c r="CS93" s="96"/>
      <c r="CT93" s="525"/>
      <c r="CU93" s="535"/>
      <c r="CV93" s="535"/>
      <c r="CW93" s="525"/>
      <c r="CX93" s="96"/>
      <c r="CY93" s="96"/>
      <c r="CZ93" s="525"/>
      <c r="DA93" s="96"/>
      <c r="DB93" s="96"/>
      <c r="DC93" s="525"/>
      <c r="DD93" s="96"/>
      <c r="DE93" s="96"/>
      <c r="DF93" s="525"/>
      <c r="DG93" s="96"/>
      <c r="DH93" s="96"/>
      <c r="DI93" s="525"/>
      <c r="DJ93" s="96"/>
      <c r="DK93" s="96"/>
      <c r="DL93" s="525"/>
      <c r="DM93" s="96"/>
      <c r="DN93" s="96"/>
      <c r="DO93" s="525"/>
      <c r="DP93" s="96"/>
      <c r="DQ93" s="96"/>
      <c r="DR93" s="525"/>
      <c r="DS93" s="96"/>
      <c r="DT93" s="96"/>
      <c r="DU93" s="525"/>
      <c r="DV93" s="96"/>
      <c r="DW93" s="96"/>
      <c r="DX93" s="525"/>
      <c r="DY93" s="96"/>
      <c r="DZ93" s="96"/>
      <c r="EA93" s="525"/>
      <c r="EB93" s="96"/>
      <c r="EC93" s="96"/>
      <c r="ED93" s="525"/>
      <c r="EE93" s="96"/>
      <c r="EF93" s="96"/>
      <c r="EG93" s="525"/>
      <c r="EH93" s="96"/>
      <c r="EI93" s="96"/>
      <c r="EJ93" s="525"/>
      <c r="EK93" s="96"/>
      <c r="EL93" s="96"/>
      <c r="EM93" s="525"/>
      <c r="EN93" s="96"/>
      <c r="EO93" s="96"/>
      <c r="EP93" s="525"/>
      <c r="EQ93" s="96"/>
      <c r="ER93" s="96"/>
      <c r="ES93" s="525"/>
      <c r="ET93" s="96"/>
      <c r="EU93" s="96"/>
      <c r="EV93" s="525"/>
      <c r="EW93" s="96"/>
      <c r="EX93" s="96"/>
      <c r="EY93" s="525"/>
      <c r="EZ93" s="96"/>
      <c r="FA93" s="96"/>
      <c r="FB93" s="83"/>
      <c r="FE93" s="489" t="s">
        <v>947</v>
      </c>
      <c r="FF93" s="648" t="s">
        <v>890</v>
      </c>
      <c r="FG93" s="648" cm="1" t="str">
        <f t="array" ref="FG93:FG93">AE93</f>
        <v>0</v>
      </c>
      <c r="FH93" s="648" cm="1" t="str">
        <f t="array" ref="FH93:FH93">AF93</f>
        <v>0</v>
      </c>
      <c r="FK93" s="1157" cm="1" t="str">
        <f t="array" ref="FK93:FK93">OFFSET(FJ93,-1,1)</f>
        <v>0</v>
      </c>
      <c r="FL93" s="1159"/>
      <c r="FM93" s="1159"/>
      <c r="FN93" s="1159"/>
      <c r="FO93" s="1159"/>
      <c r="FP93" s="1159"/>
      <c r="FQ93" s="1159"/>
      <c r="FR93" s="1159"/>
      <c r="FS93" s="1159"/>
      <c r="FT93" s="1159" t="s">
        <v>948</v>
      </c>
      <c r="FU93" s="1159"/>
      <c r="FV93" s="1159" t="s">
        <v>219</v>
      </c>
      <c r="FW93" s="1078" t="str">
        <f>$AE93&amp;"|"&amp;$AF93</f>
        <v>|</v>
      </c>
      <c r="FX93" s="1159" t="s">
        <v>303</v>
      </c>
      <c r="FY93" s="1159" t="s">
        <v>931</v>
      </c>
      <c r="FZ93" s="1159" t="s">
        <v>932</v>
      </c>
    </row>
    <row customHeight="1" ht="15" hidden="1">
      <c r="E94" s="965">
        <v>0</v>
      </c>
      <c r="F94" s="175" cm="1" t="str">
        <f t="array" ref="F94:F94">OFFSET(G94,-1,-1)</f>
        <v>0</v>
      </c>
      <c r="L94" s="175" cm="1" t="str">
        <f t="array" ref="L94:L94">OFFSET(M94,-1,-1)</f>
        <v>false</v>
      </c>
      <c r="S94" s="175" cm="1" t="str">
        <f t="array" ref="S94:S94">OFFSET(T94,-1,-1)</f>
        <v>false</v>
      </c>
      <c r="U94" s="753">
        <f>AND(S94,IF(ISBLANK(T94),TRUE,T94))</f>
        <v>0</v>
      </c>
      <c r="X94" s="980" t="str">
        <f>"{                  
         funcDyn: 'msg1',
         blok: 'blok_2',
         wsCross: 'Топливо 4.4',
         linkFormula: 'AE-AE#AF-AF',
         levelDyn: "&amp;Y28&amp;"
}"</f>
        <v>{                  
         funcDyn: 'msg1',
         blok: 'blok_2',
         wsCross: 'Топливо 4.4',
         linkFormula: 'AE-AE#AF-AF',
         levelDyn: 0
}</v>
      </c>
      <c r="AB94" s="1616"/>
      <c r="AD94" s="517"/>
      <c r="AE94" s="518" t="s">
        <v>191</v>
      </c>
      <c r="AF94" s="519"/>
      <c r="AG94" s="470"/>
      <c r="AH94" s="521"/>
      <c r="AI94" s="97"/>
      <c r="AJ94" s="97"/>
      <c r="AK94" s="97"/>
      <c r="AL94" s="525"/>
      <c r="AM94" s="97"/>
      <c r="AN94" s="97"/>
      <c r="AO94" s="525"/>
      <c r="AP94" s="97"/>
      <c r="AQ94" s="97"/>
      <c r="AR94" s="525"/>
      <c r="AS94" s="97"/>
      <c r="AT94" s="97"/>
      <c r="AU94" s="525"/>
      <c r="AV94" s="97"/>
      <c r="AW94" s="97"/>
      <c r="AX94" s="525"/>
      <c r="AY94" s="97"/>
      <c r="AZ94" s="97"/>
      <c r="BA94" s="525"/>
      <c r="BB94" s="97"/>
      <c r="BC94" s="97"/>
      <c r="BD94" s="525"/>
      <c r="BE94" s="97"/>
      <c r="BF94" s="97"/>
      <c r="BG94" s="525"/>
      <c r="BH94" s="97"/>
      <c r="BI94" s="97"/>
      <c r="BJ94" s="525"/>
      <c r="BK94" s="97"/>
      <c r="BL94" s="97"/>
      <c r="BM94" s="525"/>
      <c r="BN94" s="97"/>
      <c r="BO94" s="97"/>
      <c r="BP94" s="525"/>
      <c r="BQ94" s="97"/>
      <c r="BR94" s="97"/>
      <c r="BS94" s="525"/>
      <c r="BT94" s="97"/>
      <c r="BU94" s="97"/>
      <c r="BV94" s="525"/>
      <c r="BW94" s="97"/>
      <c r="BX94" s="97"/>
      <c r="BY94" s="525"/>
      <c r="BZ94" s="97"/>
      <c r="CA94" s="97"/>
      <c r="CB94" s="525"/>
      <c r="CC94" s="97"/>
      <c r="CD94" s="97"/>
      <c r="CE94" s="525"/>
      <c r="CF94" s="97"/>
      <c r="CG94" s="97"/>
      <c r="CH94" s="525"/>
      <c r="CI94" s="97"/>
      <c r="CJ94" s="97"/>
      <c r="CK94" s="525"/>
      <c r="CL94" s="97"/>
      <c r="CM94" s="97"/>
      <c r="CN94" s="525"/>
      <c r="CO94" s="97"/>
      <c r="CP94" s="97"/>
      <c r="CQ94" s="525"/>
      <c r="CR94" s="97"/>
      <c r="CS94" s="97"/>
      <c r="CT94" s="525"/>
      <c r="CU94" s="97"/>
      <c r="CV94" s="97"/>
      <c r="CW94" s="525"/>
      <c r="CX94" s="97"/>
      <c r="CY94" s="97"/>
      <c r="CZ94" s="525"/>
      <c r="DA94" s="97"/>
      <c r="DB94" s="97"/>
      <c r="DC94" s="525"/>
      <c r="DD94" s="97"/>
      <c r="DE94" s="97"/>
      <c r="DF94" s="525"/>
      <c r="DG94" s="97"/>
      <c r="DH94" s="97"/>
      <c r="DI94" s="525"/>
      <c r="DJ94" s="97"/>
      <c r="DK94" s="97"/>
      <c r="DL94" s="525"/>
      <c r="DM94" s="97"/>
      <c r="DN94" s="97"/>
      <c r="DO94" s="525"/>
      <c r="DP94" s="97"/>
      <c r="DQ94" s="97"/>
      <c r="DR94" s="525"/>
      <c r="DS94" s="97"/>
      <c r="DT94" s="97"/>
      <c r="DU94" s="525"/>
      <c r="DV94" s="97"/>
      <c r="DW94" s="97"/>
      <c r="DX94" s="525"/>
      <c r="DY94" s="97"/>
      <c r="DZ94" s="97"/>
      <c r="EA94" s="525"/>
      <c r="EB94" s="97"/>
      <c r="EC94" s="97"/>
      <c r="ED94" s="525"/>
      <c r="EE94" s="97"/>
      <c r="EF94" s="97"/>
      <c r="EG94" s="525"/>
      <c r="EH94" s="97"/>
      <c r="EI94" s="97"/>
      <c r="EJ94" s="525"/>
      <c r="EK94" s="97"/>
      <c r="EL94" s="97"/>
      <c r="EM94" s="525"/>
      <c r="EN94" s="97"/>
      <c r="EO94" s="97"/>
      <c r="EP94" s="525"/>
      <c r="EQ94" s="97"/>
      <c r="ER94" s="97"/>
      <c r="ES94" s="525"/>
      <c r="ET94" s="97"/>
      <c r="EU94" s="97"/>
      <c r="EV94" s="525"/>
      <c r="EW94" s="97"/>
      <c r="EX94" s="97"/>
      <c r="EY94" s="525"/>
      <c r="EZ94" s="97"/>
      <c r="FA94" s="97"/>
      <c r="FB94" s="93"/>
      <c r="FE94" s="489" t="str">
        <f>IF(AND(ISNUMBER(VALUE(TRIM(SUBSTITUTE(AD94,".","")))),TRIM(SUBSTITUTE(AD94,".",""))&lt;&gt;""),"P"&amp;SUBSTITUTE(AD94,".",""),"")</f>
        <v/>
      </c>
      <c r="FK94" s="1157" cm="1" t="str">
        <f t="array" ref="FK94:FK94">OFFSET(FJ94,-1,1)</f>
        <v>0</v>
      </c>
      <c r="FL94" s="1159"/>
      <c r="FM94" s="1159"/>
      <c r="FN94" s="1159"/>
      <c r="FO94" s="1159"/>
      <c r="FP94" s="1159"/>
      <c r="FQ94" s="1159"/>
      <c r="FR94" s="1159"/>
      <c r="FS94" s="1159"/>
      <c r="FT94" s="1159"/>
      <c r="FU94" s="1159"/>
      <c r="FV94" s="1159"/>
      <c r="FW94" s="1159"/>
      <c r="FX94" s="1159"/>
      <c r="FY94" s="1159"/>
      <c r="FZ94" s="1159"/>
    </row>
    <row customHeight="1" ht="16.575" hidden="1">
      <c r="E95" s="180">
        <v>17</v>
      </c>
      <c r="F95" s="175" cm="1" t="str">
        <f t="array" ref="F95:F95">OFFSET(G95,-1,-1)</f>
        <v>0</v>
      </c>
      <c r="L95" s="175" cm="1" t="str">
        <f t="array" ref="L95:L95">OFFSET(M95,-1,-1)</f>
        <v>false</v>
      </c>
      <c r="S95" s="175" cm="1" t="str">
        <f t="array" ref="S95:S95">OFFSET(T95,-1,-1)</f>
        <v>false</v>
      </c>
      <c r="U95" s="753">
        <f>AND(S95,IF(ISBLANK(T95),TRUE,T95))</f>
        <v>0</v>
      </c>
      <c r="AB95" s="1616"/>
      <c r="AD95" s="327">
        <v>31</v>
      </c>
      <c r="AE95" s="1618" t="s">
        <v>950</v>
      </c>
      <c r="AF95" s="427"/>
      <c r="AG95" s="534"/>
      <c r="AH95" s="524"/>
      <c r="AI95" s="525"/>
      <c r="AJ95" s="525"/>
      <c r="AK95" s="525"/>
      <c r="AL95" s="525"/>
      <c r="AM95" s="525"/>
      <c r="AN95" s="525"/>
      <c r="AO95" s="525"/>
      <c r="AP95" s="525"/>
      <c r="AQ95" s="525"/>
      <c r="AR95" s="525"/>
      <c r="AS95" s="525"/>
      <c r="AT95" s="525"/>
      <c r="AU95" s="525"/>
      <c r="AV95" s="525"/>
      <c r="AW95" s="525"/>
      <c r="AX95" s="525"/>
      <c r="AY95" s="525"/>
      <c r="AZ95" s="525"/>
      <c r="BA95" s="525"/>
      <c r="BB95" s="525"/>
      <c r="BC95" s="525"/>
      <c r="BD95" s="525"/>
      <c r="BE95" s="525"/>
      <c r="BF95" s="525"/>
      <c r="BG95" s="525"/>
      <c r="BH95" s="525"/>
      <c r="BI95" s="525"/>
      <c r="BJ95" s="525"/>
      <c r="BK95" s="525"/>
      <c r="BL95" s="525"/>
      <c r="BM95" s="525"/>
      <c r="BN95" s="525"/>
      <c r="BO95" s="525"/>
      <c r="BP95" s="525"/>
      <c r="BQ95" s="525"/>
      <c r="BR95" s="525"/>
      <c r="BS95" s="525"/>
      <c r="BT95" s="525"/>
      <c r="BU95" s="525"/>
      <c r="BV95" s="525"/>
      <c r="BW95" s="525"/>
      <c r="BX95" s="525"/>
      <c r="BY95" s="525"/>
      <c r="BZ95" s="525"/>
      <c r="CA95" s="525"/>
      <c r="CB95" s="525"/>
      <c r="CC95" s="525"/>
      <c r="CD95" s="525"/>
      <c r="CE95" s="525"/>
      <c r="CF95" s="525"/>
      <c r="CG95" s="525"/>
      <c r="CH95" s="525"/>
      <c r="CI95" s="525"/>
      <c r="CJ95" s="525"/>
      <c r="CK95" s="525"/>
      <c r="CL95" s="525"/>
      <c r="CM95" s="525"/>
      <c r="CN95" s="525"/>
      <c r="CO95" s="525"/>
      <c r="CP95" s="525"/>
      <c r="CQ95" s="525"/>
      <c r="CR95" s="525"/>
      <c r="CS95" s="525"/>
      <c r="CT95" s="525"/>
      <c r="CU95" s="525"/>
      <c r="CV95" s="525"/>
      <c r="CW95" s="525"/>
      <c r="CX95" s="525"/>
      <c r="CY95" s="525"/>
      <c r="CZ95" s="525"/>
      <c r="DA95" s="525"/>
      <c r="DB95" s="525"/>
      <c r="DC95" s="525"/>
      <c r="DD95" s="525"/>
      <c r="DE95" s="525"/>
      <c r="DF95" s="525"/>
      <c r="DG95" s="525"/>
      <c r="DH95" s="525"/>
      <c r="DI95" s="525"/>
      <c r="DJ95" s="525"/>
      <c r="DK95" s="525"/>
      <c r="DL95" s="525"/>
      <c r="DM95" s="525"/>
      <c r="DN95" s="525"/>
      <c r="DO95" s="525"/>
      <c r="DP95" s="525"/>
      <c r="DQ95" s="525"/>
      <c r="DR95" s="525"/>
      <c r="DS95" s="525"/>
      <c r="DT95" s="525"/>
      <c r="DU95" s="525"/>
      <c r="DV95" s="525"/>
      <c r="DW95" s="525"/>
      <c r="DX95" s="525"/>
      <c r="DY95" s="525"/>
      <c r="DZ95" s="525"/>
      <c r="EA95" s="525"/>
      <c r="EB95" s="525"/>
      <c r="EC95" s="525"/>
      <c r="ED95" s="525"/>
      <c r="EE95" s="525"/>
      <c r="EF95" s="525"/>
      <c r="EG95" s="525"/>
      <c r="EH95" s="525"/>
      <c r="EI95" s="525"/>
      <c r="EJ95" s="525"/>
      <c r="EK95" s="525"/>
      <c r="EL95" s="525"/>
      <c r="EM95" s="525"/>
      <c r="EN95" s="525"/>
      <c r="EO95" s="525"/>
      <c r="EP95" s="525"/>
      <c r="EQ95" s="525"/>
      <c r="ER95" s="525"/>
      <c r="ES95" s="525"/>
      <c r="ET95" s="525"/>
      <c r="EU95" s="525"/>
      <c r="EV95" s="525"/>
      <c r="EW95" s="525"/>
      <c r="EX95" s="525"/>
      <c r="EY95" s="525"/>
      <c r="EZ95" s="525"/>
      <c r="FA95" s="525"/>
      <c r="FB95" s="83"/>
      <c r="FE95" s="489" t="s">
        <v>951</v>
      </c>
      <c r="FK95" s="1157" cm="1" t="str">
        <f t="array" ref="FK95:FK95">OFFSET(FJ95,-1,1)</f>
        <v>0</v>
      </c>
      <c r="FL95" s="1078"/>
      <c r="FM95" s="1159"/>
      <c r="FN95" s="1159"/>
      <c r="FO95" s="1159"/>
      <c r="FP95" s="1159"/>
      <c r="FQ95" s="1159"/>
      <c r="FR95" s="1159"/>
      <c r="FS95" s="1159"/>
      <c r="FT95" s="1078" t="s">
        <v>948</v>
      </c>
      <c r="FU95" s="1159"/>
      <c r="FV95" s="1078" t="s">
        <v>255</v>
      </c>
      <c r="FW95" s="1159"/>
      <c r="FX95" s="1078"/>
      <c r="FY95" s="1078"/>
      <c r="FZ95" s="1078"/>
    </row>
    <row customHeight="1" ht="16.575" hidden="1">
      <c r="E96" s="180">
        <v>17</v>
      </c>
      <c r="F96" s="175" cm="1" t="str">
        <f t="array" ref="F96:F96">OFFSET(G96,-1,-1)</f>
        <v>0</v>
      </c>
      <c r="L96" s="175" cm="1" t="str">
        <f t="array" ref="L96:L96">OFFSET(M96,-1,-1)</f>
        <v>false</v>
      </c>
      <c r="S96" s="175" cm="1" t="str">
        <f t="array" ref="S96:S96">OFFSET(T96,-1,-1)</f>
        <v>false</v>
      </c>
      <c r="T96" s="175">
        <f>AD96&lt;&gt;"31.0"</f>
        <v>0</v>
      </c>
      <c r="U96" s="753">
        <f>AND(S96,IF(ISBLANK(T96),TRUE,T96))</f>
        <v>0</v>
      </c>
      <c r="X96" s="175" t="s">
        <v>189</v>
      </c>
      <c r="AB96" s="1616"/>
      <c r="AD96" s="491" t="s">
        <v>952</v>
      </c>
      <c r="AE96" s="514"/>
      <c r="AF96" s="515"/>
      <c r="AG96" s="530" t="str">
        <f>"руб./"&amp;_xlfn.IFERROR(INDEX(fuel_ed_izm_list,MATCH(AE96,fuel_list,0)),"")</f>
        <v>руб./</v>
      </c>
      <c r="AH96" s="88">
        <f>_xlfn.IFERROR(AH100/AH64,0)*1000</f>
        <v>0</v>
      </c>
      <c r="AI96" s="88">
        <f>_xlfn.IFERROR(AI100/AI64,0)*1000</f>
        <v>0</v>
      </c>
      <c r="AJ96" s="88">
        <f>_xlfn.IFERROR(AJ100/AJ64,0)*1000</f>
        <v>0</v>
      </c>
      <c r="AK96" s="88">
        <f>_xlfn.IFERROR(AK100/AK64,0)*1000</f>
        <v>0</v>
      </c>
      <c r="AL96" s="499">
        <f>_xlfn.IFERROR(AL100/AL64,0)*1000</f>
        <v>0</v>
      </c>
      <c r="AM96" s="89"/>
      <c r="AN96" s="89"/>
      <c r="AO96" s="499">
        <f>_xlfn.IFERROR(AO100/AO64,0)*1000</f>
        <v>0</v>
      </c>
      <c r="AP96" s="89"/>
      <c r="AQ96" s="89"/>
      <c r="AR96" s="499">
        <f>_xlfn.IFERROR(AR100/AR64,0)*1000</f>
        <v>0</v>
      </c>
      <c r="AS96" s="89"/>
      <c r="AT96" s="89"/>
      <c r="AU96" s="499">
        <f>_xlfn.IFERROR(AU100/AU64,0)*1000</f>
        <v>0</v>
      </c>
      <c r="AV96" s="89"/>
      <c r="AW96" s="89"/>
      <c r="AX96" s="499">
        <f>_xlfn.IFERROR(AX100/AX64,0)*1000</f>
        <v>0</v>
      </c>
      <c r="AY96" s="89"/>
      <c r="AZ96" s="89"/>
      <c r="BA96" s="499">
        <f>_xlfn.IFERROR(BA100/BA64,0)*1000</f>
        <v>0</v>
      </c>
      <c r="BB96" s="89"/>
      <c r="BC96" s="89"/>
      <c r="BD96" s="499">
        <f>_xlfn.IFERROR(BD100/BD64,0)*1000</f>
        <v>0</v>
      </c>
      <c r="BE96" s="89"/>
      <c r="BF96" s="89"/>
      <c r="BG96" s="499">
        <f>_xlfn.IFERROR(BG100/BG64,0)*1000</f>
        <v>0</v>
      </c>
      <c r="BH96" s="89"/>
      <c r="BI96" s="89"/>
      <c r="BJ96" s="499">
        <f>_xlfn.IFERROR(BJ100/BJ64,0)*1000</f>
        <v>0</v>
      </c>
      <c r="BK96" s="89"/>
      <c r="BL96" s="89"/>
      <c r="BM96" s="499">
        <f>_xlfn.IFERROR(BM100/BM64,0)*1000</f>
        <v>0</v>
      </c>
      <c r="BN96" s="89"/>
      <c r="BO96" s="89"/>
      <c r="BP96" s="499">
        <f>_xlfn.IFERROR(BP100/BP64,0)*1000</f>
        <v>0</v>
      </c>
      <c r="BQ96" s="89"/>
      <c r="BR96" s="89"/>
      <c r="BS96" s="499">
        <f>_xlfn.IFERROR(BS100/BS64,0)*1000</f>
        <v>0</v>
      </c>
      <c r="BT96" s="89"/>
      <c r="BU96" s="89"/>
      <c r="BV96" s="499">
        <f>_xlfn.IFERROR(BV100/BV64,0)*1000</f>
        <v>0</v>
      </c>
      <c r="BW96" s="89"/>
      <c r="BX96" s="89"/>
      <c r="BY96" s="499">
        <f>_xlfn.IFERROR(BY100/BY64,0)*1000</f>
        <v>0</v>
      </c>
      <c r="BZ96" s="89"/>
      <c r="CA96" s="89"/>
      <c r="CB96" s="499">
        <f>_xlfn.IFERROR(CB100/CB64,0)*1000</f>
        <v>0</v>
      </c>
      <c r="CC96" s="89"/>
      <c r="CD96" s="89"/>
      <c r="CE96" s="499">
        <f>_xlfn.IFERROR(CE100/CE64,0)*1000</f>
        <v>0</v>
      </c>
      <c r="CF96" s="89"/>
      <c r="CG96" s="89"/>
      <c r="CH96" s="499">
        <f>_xlfn.IFERROR(CH100/CH64,0)*1000</f>
        <v>0</v>
      </c>
      <c r="CI96" s="89"/>
      <c r="CJ96" s="89"/>
      <c r="CK96" s="499">
        <f>_xlfn.IFERROR(CK100/CK64,0)*1000</f>
        <v>0</v>
      </c>
      <c r="CL96" s="89"/>
      <c r="CM96" s="89"/>
      <c r="CN96" s="499">
        <f>_xlfn.IFERROR(CN100/CN64,0)*1000</f>
        <v>0</v>
      </c>
      <c r="CO96" s="89"/>
      <c r="CP96" s="89"/>
      <c r="CQ96" s="499">
        <f>_xlfn.IFERROR(CQ100/CQ64,0)*1000</f>
        <v>0</v>
      </c>
      <c r="CR96" s="89"/>
      <c r="CS96" s="89"/>
      <c r="CT96" s="499">
        <f>_xlfn.IFERROR(CT100/CT64,0)*1000</f>
        <v>0</v>
      </c>
      <c r="CU96" s="498"/>
      <c r="CV96" s="498"/>
      <c r="CW96" s="499">
        <f>_xlfn.IFERROR(CW100/CW64,0)*1000</f>
        <v>0</v>
      </c>
      <c r="CX96" s="89"/>
      <c r="CY96" s="89"/>
      <c r="CZ96" s="499">
        <f>_xlfn.IFERROR(CZ100/CZ64,0)*1000</f>
        <v>0</v>
      </c>
      <c r="DA96" s="89"/>
      <c r="DB96" s="89"/>
      <c r="DC96" s="499">
        <f>_xlfn.IFERROR(DC100/DC64,0)*1000</f>
        <v>0</v>
      </c>
      <c r="DD96" s="89"/>
      <c r="DE96" s="89"/>
      <c r="DF96" s="499">
        <f>_xlfn.IFERROR(DF100/DF64,0)*1000</f>
        <v>0</v>
      </c>
      <c r="DG96" s="89"/>
      <c r="DH96" s="89"/>
      <c r="DI96" s="499">
        <f>_xlfn.IFERROR(DI100/DI64,0)*1000</f>
        <v>0</v>
      </c>
      <c r="DJ96" s="89"/>
      <c r="DK96" s="89"/>
      <c r="DL96" s="499">
        <f>_xlfn.IFERROR(DL100/DL64,0)*1000</f>
        <v>0</v>
      </c>
      <c r="DM96" s="89"/>
      <c r="DN96" s="89"/>
      <c r="DO96" s="499">
        <f>_xlfn.IFERROR(DO100/DO64,0)*1000</f>
        <v>0</v>
      </c>
      <c r="DP96" s="89"/>
      <c r="DQ96" s="89"/>
      <c r="DR96" s="499">
        <f>_xlfn.IFERROR(DR100/DR64,0)*1000</f>
        <v>0</v>
      </c>
      <c r="DS96" s="89"/>
      <c r="DT96" s="89"/>
      <c r="DU96" s="499">
        <f>_xlfn.IFERROR(DU100/DU64,0)*1000</f>
        <v>0</v>
      </c>
      <c r="DV96" s="89"/>
      <c r="DW96" s="89"/>
      <c r="DX96" s="499">
        <f>_xlfn.IFERROR(DX100/DX64,0)*1000</f>
        <v>0</v>
      </c>
      <c r="DY96" s="89"/>
      <c r="DZ96" s="89"/>
      <c r="EA96" s="499">
        <f>_xlfn.IFERROR(EA100/EA64,0)*1000</f>
        <v>0</v>
      </c>
      <c r="EB96" s="89"/>
      <c r="EC96" s="89"/>
      <c r="ED96" s="499">
        <f>_xlfn.IFERROR(ED100/ED64,0)*1000</f>
        <v>0</v>
      </c>
      <c r="EE96" s="89"/>
      <c r="EF96" s="89"/>
      <c r="EG96" s="499">
        <f>_xlfn.IFERROR(EG100/EG64,0)*1000</f>
        <v>0</v>
      </c>
      <c r="EH96" s="89"/>
      <c r="EI96" s="89"/>
      <c r="EJ96" s="499">
        <f>_xlfn.IFERROR(EJ100/EJ64,0)*1000</f>
        <v>0</v>
      </c>
      <c r="EK96" s="89"/>
      <c r="EL96" s="89"/>
      <c r="EM96" s="499">
        <f>_xlfn.IFERROR(EM100/EM64,0)*1000</f>
        <v>0</v>
      </c>
      <c r="EN96" s="89"/>
      <c r="EO96" s="89"/>
      <c r="EP96" s="499">
        <f>_xlfn.IFERROR(EP100/EP64,0)*1000</f>
        <v>0</v>
      </c>
      <c r="EQ96" s="89"/>
      <c r="ER96" s="89"/>
      <c r="ES96" s="499">
        <f>_xlfn.IFERROR(ES100/ES64,0)*1000</f>
        <v>0</v>
      </c>
      <c r="ET96" s="89"/>
      <c r="EU96" s="89"/>
      <c r="EV96" s="499">
        <f>_xlfn.IFERROR(EV100/EV64,0)*1000</f>
        <v>0</v>
      </c>
      <c r="EW96" s="89"/>
      <c r="EX96" s="89"/>
      <c r="EY96" s="499">
        <f>_xlfn.IFERROR(EY100/EY64,0)*1000</f>
        <v>0</v>
      </c>
      <c r="EZ96" s="89"/>
      <c r="FA96" s="89"/>
      <c r="FB96" s="83"/>
      <c r="FE96" s="489" t="s">
        <v>951</v>
      </c>
      <c r="FF96" s="648" t="s">
        <v>890</v>
      </c>
      <c r="FG96" s="648" cm="1" t="str">
        <f t="array" ref="FG96:FG96">AE96</f>
        <v>0</v>
      </c>
      <c r="FH96" s="648" cm="1" t="str">
        <f t="array" ref="FH96:FH96">AF96</f>
        <v>0</v>
      </c>
      <c r="FK96" s="1157" cm="1" t="str">
        <f t="array" ref="FK96:FK96">OFFSET(FJ96,-1,1)</f>
        <v>0</v>
      </c>
      <c r="FL96" s="1159"/>
      <c r="FM96" s="1159"/>
      <c r="FN96" s="1159"/>
      <c r="FO96" s="1159"/>
      <c r="FP96" s="1159"/>
      <c r="FQ96" s="1159"/>
      <c r="FR96" s="1159"/>
      <c r="FS96" s="1159"/>
      <c r="FT96" s="1159" t="s">
        <v>948</v>
      </c>
      <c r="FU96" s="1159"/>
      <c r="FV96" s="1159" t="s">
        <v>255</v>
      </c>
      <c r="FW96" s="1078" t="str">
        <f>$AE96&amp;"|"&amp;$AF96</f>
        <v>|</v>
      </c>
      <c r="FX96" s="1159" t="s">
        <v>303</v>
      </c>
      <c r="FY96" s="1159" t="s">
        <v>936</v>
      </c>
      <c r="FZ96" s="1159" t="s">
        <v>937</v>
      </c>
    </row>
    <row customHeight="1" ht="15" hidden="1">
      <c r="E97" s="965">
        <v>0</v>
      </c>
      <c r="F97" s="175" cm="1" t="str">
        <f t="array" ref="F97:F97">OFFSET(G97,-1,-1)</f>
        <v>0</v>
      </c>
      <c r="L97" s="175" cm="1" t="str">
        <f t="array" ref="L97:L97">OFFSET(M97,-1,-1)</f>
        <v>false</v>
      </c>
      <c r="S97" s="175" cm="1" t="str">
        <f t="array" ref="S97:S97">OFFSET(T97,-1,-1)</f>
        <v>false</v>
      </c>
      <c r="U97" s="753">
        <f>AND(S97,IF(ISBLANK(T97),TRUE,T97))</f>
        <v>0</v>
      </c>
      <c r="X97" s="980" t="str">
        <f>"{                  
         funcDyn: 'msg1',
         blok: 'blok_2',
         wsCross: 'Топливо 4.4',
         linkFormula: 'AE-AE#AF-AF',
         levelDyn: "&amp;Y28&amp;"
}"</f>
        <v>{                  
         funcDyn: 'msg1',
         blok: 'blok_2',
         wsCross: 'Топливо 4.4',
         linkFormula: 'AE-AE#AF-AF',
         levelDyn: 0
}</v>
      </c>
      <c r="AB97" s="1616"/>
      <c r="AD97" s="517"/>
      <c r="AE97" s="518" t="s">
        <v>191</v>
      </c>
      <c r="AF97" s="519"/>
      <c r="AG97" s="470"/>
      <c r="AH97" s="525"/>
      <c r="AI97" s="525"/>
      <c r="AJ97" s="525"/>
      <c r="AK97" s="525"/>
      <c r="AL97" s="525"/>
      <c r="AM97" s="525"/>
      <c r="AN97" s="525"/>
      <c r="AO97" s="525"/>
      <c r="AP97" s="525"/>
      <c r="AQ97" s="525"/>
      <c r="AR97" s="525"/>
      <c r="AS97" s="525"/>
      <c r="AT97" s="525"/>
      <c r="AU97" s="525"/>
      <c r="AV97" s="525"/>
      <c r="AW97" s="525"/>
      <c r="AX97" s="525"/>
      <c r="AY97" s="525"/>
      <c r="AZ97" s="525"/>
      <c r="BA97" s="525"/>
      <c r="BB97" s="525"/>
      <c r="BC97" s="525"/>
      <c r="BD97" s="525"/>
      <c r="BE97" s="525"/>
      <c r="BF97" s="525"/>
      <c r="BG97" s="525"/>
      <c r="BH97" s="525"/>
      <c r="BI97" s="525"/>
      <c r="BJ97" s="525"/>
      <c r="BK97" s="525"/>
      <c r="BL97" s="525"/>
      <c r="BM97" s="525"/>
      <c r="BN97" s="525"/>
      <c r="BO97" s="525"/>
      <c r="BP97" s="525"/>
      <c r="BQ97" s="525"/>
      <c r="BR97" s="525"/>
      <c r="BS97" s="525"/>
      <c r="BT97" s="525"/>
      <c r="BU97" s="525"/>
      <c r="BV97" s="525"/>
      <c r="BW97" s="525"/>
      <c r="BX97" s="525"/>
      <c r="BY97" s="525"/>
      <c r="BZ97" s="525"/>
      <c r="CA97" s="525"/>
      <c r="CB97" s="525"/>
      <c r="CC97" s="525"/>
      <c r="CD97" s="525"/>
      <c r="CE97" s="525"/>
      <c r="CF97" s="525"/>
      <c r="CG97" s="525"/>
      <c r="CH97" s="525"/>
      <c r="CI97" s="525"/>
      <c r="CJ97" s="525"/>
      <c r="CK97" s="525"/>
      <c r="CL97" s="525"/>
      <c r="CM97" s="525"/>
      <c r="CN97" s="525"/>
      <c r="CO97" s="525"/>
      <c r="CP97" s="525"/>
      <c r="CQ97" s="525"/>
      <c r="CR97" s="525"/>
      <c r="CS97" s="525"/>
      <c r="CT97" s="525"/>
      <c r="CU97" s="525"/>
      <c r="CV97" s="525"/>
      <c r="CW97" s="525"/>
      <c r="CX97" s="525"/>
      <c r="CY97" s="525"/>
      <c r="CZ97" s="525"/>
      <c r="DA97" s="525"/>
      <c r="DB97" s="525"/>
      <c r="DC97" s="525"/>
      <c r="DD97" s="525"/>
      <c r="DE97" s="525"/>
      <c r="DF97" s="525"/>
      <c r="DG97" s="525"/>
      <c r="DH97" s="525"/>
      <c r="DI97" s="525"/>
      <c r="DJ97" s="525"/>
      <c r="DK97" s="525"/>
      <c r="DL97" s="525"/>
      <c r="DM97" s="525"/>
      <c r="DN97" s="525"/>
      <c r="DO97" s="525"/>
      <c r="DP97" s="525"/>
      <c r="DQ97" s="525"/>
      <c r="DR97" s="525"/>
      <c r="DS97" s="525"/>
      <c r="DT97" s="525"/>
      <c r="DU97" s="525"/>
      <c r="DV97" s="525"/>
      <c r="DW97" s="525"/>
      <c r="DX97" s="525"/>
      <c r="DY97" s="525"/>
      <c r="DZ97" s="525"/>
      <c r="EA97" s="525"/>
      <c r="EB97" s="525"/>
      <c r="EC97" s="525"/>
      <c r="ED97" s="525"/>
      <c r="EE97" s="525"/>
      <c r="EF97" s="525"/>
      <c r="EG97" s="525"/>
      <c r="EH97" s="525"/>
      <c r="EI97" s="525"/>
      <c r="EJ97" s="525"/>
      <c r="EK97" s="525"/>
      <c r="EL97" s="525"/>
      <c r="EM97" s="525"/>
      <c r="EN97" s="525"/>
      <c r="EO97" s="525"/>
      <c r="EP97" s="525"/>
      <c r="EQ97" s="525"/>
      <c r="ER97" s="525"/>
      <c r="ES97" s="525"/>
      <c r="ET97" s="525"/>
      <c r="EU97" s="525"/>
      <c r="EV97" s="525"/>
      <c r="EW97" s="525"/>
      <c r="EX97" s="525"/>
      <c r="EY97" s="525"/>
      <c r="EZ97" s="525"/>
      <c r="FA97" s="525"/>
      <c r="FB97" s="93"/>
      <c r="FE97" s="489" t="str">
        <f>IF(AND(ISNUMBER(VALUE(TRIM(SUBSTITUTE(AD97,".","")))),TRIM(SUBSTITUTE(AD97,".",""))&lt;&gt;""),"P"&amp;SUBSTITUTE(AD97,".",""),"")</f>
        <v/>
      </c>
      <c r="FK97" s="1157" cm="1" t="str">
        <f t="array" ref="FK97:FK97">OFFSET(FJ97,-1,1)</f>
        <v>0</v>
      </c>
      <c r="FL97" s="1159"/>
      <c r="FM97" s="1159"/>
      <c r="FN97" s="1159"/>
      <c r="FO97" s="1159"/>
      <c r="FP97" s="1159"/>
      <c r="FQ97" s="1159"/>
      <c r="FR97" s="1159"/>
      <c r="FS97" s="1159"/>
      <c r="FT97" s="1159"/>
      <c r="FU97" s="1159"/>
      <c r="FV97" s="1159"/>
      <c r="FW97" s="1159"/>
      <c r="FX97" s="1159"/>
      <c r="FY97" s="1159"/>
      <c r="FZ97" s="1159"/>
    </row>
    <row customHeight="1" ht="16.575" hidden="1">
      <c r="E98" s="180">
        <v>17</v>
      </c>
      <c r="F98" s="175" cm="1" t="str">
        <f t="array" ref="F98:F98">OFFSET(G98,-1,-1)</f>
        <v>0</v>
      </c>
      <c r="L98" s="175" cm="1" t="str">
        <f t="array" ref="L98:L98">OFFSET(M98,-1,-1)</f>
        <v>false</v>
      </c>
      <c r="S98" s="175" cm="1" t="str">
        <f t="array" ref="S98:S98">OFFSET(T98,-1,-1)</f>
        <v>false</v>
      </c>
      <c r="U98" s="753">
        <f>AND(S98,IF(ISBLANK(T98),TRUE,T98))</f>
        <v>0</v>
      </c>
      <c r="AB98" s="1616"/>
      <c r="AD98" s="327">
        <v>32</v>
      </c>
      <c r="AE98" s="1618" t="s">
        <v>953</v>
      </c>
      <c r="AF98" s="427"/>
      <c r="AG98" s="470" t="s">
        <v>917</v>
      </c>
      <c r="AH98" s="500">
        <f>SUM(AH100:AH101)</f>
        <v>0</v>
      </c>
      <c r="AI98" s="500">
        <f>SUM(AI100:AI101)</f>
        <v>0</v>
      </c>
      <c r="AJ98" s="500">
        <f>SUM(AJ100:AJ101)</f>
        <v>0</v>
      </c>
      <c r="AK98" s="500">
        <f>SUM(AK100:AK101)</f>
        <v>0</v>
      </c>
      <c r="AL98" s="500">
        <f>SUM(AL100:AL101)</f>
        <v>0</v>
      </c>
      <c r="AM98" s="500">
        <f>SUM(AM100:AM101)</f>
        <v>0</v>
      </c>
      <c r="AN98" s="500">
        <f>SUM(AN100:AN101)</f>
        <v>0</v>
      </c>
      <c r="AO98" s="500">
        <f>SUM(AO100:AO101)</f>
        <v>0</v>
      </c>
      <c r="AP98" s="500">
        <f>SUM(AP100:AP101)</f>
        <v>0</v>
      </c>
      <c r="AQ98" s="500">
        <f>SUM(AQ100:AQ101)</f>
        <v>0</v>
      </c>
      <c r="AR98" s="500">
        <f>SUM(AR100:AR101)</f>
        <v>0</v>
      </c>
      <c r="AS98" s="500">
        <f>SUM(AS100:AS101)</f>
        <v>0</v>
      </c>
      <c r="AT98" s="500">
        <f>SUM(AT100:AT101)</f>
        <v>0</v>
      </c>
      <c r="AU98" s="500">
        <f>SUM(AU100:AU101)</f>
        <v>0</v>
      </c>
      <c r="AV98" s="500">
        <f>SUM(AV100:AV101)</f>
        <v>0</v>
      </c>
      <c r="AW98" s="500">
        <f>SUM(AW100:AW101)</f>
        <v>0</v>
      </c>
      <c r="AX98" s="500">
        <f>SUM(AX100:AX101)</f>
        <v>0</v>
      </c>
      <c r="AY98" s="500">
        <f>SUM(AY100:AY101)</f>
        <v>0</v>
      </c>
      <c r="AZ98" s="500">
        <f>SUM(AZ100:AZ101)</f>
        <v>0</v>
      </c>
      <c r="BA98" s="500">
        <f>SUM(BA100:BA101)</f>
        <v>0</v>
      </c>
      <c r="BB98" s="500">
        <f>SUM(BB100:BB101)</f>
        <v>0</v>
      </c>
      <c r="BC98" s="500">
        <f>SUM(BC100:BC101)</f>
        <v>0</v>
      </c>
      <c r="BD98" s="500">
        <f>SUM(BD100:BD101)</f>
        <v>0</v>
      </c>
      <c r="BE98" s="500">
        <f>SUM(BE100:BE101)</f>
        <v>0</v>
      </c>
      <c r="BF98" s="500">
        <f>SUM(BF100:BF101)</f>
        <v>0</v>
      </c>
      <c r="BG98" s="500">
        <f>SUM(BG100:BG101)</f>
        <v>0</v>
      </c>
      <c r="BH98" s="500">
        <f>SUM(BH100:BH101)</f>
        <v>0</v>
      </c>
      <c r="BI98" s="500">
        <f>SUM(BI100:BI101)</f>
        <v>0</v>
      </c>
      <c r="BJ98" s="500">
        <f>SUM(BJ100:BJ101)</f>
        <v>0</v>
      </c>
      <c r="BK98" s="500">
        <f>SUM(BK100:BK101)</f>
        <v>0</v>
      </c>
      <c r="BL98" s="500">
        <f>SUM(BL100:BL101)</f>
        <v>0</v>
      </c>
      <c r="BM98" s="500">
        <f>SUM(BM100:BM101)</f>
        <v>0</v>
      </c>
      <c r="BN98" s="500">
        <f>SUM(BN100:BN101)</f>
        <v>0</v>
      </c>
      <c r="BO98" s="500">
        <f>SUM(BO100:BO101)</f>
        <v>0</v>
      </c>
      <c r="BP98" s="500">
        <f>SUM(BP100:BP101)</f>
        <v>0</v>
      </c>
      <c r="BQ98" s="500">
        <f>SUM(BQ100:BQ101)</f>
        <v>0</v>
      </c>
      <c r="BR98" s="500">
        <f>SUM(BR100:BR101)</f>
        <v>0</v>
      </c>
      <c r="BS98" s="500">
        <f>SUM(BS100:BS101)</f>
        <v>0</v>
      </c>
      <c r="BT98" s="500">
        <f>SUM(BT100:BT101)</f>
        <v>0</v>
      </c>
      <c r="BU98" s="500">
        <f>SUM(BU100:BU101)</f>
        <v>0</v>
      </c>
      <c r="BV98" s="500">
        <f>SUM(BV100:BV101)</f>
        <v>0</v>
      </c>
      <c r="BW98" s="500">
        <f>SUM(BW100:BW101)</f>
        <v>0</v>
      </c>
      <c r="BX98" s="500">
        <f>SUM(BX100:BX101)</f>
        <v>0</v>
      </c>
      <c r="BY98" s="500">
        <f>SUM(BY100:BY101)</f>
        <v>0</v>
      </c>
      <c r="BZ98" s="500">
        <f>SUM(BZ100:BZ101)</f>
        <v>0</v>
      </c>
      <c r="CA98" s="500">
        <f>SUM(CA100:CA101)</f>
        <v>0</v>
      </c>
      <c r="CB98" s="500">
        <f>SUM(CB100:CB101)</f>
        <v>0</v>
      </c>
      <c r="CC98" s="500">
        <f>SUM(CC100:CC101)</f>
        <v>0</v>
      </c>
      <c r="CD98" s="500">
        <f>SUM(CD100:CD101)</f>
        <v>0</v>
      </c>
      <c r="CE98" s="500">
        <f>SUM(CE100:CE101)</f>
        <v>0</v>
      </c>
      <c r="CF98" s="500">
        <f>SUM(CF100:CF101)</f>
        <v>0</v>
      </c>
      <c r="CG98" s="500">
        <f>SUM(CG100:CG101)</f>
        <v>0</v>
      </c>
      <c r="CH98" s="500">
        <f>SUM(CH100:CH101)</f>
        <v>0</v>
      </c>
      <c r="CI98" s="500">
        <f>SUM(CI100:CI101)</f>
        <v>0</v>
      </c>
      <c r="CJ98" s="500">
        <f>SUM(CJ100:CJ101)</f>
        <v>0</v>
      </c>
      <c r="CK98" s="500">
        <f>SUM(CK100:CK101)</f>
        <v>0</v>
      </c>
      <c r="CL98" s="500">
        <f>SUM(CL100:CL101)</f>
        <v>0</v>
      </c>
      <c r="CM98" s="500">
        <f>SUM(CM100:CM101)</f>
        <v>0</v>
      </c>
      <c r="CN98" s="500">
        <f>SUM(CN100:CN101)</f>
        <v>0</v>
      </c>
      <c r="CO98" s="500">
        <f>SUM(CO100:CO101)</f>
        <v>0</v>
      </c>
      <c r="CP98" s="500">
        <f>SUM(CP100:CP101)</f>
        <v>0</v>
      </c>
      <c r="CQ98" s="500">
        <f>SUM(CQ100:CQ101)</f>
        <v>0</v>
      </c>
      <c r="CR98" s="500">
        <f>SUM(CR100:CR101)</f>
        <v>0</v>
      </c>
      <c r="CS98" s="500">
        <f>SUM(CS100:CS101)</f>
        <v>0</v>
      </c>
      <c r="CT98" s="500">
        <f>SUM(CT100:CT101)</f>
        <v>0</v>
      </c>
      <c r="CU98" s="500">
        <f>SUM(CU100:CU101)</f>
        <v>0</v>
      </c>
      <c r="CV98" s="500">
        <f>SUM(CV100:CV101)</f>
        <v>0</v>
      </c>
      <c r="CW98" s="500">
        <f>SUM(CW100:CW101)</f>
        <v>0</v>
      </c>
      <c r="CX98" s="500">
        <f>SUM(CX100:CX101)</f>
        <v>0</v>
      </c>
      <c r="CY98" s="500">
        <f>SUM(CY100:CY101)</f>
        <v>0</v>
      </c>
      <c r="CZ98" s="500">
        <f>SUM(CZ100:CZ101)</f>
        <v>0</v>
      </c>
      <c r="DA98" s="500">
        <f>SUM(DA100:DA101)</f>
        <v>0</v>
      </c>
      <c r="DB98" s="500">
        <f>SUM(DB100:DB101)</f>
        <v>0</v>
      </c>
      <c r="DC98" s="500">
        <f>SUM(DC100:DC101)</f>
        <v>0</v>
      </c>
      <c r="DD98" s="500">
        <f>SUM(DD100:DD101)</f>
        <v>0</v>
      </c>
      <c r="DE98" s="500">
        <f>SUM(DE100:DE101)</f>
        <v>0</v>
      </c>
      <c r="DF98" s="500">
        <f>SUM(DF100:DF101)</f>
        <v>0</v>
      </c>
      <c r="DG98" s="500">
        <f>SUM(DG100:DG101)</f>
        <v>0</v>
      </c>
      <c r="DH98" s="500">
        <f>SUM(DH100:DH101)</f>
        <v>0</v>
      </c>
      <c r="DI98" s="500">
        <f>SUM(DI100:DI101)</f>
        <v>0</v>
      </c>
      <c r="DJ98" s="500">
        <f>SUM(DJ100:DJ101)</f>
        <v>0</v>
      </c>
      <c r="DK98" s="500">
        <f>SUM(DK100:DK101)</f>
        <v>0</v>
      </c>
      <c r="DL98" s="500">
        <f>SUM(DL100:DL101)</f>
        <v>0</v>
      </c>
      <c r="DM98" s="500">
        <f>SUM(DM100:DM101)</f>
        <v>0</v>
      </c>
      <c r="DN98" s="500">
        <f>SUM(DN100:DN101)</f>
        <v>0</v>
      </c>
      <c r="DO98" s="500">
        <f>SUM(DO100:DO101)</f>
        <v>0</v>
      </c>
      <c r="DP98" s="500">
        <f>SUM(DP100:DP101)</f>
        <v>0</v>
      </c>
      <c r="DQ98" s="500">
        <f>SUM(DQ100:DQ101)</f>
        <v>0</v>
      </c>
      <c r="DR98" s="500">
        <f>SUM(DR100:DR101)</f>
        <v>0</v>
      </c>
      <c r="DS98" s="500">
        <f>SUM(DS100:DS101)</f>
        <v>0</v>
      </c>
      <c r="DT98" s="500">
        <f>SUM(DT100:DT101)</f>
        <v>0</v>
      </c>
      <c r="DU98" s="500">
        <f>SUM(DU100:DU101)</f>
        <v>0</v>
      </c>
      <c r="DV98" s="500">
        <f>SUM(DV100:DV101)</f>
        <v>0</v>
      </c>
      <c r="DW98" s="500">
        <f>SUM(DW100:DW101)</f>
        <v>0</v>
      </c>
      <c r="DX98" s="500">
        <f>SUM(DX100:DX101)</f>
        <v>0</v>
      </c>
      <c r="DY98" s="500">
        <f>SUM(DY100:DY101)</f>
        <v>0</v>
      </c>
      <c r="DZ98" s="500">
        <f>SUM(DZ100:DZ101)</f>
        <v>0</v>
      </c>
      <c r="EA98" s="500">
        <f>SUM(EA100:EA101)</f>
        <v>0</v>
      </c>
      <c r="EB98" s="500">
        <f>SUM(EB100:EB101)</f>
        <v>0</v>
      </c>
      <c r="EC98" s="500">
        <f>SUM(EC100:EC101)</f>
        <v>0</v>
      </c>
      <c r="ED98" s="500">
        <f>SUM(ED100:ED101)</f>
        <v>0</v>
      </c>
      <c r="EE98" s="500">
        <f>SUM(EE100:EE101)</f>
        <v>0</v>
      </c>
      <c r="EF98" s="500">
        <f>SUM(EF100:EF101)</f>
        <v>0</v>
      </c>
      <c r="EG98" s="500">
        <f>SUM(EG100:EG101)</f>
        <v>0</v>
      </c>
      <c r="EH98" s="500">
        <f>SUM(EH100:EH101)</f>
        <v>0</v>
      </c>
      <c r="EI98" s="500">
        <f>SUM(EI100:EI101)</f>
        <v>0</v>
      </c>
      <c r="EJ98" s="500">
        <f>SUM(EJ100:EJ101)</f>
        <v>0</v>
      </c>
      <c r="EK98" s="500">
        <f>SUM(EK100:EK101)</f>
        <v>0</v>
      </c>
      <c r="EL98" s="500">
        <f>SUM(EL100:EL101)</f>
        <v>0</v>
      </c>
      <c r="EM98" s="500">
        <f>SUM(EM100:EM101)</f>
        <v>0</v>
      </c>
      <c r="EN98" s="500">
        <f>SUM(EN100:EN101)</f>
        <v>0</v>
      </c>
      <c r="EO98" s="500">
        <f>SUM(EO100:EO101)</f>
        <v>0</v>
      </c>
      <c r="EP98" s="500">
        <f>SUM(EP100:EP101)</f>
        <v>0</v>
      </c>
      <c r="EQ98" s="500">
        <f>SUM(EQ100:EQ101)</f>
        <v>0</v>
      </c>
      <c r="ER98" s="500">
        <f>SUM(ER100:ER101)</f>
        <v>0</v>
      </c>
      <c r="ES98" s="500">
        <f>SUM(ES100:ES101)</f>
        <v>0</v>
      </c>
      <c r="ET98" s="500">
        <f>SUM(ET100:ET101)</f>
        <v>0</v>
      </c>
      <c r="EU98" s="500">
        <f>SUM(EU100:EU101)</f>
        <v>0</v>
      </c>
      <c r="EV98" s="500">
        <f>SUM(EV100:EV101)</f>
        <v>0</v>
      </c>
      <c r="EW98" s="500">
        <f>SUM(EW100:EW101)</f>
        <v>0</v>
      </c>
      <c r="EX98" s="500">
        <f>SUM(EX100:EX101)</f>
        <v>0</v>
      </c>
      <c r="EY98" s="500">
        <f>SUM(EY100:EY101)</f>
        <v>0</v>
      </c>
      <c r="EZ98" s="500">
        <f>SUM(EZ100:EZ101)</f>
        <v>0</v>
      </c>
      <c r="FA98" s="500">
        <f>SUM(FA100:FA101)</f>
        <v>0</v>
      </c>
      <c r="FB98" s="83"/>
      <c r="FE98" s="489" t="s">
        <v>954</v>
      </c>
      <c r="FK98" s="1157" cm="1" t="str">
        <f t="array" ref="FK98:FK98">OFFSET(FJ98,-1,1)</f>
        <v>0</v>
      </c>
      <c r="FL98" s="1078"/>
      <c r="FM98" s="1159"/>
      <c r="FN98" s="1159"/>
      <c r="FO98" s="1159"/>
      <c r="FP98" s="1159"/>
      <c r="FQ98" s="1159"/>
      <c r="FR98" s="1159"/>
      <c r="FS98" s="1159"/>
      <c r="FT98" s="1078" t="s">
        <v>948</v>
      </c>
      <c r="FU98" s="1159"/>
      <c r="FV98" s="1078" t="s">
        <v>449</v>
      </c>
      <c r="FW98" s="1159"/>
      <c r="FX98" s="1078" t="s">
        <v>303</v>
      </c>
      <c r="FY98" s="1078" t="s">
        <v>919</v>
      </c>
      <c r="FZ98" s="1078" t="s">
        <v>920</v>
      </c>
    </row>
    <row customHeight="1" ht="16.575" hidden="1">
      <c r="E99" s="180">
        <v>17</v>
      </c>
      <c r="F99" s="175" cm="1" t="str">
        <f t="array" ref="F99:F99">OFFSET(G99,-1,-1)</f>
        <v>0</v>
      </c>
      <c r="L99" s="175" cm="1" t="str">
        <f t="array" ref="L99:L99">OFFSET(M99,-1,-1)</f>
        <v>false</v>
      </c>
      <c r="R99" s="175" t="s">
        <v>804</v>
      </c>
      <c r="S99" s="175" cm="1" t="str">
        <f t="array" ref="S99:S99">OFFSET(T99,-1,-1)</f>
        <v>false</v>
      </c>
      <c r="T99" s="175" t="b">
        <v>0</v>
      </c>
      <c r="U99" s="753">
        <f>AND(S99,IF(ISBLANK(T99),TRUE,T99))</f>
        <v>0</v>
      </c>
      <c r="AB99" s="1616"/>
      <c r="AD99" s="491" t="str">
        <f>AD98&amp;".0"</f>
        <v>32.0</v>
      </c>
      <c r="AE99" s="537" t="s">
        <v>822</v>
      </c>
      <c r="AF99" s="368"/>
      <c r="AG99" s="470" t="s">
        <v>917</v>
      </c>
      <c r="AH99" s="88">
        <f>AH52*AH98</f>
        <v>0</v>
      </c>
      <c r="AI99" s="89">
        <f>AI$52*AI98</f>
        <v>0</v>
      </c>
      <c r="AJ99" s="89">
        <f>AJ$52*AJ98</f>
        <v>0</v>
      </c>
      <c r="AK99" s="89">
        <f>AK$52*AK98</f>
        <v>0</v>
      </c>
      <c r="AL99" s="499">
        <f>AM99+AN99</f>
        <v>0</v>
      </c>
      <c r="AM99" s="89">
        <f>AM$52*AM98</f>
        <v>0</v>
      </c>
      <c r="AN99" s="89">
        <f>AN$52*AN98</f>
        <v>0</v>
      </c>
      <c r="AO99" s="499">
        <f>AP99+AQ99</f>
        <v>0</v>
      </c>
      <c r="AP99" s="89">
        <f>AP$52*AP98</f>
        <v>0</v>
      </c>
      <c r="AQ99" s="89">
        <f>AQ$52*AQ98</f>
        <v>0</v>
      </c>
      <c r="AR99" s="499">
        <f>AS99+AT99</f>
        <v>0</v>
      </c>
      <c r="AS99" s="89">
        <f>AS$52*AS98</f>
        <v>0</v>
      </c>
      <c r="AT99" s="89">
        <f>AT$52*AT98</f>
        <v>0</v>
      </c>
      <c r="AU99" s="499">
        <f>AV99+AW99</f>
        <v>0</v>
      </c>
      <c r="AV99" s="89">
        <f>AV$52*AV98</f>
        <v>0</v>
      </c>
      <c r="AW99" s="89">
        <f>AW$52*AW98</f>
        <v>0</v>
      </c>
      <c r="AX99" s="499">
        <f>AY99+AZ99</f>
        <v>0</v>
      </c>
      <c r="AY99" s="89">
        <f>AY$52*AY98</f>
        <v>0</v>
      </c>
      <c r="AZ99" s="89">
        <f>AZ$52*AZ98</f>
        <v>0</v>
      </c>
      <c r="BA99" s="499">
        <f>BB99+BC99</f>
        <v>0</v>
      </c>
      <c r="BB99" s="89">
        <f>BB$52*BB98</f>
        <v>0</v>
      </c>
      <c r="BC99" s="89">
        <f>BC$52*BC98</f>
        <v>0</v>
      </c>
      <c r="BD99" s="499">
        <f>BE99+BF99</f>
        <v>0</v>
      </c>
      <c r="BE99" s="89">
        <f>BE$52*BE98</f>
        <v>0</v>
      </c>
      <c r="BF99" s="89">
        <f>BF$52*BF98</f>
        <v>0</v>
      </c>
      <c r="BG99" s="499">
        <f>BH99+BI99</f>
        <v>0</v>
      </c>
      <c r="BH99" s="89">
        <f>BH$52*BH98</f>
        <v>0</v>
      </c>
      <c r="BI99" s="89">
        <f>BI$52*BI98</f>
        <v>0</v>
      </c>
      <c r="BJ99" s="499">
        <f>BK99+BL99</f>
        <v>0</v>
      </c>
      <c r="BK99" s="89">
        <f>BK$52*BK98</f>
        <v>0</v>
      </c>
      <c r="BL99" s="89">
        <f>BL$52*BL98</f>
        <v>0</v>
      </c>
      <c r="BM99" s="499">
        <f>BN99+BO99</f>
        <v>0</v>
      </c>
      <c r="BN99" s="89">
        <f>BN$52*BN98</f>
        <v>0</v>
      </c>
      <c r="BO99" s="89">
        <f>BO$52*BO98</f>
        <v>0</v>
      </c>
      <c r="BP99" s="499">
        <f>BQ99+BR99</f>
        <v>0</v>
      </c>
      <c r="BQ99" s="89">
        <f>BQ$52*BQ98</f>
        <v>0</v>
      </c>
      <c r="BR99" s="89">
        <f>BR$52*BR98</f>
        <v>0</v>
      </c>
      <c r="BS99" s="499">
        <f>BT99+BU99</f>
        <v>0</v>
      </c>
      <c r="BT99" s="89">
        <f>BT$52*BT98</f>
        <v>0</v>
      </c>
      <c r="BU99" s="89">
        <f>BU$52*BU98</f>
        <v>0</v>
      </c>
      <c r="BV99" s="499">
        <f>BW99+BX99</f>
        <v>0</v>
      </c>
      <c r="BW99" s="89">
        <f>BW$52*BW98</f>
        <v>0</v>
      </c>
      <c r="BX99" s="89">
        <f>BX$52*BX98</f>
        <v>0</v>
      </c>
      <c r="BY99" s="499">
        <f>BZ99+CA99</f>
        <v>0</v>
      </c>
      <c r="BZ99" s="89">
        <f>BZ$52*BZ98</f>
        <v>0</v>
      </c>
      <c r="CA99" s="89">
        <f>CA$52*CA98</f>
        <v>0</v>
      </c>
      <c r="CB99" s="499">
        <f>CC99+CD99</f>
        <v>0</v>
      </c>
      <c r="CC99" s="89">
        <f>CC$52*CC98</f>
        <v>0</v>
      </c>
      <c r="CD99" s="89">
        <f>CD$52*CD98</f>
        <v>0</v>
      </c>
      <c r="CE99" s="499">
        <f>CF99+CG99</f>
        <v>0</v>
      </c>
      <c r="CF99" s="89">
        <f>CF$52*CF98</f>
        <v>0</v>
      </c>
      <c r="CG99" s="89">
        <f>CG$52*CG98</f>
        <v>0</v>
      </c>
      <c r="CH99" s="499">
        <f>CI99+CJ99</f>
        <v>0</v>
      </c>
      <c r="CI99" s="89">
        <f>CI$52*CI98</f>
        <v>0</v>
      </c>
      <c r="CJ99" s="89">
        <f>CJ$52*CJ98</f>
        <v>0</v>
      </c>
      <c r="CK99" s="499">
        <f>CL99+CM99</f>
        <v>0</v>
      </c>
      <c r="CL99" s="89">
        <f>CL$52*CL98</f>
        <v>0</v>
      </c>
      <c r="CM99" s="89">
        <f>CM$52*CM98</f>
        <v>0</v>
      </c>
      <c r="CN99" s="499">
        <f>CO99+CP99</f>
        <v>0</v>
      </c>
      <c r="CO99" s="89">
        <f>CO$52*CO98</f>
        <v>0</v>
      </c>
      <c r="CP99" s="89">
        <f>CP$52*CP98</f>
        <v>0</v>
      </c>
      <c r="CQ99" s="499">
        <f>CR99+CS99</f>
        <v>0</v>
      </c>
      <c r="CR99" s="89">
        <f>CR$52*CR98</f>
        <v>0</v>
      </c>
      <c r="CS99" s="89">
        <f>CS$52*CS98</f>
        <v>0</v>
      </c>
      <c r="CT99" s="499">
        <f>CU99+CV99</f>
        <v>0</v>
      </c>
      <c r="CU99" s="498">
        <f>CU$52*CU98</f>
        <v>0</v>
      </c>
      <c r="CV99" s="498">
        <f>CV$52*CV98</f>
        <v>0</v>
      </c>
      <c r="CW99" s="499">
        <f>CX99+CY99</f>
        <v>0</v>
      </c>
      <c r="CX99" s="89">
        <f>CX$52*CX98</f>
        <v>0</v>
      </c>
      <c r="CY99" s="89">
        <f>CY$52*CY98</f>
        <v>0</v>
      </c>
      <c r="CZ99" s="499">
        <f>DA99+DB99</f>
        <v>0</v>
      </c>
      <c r="DA99" s="89">
        <f>DA$52*DA98</f>
        <v>0</v>
      </c>
      <c r="DB99" s="89">
        <f>DB$52*DB98</f>
        <v>0</v>
      </c>
      <c r="DC99" s="499">
        <f>DD99+DE99</f>
        <v>0</v>
      </c>
      <c r="DD99" s="89">
        <f>DD$52*DD98</f>
        <v>0</v>
      </c>
      <c r="DE99" s="89">
        <f>DE$52*DE98</f>
        <v>0</v>
      </c>
      <c r="DF99" s="499">
        <f>DG99+DH99</f>
        <v>0</v>
      </c>
      <c r="DG99" s="89">
        <f>DG$52*DG98</f>
        <v>0</v>
      </c>
      <c r="DH99" s="89">
        <f>DH$52*DH98</f>
        <v>0</v>
      </c>
      <c r="DI99" s="499">
        <f>DJ99+DK99</f>
        <v>0</v>
      </c>
      <c r="DJ99" s="89">
        <f>DJ$52*DJ98</f>
        <v>0</v>
      </c>
      <c r="DK99" s="89">
        <f>DK$52*DK98</f>
        <v>0</v>
      </c>
      <c r="DL99" s="499">
        <f>DM99+DN99</f>
        <v>0</v>
      </c>
      <c r="DM99" s="89">
        <f>DM$52*DM98</f>
        <v>0</v>
      </c>
      <c r="DN99" s="89">
        <f>DN$52*DN98</f>
        <v>0</v>
      </c>
      <c r="DO99" s="499">
        <f>DP99+DQ99</f>
        <v>0</v>
      </c>
      <c r="DP99" s="89">
        <f>DP$52*DP98</f>
        <v>0</v>
      </c>
      <c r="DQ99" s="89">
        <f>DQ$52*DQ98</f>
        <v>0</v>
      </c>
      <c r="DR99" s="499">
        <f>DS99+DT99</f>
        <v>0</v>
      </c>
      <c r="DS99" s="89">
        <f>DS$52*DS98</f>
        <v>0</v>
      </c>
      <c r="DT99" s="89">
        <f>DT$52*DT98</f>
        <v>0</v>
      </c>
      <c r="DU99" s="499">
        <f>DV99+DW99</f>
        <v>0</v>
      </c>
      <c r="DV99" s="89">
        <f>DV$52*DV98</f>
        <v>0</v>
      </c>
      <c r="DW99" s="89">
        <f>DW$52*DW98</f>
        <v>0</v>
      </c>
      <c r="DX99" s="499">
        <f>DY99+DZ99</f>
        <v>0</v>
      </c>
      <c r="DY99" s="89">
        <f>DY$52*DY98</f>
        <v>0</v>
      </c>
      <c r="DZ99" s="89">
        <f>DZ$52*DZ98</f>
        <v>0</v>
      </c>
      <c r="EA99" s="499">
        <f>EB99+EC99</f>
        <v>0</v>
      </c>
      <c r="EB99" s="89">
        <f>EB$52*EB98</f>
        <v>0</v>
      </c>
      <c r="EC99" s="89">
        <f>EC$52*EC98</f>
        <v>0</v>
      </c>
      <c r="ED99" s="499">
        <f>EE99+EF99</f>
        <v>0</v>
      </c>
      <c r="EE99" s="89">
        <f>EE$52*EE98</f>
        <v>0</v>
      </c>
      <c r="EF99" s="89">
        <f>EF$52*EF98</f>
        <v>0</v>
      </c>
      <c r="EG99" s="499">
        <f>EH99+EI99</f>
        <v>0</v>
      </c>
      <c r="EH99" s="89">
        <f>EH$52*EH98</f>
        <v>0</v>
      </c>
      <c r="EI99" s="89">
        <f>EI$52*EI98</f>
        <v>0</v>
      </c>
      <c r="EJ99" s="499">
        <f>EK99+EL99</f>
        <v>0</v>
      </c>
      <c r="EK99" s="89">
        <f>EK$52*EK98</f>
        <v>0</v>
      </c>
      <c r="EL99" s="89">
        <f>EL$52*EL98</f>
        <v>0</v>
      </c>
      <c r="EM99" s="499">
        <f>EN99+EO99</f>
        <v>0</v>
      </c>
      <c r="EN99" s="89">
        <f>EN$52*EN98</f>
        <v>0</v>
      </c>
      <c r="EO99" s="89">
        <f>EO$52*EO98</f>
        <v>0</v>
      </c>
      <c r="EP99" s="499">
        <f>EQ99+ER99</f>
        <v>0</v>
      </c>
      <c r="EQ99" s="89">
        <f>EQ$52*EQ98</f>
        <v>0</v>
      </c>
      <c r="ER99" s="89">
        <f>ER$52*ER98</f>
        <v>0</v>
      </c>
      <c r="ES99" s="499">
        <f>ET99+EU99</f>
        <v>0</v>
      </c>
      <c r="ET99" s="89">
        <f>ET$52*ET98</f>
        <v>0</v>
      </c>
      <c r="EU99" s="89">
        <f>EU$52*EU98</f>
        <v>0</v>
      </c>
      <c r="EV99" s="499">
        <f>EW99+EX99</f>
        <v>0</v>
      </c>
      <c r="EW99" s="89">
        <f>EW$52*EW98</f>
        <v>0</v>
      </c>
      <c r="EX99" s="89">
        <f>EX$52*EX98</f>
        <v>0</v>
      </c>
      <c r="EY99" s="499">
        <f>EZ99+FA99</f>
        <v>0</v>
      </c>
      <c r="EZ99" s="89">
        <f>EZ$52*EZ98</f>
        <v>0</v>
      </c>
      <c r="FA99" s="89">
        <f>FA$52*FA98</f>
        <v>0</v>
      </c>
      <c r="FB99" s="83"/>
      <c r="FE99" s="489" t="s">
        <v>955</v>
      </c>
      <c r="FK99" s="1157" cm="1" t="str">
        <f t="array" ref="FK99:FK99">OFFSET(FJ99,-1,1)</f>
        <v>0</v>
      </c>
      <c r="FL99" s="1159"/>
      <c r="FM99" s="1078" t="s">
        <v>824</v>
      </c>
      <c r="FN99" s="1159"/>
      <c r="FO99" s="1159"/>
      <c r="FP99" s="1159"/>
      <c r="FQ99" s="1159"/>
      <c r="FR99" s="1159"/>
      <c r="FS99" s="1159"/>
      <c r="FT99" s="1159"/>
      <c r="FU99" s="1159"/>
      <c r="FV99" s="1078" t="s">
        <v>219</v>
      </c>
      <c r="FW99" s="1159"/>
      <c r="FX99" s="1078" t="s">
        <v>303</v>
      </c>
      <c r="FY99" s="1078" t="s">
        <v>919</v>
      </c>
      <c r="FZ99" s="1078" t="s">
        <v>920</v>
      </c>
    </row>
    <row customHeight="1" ht="16.575" hidden="1">
      <c r="E100" s="180">
        <v>17</v>
      </c>
      <c r="F100" s="175" cm="1" t="str">
        <f t="array" ref="F100:F100">OFFSET(G100,-1,-1)</f>
        <v>0</v>
      </c>
      <c r="L100" s="175" cm="1" t="str">
        <f t="array" ref="L100:L100">OFFSET(M100,-1,-1)</f>
        <v>false</v>
      </c>
      <c r="S100" s="175" cm="1" t="str">
        <f t="array" ref="S100:S100">OFFSET(T100,-1,-1)</f>
        <v>false</v>
      </c>
      <c r="T100" s="175">
        <f>AD100&lt;&gt;"32.0"</f>
        <v>0</v>
      </c>
      <c r="U100" s="753">
        <f>AND(S100,IF(ISBLANK(T100),TRUE,T100))</f>
        <v>0</v>
      </c>
      <c r="X100" s="175" t="s">
        <v>189</v>
      </c>
      <c r="AB100" s="1616"/>
      <c r="AD100" s="491" t="s">
        <v>956</v>
      </c>
      <c r="AE100" s="514"/>
      <c r="AF100" s="515"/>
      <c r="AG100" s="470" t="s">
        <v>917</v>
      </c>
      <c r="AH100" s="88"/>
      <c r="AI100" s="89"/>
      <c r="AJ100" s="89"/>
      <c r="AK100" s="89"/>
      <c r="AL100" s="499">
        <f>AM100+AN100</f>
        <v>0</v>
      </c>
      <c r="AM100" s="89">
        <f>AM96*AM64/1000</f>
        <v>0</v>
      </c>
      <c r="AN100" s="89">
        <f>AN96*AN64/1000</f>
        <v>0</v>
      </c>
      <c r="AO100" s="499">
        <f>AP100+AQ100</f>
        <v>0</v>
      </c>
      <c r="AP100" s="89">
        <f>AP96*AP64/1000</f>
        <v>0</v>
      </c>
      <c r="AQ100" s="89">
        <f>AQ96*AQ64/1000</f>
        <v>0</v>
      </c>
      <c r="AR100" s="499">
        <f>AS100+AT100</f>
        <v>0</v>
      </c>
      <c r="AS100" s="89">
        <f>AS96*AS64/1000</f>
        <v>0</v>
      </c>
      <c r="AT100" s="89">
        <f>AT96*AT64/1000</f>
        <v>0</v>
      </c>
      <c r="AU100" s="499">
        <f>AV100+AW100</f>
        <v>0</v>
      </c>
      <c r="AV100" s="89">
        <f>AV96*AV64/1000</f>
        <v>0</v>
      </c>
      <c r="AW100" s="89">
        <f>AW96*AW64/1000</f>
        <v>0</v>
      </c>
      <c r="AX100" s="499">
        <f>AY100+AZ100</f>
        <v>0</v>
      </c>
      <c r="AY100" s="89">
        <f>AY96*AY64/1000</f>
        <v>0</v>
      </c>
      <c r="AZ100" s="89">
        <f>AZ96*AZ64/1000</f>
        <v>0</v>
      </c>
      <c r="BA100" s="499">
        <f>BB100+BC100</f>
        <v>0</v>
      </c>
      <c r="BB100" s="89">
        <f>BB96*BB64/1000</f>
        <v>0</v>
      </c>
      <c r="BC100" s="89">
        <f>BC96*BC64/1000</f>
        <v>0</v>
      </c>
      <c r="BD100" s="499">
        <f>BE100+BF100</f>
        <v>0</v>
      </c>
      <c r="BE100" s="89">
        <f>BE96*BE64/1000</f>
        <v>0</v>
      </c>
      <c r="BF100" s="89">
        <f>BF96*BF64/1000</f>
        <v>0</v>
      </c>
      <c r="BG100" s="499">
        <f>BH100+BI100</f>
        <v>0</v>
      </c>
      <c r="BH100" s="89">
        <f>BH96*BH64/1000</f>
        <v>0</v>
      </c>
      <c r="BI100" s="89">
        <f>BI96*BI64/1000</f>
        <v>0</v>
      </c>
      <c r="BJ100" s="499">
        <f>BK100+BL100</f>
        <v>0</v>
      </c>
      <c r="BK100" s="89">
        <f>BK96*BK64/1000</f>
        <v>0</v>
      </c>
      <c r="BL100" s="89">
        <f>BL96*BL64/1000</f>
        <v>0</v>
      </c>
      <c r="BM100" s="499">
        <f>BN100+BO100</f>
        <v>0</v>
      </c>
      <c r="BN100" s="89">
        <f>BN96*BN64/1000</f>
        <v>0</v>
      </c>
      <c r="BO100" s="89">
        <f>BO96*BO64/1000</f>
        <v>0</v>
      </c>
      <c r="BP100" s="499">
        <f>BQ100+BR100</f>
        <v>0</v>
      </c>
      <c r="BQ100" s="89">
        <f>BQ96*BQ64/1000</f>
        <v>0</v>
      </c>
      <c r="BR100" s="89">
        <f>BR96*BR64/1000</f>
        <v>0</v>
      </c>
      <c r="BS100" s="499">
        <f>BT100+BU100</f>
        <v>0</v>
      </c>
      <c r="BT100" s="89">
        <f>BT96*BT64/1000</f>
        <v>0</v>
      </c>
      <c r="BU100" s="89">
        <f>BU96*BU64/1000</f>
        <v>0</v>
      </c>
      <c r="BV100" s="499">
        <f>BW100+BX100</f>
        <v>0</v>
      </c>
      <c r="BW100" s="89">
        <f>BW96*BW64/1000</f>
        <v>0</v>
      </c>
      <c r="BX100" s="89">
        <f>BX96*BX64/1000</f>
        <v>0</v>
      </c>
      <c r="BY100" s="499">
        <f>BZ100+CA100</f>
        <v>0</v>
      </c>
      <c r="BZ100" s="89">
        <f>BZ96*BZ64/1000</f>
        <v>0</v>
      </c>
      <c r="CA100" s="89">
        <f>CA96*CA64/1000</f>
        <v>0</v>
      </c>
      <c r="CB100" s="499">
        <f>CC100+CD100</f>
        <v>0</v>
      </c>
      <c r="CC100" s="89">
        <f>CC96*CC64/1000</f>
        <v>0</v>
      </c>
      <c r="CD100" s="89">
        <f>CD96*CD64/1000</f>
        <v>0</v>
      </c>
      <c r="CE100" s="499">
        <f>CF100+CG100</f>
        <v>0</v>
      </c>
      <c r="CF100" s="89">
        <f>CF96*CF64/1000</f>
        <v>0</v>
      </c>
      <c r="CG100" s="89">
        <f>CG96*CG64/1000</f>
        <v>0</v>
      </c>
      <c r="CH100" s="499">
        <f>CI100+CJ100</f>
        <v>0</v>
      </c>
      <c r="CI100" s="89">
        <f>CI96*CI64/1000</f>
        <v>0</v>
      </c>
      <c r="CJ100" s="89">
        <f>CJ96*CJ64/1000</f>
        <v>0</v>
      </c>
      <c r="CK100" s="499">
        <f>CL100+CM100</f>
        <v>0</v>
      </c>
      <c r="CL100" s="89">
        <f>CL96*CL64/1000</f>
        <v>0</v>
      </c>
      <c r="CM100" s="89">
        <f>CM96*CM64/1000</f>
        <v>0</v>
      </c>
      <c r="CN100" s="499">
        <f>CO100+CP100</f>
        <v>0</v>
      </c>
      <c r="CO100" s="89">
        <f>CO96*CO64/1000</f>
        <v>0</v>
      </c>
      <c r="CP100" s="89">
        <f>CP96*CP64/1000</f>
        <v>0</v>
      </c>
      <c r="CQ100" s="499">
        <f>CR100+CS100</f>
        <v>0</v>
      </c>
      <c r="CR100" s="89">
        <f>CR96*CR64/1000</f>
        <v>0</v>
      </c>
      <c r="CS100" s="89">
        <f>CS96*CS64/1000</f>
        <v>0</v>
      </c>
      <c r="CT100" s="499">
        <f>CU100+CV100</f>
        <v>0</v>
      </c>
      <c r="CU100" s="498">
        <f>CU96*CU64/1000</f>
        <v>0</v>
      </c>
      <c r="CV100" s="498">
        <f>CV96*CV64/1000</f>
        <v>0</v>
      </c>
      <c r="CW100" s="499">
        <f>CX100+CY100</f>
        <v>0</v>
      </c>
      <c r="CX100" s="89">
        <f>CX96*CX64/1000</f>
        <v>0</v>
      </c>
      <c r="CY100" s="89">
        <f>CY96*CY64/1000</f>
        <v>0</v>
      </c>
      <c r="CZ100" s="499">
        <f>DA100+DB100</f>
        <v>0</v>
      </c>
      <c r="DA100" s="89">
        <f>DA96*DA64/1000</f>
        <v>0</v>
      </c>
      <c r="DB100" s="89">
        <f>DB96*DB64/1000</f>
        <v>0</v>
      </c>
      <c r="DC100" s="499">
        <f>DD100+DE100</f>
        <v>0</v>
      </c>
      <c r="DD100" s="89">
        <f>DD96*DD64/1000</f>
        <v>0</v>
      </c>
      <c r="DE100" s="89">
        <f>DE96*DE64/1000</f>
        <v>0</v>
      </c>
      <c r="DF100" s="499">
        <f>DG100+DH100</f>
        <v>0</v>
      </c>
      <c r="DG100" s="89">
        <f>DG96*DG64/1000</f>
        <v>0</v>
      </c>
      <c r="DH100" s="89">
        <f>DH96*DH64/1000</f>
        <v>0</v>
      </c>
      <c r="DI100" s="499">
        <f>DJ100+DK100</f>
        <v>0</v>
      </c>
      <c r="DJ100" s="89">
        <f>DJ96*DJ64/1000</f>
        <v>0</v>
      </c>
      <c r="DK100" s="89">
        <f>DK96*DK64/1000</f>
        <v>0</v>
      </c>
      <c r="DL100" s="499">
        <f>DM100+DN100</f>
        <v>0</v>
      </c>
      <c r="DM100" s="89">
        <f>DM96*DM64/1000</f>
        <v>0</v>
      </c>
      <c r="DN100" s="89">
        <f>DN96*DN64/1000</f>
        <v>0</v>
      </c>
      <c r="DO100" s="499">
        <f>DP100+DQ100</f>
        <v>0</v>
      </c>
      <c r="DP100" s="89">
        <f>DP96*DP64/1000</f>
        <v>0</v>
      </c>
      <c r="DQ100" s="89">
        <f>DQ96*DQ64/1000</f>
        <v>0</v>
      </c>
      <c r="DR100" s="499">
        <f>DS100+DT100</f>
        <v>0</v>
      </c>
      <c r="DS100" s="89">
        <f>DS96*DS64/1000</f>
        <v>0</v>
      </c>
      <c r="DT100" s="89">
        <f>DT96*DT64/1000</f>
        <v>0</v>
      </c>
      <c r="DU100" s="499">
        <f>DV100+DW100</f>
        <v>0</v>
      </c>
      <c r="DV100" s="89">
        <f>DV96*DV64/1000</f>
        <v>0</v>
      </c>
      <c r="DW100" s="89">
        <f>DW96*DW64/1000</f>
        <v>0</v>
      </c>
      <c r="DX100" s="499">
        <f>DY100+DZ100</f>
        <v>0</v>
      </c>
      <c r="DY100" s="89">
        <f>DY96*DY64/1000</f>
        <v>0</v>
      </c>
      <c r="DZ100" s="89">
        <f>DZ96*DZ64/1000</f>
        <v>0</v>
      </c>
      <c r="EA100" s="499">
        <f>EB100+EC100</f>
        <v>0</v>
      </c>
      <c r="EB100" s="89">
        <f>EB96*EB64/1000</f>
        <v>0</v>
      </c>
      <c r="EC100" s="89">
        <f>EC96*EC64/1000</f>
        <v>0</v>
      </c>
      <c r="ED100" s="499">
        <f>EE100+EF100</f>
        <v>0</v>
      </c>
      <c r="EE100" s="89">
        <f>EE96*EE64/1000</f>
        <v>0</v>
      </c>
      <c r="EF100" s="89">
        <f>EF96*EF64/1000</f>
        <v>0</v>
      </c>
      <c r="EG100" s="499">
        <f>EH100+EI100</f>
        <v>0</v>
      </c>
      <c r="EH100" s="89">
        <f>EH96*EH64/1000</f>
        <v>0</v>
      </c>
      <c r="EI100" s="89">
        <f>EI96*EI64/1000</f>
        <v>0</v>
      </c>
      <c r="EJ100" s="499">
        <f>EK100+EL100</f>
        <v>0</v>
      </c>
      <c r="EK100" s="89">
        <f>EK96*EK64/1000</f>
        <v>0</v>
      </c>
      <c r="EL100" s="89">
        <f>EL96*EL64/1000</f>
        <v>0</v>
      </c>
      <c r="EM100" s="499">
        <f>EN100+EO100</f>
        <v>0</v>
      </c>
      <c r="EN100" s="89">
        <f>EN96*EN64/1000</f>
        <v>0</v>
      </c>
      <c r="EO100" s="89">
        <f>EO96*EO64/1000</f>
        <v>0</v>
      </c>
      <c r="EP100" s="499">
        <f>EQ100+ER100</f>
        <v>0</v>
      </c>
      <c r="EQ100" s="89">
        <f>EQ96*EQ64/1000</f>
        <v>0</v>
      </c>
      <c r="ER100" s="89">
        <f>ER96*ER64/1000</f>
        <v>0</v>
      </c>
      <c r="ES100" s="499">
        <f>ET100+EU100</f>
        <v>0</v>
      </c>
      <c r="ET100" s="89">
        <f>ET96*ET64/1000</f>
        <v>0</v>
      </c>
      <c r="EU100" s="89">
        <f>EU96*EU64/1000</f>
        <v>0</v>
      </c>
      <c r="EV100" s="499">
        <f>EW100+EX100</f>
        <v>0</v>
      </c>
      <c r="EW100" s="89">
        <f>EW96*EW64/1000</f>
        <v>0</v>
      </c>
      <c r="EX100" s="89">
        <f>EX96*EX64/1000</f>
        <v>0</v>
      </c>
      <c r="EY100" s="499">
        <f>EZ100+FA100</f>
        <v>0</v>
      </c>
      <c r="EZ100" s="89">
        <f>EZ96*EZ64/1000</f>
        <v>0</v>
      </c>
      <c r="FA100" s="89">
        <f>FA96*FA64/1000</f>
        <v>0</v>
      </c>
      <c r="FB100" s="83"/>
      <c r="FE100" s="489" t="s">
        <v>955</v>
      </c>
      <c r="FF100" s="648" t="s">
        <v>890</v>
      </c>
      <c r="FG100" s="648" cm="1" t="str">
        <f t="array" ref="FG100:FG100">AE100</f>
        <v>0</v>
      </c>
      <c r="FH100" s="648" cm="1" t="str">
        <f t="array" ref="FH100:FH100">AF100</f>
        <v>0</v>
      </c>
      <c r="FK100" s="1157" cm="1" t="str">
        <f t="array" ref="FK100:FK100">OFFSET(FJ100,-1,1)</f>
        <v>0</v>
      </c>
      <c r="FL100" s="1159"/>
      <c r="FM100" s="1159"/>
      <c r="FN100" s="1159"/>
      <c r="FO100" s="1159"/>
      <c r="FP100" s="1159"/>
      <c r="FQ100" s="1159"/>
      <c r="FR100" s="1159"/>
      <c r="FS100" s="1159"/>
      <c r="FT100" s="1159" t="s">
        <v>948</v>
      </c>
      <c r="FU100" s="1159"/>
      <c r="FV100" s="1159" t="s">
        <v>449</v>
      </c>
      <c r="FW100" s="1078" t="str">
        <f>$AE100&amp;"|"&amp;$AF100</f>
        <v>|</v>
      </c>
      <c r="FX100" s="1159" t="s">
        <v>303</v>
      </c>
      <c r="FY100" s="1159" t="s">
        <v>919</v>
      </c>
      <c r="FZ100" s="1159" t="s">
        <v>920</v>
      </c>
    </row>
    <row customHeight="1" ht="15" hidden="1">
      <c r="E101" s="965">
        <v>0</v>
      </c>
      <c r="F101" s="175" cm="1" t="str">
        <f t="array" ref="F101:F101">OFFSET(G101,-1,-1)</f>
        <v>0</v>
      </c>
      <c r="L101" s="175" cm="1" t="str">
        <f t="array" ref="L101:L101">OFFSET(M101,-1,-1)</f>
        <v>false</v>
      </c>
      <c r="S101" s="175" cm="1" t="str">
        <f t="array" ref="S101:S101">OFFSET(T101,-1,-1)</f>
        <v>false</v>
      </c>
      <c r="U101" s="753">
        <f>AND(S101,IF(ISBLANK(T101),TRUE,T101))</f>
        <v>0</v>
      </c>
      <c r="X101" s="980" t="str">
        <f>"{                  
         funcDyn: 'msg1',
         blok: 'blok_2',
         wsCross: 'Топливо 4.4',
         linkFormula: 'AE-AE#AF-AF',
         levelDyn: "&amp;Y28&amp;"
}"</f>
        <v>{                  
         funcDyn: 'msg1',
         blok: 'blok_2',
         wsCross: 'Топливо 4.4',
         linkFormula: 'AE-AE#AF-AF',
         levelDyn: 0
}</v>
      </c>
      <c r="AB101" s="1616"/>
      <c r="AD101" s="517"/>
      <c r="AE101" s="518" t="s">
        <v>191</v>
      </c>
      <c r="AF101" s="519"/>
      <c r="AG101" s="470"/>
      <c r="AH101" s="524"/>
      <c r="AI101" s="525"/>
      <c r="AJ101" s="525"/>
      <c r="AK101" s="525"/>
      <c r="AL101" s="525"/>
      <c r="AM101" s="525"/>
      <c r="AN101" s="525"/>
      <c r="AO101" s="525"/>
      <c r="AP101" s="525"/>
      <c r="AQ101" s="525"/>
      <c r="AR101" s="525"/>
      <c r="AS101" s="525"/>
      <c r="AT101" s="525"/>
      <c r="AU101" s="525"/>
      <c r="AV101" s="525"/>
      <c r="AW101" s="525"/>
      <c r="AX101" s="525"/>
      <c r="AY101" s="525"/>
      <c r="AZ101" s="525"/>
      <c r="BA101" s="525"/>
      <c r="BB101" s="525"/>
      <c r="BC101" s="525"/>
      <c r="BD101" s="525"/>
      <c r="BE101" s="525"/>
      <c r="BF101" s="525"/>
      <c r="BG101" s="525"/>
      <c r="BH101" s="525"/>
      <c r="BI101" s="525"/>
      <c r="BJ101" s="525"/>
      <c r="BK101" s="525"/>
      <c r="BL101" s="525"/>
      <c r="BM101" s="525"/>
      <c r="BN101" s="525"/>
      <c r="BO101" s="525"/>
      <c r="BP101" s="525"/>
      <c r="BQ101" s="525"/>
      <c r="BR101" s="525"/>
      <c r="BS101" s="525"/>
      <c r="BT101" s="525"/>
      <c r="BU101" s="525"/>
      <c r="BV101" s="525"/>
      <c r="BW101" s="525"/>
      <c r="BX101" s="525"/>
      <c r="BY101" s="525"/>
      <c r="BZ101" s="525"/>
      <c r="CA101" s="525"/>
      <c r="CB101" s="525"/>
      <c r="CC101" s="525"/>
      <c r="CD101" s="525"/>
      <c r="CE101" s="525"/>
      <c r="CF101" s="525"/>
      <c r="CG101" s="525"/>
      <c r="CH101" s="525"/>
      <c r="CI101" s="525"/>
      <c r="CJ101" s="525"/>
      <c r="CK101" s="525"/>
      <c r="CL101" s="525"/>
      <c r="CM101" s="525"/>
      <c r="CN101" s="525"/>
      <c r="CO101" s="525"/>
      <c r="CP101" s="525"/>
      <c r="CQ101" s="525"/>
      <c r="CR101" s="525"/>
      <c r="CS101" s="525"/>
      <c r="CT101" s="525"/>
      <c r="CU101" s="525"/>
      <c r="CV101" s="525"/>
      <c r="CW101" s="525"/>
      <c r="CX101" s="525"/>
      <c r="CY101" s="525"/>
      <c r="CZ101" s="525"/>
      <c r="DA101" s="525"/>
      <c r="DB101" s="525"/>
      <c r="DC101" s="525"/>
      <c r="DD101" s="525"/>
      <c r="DE101" s="525"/>
      <c r="DF101" s="525"/>
      <c r="DG101" s="525"/>
      <c r="DH101" s="525"/>
      <c r="DI101" s="525"/>
      <c r="DJ101" s="525"/>
      <c r="DK101" s="525"/>
      <c r="DL101" s="525"/>
      <c r="DM101" s="525"/>
      <c r="DN101" s="525"/>
      <c r="DO101" s="525"/>
      <c r="DP101" s="525"/>
      <c r="DQ101" s="525"/>
      <c r="DR101" s="525"/>
      <c r="DS101" s="525"/>
      <c r="DT101" s="525"/>
      <c r="DU101" s="525"/>
      <c r="DV101" s="525"/>
      <c r="DW101" s="525"/>
      <c r="DX101" s="525"/>
      <c r="DY101" s="525"/>
      <c r="DZ101" s="525"/>
      <c r="EA101" s="525"/>
      <c r="EB101" s="525"/>
      <c r="EC101" s="525"/>
      <c r="ED101" s="525"/>
      <c r="EE101" s="525"/>
      <c r="EF101" s="525"/>
      <c r="EG101" s="525"/>
      <c r="EH101" s="525"/>
      <c r="EI101" s="525"/>
      <c r="EJ101" s="525"/>
      <c r="EK101" s="525"/>
      <c r="EL101" s="525"/>
      <c r="EM101" s="525"/>
      <c r="EN101" s="525"/>
      <c r="EO101" s="525"/>
      <c r="EP101" s="525"/>
      <c r="EQ101" s="525"/>
      <c r="ER101" s="525"/>
      <c r="ES101" s="525"/>
      <c r="ET101" s="525"/>
      <c r="EU101" s="525"/>
      <c r="EV101" s="525"/>
      <c r="EW101" s="525"/>
      <c r="EX101" s="525"/>
      <c r="EY101" s="525"/>
      <c r="EZ101" s="525"/>
      <c r="FA101" s="525"/>
      <c r="FB101" s="93"/>
      <c r="FE101" s="489" t="str">
        <f>IF(AND(ISNUMBER(VALUE(TRIM(SUBSTITUTE(AD101,".","")))),TRIM(SUBSTITUTE(AD101,".",""))&lt;&gt;""),"P"&amp;SUBSTITUTE(AD101,".",""),"")</f>
        <v/>
      </c>
      <c r="FK101" s="1157" cm="1" t="str">
        <f t="array" ref="FK101:FK101">OFFSET(FJ101,-1,1)</f>
        <v>0</v>
      </c>
      <c r="FL101" s="1159"/>
      <c r="FM101" s="1159"/>
      <c r="FN101" s="1159"/>
      <c r="FO101" s="1159"/>
      <c r="FP101" s="1159"/>
      <c r="FQ101" s="1159"/>
      <c r="FR101" s="1159"/>
      <c r="FS101" s="1159"/>
      <c r="FT101" s="1159"/>
      <c r="FU101" s="1159"/>
      <c r="FV101" s="1159"/>
      <c r="FW101" s="1159"/>
      <c r="FX101" s="1159"/>
      <c r="FY101" s="1159"/>
      <c r="FZ101" s="1159"/>
    </row>
    <row customHeight="1" ht="29.25" hidden="1">
      <c r="E102" s="180">
        <v>30</v>
      </c>
      <c r="F102" s="175" cm="1" t="str">
        <f t="array" ref="F102:F102">OFFSET(G102,-1,-1)</f>
        <v>0</v>
      </c>
      <c r="L102" s="175" cm="1" t="str">
        <f t="array" ref="L102:L102">OFFSET(M102,-1,-1)</f>
        <v>false</v>
      </c>
      <c r="R102" s="175" t="s">
        <v>804</v>
      </c>
      <c r="S102" s="175" cm="1" t="str">
        <f t="array" ref="S102:S102">OFFSET(T102,-1,-1)</f>
        <v>false</v>
      </c>
      <c r="T102" s="175" cm="1" t="str">
        <f t="array" ref="T102:T102">L102</f>
        <v>false</v>
      </c>
      <c r="U102" s="753">
        <f>AND(S102,IF(ISBLANK(T102),TRUE,T102))</f>
        <v>0</v>
      </c>
      <c r="AB102" s="1616"/>
      <c r="AD102" s="327">
        <v>33</v>
      </c>
      <c r="AE102" s="1623" t="s">
        <v>957</v>
      </c>
      <c r="AF102" s="437"/>
      <c r="AG102" s="470" t="s">
        <v>917</v>
      </c>
      <c r="AH102" s="500">
        <f>SUM(AH103:AH104)</f>
        <v>0</v>
      </c>
      <c r="AI102" s="500">
        <f>SUM(AI103:AI104)</f>
        <v>0</v>
      </c>
      <c r="AJ102" s="500">
        <f>SUM(AJ103:AJ104)</f>
        <v>0</v>
      </c>
      <c r="AK102" s="500">
        <f>SUM(AK103:AK104)</f>
        <v>0</v>
      </c>
      <c r="AL102" s="500">
        <f>SUM(AL103:AL104)</f>
        <v>0</v>
      </c>
      <c r="AM102" s="500">
        <f>SUM(AM103:AM104)</f>
        <v>0</v>
      </c>
      <c r="AN102" s="500">
        <f>SUM(AN103:AN104)</f>
        <v>0</v>
      </c>
      <c r="AO102" s="500">
        <f>SUM(AO103:AO104)</f>
        <v>0</v>
      </c>
      <c r="AP102" s="500">
        <f>SUM(AP103:AP104)</f>
        <v>0</v>
      </c>
      <c r="AQ102" s="500">
        <f>SUM(AQ103:AQ104)</f>
        <v>0</v>
      </c>
      <c r="AR102" s="500">
        <f>SUM(AR103:AR104)</f>
        <v>0</v>
      </c>
      <c r="AS102" s="500">
        <f>SUM(AS103:AS104)</f>
        <v>0</v>
      </c>
      <c r="AT102" s="500">
        <f>SUM(AT103:AT104)</f>
        <v>0</v>
      </c>
      <c r="AU102" s="500">
        <f>SUM(AU103:AU104)</f>
        <v>0</v>
      </c>
      <c r="AV102" s="500">
        <f>SUM(AV103:AV104)</f>
        <v>0</v>
      </c>
      <c r="AW102" s="500">
        <f>SUM(AW103:AW104)</f>
        <v>0</v>
      </c>
      <c r="AX102" s="500">
        <f>SUM(AX103:AX104)</f>
        <v>0</v>
      </c>
      <c r="AY102" s="500">
        <f>SUM(AY103:AY104)</f>
        <v>0</v>
      </c>
      <c r="AZ102" s="500">
        <f>SUM(AZ103:AZ104)</f>
        <v>0</v>
      </c>
      <c r="BA102" s="500">
        <f>SUM(BA103:BA104)</f>
        <v>0</v>
      </c>
      <c r="BB102" s="500">
        <f>SUM(BB103:BB104)</f>
        <v>0</v>
      </c>
      <c r="BC102" s="500">
        <f>SUM(BC103:BC104)</f>
        <v>0</v>
      </c>
      <c r="BD102" s="500">
        <f>SUM(BD103:BD104)</f>
        <v>0</v>
      </c>
      <c r="BE102" s="500">
        <f>SUM(BE103:BE104)</f>
        <v>0</v>
      </c>
      <c r="BF102" s="500">
        <f>SUM(BF103:BF104)</f>
        <v>0</v>
      </c>
      <c r="BG102" s="500">
        <f>SUM(BG103:BG104)</f>
        <v>0</v>
      </c>
      <c r="BH102" s="500">
        <f>SUM(BH103:BH104)</f>
        <v>0</v>
      </c>
      <c r="BI102" s="500">
        <f>SUM(BI103:BI104)</f>
        <v>0</v>
      </c>
      <c r="BJ102" s="500">
        <f>SUM(BJ103:BJ104)</f>
        <v>0</v>
      </c>
      <c r="BK102" s="500">
        <f>SUM(BK103:BK104)</f>
        <v>0</v>
      </c>
      <c r="BL102" s="500">
        <f>SUM(BL103:BL104)</f>
        <v>0</v>
      </c>
      <c r="BM102" s="500">
        <f>SUM(BM103:BM104)</f>
        <v>0</v>
      </c>
      <c r="BN102" s="500">
        <f>SUM(BN103:BN104)</f>
        <v>0</v>
      </c>
      <c r="BO102" s="500">
        <f>SUM(BO103:BO104)</f>
        <v>0</v>
      </c>
      <c r="BP102" s="500">
        <f>SUM(BP103:BP104)</f>
        <v>0</v>
      </c>
      <c r="BQ102" s="500">
        <f>SUM(BQ103:BQ104)</f>
        <v>0</v>
      </c>
      <c r="BR102" s="500">
        <f>SUM(BR103:BR104)</f>
        <v>0</v>
      </c>
      <c r="BS102" s="500">
        <f>SUM(BS103:BS104)</f>
        <v>0</v>
      </c>
      <c r="BT102" s="500">
        <f>SUM(BT103:BT104)</f>
        <v>0</v>
      </c>
      <c r="BU102" s="500">
        <f>SUM(BU103:BU104)</f>
        <v>0</v>
      </c>
      <c r="BV102" s="500">
        <f>SUM(BV103:BV104)</f>
        <v>0</v>
      </c>
      <c r="BW102" s="500">
        <f>SUM(BW103:BW104)</f>
        <v>0</v>
      </c>
      <c r="BX102" s="500">
        <f>SUM(BX103:BX104)</f>
        <v>0</v>
      </c>
      <c r="BY102" s="500">
        <f>SUM(BY103:BY104)</f>
        <v>0</v>
      </c>
      <c r="BZ102" s="500">
        <f>SUM(BZ103:BZ104)</f>
        <v>0</v>
      </c>
      <c r="CA102" s="500">
        <f>SUM(CA103:CA104)</f>
        <v>0</v>
      </c>
      <c r="CB102" s="500">
        <f>SUM(CB103:CB104)</f>
        <v>0</v>
      </c>
      <c r="CC102" s="500">
        <f>SUM(CC103:CC104)</f>
        <v>0</v>
      </c>
      <c r="CD102" s="500">
        <f>SUM(CD103:CD104)</f>
        <v>0</v>
      </c>
      <c r="CE102" s="500">
        <f>SUM(CE103:CE104)</f>
        <v>0</v>
      </c>
      <c r="CF102" s="500">
        <f>SUM(CF103:CF104)</f>
        <v>0</v>
      </c>
      <c r="CG102" s="500">
        <f>SUM(CG103:CG104)</f>
        <v>0</v>
      </c>
      <c r="CH102" s="500">
        <f>SUM(CH103:CH104)</f>
        <v>0</v>
      </c>
      <c r="CI102" s="500">
        <f>SUM(CI103:CI104)</f>
        <v>0</v>
      </c>
      <c r="CJ102" s="500">
        <f>SUM(CJ103:CJ104)</f>
        <v>0</v>
      </c>
      <c r="CK102" s="500">
        <f>SUM(CK103:CK104)</f>
        <v>0</v>
      </c>
      <c r="CL102" s="500">
        <f>SUM(CL103:CL104)</f>
        <v>0</v>
      </c>
      <c r="CM102" s="500">
        <f>SUM(CM103:CM104)</f>
        <v>0</v>
      </c>
      <c r="CN102" s="500">
        <f>SUM(CN103:CN104)</f>
        <v>0</v>
      </c>
      <c r="CO102" s="500">
        <f>SUM(CO103:CO104)</f>
        <v>0</v>
      </c>
      <c r="CP102" s="500">
        <f>SUM(CP103:CP104)</f>
        <v>0</v>
      </c>
      <c r="CQ102" s="500">
        <f>SUM(CQ103:CQ104)</f>
        <v>0</v>
      </c>
      <c r="CR102" s="500">
        <f>SUM(CR103:CR104)</f>
        <v>0</v>
      </c>
      <c r="CS102" s="500">
        <f>SUM(CS103:CS104)</f>
        <v>0</v>
      </c>
      <c r="CT102" s="500">
        <f>SUM(CT103:CT104)</f>
        <v>0</v>
      </c>
      <c r="CU102" s="500">
        <f>SUM(CU103:CU104)</f>
        <v>0</v>
      </c>
      <c r="CV102" s="500">
        <f>SUM(CV103:CV104)</f>
        <v>0</v>
      </c>
      <c r="CW102" s="500">
        <f>SUM(CW103:CW104)</f>
        <v>0</v>
      </c>
      <c r="CX102" s="500">
        <f>SUM(CX103:CX104)</f>
        <v>0</v>
      </c>
      <c r="CY102" s="500">
        <f>SUM(CY103:CY104)</f>
        <v>0</v>
      </c>
      <c r="CZ102" s="500">
        <f>SUM(CZ103:CZ104)</f>
        <v>0</v>
      </c>
      <c r="DA102" s="500">
        <f>SUM(DA103:DA104)</f>
        <v>0</v>
      </c>
      <c r="DB102" s="500">
        <f>SUM(DB103:DB104)</f>
        <v>0</v>
      </c>
      <c r="DC102" s="500">
        <f>SUM(DC103:DC104)</f>
        <v>0</v>
      </c>
      <c r="DD102" s="500">
        <f>SUM(DD103:DD104)</f>
        <v>0</v>
      </c>
      <c r="DE102" s="500">
        <f>SUM(DE103:DE104)</f>
        <v>0</v>
      </c>
      <c r="DF102" s="500">
        <f>SUM(DF103:DF104)</f>
        <v>0</v>
      </c>
      <c r="DG102" s="500">
        <f>SUM(DG103:DG104)</f>
        <v>0</v>
      </c>
      <c r="DH102" s="500">
        <f>SUM(DH103:DH104)</f>
        <v>0</v>
      </c>
      <c r="DI102" s="500">
        <f>SUM(DI103:DI104)</f>
        <v>0</v>
      </c>
      <c r="DJ102" s="500">
        <f>SUM(DJ103:DJ104)</f>
        <v>0</v>
      </c>
      <c r="DK102" s="500">
        <f>SUM(DK103:DK104)</f>
        <v>0</v>
      </c>
      <c r="DL102" s="500">
        <f>SUM(DL103:DL104)</f>
        <v>0</v>
      </c>
      <c r="DM102" s="500">
        <f>SUM(DM103:DM104)</f>
        <v>0</v>
      </c>
      <c r="DN102" s="500">
        <f>SUM(DN103:DN104)</f>
        <v>0</v>
      </c>
      <c r="DO102" s="500">
        <f>SUM(DO103:DO104)</f>
        <v>0</v>
      </c>
      <c r="DP102" s="500">
        <f>SUM(DP103:DP104)</f>
        <v>0</v>
      </c>
      <c r="DQ102" s="500">
        <f>SUM(DQ103:DQ104)</f>
        <v>0</v>
      </c>
      <c r="DR102" s="500">
        <f>SUM(DR103:DR104)</f>
        <v>0</v>
      </c>
      <c r="DS102" s="500">
        <f>SUM(DS103:DS104)</f>
        <v>0</v>
      </c>
      <c r="DT102" s="500">
        <f>SUM(DT103:DT104)</f>
        <v>0</v>
      </c>
      <c r="DU102" s="500">
        <f>SUM(DU103:DU104)</f>
        <v>0</v>
      </c>
      <c r="DV102" s="500">
        <f>SUM(DV103:DV104)</f>
        <v>0</v>
      </c>
      <c r="DW102" s="500">
        <f>SUM(DW103:DW104)</f>
        <v>0</v>
      </c>
      <c r="DX102" s="500">
        <f>SUM(DX103:DX104)</f>
        <v>0</v>
      </c>
      <c r="DY102" s="500">
        <f>SUM(DY103:DY104)</f>
        <v>0</v>
      </c>
      <c r="DZ102" s="500">
        <f>SUM(DZ103:DZ104)</f>
        <v>0</v>
      </c>
      <c r="EA102" s="500">
        <f>SUM(EA103:EA104)</f>
        <v>0</v>
      </c>
      <c r="EB102" s="500">
        <f>SUM(EB103:EB104)</f>
        <v>0</v>
      </c>
      <c r="EC102" s="500">
        <f>SUM(EC103:EC104)</f>
        <v>0</v>
      </c>
      <c r="ED102" s="500">
        <f>SUM(ED103:ED104)</f>
        <v>0</v>
      </c>
      <c r="EE102" s="500">
        <f>SUM(EE103:EE104)</f>
        <v>0</v>
      </c>
      <c r="EF102" s="500">
        <f>SUM(EF103:EF104)</f>
        <v>0</v>
      </c>
      <c r="EG102" s="500">
        <f>SUM(EG103:EG104)</f>
        <v>0</v>
      </c>
      <c r="EH102" s="500">
        <f>SUM(EH103:EH104)</f>
        <v>0</v>
      </c>
      <c r="EI102" s="500">
        <f>SUM(EI103:EI104)</f>
        <v>0</v>
      </c>
      <c r="EJ102" s="500">
        <f>SUM(EJ103:EJ104)</f>
        <v>0</v>
      </c>
      <c r="EK102" s="500">
        <f>SUM(EK103:EK104)</f>
        <v>0</v>
      </c>
      <c r="EL102" s="500">
        <f>SUM(EL103:EL104)</f>
        <v>0</v>
      </c>
      <c r="EM102" s="500">
        <f>SUM(EM103:EM104)</f>
        <v>0</v>
      </c>
      <c r="EN102" s="500">
        <f>SUM(EN103:EN104)</f>
        <v>0</v>
      </c>
      <c r="EO102" s="500">
        <f>SUM(EO103:EO104)</f>
        <v>0</v>
      </c>
      <c r="EP102" s="500">
        <f>SUM(EP103:EP104)</f>
        <v>0</v>
      </c>
      <c r="EQ102" s="500">
        <f>SUM(EQ103:EQ104)</f>
        <v>0</v>
      </c>
      <c r="ER102" s="500">
        <f>SUM(ER103:ER104)</f>
        <v>0</v>
      </c>
      <c r="ES102" s="500">
        <f>SUM(ES103:ES104)</f>
        <v>0</v>
      </c>
      <c r="ET102" s="500">
        <f>SUM(ET103:ET104)</f>
        <v>0</v>
      </c>
      <c r="EU102" s="500">
        <f>SUM(EU103:EU104)</f>
        <v>0</v>
      </c>
      <c r="EV102" s="500">
        <f>SUM(EV103:EV104)</f>
        <v>0</v>
      </c>
      <c r="EW102" s="500">
        <f>SUM(EW103:EW104)</f>
        <v>0</v>
      </c>
      <c r="EX102" s="500">
        <f>SUM(EX103:EX104)</f>
        <v>0</v>
      </c>
      <c r="EY102" s="500">
        <f>SUM(EY103:EY104)</f>
        <v>0</v>
      </c>
      <c r="EZ102" s="500">
        <f>SUM(EZ103:EZ104)</f>
        <v>0</v>
      </c>
      <c r="FA102" s="500">
        <f>SUM(FA103:FA104)</f>
        <v>0</v>
      </c>
      <c r="FB102" s="83"/>
      <c r="FE102" s="489" t="s">
        <v>958</v>
      </c>
      <c r="FK102" s="1157" cm="1" t="str">
        <f t="array" ref="FK102:FK102">OFFSET(FJ102,-1,1)</f>
        <v>0</v>
      </c>
      <c r="FL102" s="1078"/>
      <c r="FM102" s="1078" t="s">
        <v>824</v>
      </c>
      <c r="FN102" s="1159"/>
      <c r="FO102" s="1159"/>
      <c r="FP102" s="1159"/>
      <c r="FQ102" s="1159"/>
      <c r="FR102" s="1078" t="s">
        <v>561</v>
      </c>
      <c r="FS102" s="1159"/>
      <c r="FT102" s="1078" t="s">
        <v>948</v>
      </c>
      <c r="FU102" s="1159"/>
      <c r="FV102" s="1159"/>
      <c r="FW102" s="1159"/>
      <c r="FX102" s="1078" t="s">
        <v>303</v>
      </c>
      <c r="FY102" s="1078" t="s">
        <v>919</v>
      </c>
      <c r="FZ102" s="1078" t="s">
        <v>920</v>
      </c>
    </row>
    <row customHeight="1" ht="16.575" hidden="1">
      <c r="E103" s="180">
        <v>17</v>
      </c>
      <c r="F103" s="175" cm="1" t="str">
        <f t="array" ref="F103:F103">OFFSET(G103,-1,-1)</f>
        <v>0</v>
      </c>
      <c r="L103" s="175" cm="1" t="str">
        <f t="array" ref="L103:L103">OFFSET(M103,-1,-1)</f>
        <v>false</v>
      </c>
      <c r="R103" s="175" t="s">
        <v>804</v>
      </c>
      <c r="S103" s="175" cm="1" t="str">
        <f t="array" ref="S103:S103">OFFSET(T103,-1,-1)</f>
        <v>false</v>
      </c>
      <c r="T103" s="175">
        <f>AND(L103,AD103&lt;&gt;"33.0")</f>
        <v>0</v>
      </c>
      <c r="U103" s="753">
        <f>AND(S103,IF(ISBLANK(T103),TRUE,T103))</f>
        <v>0</v>
      </c>
      <c r="X103" s="175" t="s">
        <v>189</v>
      </c>
      <c r="AB103" s="1616"/>
      <c r="AD103" s="491" t="s">
        <v>959</v>
      </c>
      <c r="AE103" s="514"/>
      <c r="AF103" s="515"/>
      <c r="AG103" s="470" t="s">
        <v>917</v>
      </c>
      <c r="AH103" s="88">
        <f>AH$52*AH100</f>
        <v>0</v>
      </c>
      <c r="AI103" s="89">
        <f>AI$52*AI100</f>
        <v>0</v>
      </c>
      <c r="AJ103" s="89">
        <f>AJ$52*AJ100</f>
        <v>0</v>
      </c>
      <c r="AK103" s="89">
        <f>AK$52*AK100</f>
        <v>0</v>
      </c>
      <c r="AL103" s="499">
        <f>AM103+AN103</f>
        <v>0</v>
      </c>
      <c r="AM103" s="89">
        <f>AM$52*AM100</f>
        <v>0</v>
      </c>
      <c r="AN103" s="89">
        <f>AN$52*AN100</f>
        <v>0</v>
      </c>
      <c r="AO103" s="499">
        <f>AP103+AQ103</f>
        <v>0</v>
      </c>
      <c r="AP103" s="89">
        <f>AP$52*AP100</f>
        <v>0</v>
      </c>
      <c r="AQ103" s="89">
        <f>AQ$52*AQ100</f>
        <v>0</v>
      </c>
      <c r="AR103" s="499">
        <f>AS103+AT103</f>
        <v>0</v>
      </c>
      <c r="AS103" s="89">
        <f>AS$52*AS100</f>
        <v>0</v>
      </c>
      <c r="AT103" s="89">
        <f>AT$52*AT100</f>
        <v>0</v>
      </c>
      <c r="AU103" s="499">
        <f>AV103+AW103</f>
        <v>0</v>
      </c>
      <c r="AV103" s="89">
        <f>AV$52*AV100</f>
        <v>0</v>
      </c>
      <c r="AW103" s="89">
        <f>AW$52*AW100</f>
        <v>0</v>
      </c>
      <c r="AX103" s="499">
        <f>AY103+AZ103</f>
        <v>0</v>
      </c>
      <c r="AY103" s="89">
        <f>AY$52*AY100</f>
        <v>0</v>
      </c>
      <c r="AZ103" s="89">
        <f>AZ$52*AZ100</f>
        <v>0</v>
      </c>
      <c r="BA103" s="499">
        <f>BB103+BC103</f>
        <v>0</v>
      </c>
      <c r="BB103" s="89">
        <f>BB$52*BB100</f>
        <v>0</v>
      </c>
      <c r="BC103" s="89">
        <f>BC$52*BC100</f>
        <v>0</v>
      </c>
      <c r="BD103" s="499">
        <f>BE103+BF103</f>
        <v>0</v>
      </c>
      <c r="BE103" s="89">
        <f>BE$52*BE100</f>
        <v>0</v>
      </c>
      <c r="BF103" s="89">
        <f>BF$52*BF100</f>
        <v>0</v>
      </c>
      <c r="BG103" s="499">
        <f>BH103+BI103</f>
        <v>0</v>
      </c>
      <c r="BH103" s="89">
        <f>BH$52*BH100</f>
        <v>0</v>
      </c>
      <c r="BI103" s="89">
        <f>BI$52*BI100</f>
        <v>0</v>
      </c>
      <c r="BJ103" s="499">
        <f>BK103+BL103</f>
        <v>0</v>
      </c>
      <c r="BK103" s="89">
        <f>BK$52*BK100</f>
        <v>0</v>
      </c>
      <c r="BL103" s="89">
        <f>BL$52*BL100</f>
        <v>0</v>
      </c>
      <c r="BM103" s="499">
        <f>BN103+BO103</f>
        <v>0</v>
      </c>
      <c r="BN103" s="89">
        <f>BN$52*BN100</f>
        <v>0</v>
      </c>
      <c r="BO103" s="89">
        <f>BO$52*BO100</f>
        <v>0</v>
      </c>
      <c r="BP103" s="499">
        <f>BQ103+BR103</f>
        <v>0</v>
      </c>
      <c r="BQ103" s="89">
        <f>BQ$52*BQ100</f>
        <v>0</v>
      </c>
      <c r="BR103" s="89">
        <f>BR$52*BR100</f>
        <v>0</v>
      </c>
      <c r="BS103" s="499">
        <f>BT103+BU103</f>
        <v>0</v>
      </c>
      <c r="BT103" s="89">
        <f>BT$52*BT100</f>
        <v>0</v>
      </c>
      <c r="BU103" s="89">
        <f>BU$52*BU100</f>
        <v>0</v>
      </c>
      <c r="BV103" s="499">
        <f>BW103+BX103</f>
        <v>0</v>
      </c>
      <c r="BW103" s="89">
        <f>BW$52*BW100</f>
        <v>0</v>
      </c>
      <c r="BX103" s="89">
        <f>BX$52*BX100</f>
        <v>0</v>
      </c>
      <c r="BY103" s="499">
        <f>BZ103+CA103</f>
        <v>0</v>
      </c>
      <c r="BZ103" s="89">
        <f>BZ$52*BZ100</f>
        <v>0</v>
      </c>
      <c r="CA103" s="89">
        <f>CA$52*CA100</f>
        <v>0</v>
      </c>
      <c r="CB103" s="499">
        <f>CC103+CD103</f>
        <v>0</v>
      </c>
      <c r="CC103" s="89">
        <f>CC$52*CC100</f>
        <v>0</v>
      </c>
      <c r="CD103" s="89">
        <f>CD$52*CD100</f>
        <v>0</v>
      </c>
      <c r="CE103" s="499">
        <f>CF103+CG103</f>
        <v>0</v>
      </c>
      <c r="CF103" s="89">
        <f>CF$52*CF100</f>
        <v>0</v>
      </c>
      <c r="CG103" s="89">
        <f>CG$52*CG100</f>
        <v>0</v>
      </c>
      <c r="CH103" s="499">
        <f>CI103+CJ103</f>
        <v>0</v>
      </c>
      <c r="CI103" s="89">
        <f>CI$52*CI100</f>
        <v>0</v>
      </c>
      <c r="CJ103" s="89">
        <f>CJ$52*CJ100</f>
        <v>0</v>
      </c>
      <c r="CK103" s="499">
        <f>CL103+CM103</f>
        <v>0</v>
      </c>
      <c r="CL103" s="89">
        <f>CL$52*CL100</f>
        <v>0</v>
      </c>
      <c r="CM103" s="89">
        <f>CM$52*CM100</f>
        <v>0</v>
      </c>
      <c r="CN103" s="499">
        <f>CO103+CP103</f>
        <v>0</v>
      </c>
      <c r="CO103" s="89">
        <f>CO$52*CO100</f>
        <v>0</v>
      </c>
      <c r="CP103" s="89">
        <f>CP$52*CP100</f>
        <v>0</v>
      </c>
      <c r="CQ103" s="499">
        <f>CR103+CS103</f>
        <v>0</v>
      </c>
      <c r="CR103" s="89">
        <f>CR$52*CR100</f>
        <v>0</v>
      </c>
      <c r="CS103" s="89">
        <f>CS$52*CS100</f>
        <v>0</v>
      </c>
      <c r="CT103" s="499">
        <f>CU103+CV103</f>
        <v>0</v>
      </c>
      <c r="CU103" s="498">
        <f>CU$52*CU100</f>
        <v>0</v>
      </c>
      <c r="CV103" s="498">
        <f>CV$52*CV100</f>
        <v>0</v>
      </c>
      <c r="CW103" s="499">
        <f>CX103+CY103</f>
        <v>0</v>
      </c>
      <c r="CX103" s="89">
        <f>CX$52*CX100</f>
        <v>0</v>
      </c>
      <c r="CY103" s="89">
        <f>CY$52*CY100</f>
        <v>0</v>
      </c>
      <c r="CZ103" s="499">
        <f>DA103+DB103</f>
        <v>0</v>
      </c>
      <c r="DA103" s="89">
        <f>DA$52*DA100</f>
        <v>0</v>
      </c>
      <c r="DB103" s="89">
        <f>DB$52*DB100</f>
        <v>0</v>
      </c>
      <c r="DC103" s="499">
        <f>DD103+DE103</f>
        <v>0</v>
      </c>
      <c r="DD103" s="89">
        <f>DD$52*DD100</f>
        <v>0</v>
      </c>
      <c r="DE103" s="89">
        <f>DE$52*DE100</f>
        <v>0</v>
      </c>
      <c r="DF103" s="499">
        <f>DG103+DH103</f>
        <v>0</v>
      </c>
      <c r="DG103" s="89">
        <f>DG$52*DG100</f>
        <v>0</v>
      </c>
      <c r="DH103" s="89">
        <f>DH$52*DH100</f>
        <v>0</v>
      </c>
      <c r="DI103" s="499">
        <f>DJ103+DK103</f>
        <v>0</v>
      </c>
      <c r="DJ103" s="89">
        <f>DJ$52*DJ100</f>
        <v>0</v>
      </c>
      <c r="DK103" s="89">
        <f>DK$52*DK100</f>
        <v>0</v>
      </c>
      <c r="DL103" s="499">
        <f>DM103+DN103</f>
        <v>0</v>
      </c>
      <c r="DM103" s="89">
        <f>DM$52*DM100</f>
        <v>0</v>
      </c>
      <c r="DN103" s="89">
        <f>DN$52*DN100</f>
        <v>0</v>
      </c>
      <c r="DO103" s="499">
        <f>DP103+DQ103</f>
        <v>0</v>
      </c>
      <c r="DP103" s="89">
        <f>DP$52*DP100</f>
        <v>0</v>
      </c>
      <c r="DQ103" s="89">
        <f>DQ$52*DQ100</f>
        <v>0</v>
      </c>
      <c r="DR103" s="499">
        <f>DS103+DT103</f>
        <v>0</v>
      </c>
      <c r="DS103" s="89">
        <f>DS$52*DS100</f>
        <v>0</v>
      </c>
      <c r="DT103" s="89">
        <f>DT$52*DT100</f>
        <v>0</v>
      </c>
      <c r="DU103" s="499">
        <f>DV103+DW103</f>
        <v>0</v>
      </c>
      <c r="DV103" s="89">
        <f>DV$52*DV100</f>
        <v>0</v>
      </c>
      <c r="DW103" s="89">
        <f>DW$52*DW100</f>
        <v>0</v>
      </c>
      <c r="DX103" s="499">
        <f>DY103+DZ103</f>
        <v>0</v>
      </c>
      <c r="DY103" s="89">
        <f>DY$52*DY100</f>
        <v>0</v>
      </c>
      <c r="DZ103" s="89">
        <f>DZ$52*DZ100</f>
        <v>0</v>
      </c>
      <c r="EA103" s="499">
        <f>EB103+EC103</f>
        <v>0</v>
      </c>
      <c r="EB103" s="89">
        <f>EB$52*EB100</f>
        <v>0</v>
      </c>
      <c r="EC103" s="89">
        <f>EC$52*EC100</f>
        <v>0</v>
      </c>
      <c r="ED103" s="499">
        <f>EE103+EF103</f>
        <v>0</v>
      </c>
      <c r="EE103" s="89">
        <f>EE$52*EE100</f>
        <v>0</v>
      </c>
      <c r="EF103" s="89">
        <f>EF$52*EF100</f>
        <v>0</v>
      </c>
      <c r="EG103" s="499">
        <f>EH103+EI103</f>
        <v>0</v>
      </c>
      <c r="EH103" s="89">
        <f>EH$52*EH100</f>
        <v>0</v>
      </c>
      <c r="EI103" s="89">
        <f>EI$52*EI100</f>
        <v>0</v>
      </c>
      <c r="EJ103" s="499">
        <f>EK103+EL103</f>
        <v>0</v>
      </c>
      <c r="EK103" s="89">
        <f>EK$52*EK100</f>
        <v>0</v>
      </c>
      <c r="EL103" s="89">
        <f>EL$52*EL100</f>
        <v>0</v>
      </c>
      <c r="EM103" s="499">
        <f>EN103+EO103</f>
        <v>0</v>
      </c>
      <c r="EN103" s="89">
        <f>EN$52*EN100</f>
        <v>0</v>
      </c>
      <c r="EO103" s="89">
        <f>EO$52*EO100</f>
        <v>0</v>
      </c>
      <c r="EP103" s="499">
        <f>EQ103+ER103</f>
        <v>0</v>
      </c>
      <c r="EQ103" s="89">
        <f>EQ$52*EQ100</f>
        <v>0</v>
      </c>
      <c r="ER103" s="89">
        <f>ER$52*ER100</f>
        <v>0</v>
      </c>
      <c r="ES103" s="499">
        <f>ET103+EU103</f>
        <v>0</v>
      </c>
      <c r="ET103" s="89">
        <f>ET$52*ET100</f>
        <v>0</v>
      </c>
      <c r="EU103" s="89">
        <f>EU$52*EU100</f>
        <v>0</v>
      </c>
      <c r="EV103" s="499">
        <f>EW103+EX103</f>
        <v>0</v>
      </c>
      <c r="EW103" s="89">
        <f>EW$52*EW100</f>
        <v>0</v>
      </c>
      <c r="EX103" s="89">
        <f>EX$52*EX100</f>
        <v>0</v>
      </c>
      <c r="EY103" s="499">
        <f>EZ103+FA103</f>
        <v>0</v>
      </c>
      <c r="EZ103" s="89">
        <f>EZ$52*EZ100</f>
        <v>0</v>
      </c>
      <c r="FA103" s="89">
        <f>FA$52*FA100</f>
        <v>0</v>
      </c>
      <c r="FB103" s="83"/>
      <c r="FE103" s="489" t="s">
        <v>958</v>
      </c>
      <c r="FF103" s="648" t="s">
        <v>890</v>
      </c>
      <c r="FG103" s="648" cm="1" t="str">
        <f t="array" ref="FG103:FG103">AE103</f>
        <v>0</v>
      </c>
      <c r="FH103" s="648" cm="1" t="str">
        <f t="array" ref="FH103:FH103">AF103</f>
        <v>0</v>
      </c>
      <c r="FK103" s="1157" cm="1" t="str">
        <f t="array" ref="FK103:FK103">OFFSET(FJ103,-1,1)</f>
        <v>0</v>
      </c>
      <c r="FL103" s="1159"/>
      <c r="FM103" s="1159" t="s">
        <v>824</v>
      </c>
      <c r="FN103" s="1159"/>
      <c r="FO103" s="1159"/>
      <c r="FP103" s="1159"/>
      <c r="FQ103" s="1159"/>
      <c r="FR103" s="1159" t="s">
        <v>561</v>
      </c>
      <c r="FS103" s="1159"/>
      <c r="FT103" s="1159" t="s">
        <v>948</v>
      </c>
      <c r="FU103" s="1159"/>
      <c r="FV103" s="1159"/>
      <c r="FW103" s="1078" t="str">
        <f>$AE103&amp;"|"&amp;$AF103</f>
        <v>|</v>
      </c>
      <c r="FX103" s="1159" t="s">
        <v>303</v>
      </c>
      <c r="FY103" s="1159" t="s">
        <v>919</v>
      </c>
      <c r="FZ103" s="1159" t="s">
        <v>920</v>
      </c>
    </row>
    <row customHeight="1" ht="15" hidden="1">
      <c r="E104" s="965">
        <v>0</v>
      </c>
      <c r="F104" s="175" cm="1" t="str">
        <f t="array" ref="F104:F104">OFFSET(G104,-1,-1)</f>
        <v>0</v>
      </c>
      <c r="L104" s="175" cm="1" t="str">
        <f t="array" ref="L104:L104">OFFSET(M104,-1,-1)</f>
        <v>false</v>
      </c>
      <c r="S104" s="175" cm="1" t="str">
        <f t="array" ref="S104:S104">OFFSET(T104,-1,-1)</f>
        <v>false</v>
      </c>
      <c r="U104" s="753">
        <f>AND(S104,IF(ISBLANK(T104),TRUE,T104))</f>
        <v>0</v>
      </c>
      <c r="X104" s="980" t="str">
        <f>"{                  
         funcDyn: 'msg1',
         blok: 'blok_2',
         wsCross: 'Топливо 4.4',
         linkFormula: 'AE-AE#AF-AF',
         levelDyn: "&amp;Y28&amp;"
}"</f>
        <v>{                  
         funcDyn: 'msg1',
         blok: 'blok_2',
         wsCross: 'Топливо 4.4',
         linkFormula: 'AE-AE#AF-AF',
         levelDyn: 0
}</v>
      </c>
      <c r="AB104" s="1617"/>
      <c r="AD104" s="517"/>
      <c r="AE104" s="518" t="s">
        <v>191</v>
      </c>
      <c r="AF104" s="519"/>
      <c r="AG104" s="470"/>
      <c r="AH104" s="524"/>
      <c r="AI104" s="525"/>
      <c r="AJ104" s="525"/>
      <c r="AK104" s="525"/>
      <c r="AL104" s="525"/>
      <c r="AM104" s="525"/>
      <c r="AN104" s="525"/>
      <c r="AO104" s="525"/>
      <c r="AP104" s="525"/>
      <c r="AQ104" s="525"/>
      <c r="AR104" s="525"/>
      <c r="AS104" s="525"/>
      <c r="AT104" s="525"/>
      <c r="AU104" s="525"/>
      <c r="AV104" s="525"/>
      <c r="AW104" s="525"/>
      <c r="AX104" s="525"/>
      <c r="AY104" s="525"/>
      <c r="AZ104" s="525"/>
      <c r="BA104" s="525"/>
      <c r="BB104" s="525"/>
      <c r="BC104" s="525"/>
      <c r="BD104" s="525"/>
      <c r="BE104" s="525"/>
      <c r="BF104" s="525"/>
      <c r="BG104" s="525"/>
      <c r="BH104" s="525"/>
      <c r="BI104" s="525"/>
      <c r="BJ104" s="525"/>
      <c r="BK104" s="525"/>
      <c r="BL104" s="525"/>
      <c r="BM104" s="525"/>
      <c r="BN104" s="525"/>
      <c r="BO104" s="525"/>
      <c r="BP104" s="525"/>
      <c r="BQ104" s="525"/>
      <c r="BR104" s="525"/>
      <c r="BS104" s="525"/>
      <c r="BT104" s="525"/>
      <c r="BU104" s="525"/>
      <c r="BV104" s="525"/>
      <c r="BW104" s="525"/>
      <c r="BX104" s="525"/>
      <c r="BY104" s="525"/>
      <c r="BZ104" s="525"/>
      <c r="CA104" s="525"/>
      <c r="CB104" s="525"/>
      <c r="CC104" s="525"/>
      <c r="CD104" s="525"/>
      <c r="CE104" s="525"/>
      <c r="CF104" s="525"/>
      <c r="CG104" s="525"/>
      <c r="CH104" s="525"/>
      <c r="CI104" s="525"/>
      <c r="CJ104" s="525"/>
      <c r="CK104" s="525"/>
      <c r="CL104" s="525"/>
      <c r="CM104" s="525"/>
      <c r="CN104" s="525"/>
      <c r="CO104" s="525"/>
      <c r="CP104" s="525"/>
      <c r="CQ104" s="525"/>
      <c r="CR104" s="525"/>
      <c r="CS104" s="525"/>
      <c r="CT104" s="525"/>
      <c r="CU104" s="525"/>
      <c r="CV104" s="525"/>
      <c r="CW104" s="525"/>
      <c r="CX104" s="525"/>
      <c r="CY104" s="525"/>
      <c r="CZ104" s="525"/>
      <c r="DA104" s="525"/>
      <c r="DB104" s="525"/>
      <c r="DC104" s="525"/>
      <c r="DD104" s="525"/>
      <c r="DE104" s="525"/>
      <c r="DF104" s="525"/>
      <c r="DG104" s="525"/>
      <c r="DH104" s="525"/>
      <c r="DI104" s="525"/>
      <c r="DJ104" s="525"/>
      <c r="DK104" s="525"/>
      <c r="DL104" s="525"/>
      <c r="DM104" s="525"/>
      <c r="DN104" s="525"/>
      <c r="DO104" s="525"/>
      <c r="DP104" s="525"/>
      <c r="DQ104" s="525"/>
      <c r="DR104" s="525"/>
      <c r="DS104" s="525"/>
      <c r="DT104" s="525"/>
      <c r="DU104" s="525"/>
      <c r="DV104" s="525"/>
      <c r="DW104" s="525"/>
      <c r="DX104" s="525"/>
      <c r="DY104" s="525"/>
      <c r="DZ104" s="525"/>
      <c r="EA104" s="525"/>
      <c r="EB104" s="525"/>
      <c r="EC104" s="525"/>
      <c r="ED104" s="525"/>
      <c r="EE104" s="525"/>
      <c r="EF104" s="525"/>
      <c r="EG104" s="525"/>
      <c r="EH104" s="525"/>
      <c r="EI104" s="525"/>
      <c r="EJ104" s="525"/>
      <c r="EK104" s="525"/>
      <c r="EL104" s="525"/>
      <c r="EM104" s="525"/>
      <c r="EN104" s="525"/>
      <c r="EO104" s="525"/>
      <c r="EP104" s="525"/>
      <c r="EQ104" s="525"/>
      <c r="ER104" s="525"/>
      <c r="ES104" s="525"/>
      <c r="ET104" s="525"/>
      <c r="EU104" s="525"/>
      <c r="EV104" s="525"/>
      <c r="EW104" s="525"/>
      <c r="EX104" s="525"/>
      <c r="EY104" s="525"/>
      <c r="EZ104" s="525"/>
      <c r="FA104" s="525"/>
      <c r="FB104" s="93"/>
      <c r="FE104" s="489" t="str">
        <f>IF(AND(ISNUMBER(VALUE(TRIM(SUBSTITUTE(AD104,".","")))),TRIM(SUBSTITUTE(AD104,".",""))&lt;&gt;""),"P"&amp;SUBSTITUTE(AD104,".",""),"")</f>
        <v/>
      </c>
      <c r="FK104" s="1157" cm="1" t="str">
        <f t="array" ref="FK104:FK104">OFFSET(FJ104,-1,1)</f>
        <v>0</v>
      </c>
      <c r="FL104" s="1159"/>
      <c r="FM104" s="1159"/>
      <c r="FN104" s="1159"/>
      <c r="FO104" s="1159"/>
      <c r="FP104" s="1159"/>
      <c r="FQ104" s="1159"/>
      <c r="FR104" s="1159"/>
      <c r="FS104" s="1159"/>
      <c r="FT104" s="1159"/>
      <c r="FU104" s="1159"/>
      <c r="FV104" s="1159"/>
      <c r="FW104" s="1159"/>
      <c r="FX104" s="1159"/>
      <c r="FY104" s="1159"/>
      <c r="FZ104" s="1159"/>
    </row>
    <row customHeight="1" ht="16.575" hidden="1">
      <c r="E105" s="180">
        <v>17</v>
      </c>
      <c r="F105" s="175" cm="1" t="str">
        <f t="array" ref="F105:F105">OFFSET(G105,-1,-1)</f>
        <v>0</v>
      </c>
      <c r="L105" s="175" cm="1" t="str">
        <f t="array" ref="L105:L105">OFFSET(M105,-1,-1)</f>
        <v>false</v>
      </c>
      <c r="S105" s="175" cm="1" t="str">
        <f t="array" ref="S105:S105">OFFSET(T105,-1,-1)</f>
        <v>false</v>
      </c>
      <c r="U105" s="753">
        <f>AND(S105,IF(ISBLANK(T105),TRUE,T105))</f>
        <v>0</v>
      </c>
      <c r="AB105" s="1606" t="s">
        <v>960</v>
      </c>
      <c r="AD105" s="327">
        <v>34</v>
      </c>
      <c r="AE105" s="1618" t="s">
        <v>961</v>
      </c>
      <c r="AF105" s="427"/>
      <c r="AG105" s="534"/>
      <c r="AH105" s="524"/>
      <c r="AI105" s="525"/>
      <c r="AJ105" s="525"/>
      <c r="AK105" s="525"/>
      <c r="AL105" s="525"/>
      <c r="AM105" s="525"/>
      <c r="AN105" s="525"/>
      <c r="AO105" s="525"/>
      <c r="AP105" s="525"/>
      <c r="AQ105" s="525"/>
      <c r="AR105" s="525"/>
      <c r="AS105" s="525"/>
      <c r="AT105" s="525"/>
      <c r="AU105" s="525"/>
      <c r="AV105" s="525"/>
      <c r="AW105" s="525"/>
      <c r="AX105" s="525"/>
      <c r="AY105" s="525"/>
      <c r="AZ105" s="525"/>
      <c r="BA105" s="525"/>
      <c r="BB105" s="525"/>
      <c r="BC105" s="525"/>
      <c r="BD105" s="525"/>
      <c r="BE105" s="525"/>
      <c r="BF105" s="525"/>
      <c r="BG105" s="525"/>
      <c r="BH105" s="525"/>
      <c r="BI105" s="525"/>
      <c r="BJ105" s="525"/>
      <c r="BK105" s="525"/>
      <c r="BL105" s="525"/>
      <c r="BM105" s="525"/>
      <c r="BN105" s="525"/>
      <c r="BO105" s="525"/>
      <c r="BP105" s="525"/>
      <c r="BQ105" s="525"/>
      <c r="BR105" s="525"/>
      <c r="BS105" s="525"/>
      <c r="BT105" s="525"/>
      <c r="BU105" s="525"/>
      <c r="BV105" s="525"/>
      <c r="BW105" s="525"/>
      <c r="BX105" s="525"/>
      <c r="BY105" s="525"/>
      <c r="BZ105" s="525"/>
      <c r="CA105" s="525"/>
      <c r="CB105" s="525"/>
      <c r="CC105" s="525"/>
      <c r="CD105" s="525"/>
      <c r="CE105" s="525"/>
      <c r="CF105" s="525"/>
      <c r="CG105" s="525"/>
      <c r="CH105" s="525"/>
      <c r="CI105" s="525"/>
      <c r="CJ105" s="525"/>
      <c r="CK105" s="525"/>
      <c r="CL105" s="525"/>
      <c r="CM105" s="525"/>
      <c r="CN105" s="525"/>
      <c r="CO105" s="525"/>
      <c r="CP105" s="525"/>
      <c r="CQ105" s="525"/>
      <c r="CR105" s="525"/>
      <c r="CS105" s="525"/>
      <c r="CT105" s="525"/>
      <c r="CU105" s="525"/>
      <c r="CV105" s="525"/>
      <c r="CW105" s="525"/>
      <c r="CX105" s="525"/>
      <c r="CY105" s="525"/>
      <c r="CZ105" s="525"/>
      <c r="DA105" s="525"/>
      <c r="DB105" s="525"/>
      <c r="DC105" s="525"/>
      <c r="DD105" s="525"/>
      <c r="DE105" s="525"/>
      <c r="DF105" s="525"/>
      <c r="DG105" s="525"/>
      <c r="DH105" s="525"/>
      <c r="DI105" s="525"/>
      <c r="DJ105" s="525"/>
      <c r="DK105" s="525"/>
      <c r="DL105" s="525"/>
      <c r="DM105" s="525"/>
      <c r="DN105" s="525"/>
      <c r="DO105" s="525"/>
      <c r="DP105" s="525"/>
      <c r="DQ105" s="525"/>
      <c r="DR105" s="525"/>
      <c r="DS105" s="525"/>
      <c r="DT105" s="525"/>
      <c r="DU105" s="525"/>
      <c r="DV105" s="525"/>
      <c r="DW105" s="525"/>
      <c r="DX105" s="525"/>
      <c r="DY105" s="525"/>
      <c r="DZ105" s="525"/>
      <c r="EA105" s="525"/>
      <c r="EB105" s="525"/>
      <c r="EC105" s="525"/>
      <c r="ED105" s="525"/>
      <c r="EE105" s="525"/>
      <c r="EF105" s="525"/>
      <c r="EG105" s="525"/>
      <c r="EH105" s="525"/>
      <c r="EI105" s="525"/>
      <c r="EJ105" s="525"/>
      <c r="EK105" s="525"/>
      <c r="EL105" s="525"/>
      <c r="EM105" s="525"/>
      <c r="EN105" s="525"/>
      <c r="EO105" s="525"/>
      <c r="EP105" s="525"/>
      <c r="EQ105" s="525"/>
      <c r="ER105" s="525"/>
      <c r="ES105" s="525"/>
      <c r="ET105" s="525"/>
      <c r="EU105" s="525"/>
      <c r="EV105" s="525"/>
      <c r="EW105" s="525"/>
      <c r="EX105" s="525"/>
      <c r="EY105" s="525"/>
      <c r="EZ105" s="525"/>
      <c r="FA105" s="525"/>
      <c r="FB105" s="83"/>
      <c r="FE105" s="489" t="s">
        <v>962</v>
      </c>
      <c r="FK105" s="1157" cm="1" t="str">
        <f t="array" ref="FK105:FK105">OFFSET(FJ105,-1,1)</f>
        <v>0</v>
      </c>
      <c r="FL105" s="1078"/>
      <c r="FM105" s="1159"/>
      <c r="FN105" s="1159"/>
      <c r="FO105" s="1159"/>
      <c r="FP105" s="1159"/>
      <c r="FQ105" s="1159"/>
      <c r="FR105" s="1159"/>
      <c r="FS105" s="1159"/>
      <c r="FT105" s="1078" t="s">
        <v>963</v>
      </c>
      <c r="FU105" s="1159"/>
      <c r="FV105" s="1078" t="s">
        <v>219</v>
      </c>
      <c r="FW105" s="1159"/>
      <c r="FX105" s="1078"/>
      <c r="FY105" s="1078"/>
      <c r="FZ105" s="1078"/>
    </row>
    <row customHeight="1" ht="16.575" hidden="1">
      <c r="E106" s="180">
        <v>17</v>
      </c>
      <c r="F106" s="175" cm="1" t="str">
        <f t="array" ref="F106:F106">OFFSET(G106,-1,-1)</f>
        <v>0</v>
      </c>
      <c r="L106" s="175" cm="1" t="str">
        <f t="array" ref="L106:L106">OFFSET(M106,-1,-1)</f>
        <v>false</v>
      </c>
      <c r="S106" s="175" cm="1" t="str">
        <f t="array" ref="S106:S106">OFFSET(T106,-1,-1)</f>
        <v>false</v>
      </c>
      <c r="T106" s="175">
        <f>AD106&lt;&gt;"34.0"</f>
        <v>0</v>
      </c>
      <c r="U106" s="753">
        <f>AND(S106,IF(ISBLANK(T106),TRUE,T106))</f>
        <v>0</v>
      </c>
      <c r="X106" s="175" t="s">
        <v>189</v>
      </c>
      <c r="AB106" s="1607"/>
      <c r="AD106" s="491" t="s">
        <v>964</v>
      </c>
      <c r="AE106" s="514"/>
      <c r="AF106" s="515"/>
      <c r="AG106" s="470" t="s">
        <v>495</v>
      </c>
      <c r="AH106" s="92"/>
      <c r="AI106" s="96"/>
      <c r="AJ106" s="96"/>
      <c r="AK106" s="96"/>
      <c r="AL106" s="525"/>
      <c r="AM106" s="96"/>
      <c r="AN106" s="96"/>
      <c r="AO106" s="525"/>
      <c r="AP106" s="96"/>
      <c r="AQ106" s="96"/>
      <c r="AR106" s="525"/>
      <c r="AS106" s="96"/>
      <c r="AT106" s="96"/>
      <c r="AU106" s="525"/>
      <c r="AV106" s="96"/>
      <c r="AW106" s="96"/>
      <c r="AX106" s="525"/>
      <c r="AY106" s="96"/>
      <c r="AZ106" s="96"/>
      <c r="BA106" s="525"/>
      <c r="BB106" s="96"/>
      <c r="BC106" s="96"/>
      <c r="BD106" s="525"/>
      <c r="BE106" s="96"/>
      <c r="BF106" s="96"/>
      <c r="BG106" s="525"/>
      <c r="BH106" s="96"/>
      <c r="BI106" s="96"/>
      <c r="BJ106" s="525"/>
      <c r="BK106" s="96"/>
      <c r="BL106" s="96"/>
      <c r="BM106" s="525"/>
      <c r="BN106" s="96"/>
      <c r="BO106" s="96"/>
      <c r="BP106" s="525"/>
      <c r="BQ106" s="96"/>
      <c r="BR106" s="96"/>
      <c r="BS106" s="525"/>
      <c r="BT106" s="96"/>
      <c r="BU106" s="96"/>
      <c r="BV106" s="525"/>
      <c r="BW106" s="96"/>
      <c r="BX106" s="96"/>
      <c r="BY106" s="525"/>
      <c r="BZ106" s="96"/>
      <c r="CA106" s="96"/>
      <c r="CB106" s="525"/>
      <c r="CC106" s="96"/>
      <c r="CD106" s="96"/>
      <c r="CE106" s="525"/>
      <c r="CF106" s="96"/>
      <c r="CG106" s="96"/>
      <c r="CH106" s="525"/>
      <c r="CI106" s="96"/>
      <c r="CJ106" s="96"/>
      <c r="CK106" s="525"/>
      <c r="CL106" s="96"/>
      <c r="CM106" s="96"/>
      <c r="CN106" s="525"/>
      <c r="CO106" s="96"/>
      <c r="CP106" s="96"/>
      <c r="CQ106" s="525"/>
      <c r="CR106" s="96"/>
      <c r="CS106" s="96"/>
      <c r="CT106" s="525"/>
      <c r="CU106" s="535"/>
      <c r="CV106" s="535"/>
      <c r="CW106" s="525"/>
      <c r="CX106" s="96"/>
      <c r="CY106" s="96"/>
      <c r="CZ106" s="525"/>
      <c r="DA106" s="96"/>
      <c r="DB106" s="96"/>
      <c r="DC106" s="525"/>
      <c r="DD106" s="96"/>
      <c r="DE106" s="96"/>
      <c r="DF106" s="525"/>
      <c r="DG106" s="96"/>
      <c r="DH106" s="96"/>
      <c r="DI106" s="525"/>
      <c r="DJ106" s="96"/>
      <c r="DK106" s="96"/>
      <c r="DL106" s="525"/>
      <c r="DM106" s="96"/>
      <c r="DN106" s="96"/>
      <c r="DO106" s="525"/>
      <c r="DP106" s="96"/>
      <c r="DQ106" s="96"/>
      <c r="DR106" s="525"/>
      <c r="DS106" s="96"/>
      <c r="DT106" s="96"/>
      <c r="DU106" s="525"/>
      <c r="DV106" s="96"/>
      <c r="DW106" s="96"/>
      <c r="DX106" s="525"/>
      <c r="DY106" s="96"/>
      <c r="DZ106" s="96"/>
      <c r="EA106" s="525"/>
      <c r="EB106" s="96"/>
      <c r="EC106" s="96"/>
      <c r="ED106" s="525"/>
      <c r="EE106" s="96"/>
      <c r="EF106" s="96"/>
      <c r="EG106" s="525"/>
      <c r="EH106" s="96"/>
      <c r="EI106" s="96"/>
      <c r="EJ106" s="525"/>
      <c r="EK106" s="96"/>
      <c r="EL106" s="96"/>
      <c r="EM106" s="525"/>
      <c r="EN106" s="96"/>
      <c r="EO106" s="96"/>
      <c r="EP106" s="525"/>
      <c r="EQ106" s="96"/>
      <c r="ER106" s="96"/>
      <c r="ES106" s="525"/>
      <c r="ET106" s="96"/>
      <c r="EU106" s="96"/>
      <c r="EV106" s="525"/>
      <c r="EW106" s="96"/>
      <c r="EX106" s="96"/>
      <c r="EY106" s="525"/>
      <c r="EZ106" s="96"/>
      <c r="FA106" s="96"/>
      <c r="FB106" s="83"/>
      <c r="FE106" s="489" t="s">
        <v>962</v>
      </c>
      <c r="FF106" s="648" t="s">
        <v>890</v>
      </c>
      <c r="FG106" s="648" cm="1" t="str">
        <f t="array" ref="FG106:FG106">AE106</f>
        <v>0</v>
      </c>
      <c r="FH106" s="648" cm="1" t="str">
        <f t="array" ref="FH106:FH106">AF106</f>
        <v>0</v>
      </c>
      <c r="FK106" s="1157" cm="1" t="str">
        <f t="array" ref="FK106:FK106">OFFSET(FJ106,-1,1)</f>
        <v>0</v>
      </c>
      <c r="FL106" s="1159"/>
      <c r="FM106" s="1159"/>
      <c r="FN106" s="1159"/>
      <c r="FO106" s="1159"/>
      <c r="FP106" s="1159"/>
      <c r="FQ106" s="1159"/>
      <c r="FR106" s="1159"/>
      <c r="FS106" s="1159"/>
      <c r="FT106" s="1159" t="s">
        <v>963</v>
      </c>
      <c r="FU106" s="1159"/>
      <c r="FV106" s="1159" t="s">
        <v>219</v>
      </c>
      <c r="FW106" s="1078" t="str">
        <f>$AE106&amp;"|"&amp;$AF106</f>
        <v>|</v>
      </c>
      <c r="FX106" s="1159" t="s">
        <v>303</v>
      </c>
      <c r="FY106" s="1159" t="s">
        <v>931</v>
      </c>
      <c r="FZ106" s="1159" t="s">
        <v>932</v>
      </c>
    </row>
    <row customHeight="1" ht="15" hidden="1">
      <c r="E107" s="965">
        <v>0</v>
      </c>
      <c r="F107" s="175" cm="1" t="str">
        <f t="array" ref="F107:F107">OFFSET(G107,-1,-1)</f>
        <v>0</v>
      </c>
      <c r="L107" s="175" cm="1" t="str">
        <f t="array" ref="L107:L107">OFFSET(M107,-1,-1)</f>
        <v>false</v>
      </c>
      <c r="S107" s="175" cm="1" t="str">
        <f t="array" ref="S107:S107">OFFSET(T107,-1,-1)</f>
        <v>false</v>
      </c>
      <c r="U107" s="753">
        <f>AND(S107,IF(ISBLANK(T107),TRUE,T107))</f>
        <v>0</v>
      </c>
      <c r="X107" s="980" t="str">
        <f>"{                  
         funcDyn: 'msg1',
         blok: 'blok_2',
         wsCross: 'Топливо 4.4',
         linkFormula: 'AE-AE#AF-AF',
         levelDyn: "&amp;Y28&amp;"
}"</f>
        <v>{                  
         funcDyn: 'msg1',
         blok: 'blok_2',
         wsCross: 'Топливо 4.4',
         linkFormula: 'AE-AE#AF-AF',
         levelDyn: 0
}</v>
      </c>
      <c r="AB107" s="1607"/>
      <c r="AD107" s="517"/>
      <c r="AE107" s="518" t="s">
        <v>191</v>
      </c>
      <c r="AF107" s="519"/>
      <c r="AG107" s="470"/>
      <c r="AH107" s="521"/>
      <c r="AI107" s="97"/>
      <c r="AJ107" s="97"/>
      <c r="AK107" s="97"/>
      <c r="AL107" s="525"/>
      <c r="AM107" s="97"/>
      <c r="AN107" s="97"/>
      <c r="AO107" s="525"/>
      <c r="AP107" s="97"/>
      <c r="AQ107" s="97"/>
      <c r="AR107" s="525"/>
      <c r="AS107" s="97"/>
      <c r="AT107" s="97"/>
      <c r="AU107" s="525"/>
      <c r="AV107" s="97"/>
      <c r="AW107" s="97"/>
      <c r="AX107" s="525"/>
      <c r="AY107" s="97"/>
      <c r="AZ107" s="97"/>
      <c r="BA107" s="525"/>
      <c r="BB107" s="97"/>
      <c r="BC107" s="97"/>
      <c r="BD107" s="525"/>
      <c r="BE107" s="97"/>
      <c r="BF107" s="97"/>
      <c r="BG107" s="525"/>
      <c r="BH107" s="97"/>
      <c r="BI107" s="97"/>
      <c r="BJ107" s="525"/>
      <c r="BK107" s="97"/>
      <c r="BL107" s="97"/>
      <c r="BM107" s="525"/>
      <c r="BN107" s="97"/>
      <c r="BO107" s="97"/>
      <c r="BP107" s="525"/>
      <c r="BQ107" s="97"/>
      <c r="BR107" s="97"/>
      <c r="BS107" s="525"/>
      <c r="BT107" s="97"/>
      <c r="BU107" s="97"/>
      <c r="BV107" s="525"/>
      <c r="BW107" s="97"/>
      <c r="BX107" s="97"/>
      <c r="BY107" s="525"/>
      <c r="BZ107" s="97"/>
      <c r="CA107" s="97"/>
      <c r="CB107" s="525"/>
      <c r="CC107" s="97"/>
      <c r="CD107" s="97"/>
      <c r="CE107" s="525"/>
      <c r="CF107" s="97"/>
      <c r="CG107" s="97"/>
      <c r="CH107" s="525"/>
      <c r="CI107" s="97"/>
      <c r="CJ107" s="97"/>
      <c r="CK107" s="525"/>
      <c r="CL107" s="97"/>
      <c r="CM107" s="97"/>
      <c r="CN107" s="525"/>
      <c r="CO107" s="97"/>
      <c r="CP107" s="97"/>
      <c r="CQ107" s="525"/>
      <c r="CR107" s="97"/>
      <c r="CS107" s="97"/>
      <c r="CT107" s="525"/>
      <c r="CU107" s="97"/>
      <c r="CV107" s="97"/>
      <c r="CW107" s="525"/>
      <c r="CX107" s="97"/>
      <c r="CY107" s="97"/>
      <c r="CZ107" s="525"/>
      <c r="DA107" s="97"/>
      <c r="DB107" s="97"/>
      <c r="DC107" s="525"/>
      <c r="DD107" s="97"/>
      <c r="DE107" s="97"/>
      <c r="DF107" s="525"/>
      <c r="DG107" s="97"/>
      <c r="DH107" s="97"/>
      <c r="DI107" s="525"/>
      <c r="DJ107" s="97"/>
      <c r="DK107" s="97"/>
      <c r="DL107" s="525"/>
      <c r="DM107" s="97"/>
      <c r="DN107" s="97"/>
      <c r="DO107" s="525"/>
      <c r="DP107" s="97"/>
      <c r="DQ107" s="97"/>
      <c r="DR107" s="525"/>
      <c r="DS107" s="97"/>
      <c r="DT107" s="97"/>
      <c r="DU107" s="525"/>
      <c r="DV107" s="97"/>
      <c r="DW107" s="97"/>
      <c r="DX107" s="525"/>
      <c r="DY107" s="97"/>
      <c r="DZ107" s="97"/>
      <c r="EA107" s="525"/>
      <c r="EB107" s="97"/>
      <c r="EC107" s="97"/>
      <c r="ED107" s="525"/>
      <c r="EE107" s="97"/>
      <c r="EF107" s="97"/>
      <c r="EG107" s="525"/>
      <c r="EH107" s="97"/>
      <c r="EI107" s="97"/>
      <c r="EJ107" s="525"/>
      <c r="EK107" s="97"/>
      <c r="EL107" s="97"/>
      <c r="EM107" s="525"/>
      <c r="EN107" s="97"/>
      <c r="EO107" s="97"/>
      <c r="EP107" s="525"/>
      <c r="EQ107" s="97"/>
      <c r="ER107" s="97"/>
      <c r="ES107" s="525"/>
      <c r="ET107" s="97"/>
      <c r="EU107" s="97"/>
      <c r="EV107" s="525"/>
      <c r="EW107" s="97"/>
      <c r="EX107" s="97"/>
      <c r="EY107" s="525"/>
      <c r="EZ107" s="97"/>
      <c r="FA107" s="97"/>
      <c r="FB107" s="93"/>
      <c r="FE107" s="489" t="str">
        <f>IF(AND(ISNUMBER(VALUE(TRIM(SUBSTITUTE(AD107,".","")))),TRIM(SUBSTITUTE(AD107,".",""))&lt;&gt;""),"P"&amp;SUBSTITUTE(AD107,".",""),"")</f>
        <v/>
      </c>
      <c r="FK107" s="1157" cm="1" t="str">
        <f t="array" ref="FK107:FK107">OFFSET(FJ107,-1,1)</f>
        <v>0</v>
      </c>
      <c r="FL107" s="1159"/>
      <c r="FM107" s="1159"/>
      <c r="FN107" s="1159"/>
      <c r="FO107" s="1159"/>
      <c r="FP107" s="1159"/>
      <c r="FQ107" s="1159"/>
      <c r="FR107" s="1159"/>
      <c r="FS107" s="1159"/>
      <c r="FT107" s="1159"/>
      <c r="FU107" s="1159"/>
      <c r="FV107" s="1159"/>
      <c r="FW107" s="1159"/>
      <c r="FX107" s="1159"/>
      <c r="FY107" s="1159"/>
      <c r="FZ107" s="1159"/>
    </row>
    <row customHeight="1" ht="16.575" hidden="1">
      <c r="E108" s="180">
        <v>17</v>
      </c>
      <c r="F108" s="175" cm="1" t="str">
        <f t="array" ref="F108:F108">OFFSET(G108,-1,-1)</f>
        <v>0</v>
      </c>
      <c r="L108" s="175" cm="1" t="str">
        <f t="array" ref="L108:L108">OFFSET(M108,-1,-1)</f>
        <v>false</v>
      </c>
      <c r="S108" s="175" cm="1" t="str">
        <f t="array" ref="S108:S108">OFFSET(T108,-1,-1)</f>
        <v>false</v>
      </c>
      <c r="U108" s="753">
        <f>AND(S108,IF(ISBLANK(T108),TRUE,T108))</f>
        <v>0</v>
      </c>
      <c r="AB108" s="1607"/>
      <c r="AD108" s="327">
        <v>35</v>
      </c>
      <c r="AE108" s="1618" t="s">
        <v>965</v>
      </c>
      <c r="AF108" s="427"/>
      <c r="AG108" s="534"/>
      <c r="AH108" s="524"/>
      <c r="AI108" s="525"/>
      <c r="AJ108" s="525"/>
      <c r="AK108" s="525"/>
      <c r="AL108" s="525"/>
      <c r="AM108" s="525"/>
      <c r="AN108" s="525"/>
      <c r="AO108" s="525"/>
      <c r="AP108" s="525"/>
      <c r="AQ108" s="525"/>
      <c r="AR108" s="525"/>
      <c r="AS108" s="525"/>
      <c r="AT108" s="525"/>
      <c r="AU108" s="525"/>
      <c r="AV108" s="525"/>
      <c r="AW108" s="525"/>
      <c r="AX108" s="525"/>
      <c r="AY108" s="525"/>
      <c r="AZ108" s="525"/>
      <c r="BA108" s="525"/>
      <c r="BB108" s="525"/>
      <c r="BC108" s="525"/>
      <c r="BD108" s="525"/>
      <c r="BE108" s="525"/>
      <c r="BF108" s="525"/>
      <c r="BG108" s="525"/>
      <c r="BH108" s="525"/>
      <c r="BI108" s="525"/>
      <c r="BJ108" s="525"/>
      <c r="BK108" s="525"/>
      <c r="BL108" s="525"/>
      <c r="BM108" s="525"/>
      <c r="BN108" s="525"/>
      <c r="BO108" s="525"/>
      <c r="BP108" s="525"/>
      <c r="BQ108" s="525"/>
      <c r="BR108" s="525"/>
      <c r="BS108" s="525"/>
      <c r="BT108" s="525"/>
      <c r="BU108" s="525"/>
      <c r="BV108" s="525"/>
      <c r="BW108" s="525"/>
      <c r="BX108" s="525"/>
      <c r="BY108" s="525"/>
      <c r="BZ108" s="525"/>
      <c r="CA108" s="525"/>
      <c r="CB108" s="525"/>
      <c r="CC108" s="525"/>
      <c r="CD108" s="525"/>
      <c r="CE108" s="525"/>
      <c r="CF108" s="525"/>
      <c r="CG108" s="525"/>
      <c r="CH108" s="525"/>
      <c r="CI108" s="525"/>
      <c r="CJ108" s="525"/>
      <c r="CK108" s="525"/>
      <c r="CL108" s="525"/>
      <c r="CM108" s="525"/>
      <c r="CN108" s="525"/>
      <c r="CO108" s="525"/>
      <c r="CP108" s="525"/>
      <c r="CQ108" s="525"/>
      <c r="CR108" s="525"/>
      <c r="CS108" s="525"/>
      <c r="CT108" s="525"/>
      <c r="CU108" s="525"/>
      <c r="CV108" s="525"/>
      <c r="CW108" s="525"/>
      <c r="CX108" s="525"/>
      <c r="CY108" s="525"/>
      <c r="CZ108" s="525"/>
      <c r="DA108" s="525"/>
      <c r="DB108" s="525"/>
      <c r="DC108" s="525"/>
      <c r="DD108" s="525"/>
      <c r="DE108" s="525"/>
      <c r="DF108" s="525"/>
      <c r="DG108" s="525"/>
      <c r="DH108" s="525"/>
      <c r="DI108" s="525"/>
      <c r="DJ108" s="525"/>
      <c r="DK108" s="525"/>
      <c r="DL108" s="525"/>
      <c r="DM108" s="525"/>
      <c r="DN108" s="525"/>
      <c r="DO108" s="525"/>
      <c r="DP108" s="525"/>
      <c r="DQ108" s="525"/>
      <c r="DR108" s="525"/>
      <c r="DS108" s="525"/>
      <c r="DT108" s="525"/>
      <c r="DU108" s="525"/>
      <c r="DV108" s="525"/>
      <c r="DW108" s="525"/>
      <c r="DX108" s="525"/>
      <c r="DY108" s="525"/>
      <c r="DZ108" s="525"/>
      <c r="EA108" s="525"/>
      <c r="EB108" s="525"/>
      <c r="EC108" s="525"/>
      <c r="ED108" s="525"/>
      <c r="EE108" s="525"/>
      <c r="EF108" s="525"/>
      <c r="EG108" s="525"/>
      <c r="EH108" s="525"/>
      <c r="EI108" s="525"/>
      <c r="EJ108" s="525"/>
      <c r="EK108" s="525"/>
      <c r="EL108" s="525"/>
      <c r="EM108" s="525"/>
      <c r="EN108" s="525"/>
      <c r="EO108" s="525"/>
      <c r="EP108" s="525"/>
      <c r="EQ108" s="525"/>
      <c r="ER108" s="525"/>
      <c r="ES108" s="525"/>
      <c r="ET108" s="525"/>
      <c r="EU108" s="525"/>
      <c r="EV108" s="525"/>
      <c r="EW108" s="525"/>
      <c r="EX108" s="525"/>
      <c r="EY108" s="525"/>
      <c r="EZ108" s="525"/>
      <c r="FA108" s="525"/>
      <c r="FB108" s="83"/>
      <c r="FE108" s="489" t="s">
        <v>966</v>
      </c>
      <c r="FK108" s="1157" cm="1" t="str">
        <f t="array" ref="FK108:FK108">OFFSET(FJ108,-1,1)</f>
        <v>0</v>
      </c>
      <c r="FL108" s="1078"/>
      <c r="FM108" s="1159"/>
      <c r="FN108" s="1159"/>
      <c r="FO108" s="1159"/>
      <c r="FP108" s="1159"/>
      <c r="FQ108" s="1159"/>
      <c r="FR108" s="1159"/>
      <c r="FS108" s="1159"/>
      <c r="FT108" s="1078" t="s">
        <v>963</v>
      </c>
      <c r="FU108" s="1159"/>
      <c r="FV108" s="1078" t="s">
        <v>255</v>
      </c>
      <c r="FW108" s="1159"/>
      <c r="FX108" s="1078"/>
      <c r="FY108" s="1078"/>
      <c r="FZ108" s="1078"/>
    </row>
    <row customHeight="1" ht="16.575" hidden="1">
      <c r="E109" s="180">
        <v>17</v>
      </c>
      <c r="F109" s="175" cm="1" t="str">
        <f t="array" ref="F109:F109">OFFSET(G109,-1,-1)</f>
        <v>0</v>
      </c>
      <c r="L109" s="175" cm="1" t="str">
        <f t="array" ref="L109:L109">OFFSET(M109,-1,-1)</f>
        <v>false</v>
      </c>
      <c r="S109" s="175" cm="1" t="str">
        <f t="array" ref="S109:S109">OFFSET(T109,-1,-1)</f>
        <v>false</v>
      </c>
      <c r="T109" s="175">
        <f>AD109&lt;&gt;"35.0"</f>
        <v>0</v>
      </c>
      <c r="U109" s="753">
        <f>AND(S109,IF(ISBLANK(T109),TRUE,T109))</f>
        <v>0</v>
      </c>
      <c r="X109" s="175" t="s">
        <v>189</v>
      </c>
      <c r="AB109" s="1607"/>
      <c r="AD109" s="491" t="s">
        <v>967</v>
      </c>
      <c r="AE109" s="514"/>
      <c r="AF109" s="515"/>
      <c r="AG109" s="530" t="str">
        <f>"руб./"&amp;_xlfn.IFERROR(INDEX(fuel_ed_izm_list,MATCH(AE109,fuel_list,0)),"")</f>
        <v>руб./</v>
      </c>
      <c r="AH109" s="88">
        <f>_xlfn.IFERROR(AH113/AH64,0)*1000</f>
        <v>0</v>
      </c>
      <c r="AI109" s="88">
        <f>_xlfn.IFERROR(AI113/AI64,0)*1000</f>
        <v>0</v>
      </c>
      <c r="AJ109" s="88">
        <f>_xlfn.IFERROR(AJ113/AJ64,0)*1000</f>
        <v>0</v>
      </c>
      <c r="AK109" s="88">
        <f>_xlfn.IFERROR(AK113/AK64,0)*1000</f>
        <v>0</v>
      </c>
      <c r="AL109" s="499">
        <f>_xlfn.IFERROR(AL113/AL64,0)*1000</f>
        <v>0</v>
      </c>
      <c r="AM109" s="89"/>
      <c r="AN109" s="89"/>
      <c r="AO109" s="499">
        <f>_xlfn.IFERROR(AO113/AO64,0)*1000</f>
        <v>0</v>
      </c>
      <c r="AP109" s="89"/>
      <c r="AQ109" s="89"/>
      <c r="AR109" s="499">
        <f>_xlfn.IFERROR(AR113/AR64,0)*1000</f>
        <v>0</v>
      </c>
      <c r="AS109" s="89"/>
      <c r="AT109" s="89"/>
      <c r="AU109" s="499">
        <f>_xlfn.IFERROR(AU113/AU64,0)*1000</f>
        <v>0</v>
      </c>
      <c r="AV109" s="89"/>
      <c r="AW109" s="89"/>
      <c r="AX109" s="499">
        <f>_xlfn.IFERROR(AX113/AX64,0)*1000</f>
        <v>0</v>
      </c>
      <c r="AY109" s="89"/>
      <c r="AZ109" s="89"/>
      <c r="BA109" s="499">
        <f>_xlfn.IFERROR(BA113/BA64,0)*1000</f>
        <v>0</v>
      </c>
      <c r="BB109" s="89"/>
      <c r="BC109" s="89"/>
      <c r="BD109" s="499">
        <f>_xlfn.IFERROR(BD113/BD64,0)*1000</f>
        <v>0</v>
      </c>
      <c r="BE109" s="89"/>
      <c r="BF109" s="89"/>
      <c r="BG109" s="499">
        <f>_xlfn.IFERROR(BG113/BG64,0)*1000</f>
        <v>0</v>
      </c>
      <c r="BH109" s="89"/>
      <c r="BI109" s="89"/>
      <c r="BJ109" s="499">
        <f>_xlfn.IFERROR(BJ113/BJ64,0)*1000</f>
        <v>0</v>
      </c>
      <c r="BK109" s="89"/>
      <c r="BL109" s="89"/>
      <c r="BM109" s="499">
        <f>_xlfn.IFERROR(BM113/BM64,0)*1000</f>
        <v>0</v>
      </c>
      <c r="BN109" s="89"/>
      <c r="BO109" s="89"/>
      <c r="BP109" s="499">
        <f>_xlfn.IFERROR(BP113/BP64,0)*1000</f>
        <v>0</v>
      </c>
      <c r="BQ109" s="89"/>
      <c r="BR109" s="89"/>
      <c r="BS109" s="499">
        <f>_xlfn.IFERROR(BS113/BS64,0)*1000</f>
        <v>0</v>
      </c>
      <c r="BT109" s="89"/>
      <c r="BU109" s="89"/>
      <c r="BV109" s="499">
        <f>_xlfn.IFERROR(BV113/BV64,0)*1000</f>
        <v>0</v>
      </c>
      <c r="BW109" s="89"/>
      <c r="BX109" s="89"/>
      <c r="BY109" s="499">
        <f>_xlfn.IFERROR(BY113/BY64,0)*1000</f>
        <v>0</v>
      </c>
      <c r="BZ109" s="89"/>
      <c r="CA109" s="89"/>
      <c r="CB109" s="499">
        <f>_xlfn.IFERROR(CB113/CB64,0)*1000</f>
        <v>0</v>
      </c>
      <c r="CC109" s="89"/>
      <c r="CD109" s="89"/>
      <c r="CE109" s="499">
        <f>_xlfn.IFERROR(CE113/CE64,0)*1000</f>
        <v>0</v>
      </c>
      <c r="CF109" s="89"/>
      <c r="CG109" s="89"/>
      <c r="CH109" s="499">
        <f>_xlfn.IFERROR(CH113/CH64,0)*1000</f>
        <v>0</v>
      </c>
      <c r="CI109" s="89"/>
      <c r="CJ109" s="89"/>
      <c r="CK109" s="499">
        <f>_xlfn.IFERROR(CK113/CK64,0)*1000</f>
        <v>0</v>
      </c>
      <c r="CL109" s="89"/>
      <c r="CM109" s="89"/>
      <c r="CN109" s="499">
        <f>_xlfn.IFERROR(CN113/CN64,0)*1000</f>
        <v>0</v>
      </c>
      <c r="CO109" s="89"/>
      <c r="CP109" s="89"/>
      <c r="CQ109" s="499">
        <f>_xlfn.IFERROR(CQ113/CQ64,0)*1000</f>
        <v>0</v>
      </c>
      <c r="CR109" s="89"/>
      <c r="CS109" s="89"/>
      <c r="CT109" s="499">
        <f>_xlfn.IFERROR(CT113/CT64,0)*1000</f>
        <v>0</v>
      </c>
      <c r="CU109" s="498"/>
      <c r="CV109" s="498"/>
      <c r="CW109" s="499">
        <f>_xlfn.IFERROR(CW113/CW64,0)*1000</f>
        <v>0</v>
      </c>
      <c r="CX109" s="89"/>
      <c r="CY109" s="89"/>
      <c r="CZ109" s="499">
        <f>_xlfn.IFERROR(CZ113/CZ64,0)*1000</f>
        <v>0</v>
      </c>
      <c r="DA109" s="89"/>
      <c r="DB109" s="89"/>
      <c r="DC109" s="499">
        <f>_xlfn.IFERROR(DC113/DC64,0)*1000</f>
        <v>0</v>
      </c>
      <c r="DD109" s="89"/>
      <c r="DE109" s="89"/>
      <c r="DF109" s="499">
        <f>_xlfn.IFERROR(DF113/DF64,0)*1000</f>
        <v>0</v>
      </c>
      <c r="DG109" s="89"/>
      <c r="DH109" s="89"/>
      <c r="DI109" s="499">
        <f>_xlfn.IFERROR(DI113/DI64,0)*1000</f>
        <v>0</v>
      </c>
      <c r="DJ109" s="89"/>
      <c r="DK109" s="89"/>
      <c r="DL109" s="499">
        <f>_xlfn.IFERROR(DL113/DL64,0)*1000</f>
        <v>0</v>
      </c>
      <c r="DM109" s="89"/>
      <c r="DN109" s="89"/>
      <c r="DO109" s="499">
        <f>_xlfn.IFERROR(DO113/DO64,0)*1000</f>
        <v>0</v>
      </c>
      <c r="DP109" s="89"/>
      <c r="DQ109" s="89"/>
      <c r="DR109" s="499">
        <f>_xlfn.IFERROR(DR113/DR64,0)*1000</f>
        <v>0</v>
      </c>
      <c r="DS109" s="89"/>
      <c r="DT109" s="89"/>
      <c r="DU109" s="499">
        <f>_xlfn.IFERROR(DU113/DU64,0)*1000</f>
        <v>0</v>
      </c>
      <c r="DV109" s="89"/>
      <c r="DW109" s="89"/>
      <c r="DX109" s="499">
        <f>_xlfn.IFERROR(DX113/DX64,0)*1000</f>
        <v>0</v>
      </c>
      <c r="DY109" s="89"/>
      <c r="DZ109" s="89"/>
      <c r="EA109" s="499">
        <f>_xlfn.IFERROR(EA113/EA64,0)*1000</f>
        <v>0</v>
      </c>
      <c r="EB109" s="89"/>
      <c r="EC109" s="89"/>
      <c r="ED109" s="499">
        <f>_xlfn.IFERROR(ED113/ED64,0)*1000</f>
        <v>0</v>
      </c>
      <c r="EE109" s="89"/>
      <c r="EF109" s="89"/>
      <c r="EG109" s="499">
        <f>_xlfn.IFERROR(EG113/EG64,0)*1000</f>
        <v>0</v>
      </c>
      <c r="EH109" s="89"/>
      <c r="EI109" s="89"/>
      <c r="EJ109" s="499">
        <f>_xlfn.IFERROR(EJ113/EJ64,0)*1000</f>
        <v>0</v>
      </c>
      <c r="EK109" s="89"/>
      <c r="EL109" s="89"/>
      <c r="EM109" s="499">
        <f>_xlfn.IFERROR(EM113/EM64,0)*1000</f>
        <v>0</v>
      </c>
      <c r="EN109" s="89"/>
      <c r="EO109" s="89"/>
      <c r="EP109" s="499">
        <f>_xlfn.IFERROR(EP113/EP64,0)*1000</f>
        <v>0</v>
      </c>
      <c r="EQ109" s="89"/>
      <c r="ER109" s="89"/>
      <c r="ES109" s="499">
        <f>_xlfn.IFERROR(ES113/ES64,0)*1000</f>
        <v>0</v>
      </c>
      <c r="ET109" s="89"/>
      <c r="EU109" s="89"/>
      <c r="EV109" s="499">
        <f>_xlfn.IFERROR(EV113/EV64,0)*1000</f>
        <v>0</v>
      </c>
      <c r="EW109" s="89"/>
      <c r="EX109" s="89"/>
      <c r="EY109" s="499">
        <f>_xlfn.IFERROR(EY113/EY64,0)*1000</f>
        <v>0</v>
      </c>
      <c r="EZ109" s="89"/>
      <c r="FA109" s="89"/>
      <c r="FB109" s="83"/>
      <c r="FE109" s="489" t="s">
        <v>966</v>
      </c>
      <c r="FF109" s="648" t="s">
        <v>890</v>
      </c>
      <c r="FG109" s="648" cm="1" t="str">
        <f t="array" ref="FG109:FG109">AE109</f>
        <v>0</v>
      </c>
      <c r="FH109" s="648" cm="1" t="str">
        <f t="array" ref="FH109:FH109">AF109</f>
        <v>0</v>
      </c>
      <c r="FK109" s="1157" cm="1" t="str">
        <f t="array" ref="FK109:FK109">OFFSET(FJ109,-1,1)</f>
        <v>0</v>
      </c>
      <c r="FL109" s="1159"/>
      <c r="FM109" s="1159"/>
      <c r="FN109" s="1159"/>
      <c r="FO109" s="1159"/>
      <c r="FP109" s="1159"/>
      <c r="FQ109" s="1159"/>
      <c r="FR109" s="1159"/>
      <c r="FS109" s="1159"/>
      <c r="FT109" s="1159" t="s">
        <v>963</v>
      </c>
      <c r="FU109" s="1159"/>
      <c r="FV109" s="1159" t="s">
        <v>255</v>
      </c>
      <c r="FW109" s="1078" t="str">
        <f>$AE109&amp;"|"&amp;$AF109</f>
        <v>|</v>
      </c>
      <c r="FX109" s="1159" t="s">
        <v>303</v>
      </c>
      <c r="FY109" s="1159" t="s">
        <v>936</v>
      </c>
      <c r="FZ109" s="1159" t="s">
        <v>937</v>
      </c>
    </row>
    <row customHeight="1" ht="15" hidden="1">
      <c r="E110" s="965">
        <v>0</v>
      </c>
      <c r="F110" s="175" cm="1" t="str">
        <f t="array" ref="F110:F110">OFFSET(G110,-1,-1)</f>
        <v>0</v>
      </c>
      <c r="L110" s="175" cm="1" t="str">
        <f t="array" ref="L110:L110">OFFSET(M110,-1,-1)</f>
        <v>false</v>
      </c>
      <c r="S110" s="175" cm="1" t="str">
        <f t="array" ref="S110:S110">OFFSET(T110,-1,-1)</f>
        <v>false</v>
      </c>
      <c r="U110" s="753">
        <f>AND(S110,IF(ISBLANK(T110),TRUE,T110))</f>
        <v>0</v>
      </c>
      <c r="X110" s="980" t="str">
        <f>"{                  
         funcDyn: 'msg1',
         blok: 'blok_2',
         wsCross: 'Топливо 4.4',
         linkFormula: 'AE-AE#AF-AF',
         levelDyn: "&amp;Y28&amp;"
}"</f>
        <v>{                  
         funcDyn: 'msg1',
         blok: 'blok_2',
         wsCross: 'Топливо 4.4',
         linkFormula: 'AE-AE#AF-AF',
         levelDyn: 0
}</v>
      </c>
      <c r="AB110" s="1607"/>
      <c r="AD110" s="517"/>
      <c r="AE110" s="518" t="s">
        <v>191</v>
      </c>
      <c r="AF110" s="519"/>
      <c r="AG110" s="470"/>
      <c r="AH110" s="524"/>
      <c r="AI110" s="525"/>
      <c r="AJ110" s="525"/>
      <c r="AK110" s="525"/>
      <c r="AL110" s="525"/>
      <c r="AM110" s="525"/>
      <c r="AN110" s="525"/>
      <c r="AO110" s="525"/>
      <c r="AP110" s="525"/>
      <c r="AQ110" s="525"/>
      <c r="AR110" s="525"/>
      <c r="AS110" s="525"/>
      <c r="AT110" s="525"/>
      <c r="AU110" s="525"/>
      <c r="AV110" s="525"/>
      <c r="AW110" s="525"/>
      <c r="AX110" s="525"/>
      <c r="AY110" s="525"/>
      <c r="AZ110" s="525"/>
      <c r="BA110" s="525"/>
      <c r="BB110" s="525"/>
      <c r="BC110" s="525"/>
      <c r="BD110" s="525"/>
      <c r="BE110" s="525"/>
      <c r="BF110" s="525"/>
      <c r="BG110" s="525"/>
      <c r="BH110" s="525"/>
      <c r="BI110" s="525"/>
      <c r="BJ110" s="525"/>
      <c r="BK110" s="525"/>
      <c r="BL110" s="525"/>
      <c r="BM110" s="525"/>
      <c r="BN110" s="525"/>
      <c r="BO110" s="525"/>
      <c r="BP110" s="525"/>
      <c r="BQ110" s="525"/>
      <c r="BR110" s="525"/>
      <c r="BS110" s="525"/>
      <c r="BT110" s="525"/>
      <c r="BU110" s="525"/>
      <c r="BV110" s="525"/>
      <c r="BW110" s="525"/>
      <c r="BX110" s="525"/>
      <c r="BY110" s="525"/>
      <c r="BZ110" s="525"/>
      <c r="CA110" s="525"/>
      <c r="CB110" s="525"/>
      <c r="CC110" s="525"/>
      <c r="CD110" s="525"/>
      <c r="CE110" s="525"/>
      <c r="CF110" s="525"/>
      <c r="CG110" s="525"/>
      <c r="CH110" s="525"/>
      <c r="CI110" s="525"/>
      <c r="CJ110" s="525"/>
      <c r="CK110" s="525"/>
      <c r="CL110" s="525"/>
      <c r="CM110" s="525"/>
      <c r="CN110" s="525"/>
      <c r="CO110" s="525"/>
      <c r="CP110" s="525"/>
      <c r="CQ110" s="525"/>
      <c r="CR110" s="525"/>
      <c r="CS110" s="525"/>
      <c r="CT110" s="525"/>
      <c r="CU110" s="525"/>
      <c r="CV110" s="525"/>
      <c r="CW110" s="525"/>
      <c r="CX110" s="525"/>
      <c r="CY110" s="525"/>
      <c r="CZ110" s="525"/>
      <c r="DA110" s="525"/>
      <c r="DB110" s="525"/>
      <c r="DC110" s="525"/>
      <c r="DD110" s="525"/>
      <c r="DE110" s="525"/>
      <c r="DF110" s="525"/>
      <c r="DG110" s="525"/>
      <c r="DH110" s="525"/>
      <c r="DI110" s="525"/>
      <c r="DJ110" s="525"/>
      <c r="DK110" s="525"/>
      <c r="DL110" s="525"/>
      <c r="DM110" s="525"/>
      <c r="DN110" s="525"/>
      <c r="DO110" s="525"/>
      <c r="DP110" s="525"/>
      <c r="DQ110" s="525"/>
      <c r="DR110" s="525"/>
      <c r="DS110" s="525"/>
      <c r="DT110" s="525"/>
      <c r="DU110" s="525"/>
      <c r="DV110" s="525"/>
      <c r="DW110" s="525"/>
      <c r="DX110" s="525"/>
      <c r="DY110" s="525"/>
      <c r="DZ110" s="525"/>
      <c r="EA110" s="525"/>
      <c r="EB110" s="525"/>
      <c r="EC110" s="525"/>
      <c r="ED110" s="525"/>
      <c r="EE110" s="525"/>
      <c r="EF110" s="525"/>
      <c r="EG110" s="525"/>
      <c r="EH110" s="525"/>
      <c r="EI110" s="525"/>
      <c r="EJ110" s="525"/>
      <c r="EK110" s="525"/>
      <c r="EL110" s="525"/>
      <c r="EM110" s="525"/>
      <c r="EN110" s="525"/>
      <c r="EO110" s="525"/>
      <c r="EP110" s="525"/>
      <c r="EQ110" s="525"/>
      <c r="ER110" s="525"/>
      <c r="ES110" s="525"/>
      <c r="ET110" s="525"/>
      <c r="EU110" s="525"/>
      <c r="EV110" s="525"/>
      <c r="EW110" s="525"/>
      <c r="EX110" s="525"/>
      <c r="EY110" s="525"/>
      <c r="EZ110" s="525"/>
      <c r="FA110" s="525"/>
      <c r="FB110" s="93"/>
      <c r="FE110" s="489" t="str">
        <f>IF(AND(ISNUMBER(VALUE(TRIM(SUBSTITUTE(AD110,".","")))),TRIM(SUBSTITUTE(AD110,".",""))&lt;&gt;""),"P"&amp;SUBSTITUTE(AD110,".",""),"")</f>
        <v/>
      </c>
      <c r="FK110" s="1157" cm="1" t="str">
        <f t="array" ref="FK110:FK110">OFFSET(FJ110,-1,1)</f>
        <v>0</v>
      </c>
      <c r="FL110" s="1159"/>
      <c r="FM110" s="1159"/>
      <c r="FN110" s="1159"/>
      <c r="FO110" s="1159"/>
      <c r="FP110" s="1159"/>
      <c r="FQ110" s="1159"/>
      <c r="FR110" s="1159"/>
      <c r="FS110" s="1159"/>
      <c r="FT110" s="1159"/>
      <c r="FU110" s="1159"/>
      <c r="FV110" s="1159"/>
      <c r="FW110" s="1159"/>
      <c r="FX110" s="1159"/>
      <c r="FY110" s="1159"/>
      <c r="FZ110" s="1159"/>
    </row>
    <row customHeight="1" ht="16.575" hidden="1">
      <c r="E111" s="180">
        <v>17</v>
      </c>
      <c r="F111" s="175" cm="1" t="str">
        <f t="array" ref="F111:F111">OFFSET(G111,-1,-1)</f>
        <v>0</v>
      </c>
      <c r="L111" s="175" cm="1" t="str">
        <f t="array" ref="L111:L111">OFFSET(M111,-1,-1)</f>
        <v>false</v>
      </c>
      <c r="S111" s="175" cm="1" t="str">
        <f t="array" ref="S111:S111">OFFSET(T111,-1,-1)</f>
        <v>false</v>
      </c>
      <c r="U111" s="753">
        <f>AND(S111,IF(ISBLANK(T111),TRUE,T111))</f>
        <v>0</v>
      </c>
      <c r="AB111" s="1607"/>
      <c r="AD111" s="327">
        <v>36</v>
      </c>
      <c r="AE111" s="1618" t="s">
        <v>968</v>
      </c>
      <c r="AF111" s="427"/>
      <c r="AG111" s="470" t="s">
        <v>917</v>
      </c>
      <c r="AH111" s="500">
        <f>SUM(AH113:AH114)</f>
        <v>0</v>
      </c>
      <c r="AI111" s="500">
        <f>SUM(AI113:AI114)</f>
        <v>0</v>
      </c>
      <c r="AJ111" s="500">
        <f>SUM(AJ113:AJ114)</f>
        <v>0</v>
      </c>
      <c r="AK111" s="500">
        <f>SUM(AK113:AK114)</f>
        <v>0</v>
      </c>
      <c r="AL111" s="500">
        <f>SUM(AL113:AL114)</f>
        <v>0</v>
      </c>
      <c r="AM111" s="500">
        <f>SUM(AM113:AM114)</f>
        <v>0</v>
      </c>
      <c r="AN111" s="500">
        <f>SUM(AN113:AN114)</f>
        <v>0</v>
      </c>
      <c r="AO111" s="500">
        <f>SUM(AO113:AO114)</f>
        <v>0</v>
      </c>
      <c r="AP111" s="500">
        <f>SUM(AP113:AP114)</f>
        <v>0</v>
      </c>
      <c r="AQ111" s="500">
        <f>SUM(AQ113:AQ114)</f>
        <v>0</v>
      </c>
      <c r="AR111" s="500">
        <f>SUM(AR113:AR114)</f>
        <v>0</v>
      </c>
      <c r="AS111" s="500">
        <f>SUM(AS113:AS114)</f>
        <v>0</v>
      </c>
      <c r="AT111" s="500">
        <f>SUM(AT113:AT114)</f>
        <v>0</v>
      </c>
      <c r="AU111" s="500">
        <f>SUM(AU113:AU114)</f>
        <v>0</v>
      </c>
      <c r="AV111" s="500">
        <f>SUM(AV113:AV114)</f>
        <v>0</v>
      </c>
      <c r="AW111" s="500">
        <f>SUM(AW113:AW114)</f>
        <v>0</v>
      </c>
      <c r="AX111" s="500">
        <f>SUM(AX113:AX114)</f>
        <v>0</v>
      </c>
      <c r="AY111" s="500">
        <f>SUM(AY113:AY114)</f>
        <v>0</v>
      </c>
      <c r="AZ111" s="500">
        <f>SUM(AZ113:AZ114)</f>
        <v>0</v>
      </c>
      <c r="BA111" s="500">
        <f>SUM(BA113:BA114)</f>
        <v>0</v>
      </c>
      <c r="BB111" s="500">
        <f>SUM(BB113:BB114)</f>
        <v>0</v>
      </c>
      <c r="BC111" s="500">
        <f>SUM(BC113:BC114)</f>
        <v>0</v>
      </c>
      <c r="BD111" s="500">
        <f>SUM(BD113:BD114)</f>
        <v>0</v>
      </c>
      <c r="BE111" s="500">
        <f>SUM(BE113:BE114)</f>
        <v>0</v>
      </c>
      <c r="BF111" s="500">
        <f>SUM(BF113:BF114)</f>
        <v>0</v>
      </c>
      <c r="BG111" s="500">
        <f>SUM(BG113:BG114)</f>
        <v>0</v>
      </c>
      <c r="BH111" s="500">
        <f>SUM(BH113:BH114)</f>
        <v>0</v>
      </c>
      <c r="BI111" s="500">
        <f>SUM(BI113:BI114)</f>
        <v>0</v>
      </c>
      <c r="BJ111" s="500">
        <f>SUM(BJ113:BJ114)</f>
        <v>0</v>
      </c>
      <c r="BK111" s="500">
        <f>SUM(BK113:BK114)</f>
        <v>0</v>
      </c>
      <c r="BL111" s="500">
        <f>SUM(BL113:BL114)</f>
        <v>0</v>
      </c>
      <c r="BM111" s="500">
        <f>SUM(BM113:BM114)</f>
        <v>0</v>
      </c>
      <c r="BN111" s="500">
        <f>SUM(BN113:BN114)</f>
        <v>0</v>
      </c>
      <c r="BO111" s="500">
        <f>SUM(BO113:BO114)</f>
        <v>0</v>
      </c>
      <c r="BP111" s="500">
        <f>SUM(BP113:BP114)</f>
        <v>0</v>
      </c>
      <c r="BQ111" s="500">
        <f>SUM(BQ113:BQ114)</f>
        <v>0</v>
      </c>
      <c r="BR111" s="500">
        <f>SUM(BR113:BR114)</f>
        <v>0</v>
      </c>
      <c r="BS111" s="500">
        <f>SUM(BS113:BS114)</f>
        <v>0</v>
      </c>
      <c r="BT111" s="500">
        <f>SUM(BT113:BT114)</f>
        <v>0</v>
      </c>
      <c r="BU111" s="500">
        <f>SUM(BU113:BU114)</f>
        <v>0</v>
      </c>
      <c r="BV111" s="500">
        <f>SUM(BV113:BV114)</f>
        <v>0</v>
      </c>
      <c r="BW111" s="500">
        <f>SUM(BW113:BW114)</f>
        <v>0</v>
      </c>
      <c r="BX111" s="500">
        <f>SUM(BX113:BX114)</f>
        <v>0</v>
      </c>
      <c r="BY111" s="500">
        <f>SUM(BY113:BY114)</f>
        <v>0</v>
      </c>
      <c r="BZ111" s="500">
        <f>SUM(BZ113:BZ114)</f>
        <v>0</v>
      </c>
      <c r="CA111" s="500">
        <f>SUM(CA113:CA114)</f>
        <v>0</v>
      </c>
      <c r="CB111" s="500">
        <f>SUM(CB113:CB114)</f>
        <v>0</v>
      </c>
      <c r="CC111" s="500">
        <f>SUM(CC113:CC114)</f>
        <v>0</v>
      </c>
      <c r="CD111" s="500">
        <f>SUM(CD113:CD114)</f>
        <v>0</v>
      </c>
      <c r="CE111" s="500">
        <f>SUM(CE113:CE114)</f>
        <v>0</v>
      </c>
      <c r="CF111" s="500">
        <f>SUM(CF113:CF114)</f>
        <v>0</v>
      </c>
      <c r="CG111" s="500">
        <f>SUM(CG113:CG114)</f>
        <v>0</v>
      </c>
      <c r="CH111" s="500">
        <f>SUM(CH113:CH114)</f>
        <v>0</v>
      </c>
      <c r="CI111" s="500">
        <f>SUM(CI113:CI114)</f>
        <v>0</v>
      </c>
      <c r="CJ111" s="500">
        <f>SUM(CJ113:CJ114)</f>
        <v>0</v>
      </c>
      <c r="CK111" s="500">
        <f>SUM(CK113:CK114)</f>
        <v>0</v>
      </c>
      <c r="CL111" s="500">
        <f>SUM(CL113:CL114)</f>
        <v>0</v>
      </c>
      <c r="CM111" s="500">
        <f>SUM(CM113:CM114)</f>
        <v>0</v>
      </c>
      <c r="CN111" s="500">
        <f>SUM(CN113:CN114)</f>
        <v>0</v>
      </c>
      <c r="CO111" s="500">
        <f>SUM(CO113:CO114)</f>
        <v>0</v>
      </c>
      <c r="CP111" s="500">
        <f>SUM(CP113:CP114)</f>
        <v>0</v>
      </c>
      <c r="CQ111" s="500">
        <f>SUM(CQ113:CQ114)</f>
        <v>0</v>
      </c>
      <c r="CR111" s="500">
        <f>SUM(CR113:CR114)</f>
        <v>0</v>
      </c>
      <c r="CS111" s="500">
        <f>SUM(CS113:CS114)</f>
        <v>0</v>
      </c>
      <c r="CT111" s="500">
        <f>SUM(CT113:CT114)</f>
        <v>0</v>
      </c>
      <c r="CU111" s="500">
        <f>SUM(CU113:CU114)</f>
        <v>0</v>
      </c>
      <c r="CV111" s="500">
        <f>SUM(CV113:CV114)</f>
        <v>0</v>
      </c>
      <c r="CW111" s="500">
        <f>SUM(CW113:CW114)</f>
        <v>0</v>
      </c>
      <c r="CX111" s="500">
        <f>SUM(CX113:CX114)</f>
        <v>0</v>
      </c>
      <c r="CY111" s="500">
        <f>SUM(CY113:CY114)</f>
        <v>0</v>
      </c>
      <c r="CZ111" s="500">
        <f>SUM(CZ113:CZ114)</f>
        <v>0</v>
      </c>
      <c r="DA111" s="500">
        <f>SUM(DA113:DA114)</f>
        <v>0</v>
      </c>
      <c r="DB111" s="500">
        <f>SUM(DB113:DB114)</f>
        <v>0</v>
      </c>
      <c r="DC111" s="500">
        <f>SUM(DC113:DC114)</f>
        <v>0</v>
      </c>
      <c r="DD111" s="500">
        <f>SUM(DD113:DD114)</f>
        <v>0</v>
      </c>
      <c r="DE111" s="500">
        <f>SUM(DE113:DE114)</f>
        <v>0</v>
      </c>
      <c r="DF111" s="500">
        <f>SUM(DF113:DF114)</f>
        <v>0</v>
      </c>
      <c r="DG111" s="500">
        <f>SUM(DG113:DG114)</f>
        <v>0</v>
      </c>
      <c r="DH111" s="500">
        <f>SUM(DH113:DH114)</f>
        <v>0</v>
      </c>
      <c r="DI111" s="500">
        <f>SUM(DI113:DI114)</f>
        <v>0</v>
      </c>
      <c r="DJ111" s="500">
        <f>SUM(DJ113:DJ114)</f>
        <v>0</v>
      </c>
      <c r="DK111" s="500">
        <f>SUM(DK113:DK114)</f>
        <v>0</v>
      </c>
      <c r="DL111" s="500">
        <f>SUM(DL113:DL114)</f>
        <v>0</v>
      </c>
      <c r="DM111" s="500">
        <f>SUM(DM113:DM114)</f>
        <v>0</v>
      </c>
      <c r="DN111" s="500">
        <f>SUM(DN113:DN114)</f>
        <v>0</v>
      </c>
      <c r="DO111" s="500">
        <f>SUM(DO113:DO114)</f>
        <v>0</v>
      </c>
      <c r="DP111" s="500">
        <f>SUM(DP113:DP114)</f>
        <v>0</v>
      </c>
      <c r="DQ111" s="500">
        <f>SUM(DQ113:DQ114)</f>
        <v>0</v>
      </c>
      <c r="DR111" s="500">
        <f>SUM(DR113:DR114)</f>
        <v>0</v>
      </c>
      <c r="DS111" s="500">
        <f>SUM(DS113:DS114)</f>
        <v>0</v>
      </c>
      <c r="DT111" s="500">
        <f>SUM(DT113:DT114)</f>
        <v>0</v>
      </c>
      <c r="DU111" s="500">
        <f>SUM(DU113:DU114)</f>
        <v>0</v>
      </c>
      <c r="DV111" s="500">
        <f>SUM(DV113:DV114)</f>
        <v>0</v>
      </c>
      <c r="DW111" s="500">
        <f>SUM(DW113:DW114)</f>
        <v>0</v>
      </c>
      <c r="DX111" s="500">
        <f>SUM(DX113:DX114)</f>
        <v>0</v>
      </c>
      <c r="DY111" s="500">
        <f>SUM(DY113:DY114)</f>
        <v>0</v>
      </c>
      <c r="DZ111" s="500">
        <f>SUM(DZ113:DZ114)</f>
        <v>0</v>
      </c>
      <c r="EA111" s="500">
        <f>SUM(EA113:EA114)</f>
        <v>0</v>
      </c>
      <c r="EB111" s="500">
        <f>SUM(EB113:EB114)</f>
        <v>0</v>
      </c>
      <c r="EC111" s="500">
        <f>SUM(EC113:EC114)</f>
        <v>0</v>
      </c>
      <c r="ED111" s="500">
        <f>SUM(ED113:ED114)</f>
        <v>0</v>
      </c>
      <c r="EE111" s="500">
        <f>SUM(EE113:EE114)</f>
        <v>0</v>
      </c>
      <c r="EF111" s="500">
        <f>SUM(EF113:EF114)</f>
        <v>0</v>
      </c>
      <c r="EG111" s="500">
        <f>SUM(EG113:EG114)</f>
        <v>0</v>
      </c>
      <c r="EH111" s="500">
        <f>SUM(EH113:EH114)</f>
        <v>0</v>
      </c>
      <c r="EI111" s="500">
        <f>SUM(EI113:EI114)</f>
        <v>0</v>
      </c>
      <c r="EJ111" s="500">
        <f>SUM(EJ113:EJ114)</f>
        <v>0</v>
      </c>
      <c r="EK111" s="500">
        <f>SUM(EK113:EK114)</f>
        <v>0</v>
      </c>
      <c r="EL111" s="500">
        <f>SUM(EL113:EL114)</f>
        <v>0</v>
      </c>
      <c r="EM111" s="500">
        <f>SUM(EM113:EM114)</f>
        <v>0</v>
      </c>
      <c r="EN111" s="500">
        <f>SUM(EN113:EN114)</f>
        <v>0</v>
      </c>
      <c r="EO111" s="500">
        <f>SUM(EO113:EO114)</f>
        <v>0</v>
      </c>
      <c r="EP111" s="500">
        <f>SUM(EP113:EP114)</f>
        <v>0</v>
      </c>
      <c r="EQ111" s="500">
        <f>SUM(EQ113:EQ114)</f>
        <v>0</v>
      </c>
      <c r="ER111" s="500">
        <f>SUM(ER113:ER114)</f>
        <v>0</v>
      </c>
      <c r="ES111" s="500">
        <f>SUM(ES113:ES114)</f>
        <v>0</v>
      </c>
      <c r="ET111" s="500">
        <f>SUM(ET113:ET114)</f>
        <v>0</v>
      </c>
      <c r="EU111" s="500">
        <f>SUM(EU113:EU114)</f>
        <v>0</v>
      </c>
      <c r="EV111" s="500">
        <f>SUM(EV113:EV114)</f>
        <v>0</v>
      </c>
      <c r="EW111" s="500">
        <f>SUM(EW113:EW114)</f>
        <v>0</v>
      </c>
      <c r="EX111" s="500">
        <f>SUM(EX113:EX114)</f>
        <v>0</v>
      </c>
      <c r="EY111" s="500">
        <f>SUM(EY113:EY114)</f>
        <v>0</v>
      </c>
      <c r="EZ111" s="500">
        <f>SUM(EZ113:EZ114)</f>
        <v>0</v>
      </c>
      <c r="FA111" s="500">
        <f>SUM(FA113:FA114)</f>
        <v>0</v>
      </c>
      <c r="FB111" s="83"/>
      <c r="FE111" s="489" t="s">
        <v>969</v>
      </c>
      <c r="FK111" s="1157" cm="1" t="str">
        <f t="array" ref="FK111:FK111">OFFSET(FJ111,-1,1)</f>
        <v>0</v>
      </c>
      <c r="FL111" s="1078"/>
      <c r="FM111" s="1159"/>
      <c r="FN111" s="1159"/>
      <c r="FO111" s="1159"/>
      <c r="FP111" s="1159"/>
      <c r="FQ111" s="1159"/>
      <c r="FR111" s="1159"/>
      <c r="FS111" s="1159"/>
      <c r="FT111" s="1078" t="s">
        <v>963</v>
      </c>
      <c r="FU111" s="1159"/>
      <c r="FV111" s="1078" t="s">
        <v>449</v>
      </c>
      <c r="FW111" s="1159"/>
      <c r="FX111" s="1078" t="s">
        <v>303</v>
      </c>
      <c r="FY111" s="1078" t="s">
        <v>919</v>
      </c>
      <c r="FZ111" s="1078" t="s">
        <v>920</v>
      </c>
    </row>
    <row customHeight="1" ht="16.575" hidden="1">
      <c r="E112" s="180">
        <v>17</v>
      </c>
      <c r="F112" s="175" cm="1" t="str">
        <f t="array" ref="F112:F112">OFFSET(G112,-1,-1)</f>
        <v>0</v>
      </c>
      <c r="L112" s="175" cm="1" t="str">
        <f t="array" ref="L112:L112">OFFSET(M112,-1,-1)</f>
        <v>false</v>
      </c>
      <c r="R112" s="175" t="s">
        <v>804</v>
      </c>
      <c r="S112" s="175" cm="1" t="str">
        <f t="array" ref="S112:S112">OFFSET(T112,-1,-1)</f>
        <v>false</v>
      </c>
      <c r="T112" s="175" t="b">
        <v>0</v>
      </c>
      <c r="U112" s="753">
        <f>AND(S112,IF(ISBLANK(T112),TRUE,T112))</f>
        <v>0</v>
      </c>
      <c r="AB112" s="1607"/>
      <c r="AD112" s="491" t="str">
        <f>AD111&amp;".0"</f>
        <v>36.0</v>
      </c>
      <c r="AE112" s="537" t="s">
        <v>822</v>
      </c>
      <c r="AF112" s="368"/>
      <c r="AG112" s="470" t="s">
        <v>917</v>
      </c>
      <c r="AH112" s="88">
        <f>AH$52*AH111</f>
        <v>0</v>
      </c>
      <c r="AI112" s="89">
        <f>AI$52*AI111</f>
        <v>0</v>
      </c>
      <c r="AJ112" s="89">
        <f>AJ$52*AJ111</f>
        <v>0</v>
      </c>
      <c r="AK112" s="89">
        <f>AK$52*AK111</f>
        <v>0</v>
      </c>
      <c r="AL112" s="499">
        <f>AM112+AN112</f>
        <v>0</v>
      </c>
      <c r="AM112" s="89">
        <f>AM$52*AM111</f>
        <v>0</v>
      </c>
      <c r="AN112" s="89">
        <f>AN$52*AN111</f>
        <v>0</v>
      </c>
      <c r="AO112" s="499">
        <f>AP112+AQ112</f>
        <v>0</v>
      </c>
      <c r="AP112" s="89">
        <f>AP$52*AP111</f>
        <v>0</v>
      </c>
      <c r="AQ112" s="89">
        <f>AQ$52*AQ111</f>
        <v>0</v>
      </c>
      <c r="AR112" s="499">
        <f>AS112+AT112</f>
        <v>0</v>
      </c>
      <c r="AS112" s="89">
        <f>AS$52*AS111</f>
        <v>0</v>
      </c>
      <c r="AT112" s="89">
        <f>AT$52*AT111</f>
        <v>0</v>
      </c>
      <c r="AU112" s="499">
        <f>AV112+AW112</f>
        <v>0</v>
      </c>
      <c r="AV112" s="89">
        <f>AV$52*AV111</f>
        <v>0</v>
      </c>
      <c r="AW112" s="89">
        <f>AW$52*AW111</f>
        <v>0</v>
      </c>
      <c r="AX112" s="499">
        <f>AY112+AZ112</f>
        <v>0</v>
      </c>
      <c r="AY112" s="89">
        <f>AY$52*AY111</f>
        <v>0</v>
      </c>
      <c r="AZ112" s="89">
        <f>AZ$52*AZ111</f>
        <v>0</v>
      </c>
      <c r="BA112" s="499">
        <f>BB112+BC112</f>
        <v>0</v>
      </c>
      <c r="BB112" s="89">
        <f>BB$52*BB111</f>
        <v>0</v>
      </c>
      <c r="BC112" s="89">
        <f>BC$52*BC111</f>
        <v>0</v>
      </c>
      <c r="BD112" s="499">
        <f>BE112+BF112</f>
        <v>0</v>
      </c>
      <c r="BE112" s="89">
        <f>BE$52*BE111</f>
        <v>0</v>
      </c>
      <c r="BF112" s="89">
        <f>BF$52*BF111</f>
        <v>0</v>
      </c>
      <c r="BG112" s="499">
        <f>BH112+BI112</f>
        <v>0</v>
      </c>
      <c r="BH112" s="89">
        <f>BH$52*BH111</f>
        <v>0</v>
      </c>
      <c r="BI112" s="89">
        <f>BI$52*BI111</f>
        <v>0</v>
      </c>
      <c r="BJ112" s="499">
        <f>BK112+BL112</f>
        <v>0</v>
      </c>
      <c r="BK112" s="89">
        <f>BK$52*BK111</f>
        <v>0</v>
      </c>
      <c r="BL112" s="89">
        <f>BL$52*BL111</f>
        <v>0</v>
      </c>
      <c r="BM112" s="499">
        <f>BN112+BO112</f>
        <v>0</v>
      </c>
      <c r="BN112" s="89">
        <f>BN$52*BN111</f>
        <v>0</v>
      </c>
      <c r="BO112" s="89">
        <f>BO$52*BO111</f>
        <v>0</v>
      </c>
      <c r="BP112" s="499">
        <f>BQ112+BR112</f>
        <v>0</v>
      </c>
      <c r="BQ112" s="89">
        <f>BQ$52*BQ111</f>
        <v>0</v>
      </c>
      <c r="BR112" s="89">
        <f>BR$52*BR111</f>
        <v>0</v>
      </c>
      <c r="BS112" s="499">
        <f>BT112+BU112</f>
        <v>0</v>
      </c>
      <c r="BT112" s="89">
        <f>BT$52*BT111</f>
        <v>0</v>
      </c>
      <c r="BU112" s="89">
        <f>BU$52*BU111</f>
        <v>0</v>
      </c>
      <c r="BV112" s="499">
        <f>BW112+BX112</f>
        <v>0</v>
      </c>
      <c r="BW112" s="89">
        <f>BW$52*BW111</f>
        <v>0</v>
      </c>
      <c r="BX112" s="89">
        <f>BX$52*BX111</f>
        <v>0</v>
      </c>
      <c r="BY112" s="499">
        <f>BZ112+CA112</f>
        <v>0</v>
      </c>
      <c r="BZ112" s="89">
        <f>BZ$52*BZ111</f>
        <v>0</v>
      </c>
      <c r="CA112" s="89">
        <f>CA$52*CA111</f>
        <v>0</v>
      </c>
      <c r="CB112" s="499">
        <f>CC112+CD112</f>
        <v>0</v>
      </c>
      <c r="CC112" s="89">
        <f>CC$52*CC111</f>
        <v>0</v>
      </c>
      <c r="CD112" s="89">
        <f>CD$52*CD111</f>
        <v>0</v>
      </c>
      <c r="CE112" s="499">
        <f>CF112+CG112</f>
        <v>0</v>
      </c>
      <c r="CF112" s="89">
        <f>CF$52*CF111</f>
        <v>0</v>
      </c>
      <c r="CG112" s="89">
        <f>CG$52*CG111</f>
        <v>0</v>
      </c>
      <c r="CH112" s="499">
        <f>CI112+CJ112</f>
        <v>0</v>
      </c>
      <c r="CI112" s="89">
        <f>CI$52*CI111</f>
        <v>0</v>
      </c>
      <c r="CJ112" s="89">
        <f>CJ$52*CJ111</f>
        <v>0</v>
      </c>
      <c r="CK112" s="499">
        <f>CL112+CM112</f>
        <v>0</v>
      </c>
      <c r="CL112" s="89">
        <f>CL$52*CL111</f>
        <v>0</v>
      </c>
      <c r="CM112" s="89">
        <f>CM$52*CM111</f>
        <v>0</v>
      </c>
      <c r="CN112" s="499">
        <f>CO112+CP112</f>
        <v>0</v>
      </c>
      <c r="CO112" s="89">
        <f>CO$52*CO111</f>
        <v>0</v>
      </c>
      <c r="CP112" s="89">
        <f>CP$52*CP111</f>
        <v>0</v>
      </c>
      <c r="CQ112" s="499">
        <f>CR112+CS112</f>
        <v>0</v>
      </c>
      <c r="CR112" s="89">
        <f>CR$52*CR111</f>
        <v>0</v>
      </c>
      <c r="CS112" s="89">
        <f>CS$52*CS111</f>
        <v>0</v>
      </c>
      <c r="CT112" s="499">
        <f>CU112+CV112</f>
        <v>0</v>
      </c>
      <c r="CU112" s="498">
        <f>CU$52*CU111</f>
        <v>0</v>
      </c>
      <c r="CV112" s="498">
        <f>CV$52*CV111</f>
        <v>0</v>
      </c>
      <c r="CW112" s="499">
        <f>CX112+CY112</f>
        <v>0</v>
      </c>
      <c r="CX112" s="89">
        <f>CX$52*CX111</f>
        <v>0</v>
      </c>
      <c r="CY112" s="89">
        <f>CY$52*CY111</f>
        <v>0</v>
      </c>
      <c r="CZ112" s="499">
        <f>DA112+DB112</f>
        <v>0</v>
      </c>
      <c r="DA112" s="89">
        <f>DA$52*DA111</f>
        <v>0</v>
      </c>
      <c r="DB112" s="89">
        <f>DB$52*DB111</f>
        <v>0</v>
      </c>
      <c r="DC112" s="499">
        <f>DD112+DE112</f>
        <v>0</v>
      </c>
      <c r="DD112" s="89">
        <f>DD$52*DD111</f>
        <v>0</v>
      </c>
      <c r="DE112" s="89">
        <f>DE$52*DE111</f>
        <v>0</v>
      </c>
      <c r="DF112" s="499">
        <f>DG112+DH112</f>
        <v>0</v>
      </c>
      <c r="DG112" s="89">
        <f>DG$52*DG111</f>
        <v>0</v>
      </c>
      <c r="DH112" s="89">
        <f>DH$52*DH111</f>
        <v>0</v>
      </c>
      <c r="DI112" s="499">
        <f>DJ112+DK112</f>
        <v>0</v>
      </c>
      <c r="DJ112" s="89">
        <f>DJ$52*DJ111</f>
        <v>0</v>
      </c>
      <c r="DK112" s="89">
        <f>DK$52*DK111</f>
        <v>0</v>
      </c>
      <c r="DL112" s="499">
        <f>DM112+DN112</f>
        <v>0</v>
      </c>
      <c r="DM112" s="89">
        <f>DM$52*DM111</f>
        <v>0</v>
      </c>
      <c r="DN112" s="89">
        <f>DN$52*DN111</f>
        <v>0</v>
      </c>
      <c r="DO112" s="499">
        <f>DP112+DQ112</f>
        <v>0</v>
      </c>
      <c r="DP112" s="89">
        <f>DP$52*DP111</f>
        <v>0</v>
      </c>
      <c r="DQ112" s="89">
        <f>DQ$52*DQ111</f>
        <v>0</v>
      </c>
      <c r="DR112" s="499">
        <f>DS112+DT112</f>
        <v>0</v>
      </c>
      <c r="DS112" s="89">
        <f>DS$52*DS111</f>
        <v>0</v>
      </c>
      <c r="DT112" s="89">
        <f>DT$52*DT111</f>
        <v>0</v>
      </c>
      <c r="DU112" s="499">
        <f>DV112+DW112</f>
        <v>0</v>
      </c>
      <c r="DV112" s="89">
        <f>DV$52*DV111</f>
        <v>0</v>
      </c>
      <c r="DW112" s="89">
        <f>DW$52*DW111</f>
        <v>0</v>
      </c>
      <c r="DX112" s="499">
        <f>DY112+DZ112</f>
        <v>0</v>
      </c>
      <c r="DY112" s="89">
        <f>DY$52*DY111</f>
        <v>0</v>
      </c>
      <c r="DZ112" s="89">
        <f>DZ$52*DZ111</f>
        <v>0</v>
      </c>
      <c r="EA112" s="499">
        <f>EB112+EC112</f>
        <v>0</v>
      </c>
      <c r="EB112" s="89">
        <f>EB$52*EB111</f>
        <v>0</v>
      </c>
      <c r="EC112" s="89">
        <f>EC$52*EC111</f>
        <v>0</v>
      </c>
      <c r="ED112" s="499">
        <f>EE112+EF112</f>
        <v>0</v>
      </c>
      <c r="EE112" s="89">
        <f>EE$52*EE111</f>
        <v>0</v>
      </c>
      <c r="EF112" s="89">
        <f>EF$52*EF111</f>
        <v>0</v>
      </c>
      <c r="EG112" s="499">
        <f>EH112+EI112</f>
        <v>0</v>
      </c>
      <c r="EH112" s="89">
        <f>EH$52*EH111</f>
        <v>0</v>
      </c>
      <c r="EI112" s="89">
        <f>EI$52*EI111</f>
        <v>0</v>
      </c>
      <c r="EJ112" s="499">
        <f>EK112+EL112</f>
        <v>0</v>
      </c>
      <c r="EK112" s="89">
        <f>EK$52*EK111</f>
        <v>0</v>
      </c>
      <c r="EL112" s="89">
        <f>EL$52*EL111</f>
        <v>0</v>
      </c>
      <c r="EM112" s="499">
        <f>EN112+EO112</f>
        <v>0</v>
      </c>
      <c r="EN112" s="89">
        <f>EN$52*EN111</f>
        <v>0</v>
      </c>
      <c r="EO112" s="89">
        <f>EO$52*EO111</f>
        <v>0</v>
      </c>
      <c r="EP112" s="499">
        <f>EQ112+ER112</f>
        <v>0</v>
      </c>
      <c r="EQ112" s="89">
        <f>EQ$52*EQ111</f>
        <v>0</v>
      </c>
      <c r="ER112" s="89">
        <f>ER$52*ER111</f>
        <v>0</v>
      </c>
      <c r="ES112" s="499">
        <f>ET112+EU112</f>
        <v>0</v>
      </c>
      <c r="ET112" s="89">
        <f>ET$52*ET111</f>
        <v>0</v>
      </c>
      <c r="EU112" s="89">
        <f>EU$52*EU111</f>
        <v>0</v>
      </c>
      <c r="EV112" s="499">
        <f>EW112+EX112</f>
        <v>0</v>
      </c>
      <c r="EW112" s="89">
        <f>EW$52*EW111</f>
        <v>0</v>
      </c>
      <c r="EX112" s="89">
        <f>EX$52*EX111</f>
        <v>0</v>
      </c>
      <c r="EY112" s="499">
        <f>EZ112+FA112</f>
        <v>0</v>
      </c>
      <c r="EZ112" s="89">
        <f>EZ$52*EZ111</f>
        <v>0</v>
      </c>
      <c r="FA112" s="89">
        <f>FA$52*FA111</f>
        <v>0</v>
      </c>
      <c r="FB112" s="83"/>
      <c r="FE112" s="489" t="s">
        <v>970</v>
      </c>
      <c r="FK112" s="1157" cm="1" t="str">
        <f t="array" ref="FK112:FK112">OFFSET(FJ112,-1,1)</f>
        <v>0</v>
      </c>
      <c r="FL112" s="1159"/>
      <c r="FM112" s="1078" t="s">
        <v>824</v>
      </c>
      <c r="FN112" s="1159"/>
      <c r="FO112" s="1159"/>
      <c r="FP112" s="1159"/>
      <c r="FQ112" s="1159"/>
      <c r="FR112" s="1159"/>
      <c r="FS112" s="1159"/>
      <c r="FT112" s="1078" t="s">
        <v>963</v>
      </c>
      <c r="FU112" s="1159"/>
      <c r="FV112" s="1159"/>
      <c r="FW112" s="1159"/>
      <c r="FX112" s="1078" t="s">
        <v>303</v>
      </c>
      <c r="FY112" s="1078" t="s">
        <v>919</v>
      </c>
      <c r="FZ112" s="1078" t="s">
        <v>920</v>
      </c>
    </row>
    <row customHeight="1" ht="16.575" hidden="1">
      <c r="E113" s="180">
        <v>17</v>
      </c>
      <c r="F113" s="175" cm="1" t="str">
        <f t="array" ref="F113:F113">OFFSET(G113,-1,-1)</f>
        <v>0</v>
      </c>
      <c r="L113" s="175" cm="1" t="str">
        <f t="array" ref="L113:L113">OFFSET(M113,-1,-1)</f>
        <v>false</v>
      </c>
      <c r="S113" s="175" cm="1" t="str">
        <f t="array" ref="S113:S113">OFFSET(T113,-1,-1)</f>
        <v>false</v>
      </c>
      <c r="T113" s="175">
        <f>AD113&lt;&gt;"36.0"</f>
        <v>0</v>
      </c>
      <c r="U113" s="753">
        <f>AND(S113,IF(ISBLANK(T113),TRUE,T113))</f>
        <v>0</v>
      </c>
      <c r="X113" s="175" t="s">
        <v>189</v>
      </c>
      <c r="AB113" s="1607"/>
      <c r="AD113" s="491" t="s">
        <v>971</v>
      </c>
      <c r="AE113" s="514"/>
      <c r="AF113" s="515"/>
      <c r="AG113" s="470" t="s">
        <v>917</v>
      </c>
      <c r="AH113" s="88"/>
      <c r="AI113" s="89"/>
      <c r="AJ113" s="89"/>
      <c r="AK113" s="89"/>
      <c r="AL113" s="499">
        <f>AM113+AN113</f>
        <v>0</v>
      </c>
      <c r="AM113" s="89">
        <f>AM109*AM64/1000</f>
        <v>0</v>
      </c>
      <c r="AN113" s="89">
        <f>AN109*AN64/1000</f>
        <v>0</v>
      </c>
      <c r="AO113" s="499">
        <f>AP113+AQ113</f>
        <v>0</v>
      </c>
      <c r="AP113" s="89">
        <f>AP109*AP64/1000</f>
        <v>0</v>
      </c>
      <c r="AQ113" s="89">
        <f>AQ109*AQ64/1000</f>
        <v>0</v>
      </c>
      <c r="AR113" s="499">
        <f>AS113+AT113</f>
        <v>0</v>
      </c>
      <c r="AS113" s="89">
        <f>AS109*AS64/1000</f>
        <v>0</v>
      </c>
      <c r="AT113" s="89">
        <f>AT109*AT64/1000</f>
        <v>0</v>
      </c>
      <c r="AU113" s="499">
        <f>AV113+AW113</f>
        <v>0</v>
      </c>
      <c r="AV113" s="89">
        <f>AV109*AV64/1000</f>
        <v>0</v>
      </c>
      <c r="AW113" s="89">
        <f>AW109*AW64/1000</f>
        <v>0</v>
      </c>
      <c r="AX113" s="499">
        <f>AY113+AZ113</f>
        <v>0</v>
      </c>
      <c r="AY113" s="89">
        <f>AY109*AY64/1000</f>
        <v>0</v>
      </c>
      <c r="AZ113" s="89">
        <f>AZ109*AZ64/1000</f>
        <v>0</v>
      </c>
      <c r="BA113" s="499">
        <f>BB113+BC113</f>
        <v>0</v>
      </c>
      <c r="BB113" s="89">
        <f>BB109*BB64/1000</f>
        <v>0</v>
      </c>
      <c r="BC113" s="89">
        <f>BC109*BC64/1000</f>
        <v>0</v>
      </c>
      <c r="BD113" s="499">
        <f>BE113+BF113</f>
        <v>0</v>
      </c>
      <c r="BE113" s="89">
        <f>BE109*BE64/1000</f>
        <v>0</v>
      </c>
      <c r="BF113" s="89">
        <f>BF109*BF64/1000</f>
        <v>0</v>
      </c>
      <c r="BG113" s="499">
        <f>BH113+BI113</f>
        <v>0</v>
      </c>
      <c r="BH113" s="89">
        <f>BH109*BH64/1000</f>
        <v>0</v>
      </c>
      <c r="BI113" s="89">
        <f>BI109*BI64/1000</f>
        <v>0</v>
      </c>
      <c r="BJ113" s="499">
        <f>BK113+BL113</f>
        <v>0</v>
      </c>
      <c r="BK113" s="89">
        <f>BK109*BK64/1000</f>
        <v>0</v>
      </c>
      <c r="BL113" s="89">
        <f>BL109*BL64/1000</f>
        <v>0</v>
      </c>
      <c r="BM113" s="499">
        <f>BN113+BO113</f>
        <v>0</v>
      </c>
      <c r="BN113" s="89">
        <f>BN109*BN64/1000</f>
        <v>0</v>
      </c>
      <c r="BO113" s="89">
        <f>BO109*BO64/1000</f>
        <v>0</v>
      </c>
      <c r="BP113" s="499">
        <f>BQ113+BR113</f>
        <v>0</v>
      </c>
      <c r="BQ113" s="89">
        <f>BQ109*BQ64/1000</f>
        <v>0</v>
      </c>
      <c r="BR113" s="89">
        <f>BR109*BR64/1000</f>
        <v>0</v>
      </c>
      <c r="BS113" s="499">
        <f>BT113+BU113</f>
        <v>0</v>
      </c>
      <c r="BT113" s="89">
        <f>BT109*BT64/1000</f>
        <v>0</v>
      </c>
      <c r="BU113" s="89">
        <f>BU109*BU64/1000</f>
        <v>0</v>
      </c>
      <c r="BV113" s="499">
        <f>BW113+BX113</f>
        <v>0</v>
      </c>
      <c r="BW113" s="89">
        <f>BW109*BW64/1000</f>
        <v>0</v>
      </c>
      <c r="BX113" s="89">
        <f>BX109*BX64/1000</f>
        <v>0</v>
      </c>
      <c r="BY113" s="499">
        <f>BZ113+CA113</f>
        <v>0</v>
      </c>
      <c r="BZ113" s="89">
        <f>BZ109*BZ64/1000</f>
        <v>0</v>
      </c>
      <c r="CA113" s="89">
        <f>CA109*CA64/1000</f>
        <v>0</v>
      </c>
      <c r="CB113" s="499">
        <f>CC113+CD113</f>
        <v>0</v>
      </c>
      <c r="CC113" s="89">
        <f>CC109*CC64/1000</f>
        <v>0</v>
      </c>
      <c r="CD113" s="89">
        <f>CD109*CD64/1000</f>
        <v>0</v>
      </c>
      <c r="CE113" s="499">
        <f>CF113+CG113</f>
        <v>0</v>
      </c>
      <c r="CF113" s="89">
        <f>CF109*CF64/1000</f>
        <v>0</v>
      </c>
      <c r="CG113" s="89">
        <f>CG109*CG64/1000</f>
        <v>0</v>
      </c>
      <c r="CH113" s="499">
        <f>CI113+CJ113</f>
        <v>0</v>
      </c>
      <c r="CI113" s="89">
        <f>CI109*CI64/1000</f>
        <v>0</v>
      </c>
      <c r="CJ113" s="89">
        <f>CJ109*CJ64/1000</f>
        <v>0</v>
      </c>
      <c r="CK113" s="499">
        <f>CL113+CM113</f>
        <v>0</v>
      </c>
      <c r="CL113" s="89">
        <f>CL109*CL64/1000</f>
        <v>0</v>
      </c>
      <c r="CM113" s="89">
        <f>CM109*CM64/1000</f>
        <v>0</v>
      </c>
      <c r="CN113" s="499">
        <f>CO113+CP113</f>
        <v>0</v>
      </c>
      <c r="CO113" s="89">
        <f>CO109*CO64/1000</f>
        <v>0</v>
      </c>
      <c r="CP113" s="89">
        <f>CP109*CP64/1000</f>
        <v>0</v>
      </c>
      <c r="CQ113" s="499">
        <f>CR113+CS113</f>
        <v>0</v>
      </c>
      <c r="CR113" s="89">
        <f>CR109*CR64/1000</f>
        <v>0</v>
      </c>
      <c r="CS113" s="89">
        <f>CS109*CS64/1000</f>
        <v>0</v>
      </c>
      <c r="CT113" s="499">
        <f>CU113+CV113</f>
        <v>0</v>
      </c>
      <c r="CU113" s="498">
        <f>CU109*CU64/1000</f>
        <v>0</v>
      </c>
      <c r="CV113" s="498">
        <f>CV109*CV64/1000</f>
        <v>0</v>
      </c>
      <c r="CW113" s="499">
        <f>CX113+CY113</f>
        <v>0</v>
      </c>
      <c r="CX113" s="89">
        <f>CX109*CX64/1000</f>
        <v>0</v>
      </c>
      <c r="CY113" s="89">
        <f>CY109*CY64/1000</f>
        <v>0</v>
      </c>
      <c r="CZ113" s="499">
        <f>DA113+DB113</f>
        <v>0</v>
      </c>
      <c r="DA113" s="89">
        <f>DA109*DA64/1000</f>
        <v>0</v>
      </c>
      <c r="DB113" s="89">
        <f>DB109*DB64/1000</f>
        <v>0</v>
      </c>
      <c r="DC113" s="499">
        <f>DD113+DE113</f>
        <v>0</v>
      </c>
      <c r="DD113" s="89">
        <f>DD109*DD64/1000</f>
        <v>0</v>
      </c>
      <c r="DE113" s="89">
        <f>DE109*DE64/1000</f>
        <v>0</v>
      </c>
      <c r="DF113" s="499">
        <f>DG113+DH113</f>
        <v>0</v>
      </c>
      <c r="DG113" s="89">
        <f>DG109*DG64/1000</f>
        <v>0</v>
      </c>
      <c r="DH113" s="89">
        <f>DH109*DH64/1000</f>
        <v>0</v>
      </c>
      <c r="DI113" s="499">
        <f>DJ113+DK113</f>
        <v>0</v>
      </c>
      <c r="DJ113" s="89">
        <f>DJ109*DJ64/1000</f>
        <v>0</v>
      </c>
      <c r="DK113" s="89">
        <f>DK109*DK64/1000</f>
        <v>0</v>
      </c>
      <c r="DL113" s="499">
        <f>DM113+DN113</f>
        <v>0</v>
      </c>
      <c r="DM113" s="89">
        <f>DM109*DM64/1000</f>
        <v>0</v>
      </c>
      <c r="DN113" s="89">
        <f>DN109*DN64/1000</f>
        <v>0</v>
      </c>
      <c r="DO113" s="499">
        <f>DP113+DQ113</f>
        <v>0</v>
      </c>
      <c r="DP113" s="89">
        <f>DP109*DP64/1000</f>
        <v>0</v>
      </c>
      <c r="DQ113" s="89">
        <f>DQ109*DQ64/1000</f>
        <v>0</v>
      </c>
      <c r="DR113" s="499">
        <f>DS113+DT113</f>
        <v>0</v>
      </c>
      <c r="DS113" s="89">
        <f>DS109*DS64/1000</f>
        <v>0</v>
      </c>
      <c r="DT113" s="89">
        <f>DT109*DT64/1000</f>
        <v>0</v>
      </c>
      <c r="DU113" s="499">
        <f>DV113+DW113</f>
        <v>0</v>
      </c>
      <c r="DV113" s="89">
        <f>DV109*DV64/1000</f>
        <v>0</v>
      </c>
      <c r="DW113" s="89">
        <f>DW109*DW64/1000</f>
        <v>0</v>
      </c>
      <c r="DX113" s="499">
        <f>DY113+DZ113</f>
        <v>0</v>
      </c>
      <c r="DY113" s="89">
        <f>DY109*DY64/1000</f>
        <v>0</v>
      </c>
      <c r="DZ113" s="89">
        <f>DZ109*DZ64/1000</f>
        <v>0</v>
      </c>
      <c r="EA113" s="499">
        <f>EB113+EC113</f>
        <v>0</v>
      </c>
      <c r="EB113" s="89">
        <f>EB109*EB64/1000</f>
        <v>0</v>
      </c>
      <c r="EC113" s="89">
        <f>EC109*EC64/1000</f>
        <v>0</v>
      </c>
      <c r="ED113" s="499">
        <f>EE113+EF113</f>
        <v>0</v>
      </c>
      <c r="EE113" s="89">
        <f>EE109*EE64/1000</f>
        <v>0</v>
      </c>
      <c r="EF113" s="89">
        <f>EF109*EF64/1000</f>
        <v>0</v>
      </c>
      <c r="EG113" s="499">
        <f>EH113+EI113</f>
        <v>0</v>
      </c>
      <c r="EH113" s="89">
        <f>EH109*EH64/1000</f>
        <v>0</v>
      </c>
      <c r="EI113" s="89">
        <f>EI109*EI64/1000</f>
        <v>0</v>
      </c>
      <c r="EJ113" s="499">
        <f>EK113+EL113</f>
        <v>0</v>
      </c>
      <c r="EK113" s="89">
        <f>EK109*EK64/1000</f>
        <v>0</v>
      </c>
      <c r="EL113" s="89">
        <f>EL109*EL64/1000</f>
        <v>0</v>
      </c>
      <c r="EM113" s="499">
        <f>EN113+EO113</f>
        <v>0</v>
      </c>
      <c r="EN113" s="89">
        <f>EN109*EN64/1000</f>
        <v>0</v>
      </c>
      <c r="EO113" s="89">
        <f>EO109*EO64/1000</f>
        <v>0</v>
      </c>
      <c r="EP113" s="499">
        <f>EQ113+ER113</f>
        <v>0</v>
      </c>
      <c r="EQ113" s="89">
        <f>EQ109*EQ64/1000</f>
        <v>0</v>
      </c>
      <c r="ER113" s="89">
        <f>ER109*ER64/1000</f>
        <v>0</v>
      </c>
      <c r="ES113" s="499">
        <f>ET113+EU113</f>
        <v>0</v>
      </c>
      <c r="ET113" s="89">
        <f>ET109*ET64/1000</f>
        <v>0</v>
      </c>
      <c r="EU113" s="89">
        <f>EU109*EU64/1000</f>
        <v>0</v>
      </c>
      <c r="EV113" s="499">
        <f>EW113+EX113</f>
        <v>0</v>
      </c>
      <c r="EW113" s="89">
        <f>EW109*EW64/1000</f>
        <v>0</v>
      </c>
      <c r="EX113" s="89">
        <f>EX109*EX64/1000</f>
        <v>0</v>
      </c>
      <c r="EY113" s="499">
        <f>EZ113+FA113</f>
        <v>0</v>
      </c>
      <c r="EZ113" s="89">
        <f>EZ109*EZ64/1000</f>
        <v>0</v>
      </c>
      <c r="FA113" s="89">
        <f>FA109*FA64/1000</f>
        <v>0</v>
      </c>
      <c r="FB113" s="83"/>
      <c r="FE113" s="489" t="s">
        <v>970</v>
      </c>
      <c r="FF113" s="648" t="s">
        <v>890</v>
      </c>
      <c r="FG113" s="648" cm="1" t="str">
        <f t="array" ref="FG113:FG113">AE113</f>
        <v>0</v>
      </c>
      <c r="FH113" s="648" cm="1" t="str">
        <f t="array" ref="FH113:FH113">AF113</f>
        <v>0</v>
      </c>
      <c r="FK113" s="1157" cm="1" t="str">
        <f t="array" ref="FK113:FK113">OFFSET(FJ113,-1,1)</f>
        <v>0</v>
      </c>
      <c r="FL113" s="1159"/>
      <c r="FM113" s="1159"/>
      <c r="FN113" s="1159"/>
      <c r="FO113" s="1159"/>
      <c r="FP113" s="1159"/>
      <c r="FQ113" s="1159"/>
      <c r="FR113" s="1159"/>
      <c r="FS113" s="1159"/>
      <c r="FT113" s="1159" t="s">
        <v>963</v>
      </c>
      <c r="FU113" s="1159"/>
      <c r="FV113" s="1159" t="s">
        <v>449</v>
      </c>
      <c r="FW113" s="1078" t="str">
        <f>$AE113&amp;"|"&amp;$AF113</f>
        <v>|</v>
      </c>
      <c r="FX113" s="1159" t="s">
        <v>303</v>
      </c>
      <c r="FY113" s="1159" t="s">
        <v>919</v>
      </c>
      <c r="FZ113" s="1159" t="s">
        <v>920</v>
      </c>
    </row>
    <row customHeight="1" ht="15" hidden="1">
      <c r="E114" s="965">
        <v>0</v>
      </c>
      <c r="F114" s="175" cm="1" t="str">
        <f t="array" ref="F114:F114">OFFSET(G114,-1,-1)</f>
        <v>0</v>
      </c>
      <c r="L114" s="175" cm="1" t="str">
        <f t="array" ref="L114:L114">OFFSET(M114,-1,-1)</f>
        <v>false</v>
      </c>
      <c r="S114" s="175" cm="1" t="str">
        <f t="array" ref="S114:S114">OFFSET(T114,-1,-1)</f>
        <v>false</v>
      </c>
      <c r="U114" s="753">
        <f>AND(S114,IF(ISBLANK(T114),TRUE,T114))</f>
        <v>0</v>
      </c>
      <c r="X114" s="980" t="str">
        <f>"{                  
         funcDyn: 'msg1',
         blok: 'blok_2',
         wsCross: 'Топливо 4.4',
         linkFormula: 'AE-AE#AF-AF',
         levelDyn: "&amp;Y28&amp;"
}"</f>
        <v>{                  
         funcDyn: 'msg1',
         blok: 'blok_2',
         wsCross: 'Топливо 4.4',
         linkFormula: 'AE-AE#AF-AF',
         levelDyn: 0
}</v>
      </c>
      <c r="AB114" s="1607"/>
      <c r="AD114" s="517"/>
      <c r="AE114" s="518" t="s">
        <v>191</v>
      </c>
      <c r="AF114" s="519"/>
      <c r="AG114" s="470"/>
      <c r="AH114" s="524"/>
      <c r="AI114" s="525"/>
      <c r="AJ114" s="525"/>
      <c r="AK114" s="525"/>
      <c r="AL114" s="525"/>
      <c r="AM114" s="525"/>
      <c r="AN114" s="525"/>
      <c r="AO114" s="525"/>
      <c r="AP114" s="525"/>
      <c r="AQ114" s="525"/>
      <c r="AR114" s="525"/>
      <c r="AS114" s="525"/>
      <c r="AT114" s="525"/>
      <c r="AU114" s="525"/>
      <c r="AV114" s="525"/>
      <c r="AW114" s="525"/>
      <c r="AX114" s="525"/>
      <c r="AY114" s="525"/>
      <c r="AZ114" s="525"/>
      <c r="BA114" s="525"/>
      <c r="BB114" s="525"/>
      <c r="BC114" s="525"/>
      <c r="BD114" s="525"/>
      <c r="BE114" s="525"/>
      <c r="BF114" s="525"/>
      <c r="BG114" s="525"/>
      <c r="BH114" s="525"/>
      <c r="BI114" s="525"/>
      <c r="BJ114" s="525"/>
      <c r="BK114" s="525"/>
      <c r="BL114" s="525"/>
      <c r="BM114" s="525"/>
      <c r="BN114" s="525"/>
      <c r="BO114" s="525"/>
      <c r="BP114" s="525"/>
      <c r="BQ114" s="525"/>
      <c r="BR114" s="525"/>
      <c r="BS114" s="525"/>
      <c r="BT114" s="525"/>
      <c r="BU114" s="525"/>
      <c r="BV114" s="525"/>
      <c r="BW114" s="525"/>
      <c r="BX114" s="525"/>
      <c r="BY114" s="525"/>
      <c r="BZ114" s="525"/>
      <c r="CA114" s="525"/>
      <c r="CB114" s="525"/>
      <c r="CC114" s="525"/>
      <c r="CD114" s="525"/>
      <c r="CE114" s="525"/>
      <c r="CF114" s="525"/>
      <c r="CG114" s="525"/>
      <c r="CH114" s="525"/>
      <c r="CI114" s="525"/>
      <c r="CJ114" s="525"/>
      <c r="CK114" s="525"/>
      <c r="CL114" s="525"/>
      <c r="CM114" s="525"/>
      <c r="CN114" s="525"/>
      <c r="CO114" s="525"/>
      <c r="CP114" s="525"/>
      <c r="CQ114" s="525"/>
      <c r="CR114" s="525"/>
      <c r="CS114" s="525"/>
      <c r="CT114" s="525"/>
      <c r="CU114" s="525"/>
      <c r="CV114" s="525"/>
      <c r="CW114" s="525"/>
      <c r="CX114" s="525"/>
      <c r="CY114" s="525"/>
      <c r="CZ114" s="525"/>
      <c r="DA114" s="525"/>
      <c r="DB114" s="525"/>
      <c r="DC114" s="525"/>
      <c r="DD114" s="525"/>
      <c r="DE114" s="525"/>
      <c r="DF114" s="525"/>
      <c r="DG114" s="525"/>
      <c r="DH114" s="525"/>
      <c r="DI114" s="525"/>
      <c r="DJ114" s="525"/>
      <c r="DK114" s="525"/>
      <c r="DL114" s="525"/>
      <c r="DM114" s="525"/>
      <c r="DN114" s="525"/>
      <c r="DO114" s="525"/>
      <c r="DP114" s="525"/>
      <c r="DQ114" s="525"/>
      <c r="DR114" s="525"/>
      <c r="DS114" s="525"/>
      <c r="DT114" s="525"/>
      <c r="DU114" s="525"/>
      <c r="DV114" s="525"/>
      <c r="DW114" s="525"/>
      <c r="DX114" s="525"/>
      <c r="DY114" s="525"/>
      <c r="DZ114" s="525"/>
      <c r="EA114" s="525"/>
      <c r="EB114" s="525"/>
      <c r="EC114" s="525"/>
      <c r="ED114" s="525"/>
      <c r="EE114" s="525"/>
      <c r="EF114" s="525"/>
      <c r="EG114" s="525"/>
      <c r="EH114" s="525"/>
      <c r="EI114" s="525"/>
      <c r="EJ114" s="525"/>
      <c r="EK114" s="525"/>
      <c r="EL114" s="525"/>
      <c r="EM114" s="525"/>
      <c r="EN114" s="525"/>
      <c r="EO114" s="525"/>
      <c r="EP114" s="525"/>
      <c r="EQ114" s="525"/>
      <c r="ER114" s="525"/>
      <c r="ES114" s="525"/>
      <c r="ET114" s="525"/>
      <c r="EU114" s="525"/>
      <c r="EV114" s="525"/>
      <c r="EW114" s="525"/>
      <c r="EX114" s="525"/>
      <c r="EY114" s="525"/>
      <c r="EZ114" s="525"/>
      <c r="FA114" s="525"/>
      <c r="FB114" s="93"/>
      <c r="FE114" s="489" t="str">
        <f>IF(AND(ISNUMBER(VALUE(TRIM(SUBSTITUTE(AD114,".","")))),TRIM(SUBSTITUTE(AD114,".",""))&lt;&gt;""),"P"&amp;SUBSTITUTE(AD114,".",""),"")</f>
        <v/>
      </c>
      <c r="FK114" s="1157" cm="1" t="str">
        <f t="array" ref="FK114:FK114">OFFSET(FJ114,-1,1)</f>
        <v>0</v>
      </c>
      <c r="FL114" s="1159"/>
      <c r="FM114" s="1159"/>
      <c r="FN114" s="1159"/>
      <c r="FO114" s="1159"/>
      <c r="FP114" s="1159"/>
      <c r="FQ114" s="1159"/>
      <c r="FR114" s="1159"/>
      <c r="FS114" s="1159"/>
      <c r="FT114" s="1159"/>
      <c r="FU114" s="1159"/>
      <c r="FV114" s="1159"/>
      <c r="FW114" s="1159"/>
      <c r="FX114" s="1159"/>
      <c r="FY114" s="1159"/>
      <c r="FZ114" s="1159"/>
    </row>
    <row customHeight="1" ht="29.25" hidden="1">
      <c r="E115" s="180">
        <v>30</v>
      </c>
      <c r="F115" s="175" cm="1" t="str">
        <f t="array" ref="F115:F115">OFFSET(G115,-1,-1)</f>
        <v>0</v>
      </c>
      <c r="L115" s="175" cm="1" t="str">
        <f t="array" ref="L115:L115">OFFSET(M115,-1,-1)</f>
        <v>false</v>
      </c>
      <c r="R115" s="175" t="s">
        <v>804</v>
      </c>
      <c r="S115" s="175" cm="1" t="str">
        <f t="array" ref="S115:S115">OFFSET(T115,-1,-1)</f>
        <v>false</v>
      </c>
      <c r="T115" s="175" cm="1" t="str">
        <f t="array" ref="T115:T115">L115</f>
        <v>false</v>
      </c>
      <c r="U115" s="753">
        <f>AND(S115,IF(ISBLANK(T115),TRUE,T115))</f>
        <v>0</v>
      </c>
      <c r="AB115" s="1607"/>
      <c r="AD115" s="327">
        <v>37</v>
      </c>
      <c r="AE115" s="1623" t="s">
        <v>972</v>
      </c>
      <c r="AF115" s="437"/>
      <c r="AG115" s="470" t="s">
        <v>917</v>
      </c>
      <c r="AH115" s="500">
        <f>SUM(AH116:AH117)</f>
        <v>0</v>
      </c>
      <c r="AI115" s="500">
        <f>SUM(AI116:AI117)</f>
        <v>0</v>
      </c>
      <c r="AJ115" s="500">
        <f>SUM(AJ116:AJ117)</f>
        <v>0</v>
      </c>
      <c r="AK115" s="500">
        <f>SUM(AK116:AK117)</f>
        <v>0</v>
      </c>
      <c r="AL115" s="500">
        <f>SUM(AL116:AL117)</f>
        <v>0</v>
      </c>
      <c r="AM115" s="500">
        <f>SUM(AM116:AM117)</f>
        <v>0</v>
      </c>
      <c r="AN115" s="500">
        <f>SUM(AN116:AN117)</f>
        <v>0</v>
      </c>
      <c r="AO115" s="500">
        <f>SUM(AO116:AO117)</f>
        <v>0</v>
      </c>
      <c r="AP115" s="500">
        <f>SUM(AP116:AP117)</f>
        <v>0</v>
      </c>
      <c r="AQ115" s="500">
        <f>SUM(AQ116:AQ117)</f>
        <v>0</v>
      </c>
      <c r="AR115" s="500">
        <f>SUM(AR116:AR117)</f>
        <v>0</v>
      </c>
      <c r="AS115" s="500">
        <f>SUM(AS116:AS117)</f>
        <v>0</v>
      </c>
      <c r="AT115" s="500">
        <f>SUM(AT116:AT117)</f>
        <v>0</v>
      </c>
      <c r="AU115" s="500">
        <f>SUM(AU116:AU117)</f>
        <v>0</v>
      </c>
      <c r="AV115" s="500">
        <f>SUM(AV116:AV117)</f>
        <v>0</v>
      </c>
      <c r="AW115" s="500">
        <f>SUM(AW116:AW117)</f>
        <v>0</v>
      </c>
      <c r="AX115" s="500">
        <f>SUM(AX116:AX117)</f>
        <v>0</v>
      </c>
      <c r="AY115" s="500">
        <f>SUM(AY116:AY117)</f>
        <v>0</v>
      </c>
      <c r="AZ115" s="500">
        <f>SUM(AZ116:AZ117)</f>
        <v>0</v>
      </c>
      <c r="BA115" s="500">
        <f>SUM(BA116:BA117)</f>
        <v>0</v>
      </c>
      <c r="BB115" s="500">
        <f>SUM(BB116:BB117)</f>
        <v>0</v>
      </c>
      <c r="BC115" s="500">
        <f>SUM(BC116:BC117)</f>
        <v>0</v>
      </c>
      <c r="BD115" s="500">
        <f>SUM(BD116:BD117)</f>
        <v>0</v>
      </c>
      <c r="BE115" s="500">
        <f>SUM(BE116:BE117)</f>
        <v>0</v>
      </c>
      <c r="BF115" s="500">
        <f>SUM(BF116:BF117)</f>
        <v>0</v>
      </c>
      <c r="BG115" s="500">
        <f>SUM(BG116:BG117)</f>
        <v>0</v>
      </c>
      <c r="BH115" s="500">
        <f>SUM(BH116:BH117)</f>
        <v>0</v>
      </c>
      <c r="BI115" s="500">
        <f>SUM(BI116:BI117)</f>
        <v>0</v>
      </c>
      <c r="BJ115" s="500">
        <f>SUM(BJ116:BJ117)</f>
        <v>0</v>
      </c>
      <c r="BK115" s="500">
        <f>SUM(BK116:BK117)</f>
        <v>0</v>
      </c>
      <c r="BL115" s="500">
        <f>SUM(BL116:BL117)</f>
        <v>0</v>
      </c>
      <c r="BM115" s="500">
        <f>SUM(BM116:BM117)</f>
        <v>0</v>
      </c>
      <c r="BN115" s="500">
        <f>SUM(BN116:BN117)</f>
        <v>0</v>
      </c>
      <c r="BO115" s="500">
        <f>SUM(BO116:BO117)</f>
        <v>0</v>
      </c>
      <c r="BP115" s="500">
        <f>SUM(BP116:BP117)</f>
        <v>0</v>
      </c>
      <c r="BQ115" s="500">
        <f>SUM(BQ116:BQ117)</f>
        <v>0</v>
      </c>
      <c r="BR115" s="500">
        <f>SUM(BR116:BR117)</f>
        <v>0</v>
      </c>
      <c r="BS115" s="500">
        <f>SUM(BS116:BS117)</f>
        <v>0</v>
      </c>
      <c r="BT115" s="500">
        <f>SUM(BT116:BT117)</f>
        <v>0</v>
      </c>
      <c r="BU115" s="500">
        <f>SUM(BU116:BU117)</f>
        <v>0</v>
      </c>
      <c r="BV115" s="500">
        <f>SUM(BV116:BV117)</f>
        <v>0</v>
      </c>
      <c r="BW115" s="500">
        <f>SUM(BW116:BW117)</f>
        <v>0</v>
      </c>
      <c r="BX115" s="500">
        <f>SUM(BX116:BX117)</f>
        <v>0</v>
      </c>
      <c r="BY115" s="500">
        <f>SUM(BY116:BY117)</f>
        <v>0</v>
      </c>
      <c r="BZ115" s="500">
        <f>SUM(BZ116:BZ117)</f>
        <v>0</v>
      </c>
      <c r="CA115" s="500">
        <f>SUM(CA116:CA117)</f>
        <v>0</v>
      </c>
      <c r="CB115" s="500">
        <f>SUM(CB116:CB117)</f>
        <v>0</v>
      </c>
      <c r="CC115" s="500">
        <f>SUM(CC116:CC117)</f>
        <v>0</v>
      </c>
      <c r="CD115" s="500">
        <f>SUM(CD116:CD117)</f>
        <v>0</v>
      </c>
      <c r="CE115" s="500">
        <f>SUM(CE116:CE117)</f>
        <v>0</v>
      </c>
      <c r="CF115" s="500">
        <f>SUM(CF116:CF117)</f>
        <v>0</v>
      </c>
      <c r="CG115" s="500">
        <f>SUM(CG116:CG117)</f>
        <v>0</v>
      </c>
      <c r="CH115" s="500">
        <f>SUM(CH116:CH117)</f>
        <v>0</v>
      </c>
      <c r="CI115" s="500">
        <f>SUM(CI116:CI117)</f>
        <v>0</v>
      </c>
      <c r="CJ115" s="500">
        <f>SUM(CJ116:CJ117)</f>
        <v>0</v>
      </c>
      <c r="CK115" s="500">
        <f>SUM(CK116:CK117)</f>
        <v>0</v>
      </c>
      <c r="CL115" s="500">
        <f>SUM(CL116:CL117)</f>
        <v>0</v>
      </c>
      <c r="CM115" s="500">
        <f>SUM(CM116:CM117)</f>
        <v>0</v>
      </c>
      <c r="CN115" s="500">
        <f>SUM(CN116:CN117)</f>
        <v>0</v>
      </c>
      <c r="CO115" s="500">
        <f>SUM(CO116:CO117)</f>
        <v>0</v>
      </c>
      <c r="CP115" s="500">
        <f>SUM(CP116:CP117)</f>
        <v>0</v>
      </c>
      <c r="CQ115" s="500">
        <f>SUM(CQ116:CQ117)</f>
        <v>0</v>
      </c>
      <c r="CR115" s="500">
        <f>SUM(CR116:CR117)</f>
        <v>0</v>
      </c>
      <c r="CS115" s="500">
        <f>SUM(CS116:CS117)</f>
        <v>0</v>
      </c>
      <c r="CT115" s="500">
        <f>SUM(CT116:CT117)</f>
        <v>0</v>
      </c>
      <c r="CU115" s="500">
        <f>SUM(CU116:CU117)</f>
        <v>0</v>
      </c>
      <c r="CV115" s="500">
        <f>SUM(CV116:CV117)</f>
        <v>0</v>
      </c>
      <c r="CW115" s="500">
        <f>SUM(CW116:CW117)</f>
        <v>0</v>
      </c>
      <c r="CX115" s="500">
        <f>SUM(CX116:CX117)</f>
        <v>0</v>
      </c>
      <c r="CY115" s="500">
        <f>SUM(CY116:CY117)</f>
        <v>0</v>
      </c>
      <c r="CZ115" s="500">
        <f>SUM(CZ116:CZ117)</f>
        <v>0</v>
      </c>
      <c r="DA115" s="500">
        <f>SUM(DA116:DA117)</f>
        <v>0</v>
      </c>
      <c r="DB115" s="500">
        <f>SUM(DB116:DB117)</f>
        <v>0</v>
      </c>
      <c r="DC115" s="500">
        <f>SUM(DC116:DC117)</f>
        <v>0</v>
      </c>
      <c r="DD115" s="500">
        <f>SUM(DD116:DD117)</f>
        <v>0</v>
      </c>
      <c r="DE115" s="500">
        <f>SUM(DE116:DE117)</f>
        <v>0</v>
      </c>
      <c r="DF115" s="500">
        <f>SUM(DF116:DF117)</f>
        <v>0</v>
      </c>
      <c r="DG115" s="500">
        <f>SUM(DG116:DG117)</f>
        <v>0</v>
      </c>
      <c r="DH115" s="500">
        <f>SUM(DH116:DH117)</f>
        <v>0</v>
      </c>
      <c r="DI115" s="500">
        <f>SUM(DI116:DI117)</f>
        <v>0</v>
      </c>
      <c r="DJ115" s="500">
        <f>SUM(DJ116:DJ117)</f>
        <v>0</v>
      </c>
      <c r="DK115" s="500">
        <f>SUM(DK116:DK117)</f>
        <v>0</v>
      </c>
      <c r="DL115" s="500">
        <f>SUM(DL116:DL117)</f>
        <v>0</v>
      </c>
      <c r="DM115" s="500">
        <f>SUM(DM116:DM117)</f>
        <v>0</v>
      </c>
      <c r="DN115" s="500">
        <f>SUM(DN116:DN117)</f>
        <v>0</v>
      </c>
      <c r="DO115" s="500">
        <f>SUM(DO116:DO117)</f>
        <v>0</v>
      </c>
      <c r="DP115" s="500">
        <f>SUM(DP116:DP117)</f>
        <v>0</v>
      </c>
      <c r="DQ115" s="500">
        <f>SUM(DQ116:DQ117)</f>
        <v>0</v>
      </c>
      <c r="DR115" s="500">
        <f>SUM(DR116:DR117)</f>
        <v>0</v>
      </c>
      <c r="DS115" s="500">
        <f>SUM(DS116:DS117)</f>
        <v>0</v>
      </c>
      <c r="DT115" s="500">
        <f>SUM(DT116:DT117)</f>
        <v>0</v>
      </c>
      <c r="DU115" s="500">
        <f>SUM(DU116:DU117)</f>
        <v>0</v>
      </c>
      <c r="DV115" s="500">
        <f>SUM(DV116:DV117)</f>
        <v>0</v>
      </c>
      <c r="DW115" s="500">
        <f>SUM(DW116:DW117)</f>
        <v>0</v>
      </c>
      <c r="DX115" s="500">
        <f>SUM(DX116:DX117)</f>
        <v>0</v>
      </c>
      <c r="DY115" s="500">
        <f>SUM(DY116:DY117)</f>
        <v>0</v>
      </c>
      <c r="DZ115" s="500">
        <f>SUM(DZ116:DZ117)</f>
        <v>0</v>
      </c>
      <c r="EA115" s="500">
        <f>SUM(EA116:EA117)</f>
        <v>0</v>
      </c>
      <c r="EB115" s="500">
        <f>SUM(EB116:EB117)</f>
        <v>0</v>
      </c>
      <c r="EC115" s="500">
        <f>SUM(EC116:EC117)</f>
        <v>0</v>
      </c>
      <c r="ED115" s="500">
        <f>SUM(ED116:ED117)</f>
        <v>0</v>
      </c>
      <c r="EE115" s="500">
        <f>SUM(EE116:EE117)</f>
        <v>0</v>
      </c>
      <c r="EF115" s="500">
        <f>SUM(EF116:EF117)</f>
        <v>0</v>
      </c>
      <c r="EG115" s="500">
        <f>SUM(EG116:EG117)</f>
        <v>0</v>
      </c>
      <c r="EH115" s="500">
        <f>SUM(EH116:EH117)</f>
        <v>0</v>
      </c>
      <c r="EI115" s="500">
        <f>SUM(EI116:EI117)</f>
        <v>0</v>
      </c>
      <c r="EJ115" s="500">
        <f>SUM(EJ116:EJ117)</f>
        <v>0</v>
      </c>
      <c r="EK115" s="500">
        <f>SUM(EK116:EK117)</f>
        <v>0</v>
      </c>
      <c r="EL115" s="500">
        <f>SUM(EL116:EL117)</f>
        <v>0</v>
      </c>
      <c r="EM115" s="500">
        <f>SUM(EM116:EM117)</f>
        <v>0</v>
      </c>
      <c r="EN115" s="500">
        <f>SUM(EN116:EN117)</f>
        <v>0</v>
      </c>
      <c r="EO115" s="500">
        <f>SUM(EO116:EO117)</f>
        <v>0</v>
      </c>
      <c r="EP115" s="500">
        <f>SUM(EP116:EP117)</f>
        <v>0</v>
      </c>
      <c r="EQ115" s="500">
        <f>SUM(EQ116:EQ117)</f>
        <v>0</v>
      </c>
      <c r="ER115" s="500">
        <f>SUM(ER116:ER117)</f>
        <v>0</v>
      </c>
      <c r="ES115" s="500">
        <f>SUM(ES116:ES117)</f>
        <v>0</v>
      </c>
      <c r="ET115" s="500">
        <f>SUM(ET116:ET117)</f>
        <v>0</v>
      </c>
      <c r="EU115" s="500">
        <f>SUM(EU116:EU117)</f>
        <v>0</v>
      </c>
      <c r="EV115" s="500">
        <f>SUM(EV116:EV117)</f>
        <v>0</v>
      </c>
      <c r="EW115" s="500">
        <f>SUM(EW116:EW117)</f>
        <v>0</v>
      </c>
      <c r="EX115" s="500">
        <f>SUM(EX116:EX117)</f>
        <v>0</v>
      </c>
      <c r="EY115" s="500">
        <f>SUM(EY116:EY117)</f>
        <v>0</v>
      </c>
      <c r="EZ115" s="500">
        <f>SUM(EZ116:EZ117)</f>
        <v>0</v>
      </c>
      <c r="FA115" s="500">
        <f>SUM(FA116:FA117)</f>
        <v>0</v>
      </c>
      <c r="FB115" s="83"/>
      <c r="FE115" s="489" t="s">
        <v>973</v>
      </c>
      <c r="FK115" s="1157" cm="1" t="str">
        <f t="array" ref="FK115:FK115">OFFSET(FJ115,-1,1)</f>
        <v>0</v>
      </c>
      <c r="FL115" s="1078"/>
      <c r="FM115" s="1078" t="s">
        <v>824</v>
      </c>
      <c r="FN115" s="1159"/>
      <c r="FO115" s="1159"/>
      <c r="FP115" s="1159"/>
      <c r="FQ115" s="1159"/>
      <c r="FR115" s="1078" t="s">
        <v>561</v>
      </c>
      <c r="FS115" s="1159"/>
      <c r="FT115" s="1078" t="s">
        <v>963</v>
      </c>
      <c r="FU115" s="1159"/>
      <c r="FV115" s="1159"/>
      <c r="FW115" s="1159"/>
      <c r="FX115" s="1078" t="s">
        <v>303</v>
      </c>
      <c r="FY115" s="1078" t="s">
        <v>919</v>
      </c>
      <c r="FZ115" s="1078" t="s">
        <v>920</v>
      </c>
    </row>
    <row customHeight="1" ht="16.575" hidden="1">
      <c r="E116" s="180">
        <v>17</v>
      </c>
      <c r="F116" s="175" cm="1" t="str">
        <f t="array" ref="F116:F116">OFFSET(G116,-1,-1)</f>
        <v>0</v>
      </c>
      <c r="L116" s="175" cm="1" t="str">
        <f t="array" ref="L116:L116">OFFSET(M116,-1,-1)</f>
        <v>false</v>
      </c>
      <c r="R116" s="175" t="s">
        <v>804</v>
      </c>
      <c r="S116" s="175" cm="1" t="str">
        <f t="array" ref="S116:S116">OFFSET(T116,-1,-1)</f>
        <v>false</v>
      </c>
      <c r="T116" s="175">
        <f>AND(L116,AD116&lt;&gt;"37.0")</f>
        <v>0</v>
      </c>
      <c r="U116" s="753">
        <f>AND(S116,IF(ISBLANK(T116),TRUE,T116))</f>
        <v>0</v>
      </c>
      <c r="X116" s="175" t="s">
        <v>189</v>
      </c>
      <c r="AB116" s="1607"/>
      <c r="AD116" s="491" t="s">
        <v>974</v>
      </c>
      <c r="AE116" s="514"/>
      <c r="AF116" s="515"/>
      <c r="AG116" s="470" t="s">
        <v>917</v>
      </c>
      <c r="AH116" s="88">
        <f>AH$52*AH113</f>
        <v>0</v>
      </c>
      <c r="AI116" s="89">
        <f>AI$52*AI113</f>
        <v>0</v>
      </c>
      <c r="AJ116" s="89">
        <f>AJ$52*AJ113</f>
        <v>0</v>
      </c>
      <c r="AK116" s="89">
        <f>AK$52*AK113</f>
        <v>0</v>
      </c>
      <c r="AL116" s="499">
        <f>AM116+AN116</f>
        <v>0</v>
      </c>
      <c r="AM116" s="89">
        <f>AM$52*AM113</f>
        <v>0</v>
      </c>
      <c r="AN116" s="89">
        <f>AN$52*AN113</f>
        <v>0</v>
      </c>
      <c r="AO116" s="499">
        <f>AP116+AQ116</f>
        <v>0</v>
      </c>
      <c r="AP116" s="89">
        <f>AP$52*AP113</f>
        <v>0</v>
      </c>
      <c r="AQ116" s="89">
        <f>AQ$52*AQ113</f>
        <v>0</v>
      </c>
      <c r="AR116" s="499">
        <f>AS116+AT116</f>
        <v>0</v>
      </c>
      <c r="AS116" s="89">
        <f>AS$52*AS113</f>
        <v>0</v>
      </c>
      <c r="AT116" s="89">
        <f>AT$52*AT113</f>
        <v>0</v>
      </c>
      <c r="AU116" s="499">
        <f>AV116+AW116</f>
        <v>0</v>
      </c>
      <c r="AV116" s="89">
        <f>AV$52*AV113</f>
        <v>0</v>
      </c>
      <c r="AW116" s="89">
        <f>AW$52*AW113</f>
        <v>0</v>
      </c>
      <c r="AX116" s="499">
        <f>AY116+AZ116</f>
        <v>0</v>
      </c>
      <c r="AY116" s="89">
        <f>AY$52*AY113</f>
        <v>0</v>
      </c>
      <c r="AZ116" s="89">
        <f>AZ$52*AZ113</f>
        <v>0</v>
      </c>
      <c r="BA116" s="499">
        <f>BB116+BC116</f>
        <v>0</v>
      </c>
      <c r="BB116" s="89">
        <f>BB$52*BB113</f>
        <v>0</v>
      </c>
      <c r="BC116" s="89">
        <f>BC$52*BC113</f>
        <v>0</v>
      </c>
      <c r="BD116" s="499">
        <f>BE116+BF116</f>
        <v>0</v>
      </c>
      <c r="BE116" s="89">
        <f>BE$52*BE113</f>
        <v>0</v>
      </c>
      <c r="BF116" s="89">
        <f>BF$52*BF113</f>
        <v>0</v>
      </c>
      <c r="BG116" s="499">
        <f>BH116+BI116</f>
        <v>0</v>
      </c>
      <c r="BH116" s="89">
        <f>BH$52*BH113</f>
        <v>0</v>
      </c>
      <c r="BI116" s="89">
        <f>BI$52*BI113</f>
        <v>0</v>
      </c>
      <c r="BJ116" s="499">
        <f>BK116+BL116</f>
        <v>0</v>
      </c>
      <c r="BK116" s="89">
        <f>BK$52*BK113</f>
        <v>0</v>
      </c>
      <c r="BL116" s="89">
        <f>BL$52*BL113</f>
        <v>0</v>
      </c>
      <c r="BM116" s="499">
        <f>BN116+BO116</f>
        <v>0</v>
      </c>
      <c r="BN116" s="89">
        <f>BN$52*BN113</f>
        <v>0</v>
      </c>
      <c r="BO116" s="89">
        <f>BO$52*BO113</f>
        <v>0</v>
      </c>
      <c r="BP116" s="499">
        <f>BQ116+BR116</f>
        <v>0</v>
      </c>
      <c r="BQ116" s="89">
        <f>BQ$52*BQ113</f>
        <v>0</v>
      </c>
      <c r="BR116" s="89">
        <f>BR$52*BR113</f>
        <v>0</v>
      </c>
      <c r="BS116" s="499">
        <f>BT116+BU116</f>
        <v>0</v>
      </c>
      <c r="BT116" s="89">
        <f>BT$52*BT113</f>
        <v>0</v>
      </c>
      <c r="BU116" s="89">
        <f>BU$52*BU113</f>
        <v>0</v>
      </c>
      <c r="BV116" s="499">
        <f>BW116+BX116</f>
        <v>0</v>
      </c>
      <c r="BW116" s="89">
        <f>BW$52*BW113</f>
        <v>0</v>
      </c>
      <c r="BX116" s="89">
        <f>BX$52*BX113</f>
        <v>0</v>
      </c>
      <c r="BY116" s="499">
        <f>BZ116+CA116</f>
        <v>0</v>
      </c>
      <c r="BZ116" s="89">
        <f>BZ$52*BZ113</f>
        <v>0</v>
      </c>
      <c r="CA116" s="89">
        <f>CA$52*CA113</f>
        <v>0</v>
      </c>
      <c r="CB116" s="499">
        <f>CC116+CD116</f>
        <v>0</v>
      </c>
      <c r="CC116" s="89">
        <f>CC$52*CC113</f>
        <v>0</v>
      </c>
      <c r="CD116" s="89">
        <f>CD$52*CD113</f>
        <v>0</v>
      </c>
      <c r="CE116" s="499">
        <f>CF116+CG116</f>
        <v>0</v>
      </c>
      <c r="CF116" s="89">
        <f>CF$52*CF113</f>
        <v>0</v>
      </c>
      <c r="CG116" s="89">
        <f>CG$52*CG113</f>
        <v>0</v>
      </c>
      <c r="CH116" s="499">
        <f>CI116+CJ116</f>
        <v>0</v>
      </c>
      <c r="CI116" s="89">
        <f>CI$52*CI113</f>
        <v>0</v>
      </c>
      <c r="CJ116" s="89">
        <f>CJ$52*CJ113</f>
        <v>0</v>
      </c>
      <c r="CK116" s="499">
        <f>CL116+CM116</f>
        <v>0</v>
      </c>
      <c r="CL116" s="89">
        <f>CL$52*CL113</f>
        <v>0</v>
      </c>
      <c r="CM116" s="89">
        <f>CM$52*CM113</f>
        <v>0</v>
      </c>
      <c r="CN116" s="499">
        <f>CO116+CP116</f>
        <v>0</v>
      </c>
      <c r="CO116" s="89">
        <f>CO$52*CO113</f>
        <v>0</v>
      </c>
      <c r="CP116" s="89">
        <f>CP$52*CP113</f>
        <v>0</v>
      </c>
      <c r="CQ116" s="499">
        <f>CR116+CS116</f>
        <v>0</v>
      </c>
      <c r="CR116" s="89">
        <f>CR$52*CR113</f>
        <v>0</v>
      </c>
      <c r="CS116" s="89">
        <f>CS$52*CS113</f>
        <v>0</v>
      </c>
      <c r="CT116" s="499">
        <f>CU116+CV116</f>
        <v>0</v>
      </c>
      <c r="CU116" s="498">
        <f>CU$52*CU113</f>
        <v>0</v>
      </c>
      <c r="CV116" s="498">
        <f>CV$52*CV113</f>
        <v>0</v>
      </c>
      <c r="CW116" s="499">
        <f>CX116+CY116</f>
        <v>0</v>
      </c>
      <c r="CX116" s="89">
        <f>CX$52*CX113</f>
        <v>0</v>
      </c>
      <c r="CY116" s="89">
        <f>CY$52*CY113</f>
        <v>0</v>
      </c>
      <c r="CZ116" s="499">
        <f>DA116+DB116</f>
        <v>0</v>
      </c>
      <c r="DA116" s="89">
        <f>DA$52*DA113</f>
        <v>0</v>
      </c>
      <c r="DB116" s="89">
        <f>DB$52*DB113</f>
        <v>0</v>
      </c>
      <c r="DC116" s="499">
        <f>DD116+DE116</f>
        <v>0</v>
      </c>
      <c r="DD116" s="89">
        <f>DD$52*DD113</f>
        <v>0</v>
      </c>
      <c r="DE116" s="89">
        <f>DE$52*DE113</f>
        <v>0</v>
      </c>
      <c r="DF116" s="499">
        <f>DG116+DH116</f>
        <v>0</v>
      </c>
      <c r="DG116" s="89">
        <f>DG$52*DG113</f>
        <v>0</v>
      </c>
      <c r="DH116" s="89">
        <f>DH$52*DH113</f>
        <v>0</v>
      </c>
      <c r="DI116" s="499">
        <f>DJ116+DK116</f>
        <v>0</v>
      </c>
      <c r="DJ116" s="89">
        <f>DJ$52*DJ113</f>
        <v>0</v>
      </c>
      <c r="DK116" s="89">
        <f>DK$52*DK113</f>
        <v>0</v>
      </c>
      <c r="DL116" s="499">
        <f>DM116+DN116</f>
        <v>0</v>
      </c>
      <c r="DM116" s="89">
        <f>DM$52*DM113</f>
        <v>0</v>
      </c>
      <c r="DN116" s="89">
        <f>DN$52*DN113</f>
        <v>0</v>
      </c>
      <c r="DO116" s="499">
        <f>DP116+DQ116</f>
        <v>0</v>
      </c>
      <c r="DP116" s="89">
        <f>DP$52*DP113</f>
        <v>0</v>
      </c>
      <c r="DQ116" s="89">
        <f>DQ$52*DQ113</f>
        <v>0</v>
      </c>
      <c r="DR116" s="499">
        <f>DS116+DT116</f>
        <v>0</v>
      </c>
      <c r="DS116" s="89">
        <f>DS$52*DS113</f>
        <v>0</v>
      </c>
      <c r="DT116" s="89">
        <f>DT$52*DT113</f>
        <v>0</v>
      </c>
      <c r="DU116" s="499">
        <f>DV116+DW116</f>
        <v>0</v>
      </c>
      <c r="DV116" s="89">
        <f>DV$52*DV113</f>
        <v>0</v>
      </c>
      <c r="DW116" s="89">
        <f>DW$52*DW113</f>
        <v>0</v>
      </c>
      <c r="DX116" s="499">
        <f>DY116+DZ116</f>
        <v>0</v>
      </c>
      <c r="DY116" s="89">
        <f>DY$52*DY113</f>
        <v>0</v>
      </c>
      <c r="DZ116" s="89">
        <f>DZ$52*DZ113</f>
        <v>0</v>
      </c>
      <c r="EA116" s="499">
        <f>EB116+EC116</f>
        <v>0</v>
      </c>
      <c r="EB116" s="89">
        <f>EB$52*EB113</f>
        <v>0</v>
      </c>
      <c r="EC116" s="89">
        <f>EC$52*EC113</f>
        <v>0</v>
      </c>
      <c r="ED116" s="499">
        <f>EE116+EF116</f>
        <v>0</v>
      </c>
      <c r="EE116" s="89">
        <f>EE$52*EE113</f>
        <v>0</v>
      </c>
      <c r="EF116" s="89">
        <f>EF$52*EF113</f>
        <v>0</v>
      </c>
      <c r="EG116" s="499">
        <f>EH116+EI116</f>
        <v>0</v>
      </c>
      <c r="EH116" s="89">
        <f>EH$52*EH113</f>
        <v>0</v>
      </c>
      <c r="EI116" s="89">
        <f>EI$52*EI113</f>
        <v>0</v>
      </c>
      <c r="EJ116" s="499">
        <f>EK116+EL116</f>
        <v>0</v>
      </c>
      <c r="EK116" s="89">
        <f>EK$52*EK113</f>
        <v>0</v>
      </c>
      <c r="EL116" s="89">
        <f>EL$52*EL113</f>
        <v>0</v>
      </c>
      <c r="EM116" s="499">
        <f>EN116+EO116</f>
        <v>0</v>
      </c>
      <c r="EN116" s="89">
        <f>EN$52*EN113</f>
        <v>0</v>
      </c>
      <c r="EO116" s="89">
        <f>EO$52*EO113</f>
        <v>0</v>
      </c>
      <c r="EP116" s="499">
        <f>EQ116+ER116</f>
        <v>0</v>
      </c>
      <c r="EQ116" s="89">
        <f>EQ$52*EQ113</f>
        <v>0</v>
      </c>
      <c r="ER116" s="89">
        <f>ER$52*ER113</f>
        <v>0</v>
      </c>
      <c r="ES116" s="499">
        <f>ET116+EU116</f>
        <v>0</v>
      </c>
      <c r="ET116" s="89">
        <f>ET$52*ET113</f>
        <v>0</v>
      </c>
      <c r="EU116" s="89">
        <f>EU$52*EU113</f>
        <v>0</v>
      </c>
      <c r="EV116" s="499">
        <f>EW116+EX116</f>
        <v>0</v>
      </c>
      <c r="EW116" s="89">
        <f>EW$52*EW113</f>
        <v>0</v>
      </c>
      <c r="EX116" s="89">
        <f>EX$52*EX113</f>
        <v>0</v>
      </c>
      <c r="EY116" s="499">
        <f>EZ116+FA116</f>
        <v>0</v>
      </c>
      <c r="EZ116" s="89">
        <f>EZ$52*EZ113</f>
        <v>0</v>
      </c>
      <c r="FA116" s="89">
        <f>FA$52*FA113</f>
        <v>0</v>
      </c>
      <c r="FB116" s="83"/>
      <c r="FE116" s="489" t="s">
        <v>973</v>
      </c>
      <c r="FF116" s="648" t="s">
        <v>890</v>
      </c>
      <c r="FG116" s="648" cm="1" t="str">
        <f t="array" ref="FG116:FG116">AE116</f>
        <v>0</v>
      </c>
      <c r="FH116" s="648" cm="1" t="str">
        <f t="array" ref="FH116:FH116">AF116</f>
        <v>0</v>
      </c>
      <c r="FK116" s="1157" cm="1" t="str">
        <f t="array" ref="FK116:FK116">OFFSET(FJ116,-1,1)</f>
        <v>0</v>
      </c>
      <c r="FL116" s="1159"/>
      <c r="FM116" s="1159" t="s">
        <v>824</v>
      </c>
      <c r="FN116" s="1159"/>
      <c r="FO116" s="1159"/>
      <c r="FP116" s="1159"/>
      <c r="FQ116" s="1159"/>
      <c r="FR116" s="1159" t="s">
        <v>561</v>
      </c>
      <c r="FS116" s="1159"/>
      <c r="FT116" s="1159" t="s">
        <v>963</v>
      </c>
      <c r="FU116" s="1159"/>
      <c r="FV116" s="1159"/>
      <c r="FW116" s="1078" t="str">
        <f>$AE116&amp;"|"&amp;$AF116</f>
        <v>|</v>
      </c>
      <c r="FX116" s="1159" t="s">
        <v>303</v>
      </c>
      <c r="FY116" s="1159" t="s">
        <v>919</v>
      </c>
      <c r="FZ116" s="1159" t="s">
        <v>920</v>
      </c>
    </row>
    <row customHeight="1" ht="15" hidden="1">
      <c r="E117" s="965">
        <v>0</v>
      </c>
      <c r="F117" s="175" cm="1" t="str">
        <f t="array" ref="F117:F117">OFFSET(G117,-1,-1)</f>
        <v>0</v>
      </c>
      <c r="L117" s="175" cm="1" t="str">
        <f t="array" ref="L117:L117">OFFSET(M117,-1,-1)</f>
        <v>false</v>
      </c>
      <c r="S117" s="175" cm="1" t="str">
        <f t="array" ref="S117:S117">OFFSET(T117,-1,-1)</f>
        <v>false</v>
      </c>
      <c r="U117" s="753">
        <f>AND(S117,IF(ISBLANK(T117),TRUE,T117))</f>
        <v>0</v>
      </c>
      <c r="X117" s="980" t="str">
        <f>"{                  
         funcDyn: 'msg1',
         blok: 'blok_2',
         wsCross: 'Топливо 4.4',
         linkFormula: 'AE-AE#AF-AF',
         levelDyn: "&amp;Y28&amp;"
}"</f>
        <v>{                  
         funcDyn: 'msg1',
         blok: 'blok_2',
         wsCross: 'Топливо 4.4',
         linkFormula: 'AE-AE#AF-AF',
         levelDyn: 0
}</v>
      </c>
      <c r="AB117" s="1608"/>
      <c r="AD117" s="517"/>
      <c r="AE117" s="518" t="s">
        <v>191</v>
      </c>
      <c r="AF117" s="519"/>
      <c r="AG117" s="470"/>
      <c r="AH117" s="524"/>
      <c r="AI117" s="525"/>
      <c r="AJ117" s="525"/>
      <c r="AK117" s="525"/>
      <c r="AL117" s="525"/>
      <c r="AM117" s="525"/>
      <c r="AN117" s="525"/>
      <c r="AO117" s="525"/>
      <c r="AP117" s="525"/>
      <c r="AQ117" s="525"/>
      <c r="AR117" s="525"/>
      <c r="AS117" s="525"/>
      <c r="AT117" s="525"/>
      <c r="AU117" s="525"/>
      <c r="AV117" s="525"/>
      <c r="AW117" s="525"/>
      <c r="AX117" s="525"/>
      <c r="AY117" s="525"/>
      <c r="AZ117" s="525"/>
      <c r="BA117" s="525"/>
      <c r="BB117" s="525"/>
      <c r="BC117" s="525"/>
      <c r="BD117" s="525"/>
      <c r="BE117" s="525"/>
      <c r="BF117" s="525"/>
      <c r="BG117" s="525"/>
      <c r="BH117" s="525"/>
      <c r="BI117" s="525"/>
      <c r="BJ117" s="525"/>
      <c r="BK117" s="525"/>
      <c r="BL117" s="525"/>
      <c r="BM117" s="525"/>
      <c r="BN117" s="525"/>
      <c r="BO117" s="525"/>
      <c r="BP117" s="525"/>
      <c r="BQ117" s="525"/>
      <c r="BR117" s="525"/>
      <c r="BS117" s="525"/>
      <c r="BT117" s="525"/>
      <c r="BU117" s="525"/>
      <c r="BV117" s="525"/>
      <c r="BW117" s="525"/>
      <c r="BX117" s="525"/>
      <c r="BY117" s="525"/>
      <c r="BZ117" s="525"/>
      <c r="CA117" s="525"/>
      <c r="CB117" s="525"/>
      <c r="CC117" s="525"/>
      <c r="CD117" s="525"/>
      <c r="CE117" s="525"/>
      <c r="CF117" s="525"/>
      <c r="CG117" s="525"/>
      <c r="CH117" s="525"/>
      <c r="CI117" s="525"/>
      <c r="CJ117" s="525"/>
      <c r="CK117" s="525"/>
      <c r="CL117" s="525"/>
      <c r="CM117" s="525"/>
      <c r="CN117" s="525"/>
      <c r="CO117" s="525"/>
      <c r="CP117" s="525"/>
      <c r="CQ117" s="525"/>
      <c r="CR117" s="525"/>
      <c r="CS117" s="525"/>
      <c r="CT117" s="525"/>
      <c r="CU117" s="525"/>
      <c r="CV117" s="525"/>
      <c r="CW117" s="525"/>
      <c r="CX117" s="525"/>
      <c r="CY117" s="525"/>
      <c r="CZ117" s="525"/>
      <c r="DA117" s="525"/>
      <c r="DB117" s="525"/>
      <c r="DC117" s="525"/>
      <c r="DD117" s="525"/>
      <c r="DE117" s="525"/>
      <c r="DF117" s="525"/>
      <c r="DG117" s="525"/>
      <c r="DH117" s="525"/>
      <c r="DI117" s="525"/>
      <c r="DJ117" s="525"/>
      <c r="DK117" s="525"/>
      <c r="DL117" s="525"/>
      <c r="DM117" s="525"/>
      <c r="DN117" s="525"/>
      <c r="DO117" s="525"/>
      <c r="DP117" s="525"/>
      <c r="DQ117" s="525"/>
      <c r="DR117" s="525"/>
      <c r="DS117" s="525"/>
      <c r="DT117" s="525"/>
      <c r="DU117" s="525"/>
      <c r="DV117" s="525"/>
      <c r="DW117" s="525"/>
      <c r="DX117" s="525"/>
      <c r="DY117" s="525"/>
      <c r="DZ117" s="525"/>
      <c r="EA117" s="525"/>
      <c r="EB117" s="525"/>
      <c r="EC117" s="525"/>
      <c r="ED117" s="525"/>
      <c r="EE117" s="525"/>
      <c r="EF117" s="525"/>
      <c r="EG117" s="525"/>
      <c r="EH117" s="525"/>
      <c r="EI117" s="525"/>
      <c r="EJ117" s="525"/>
      <c r="EK117" s="525"/>
      <c r="EL117" s="525"/>
      <c r="EM117" s="525"/>
      <c r="EN117" s="525"/>
      <c r="EO117" s="525"/>
      <c r="EP117" s="525"/>
      <c r="EQ117" s="525"/>
      <c r="ER117" s="525"/>
      <c r="ES117" s="525"/>
      <c r="ET117" s="525"/>
      <c r="EU117" s="525"/>
      <c r="EV117" s="525"/>
      <c r="EW117" s="525"/>
      <c r="EX117" s="525"/>
      <c r="EY117" s="525"/>
      <c r="EZ117" s="525"/>
      <c r="FA117" s="525"/>
      <c r="FB117" s="93"/>
      <c r="FE117" s="489" t="str">
        <f>IF(AND(ISNUMBER(VALUE(TRIM(SUBSTITUTE(AD117,".","")))),TRIM(SUBSTITUTE(AD117,".",""))&lt;&gt;""),"P"&amp;SUBSTITUTE(AD117,".",""),"")</f>
        <v/>
      </c>
      <c r="FK117" s="1157" cm="1" t="str">
        <f t="array" ref="FK117:FK117">OFFSET(FJ117,-1,1)</f>
        <v>0</v>
      </c>
      <c r="FL117" s="1159"/>
      <c r="FM117" s="1159"/>
      <c r="FN117" s="1159"/>
      <c r="FO117" s="1159"/>
      <c r="FP117" s="1159"/>
      <c r="FQ117" s="1159"/>
      <c r="FR117" s="1159"/>
      <c r="FS117" s="1159"/>
      <c r="FT117" s="1159"/>
      <c r="FU117" s="1159"/>
      <c r="FV117" s="1159"/>
      <c r="FW117" s="1159"/>
      <c r="FX117" s="1159"/>
      <c r="FY117" s="1159"/>
      <c r="FZ117" s="1159"/>
    </row>
    <row customHeight="1" ht="16.575" hidden="1">
      <c r="E118" s="180">
        <v>17</v>
      </c>
      <c r="F118" s="175" cm="1" t="str">
        <f t="array" ref="F118:F118">OFFSET(G118,-1,-1)</f>
        <v>0</v>
      </c>
      <c r="L118" s="175" cm="1" t="str">
        <f t="array" ref="L118:L118">OFFSET(M118,-1,-1)</f>
        <v>false</v>
      </c>
      <c r="S118" s="175" cm="1" t="str">
        <f t="array" ref="S118:S118">OFFSET(T118,-1,-1)</f>
        <v>false</v>
      </c>
      <c r="U118" s="753">
        <f>AND(S118,IF(ISBLANK(T118),TRUE,T118))</f>
        <v>0</v>
      </c>
      <c r="AB118" s="1606" t="s">
        <v>975</v>
      </c>
      <c r="AD118" s="327">
        <v>38</v>
      </c>
      <c r="AE118" s="1618" t="s">
        <v>976</v>
      </c>
      <c r="AF118" s="427"/>
      <c r="AG118" s="470" t="s">
        <v>917</v>
      </c>
      <c r="AH118" s="500">
        <f>SUM(AH120:AH121)</f>
        <v>0</v>
      </c>
      <c r="AI118" s="500">
        <f>SUM(AI120:AI121)</f>
        <v>0</v>
      </c>
      <c r="AJ118" s="500">
        <f>SUM(AJ120:AJ121)</f>
        <v>0</v>
      </c>
      <c r="AK118" s="500">
        <f>SUM(AK120:AK121)</f>
        <v>0</v>
      </c>
      <c r="AL118" s="500">
        <f>SUM(AL120:AL121)</f>
        <v>0</v>
      </c>
      <c r="AM118" s="500">
        <f>SUM(AM120:AM121)</f>
        <v>0</v>
      </c>
      <c r="AN118" s="500">
        <f>SUM(AN120:AN121)</f>
        <v>0</v>
      </c>
      <c r="AO118" s="500">
        <f>SUM(AO120:AO121)</f>
        <v>0</v>
      </c>
      <c r="AP118" s="500">
        <f>SUM(AP120:AP121)</f>
        <v>0</v>
      </c>
      <c r="AQ118" s="500">
        <f>SUM(AQ120:AQ121)</f>
        <v>0</v>
      </c>
      <c r="AR118" s="500">
        <f>SUM(AR120:AR121)</f>
        <v>0</v>
      </c>
      <c r="AS118" s="500">
        <f>SUM(AS120:AS121)</f>
        <v>0</v>
      </c>
      <c r="AT118" s="500">
        <f>SUM(AT120:AT121)</f>
        <v>0</v>
      </c>
      <c r="AU118" s="500">
        <f>SUM(AU120:AU121)</f>
        <v>0</v>
      </c>
      <c r="AV118" s="500">
        <f>SUM(AV120:AV121)</f>
        <v>0</v>
      </c>
      <c r="AW118" s="500">
        <f>SUM(AW120:AW121)</f>
        <v>0</v>
      </c>
      <c r="AX118" s="500">
        <f>SUM(AX120:AX121)</f>
        <v>0</v>
      </c>
      <c r="AY118" s="500">
        <f>SUM(AY120:AY121)</f>
        <v>0</v>
      </c>
      <c r="AZ118" s="500">
        <f>SUM(AZ120:AZ121)</f>
        <v>0</v>
      </c>
      <c r="BA118" s="500">
        <f>SUM(BA120:BA121)</f>
        <v>0</v>
      </c>
      <c r="BB118" s="500">
        <f>SUM(BB120:BB121)</f>
        <v>0</v>
      </c>
      <c r="BC118" s="500">
        <f>SUM(BC120:BC121)</f>
        <v>0</v>
      </c>
      <c r="BD118" s="500">
        <f>SUM(BD120:BD121)</f>
        <v>0</v>
      </c>
      <c r="BE118" s="500">
        <f>SUM(BE120:BE121)</f>
        <v>0</v>
      </c>
      <c r="BF118" s="500">
        <f>SUM(BF120:BF121)</f>
        <v>0</v>
      </c>
      <c r="BG118" s="500">
        <f>SUM(BG120:BG121)</f>
        <v>0</v>
      </c>
      <c r="BH118" s="500">
        <f>SUM(BH120:BH121)</f>
        <v>0</v>
      </c>
      <c r="BI118" s="500">
        <f>SUM(BI120:BI121)</f>
        <v>0</v>
      </c>
      <c r="BJ118" s="500">
        <f>SUM(BJ120:BJ121)</f>
        <v>0</v>
      </c>
      <c r="BK118" s="500">
        <f>SUM(BK120:BK121)</f>
        <v>0</v>
      </c>
      <c r="BL118" s="500">
        <f>SUM(BL120:BL121)</f>
        <v>0</v>
      </c>
      <c r="BM118" s="500">
        <f>SUM(BM120:BM121)</f>
        <v>0</v>
      </c>
      <c r="BN118" s="500">
        <f>SUM(BN120:BN121)</f>
        <v>0</v>
      </c>
      <c r="BO118" s="500">
        <f>SUM(BO120:BO121)</f>
        <v>0</v>
      </c>
      <c r="BP118" s="500">
        <f>SUM(BP120:BP121)</f>
        <v>0</v>
      </c>
      <c r="BQ118" s="500">
        <f>SUM(BQ120:BQ121)</f>
        <v>0</v>
      </c>
      <c r="BR118" s="500">
        <f>SUM(BR120:BR121)</f>
        <v>0</v>
      </c>
      <c r="BS118" s="500">
        <f>SUM(BS120:BS121)</f>
        <v>0</v>
      </c>
      <c r="BT118" s="500">
        <f>SUM(BT120:BT121)</f>
        <v>0</v>
      </c>
      <c r="BU118" s="500">
        <f>SUM(BU120:BU121)</f>
        <v>0</v>
      </c>
      <c r="BV118" s="500">
        <f>SUM(BV120:BV121)</f>
        <v>0</v>
      </c>
      <c r="BW118" s="500">
        <f>SUM(BW120:BW121)</f>
        <v>0</v>
      </c>
      <c r="BX118" s="500">
        <f>SUM(BX120:BX121)</f>
        <v>0</v>
      </c>
      <c r="BY118" s="500">
        <f>SUM(BY120:BY121)</f>
        <v>0</v>
      </c>
      <c r="BZ118" s="500">
        <f>SUM(BZ120:BZ121)</f>
        <v>0</v>
      </c>
      <c r="CA118" s="500">
        <f>SUM(CA120:CA121)</f>
        <v>0</v>
      </c>
      <c r="CB118" s="500">
        <f>SUM(CB120:CB121)</f>
        <v>0</v>
      </c>
      <c r="CC118" s="500">
        <f>SUM(CC120:CC121)</f>
        <v>0</v>
      </c>
      <c r="CD118" s="500">
        <f>SUM(CD120:CD121)</f>
        <v>0</v>
      </c>
      <c r="CE118" s="500">
        <f>SUM(CE120:CE121)</f>
        <v>0</v>
      </c>
      <c r="CF118" s="500">
        <f>SUM(CF120:CF121)</f>
        <v>0</v>
      </c>
      <c r="CG118" s="500">
        <f>SUM(CG120:CG121)</f>
        <v>0</v>
      </c>
      <c r="CH118" s="500">
        <f>SUM(CH120:CH121)</f>
        <v>0</v>
      </c>
      <c r="CI118" s="500">
        <f>SUM(CI120:CI121)</f>
        <v>0</v>
      </c>
      <c r="CJ118" s="500">
        <f>SUM(CJ120:CJ121)</f>
        <v>0</v>
      </c>
      <c r="CK118" s="500">
        <f>SUM(CK120:CK121)</f>
        <v>0</v>
      </c>
      <c r="CL118" s="500">
        <f>SUM(CL120:CL121)</f>
        <v>0</v>
      </c>
      <c r="CM118" s="500">
        <f>SUM(CM120:CM121)</f>
        <v>0</v>
      </c>
      <c r="CN118" s="500">
        <f>SUM(CN120:CN121)</f>
        <v>0</v>
      </c>
      <c r="CO118" s="500">
        <f>SUM(CO120:CO121)</f>
        <v>0</v>
      </c>
      <c r="CP118" s="500">
        <f>SUM(CP120:CP121)</f>
        <v>0</v>
      </c>
      <c r="CQ118" s="500">
        <f>SUM(CQ120:CQ121)</f>
        <v>0</v>
      </c>
      <c r="CR118" s="500">
        <f>SUM(CR120:CR121)</f>
        <v>0</v>
      </c>
      <c r="CS118" s="500">
        <f>SUM(CS120:CS121)</f>
        <v>0</v>
      </c>
      <c r="CT118" s="500">
        <f>SUM(CT120:CT121)</f>
        <v>0</v>
      </c>
      <c r="CU118" s="500">
        <f>SUM(CU120:CU121)</f>
        <v>0</v>
      </c>
      <c r="CV118" s="500">
        <f>SUM(CV120:CV121)</f>
        <v>0</v>
      </c>
      <c r="CW118" s="500">
        <f>SUM(CW120:CW121)</f>
        <v>0</v>
      </c>
      <c r="CX118" s="500">
        <f>SUM(CX120:CX121)</f>
        <v>0</v>
      </c>
      <c r="CY118" s="500">
        <f>SUM(CY120:CY121)</f>
        <v>0</v>
      </c>
      <c r="CZ118" s="500">
        <f>SUM(CZ120:CZ121)</f>
        <v>0</v>
      </c>
      <c r="DA118" s="500">
        <f>SUM(DA120:DA121)</f>
        <v>0</v>
      </c>
      <c r="DB118" s="500">
        <f>SUM(DB120:DB121)</f>
        <v>0</v>
      </c>
      <c r="DC118" s="500">
        <f>SUM(DC120:DC121)</f>
        <v>0</v>
      </c>
      <c r="DD118" s="500">
        <f>SUM(DD120:DD121)</f>
        <v>0</v>
      </c>
      <c r="DE118" s="500">
        <f>SUM(DE120:DE121)</f>
        <v>0</v>
      </c>
      <c r="DF118" s="500">
        <f>SUM(DF120:DF121)</f>
        <v>0</v>
      </c>
      <c r="DG118" s="500">
        <f>SUM(DG120:DG121)</f>
        <v>0</v>
      </c>
      <c r="DH118" s="500">
        <f>SUM(DH120:DH121)</f>
        <v>0</v>
      </c>
      <c r="DI118" s="500">
        <f>SUM(DI120:DI121)</f>
        <v>0</v>
      </c>
      <c r="DJ118" s="500">
        <f>SUM(DJ120:DJ121)</f>
        <v>0</v>
      </c>
      <c r="DK118" s="500">
        <f>SUM(DK120:DK121)</f>
        <v>0</v>
      </c>
      <c r="DL118" s="500">
        <f>SUM(DL120:DL121)</f>
        <v>0</v>
      </c>
      <c r="DM118" s="500">
        <f>SUM(DM120:DM121)</f>
        <v>0</v>
      </c>
      <c r="DN118" s="500">
        <f>SUM(DN120:DN121)</f>
        <v>0</v>
      </c>
      <c r="DO118" s="500">
        <f>SUM(DO120:DO121)</f>
        <v>0</v>
      </c>
      <c r="DP118" s="500">
        <f>SUM(DP120:DP121)</f>
        <v>0</v>
      </c>
      <c r="DQ118" s="500">
        <f>SUM(DQ120:DQ121)</f>
        <v>0</v>
      </c>
      <c r="DR118" s="500">
        <f>SUM(DR120:DR121)</f>
        <v>0</v>
      </c>
      <c r="DS118" s="500">
        <f>SUM(DS120:DS121)</f>
        <v>0</v>
      </c>
      <c r="DT118" s="500">
        <f>SUM(DT120:DT121)</f>
        <v>0</v>
      </c>
      <c r="DU118" s="500">
        <f>SUM(DU120:DU121)</f>
        <v>0</v>
      </c>
      <c r="DV118" s="500">
        <f>SUM(DV120:DV121)</f>
        <v>0</v>
      </c>
      <c r="DW118" s="500">
        <f>SUM(DW120:DW121)</f>
        <v>0</v>
      </c>
      <c r="DX118" s="500">
        <f>SUM(DX120:DX121)</f>
        <v>0</v>
      </c>
      <c r="DY118" s="500">
        <f>SUM(DY120:DY121)</f>
        <v>0</v>
      </c>
      <c r="DZ118" s="500">
        <f>SUM(DZ120:DZ121)</f>
        <v>0</v>
      </c>
      <c r="EA118" s="500">
        <f>SUM(EA120:EA121)</f>
        <v>0</v>
      </c>
      <c r="EB118" s="500">
        <f>SUM(EB120:EB121)</f>
        <v>0</v>
      </c>
      <c r="EC118" s="500">
        <f>SUM(EC120:EC121)</f>
        <v>0</v>
      </c>
      <c r="ED118" s="500">
        <f>SUM(ED120:ED121)</f>
        <v>0</v>
      </c>
      <c r="EE118" s="500">
        <f>SUM(EE120:EE121)</f>
        <v>0</v>
      </c>
      <c r="EF118" s="500">
        <f>SUM(EF120:EF121)</f>
        <v>0</v>
      </c>
      <c r="EG118" s="500">
        <f>SUM(EG120:EG121)</f>
        <v>0</v>
      </c>
      <c r="EH118" s="500">
        <f>SUM(EH120:EH121)</f>
        <v>0</v>
      </c>
      <c r="EI118" s="500">
        <f>SUM(EI120:EI121)</f>
        <v>0</v>
      </c>
      <c r="EJ118" s="500">
        <f>SUM(EJ120:EJ121)</f>
        <v>0</v>
      </c>
      <c r="EK118" s="500">
        <f>SUM(EK120:EK121)</f>
        <v>0</v>
      </c>
      <c r="EL118" s="500">
        <f>SUM(EL120:EL121)</f>
        <v>0</v>
      </c>
      <c r="EM118" s="500">
        <f>SUM(EM120:EM121)</f>
        <v>0</v>
      </c>
      <c r="EN118" s="500">
        <f>SUM(EN120:EN121)</f>
        <v>0</v>
      </c>
      <c r="EO118" s="500">
        <f>SUM(EO120:EO121)</f>
        <v>0</v>
      </c>
      <c r="EP118" s="500">
        <f>SUM(EP120:EP121)</f>
        <v>0</v>
      </c>
      <c r="EQ118" s="500">
        <f>SUM(EQ120:EQ121)</f>
        <v>0</v>
      </c>
      <c r="ER118" s="500">
        <f>SUM(ER120:ER121)</f>
        <v>0</v>
      </c>
      <c r="ES118" s="500">
        <f>SUM(ES120:ES121)</f>
        <v>0</v>
      </c>
      <c r="ET118" s="500">
        <f>SUM(ET120:ET121)</f>
        <v>0</v>
      </c>
      <c r="EU118" s="500">
        <f>SUM(EU120:EU121)</f>
        <v>0</v>
      </c>
      <c r="EV118" s="500">
        <f>SUM(EV120:EV121)</f>
        <v>0</v>
      </c>
      <c r="EW118" s="500">
        <f>SUM(EW120:EW121)</f>
        <v>0</v>
      </c>
      <c r="EX118" s="500">
        <f>SUM(EX120:EX121)</f>
        <v>0</v>
      </c>
      <c r="EY118" s="500">
        <f>SUM(EY120:EY121)</f>
        <v>0</v>
      </c>
      <c r="EZ118" s="500">
        <f>SUM(EZ120:EZ121)</f>
        <v>0</v>
      </c>
      <c r="FA118" s="500">
        <f>SUM(FA120:FA121)</f>
        <v>0</v>
      </c>
      <c r="FB118" s="83"/>
      <c r="FE118" s="489" t="s">
        <v>977</v>
      </c>
      <c r="FK118" s="1157" cm="1" t="str">
        <f t="array" ref="FK118:FK118">OFFSET(FJ118,-1,1)</f>
        <v>0</v>
      </c>
      <c r="FL118" s="1078"/>
      <c r="FM118" s="1078" t="s">
        <v>978</v>
      </c>
      <c r="FN118" s="1159"/>
      <c r="FO118" s="1159"/>
      <c r="FP118" s="1159"/>
      <c r="FQ118" s="1159"/>
      <c r="FR118" s="1159"/>
      <c r="FS118" s="1159"/>
      <c r="FT118" s="1159"/>
      <c r="FU118" s="1159"/>
      <c r="FV118" s="1159"/>
      <c r="FW118" s="1159"/>
      <c r="FX118" s="1078" t="s">
        <v>303</v>
      </c>
      <c r="FY118" s="1078" t="s">
        <v>919</v>
      </c>
      <c r="FZ118" s="1078" t="s">
        <v>920</v>
      </c>
    </row>
    <row customHeight="1" ht="16.575" hidden="1">
      <c r="E119" s="180">
        <v>17</v>
      </c>
      <c r="F119" s="175" cm="1" t="str">
        <f t="array" ref="F119:F119">OFFSET(G119,-1,-1)</f>
        <v>0</v>
      </c>
      <c r="L119" s="175" cm="1" t="str">
        <f t="array" ref="L119:L119">OFFSET(M119,-1,-1)</f>
        <v>false</v>
      </c>
      <c r="R119" s="175" t="s">
        <v>804</v>
      </c>
      <c r="S119" s="175" cm="1" t="str">
        <f t="array" ref="S119:S119">OFFSET(T119,-1,-1)</f>
        <v>false</v>
      </c>
      <c r="T119" s="175" t="b">
        <v>0</v>
      </c>
      <c r="U119" s="753">
        <f>AND(S119,IF(ISBLANK(T119),TRUE,T119))</f>
        <v>0</v>
      </c>
      <c r="AB119" s="1607"/>
      <c r="AD119" s="491" t="str">
        <f>AD118&amp;".0"</f>
        <v>38.0</v>
      </c>
      <c r="AE119" s="537" t="s">
        <v>822</v>
      </c>
      <c r="AF119" s="368"/>
      <c r="AG119" s="470" t="s">
        <v>917</v>
      </c>
      <c r="AH119" s="88">
        <f>AH$52*AH118</f>
        <v>0</v>
      </c>
      <c r="AI119" s="89">
        <f>AI$52*AI118</f>
        <v>0</v>
      </c>
      <c r="AJ119" s="89">
        <f>AJ$52*AJ118</f>
        <v>0</v>
      </c>
      <c r="AK119" s="89">
        <f>AK$52*AK118</f>
        <v>0</v>
      </c>
      <c r="AL119" s="499">
        <f>AM119+AN119</f>
        <v>0</v>
      </c>
      <c r="AM119" s="89">
        <f>AM$52*AM118</f>
        <v>0</v>
      </c>
      <c r="AN119" s="89">
        <f>AN$52*AN118</f>
        <v>0</v>
      </c>
      <c r="AO119" s="499">
        <f>AP119+AQ119</f>
        <v>0</v>
      </c>
      <c r="AP119" s="89">
        <f>AP$52*AP118</f>
        <v>0</v>
      </c>
      <c r="AQ119" s="89">
        <f>AQ$52*AQ118</f>
        <v>0</v>
      </c>
      <c r="AR119" s="499">
        <f>AS119+AT119</f>
        <v>0</v>
      </c>
      <c r="AS119" s="89">
        <f>AS$52*AS118</f>
        <v>0</v>
      </c>
      <c r="AT119" s="89">
        <f>AT$52*AT118</f>
        <v>0</v>
      </c>
      <c r="AU119" s="499">
        <f>AV119+AW119</f>
        <v>0</v>
      </c>
      <c r="AV119" s="89">
        <f>AV$52*AV118</f>
        <v>0</v>
      </c>
      <c r="AW119" s="89">
        <f>AW$52*AW118</f>
        <v>0</v>
      </c>
      <c r="AX119" s="499">
        <f>AY119+AZ119</f>
        <v>0</v>
      </c>
      <c r="AY119" s="89">
        <f>AY$52*AY118</f>
        <v>0</v>
      </c>
      <c r="AZ119" s="89">
        <f>AZ$52*AZ118</f>
        <v>0</v>
      </c>
      <c r="BA119" s="499">
        <f>BB119+BC119</f>
        <v>0</v>
      </c>
      <c r="BB119" s="89">
        <f>BB$52*BB118</f>
        <v>0</v>
      </c>
      <c r="BC119" s="89">
        <f>BC$52*BC118</f>
        <v>0</v>
      </c>
      <c r="BD119" s="499">
        <f>BE119+BF119</f>
        <v>0</v>
      </c>
      <c r="BE119" s="89">
        <f>BE$52*BE118</f>
        <v>0</v>
      </c>
      <c r="BF119" s="89">
        <f>BF$52*BF118</f>
        <v>0</v>
      </c>
      <c r="BG119" s="499">
        <f>BH119+BI119</f>
        <v>0</v>
      </c>
      <c r="BH119" s="89">
        <f>BH$52*BH118</f>
        <v>0</v>
      </c>
      <c r="BI119" s="89">
        <f>BI$52*BI118</f>
        <v>0</v>
      </c>
      <c r="BJ119" s="499">
        <f>BK119+BL119</f>
        <v>0</v>
      </c>
      <c r="BK119" s="89">
        <f>BK$52*BK118</f>
        <v>0</v>
      </c>
      <c r="BL119" s="89">
        <f>BL$52*BL118</f>
        <v>0</v>
      </c>
      <c r="BM119" s="499">
        <f>BN119+BO119</f>
        <v>0</v>
      </c>
      <c r="BN119" s="89">
        <f>BN$52*BN118</f>
        <v>0</v>
      </c>
      <c r="BO119" s="89">
        <f>BO$52*BO118</f>
        <v>0</v>
      </c>
      <c r="BP119" s="499">
        <f>BQ119+BR119</f>
        <v>0</v>
      </c>
      <c r="BQ119" s="89">
        <f>BQ$52*BQ118</f>
        <v>0</v>
      </c>
      <c r="BR119" s="89">
        <f>BR$52*BR118</f>
        <v>0</v>
      </c>
      <c r="BS119" s="499">
        <f>BT119+BU119</f>
        <v>0</v>
      </c>
      <c r="BT119" s="89">
        <f>BT$52*BT118</f>
        <v>0</v>
      </c>
      <c r="BU119" s="89">
        <f>BU$52*BU118</f>
        <v>0</v>
      </c>
      <c r="BV119" s="499">
        <f>BW119+BX119</f>
        <v>0</v>
      </c>
      <c r="BW119" s="89">
        <f>BW$52*BW118</f>
        <v>0</v>
      </c>
      <c r="BX119" s="89">
        <f>BX$52*BX118</f>
        <v>0</v>
      </c>
      <c r="BY119" s="499">
        <f>BZ119+CA119</f>
        <v>0</v>
      </c>
      <c r="BZ119" s="89">
        <f>BZ$52*BZ118</f>
        <v>0</v>
      </c>
      <c r="CA119" s="89">
        <f>CA$52*CA118</f>
        <v>0</v>
      </c>
      <c r="CB119" s="499">
        <f>CC119+CD119</f>
        <v>0</v>
      </c>
      <c r="CC119" s="89">
        <f>CC$52*CC118</f>
        <v>0</v>
      </c>
      <c r="CD119" s="89">
        <f>CD$52*CD118</f>
        <v>0</v>
      </c>
      <c r="CE119" s="499">
        <f>CF119+CG119</f>
        <v>0</v>
      </c>
      <c r="CF119" s="89">
        <f>CF$52*CF118</f>
        <v>0</v>
      </c>
      <c r="CG119" s="89">
        <f>CG$52*CG118</f>
        <v>0</v>
      </c>
      <c r="CH119" s="499">
        <f>CI119+CJ119</f>
        <v>0</v>
      </c>
      <c r="CI119" s="89">
        <f>CI$52*CI118</f>
        <v>0</v>
      </c>
      <c r="CJ119" s="89">
        <f>CJ$52*CJ118</f>
        <v>0</v>
      </c>
      <c r="CK119" s="499">
        <f>CL119+CM119</f>
        <v>0</v>
      </c>
      <c r="CL119" s="89">
        <f>CL$52*CL118</f>
        <v>0</v>
      </c>
      <c r="CM119" s="89">
        <f>CM$52*CM118</f>
        <v>0</v>
      </c>
      <c r="CN119" s="499">
        <f>CO119+CP119</f>
        <v>0</v>
      </c>
      <c r="CO119" s="89">
        <f>CO$52*CO118</f>
        <v>0</v>
      </c>
      <c r="CP119" s="89">
        <f>CP$52*CP118</f>
        <v>0</v>
      </c>
      <c r="CQ119" s="499">
        <f>CR119+CS119</f>
        <v>0</v>
      </c>
      <c r="CR119" s="89">
        <f>CR$52*CR118</f>
        <v>0</v>
      </c>
      <c r="CS119" s="89">
        <f>CS$52*CS118</f>
        <v>0</v>
      </c>
      <c r="CT119" s="499">
        <f>CU119+CV119</f>
        <v>0</v>
      </c>
      <c r="CU119" s="498">
        <f>CU$52*CU118</f>
        <v>0</v>
      </c>
      <c r="CV119" s="498">
        <f>CV$52*CV118</f>
        <v>0</v>
      </c>
      <c r="CW119" s="499">
        <f>CX119+CY119</f>
        <v>0</v>
      </c>
      <c r="CX119" s="89">
        <f>CX$52*CX118</f>
        <v>0</v>
      </c>
      <c r="CY119" s="89">
        <f>CY$52*CY118</f>
        <v>0</v>
      </c>
      <c r="CZ119" s="499">
        <f>DA119+DB119</f>
        <v>0</v>
      </c>
      <c r="DA119" s="89">
        <f>DA$52*DA118</f>
        <v>0</v>
      </c>
      <c r="DB119" s="89">
        <f>DB$52*DB118</f>
        <v>0</v>
      </c>
      <c r="DC119" s="499">
        <f>DD119+DE119</f>
        <v>0</v>
      </c>
      <c r="DD119" s="89">
        <f>DD$52*DD118</f>
        <v>0</v>
      </c>
      <c r="DE119" s="89">
        <f>DE$52*DE118</f>
        <v>0</v>
      </c>
      <c r="DF119" s="499">
        <f>DG119+DH119</f>
        <v>0</v>
      </c>
      <c r="DG119" s="89">
        <f>DG$52*DG118</f>
        <v>0</v>
      </c>
      <c r="DH119" s="89">
        <f>DH$52*DH118</f>
        <v>0</v>
      </c>
      <c r="DI119" s="499">
        <f>DJ119+DK119</f>
        <v>0</v>
      </c>
      <c r="DJ119" s="89">
        <f>DJ$52*DJ118</f>
        <v>0</v>
      </c>
      <c r="DK119" s="89">
        <f>DK$52*DK118</f>
        <v>0</v>
      </c>
      <c r="DL119" s="499">
        <f>DM119+DN119</f>
        <v>0</v>
      </c>
      <c r="DM119" s="89">
        <f>DM$52*DM118</f>
        <v>0</v>
      </c>
      <c r="DN119" s="89">
        <f>DN$52*DN118</f>
        <v>0</v>
      </c>
      <c r="DO119" s="499">
        <f>DP119+DQ119</f>
        <v>0</v>
      </c>
      <c r="DP119" s="89">
        <f>DP$52*DP118</f>
        <v>0</v>
      </c>
      <c r="DQ119" s="89">
        <f>DQ$52*DQ118</f>
        <v>0</v>
      </c>
      <c r="DR119" s="499">
        <f>DS119+DT119</f>
        <v>0</v>
      </c>
      <c r="DS119" s="89">
        <f>DS$52*DS118</f>
        <v>0</v>
      </c>
      <c r="DT119" s="89">
        <f>DT$52*DT118</f>
        <v>0</v>
      </c>
      <c r="DU119" s="499">
        <f>DV119+DW119</f>
        <v>0</v>
      </c>
      <c r="DV119" s="89">
        <f>DV$52*DV118</f>
        <v>0</v>
      </c>
      <c r="DW119" s="89">
        <f>DW$52*DW118</f>
        <v>0</v>
      </c>
      <c r="DX119" s="499">
        <f>DY119+DZ119</f>
        <v>0</v>
      </c>
      <c r="DY119" s="89">
        <f>DY$52*DY118</f>
        <v>0</v>
      </c>
      <c r="DZ119" s="89">
        <f>DZ$52*DZ118</f>
        <v>0</v>
      </c>
      <c r="EA119" s="499">
        <f>EB119+EC119</f>
        <v>0</v>
      </c>
      <c r="EB119" s="89">
        <f>EB$52*EB118</f>
        <v>0</v>
      </c>
      <c r="EC119" s="89">
        <f>EC$52*EC118</f>
        <v>0</v>
      </c>
      <c r="ED119" s="499">
        <f>EE119+EF119</f>
        <v>0</v>
      </c>
      <c r="EE119" s="89">
        <f>EE$52*EE118</f>
        <v>0</v>
      </c>
      <c r="EF119" s="89">
        <f>EF$52*EF118</f>
        <v>0</v>
      </c>
      <c r="EG119" s="499">
        <f>EH119+EI119</f>
        <v>0</v>
      </c>
      <c r="EH119" s="89">
        <f>EH$52*EH118</f>
        <v>0</v>
      </c>
      <c r="EI119" s="89">
        <f>EI$52*EI118</f>
        <v>0</v>
      </c>
      <c r="EJ119" s="499">
        <f>EK119+EL119</f>
        <v>0</v>
      </c>
      <c r="EK119" s="89">
        <f>EK$52*EK118</f>
        <v>0</v>
      </c>
      <c r="EL119" s="89">
        <f>EL$52*EL118</f>
        <v>0</v>
      </c>
      <c r="EM119" s="499">
        <f>EN119+EO119</f>
        <v>0</v>
      </c>
      <c r="EN119" s="89">
        <f>EN$52*EN118</f>
        <v>0</v>
      </c>
      <c r="EO119" s="89">
        <f>EO$52*EO118</f>
        <v>0</v>
      </c>
      <c r="EP119" s="499">
        <f>EQ119+ER119</f>
        <v>0</v>
      </c>
      <c r="EQ119" s="89">
        <f>EQ$52*EQ118</f>
        <v>0</v>
      </c>
      <c r="ER119" s="89">
        <f>ER$52*ER118</f>
        <v>0</v>
      </c>
      <c r="ES119" s="499">
        <f>ET119+EU119</f>
        <v>0</v>
      </c>
      <c r="ET119" s="89">
        <f>ET$52*ET118</f>
        <v>0</v>
      </c>
      <c r="EU119" s="89">
        <f>EU$52*EU118</f>
        <v>0</v>
      </c>
      <c r="EV119" s="499">
        <f>EW119+EX119</f>
        <v>0</v>
      </c>
      <c r="EW119" s="89">
        <f>EW$52*EW118</f>
        <v>0</v>
      </c>
      <c r="EX119" s="89">
        <f>EX$52*EX118</f>
        <v>0</v>
      </c>
      <c r="EY119" s="499">
        <f>EZ119+FA119</f>
        <v>0</v>
      </c>
      <c r="EZ119" s="89">
        <f>EZ$52*EZ118</f>
        <v>0</v>
      </c>
      <c r="FA119" s="89">
        <f>FA$52*FA118</f>
        <v>0</v>
      </c>
      <c r="FB119" s="83"/>
      <c r="FE119" s="489" t="s">
        <v>979</v>
      </c>
      <c r="FK119" s="1157" cm="1" t="str">
        <f t="array" ref="FK119:FK119">OFFSET(FJ119,-1,1)</f>
        <v>0</v>
      </c>
      <c r="FL119" s="1159"/>
      <c r="FM119" s="1078" t="s">
        <v>824</v>
      </c>
      <c r="FN119" s="1159"/>
      <c r="FO119" s="1159"/>
      <c r="FP119" s="1159"/>
      <c r="FQ119" s="1159"/>
      <c r="FR119" s="1159"/>
      <c r="FS119" s="1159"/>
      <c r="FT119" s="1159"/>
      <c r="FU119" s="1159"/>
      <c r="FV119" s="1078" t="s">
        <v>255</v>
      </c>
      <c r="FW119" s="1159"/>
      <c r="FX119" s="1078" t="s">
        <v>303</v>
      </c>
      <c r="FY119" s="1078" t="s">
        <v>919</v>
      </c>
      <c r="FZ119" s="1078" t="s">
        <v>920</v>
      </c>
    </row>
    <row customHeight="1" ht="16.575" hidden="1">
      <c r="E120" s="180">
        <v>17</v>
      </c>
      <c r="F120" s="175" cm="1" t="str">
        <f t="array" ref="F120:F120">OFFSET(G120,-1,-1)</f>
        <v>0</v>
      </c>
      <c r="L120" s="175" cm="1" t="str">
        <f t="array" ref="L120:L120">OFFSET(M120,-1,-1)</f>
        <v>false</v>
      </c>
      <c r="S120" s="175" cm="1" t="str">
        <f t="array" ref="S120:S120">OFFSET(T120,-1,-1)</f>
        <v>false</v>
      </c>
      <c r="T120" s="175">
        <f>AD120&lt;&gt;"38.0"</f>
        <v>0</v>
      </c>
      <c r="U120" s="753">
        <f>AND(S120,IF(ISBLANK(T120),TRUE,T120))</f>
        <v>0</v>
      </c>
      <c r="X120" s="175" t="s">
        <v>189</v>
      </c>
      <c r="AB120" s="1607"/>
      <c r="AD120" s="491" t="s">
        <v>980</v>
      </c>
      <c r="AE120" s="514"/>
      <c r="AF120" s="515"/>
      <c r="AG120" s="470" t="s">
        <v>917</v>
      </c>
      <c r="AH120" s="88"/>
      <c r="AI120" s="89"/>
      <c r="AJ120" s="89"/>
      <c r="AK120" s="89"/>
      <c r="AL120" s="499">
        <f>AM120+AN120</f>
        <v>0</v>
      </c>
      <c r="AM120" s="89"/>
      <c r="AN120" s="89"/>
      <c r="AO120" s="499">
        <f>AP120+AQ120</f>
        <v>0</v>
      </c>
      <c r="AP120" s="89"/>
      <c r="AQ120" s="89"/>
      <c r="AR120" s="499">
        <f>AS120+AT120</f>
        <v>0</v>
      </c>
      <c r="AS120" s="89"/>
      <c r="AT120" s="89"/>
      <c r="AU120" s="499">
        <f>AV120+AW120</f>
        <v>0</v>
      </c>
      <c r="AV120" s="89"/>
      <c r="AW120" s="89"/>
      <c r="AX120" s="499">
        <f>AY120+AZ120</f>
        <v>0</v>
      </c>
      <c r="AY120" s="89"/>
      <c r="AZ120" s="89"/>
      <c r="BA120" s="499">
        <f>BB120+BC120</f>
        <v>0</v>
      </c>
      <c r="BB120" s="89"/>
      <c r="BC120" s="89"/>
      <c r="BD120" s="499">
        <f>BE120+BF120</f>
        <v>0</v>
      </c>
      <c r="BE120" s="89"/>
      <c r="BF120" s="89"/>
      <c r="BG120" s="499">
        <f>BH120+BI120</f>
        <v>0</v>
      </c>
      <c r="BH120" s="89"/>
      <c r="BI120" s="89"/>
      <c r="BJ120" s="499">
        <f>BK120+BL120</f>
        <v>0</v>
      </c>
      <c r="BK120" s="89"/>
      <c r="BL120" s="89"/>
      <c r="BM120" s="499">
        <f>BN120+BO120</f>
        <v>0</v>
      </c>
      <c r="BN120" s="89"/>
      <c r="BO120" s="89"/>
      <c r="BP120" s="499">
        <f>BQ120+BR120</f>
        <v>0</v>
      </c>
      <c r="BQ120" s="89"/>
      <c r="BR120" s="89"/>
      <c r="BS120" s="499">
        <f>BT120+BU120</f>
        <v>0</v>
      </c>
      <c r="BT120" s="89"/>
      <c r="BU120" s="89"/>
      <c r="BV120" s="499">
        <f>BW120+BX120</f>
        <v>0</v>
      </c>
      <c r="BW120" s="89"/>
      <c r="BX120" s="89"/>
      <c r="BY120" s="499">
        <f>BZ120+CA120</f>
        <v>0</v>
      </c>
      <c r="BZ120" s="89"/>
      <c r="CA120" s="89"/>
      <c r="CB120" s="499">
        <f>CC120+CD120</f>
        <v>0</v>
      </c>
      <c r="CC120" s="89"/>
      <c r="CD120" s="89"/>
      <c r="CE120" s="499">
        <f>CF120+CG120</f>
        <v>0</v>
      </c>
      <c r="CF120" s="89"/>
      <c r="CG120" s="89"/>
      <c r="CH120" s="499">
        <f>CI120+CJ120</f>
        <v>0</v>
      </c>
      <c r="CI120" s="89"/>
      <c r="CJ120" s="89"/>
      <c r="CK120" s="499">
        <f>CL120+CM120</f>
        <v>0</v>
      </c>
      <c r="CL120" s="89"/>
      <c r="CM120" s="89"/>
      <c r="CN120" s="499">
        <f>CO120+CP120</f>
        <v>0</v>
      </c>
      <c r="CO120" s="89"/>
      <c r="CP120" s="89"/>
      <c r="CQ120" s="499">
        <f>CR120+CS120</f>
        <v>0</v>
      </c>
      <c r="CR120" s="89"/>
      <c r="CS120" s="89"/>
      <c r="CT120" s="499">
        <f>CU120+CV120</f>
        <v>0</v>
      </c>
      <c r="CU120" s="498"/>
      <c r="CV120" s="498"/>
      <c r="CW120" s="499">
        <f>CX120+CY120</f>
        <v>0</v>
      </c>
      <c r="CX120" s="89"/>
      <c r="CY120" s="89"/>
      <c r="CZ120" s="499">
        <f>DA120+DB120</f>
        <v>0</v>
      </c>
      <c r="DA120" s="89"/>
      <c r="DB120" s="89"/>
      <c r="DC120" s="499">
        <f>DD120+DE120</f>
        <v>0</v>
      </c>
      <c r="DD120" s="89"/>
      <c r="DE120" s="89"/>
      <c r="DF120" s="499">
        <f>DG120+DH120</f>
        <v>0</v>
      </c>
      <c r="DG120" s="89"/>
      <c r="DH120" s="89"/>
      <c r="DI120" s="499">
        <f>DJ120+DK120</f>
        <v>0</v>
      </c>
      <c r="DJ120" s="89"/>
      <c r="DK120" s="89"/>
      <c r="DL120" s="499">
        <f>DM120+DN120</f>
        <v>0</v>
      </c>
      <c r="DM120" s="89"/>
      <c r="DN120" s="89"/>
      <c r="DO120" s="499">
        <f>DP120+DQ120</f>
        <v>0</v>
      </c>
      <c r="DP120" s="89"/>
      <c r="DQ120" s="89"/>
      <c r="DR120" s="499">
        <f>DS120+DT120</f>
        <v>0</v>
      </c>
      <c r="DS120" s="89"/>
      <c r="DT120" s="89"/>
      <c r="DU120" s="499">
        <f>DV120+DW120</f>
        <v>0</v>
      </c>
      <c r="DV120" s="89"/>
      <c r="DW120" s="89"/>
      <c r="DX120" s="499">
        <f>DY120+DZ120</f>
        <v>0</v>
      </c>
      <c r="DY120" s="89"/>
      <c r="DZ120" s="89"/>
      <c r="EA120" s="499">
        <f>EB120+EC120</f>
        <v>0</v>
      </c>
      <c r="EB120" s="89"/>
      <c r="EC120" s="89"/>
      <c r="ED120" s="499">
        <f>EE120+EF120</f>
        <v>0</v>
      </c>
      <c r="EE120" s="89"/>
      <c r="EF120" s="89"/>
      <c r="EG120" s="499">
        <f>EH120+EI120</f>
        <v>0</v>
      </c>
      <c r="EH120" s="89"/>
      <c r="EI120" s="89"/>
      <c r="EJ120" s="499">
        <f>EK120+EL120</f>
        <v>0</v>
      </c>
      <c r="EK120" s="89"/>
      <c r="EL120" s="89"/>
      <c r="EM120" s="499">
        <f>EN120+EO120</f>
        <v>0</v>
      </c>
      <c r="EN120" s="89"/>
      <c r="EO120" s="89"/>
      <c r="EP120" s="499">
        <f>EQ120+ER120</f>
        <v>0</v>
      </c>
      <c r="EQ120" s="89"/>
      <c r="ER120" s="89"/>
      <c r="ES120" s="499">
        <f>ET120+EU120</f>
        <v>0</v>
      </c>
      <c r="ET120" s="89"/>
      <c r="EU120" s="89"/>
      <c r="EV120" s="499">
        <f>EW120+EX120</f>
        <v>0</v>
      </c>
      <c r="EW120" s="89"/>
      <c r="EX120" s="89"/>
      <c r="EY120" s="499">
        <f>EZ120+FA120</f>
        <v>0</v>
      </c>
      <c r="EZ120" s="89"/>
      <c r="FA120" s="89"/>
      <c r="FB120" s="83"/>
      <c r="FE120" s="489" t="s">
        <v>979</v>
      </c>
      <c r="FF120" s="648" t="s">
        <v>890</v>
      </c>
      <c r="FG120" s="648" cm="1" t="str">
        <f t="array" ref="FG120:FG120">AE120</f>
        <v>0</v>
      </c>
      <c r="FH120" s="648" cm="1" t="str">
        <f t="array" ref="FH120:FH120">AF120</f>
        <v>0</v>
      </c>
      <c r="FK120" s="1157" cm="1" t="str">
        <f t="array" ref="FK120:FK120">OFFSET(FJ120,-1,1)</f>
        <v>0</v>
      </c>
      <c r="FL120" s="1159"/>
      <c r="FM120" s="1159" t="str">
        <f>"1.0.67."&amp;$AE120&amp;"|"&amp;$AF120</f>
        <v>1.0.67.|</v>
      </c>
      <c r="FN120" s="1159"/>
      <c r="FO120" s="1159"/>
      <c r="FP120" s="1159"/>
      <c r="FQ120" s="1159"/>
      <c r="FR120" s="1159"/>
      <c r="FS120" s="1159"/>
      <c r="FT120" s="1159"/>
      <c r="FU120" s="1159"/>
      <c r="FV120" s="1159"/>
      <c r="FW120" s="1159"/>
      <c r="FX120" s="1159" t="s">
        <v>303</v>
      </c>
      <c r="FY120" s="1159" t="s">
        <v>919</v>
      </c>
      <c r="FZ120" s="1159" t="s">
        <v>920</v>
      </c>
    </row>
    <row customHeight="1" ht="15" hidden="1">
      <c r="E121" s="965">
        <v>0</v>
      </c>
      <c r="F121" s="175" cm="1" t="str">
        <f t="array" ref="F121:F121">OFFSET(G121,-1,-1)</f>
        <v>0</v>
      </c>
      <c r="L121" s="175" cm="1" t="str">
        <f t="array" ref="L121:L121">OFFSET(M121,-1,-1)</f>
        <v>false</v>
      </c>
      <c r="S121" s="175" cm="1" t="str">
        <f t="array" ref="S121:S121">OFFSET(T121,-1,-1)</f>
        <v>false</v>
      </c>
      <c r="U121" s="753">
        <f>AND(S121,IF(ISBLANK(T121),TRUE,T121))</f>
        <v>0</v>
      </c>
      <c r="X121" s="980" t="str">
        <f>"{                  
         funcDyn: 'msg1',
         blok: 'blok_2',
         wsCross: 'Топливо 4.4',
         linkFormula: 'AE-AE#AF-AF',
         levelDyn: "&amp;Y28&amp;"
}"</f>
        <v>{                  
         funcDyn: 'msg1',
         blok: 'blok_2',
         wsCross: 'Топливо 4.4',
         linkFormula: 'AE-AE#AF-AF',
         levelDyn: 0
}</v>
      </c>
      <c r="AB121" s="1607"/>
      <c r="AD121" s="517"/>
      <c r="AE121" s="518" t="s">
        <v>191</v>
      </c>
      <c r="AF121" s="519"/>
      <c r="AG121" s="470"/>
      <c r="AH121" s="524"/>
      <c r="AI121" s="525"/>
      <c r="AJ121" s="525"/>
      <c r="AK121" s="525"/>
      <c r="AL121" s="525"/>
      <c r="AM121" s="525"/>
      <c r="AN121" s="525"/>
      <c r="AO121" s="525"/>
      <c r="AP121" s="525"/>
      <c r="AQ121" s="525"/>
      <c r="AR121" s="525"/>
      <c r="AS121" s="525"/>
      <c r="AT121" s="525"/>
      <c r="AU121" s="525"/>
      <c r="AV121" s="525"/>
      <c r="AW121" s="525"/>
      <c r="AX121" s="525"/>
      <c r="AY121" s="525"/>
      <c r="AZ121" s="525"/>
      <c r="BA121" s="525"/>
      <c r="BB121" s="525"/>
      <c r="BC121" s="525"/>
      <c r="BD121" s="525"/>
      <c r="BE121" s="525"/>
      <c r="BF121" s="525"/>
      <c r="BG121" s="525"/>
      <c r="BH121" s="525"/>
      <c r="BI121" s="525"/>
      <c r="BJ121" s="525"/>
      <c r="BK121" s="525"/>
      <c r="BL121" s="525"/>
      <c r="BM121" s="525"/>
      <c r="BN121" s="525"/>
      <c r="BO121" s="525"/>
      <c r="BP121" s="525"/>
      <c r="BQ121" s="525"/>
      <c r="BR121" s="525"/>
      <c r="BS121" s="525"/>
      <c r="BT121" s="525"/>
      <c r="BU121" s="525"/>
      <c r="BV121" s="525"/>
      <c r="BW121" s="525"/>
      <c r="BX121" s="525"/>
      <c r="BY121" s="525"/>
      <c r="BZ121" s="525"/>
      <c r="CA121" s="525"/>
      <c r="CB121" s="525"/>
      <c r="CC121" s="525"/>
      <c r="CD121" s="525"/>
      <c r="CE121" s="525"/>
      <c r="CF121" s="525"/>
      <c r="CG121" s="525"/>
      <c r="CH121" s="525"/>
      <c r="CI121" s="525"/>
      <c r="CJ121" s="525"/>
      <c r="CK121" s="525"/>
      <c r="CL121" s="525"/>
      <c r="CM121" s="525"/>
      <c r="CN121" s="525"/>
      <c r="CO121" s="525"/>
      <c r="CP121" s="525"/>
      <c r="CQ121" s="525"/>
      <c r="CR121" s="525"/>
      <c r="CS121" s="525"/>
      <c r="CT121" s="525"/>
      <c r="CU121" s="525"/>
      <c r="CV121" s="525"/>
      <c r="CW121" s="525"/>
      <c r="CX121" s="525"/>
      <c r="CY121" s="525"/>
      <c r="CZ121" s="525"/>
      <c r="DA121" s="525"/>
      <c r="DB121" s="525"/>
      <c r="DC121" s="525"/>
      <c r="DD121" s="525"/>
      <c r="DE121" s="525"/>
      <c r="DF121" s="525"/>
      <c r="DG121" s="525"/>
      <c r="DH121" s="525"/>
      <c r="DI121" s="525"/>
      <c r="DJ121" s="525"/>
      <c r="DK121" s="525"/>
      <c r="DL121" s="525"/>
      <c r="DM121" s="525"/>
      <c r="DN121" s="525"/>
      <c r="DO121" s="525"/>
      <c r="DP121" s="525"/>
      <c r="DQ121" s="525"/>
      <c r="DR121" s="525"/>
      <c r="DS121" s="525"/>
      <c r="DT121" s="525"/>
      <c r="DU121" s="525"/>
      <c r="DV121" s="525"/>
      <c r="DW121" s="525"/>
      <c r="DX121" s="525"/>
      <c r="DY121" s="525"/>
      <c r="DZ121" s="525"/>
      <c r="EA121" s="525"/>
      <c r="EB121" s="525"/>
      <c r="EC121" s="525"/>
      <c r="ED121" s="525"/>
      <c r="EE121" s="525"/>
      <c r="EF121" s="525"/>
      <c r="EG121" s="525"/>
      <c r="EH121" s="525"/>
      <c r="EI121" s="525"/>
      <c r="EJ121" s="525"/>
      <c r="EK121" s="525"/>
      <c r="EL121" s="525"/>
      <c r="EM121" s="525"/>
      <c r="EN121" s="525"/>
      <c r="EO121" s="525"/>
      <c r="EP121" s="525"/>
      <c r="EQ121" s="525"/>
      <c r="ER121" s="525"/>
      <c r="ES121" s="525"/>
      <c r="ET121" s="525"/>
      <c r="EU121" s="525"/>
      <c r="EV121" s="525"/>
      <c r="EW121" s="525"/>
      <c r="EX121" s="525"/>
      <c r="EY121" s="525"/>
      <c r="EZ121" s="525"/>
      <c r="FA121" s="525"/>
      <c r="FB121" s="93"/>
      <c r="FE121" s="489" t="str">
        <f>IF(AND(ISNUMBER(VALUE(TRIM(SUBSTITUTE(AD121,".","")))),TRIM(SUBSTITUTE(AD121,".",""))&lt;&gt;""),"P"&amp;SUBSTITUTE(AD121,".",""),"")</f>
        <v/>
      </c>
      <c r="FK121" s="1157" cm="1" t="str">
        <f t="array" ref="FK121:FK121">OFFSET(FJ121,-1,1)</f>
        <v>0</v>
      </c>
      <c r="FL121" s="1159"/>
      <c r="FM121" s="1159"/>
      <c r="FN121" s="1159"/>
      <c r="FO121" s="1159"/>
      <c r="FP121" s="1159"/>
      <c r="FQ121" s="1159"/>
      <c r="FR121" s="1159"/>
      <c r="FS121" s="1159"/>
      <c r="FT121" s="1159"/>
      <c r="FU121" s="1159"/>
      <c r="FV121" s="1159"/>
      <c r="FW121" s="1159"/>
      <c r="FX121" s="1159"/>
      <c r="FY121" s="1159"/>
      <c r="FZ121" s="1159"/>
    </row>
    <row customHeight="1" ht="29.25" hidden="1">
      <c r="E122" s="180">
        <v>30</v>
      </c>
      <c r="F122" s="175" cm="1" t="str">
        <f t="array" ref="F122:F122">OFFSET(G122,-1,-1)</f>
        <v>0</v>
      </c>
      <c r="L122" s="175" cm="1" t="str">
        <f t="array" ref="L122:L122">OFFSET(M122,-1,-1)</f>
        <v>false</v>
      </c>
      <c r="R122" s="175" t="s">
        <v>804</v>
      </c>
      <c r="S122" s="175" cm="1" t="str">
        <f t="array" ref="S122:S122">OFFSET(T122,-1,-1)</f>
        <v>false</v>
      </c>
      <c r="T122" s="175" cm="1" t="str">
        <f t="array" ref="T122:T122">L122</f>
        <v>false</v>
      </c>
      <c r="U122" s="753">
        <f>AND(S122,IF(ISBLANK(T122),TRUE,T122))</f>
        <v>0</v>
      </c>
      <c r="AB122" s="1607"/>
      <c r="AD122" s="327">
        <v>39</v>
      </c>
      <c r="AE122" s="1623" t="s">
        <v>981</v>
      </c>
      <c r="AF122" s="437"/>
      <c r="AG122" s="470" t="s">
        <v>917</v>
      </c>
      <c r="AH122" s="500">
        <f>SUM(AH123:AH124)</f>
        <v>0</v>
      </c>
      <c r="AI122" s="500">
        <f>SUM(AI123:AI124)</f>
        <v>0</v>
      </c>
      <c r="AJ122" s="500">
        <f>SUM(AJ123:AJ124)</f>
        <v>0</v>
      </c>
      <c r="AK122" s="500">
        <f>SUM(AK123:AK124)</f>
        <v>0</v>
      </c>
      <c r="AL122" s="500">
        <f>SUM(AL123:AL124)</f>
        <v>0</v>
      </c>
      <c r="AM122" s="500">
        <f>SUM(AM123:AM124)</f>
        <v>0</v>
      </c>
      <c r="AN122" s="500">
        <f>SUM(AN123:AN124)</f>
        <v>0</v>
      </c>
      <c r="AO122" s="500">
        <f>SUM(AO123:AO124)</f>
        <v>0</v>
      </c>
      <c r="AP122" s="500">
        <f>SUM(AP123:AP124)</f>
        <v>0</v>
      </c>
      <c r="AQ122" s="500">
        <f>SUM(AQ123:AQ124)</f>
        <v>0</v>
      </c>
      <c r="AR122" s="500">
        <f>SUM(AR123:AR124)</f>
        <v>0</v>
      </c>
      <c r="AS122" s="500">
        <f>SUM(AS123:AS124)</f>
        <v>0</v>
      </c>
      <c r="AT122" s="500">
        <f>SUM(AT123:AT124)</f>
        <v>0</v>
      </c>
      <c r="AU122" s="500">
        <f>SUM(AU123:AU124)</f>
        <v>0</v>
      </c>
      <c r="AV122" s="500">
        <f>SUM(AV123:AV124)</f>
        <v>0</v>
      </c>
      <c r="AW122" s="500">
        <f>SUM(AW123:AW124)</f>
        <v>0</v>
      </c>
      <c r="AX122" s="500">
        <f>SUM(AX123:AX124)</f>
        <v>0</v>
      </c>
      <c r="AY122" s="500">
        <f>SUM(AY123:AY124)</f>
        <v>0</v>
      </c>
      <c r="AZ122" s="500">
        <f>SUM(AZ123:AZ124)</f>
        <v>0</v>
      </c>
      <c r="BA122" s="500">
        <f>SUM(BA123:BA124)</f>
        <v>0</v>
      </c>
      <c r="BB122" s="500">
        <f>SUM(BB123:BB124)</f>
        <v>0</v>
      </c>
      <c r="BC122" s="500">
        <f>SUM(BC123:BC124)</f>
        <v>0</v>
      </c>
      <c r="BD122" s="500">
        <f>SUM(BD123:BD124)</f>
        <v>0</v>
      </c>
      <c r="BE122" s="500">
        <f>SUM(BE123:BE124)</f>
        <v>0</v>
      </c>
      <c r="BF122" s="500">
        <f>SUM(BF123:BF124)</f>
        <v>0</v>
      </c>
      <c r="BG122" s="500">
        <f>SUM(BG123:BG124)</f>
        <v>0</v>
      </c>
      <c r="BH122" s="500">
        <f>SUM(BH123:BH124)</f>
        <v>0</v>
      </c>
      <c r="BI122" s="500">
        <f>SUM(BI123:BI124)</f>
        <v>0</v>
      </c>
      <c r="BJ122" s="500">
        <f>SUM(BJ123:BJ124)</f>
        <v>0</v>
      </c>
      <c r="BK122" s="500">
        <f>SUM(BK123:BK124)</f>
        <v>0</v>
      </c>
      <c r="BL122" s="500">
        <f>SUM(BL123:BL124)</f>
        <v>0</v>
      </c>
      <c r="BM122" s="500">
        <f>SUM(BM123:BM124)</f>
        <v>0</v>
      </c>
      <c r="BN122" s="500">
        <f>SUM(BN123:BN124)</f>
        <v>0</v>
      </c>
      <c r="BO122" s="500">
        <f>SUM(BO123:BO124)</f>
        <v>0</v>
      </c>
      <c r="BP122" s="500">
        <f>SUM(BP123:BP124)</f>
        <v>0</v>
      </c>
      <c r="BQ122" s="500">
        <f>SUM(BQ123:BQ124)</f>
        <v>0</v>
      </c>
      <c r="BR122" s="500">
        <f>SUM(BR123:BR124)</f>
        <v>0</v>
      </c>
      <c r="BS122" s="500">
        <f>SUM(BS123:BS124)</f>
        <v>0</v>
      </c>
      <c r="BT122" s="500">
        <f>SUM(BT123:BT124)</f>
        <v>0</v>
      </c>
      <c r="BU122" s="500">
        <f>SUM(BU123:BU124)</f>
        <v>0</v>
      </c>
      <c r="BV122" s="500">
        <f>SUM(BV123:BV124)</f>
        <v>0</v>
      </c>
      <c r="BW122" s="500">
        <f>SUM(BW123:BW124)</f>
        <v>0</v>
      </c>
      <c r="BX122" s="500">
        <f>SUM(BX123:BX124)</f>
        <v>0</v>
      </c>
      <c r="BY122" s="500">
        <f>SUM(BY123:BY124)</f>
        <v>0</v>
      </c>
      <c r="BZ122" s="500">
        <f>SUM(BZ123:BZ124)</f>
        <v>0</v>
      </c>
      <c r="CA122" s="500">
        <f>SUM(CA123:CA124)</f>
        <v>0</v>
      </c>
      <c r="CB122" s="500">
        <f>SUM(CB123:CB124)</f>
        <v>0</v>
      </c>
      <c r="CC122" s="500">
        <f>SUM(CC123:CC124)</f>
        <v>0</v>
      </c>
      <c r="CD122" s="500">
        <f>SUM(CD123:CD124)</f>
        <v>0</v>
      </c>
      <c r="CE122" s="500">
        <f>SUM(CE123:CE124)</f>
        <v>0</v>
      </c>
      <c r="CF122" s="500">
        <f>SUM(CF123:CF124)</f>
        <v>0</v>
      </c>
      <c r="CG122" s="500">
        <f>SUM(CG123:CG124)</f>
        <v>0</v>
      </c>
      <c r="CH122" s="500">
        <f>SUM(CH123:CH124)</f>
        <v>0</v>
      </c>
      <c r="CI122" s="500">
        <f>SUM(CI123:CI124)</f>
        <v>0</v>
      </c>
      <c r="CJ122" s="500">
        <f>SUM(CJ123:CJ124)</f>
        <v>0</v>
      </c>
      <c r="CK122" s="500">
        <f>SUM(CK123:CK124)</f>
        <v>0</v>
      </c>
      <c r="CL122" s="500">
        <f>SUM(CL123:CL124)</f>
        <v>0</v>
      </c>
      <c r="CM122" s="500">
        <f>SUM(CM123:CM124)</f>
        <v>0</v>
      </c>
      <c r="CN122" s="500">
        <f>SUM(CN123:CN124)</f>
        <v>0</v>
      </c>
      <c r="CO122" s="500">
        <f>SUM(CO123:CO124)</f>
        <v>0</v>
      </c>
      <c r="CP122" s="500">
        <f>SUM(CP123:CP124)</f>
        <v>0</v>
      </c>
      <c r="CQ122" s="500">
        <f>SUM(CQ123:CQ124)</f>
        <v>0</v>
      </c>
      <c r="CR122" s="500">
        <f>SUM(CR123:CR124)</f>
        <v>0</v>
      </c>
      <c r="CS122" s="500">
        <f>SUM(CS123:CS124)</f>
        <v>0</v>
      </c>
      <c r="CT122" s="500">
        <f>SUM(CT123:CT124)</f>
        <v>0</v>
      </c>
      <c r="CU122" s="500">
        <f>SUM(CU123:CU124)</f>
        <v>0</v>
      </c>
      <c r="CV122" s="500">
        <f>SUM(CV123:CV124)</f>
        <v>0</v>
      </c>
      <c r="CW122" s="500">
        <f>SUM(CW123:CW124)</f>
        <v>0</v>
      </c>
      <c r="CX122" s="500">
        <f>SUM(CX123:CX124)</f>
        <v>0</v>
      </c>
      <c r="CY122" s="500">
        <f>SUM(CY123:CY124)</f>
        <v>0</v>
      </c>
      <c r="CZ122" s="500">
        <f>SUM(CZ123:CZ124)</f>
        <v>0</v>
      </c>
      <c r="DA122" s="500">
        <f>SUM(DA123:DA124)</f>
        <v>0</v>
      </c>
      <c r="DB122" s="500">
        <f>SUM(DB123:DB124)</f>
        <v>0</v>
      </c>
      <c r="DC122" s="500">
        <f>SUM(DC123:DC124)</f>
        <v>0</v>
      </c>
      <c r="DD122" s="500">
        <f>SUM(DD123:DD124)</f>
        <v>0</v>
      </c>
      <c r="DE122" s="500">
        <f>SUM(DE123:DE124)</f>
        <v>0</v>
      </c>
      <c r="DF122" s="500">
        <f>SUM(DF123:DF124)</f>
        <v>0</v>
      </c>
      <c r="DG122" s="500">
        <f>SUM(DG123:DG124)</f>
        <v>0</v>
      </c>
      <c r="DH122" s="500">
        <f>SUM(DH123:DH124)</f>
        <v>0</v>
      </c>
      <c r="DI122" s="500">
        <f>SUM(DI123:DI124)</f>
        <v>0</v>
      </c>
      <c r="DJ122" s="500">
        <f>SUM(DJ123:DJ124)</f>
        <v>0</v>
      </c>
      <c r="DK122" s="500">
        <f>SUM(DK123:DK124)</f>
        <v>0</v>
      </c>
      <c r="DL122" s="500">
        <f>SUM(DL123:DL124)</f>
        <v>0</v>
      </c>
      <c r="DM122" s="500">
        <f>SUM(DM123:DM124)</f>
        <v>0</v>
      </c>
      <c r="DN122" s="500">
        <f>SUM(DN123:DN124)</f>
        <v>0</v>
      </c>
      <c r="DO122" s="500">
        <f>SUM(DO123:DO124)</f>
        <v>0</v>
      </c>
      <c r="DP122" s="500">
        <f>SUM(DP123:DP124)</f>
        <v>0</v>
      </c>
      <c r="DQ122" s="500">
        <f>SUM(DQ123:DQ124)</f>
        <v>0</v>
      </c>
      <c r="DR122" s="500">
        <f>SUM(DR123:DR124)</f>
        <v>0</v>
      </c>
      <c r="DS122" s="500">
        <f>SUM(DS123:DS124)</f>
        <v>0</v>
      </c>
      <c r="DT122" s="500">
        <f>SUM(DT123:DT124)</f>
        <v>0</v>
      </c>
      <c r="DU122" s="500">
        <f>SUM(DU123:DU124)</f>
        <v>0</v>
      </c>
      <c r="DV122" s="500">
        <f>SUM(DV123:DV124)</f>
        <v>0</v>
      </c>
      <c r="DW122" s="500">
        <f>SUM(DW123:DW124)</f>
        <v>0</v>
      </c>
      <c r="DX122" s="500">
        <f>SUM(DX123:DX124)</f>
        <v>0</v>
      </c>
      <c r="DY122" s="500">
        <f>SUM(DY123:DY124)</f>
        <v>0</v>
      </c>
      <c r="DZ122" s="500">
        <f>SUM(DZ123:DZ124)</f>
        <v>0</v>
      </c>
      <c r="EA122" s="500">
        <f>SUM(EA123:EA124)</f>
        <v>0</v>
      </c>
      <c r="EB122" s="500">
        <f>SUM(EB123:EB124)</f>
        <v>0</v>
      </c>
      <c r="EC122" s="500">
        <f>SUM(EC123:EC124)</f>
        <v>0</v>
      </c>
      <c r="ED122" s="500">
        <f>SUM(ED123:ED124)</f>
        <v>0</v>
      </c>
      <c r="EE122" s="500">
        <f>SUM(EE123:EE124)</f>
        <v>0</v>
      </c>
      <c r="EF122" s="500">
        <f>SUM(EF123:EF124)</f>
        <v>0</v>
      </c>
      <c r="EG122" s="500">
        <f>SUM(EG123:EG124)</f>
        <v>0</v>
      </c>
      <c r="EH122" s="500">
        <f>SUM(EH123:EH124)</f>
        <v>0</v>
      </c>
      <c r="EI122" s="500">
        <f>SUM(EI123:EI124)</f>
        <v>0</v>
      </c>
      <c r="EJ122" s="500">
        <f>SUM(EJ123:EJ124)</f>
        <v>0</v>
      </c>
      <c r="EK122" s="500">
        <f>SUM(EK123:EK124)</f>
        <v>0</v>
      </c>
      <c r="EL122" s="500">
        <f>SUM(EL123:EL124)</f>
        <v>0</v>
      </c>
      <c r="EM122" s="500">
        <f>SUM(EM123:EM124)</f>
        <v>0</v>
      </c>
      <c r="EN122" s="500">
        <f>SUM(EN123:EN124)</f>
        <v>0</v>
      </c>
      <c r="EO122" s="500">
        <f>SUM(EO123:EO124)</f>
        <v>0</v>
      </c>
      <c r="EP122" s="500">
        <f>SUM(EP123:EP124)</f>
        <v>0</v>
      </c>
      <c r="EQ122" s="500">
        <f>SUM(EQ123:EQ124)</f>
        <v>0</v>
      </c>
      <c r="ER122" s="500">
        <f>SUM(ER123:ER124)</f>
        <v>0</v>
      </c>
      <c r="ES122" s="500">
        <f>SUM(ES123:ES124)</f>
        <v>0</v>
      </c>
      <c r="ET122" s="500">
        <f>SUM(ET123:ET124)</f>
        <v>0</v>
      </c>
      <c r="EU122" s="500">
        <f>SUM(EU123:EU124)</f>
        <v>0</v>
      </c>
      <c r="EV122" s="500">
        <f>SUM(EV123:EV124)</f>
        <v>0</v>
      </c>
      <c r="EW122" s="500">
        <f>SUM(EW123:EW124)</f>
        <v>0</v>
      </c>
      <c r="EX122" s="500">
        <f>SUM(EX123:EX124)</f>
        <v>0</v>
      </c>
      <c r="EY122" s="500">
        <f>SUM(EY123:EY124)</f>
        <v>0</v>
      </c>
      <c r="EZ122" s="500">
        <f>SUM(EZ123:EZ124)</f>
        <v>0</v>
      </c>
      <c r="FA122" s="500">
        <f>SUM(FA123:FA124)</f>
        <v>0</v>
      </c>
      <c r="FB122" s="83"/>
      <c r="FE122" s="489" t="s">
        <v>982</v>
      </c>
      <c r="FK122" s="1157" cm="1" t="str">
        <f t="array" ref="FK122:FK122">OFFSET(FJ122,-1,1)</f>
        <v>0</v>
      </c>
      <c r="FL122" s="1078"/>
      <c r="FM122" s="1078" t="s">
        <v>978</v>
      </c>
      <c r="FN122" s="1159"/>
      <c r="FO122" s="1159"/>
      <c r="FP122" s="1159"/>
      <c r="FQ122" s="1159"/>
      <c r="FR122" s="1078" t="s">
        <v>561</v>
      </c>
      <c r="FS122" s="1159"/>
      <c r="FT122" s="1159"/>
      <c r="FU122" s="1159"/>
      <c r="FV122" s="1159"/>
      <c r="FW122" s="1159"/>
      <c r="FX122" s="1078" t="s">
        <v>303</v>
      </c>
      <c r="FY122" s="1078" t="s">
        <v>919</v>
      </c>
      <c r="FZ122" s="1078" t="s">
        <v>920</v>
      </c>
    </row>
    <row customHeight="1" ht="16.575" hidden="1">
      <c r="E123" s="180">
        <v>17</v>
      </c>
      <c r="F123" s="175" cm="1" t="str">
        <f t="array" ref="F123:F123">OFFSET(G123,-1,-1)</f>
        <v>0</v>
      </c>
      <c r="L123" s="175" cm="1" t="str">
        <f t="array" ref="L123:L123">OFFSET(M123,-1,-1)</f>
        <v>false</v>
      </c>
      <c r="R123" s="175" t="s">
        <v>804</v>
      </c>
      <c r="S123" s="175" cm="1" t="str">
        <f t="array" ref="S123:S123">OFFSET(T123,-1,-1)</f>
        <v>false</v>
      </c>
      <c r="T123" s="175">
        <f>AND(L123,AD123&lt;&gt;"39.0")</f>
        <v>0</v>
      </c>
      <c r="U123" s="753">
        <f>AND(S123,IF(ISBLANK(T123),TRUE,T123))</f>
        <v>0</v>
      </c>
      <c r="X123" s="175" t="s">
        <v>189</v>
      </c>
      <c r="AB123" s="1607"/>
      <c r="AD123" s="491" t="s">
        <v>983</v>
      </c>
      <c r="AE123" s="514"/>
      <c r="AF123" s="515"/>
      <c r="AG123" s="470" t="s">
        <v>917</v>
      </c>
      <c r="AH123" s="88">
        <f>AH$52*AH120</f>
        <v>0</v>
      </c>
      <c r="AI123" s="89">
        <f>AI$52*AI120</f>
        <v>0</v>
      </c>
      <c r="AJ123" s="89">
        <f>AJ$52*AJ120</f>
        <v>0</v>
      </c>
      <c r="AK123" s="89">
        <f>AK$52*AK120</f>
        <v>0</v>
      </c>
      <c r="AL123" s="499">
        <f>AM123+AN123</f>
        <v>0</v>
      </c>
      <c r="AM123" s="89">
        <f>AM$52*AM120</f>
        <v>0</v>
      </c>
      <c r="AN123" s="89">
        <f>AN$52*AN120</f>
        <v>0</v>
      </c>
      <c r="AO123" s="499">
        <f>AP123+AQ123</f>
        <v>0</v>
      </c>
      <c r="AP123" s="89">
        <f>AP$52*AP120</f>
        <v>0</v>
      </c>
      <c r="AQ123" s="89">
        <f>AQ$52*AQ120</f>
        <v>0</v>
      </c>
      <c r="AR123" s="499">
        <f>AS123+AT123</f>
        <v>0</v>
      </c>
      <c r="AS123" s="89">
        <f>AS$52*AS120</f>
        <v>0</v>
      </c>
      <c r="AT123" s="89">
        <f>AT$52*AT120</f>
        <v>0</v>
      </c>
      <c r="AU123" s="499">
        <f>AV123+AW123</f>
        <v>0</v>
      </c>
      <c r="AV123" s="89">
        <f>AV$52*AV120</f>
        <v>0</v>
      </c>
      <c r="AW123" s="89">
        <f>AW$52*AW120</f>
        <v>0</v>
      </c>
      <c r="AX123" s="499">
        <f>AY123+AZ123</f>
        <v>0</v>
      </c>
      <c r="AY123" s="89">
        <f>AY$52*AY120</f>
        <v>0</v>
      </c>
      <c r="AZ123" s="89">
        <f>AZ$52*AZ120</f>
        <v>0</v>
      </c>
      <c r="BA123" s="499">
        <f>BB123+BC123</f>
        <v>0</v>
      </c>
      <c r="BB123" s="89">
        <f>BB$52*BB120</f>
        <v>0</v>
      </c>
      <c r="BC123" s="89">
        <f>BC$52*BC120</f>
        <v>0</v>
      </c>
      <c r="BD123" s="499">
        <f>BE123+BF123</f>
        <v>0</v>
      </c>
      <c r="BE123" s="89">
        <f>BE$52*BE120</f>
        <v>0</v>
      </c>
      <c r="BF123" s="89">
        <f>BF$52*BF120</f>
        <v>0</v>
      </c>
      <c r="BG123" s="499">
        <f>BH123+BI123</f>
        <v>0</v>
      </c>
      <c r="BH123" s="89">
        <f>BH$52*BH120</f>
        <v>0</v>
      </c>
      <c r="BI123" s="89">
        <f>BI$52*BI120</f>
        <v>0</v>
      </c>
      <c r="BJ123" s="499">
        <f>BK123+BL123</f>
        <v>0</v>
      </c>
      <c r="BK123" s="89">
        <f>BK$52*BK120</f>
        <v>0</v>
      </c>
      <c r="BL123" s="89">
        <f>BL$52*BL120</f>
        <v>0</v>
      </c>
      <c r="BM123" s="499">
        <f>BN123+BO123</f>
        <v>0</v>
      </c>
      <c r="BN123" s="89">
        <f>BN$52*BN120</f>
        <v>0</v>
      </c>
      <c r="BO123" s="89">
        <f>BO$52*BO120</f>
        <v>0</v>
      </c>
      <c r="BP123" s="499">
        <f>BQ123+BR123</f>
        <v>0</v>
      </c>
      <c r="BQ123" s="89">
        <f>BQ$52*BQ120</f>
        <v>0</v>
      </c>
      <c r="BR123" s="89">
        <f>BR$52*BR120</f>
        <v>0</v>
      </c>
      <c r="BS123" s="499">
        <f>BT123+BU123</f>
        <v>0</v>
      </c>
      <c r="BT123" s="89">
        <f>BT$52*BT120</f>
        <v>0</v>
      </c>
      <c r="BU123" s="89">
        <f>BU$52*BU120</f>
        <v>0</v>
      </c>
      <c r="BV123" s="499">
        <f>BW123+BX123</f>
        <v>0</v>
      </c>
      <c r="BW123" s="89">
        <f>BW$52*BW120</f>
        <v>0</v>
      </c>
      <c r="BX123" s="89">
        <f>BX$52*BX120</f>
        <v>0</v>
      </c>
      <c r="BY123" s="499">
        <f>BZ123+CA123</f>
        <v>0</v>
      </c>
      <c r="BZ123" s="89">
        <f>BZ$52*BZ120</f>
        <v>0</v>
      </c>
      <c r="CA123" s="89">
        <f>CA$52*CA120</f>
        <v>0</v>
      </c>
      <c r="CB123" s="499">
        <f>CC123+CD123</f>
        <v>0</v>
      </c>
      <c r="CC123" s="89">
        <f>CC$52*CC120</f>
        <v>0</v>
      </c>
      <c r="CD123" s="89">
        <f>CD$52*CD120</f>
        <v>0</v>
      </c>
      <c r="CE123" s="499">
        <f>CF123+CG123</f>
        <v>0</v>
      </c>
      <c r="CF123" s="89">
        <f>CF$52*CF120</f>
        <v>0</v>
      </c>
      <c r="CG123" s="89">
        <f>CG$52*CG120</f>
        <v>0</v>
      </c>
      <c r="CH123" s="499">
        <f>CI123+CJ123</f>
        <v>0</v>
      </c>
      <c r="CI123" s="89">
        <f>CI$52*CI120</f>
        <v>0</v>
      </c>
      <c r="CJ123" s="89">
        <f>CJ$52*CJ120</f>
        <v>0</v>
      </c>
      <c r="CK123" s="499">
        <f>CL123+CM123</f>
        <v>0</v>
      </c>
      <c r="CL123" s="89">
        <f>CL$52*CL120</f>
        <v>0</v>
      </c>
      <c r="CM123" s="89">
        <f>CM$52*CM120</f>
        <v>0</v>
      </c>
      <c r="CN123" s="499">
        <f>CO123+CP123</f>
        <v>0</v>
      </c>
      <c r="CO123" s="89">
        <f>CO$52*CO120</f>
        <v>0</v>
      </c>
      <c r="CP123" s="89">
        <f>CP$52*CP120</f>
        <v>0</v>
      </c>
      <c r="CQ123" s="499">
        <f>CR123+CS123</f>
        <v>0</v>
      </c>
      <c r="CR123" s="89">
        <f>CR$52*CR120</f>
        <v>0</v>
      </c>
      <c r="CS123" s="89">
        <f>CS$52*CS120</f>
        <v>0</v>
      </c>
      <c r="CT123" s="499">
        <f>CU123+CV123</f>
        <v>0</v>
      </c>
      <c r="CU123" s="498">
        <f>CU$52*CU120</f>
        <v>0</v>
      </c>
      <c r="CV123" s="498">
        <f>CV$52*CV120</f>
        <v>0</v>
      </c>
      <c r="CW123" s="499">
        <f>CX123+CY123</f>
        <v>0</v>
      </c>
      <c r="CX123" s="89">
        <f>CX$52*CX120</f>
        <v>0</v>
      </c>
      <c r="CY123" s="89">
        <f>CY$52*CY120</f>
        <v>0</v>
      </c>
      <c r="CZ123" s="499">
        <f>DA123+DB123</f>
        <v>0</v>
      </c>
      <c r="DA123" s="89">
        <f>DA$52*DA120</f>
        <v>0</v>
      </c>
      <c r="DB123" s="89">
        <f>DB$52*DB120</f>
        <v>0</v>
      </c>
      <c r="DC123" s="499">
        <f>DD123+DE123</f>
        <v>0</v>
      </c>
      <c r="DD123" s="89">
        <f>DD$52*DD120</f>
        <v>0</v>
      </c>
      <c r="DE123" s="89">
        <f>DE$52*DE120</f>
        <v>0</v>
      </c>
      <c r="DF123" s="499">
        <f>DG123+DH123</f>
        <v>0</v>
      </c>
      <c r="DG123" s="89">
        <f>DG$52*DG120</f>
        <v>0</v>
      </c>
      <c r="DH123" s="89">
        <f>DH$52*DH120</f>
        <v>0</v>
      </c>
      <c r="DI123" s="499">
        <f>DJ123+DK123</f>
        <v>0</v>
      </c>
      <c r="DJ123" s="89">
        <f>DJ$52*DJ120</f>
        <v>0</v>
      </c>
      <c r="DK123" s="89">
        <f>DK$52*DK120</f>
        <v>0</v>
      </c>
      <c r="DL123" s="499">
        <f>DM123+DN123</f>
        <v>0</v>
      </c>
      <c r="DM123" s="89">
        <f>DM$52*DM120</f>
        <v>0</v>
      </c>
      <c r="DN123" s="89">
        <f>DN$52*DN120</f>
        <v>0</v>
      </c>
      <c r="DO123" s="499">
        <f>DP123+DQ123</f>
        <v>0</v>
      </c>
      <c r="DP123" s="89">
        <f>DP$52*DP120</f>
        <v>0</v>
      </c>
      <c r="DQ123" s="89">
        <f>DQ$52*DQ120</f>
        <v>0</v>
      </c>
      <c r="DR123" s="499">
        <f>DS123+DT123</f>
        <v>0</v>
      </c>
      <c r="DS123" s="89">
        <f>DS$52*DS120</f>
        <v>0</v>
      </c>
      <c r="DT123" s="89">
        <f>DT$52*DT120</f>
        <v>0</v>
      </c>
      <c r="DU123" s="499">
        <f>DV123+DW123</f>
        <v>0</v>
      </c>
      <c r="DV123" s="89">
        <f>DV$52*DV120</f>
        <v>0</v>
      </c>
      <c r="DW123" s="89">
        <f>DW$52*DW120</f>
        <v>0</v>
      </c>
      <c r="DX123" s="499">
        <f>DY123+DZ123</f>
        <v>0</v>
      </c>
      <c r="DY123" s="89">
        <f>DY$52*DY120</f>
        <v>0</v>
      </c>
      <c r="DZ123" s="89">
        <f>DZ$52*DZ120</f>
        <v>0</v>
      </c>
      <c r="EA123" s="499">
        <f>EB123+EC123</f>
        <v>0</v>
      </c>
      <c r="EB123" s="89">
        <f>EB$52*EB120</f>
        <v>0</v>
      </c>
      <c r="EC123" s="89">
        <f>EC$52*EC120</f>
        <v>0</v>
      </c>
      <c r="ED123" s="499">
        <f>EE123+EF123</f>
        <v>0</v>
      </c>
      <c r="EE123" s="89">
        <f>EE$52*EE120</f>
        <v>0</v>
      </c>
      <c r="EF123" s="89">
        <f>EF$52*EF120</f>
        <v>0</v>
      </c>
      <c r="EG123" s="499">
        <f>EH123+EI123</f>
        <v>0</v>
      </c>
      <c r="EH123" s="89">
        <f>EH$52*EH120</f>
        <v>0</v>
      </c>
      <c r="EI123" s="89">
        <f>EI$52*EI120</f>
        <v>0</v>
      </c>
      <c r="EJ123" s="499">
        <f>EK123+EL123</f>
        <v>0</v>
      </c>
      <c r="EK123" s="89">
        <f>EK$52*EK120</f>
        <v>0</v>
      </c>
      <c r="EL123" s="89">
        <f>EL$52*EL120</f>
        <v>0</v>
      </c>
      <c r="EM123" s="499">
        <f>EN123+EO123</f>
        <v>0</v>
      </c>
      <c r="EN123" s="89">
        <f>EN$52*EN120</f>
        <v>0</v>
      </c>
      <c r="EO123" s="89">
        <f>EO$52*EO120</f>
        <v>0</v>
      </c>
      <c r="EP123" s="499">
        <f>EQ123+ER123</f>
        <v>0</v>
      </c>
      <c r="EQ123" s="89">
        <f>EQ$52*EQ120</f>
        <v>0</v>
      </c>
      <c r="ER123" s="89">
        <f>ER$52*ER120</f>
        <v>0</v>
      </c>
      <c r="ES123" s="499">
        <f>ET123+EU123</f>
        <v>0</v>
      </c>
      <c r="ET123" s="89">
        <f>ET$52*ET120</f>
        <v>0</v>
      </c>
      <c r="EU123" s="89">
        <f>EU$52*EU120</f>
        <v>0</v>
      </c>
      <c r="EV123" s="499">
        <f>EW123+EX123</f>
        <v>0</v>
      </c>
      <c r="EW123" s="89">
        <f>EW$52*EW120</f>
        <v>0</v>
      </c>
      <c r="EX123" s="89">
        <f>EX$52*EX120</f>
        <v>0</v>
      </c>
      <c r="EY123" s="499">
        <f>EZ123+FA123</f>
        <v>0</v>
      </c>
      <c r="EZ123" s="89">
        <f>EZ$52*EZ120</f>
        <v>0</v>
      </c>
      <c r="FA123" s="89">
        <f>FA$52*FA120</f>
        <v>0</v>
      </c>
      <c r="FB123" s="83"/>
      <c r="FE123" s="489" t="s">
        <v>982</v>
      </c>
      <c r="FF123" s="648" t="s">
        <v>890</v>
      </c>
      <c r="FG123" s="648" cm="1" t="str">
        <f t="array" ref="FG123:FG123">AE123</f>
        <v>0</v>
      </c>
      <c r="FH123" s="648" cm="1" t="str">
        <f t="array" ref="FH123:FH123">AF123</f>
        <v>0</v>
      </c>
      <c r="FK123" s="1157" cm="1" t="str">
        <f t="array" ref="FK123:FK123">OFFSET(FJ123,-1,1)</f>
        <v>0</v>
      </c>
      <c r="FL123" s="1159"/>
      <c r="FM123" s="1159" t="s">
        <v>978</v>
      </c>
      <c r="FN123" s="1159"/>
      <c r="FO123" s="1159"/>
      <c r="FP123" s="1159"/>
      <c r="FQ123" s="1159"/>
      <c r="FR123" s="1159" t="s">
        <v>561</v>
      </c>
      <c r="FS123" s="1159"/>
      <c r="FT123" s="1159"/>
      <c r="FU123" s="1159"/>
      <c r="FV123" s="1159"/>
      <c r="FW123" s="1078" t="str">
        <f>$AE123&amp;"|"&amp;$AF123</f>
        <v>|</v>
      </c>
      <c r="FX123" s="1159" t="s">
        <v>303</v>
      </c>
      <c r="FY123" s="1159" t="s">
        <v>919</v>
      </c>
      <c r="FZ123" s="1159" t="s">
        <v>920</v>
      </c>
    </row>
    <row customHeight="1" ht="15" hidden="1">
      <c r="E124" s="965">
        <v>0</v>
      </c>
      <c r="F124" s="175" cm="1" t="str">
        <f t="array" ref="F124:F124">OFFSET(G124,-1,-1)</f>
        <v>0</v>
      </c>
      <c r="L124" s="175" cm="1" t="str">
        <f t="array" ref="L124:L124">OFFSET(M124,-1,-1)</f>
        <v>false</v>
      </c>
      <c r="S124" s="175" cm="1" t="str">
        <f t="array" ref="S124:S124">OFFSET(T124,-1,-1)</f>
        <v>false</v>
      </c>
      <c r="U124" s="753">
        <f>AND(S124,IF(ISBLANK(T124),TRUE,T124))</f>
        <v>0</v>
      </c>
      <c r="X124" s="980" t="str">
        <f>"{                  
         funcDyn: 'msg1',
         blok: 'blok_2',
         wsCross: 'Топливо 4.4',
         linkFormula: 'AE-AE#AF-AF',
         levelDyn: "&amp;Y28&amp;"
}"</f>
        <v>{                  
         funcDyn: 'msg1',
         blok: 'blok_2',
         wsCross: 'Топливо 4.4',
         linkFormula: 'AE-AE#AF-AF',
         levelDyn: 0
}</v>
      </c>
      <c r="AB124" s="1608"/>
      <c r="AD124" s="517"/>
      <c r="AE124" s="518" t="s">
        <v>191</v>
      </c>
      <c r="AF124" s="519"/>
      <c r="AG124" s="470"/>
      <c r="AH124" s="524"/>
      <c r="AI124" s="525"/>
      <c r="AJ124" s="525"/>
      <c r="AK124" s="525"/>
      <c r="AL124" s="525"/>
      <c r="AM124" s="525"/>
      <c r="AN124" s="525"/>
      <c r="AO124" s="525"/>
      <c r="AP124" s="525"/>
      <c r="AQ124" s="525"/>
      <c r="AR124" s="525"/>
      <c r="AS124" s="525"/>
      <c r="AT124" s="525"/>
      <c r="AU124" s="525"/>
      <c r="AV124" s="525"/>
      <c r="AW124" s="525"/>
      <c r="AX124" s="525"/>
      <c r="AY124" s="525"/>
      <c r="AZ124" s="525"/>
      <c r="BA124" s="525"/>
      <c r="BB124" s="525"/>
      <c r="BC124" s="525"/>
      <c r="BD124" s="525"/>
      <c r="BE124" s="525"/>
      <c r="BF124" s="525"/>
      <c r="BG124" s="525"/>
      <c r="BH124" s="525"/>
      <c r="BI124" s="525"/>
      <c r="BJ124" s="525"/>
      <c r="BK124" s="525"/>
      <c r="BL124" s="525"/>
      <c r="BM124" s="525"/>
      <c r="BN124" s="525"/>
      <c r="BO124" s="525"/>
      <c r="BP124" s="525"/>
      <c r="BQ124" s="525"/>
      <c r="BR124" s="525"/>
      <c r="BS124" s="525"/>
      <c r="BT124" s="525"/>
      <c r="BU124" s="525"/>
      <c r="BV124" s="525"/>
      <c r="BW124" s="525"/>
      <c r="BX124" s="525"/>
      <c r="BY124" s="525"/>
      <c r="BZ124" s="525"/>
      <c r="CA124" s="525"/>
      <c r="CB124" s="525"/>
      <c r="CC124" s="525"/>
      <c r="CD124" s="525"/>
      <c r="CE124" s="525"/>
      <c r="CF124" s="525"/>
      <c r="CG124" s="525"/>
      <c r="CH124" s="525"/>
      <c r="CI124" s="525"/>
      <c r="CJ124" s="525"/>
      <c r="CK124" s="525"/>
      <c r="CL124" s="525"/>
      <c r="CM124" s="525"/>
      <c r="CN124" s="525"/>
      <c r="CO124" s="525"/>
      <c r="CP124" s="525"/>
      <c r="CQ124" s="525"/>
      <c r="CR124" s="525"/>
      <c r="CS124" s="525"/>
      <c r="CT124" s="525"/>
      <c r="CU124" s="525"/>
      <c r="CV124" s="525"/>
      <c r="CW124" s="525"/>
      <c r="CX124" s="525"/>
      <c r="CY124" s="525"/>
      <c r="CZ124" s="525"/>
      <c r="DA124" s="525"/>
      <c r="DB124" s="525"/>
      <c r="DC124" s="525"/>
      <c r="DD124" s="525"/>
      <c r="DE124" s="525"/>
      <c r="DF124" s="525"/>
      <c r="DG124" s="525"/>
      <c r="DH124" s="525"/>
      <c r="DI124" s="525"/>
      <c r="DJ124" s="525"/>
      <c r="DK124" s="525"/>
      <c r="DL124" s="525"/>
      <c r="DM124" s="525"/>
      <c r="DN124" s="525"/>
      <c r="DO124" s="525"/>
      <c r="DP124" s="525"/>
      <c r="DQ124" s="525"/>
      <c r="DR124" s="525"/>
      <c r="DS124" s="525"/>
      <c r="DT124" s="525"/>
      <c r="DU124" s="525"/>
      <c r="DV124" s="525"/>
      <c r="DW124" s="525"/>
      <c r="DX124" s="525"/>
      <c r="DY124" s="525"/>
      <c r="DZ124" s="525"/>
      <c r="EA124" s="525"/>
      <c r="EB124" s="525"/>
      <c r="EC124" s="525"/>
      <c r="ED124" s="525"/>
      <c r="EE124" s="525"/>
      <c r="EF124" s="525"/>
      <c r="EG124" s="525"/>
      <c r="EH124" s="525"/>
      <c r="EI124" s="525"/>
      <c r="EJ124" s="525"/>
      <c r="EK124" s="525"/>
      <c r="EL124" s="525"/>
      <c r="EM124" s="525"/>
      <c r="EN124" s="525"/>
      <c r="EO124" s="525"/>
      <c r="EP124" s="525"/>
      <c r="EQ124" s="525"/>
      <c r="ER124" s="525"/>
      <c r="ES124" s="525"/>
      <c r="ET124" s="525"/>
      <c r="EU124" s="525"/>
      <c r="EV124" s="525"/>
      <c r="EW124" s="525"/>
      <c r="EX124" s="525"/>
      <c r="EY124" s="525"/>
      <c r="EZ124" s="525"/>
      <c r="FA124" s="525"/>
      <c r="FB124" s="93"/>
      <c r="FE124" s="489" t="str">
        <f>IF(AND(ISNUMBER(VALUE(TRIM(SUBSTITUTE(AD124,".","")))),TRIM(SUBSTITUTE(AD124,".",""))&lt;&gt;""),"P"&amp;SUBSTITUTE(AD124,".",""),"")</f>
        <v/>
      </c>
      <c r="FK124" s="1157" cm="1" t="str">
        <f t="array" ref="FK124:FK124">OFFSET(FJ124,-1,1)</f>
        <v>0</v>
      </c>
      <c r="FL124" s="1159"/>
      <c r="FM124" s="1159"/>
      <c r="FN124" s="1159"/>
      <c r="FO124" s="1159"/>
      <c r="FP124" s="1159"/>
      <c r="FQ124" s="1159"/>
      <c r="FR124" s="1159"/>
      <c r="FS124" s="1159"/>
      <c r="FT124" s="1159"/>
      <c r="FU124" s="1159"/>
      <c r="FV124" s="1159"/>
      <c r="FW124" s="1159"/>
      <c r="FX124" s="1159"/>
      <c r="FY124" s="1159"/>
      <c r="FZ124" s="1159"/>
    </row>
    <row customHeight="1" ht="16.575" hidden="1">
      <c r="E125" s="180">
        <v>17</v>
      </c>
      <c r="F125" s="175" cm="1" t="str">
        <f t="array" ref="F125:F125">OFFSET(G125,-1,-1)</f>
        <v>0</v>
      </c>
      <c r="L125" s="175" cm="1" t="str">
        <f t="array" ref="L125:L125">OFFSET(M125,-1,-1)</f>
        <v>false</v>
      </c>
      <c r="S125" s="175" cm="1" t="str">
        <f t="array" ref="S125:S125">OFFSET(T125,-1,-1)</f>
        <v>false</v>
      </c>
      <c r="U125" s="753">
        <f>AND(S125,IF(ISBLANK(T125),TRUE,T125))</f>
        <v>0</v>
      </c>
      <c r="AB125" s="1649" t="s">
        <v>984</v>
      </c>
      <c r="AD125" s="327">
        <v>40</v>
      </c>
      <c r="AE125" s="1623" t="s">
        <v>985</v>
      </c>
      <c r="AF125" s="437"/>
      <c r="AG125" s="470" t="s">
        <v>917</v>
      </c>
      <c r="AH125" s="500">
        <f>SUM(AH129:AH130)</f>
        <v>0</v>
      </c>
      <c r="AI125" s="500">
        <f>SUM(AI129:AI130)</f>
        <v>0</v>
      </c>
      <c r="AJ125" s="500">
        <f>SUM(AJ129:AJ130)</f>
        <v>0</v>
      </c>
      <c r="AK125" s="500">
        <f>SUM(AK129:AK130)</f>
        <v>0</v>
      </c>
      <c r="AL125" s="500">
        <f>SUM(AL129:AL130)</f>
        <v>0</v>
      </c>
      <c r="AM125" s="500">
        <f>SUM(AM129:AM130)</f>
        <v>0</v>
      </c>
      <c r="AN125" s="500">
        <f>SUM(AN129:AN130)</f>
        <v>0</v>
      </c>
      <c r="AO125" s="500">
        <f>SUM(AO129:AO130)</f>
        <v>0</v>
      </c>
      <c r="AP125" s="500">
        <f>SUM(AP129:AP130)</f>
        <v>0</v>
      </c>
      <c r="AQ125" s="500">
        <f>SUM(AQ129:AQ130)</f>
        <v>0</v>
      </c>
      <c r="AR125" s="500">
        <f>SUM(AR129:AR130)</f>
        <v>0</v>
      </c>
      <c r="AS125" s="500">
        <f>SUM(AS129:AS130)</f>
        <v>0</v>
      </c>
      <c r="AT125" s="500">
        <f>SUM(AT129:AT130)</f>
        <v>0</v>
      </c>
      <c r="AU125" s="500">
        <f>SUM(AU129:AU130)</f>
        <v>0</v>
      </c>
      <c r="AV125" s="500">
        <f>SUM(AV129:AV130)</f>
        <v>0</v>
      </c>
      <c r="AW125" s="500">
        <f>SUM(AW129:AW130)</f>
        <v>0</v>
      </c>
      <c r="AX125" s="500">
        <f>SUM(AX129:AX130)</f>
        <v>0</v>
      </c>
      <c r="AY125" s="500">
        <f>SUM(AY129:AY130)</f>
        <v>0</v>
      </c>
      <c r="AZ125" s="500">
        <f>SUM(AZ129:AZ130)</f>
        <v>0</v>
      </c>
      <c r="BA125" s="500">
        <f>SUM(BA129:BA130)</f>
        <v>0</v>
      </c>
      <c r="BB125" s="500">
        <f>SUM(BB129:BB130)</f>
        <v>0</v>
      </c>
      <c r="BC125" s="500">
        <f>SUM(BC129:BC130)</f>
        <v>0</v>
      </c>
      <c r="BD125" s="500">
        <f>SUM(BD129:BD130)</f>
        <v>0</v>
      </c>
      <c r="BE125" s="500">
        <f>SUM(BE129:BE130)</f>
        <v>0</v>
      </c>
      <c r="BF125" s="500">
        <f>SUM(BF129:BF130)</f>
        <v>0</v>
      </c>
      <c r="BG125" s="500">
        <f>SUM(BG129:BG130)</f>
        <v>0</v>
      </c>
      <c r="BH125" s="500">
        <f>SUM(BH129:BH130)</f>
        <v>0</v>
      </c>
      <c r="BI125" s="500">
        <f>SUM(BI129:BI130)</f>
        <v>0</v>
      </c>
      <c r="BJ125" s="500">
        <f>SUM(BJ129:BJ130)</f>
        <v>0</v>
      </c>
      <c r="BK125" s="500">
        <f>SUM(BK129:BK130)</f>
        <v>0</v>
      </c>
      <c r="BL125" s="500">
        <f>SUM(BL129:BL130)</f>
        <v>0</v>
      </c>
      <c r="BM125" s="500">
        <f>SUM(BM129:BM130)</f>
        <v>0</v>
      </c>
      <c r="BN125" s="500">
        <f>SUM(BN129:BN130)</f>
        <v>0</v>
      </c>
      <c r="BO125" s="500">
        <f>SUM(BO129:BO130)</f>
        <v>0</v>
      </c>
      <c r="BP125" s="500">
        <f>SUM(BP129:BP130)</f>
        <v>0</v>
      </c>
      <c r="BQ125" s="500">
        <f>SUM(BQ129:BQ130)</f>
        <v>0</v>
      </c>
      <c r="BR125" s="500">
        <f>SUM(BR129:BR130)</f>
        <v>0</v>
      </c>
      <c r="BS125" s="500">
        <f>SUM(BS129:BS130)</f>
        <v>0</v>
      </c>
      <c r="BT125" s="500">
        <f>SUM(BT129:BT130)</f>
        <v>0</v>
      </c>
      <c r="BU125" s="500">
        <f>SUM(BU129:BU130)</f>
        <v>0</v>
      </c>
      <c r="BV125" s="500">
        <f>SUM(BV129:BV130)</f>
        <v>0</v>
      </c>
      <c r="BW125" s="500">
        <f>SUM(BW129:BW130)</f>
        <v>0</v>
      </c>
      <c r="BX125" s="500">
        <f>SUM(BX129:BX130)</f>
        <v>0</v>
      </c>
      <c r="BY125" s="500">
        <f>SUM(BY129:BY130)</f>
        <v>0</v>
      </c>
      <c r="BZ125" s="500">
        <f>SUM(BZ129:BZ130)</f>
        <v>0</v>
      </c>
      <c r="CA125" s="500">
        <f>SUM(CA129:CA130)</f>
        <v>0</v>
      </c>
      <c r="CB125" s="500">
        <f>SUM(CB129:CB130)</f>
        <v>0</v>
      </c>
      <c r="CC125" s="500">
        <f>SUM(CC129:CC130)</f>
        <v>0</v>
      </c>
      <c r="CD125" s="500">
        <f>SUM(CD129:CD130)</f>
        <v>0</v>
      </c>
      <c r="CE125" s="500">
        <f>SUM(CE129:CE130)</f>
        <v>0</v>
      </c>
      <c r="CF125" s="500">
        <f>SUM(CF129:CF130)</f>
        <v>0</v>
      </c>
      <c r="CG125" s="500">
        <f>SUM(CG129:CG130)</f>
        <v>0</v>
      </c>
      <c r="CH125" s="500">
        <f>SUM(CH129:CH130)</f>
        <v>0</v>
      </c>
      <c r="CI125" s="500">
        <f>SUM(CI129:CI130)</f>
        <v>0</v>
      </c>
      <c r="CJ125" s="500">
        <f>SUM(CJ129:CJ130)</f>
        <v>0</v>
      </c>
      <c r="CK125" s="500">
        <f>SUM(CK129:CK130)</f>
        <v>0</v>
      </c>
      <c r="CL125" s="500">
        <f>SUM(CL129:CL130)</f>
        <v>0</v>
      </c>
      <c r="CM125" s="500">
        <f>SUM(CM129:CM130)</f>
        <v>0</v>
      </c>
      <c r="CN125" s="500">
        <f>SUM(CN129:CN130)</f>
        <v>0</v>
      </c>
      <c r="CO125" s="500">
        <f>SUM(CO129:CO130)</f>
        <v>0</v>
      </c>
      <c r="CP125" s="500">
        <f>SUM(CP129:CP130)</f>
        <v>0</v>
      </c>
      <c r="CQ125" s="500">
        <f>SUM(CQ129:CQ130)</f>
        <v>0</v>
      </c>
      <c r="CR125" s="500">
        <f>SUM(CR129:CR130)</f>
        <v>0</v>
      </c>
      <c r="CS125" s="500">
        <f>SUM(CS129:CS130)</f>
        <v>0</v>
      </c>
      <c r="CT125" s="500">
        <f>SUM(CT129:CT130)</f>
        <v>0</v>
      </c>
      <c r="CU125" s="500">
        <f>SUM(CU129:CU130)</f>
        <v>0</v>
      </c>
      <c r="CV125" s="500">
        <f>SUM(CV129:CV130)</f>
        <v>0</v>
      </c>
      <c r="CW125" s="500">
        <f>SUM(CW129:CW130)</f>
        <v>0</v>
      </c>
      <c r="CX125" s="500">
        <f>SUM(CX129:CX130)</f>
        <v>0</v>
      </c>
      <c r="CY125" s="500">
        <f>SUM(CY129:CY130)</f>
        <v>0</v>
      </c>
      <c r="CZ125" s="500">
        <f>SUM(CZ129:CZ130)</f>
        <v>0</v>
      </c>
      <c r="DA125" s="500">
        <f>SUM(DA129:DA130)</f>
        <v>0</v>
      </c>
      <c r="DB125" s="500">
        <f>SUM(DB129:DB130)</f>
        <v>0</v>
      </c>
      <c r="DC125" s="500">
        <f>SUM(DC129:DC130)</f>
        <v>0</v>
      </c>
      <c r="DD125" s="500">
        <f>SUM(DD129:DD130)</f>
        <v>0</v>
      </c>
      <c r="DE125" s="500">
        <f>SUM(DE129:DE130)</f>
        <v>0</v>
      </c>
      <c r="DF125" s="500">
        <f>SUM(DF129:DF130)</f>
        <v>0</v>
      </c>
      <c r="DG125" s="500">
        <f>SUM(DG129:DG130)</f>
        <v>0</v>
      </c>
      <c r="DH125" s="500">
        <f>SUM(DH129:DH130)</f>
        <v>0</v>
      </c>
      <c r="DI125" s="500">
        <f>SUM(DI129:DI130)</f>
        <v>0</v>
      </c>
      <c r="DJ125" s="500">
        <f>SUM(DJ129:DJ130)</f>
        <v>0</v>
      </c>
      <c r="DK125" s="500">
        <f>SUM(DK129:DK130)</f>
        <v>0</v>
      </c>
      <c r="DL125" s="500">
        <f>SUM(DL129:DL130)</f>
        <v>0</v>
      </c>
      <c r="DM125" s="500">
        <f>SUM(DM129:DM130)</f>
        <v>0</v>
      </c>
      <c r="DN125" s="500">
        <f>SUM(DN129:DN130)</f>
        <v>0</v>
      </c>
      <c r="DO125" s="500">
        <f>SUM(DO129:DO130)</f>
        <v>0</v>
      </c>
      <c r="DP125" s="500">
        <f>SUM(DP129:DP130)</f>
        <v>0</v>
      </c>
      <c r="DQ125" s="500">
        <f>SUM(DQ129:DQ130)</f>
        <v>0</v>
      </c>
      <c r="DR125" s="500">
        <f>SUM(DR129:DR130)</f>
        <v>0</v>
      </c>
      <c r="DS125" s="500">
        <f>SUM(DS129:DS130)</f>
        <v>0</v>
      </c>
      <c r="DT125" s="500">
        <f>SUM(DT129:DT130)</f>
        <v>0</v>
      </c>
      <c r="DU125" s="500">
        <f>SUM(DU129:DU130)</f>
        <v>0</v>
      </c>
      <c r="DV125" s="500">
        <f>SUM(DV129:DV130)</f>
        <v>0</v>
      </c>
      <c r="DW125" s="500">
        <f>SUM(DW129:DW130)</f>
        <v>0</v>
      </c>
      <c r="DX125" s="500">
        <f>SUM(DX129:DX130)</f>
        <v>0</v>
      </c>
      <c r="DY125" s="500">
        <f>SUM(DY129:DY130)</f>
        <v>0</v>
      </c>
      <c r="DZ125" s="500">
        <f>SUM(DZ129:DZ130)</f>
        <v>0</v>
      </c>
      <c r="EA125" s="500">
        <f>SUM(EA129:EA130)</f>
        <v>0</v>
      </c>
      <c r="EB125" s="500">
        <f>SUM(EB129:EB130)</f>
        <v>0</v>
      </c>
      <c r="EC125" s="500">
        <f>SUM(EC129:EC130)</f>
        <v>0</v>
      </c>
      <c r="ED125" s="500">
        <f>SUM(ED129:ED130)</f>
        <v>0</v>
      </c>
      <c r="EE125" s="500">
        <f>SUM(EE129:EE130)</f>
        <v>0</v>
      </c>
      <c r="EF125" s="500">
        <f>SUM(EF129:EF130)</f>
        <v>0</v>
      </c>
      <c r="EG125" s="500">
        <f>SUM(EG129:EG130)</f>
        <v>0</v>
      </c>
      <c r="EH125" s="500">
        <f>SUM(EH129:EH130)</f>
        <v>0</v>
      </c>
      <c r="EI125" s="500">
        <f>SUM(EI129:EI130)</f>
        <v>0</v>
      </c>
      <c r="EJ125" s="500">
        <f>SUM(EJ129:EJ130)</f>
        <v>0</v>
      </c>
      <c r="EK125" s="500">
        <f>SUM(EK129:EK130)</f>
        <v>0</v>
      </c>
      <c r="EL125" s="500">
        <f>SUM(EL129:EL130)</f>
        <v>0</v>
      </c>
      <c r="EM125" s="500">
        <f>SUM(EM129:EM130)</f>
        <v>0</v>
      </c>
      <c r="EN125" s="500">
        <f>SUM(EN129:EN130)</f>
        <v>0</v>
      </c>
      <c r="EO125" s="500">
        <f>SUM(EO129:EO130)</f>
        <v>0</v>
      </c>
      <c r="EP125" s="500">
        <f>SUM(EP129:EP130)</f>
        <v>0</v>
      </c>
      <c r="EQ125" s="500">
        <f>SUM(EQ129:EQ130)</f>
        <v>0</v>
      </c>
      <c r="ER125" s="500">
        <f>SUM(ER129:ER130)</f>
        <v>0</v>
      </c>
      <c r="ES125" s="500">
        <f>SUM(ES129:ES130)</f>
        <v>0</v>
      </c>
      <c r="ET125" s="500">
        <f>SUM(ET129:ET130)</f>
        <v>0</v>
      </c>
      <c r="EU125" s="500">
        <f>SUM(EU129:EU130)</f>
        <v>0</v>
      </c>
      <c r="EV125" s="500">
        <f>SUM(EV129:EV130)</f>
        <v>0</v>
      </c>
      <c r="EW125" s="500">
        <f>SUM(EW129:EW130)</f>
        <v>0</v>
      </c>
      <c r="EX125" s="500">
        <f>SUM(EX129:EX130)</f>
        <v>0</v>
      </c>
      <c r="EY125" s="500">
        <f>SUM(EY129:EY130)</f>
        <v>0</v>
      </c>
      <c r="EZ125" s="500">
        <f>SUM(EZ129:EZ130)</f>
        <v>0</v>
      </c>
      <c r="FA125" s="500">
        <f>SUM(FA129:FA130)</f>
        <v>0</v>
      </c>
      <c r="FB125" s="83"/>
      <c r="FE125" s="489" t="s">
        <v>986</v>
      </c>
      <c r="FK125" s="1157" cm="1" t="str">
        <f t="array" ref="FK125:FK125">OFFSET(FJ125,-1,1)</f>
        <v>0</v>
      </c>
      <c r="FL125" s="1078"/>
      <c r="FM125" s="1159"/>
      <c r="FN125" s="1159"/>
      <c r="FO125" s="1159"/>
      <c r="FP125" s="1159"/>
      <c r="FQ125" s="1159"/>
      <c r="FR125" s="1159"/>
      <c r="FS125" s="1078" t="s">
        <v>987</v>
      </c>
      <c r="FT125" s="1159"/>
      <c r="FU125" s="1159"/>
      <c r="FV125" s="1078" t="s">
        <v>219</v>
      </c>
      <c r="FW125" s="1159"/>
      <c r="FX125" s="1078" t="s">
        <v>303</v>
      </c>
      <c r="FY125" s="1078" t="s">
        <v>919</v>
      </c>
      <c r="FZ125" s="1078" t="s">
        <v>920</v>
      </c>
    </row>
    <row customHeight="1" ht="16.575" hidden="1">
      <c r="E126" s="180">
        <v>17</v>
      </c>
      <c r="F126" s="175" cm="1" t="str">
        <f t="array" ref="F126:F126">OFFSET(G126,-1,-1)</f>
        <v>0</v>
      </c>
      <c r="G126" s="193" t="str">
        <f>IF(J28="вода+пар","топливо","")</f>
        <v/>
      </c>
      <c r="L126" s="175" cm="1" t="str">
        <f t="array" ref="L126:L126">OFFSET(M126,-1,-1)</f>
        <v>false</v>
      </c>
      <c r="R126" s="175" t="s">
        <v>804</v>
      </c>
      <c r="S126" s="175" cm="1" t="str">
        <f t="array" ref="S126:S126">OFFSET(T126,-1,-1)</f>
        <v>false</v>
      </c>
      <c r="T126" s="175" cm="1" t="str">
        <f t="array" ref="T126:T126">L126</f>
        <v>false</v>
      </c>
      <c r="U126" s="753">
        <f>AND(S126,IF(ISBLANK(T126),TRUE,T126))</f>
        <v>0</v>
      </c>
      <c r="AB126" s="1650"/>
      <c r="AD126" s="491" t="str">
        <f>AD125&amp;".0"</f>
        <v>40.0</v>
      </c>
      <c r="AE126" s="1625" t="s">
        <v>822</v>
      </c>
      <c r="AF126" s="1626"/>
      <c r="AG126" s="470" t="s">
        <v>917</v>
      </c>
      <c r="AH126" s="88">
        <f>AH$52*AH125</f>
        <v>0</v>
      </c>
      <c r="AI126" s="89">
        <f>AI$52*AI125</f>
        <v>0</v>
      </c>
      <c r="AJ126" s="89">
        <f>AJ$52*AJ125</f>
        <v>0</v>
      </c>
      <c r="AK126" s="89">
        <f>AK$52*AK125</f>
        <v>0</v>
      </c>
      <c r="AL126" s="499">
        <f>AM126+AN126</f>
        <v>0</v>
      </c>
      <c r="AM126" s="89">
        <f>AM$52*AM125</f>
        <v>0</v>
      </c>
      <c r="AN126" s="89">
        <f>AN$52*AN125</f>
        <v>0</v>
      </c>
      <c r="AO126" s="499">
        <f>AP126+AQ126</f>
        <v>0</v>
      </c>
      <c r="AP126" s="89">
        <f>AP$52*AP125</f>
        <v>0</v>
      </c>
      <c r="AQ126" s="89">
        <f>AQ$52*AQ125</f>
        <v>0</v>
      </c>
      <c r="AR126" s="499">
        <f>AS126+AT126</f>
        <v>0</v>
      </c>
      <c r="AS126" s="89">
        <f>AS$52*AS125</f>
        <v>0</v>
      </c>
      <c r="AT126" s="89">
        <f>AT$52*AT125</f>
        <v>0</v>
      </c>
      <c r="AU126" s="499">
        <f>AV126+AW126</f>
        <v>0</v>
      </c>
      <c r="AV126" s="89">
        <f>AV$52*AV125</f>
        <v>0</v>
      </c>
      <c r="AW126" s="89">
        <f>AW$52*AW125</f>
        <v>0</v>
      </c>
      <c r="AX126" s="499">
        <f>AY126+AZ126</f>
        <v>0</v>
      </c>
      <c r="AY126" s="89">
        <f>AY$52*AY125</f>
        <v>0</v>
      </c>
      <c r="AZ126" s="89">
        <f>AZ$52*AZ125</f>
        <v>0</v>
      </c>
      <c r="BA126" s="499">
        <f>BB126+BC126</f>
        <v>0</v>
      </c>
      <c r="BB126" s="89">
        <f>BB$52*BB125</f>
        <v>0</v>
      </c>
      <c r="BC126" s="89">
        <f>BC$52*BC125</f>
        <v>0</v>
      </c>
      <c r="BD126" s="499">
        <f>BE126+BF126</f>
        <v>0</v>
      </c>
      <c r="BE126" s="89">
        <f>BE$52*BE125</f>
        <v>0</v>
      </c>
      <c r="BF126" s="89">
        <f>BF$52*BF125</f>
        <v>0</v>
      </c>
      <c r="BG126" s="499">
        <f>BH126+BI126</f>
        <v>0</v>
      </c>
      <c r="BH126" s="89">
        <f>BH$52*BH125</f>
        <v>0</v>
      </c>
      <c r="BI126" s="89">
        <f>BI$52*BI125</f>
        <v>0</v>
      </c>
      <c r="BJ126" s="499">
        <f>BK126+BL126</f>
        <v>0</v>
      </c>
      <c r="BK126" s="89">
        <f>BK$52*BK125</f>
        <v>0</v>
      </c>
      <c r="BL126" s="89">
        <f>BL$52*BL125</f>
        <v>0</v>
      </c>
      <c r="BM126" s="499">
        <f>BN126+BO126</f>
        <v>0</v>
      </c>
      <c r="BN126" s="89">
        <f>BN$52*BN125</f>
        <v>0</v>
      </c>
      <c r="BO126" s="89">
        <f>BO$52*BO125</f>
        <v>0</v>
      </c>
      <c r="BP126" s="499">
        <f>BQ126+BR126</f>
        <v>0</v>
      </c>
      <c r="BQ126" s="89">
        <f>BQ$52*BQ125</f>
        <v>0</v>
      </c>
      <c r="BR126" s="89">
        <f>BR$52*BR125</f>
        <v>0</v>
      </c>
      <c r="BS126" s="499">
        <f>BT126+BU126</f>
        <v>0</v>
      </c>
      <c r="BT126" s="89">
        <f>BT$52*BT125</f>
        <v>0</v>
      </c>
      <c r="BU126" s="89">
        <f>BU$52*BU125</f>
        <v>0</v>
      </c>
      <c r="BV126" s="499">
        <f>BW126+BX126</f>
        <v>0</v>
      </c>
      <c r="BW126" s="89">
        <f>BW$52*BW125</f>
        <v>0</v>
      </c>
      <c r="BX126" s="89">
        <f>BX$52*BX125</f>
        <v>0</v>
      </c>
      <c r="BY126" s="499">
        <f>BZ126+CA126</f>
        <v>0</v>
      </c>
      <c r="BZ126" s="89">
        <f>BZ$52*BZ125</f>
        <v>0</v>
      </c>
      <c r="CA126" s="89">
        <f>CA$52*CA125</f>
        <v>0</v>
      </c>
      <c r="CB126" s="499">
        <f>CC126+CD126</f>
        <v>0</v>
      </c>
      <c r="CC126" s="89">
        <f>CC$52*CC125</f>
        <v>0</v>
      </c>
      <c r="CD126" s="89">
        <f>CD$52*CD125</f>
        <v>0</v>
      </c>
      <c r="CE126" s="499">
        <f>CF126+CG126</f>
        <v>0</v>
      </c>
      <c r="CF126" s="89">
        <f>CF$52*CF125</f>
        <v>0</v>
      </c>
      <c r="CG126" s="89">
        <f>CG$52*CG125</f>
        <v>0</v>
      </c>
      <c r="CH126" s="499">
        <f>CI126+CJ126</f>
        <v>0</v>
      </c>
      <c r="CI126" s="89">
        <f>CI$52*CI125</f>
        <v>0</v>
      </c>
      <c r="CJ126" s="89">
        <f>CJ$52*CJ125</f>
        <v>0</v>
      </c>
      <c r="CK126" s="499">
        <f>CL126+CM126</f>
        <v>0</v>
      </c>
      <c r="CL126" s="89">
        <f>CL$52*CL125</f>
        <v>0</v>
      </c>
      <c r="CM126" s="89">
        <f>CM$52*CM125</f>
        <v>0</v>
      </c>
      <c r="CN126" s="499">
        <f>CO126+CP126</f>
        <v>0</v>
      </c>
      <c r="CO126" s="89">
        <f>CO$52*CO125</f>
        <v>0</v>
      </c>
      <c r="CP126" s="89">
        <f>CP$52*CP125</f>
        <v>0</v>
      </c>
      <c r="CQ126" s="499">
        <f>CR126+CS126</f>
        <v>0</v>
      </c>
      <c r="CR126" s="89">
        <f>CR$52*CR125</f>
        <v>0</v>
      </c>
      <c r="CS126" s="89">
        <f>CS$52*CS125</f>
        <v>0</v>
      </c>
      <c r="CT126" s="499">
        <f>CU126+CV126</f>
        <v>0</v>
      </c>
      <c r="CU126" s="498">
        <f>CU$52*CU125</f>
        <v>0</v>
      </c>
      <c r="CV126" s="498">
        <f>CV$52*CV125</f>
        <v>0</v>
      </c>
      <c r="CW126" s="499">
        <f>CX126+CY126</f>
        <v>0</v>
      </c>
      <c r="CX126" s="89">
        <f>CX$52*CX125</f>
        <v>0</v>
      </c>
      <c r="CY126" s="89">
        <f>CY$52*CY125</f>
        <v>0</v>
      </c>
      <c r="CZ126" s="499">
        <f>DA126+DB126</f>
        <v>0</v>
      </c>
      <c r="DA126" s="89">
        <f>DA$52*DA125</f>
        <v>0</v>
      </c>
      <c r="DB126" s="89">
        <f>DB$52*DB125</f>
        <v>0</v>
      </c>
      <c r="DC126" s="499">
        <f>DD126+DE126</f>
        <v>0</v>
      </c>
      <c r="DD126" s="89">
        <f>DD$52*DD125</f>
        <v>0</v>
      </c>
      <c r="DE126" s="89">
        <f>DE$52*DE125</f>
        <v>0</v>
      </c>
      <c r="DF126" s="499">
        <f>DG126+DH126</f>
        <v>0</v>
      </c>
      <c r="DG126" s="89">
        <f>DG$52*DG125</f>
        <v>0</v>
      </c>
      <c r="DH126" s="89">
        <f>DH$52*DH125</f>
        <v>0</v>
      </c>
      <c r="DI126" s="499">
        <f>DJ126+DK126</f>
        <v>0</v>
      </c>
      <c r="DJ126" s="89">
        <f>DJ$52*DJ125</f>
        <v>0</v>
      </c>
      <c r="DK126" s="89">
        <f>DK$52*DK125</f>
        <v>0</v>
      </c>
      <c r="DL126" s="499">
        <f>DM126+DN126</f>
        <v>0</v>
      </c>
      <c r="DM126" s="89">
        <f>DM$52*DM125</f>
        <v>0</v>
      </c>
      <c r="DN126" s="89">
        <f>DN$52*DN125</f>
        <v>0</v>
      </c>
      <c r="DO126" s="499">
        <f>DP126+DQ126</f>
        <v>0</v>
      </c>
      <c r="DP126" s="89">
        <f>DP$52*DP125</f>
        <v>0</v>
      </c>
      <c r="DQ126" s="89">
        <f>DQ$52*DQ125</f>
        <v>0</v>
      </c>
      <c r="DR126" s="499">
        <f>DS126+DT126</f>
        <v>0</v>
      </c>
      <c r="DS126" s="89">
        <f>DS$52*DS125</f>
        <v>0</v>
      </c>
      <c r="DT126" s="89">
        <f>DT$52*DT125</f>
        <v>0</v>
      </c>
      <c r="DU126" s="499">
        <f>DV126+DW126</f>
        <v>0</v>
      </c>
      <c r="DV126" s="89">
        <f>DV$52*DV125</f>
        <v>0</v>
      </c>
      <c r="DW126" s="89">
        <f>DW$52*DW125</f>
        <v>0</v>
      </c>
      <c r="DX126" s="499">
        <f>DY126+DZ126</f>
        <v>0</v>
      </c>
      <c r="DY126" s="89">
        <f>DY$52*DY125</f>
        <v>0</v>
      </c>
      <c r="DZ126" s="89">
        <f>DZ$52*DZ125</f>
        <v>0</v>
      </c>
      <c r="EA126" s="499">
        <f>EB126+EC126</f>
        <v>0</v>
      </c>
      <c r="EB126" s="89">
        <f>EB$52*EB125</f>
        <v>0</v>
      </c>
      <c r="EC126" s="89">
        <f>EC$52*EC125</f>
        <v>0</v>
      </c>
      <c r="ED126" s="499">
        <f>EE126+EF126</f>
        <v>0</v>
      </c>
      <c r="EE126" s="89">
        <f>EE$52*EE125</f>
        <v>0</v>
      </c>
      <c r="EF126" s="89">
        <f>EF$52*EF125</f>
        <v>0</v>
      </c>
      <c r="EG126" s="499">
        <f>EH126+EI126</f>
        <v>0</v>
      </c>
      <c r="EH126" s="89">
        <f>EH$52*EH125</f>
        <v>0</v>
      </c>
      <c r="EI126" s="89">
        <f>EI$52*EI125</f>
        <v>0</v>
      </c>
      <c r="EJ126" s="499">
        <f>EK126+EL126</f>
        <v>0</v>
      </c>
      <c r="EK126" s="89">
        <f>EK$52*EK125</f>
        <v>0</v>
      </c>
      <c r="EL126" s="89">
        <f>EL$52*EL125</f>
        <v>0</v>
      </c>
      <c r="EM126" s="499">
        <f>EN126+EO126</f>
        <v>0</v>
      </c>
      <c r="EN126" s="89">
        <f>EN$52*EN125</f>
        <v>0</v>
      </c>
      <c r="EO126" s="89">
        <f>EO$52*EO125</f>
        <v>0</v>
      </c>
      <c r="EP126" s="499">
        <f>EQ126+ER126</f>
        <v>0</v>
      </c>
      <c r="EQ126" s="89">
        <f>EQ$52*EQ125</f>
        <v>0</v>
      </c>
      <c r="ER126" s="89">
        <f>ER$52*ER125</f>
        <v>0</v>
      </c>
      <c r="ES126" s="499">
        <f>ET126+EU126</f>
        <v>0</v>
      </c>
      <c r="ET126" s="89">
        <f>ET$52*ET125</f>
        <v>0</v>
      </c>
      <c r="EU126" s="89">
        <f>EU$52*EU125</f>
        <v>0</v>
      </c>
      <c r="EV126" s="499">
        <f>EW126+EX126</f>
        <v>0</v>
      </c>
      <c r="EW126" s="89">
        <f>EW$52*EW125</f>
        <v>0</v>
      </c>
      <c r="EX126" s="89">
        <f>EX$52*EX125</f>
        <v>0</v>
      </c>
      <c r="EY126" s="499">
        <f>EZ126+FA126</f>
        <v>0</v>
      </c>
      <c r="EZ126" s="89">
        <f>EZ$52*EZ125</f>
        <v>0</v>
      </c>
      <c r="FA126" s="89">
        <f>FA$52*FA125</f>
        <v>0</v>
      </c>
      <c r="FB126" s="83"/>
      <c r="FE126" s="489" t="s">
        <v>988</v>
      </c>
      <c r="FK126" s="1157" cm="1" t="str">
        <f t="array" ref="FK126:FK126">OFFSET(FJ126,-1,1)</f>
        <v>0</v>
      </c>
      <c r="FL126" s="1159"/>
      <c r="FM126" s="1078" t="s">
        <v>824</v>
      </c>
      <c r="FN126" s="1159"/>
      <c r="FO126" s="1159"/>
      <c r="FP126" s="1159"/>
      <c r="FQ126" s="1159"/>
      <c r="FR126" s="1159"/>
      <c r="FS126" s="1078" t="s">
        <v>987</v>
      </c>
      <c r="FT126" s="1159"/>
      <c r="FU126" s="1159"/>
      <c r="FV126" s="1159"/>
      <c r="FW126" s="1159"/>
      <c r="FX126" s="1078" t="s">
        <v>303</v>
      </c>
      <c r="FY126" s="1078" t="s">
        <v>919</v>
      </c>
      <c r="FZ126" s="1078" t="s">
        <v>920</v>
      </c>
    </row>
    <row customHeight="1" ht="16.575" hidden="1">
      <c r="E127" s="180">
        <v>17</v>
      </c>
      <c r="F127" s="175" cm="1" t="str">
        <f t="array" ref="F127:F127">OFFSET(G127,-1,-1)</f>
        <v>0</v>
      </c>
      <c r="G127" s="193" t="str">
        <f>IF(J28="вода","топливо","")</f>
        <v/>
      </c>
      <c r="L127" s="175" cm="1" t="str">
        <f t="array" ref="L127:L127">OFFSET(M127,-1,-1)</f>
        <v>false</v>
      </c>
      <c r="S127" s="175" cm="1" t="str">
        <f t="array" ref="S127:S127">OFFSET(T127,-1,-1)</f>
        <v>false</v>
      </c>
      <c r="U127" s="753">
        <f>AND(S127,IF(ISBLANK(T127),TRUE,T127))</f>
        <v>0</v>
      </c>
      <c r="AB127" s="1650"/>
      <c r="AD127" s="538" t="s">
        <v>989</v>
      </c>
      <c r="AE127" s="1627" t="s">
        <v>637</v>
      </c>
      <c r="AF127" s="1628"/>
      <c r="AG127" s="539" t="s">
        <v>917</v>
      </c>
      <c r="AH127" s="540">
        <f>AH126-AH128</f>
        <v>0</v>
      </c>
      <c r="AI127" s="540">
        <f>AI126-AI128</f>
        <v>0</v>
      </c>
      <c r="AJ127" s="540">
        <f>AJ126-AJ128</f>
        <v>0</v>
      </c>
      <c r="AK127" s="540">
        <f>AK126-AK128</f>
        <v>0</v>
      </c>
      <c r="AL127" s="540">
        <f>AL126-AL128</f>
        <v>0</v>
      </c>
      <c r="AM127" s="540">
        <f>AM126-AM128</f>
        <v>0</v>
      </c>
      <c r="AN127" s="540">
        <f>AN126-AN128</f>
        <v>0</v>
      </c>
      <c r="AO127" s="540">
        <f>AO126-AO128</f>
        <v>0</v>
      </c>
      <c r="AP127" s="540">
        <f>AP126-AP128</f>
        <v>0</v>
      </c>
      <c r="AQ127" s="540">
        <f>AQ126-AQ128</f>
        <v>0</v>
      </c>
      <c r="AR127" s="540">
        <f>AR126-AR128</f>
        <v>0</v>
      </c>
      <c r="AS127" s="540">
        <f>AS126-AS128</f>
        <v>0</v>
      </c>
      <c r="AT127" s="540">
        <f>AT126-AT128</f>
        <v>0</v>
      </c>
      <c r="AU127" s="540">
        <f>AU126-AU128</f>
        <v>0</v>
      </c>
      <c r="AV127" s="540">
        <f>AV126-AV128</f>
        <v>0</v>
      </c>
      <c r="AW127" s="540">
        <f>AW126-AW128</f>
        <v>0</v>
      </c>
      <c r="AX127" s="540">
        <f>AX126-AX128</f>
        <v>0</v>
      </c>
      <c r="AY127" s="540">
        <f>AY126-AY128</f>
        <v>0</v>
      </c>
      <c r="AZ127" s="540">
        <f>AZ126-AZ128</f>
        <v>0</v>
      </c>
      <c r="BA127" s="540">
        <f>BA126-BA128</f>
        <v>0</v>
      </c>
      <c r="BB127" s="540">
        <f>BB126-BB128</f>
        <v>0</v>
      </c>
      <c r="BC127" s="540">
        <f>BC126-BC128</f>
        <v>0</v>
      </c>
      <c r="BD127" s="540">
        <f>BD126-BD128</f>
        <v>0</v>
      </c>
      <c r="BE127" s="540">
        <f>BE126-BE128</f>
        <v>0</v>
      </c>
      <c r="BF127" s="540">
        <f>BF126-BF128</f>
        <v>0</v>
      </c>
      <c r="BG127" s="540">
        <f>BG126-BG128</f>
        <v>0</v>
      </c>
      <c r="BH127" s="540">
        <f>BH126-BH128</f>
        <v>0</v>
      </c>
      <c r="BI127" s="540">
        <f>BI126-BI128</f>
        <v>0</v>
      </c>
      <c r="BJ127" s="540">
        <f>BJ126-BJ128</f>
        <v>0</v>
      </c>
      <c r="BK127" s="540">
        <f>BK126-BK128</f>
        <v>0</v>
      </c>
      <c r="BL127" s="540">
        <f>BL126-BL128</f>
        <v>0</v>
      </c>
      <c r="BM127" s="540">
        <f>BM126-BM128</f>
        <v>0</v>
      </c>
      <c r="BN127" s="540">
        <f>BN126-BN128</f>
        <v>0</v>
      </c>
      <c r="BO127" s="540">
        <f>BO126-BO128</f>
        <v>0</v>
      </c>
      <c r="BP127" s="540">
        <f>BP126-BP128</f>
        <v>0</v>
      </c>
      <c r="BQ127" s="540">
        <f>BQ126-BQ128</f>
        <v>0</v>
      </c>
      <c r="BR127" s="540">
        <f>BR126-BR128</f>
        <v>0</v>
      </c>
      <c r="BS127" s="540">
        <f>BS126-BS128</f>
        <v>0</v>
      </c>
      <c r="BT127" s="540">
        <f>BT126-BT128</f>
        <v>0</v>
      </c>
      <c r="BU127" s="540">
        <f>BU126-BU128</f>
        <v>0</v>
      </c>
      <c r="BV127" s="540">
        <f>BV126-BV128</f>
        <v>0</v>
      </c>
      <c r="BW127" s="540">
        <f>BW126-BW128</f>
        <v>0</v>
      </c>
      <c r="BX127" s="540">
        <f>BX126-BX128</f>
        <v>0</v>
      </c>
      <c r="BY127" s="540">
        <f>BY126-BY128</f>
        <v>0</v>
      </c>
      <c r="BZ127" s="540">
        <f>BZ126-BZ128</f>
        <v>0</v>
      </c>
      <c r="CA127" s="540">
        <f>CA126-CA128</f>
        <v>0</v>
      </c>
      <c r="CB127" s="540">
        <f>CB126-CB128</f>
        <v>0</v>
      </c>
      <c r="CC127" s="540">
        <f>CC126-CC128</f>
        <v>0</v>
      </c>
      <c r="CD127" s="540">
        <f>CD126-CD128</f>
        <v>0</v>
      </c>
      <c r="CE127" s="540">
        <f>CE126-CE128</f>
        <v>0</v>
      </c>
      <c r="CF127" s="540">
        <f>CF126-CF128</f>
        <v>0</v>
      </c>
      <c r="CG127" s="540">
        <f>CG126-CG128</f>
        <v>0</v>
      </c>
      <c r="CH127" s="540">
        <f>CH126-CH128</f>
        <v>0</v>
      </c>
      <c r="CI127" s="540">
        <f>CI126-CI128</f>
        <v>0</v>
      </c>
      <c r="CJ127" s="540">
        <f>CJ126-CJ128</f>
        <v>0</v>
      </c>
      <c r="CK127" s="540">
        <f>CK126-CK128</f>
        <v>0</v>
      </c>
      <c r="CL127" s="540">
        <f>CL126-CL128</f>
        <v>0</v>
      </c>
      <c r="CM127" s="540">
        <f>CM126-CM128</f>
        <v>0</v>
      </c>
      <c r="CN127" s="540">
        <f>CN126-CN128</f>
        <v>0</v>
      </c>
      <c r="CO127" s="540">
        <f>CO126-CO128</f>
        <v>0</v>
      </c>
      <c r="CP127" s="540">
        <f>CP126-CP128</f>
        <v>0</v>
      </c>
      <c r="CQ127" s="540">
        <f>CQ126-CQ128</f>
        <v>0</v>
      </c>
      <c r="CR127" s="540">
        <f>CR126-CR128</f>
        <v>0</v>
      </c>
      <c r="CS127" s="540">
        <f>CS126-CS128</f>
        <v>0</v>
      </c>
      <c r="CT127" s="540">
        <f>CT126-CT128</f>
        <v>0</v>
      </c>
      <c r="CU127" s="540">
        <f>CU126-CU128</f>
        <v>0</v>
      </c>
      <c r="CV127" s="540">
        <f>CV126-CV128</f>
        <v>0</v>
      </c>
      <c r="CW127" s="540">
        <f>CW126-CW128</f>
        <v>0</v>
      </c>
      <c r="CX127" s="540">
        <f>CX126-CX128</f>
        <v>0</v>
      </c>
      <c r="CY127" s="540">
        <f>CY126-CY128</f>
        <v>0</v>
      </c>
      <c r="CZ127" s="540">
        <f>CZ126-CZ128</f>
        <v>0</v>
      </c>
      <c r="DA127" s="540">
        <f>DA126-DA128</f>
        <v>0</v>
      </c>
      <c r="DB127" s="540">
        <f>DB126-DB128</f>
        <v>0</v>
      </c>
      <c r="DC127" s="540">
        <f>DC126-DC128</f>
        <v>0</v>
      </c>
      <c r="DD127" s="540">
        <f>DD126-DD128</f>
        <v>0</v>
      </c>
      <c r="DE127" s="540">
        <f>DE126-DE128</f>
        <v>0</v>
      </c>
      <c r="DF127" s="540">
        <f>DF126-DF128</f>
        <v>0</v>
      </c>
      <c r="DG127" s="540">
        <f>DG126-DG128</f>
        <v>0</v>
      </c>
      <c r="DH127" s="540">
        <f>DH126-DH128</f>
        <v>0</v>
      </c>
      <c r="DI127" s="540">
        <f>DI126-DI128</f>
        <v>0</v>
      </c>
      <c r="DJ127" s="540">
        <f>DJ126-DJ128</f>
        <v>0</v>
      </c>
      <c r="DK127" s="540">
        <f>DK126-DK128</f>
        <v>0</v>
      </c>
      <c r="DL127" s="540">
        <f>DL126-DL128</f>
        <v>0</v>
      </c>
      <c r="DM127" s="540">
        <f>DM126-DM128</f>
        <v>0</v>
      </c>
      <c r="DN127" s="540">
        <f>DN126-DN128</f>
        <v>0</v>
      </c>
      <c r="DO127" s="540">
        <f>DO126-DO128</f>
        <v>0</v>
      </c>
      <c r="DP127" s="540">
        <f>DP126-DP128</f>
        <v>0</v>
      </c>
      <c r="DQ127" s="540">
        <f>DQ126-DQ128</f>
        <v>0</v>
      </c>
      <c r="DR127" s="540">
        <f>DR126-DR128</f>
        <v>0</v>
      </c>
      <c r="DS127" s="540">
        <f>DS126-DS128</f>
        <v>0</v>
      </c>
      <c r="DT127" s="540">
        <f>DT126-DT128</f>
        <v>0</v>
      </c>
      <c r="DU127" s="540">
        <f>DU126-DU128</f>
        <v>0</v>
      </c>
      <c r="DV127" s="540">
        <f>DV126-DV128</f>
        <v>0</v>
      </c>
      <c r="DW127" s="540">
        <f>DW126-DW128</f>
        <v>0</v>
      </c>
      <c r="DX127" s="540">
        <f>DX126-DX128</f>
        <v>0</v>
      </c>
      <c r="DY127" s="540">
        <f>DY126-DY128</f>
        <v>0</v>
      </c>
      <c r="DZ127" s="540">
        <f>DZ126-DZ128</f>
        <v>0</v>
      </c>
      <c r="EA127" s="540">
        <f>EA126-EA128</f>
        <v>0</v>
      </c>
      <c r="EB127" s="540">
        <f>EB126-EB128</f>
        <v>0</v>
      </c>
      <c r="EC127" s="540">
        <f>EC126-EC128</f>
        <v>0</v>
      </c>
      <c r="ED127" s="540">
        <f>ED126-ED128</f>
        <v>0</v>
      </c>
      <c r="EE127" s="540">
        <f>EE126-EE128</f>
        <v>0</v>
      </c>
      <c r="EF127" s="540">
        <f>EF126-EF128</f>
        <v>0</v>
      </c>
      <c r="EG127" s="540">
        <f>EG126-EG128</f>
        <v>0</v>
      </c>
      <c r="EH127" s="540">
        <f>EH126-EH128</f>
        <v>0</v>
      </c>
      <c r="EI127" s="540">
        <f>EI126-EI128</f>
        <v>0</v>
      </c>
      <c r="EJ127" s="540">
        <f>EJ126-EJ128</f>
        <v>0</v>
      </c>
      <c r="EK127" s="540">
        <f>EK126-EK128</f>
        <v>0</v>
      </c>
      <c r="EL127" s="540">
        <f>EL126-EL128</f>
        <v>0</v>
      </c>
      <c r="EM127" s="540">
        <f>EM126-EM128</f>
        <v>0</v>
      </c>
      <c r="EN127" s="540">
        <f>EN126-EN128</f>
        <v>0</v>
      </c>
      <c r="EO127" s="540">
        <f>EO126-EO128</f>
        <v>0</v>
      </c>
      <c r="EP127" s="540">
        <f>EP126-EP128</f>
        <v>0</v>
      </c>
      <c r="EQ127" s="540">
        <f>EQ126-EQ128</f>
        <v>0</v>
      </c>
      <c r="ER127" s="540">
        <f>ER126-ER128</f>
        <v>0</v>
      </c>
      <c r="ES127" s="540">
        <f>ES126-ES128</f>
        <v>0</v>
      </c>
      <c r="ET127" s="540">
        <f>ET126-ET128</f>
        <v>0</v>
      </c>
      <c r="EU127" s="540">
        <f>EU126-EU128</f>
        <v>0</v>
      </c>
      <c r="EV127" s="540">
        <f>EV126-EV128</f>
        <v>0</v>
      </c>
      <c r="EW127" s="540">
        <f>EW126-EW128</f>
        <v>0</v>
      </c>
      <c r="EX127" s="540">
        <f>EX126-EX128</f>
        <v>0</v>
      </c>
      <c r="EY127" s="540">
        <f>EY126-EY128</f>
        <v>0</v>
      </c>
      <c r="EZ127" s="540">
        <f>EZ126-EZ128</f>
        <v>0</v>
      </c>
      <c r="FA127" s="540">
        <f>FA126-FA128</f>
        <v>0</v>
      </c>
      <c r="FB127" s="83"/>
      <c r="FE127" s="489" t="s">
        <v>990</v>
      </c>
      <c r="FK127" s="1157" cm="1" t="str">
        <f t="array" ref="FK127:FK127">OFFSET(FJ127,-1,1)</f>
        <v>0</v>
      </c>
      <c r="FL127" s="1159"/>
      <c r="FM127" s="1159"/>
      <c r="FN127" s="1159"/>
      <c r="FO127" s="1159"/>
      <c r="FP127" s="1159"/>
      <c r="FQ127" s="1159"/>
      <c r="FR127" s="1159"/>
      <c r="FS127" s="1078" t="s">
        <v>987</v>
      </c>
      <c r="FT127" s="1159"/>
      <c r="FU127" s="1078" t="s">
        <v>639</v>
      </c>
      <c r="FV127" s="1159"/>
      <c r="FW127" s="1159"/>
      <c r="FX127" s="1078" t="s">
        <v>303</v>
      </c>
      <c r="FY127" s="1078" t="s">
        <v>919</v>
      </c>
      <c r="FZ127" s="1078" t="s">
        <v>920</v>
      </c>
    </row>
    <row customHeight="1" ht="16.575" hidden="1">
      <c r="E128" s="180">
        <v>17</v>
      </c>
      <c r="F128" s="175" cm="1" t="str">
        <f t="array" ref="F128:F128">OFFSET(G128,-1,-1)</f>
        <v>0</v>
      </c>
      <c r="G128" s="193" t="str">
        <f>IF(J28="пар","топливо","")</f>
        <v/>
      </c>
      <c r="L128" s="175" cm="1" t="str">
        <f t="array" ref="L128:L128">OFFSET(M128,-1,-1)</f>
        <v>false</v>
      </c>
      <c r="S128" s="175" cm="1" t="str">
        <f t="array" ref="S128:S128">OFFSET(T128,-1,-1)</f>
        <v>false</v>
      </c>
      <c r="U128" s="753">
        <f>AND(S128,IF(ISBLANK(T128),TRUE,T128))</f>
        <v>0</v>
      </c>
      <c r="AB128" s="1650"/>
      <c r="AD128" s="538" t="s">
        <v>991</v>
      </c>
      <c r="AE128" s="1627" t="s">
        <v>640</v>
      </c>
      <c r="AF128" s="1628"/>
      <c r="AG128" s="539" t="s">
        <v>917</v>
      </c>
      <c r="AH128" s="98"/>
      <c r="AI128" s="98"/>
      <c r="AJ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c r="BP128" s="98"/>
      <c r="BQ128" s="98"/>
      <c r="BR128" s="98"/>
      <c r="BS128" s="98"/>
      <c r="BT128" s="98"/>
      <c r="BU128" s="98"/>
      <c r="BV128" s="98"/>
      <c r="BW128" s="98"/>
      <c r="BX128" s="98"/>
      <c r="BY128" s="98"/>
      <c r="BZ128" s="98"/>
      <c r="CA128" s="98"/>
      <c r="CB128" s="98"/>
      <c r="CC128" s="98"/>
      <c r="CD128" s="98"/>
      <c r="CE128" s="98"/>
      <c r="CF128" s="98"/>
      <c r="CG128" s="98"/>
      <c r="CH128" s="98"/>
      <c r="CI128" s="98"/>
      <c r="CJ128" s="98"/>
      <c r="CK128" s="98"/>
      <c r="CL128" s="98"/>
      <c r="CM128" s="98"/>
      <c r="CN128" s="98"/>
      <c r="CO128" s="98"/>
      <c r="CP128" s="98"/>
      <c r="CQ128" s="98"/>
      <c r="CR128" s="98"/>
      <c r="CS128" s="98"/>
      <c r="CT128" s="541"/>
      <c r="CU128" s="541"/>
      <c r="CV128" s="541"/>
      <c r="CW128" s="98"/>
      <c r="CX128" s="98"/>
      <c r="CY128" s="98"/>
      <c r="CZ128" s="98"/>
      <c r="DA128" s="98"/>
      <c r="DB128" s="98"/>
      <c r="DC128" s="98"/>
      <c r="DD128" s="98"/>
      <c r="DE128" s="98"/>
      <c r="DF128" s="98"/>
      <c r="DG128" s="98"/>
      <c r="DH128" s="98"/>
      <c r="DI128" s="98"/>
      <c r="DJ128" s="98"/>
      <c r="DK128" s="98"/>
      <c r="DL128" s="98"/>
      <c r="DM128" s="98"/>
      <c r="DN128" s="98"/>
      <c r="DO128" s="98"/>
      <c r="DP128" s="98"/>
      <c r="DQ128" s="98"/>
      <c r="DR128" s="98"/>
      <c r="DS128" s="98"/>
      <c r="DT128" s="98"/>
      <c r="DU128" s="98"/>
      <c r="DV128" s="98"/>
      <c r="DW128" s="98"/>
      <c r="DX128" s="98"/>
      <c r="DY128" s="98"/>
      <c r="DZ128" s="98"/>
      <c r="EA128" s="98"/>
      <c r="EB128" s="98"/>
      <c r="EC128" s="98"/>
      <c r="ED128" s="98"/>
      <c r="EE128" s="98"/>
      <c r="EF128" s="98"/>
      <c r="EG128" s="98"/>
      <c r="EH128" s="98"/>
      <c r="EI128" s="98"/>
      <c r="EJ128" s="98"/>
      <c r="EK128" s="98"/>
      <c r="EL128" s="98"/>
      <c r="EM128" s="98"/>
      <c r="EN128" s="98"/>
      <c r="EO128" s="98"/>
      <c r="EP128" s="98"/>
      <c r="EQ128" s="98"/>
      <c r="ER128" s="98"/>
      <c r="ES128" s="98"/>
      <c r="ET128" s="98"/>
      <c r="EU128" s="98"/>
      <c r="EV128" s="98"/>
      <c r="EW128" s="98"/>
      <c r="EX128" s="98"/>
      <c r="EY128" s="98"/>
      <c r="EZ128" s="98"/>
      <c r="FA128" s="98"/>
      <c r="FB128" s="83"/>
      <c r="FE128" s="489" t="s">
        <v>992</v>
      </c>
      <c r="FK128" s="1157" cm="1" t="str">
        <f t="array" ref="FK128:FK128">OFFSET(FJ128,-1,1)</f>
        <v>0</v>
      </c>
      <c r="FL128" s="1159"/>
      <c r="FM128" s="1159"/>
      <c r="FN128" s="1159"/>
      <c r="FO128" s="1159"/>
      <c r="FP128" s="1159"/>
      <c r="FQ128" s="1159"/>
      <c r="FR128" s="1159"/>
      <c r="FS128" s="1078" t="s">
        <v>987</v>
      </c>
      <c r="FT128" s="1159"/>
      <c r="FU128" s="1078" t="s">
        <v>642</v>
      </c>
      <c r="FV128" s="1159"/>
      <c r="FW128" s="1159"/>
      <c r="FX128" s="1078" t="s">
        <v>303</v>
      </c>
      <c r="FY128" s="1078" t="s">
        <v>919</v>
      </c>
      <c r="FZ128" s="1078" t="s">
        <v>920</v>
      </c>
    </row>
    <row customHeight="1" ht="16.575" hidden="1">
      <c r="E129" s="180">
        <v>17</v>
      </c>
      <c r="F129" s="175" cm="1" t="str">
        <f t="array" ref="F129:F129">OFFSET(G129,-1,-1)</f>
        <v>0</v>
      </c>
      <c r="L129" s="175" cm="1" t="str">
        <f t="array" ref="L129:L129">OFFSET(M129,-1,-1)</f>
        <v>false</v>
      </c>
      <c r="S129" s="175" cm="1" t="str">
        <f t="array" ref="S129:S129">OFFSET(T129,-1,-1)</f>
        <v>false</v>
      </c>
      <c r="T129" s="175">
        <f>AD129&lt;&gt;"40.0"</f>
        <v>0</v>
      </c>
      <c r="U129" s="753">
        <f>AND(S129,IF(ISBLANK(T129),TRUE,T129))</f>
        <v>0</v>
      </c>
      <c r="X129" s="175" t="s">
        <v>189</v>
      </c>
      <c r="AB129" s="1650"/>
      <c r="AD129" s="491" t="s">
        <v>993</v>
      </c>
      <c r="AE129" s="514"/>
      <c r="AF129" s="515"/>
      <c r="AG129" s="470" t="s">
        <v>917</v>
      </c>
      <c r="AH129" s="88">
        <f>AH74+AH87+AH100+AH113+AH120</f>
        <v>0</v>
      </c>
      <c r="AI129" s="88">
        <f>AI74+AI87+AI100+AI113+AI120</f>
        <v>0</v>
      </c>
      <c r="AJ129" s="88">
        <f>AJ74+AJ87+AJ100+AJ113+AJ120</f>
        <v>0</v>
      </c>
      <c r="AK129" s="88">
        <f>AK74+AK87+AK100+AK113+AK120</f>
        <v>0</v>
      </c>
      <c r="AL129" s="88">
        <f>AL74+AL87+AL100+AL113+AL120</f>
        <v>0</v>
      </c>
      <c r="AM129" s="88">
        <f>AM74+AM87+AM100+AM113+AM120</f>
        <v>0</v>
      </c>
      <c r="AN129" s="88">
        <f>AN74+AN87+AN100+AN113+AN120</f>
        <v>0</v>
      </c>
      <c r="AO129" s="88">
        <f>AO74+AO87+AO100+AO113+AO120</f>
        <v>0</v>
      </c>
      <c r="AP129" s="88">
        <f>AP74+AP87+AP100+AP113+AP120</f>
        <v>0</v>
      </c>
      <c r="AQ129" s="88">
        <f>AQ74+AQ87+AQ100+AQ113+AQ120</f>
        <v>0</v>
      </c>
      <c r="AR129" s="88">
        <f>AR74+AR87+AR100+AR113+AR120</f>
        <v>0</v>
      </c>
      <c r="AS129" s="88">
        <f>AS74+AS87+AS100+AS113+AS120</f>
        <v>0</v>
      </c>
      <c r="AT129" s="88">
        <f>AT74+AT87+AT100+AT113+AT120</f>
        <v>0</v>
      </c>
      <c r="AU129" s="88">
        <f>AU74+AU87+AU100+AU113+AU120</f>
        <v>0</v>
      </c>
      <c r="AV129" s="88">
        <f>AV74+AV87+AV100+AV113+AV120</f>
        <v>0</v>
      </c>
      <c r="AW129" s="88">
        <f>AW74+AW87+AW100+AW113+AW120</f>
        <v>0</v>
      </c>
      <c r="AX129" s="88">
        <f>AX74+AX87+AX100+AX113+AX120</f>
        <v>0</v>
      </c>
      <c r="AY129" s="88">
        <f>AY74+AY87+AY100+AY113+AY120</f>
        <v>0</v>
      </c>
      <c r="AZ129" s="88">
        <f>AZ74+AZ87+AZ100+AZ113+AZ120</f>
        <v>0</v>
      </c>
      <c r="BA129" s="88">
        <f>BA74+BA87+BA100+BA113+BA120</f>
        <v>0</v>
      </c>
      <c r="BB129" s="88">
        <f>BB74+BB87+BB100+BB113+BB120</f>
        <v>0</v>
      </c>
      <c r="BC129" s="88">
        <f>BC74+BC87+BC100+BC113+BC120</f>
        <v>0</v>
      </c>
      <c r="BD129" s="88">
        <f>BD74+BD87+BD100+BD113+BD120</f>
        <v>0</v>
      </c>
      <c r="BE129" s="88">
        <f>BE74+BE87+BE100+BE113+BE120</f>
        <v>0</v>
      </c>
      <c r="BF129" s="88">
        <f>BF74+BF87+BF100+BF113+BF120</f>
        <v>0</v>
      </c>
      <c r="BG129" s="88">
        <f>BG74+BG87+BG100+BG113+BG120</f>
        <v>0</v>
      </c>
      <c r="BH129" s="88">
        <f>BH74+BH87+BH100+BH113+BH120</f>
        <v>0</v>
      </c>
      <c r="BI129" s="88">
        <f>BI74+BI87+BI100+BI113+BI120</f>
        <v>0</v>
      </c>
      <c r="BJ129" s="88">
        <f>BJ74+BJ87+BJ100+BJ113+BJ120</f>
        <v>0</v>
      </c>
      <c r="BK129" s="88">
        <f>BK74+BK87+BK100+BK113+BK120</f>
        <v>0</v>
      </c>
      <c r="BL129" s="88">
        <f>BL74+BL87+BL100+BL113+BL120</f>
        <v>0</v>
      </c>
      <c r="BM129" s="88">
        <f>BM74+BM87+BM100+BM113+BM120</f>
        <v>0</v>
      </c>
      <c r="BN129" s="88">
        <f>BN74+BN87+BN100+BN113+BN120</f>
        <v>0</v>
      </c>
      <c r="BO129" s="88">
        <f>BO74+BO87+BO100+BO113+BO120</f>
        <v>0</v>
      </c>
      <c r="BP129" s="88">
        <f>BP74+BP87+BP100+BP113+BP120</f>
        <v>0</v>
      </c>
      <c r="BQ129" s="88">
        <f>BQ74+BQ87+BQ100+BQ113+BQ120</f>
        <v>0</v>
      </c>
      <c r="BR129" s="88">
        <f>BR74+BR87+BR100+BR113+BR120</f>
        <v>0</v>
      </c>
      <c r="BS129" s="88">
        <f>BS74+BS87+BS100+BS113+BS120</f>
        <v>0</v>
      </c>
      <c r="BT129" s="88">
        <f>BT74+BT87+BT100+BT113+BT120</f>
        <v>0</v>
      </c>
      <c r="BU129" s="88">
        <f>BU74+BU87+BU100+BU113+BU120</f>
        <v>0</v>
      </c>
      <c r="BV129" s="88">
        <f>BV74+BV87+BV100+BV113+BV120</f>
        <v>0</v>
      </c>
      <c r="BW129" s="88">
        <f>BW74+BW87+BW100+BW113+BW120</f>
        <v>0</v>
      </c>
      <c r="BX129" s="88">
        <f>BX74+BX87+BX100+BX113+BX120</f>
        <v>0</v>
      </c>
      <c r="BY129" s="88">
        <f>BY74+BY87+BY100+BY113+BY120</f>
        <v>0</v>
      </c>
      <c r="BZ129" s="88">
        <f>BZ74+BZ87+BZ100+BZ113+BZ120</f>
        <v>0</v>
      </c>
      <c r="CA129" s="88">
        <f>CA74+CA87+CA100+CA113+CA120</f>
        <v>0</v>
      </c>
      <c r="CB129" s="88">
        <f>CB74+CB87+CB100+CB113+CB120</f>
        <v>0</v>
      </c>
      <c r="CC129" s="88">
        <f>CC74+CC87+CC100+CC113+CC120</f>
        <v>0</v>
      </c>
      <c r="CD129" s="88">
        <f>CD74+CD87+CD100+CD113+CD120</f>
        <v>0</v>
      </c>
      <c r="CE129" s="88">
        <f>CE74+CE87+CE100+CE113+CE120</f>
        <v>0</v>
      </c>
      <c r="CF129" s="88">
        <f>CF74+CF87+CF100+CF113+CF120</f>
        <v>0</v>
      </c>
      <c r="CG129" s="88">
        <f>CG74+CG87+CG100+CG113+CG120</f>
        <v>0</v>
      </c>
      <c r="CH129" s="88">
        <f>CH74+CH87+CH100+CH113+CH120</f>
        <v>0</v>
      </c>
      <c r="CI129" s="88">
        <f>CI74+CI87+CI100+CI113+CI120</f>
        <v>0</v>
      </c>
      <c r="CJ129" s="88">
        <f>CJ74+CJ87+CJ100+CJ113+CJ120</f>
        <v>0</v>
      </c>
      <c r="CK129" s="88">
        <f>CK74+CK87+CK100+CK113+CK120</f>
        <v>0</v>
      </c>
      <c r="CL129" s="88">
        <f>CL74+CL87+CL100+CL113+CL120</f>
        <v>0</v>
      </c>
      <c r="CM129" s="88">
        <f>CM74+CM87+CM100+CM113+CM120</f>
        <v>0</v>
      </c>
      <c r="CN129" s="88">
        <f>CN74+CN87+CN100+CN113+CN120</f>
        <v>0</v>
      </c>
      <c r="CO129" s="88">
        <f>CO74+CO87+CO100+CO113+CO120</f>
        <v>0</v>
      </c>
      <c r="CP129" s="88">
        <f>CP74+CP87+CP100+CP113+CP120</f>
        <v>0</v>
      </c>
      <c r="CQ129" s="88">
        <f>CQ74+CQ87+CQ100+CQ113+CQ120</f>
        <v>0</v>
      </c>
      <c r="CR129" s="88">
        <f>CR74+CR87+CR100+CR113+CR120</f>
        <v>0</v>
      </c>
      <c r="CS129" s="88">
        <f>CS74+CS87+CS100+CS113+CS120</f>
        <v>0</v>
      </c>
      <c r="CT129" s="497">
        <f>CT74+CT87+CT100+CT113+CT120</f>
        <v>0</v>
      </c>
      <c r="CU129" s="497">
        <f>CU74+CU87+CU100+CU113+CU120</f>
        <v>0</v>
      </c>
      <c r="CV129" s="497">
        <f>CV74+CV87+CV100+CV113+CV120</f>
        <v>0</v>
      </c>
      <c r="CW129" s="88">
        <f>CW74+CW87+CW100+CW113+CW120</f>
        <v>0</v>
      </c>
      <c r="CX129" s="88">
        <f>CX74+CX87+CX100+CX113+CX120</f>
        <v>0</v>
      </c>
      <c r="CY129" s="88">
        <f>CY74+CY87+CY100+CY113+CY120</f>
        <v>0</v>
      </c>
      <c r="CZ129" s="88">
        <f>CZ74+CZ87+CZ100+CZ113+CZ120</f>
        <v>0</v>
      </c>
      <c r="DA129" s="88">
        <f>DA74+DA87+DA100+DA113+DA120</f>
        <v>0</v>
      </c>
      <c r="DB129" s="88">
        <f>DB74+DB87+DB100+DB113+DB120</f>
        <v>0</v>
      </c>
      <c r="DC129" s="88">
        <f>DC74+DC87+DC100+DC113+DC120</f>
        <v>0</v>
      </c>
      <c r="DD129" s="88">
        <f>DD74+DD87+DD100+DD113+DD120</f>
        <v>0</v>
      </c>
      <c r="DE129" s="88">
        <f>DE74+DE87+DE100+DE113+DE120</f>
        <v>0</v>
      </c>
      <c r="DF129" s="88">
        <f>DF74+DF87+DF100+DF113+DF120</f>
        <v>0</v>
      </c>
      <c r="DG129" s="88">
        <f>DG74+DG87+DG100+DG113+DG120</f>
        <v>0</v>
      </c>
      <c r="DH129" s="88">
        <f>DH74+DH87+DH100+DH113+DH120</f>
        <v>0</v>
      </c>
      <c r="DI129" s="88">
        <f>DI74+DI87+DI100+DI113+DI120</f>
        <v>0</v>
      </c>
      <c r="DJ129" s="88">
        <f>DJ74+DJ87+DJ100+DJ113+DJ120</f>
        <v>0</v>
      </c>
      <c r="DK129" s="88">
        <f>DK74+DK87+DK100+DK113+DK120</f>
        <v>0</v>
      </c>
      <c r="DL129" s="88">
        <f>DL74+DL87+DL100+DL113+DL120</f>
        <v>0</v>
      </c>
      <c r="DM129" s="88">
        <f>DM74+DM87+DM100+DM113+DM120</f>
        <v>0</v>
      </c>
      <c r="DN129" s="88">
        <f>DN74+DN87+DN100+DN113+DN120</f>
        <v>0</v>
      </c>
      <c r="DO129" s="88">
        <f>DO74+DO87+DO100+DO113+DO120</f>
        <v>0</v>
      </c>
      <c r="DP129" s="88">
        <f>DP74+DP87+DP100+DP113+DP120</f>
        <v>0</v>
      </c>
      <c r="DQ129" s="88">
        <f>DQ74+DQ87+DQ100+DQ113+DQ120</f>
        <v>0</v>
      </c>
      <c r="DR129" s="88">
        <f>DR74+DR87+DR100+DR113+DR120</f>
        <v>0</v>
      </c>
      <c r="DS129" s="88">
        <f>DS74+DS87+DS100+DS113+DS120</f>
        <v>0</v>
      </c>
      <c r="DT129" s="88">
        <f>DT74+DT87+DT100+DT113+DT120</f>
        <v>0</v>
      </c>
      <c r="DU129" s="88">
        <f>DU74+DU87+DU100+DU113+DU120</f>
        <v>0</v>
      </c>
      <c r="DV129" s="88">
        <f>DV74+DV87+DV100+DV113+DV120</f>
        <v>0</v>
      </c>
      <c r="DW129" s="88">
        <f>DW74+DW87+DW100+DW113+DW120</f>
        <v>0</v>
      </c>
      <c r="DX129" s="88">
        <f>DX74+DX87+DX100+DX113+DX120</f>
        <v>0</v>
      </c>
      <c r="DY129" s="88">
        <f>DY74+DY87+DY100+DY113+DY120</f>
        <v>0</v>
      </c>
      <c r="DZ129" s="88">
        <f>DZ74+DZ87+DZ100+DZ113+DZ120</f>
        <v>0</v>
      </c>
      <c r="EA129" s="88">
        <f>EA74+EA87+EA100+EA113+EA120</f>
        <v>0</v>
      </c>
      <c r="EB129" s="88">
        <f>EB74+EB87+EB100+EB113+EB120</f>
        <v>0</v>
      </c>
      <c r="EC129" s="88">
        <f>EC74+EC87+EC100+EC113+EC120</f>
        <v>0</v>
      </c>
      <c r="ED129" s="88">
        <f>ED74+ED87+ED100+ED113+ED120</f>
        <v>0</v>
      </c>
      <c r="EE129" s="88">
        <f>EE74+EE87+EE100+EE113+EE120</f>
        <v>0</v>
      </c>
      <c r="EF129" s="88">
        <f>EF74+EF87+EF100+EF113+EF120</f>
        <v>0</v>
      </c>
      <c r="EG129" s="88">
        <f>EG74+EG87+EG100+EG113+EG120</f>
        <v>0</v>
      </c>
      <c r="EH129" s="88">
        <f>EH74+EH87+EH100+EH113+EH120</f>
        <v>0</v>
      </c>
      <c r="EI129" s="88">
        <f>EI74+EI87+EI100+EI113+EI120</f>
        <v>0</v>
      </c>
      <c r="EJ129" s="88">
        <f>EJ74+EJ87+EJ100+EJ113+EJ120</f>
        <v>0</v>
      </c>
      <c r="EK129" s="88">
        <f>EK74+EK87+EK100+EK113+EK120</f>
        <v>0</v>
      </c>
      <c r="EL129" s="88">
        <f>EL74+EL87+EL100+EL113+EL120</f>
        <v>0</v>
      </c>
      <c r="EM129" s="88">
        <f>EM74+EM87+EM100+EM113+EM120</f>
        <v>0</v>
      </c>
      <c r="EN129" s="88">
        <f>EN74+EN87+EN100+EN113+EN120</f>
        <v>0</v>
      </c>
      <c r="EO129" s="88">
        <f>EO74+EO87+EO100+EO113+EO120</f>
        <v>0</v>
      </c>
      <c r="EP129" s="88">
        <f>EP74+EP87+EP100+EP113+EP120</f>
        <v>0</v>
      </c>
      <c r="EQ129" s="88">
        <f>EQ74+EQ87+EQ100+EQ113+EQ120</f>
        <v>0</v>
      </c>
      <c r="ER129" s="88">
        <f>ER74+ER87+ER100+ER113+ER120</f>
        <v>0</v>
      </c>
      <c r="ES129" s="88">
        <f>ES74+ES87+ES100+ES113+ES120</f>
        <v>0</v>
      </c>
      <c r="ET129" s="88">
        <f>ET74+ET87+ET100+ET113+ET120</f>
        <v>0</v>
      </c>
      <c r="EU129" s="88">
        <f>EU74+EU87+EU100+EU113+EU120</f>
        <v>0</v>
      </c>
      <c r="EV129" s="88">
        <f>EV74+EV87+EV100+EV113+EV120</f>
        <v>0</v>
      </c>
      <c r="EW129" s="88">
        <f>EW74+EW87+EW100+EW113+EW120</f>
        <v>0</v>
      </c>
      <c r="EX129" s="88">
        <f>EX74+EX87+EX100+EX113+EX120</f>
        <v>0</v>
      </c>
      <c r="EY129" s="88">
        <f>EY74+EY87+EY100+EY113+EY120</f>
        <v>0</v>
      </c>
      <c r="EZ129" s="88">
        <f>EZ74+EZ87+EZ100+EZ113+EZ120</f>
        <v>0</v>
      </c>
      <c r="FA129" s="88">
        <f>FA74+FA87+FA100+FA113+FA120</f>
        <v>0</v>
      </c>
      <c r="FB129" s="83"/>
      <c r="FE129" s="489" t="s">
        <v>994</v>
      </c>
      <c r="FF129" s="648" t="s">
        <v>890</v>
      </c>
      <c r="FG129" s="648" cm="1" t="str">
        <f t="array" ref="FG129:FG129">AE129</f>
        <v>0</v>
      </c>
      <c r="FH129" s="648" cm="1" t="str">
        <f t="array" ref="FH129:FH129">AF129</f>
        <v>0</v>
      </c>
      <c r="FK129" s="1157" cm="1" t="str">
        <f t="array" ref="FK129:FK129">OFFSET(FJ129,-1,1)</f>
        <v>0</v>
      </c>
      <c r="FL129" s="1159"/>
      <c r="FM129" s="1159"/>
      <c r="FN129" s="1159"/>
      <c r="FO129" s="1159"/>
      <c r="FP129" s="1159"/>
      <c r="FQ129" s="1159"/>
      <c r="FR129" s="1159"/>
      <c r="FS129" s="1159" t="s">
        <v>987</v>
      </c>
      <c r="FT129" s="1159"/>
      <c r="FU129" s="1159"/>
      <c r="FV129" s="1159" t="s">
        <v>219</v>
      </c>
      <c r="FW129" s="1078" t="str">
        <f>$AE129&amp;"|"&amp;$AF129</f>
        <v>|</v>
      </c>
      <c r="FX129" s="1159" t="s">
        <v>303</v>
      </c>
      <c r="FY129" s="1159" t="s">
        <v>919</v>
      </c>
      <c r="FZ129" s="1159" t="s">
        <v>920</v>
      </c>
    </row>
    <row customHeight="1" ht="15" hidden="1">
      <c r="E130" s="965">
        <v>0</v>
      </c>
      <c r="F130" s="175" cm="1" t="str">
        <f t="array" ref="F130:F130">OFFSET(G130,-1,-1)</f>
        <v>0</v>
      </c>
      <c r="L130" s="175" cm="1" t="str">
        <f t="array" ref="L130:L130">OFFSET(M130,-1,-1)</f>
        <v>false</v>
      </c>
      <c r="S130" s="175" cm="1" t="str">
        <f t="array" ref="S130:S130">OFFSET(T130,-1,-1)</f>
        <v>false</v>
      </c>
      <c r="U130" s="753">
        <f>AND(S130,IF(ISBLANK(T130),TRUE,T130))</f>
        <v>0</v>
      </c>
      <c r="X130" s="980" t="str">
        <f>"{                  
         funcDyn: 'msg1',
         blok: 'blok_2',
         wsCross: 'Топливо 4.4',
         linkFormula: 'AE-AE#AF-AF',
         levelDyn: "&amp;Y28&amp;"
}"</f>
        <v>{                  
         funcDyn: 'msg1',
         blok: 'blok_2',
         wsCross: 'Топливо 4.4',
         linkFormula: 'AE-AE#AF-AF',
         levelDyn: 0
}</v>
      </c>
      <c r="AB130" s="1650"/>
      <c r="AD130" s="517"/>
      <c r="AE130" s="518" t="s">
        <v>191</v>
      </c>
      <c r="AF130" s="519"/>
      <c r="AG130" s="470"/>
      <c r="AH130" s="524"/>
      <c r="AI130" s="525"/>
      <c r="AJ130" s="525"/>
      <c r="AK130" s="525"/>
      <c r="AL130" s="525"/>
      <c r="AM130" s="525"/>
      <c r="AN130" s="525"/>
      <c r="AO130" s="525"/>
      <c r="AP130" s="525"/>
      <c r="AQ130" s="525"/>
      <c r="AR130" s="525"/>
      <c r="AS130" s="525"/>
      <c r="AT130" s="525"/>
      <c r="AU130" s="525"/>
      <c r="AV130" s="525"/>
      <c r="AW130" s="525"/>
      <c r="AX130" s="525"/>
      <c r="AY130" s="525"/>
      <c r="AZ130" s="525"/>
      <c r="BA130" s="525"/>
      <c r="BB130" s="525"/>
      <c r="BC130" s="525"/>
      <c r="BD130" s="525"/>
      <c r="BE130" s="525"/>
      <c r="BF130" s="525"/>
      <c r="BG130" s="525"/>
      <c r="BH130" s="525"/>
      <c r="BI130" s="525"/>
      <c r="BJ130" s="525"/>
      <c r="BK130" s="525"/>
      <c r="BL130" s="525"/>
      <c r="BM130" s="525"/>
      <c r="BN130" s="525"/>
      <c r="BO130" s="525"/>
      <c r="BP130" s="525"/>
      <c r="BQ130" s="525"/>
      <c r="BR130" s="525"/>
      <c r="BS130" s="525"/>
      <c r="BT130" s="525"/>
      <c r="BU130" s="525"/>
      <c r="BV130" s="525"/>
      <c r="BW130" s="525"/>
      <c r="BX130" s="525"/>
      <c r="BY130" s="525"/>
      <c r="BZ130" s="525"/>
      <c r="CA130" s="525"/>
      <c r="CB130" s="525"/>
      <c r="CC130" s="525"/>
      <c r="CD130" s="525"/>
      <c r="CE130" s="525"/>
      <c r="CF130" s="525"/>
      <c r="CG130" s="525"/>
      <c r="CH130" s="525"/>
      <c r="CI130" s="525"/>
      <c r="CJ130" s="525"/>
      <c r="CK130" s="525"/>
      <c r="CL130" s="525"/>
      <c r="CM130" s="525"/>
      <c r="CN130" s="525"/>
      <c r="CO130" s="525"/>
      <c r="CP130" s="525"/>
      <c r="CQ130" s="525"/>
      <c r="CR130" s="525"/>
      <c r="CS130" s="525"/>
      <c r="CT130" s="525"/>
      <c r="CU130" s="525"/>
      <c r="CV130" s="525"/>
      <c r="CW130" s="525"/>
      <c r="CX130" s="525"/>
      <c r="CY130" s="525"/>
      <c r="CZ130" s="525"/>
      <c r="DA130" s="525"/>
      <c r="DB130" s="525"/>
      <c r="DC130" s="525"/>
      <c r="DD130" s="525"/>
      <c r="DE130" s="525"/>
      <c r="DF130" s="525"/>
      <c r="DG130" s="525"/>
      <c r="DH130" s="525"/>
      <c r="DI130" s="525"/>
      <c r="DJ130" s="525"/>
      <c r="DK130" s="525"/>
      <c r="DL130" s="525"/>
      <c r="DM130" s="525"/>
      <c r="DN130" s="525"/>
      <c r="DO130" s="525"/>
      <c r="DP130" s="525"/>
      <c r="DQ130" s="525"/>
      <c r="DR130" s="525"/>
      <c r="DS130" s="525"/>
      <c r="DT130" s="525"/>
      <c r="DU130" s="525"/>
      <c r="DV130" s="525"/>
      <c r="DW130" s="525"/>
      <c r="DX130" s="525"/>
      <c r="DY130" s="525"/>
      <c r="DZ130" s="525"/>
      <c r="EA130" s="525"/>
      <c r="EB130" s="525"/>
      <c r="EC130" s="525"/>
      <c r="ED130" s="525"/>
      <c r="EE130" s="525"/>
      <c r="EF130" s="525"/>
      <c r="EG130" s="525"/>
      <c r="EH130" s="525"/>
      <c r="EI130" s="525"/>
      <c r="EJ130" s="525"/>
      <c r="EK130" s="525"/>
      <c r="EL130" s="525"/>
      <c r="EM130" s="525"/>
      <c r="EN130" s="525"/>
      <c r="EO130" s="525"/>
      <c r="EP130" s="525"/>
      <c r="EQ130" s="525"/>
      <c r="ER130" s="525"/>
      <c r="ES130" s="525"/>
      <c r="ET130" s="525"/>
      <c r="EU130" s="525"/>
      <c r="EV130" s="525"/>
      <c r="EW130" s="525"/>
      <c r="EX130" s="525"/>
      <c r="EY130" s="525"/>
      <c r="EZ130" s="525"/>
      <c r="FA130" s="525"/>
      <c r="FB130" s="93"/>
      <c r="FE130" s="489" t="str">
        <f>IF(AND(ISNUMBER(VALUE(TRIM(SUBSTITUTE(AD130,".","")))),TRIM(SUBSTITUTE(AD130,".",""))&lt;&gt;""),"P"&amp;SUBSTITUTE(AD130,".",""),"")</f>
        <v/>
      </c>
      <c r="FK130" s="1157" cm="1" t="str">
        <f t="array" ref="FK130:FK130">OFFSET(FJ130,-1,1)</f>
        <v>0</v>
      </c>
      <c r="FL130" s="1159"/>
      <c r="FM130" s="1159"/>
      <c r="FN130" s="1159"/>
      <c r="FO130" s="1159"/>
      <c r="FP130" s="1159"/>
      <c r="FQ130" s="1159"/>
      <c r="FR130" s="1159"/>
      <c r="FS130" s="1159"/>
      <c r="FT130" s="1159"/>
      <c r="FU130" s="1159"/>
      <c r="FV130" s="1159"/>
      <c r="FW130" s="1159"/>
      <c r="FX130" s="1159"/>
      <c r="FY130" s="1159"/>
      <c r="FZ130" s="1159"/>
    </row>
    <row customHeight="1" ht="16.575" hidden="1">
      <c r="E131" s="180">
        <v>17</v>
      </c>
      <c r="F131" s="175" cm="1" t="str">
        <f t="array" ref="F131:F131">OFFSET(G131,-1,-1)</f>
        <v>0</v>
      </c>
      <c r="L131" s="175" cm="1" t="str">
        <f t="array" ref="L131:L131">OFFSET(M131,-1,-1)</f>
        <v>false</v>
      </c>
      <c r="S131" s="175" cm="1" t="str">
        <f t="array" ref="S131:S131">OFFSET(T131,-1,-1)</f>
        <v>false</v>
      </c>
      <c r="U131" s="753">
        <f>AND(S131,IF(ISBLANK(T131),TRUE,T131))</f>
        <v>0</v>
      </c>
      <c r="AB131" s="1650"/>
      <c r="AD131" s="327">
        <v>41</v>
      </c>
      <c r="AE131" s="1618" t="s">
        <v>995</v>
      </c>
      <c r="AF131" s="427"/>
      <c r="AG131" s="470" t="s">
        <v>996</v>
      </c>
      <c r="AH131" s="500">
        <f>_xlfn.IFERROR(AH125/AH53,0)*1000</f>
        <v>0</v>
      </c>
      <c r="AI131" s="500">
        <f>_xlfn.IFERROR(AI125/AI53,0)*1000</f>
        <v>0</v>
      </c>
      <c r="AJ131" s="500">
        <f>_xlfn.IFERROR(AJ125/AJ53,0)*1000</f>
        <v>0</v>
      </c>
      <c r="AK131" s="500">
        <f>_xlfn.IFERROR(AK125/AK53,0)*1000</f>
        <v>0</v>
      </c>
      <c r="AL131" s="500">
        <f>_xlfn.IFERROR(AL125/AL53,0)*1000</f>
        <v>0</v>
      </c>
      <c r="AM131" s="500">
        <f>_xlfn.IFERROR(AM125/AM53,0)*1000</f>
        <v>0</v>
      </c>
      <c r="AN131" s="500">
        <f>_xlfn.IFERROR(AN125/AN53,0)*1000</f>
        <v>0</v>
      </c>
      <c r="AO131" s="500">
        <f>_xlfn.IFERROR(AO125/AO53,0)*1000</f>
        <v>0</v>
      </c>
      <c r="AP131" s="500">
        <f>_xlfn.IFERROR(AP125/AP53,0)*1000</f>
        <v>0</v>
      </c>
      <c r="AQ131" s="500">
        <f>_xlfn.IFERROR(AQ125/AQ53,0)*1000</f>
        <v>0</v>
      </c>
      <c r="AR131" s="500">
        <f>_xlfn.IFERROR(AR125/AR53,0)*1000</f>
        <v>0</v>
      </c>
      <c r="AS131" s="500">
        <f>_xlfn.IFERROR(AS125/AS53,0)*1000</f>
        <v>0</v>
      </c>
      <c r="AT131" s="500">
        <f>_xlfn.IFERROR(AT125/AT53,0)*1000</f>
        <v>0</v>
      </c>
      <c r="AU131" s="500">
        <f>_xlfn.IFERROR(AU125/AU53,0)*1000</f>
        <v>0</v>
      </c>
      <c r="AV131" s="500">
        <f>_xlfn.IFERROR(AV125/AV53,0)*1000</f>
        <v>0</v>
      </c>
      <c r="AW131" s="500">
        <f>_xlfn.IFERROR(AW125/AW53,0)*1000</f>
        <v>0</v>
      </c>
      <c r="AX131" s="500">
        <f>_xlfn.IFERROR(AX125/AX53,0)*1000</f>
        <v>0</v>
      </c>
      <c r="AY131" s="500">
        <f>_xlfn.IFERROR(AY125/AY53,0)*1000</f>
        <v>0</v>
      </c>
      <c r="AZ131" s="500">
        <f>_xlfn.IFERROR(AZ125/AZ53,0)*1000</f>
        <v>0</v>
      </c>
      <c r="BA131" s="500">
        <f>_xlfn.IFERROR(BA125/BA53,0)*1000</f>
        <v>0</v>
      </c>
      <c r="BB131" s="500">
        <f>_xlfn.IFERROR(BB125/BB53,0)*1000</f>
        <v>0</v>
      </c>
      <c r="BC131" s="500">
        <f>_xlfn.IFERROR(BC125/BC53,0)*1000</f>
        <v>0</v>
      </c>
      <c r="BD131" s="500">
        <f>_xlfn.IFERROR(BD125/BD53,0)*1000</f>
        <v>0</v>
      </c>
      <c r="BE131" s="500">
        <f>_xlfn.IFERROR(BE125/BE53,0)*1000</f>
        <v>0</v>
      </c>
      <c r="BF131" s="500">
        <f>_xlfn.IFERROR(BF125/BF53,0)*1000</f>
        <v>0</v>
      </c>
      <c r="BG131" s="500">
        <f>_xlfn.IFERROR(BG125/BG53,0)*1000</f>
        <v>0</v>
      </c>
      <c r="BH131" s="500">
        <f>_xlfn.IFERROR(BH125/BH53,0)*1000</f>
        <v>0</v>
      </c>
      <c r="BI131" s="500">
        <f>_xlfn.IFERROR(BI125/BI53,0)*1000</f>
        <v>0</v>
      </c>
      <c r="BJ131" s="500">
        <f>_xlfn.IFERROR(BJ125/BJ53,0)*1000</f>
        <v>0</v>
      </c>
      <c r="BK131" s="500">
        <f>_xlfn.IFERROR(BK125/BK53,0)*1000</f>
        <v>0</v>
      </c>
      <c r="BL131" s="500">
        <f>_xlfn.IFERROR(BL125/BL53,0)*1000</f>
        <v>0</v>
      </c>
      <c r="BM131" s="500">
        <f>_xlfn.IFERROR(BM125/BM53,0)*1000</f>
        <v>0</v>
      </c>
      <c r="BN131" s="500">
        <f>_xlfn.IFERROR(BN125/BN53,0)*1000</f>
        <v>0</v>
      </c>
      <c r="BO131" s="500">
        <f>_xlfn.IFERROR(BO125/BO53,0)*1000</f>
        <v>0</v>
      </c>
      <c r="BP131" s="500">
        <f>_xlfn.IFERROR(BP125/BP53,0)*1000</f>
        <v>0</v>
      </c>
      <c r="BQ131" s="500">
        <f>_xlfn.IFERROR(BQ125/BQ53,0)*1000</f>
        <v>0</v>
      </c>
      <c r="BR131" s="500">
        <f>_xlfn.IFERROR(BR125/BR53,0)*1000</f>
        <v>0</v>
      </c>
      <c r="BS131" s="500">
        <f>_xlfn.IFERROR(BS125/BS53,0)*1000</f>
        <v>0</v>
      </c>
      <c r="BT131" s="500">
        <f>_xlfn.IFERROR(BT125/BT53,0)*1000</f>
        <v>0</v>
      </c>
      <c r="BU131" s="500">
        <f>_xlfn.IFERROR(BU125/BU53,0)*1000</f>
        <v>0</v>
      </c>
      <c r="BV131" s="500">
        <f>_xlfn.IFERROR(BV125/BV53,0)*1000</f>
        <v>0</v>
      </c>
      <c r="BW131" s="500">
        <f>_xlfn.IFERROR(BW125/BW53,0)*1000</f>
        <v>0</v>
      </c>
      <c r="BX131" s="500">
        <f>_xlfn.IFERROR(BX125/BX53,0)*1000</f>
        <v>0</v>
      </c>
      <c r="BY131" s="500">
        <f>_xlfn.IFERROR(BY125/BY53,0)*1000</f>
        <v>0</v>
      </c>
      <c r="BZ131" s="500">
        <f>_xlfn.IFERROR(BZ125/BZ53,0)*1000</f>
        <v>0</v>
      </c>
      <c r="CA131" s="500">
        <f>_xlfn.IFERROR(CA125/CA53,0)*1000</f>
        <v>0</v>
      </c>
      <c r="CB131" s="500">
        <f>_xlfn.IFERROR(CB125/CB53,0)*1000</f>
        <v>0</v>
      </c>
      <c r="CC131" s="500">
        <f>_xlfn.IFERROR(CC125/CC53,0)*1000</f>
        <v>0</v>
      </c>
      <c r="CD131" s="500">
        <f>_xlfn.IFERROR(CD125/CD53,0)*1000</f>
        <v>0</v>
      </c>
      <c r="CE131" s="500">
        <f>_xlfn.IFERROR(CE125/CE53,0)*1000</f>
        <v>0</v>
      </c>
      <c r="CF131" s="500">
        <f>_xlfn.IFERROR(CF125/CF53,0)*1000</f>
        <v>0</v>
      </c>
      <c r="CG131" s="500">
        <f>_xlfn.IFERROR(CG125/CG53,0)*1000</f>
        <v>0</v>
      </c>
      <c r="CH131" s="500">
        <f>_xlfn.IFERROR(CH125/CH53,0)*1000</f>
        <v>0</v>
      </c>
      <c r="CI131" s="500">
        <f>_xlfn.IFERROR(CI125/CI53,0)*1000</f>
        <v>0</v>
      </c>
      <c r="CJ131" s="500">
        <f>_xlfn.IFERROR(CJ125/CJ53,0)*1000</f>
        <v>0</v>
      </c>
      <c r="CK131" s="500">
        <f>_xlfn.IFERROR(CK125/CK53,0)*1000</f>
        <v>0</v>
      </c>
      <c r="CL131" s="500">
        <f>_xlfn.IFERROR(CL125/CL53,0)*1000</f>
        <v>0</v>
      </c>
      <c r="CM131" s="500">
        <f>_xlfn.IFERROR(CM125/CM53,0)*1000</f>
        <v>0</v>
      </c>
      <c r="CN131" s="500">
        <f>_xlfn.IFERROR(CN125/CN53,0)*1000</f>
        <v>0</v>
      </c>
      <c r="CO131" s="500">
        <f>_xlfn.IFERROR(CO125/CO53,0)*1000</f>
        <v>0</v>
      </c>
      <c r="CP131" s="500">
        <f>_xlfn.IFERROR(CP125/CP53,0)*1000</f>
        <v>0</v>
      </c>
      <c r="CQ131" s="500">
        <f>_xlfn.IFERROR(CQ125/CQ53,0)*1000</f>
        <v>0</v>
      </c>
      <c r="CR131" s="500">
        <f>_xlfn.IFERROR(CR125/CR53,0)*1000</f>
        <v>0</v>
      </c>
      <c r="CS131" s="500">
        <f>_xlfn.IFERROR(CS125/CS53,0)*1000</f>
        <v>0</v>
      </c>
      <c r="CT131" s="500">
        <f>_xlfn.IFERROR(CT125/CT53,0)*1000</f>
        <v>0</v>
      </c>
      <c r="CU131" s="500">
        <f>_xlfn.IFERROR(CU125/CU53,0)*1000</f>
        <v>0</v>
      </c>
      <c r="CV131" s="500">
        <f>_xlfn.IFERROR(CV125/CV53,0)*1000</f>
        <v>0</v>
      </c>
      <c r="CW131" s="500">
        <f>_xlfn.IFERROR(CW125/CW53,0)*1000</f>
        <v>0</v>
      </c>
      <c r="CX131" s="500">
        <f>_xlfn.IFERROR(CX125/CX53,0)*1000</f>
        <v>0</v>
      </c>
      <c r="CY131" s="500">
        <f>_xlfn.IFERROR(CY125/CY53,0)*1000</f>
        <v>0</v>
      </c>
      <c r="CZ131" s="500">
        <f>_xlfn.IFERROR(CZ125/CZ53,0)*1000</f>
        <v>0</v>
      </c>
      <c r="DA131" s="500">
        <f>_xlfn.IFERROR(DA125/DA53,0)*1000</f>
        <v>0</v>
      </c>
      <c r="DB131" s="500">
        <f>_xlfn.IFERROR(DB125/DB53,0)*1000</f>
        <v>0</v>
      </c>
      <c r="DC131" s="500">
        <f>_xlfn.IFERROR(DC125/DC53,0)*1000</f>
        <v>0</v>
      </c>
      <c r="DD131" s="500">
        <f>_xlfn.IFERROR(DD125/DD53,0)*1000</f>
        <v>0</v>
      </c>
      <c r="DE131" s="500">
        <f>_xlfn.IFERROR(DE125/DE53,0)*1000</f>
        <v>0</v>
      </c>
      <c r="DF131" s="500">
        <f>_xlfn.IFERROR(DF125/DF53,0)*1000</f>
        <v>0</v>
      </c>
      <c r="DG131" s="500">
        <f>_xlfn.IFERROR(DG125/DG53,0)*1000</f>
        <v>0</v>
      </c>
      <c r="DH131" s="500">
        <f>_xlfn.IFERROR(DH125/DH53,0)*1000</f>
        <v>0</v>
      </c>
      <c r="DI131" s="500">
        <f>_xlfn.IFERROR(DI125/DI53,0)*1000</f>
        <v>0</v>
      </c>
      <c r="DJ131" s="500">
        <f>_xlfn.IFERROR(DJ125/DJ53,0)*1000</f>
        <v>0</v>
      </c>
      <c r="DK131" s="500">
        <f>_xlfn.IFERROR(DK125/DK53,0)*1000</f>
        <v>0</v>
      </c>
      <c r="DL131" s="500">
        <f>_xlfn.IFERROR(DL125/DL53,0)*1000</f>
        <v>0</v>
      </c>
      <c r="DM131" s="500">
        <f>_xlfn.IFERROR(DM125/DM53,0)*1000</f>
        <v>0</v>
      </c>
      <c r="DN131" s="500">
        <f>_xlfn.IFERROR(DN125/DN53,0)*1000</f>
        <v>0</v>
      </c>
      <c r="DO131" s="500">
        <f>_xlfn.IFERROR(DO125/DO53,0)*1000</f>
        <v>0</v>
      </c>
      <c r="DP131" s="500">
        <f>_xlfn.IFERROR(DP125/DP53,0)*1000</f>
        <v>0</v>
      </c>
      <c r="DQ131" s="500">
        <f>_xlfn.IFERROR(DQ125/DQ53,0)*1000</f>
        <v>0</v>
      </c>
      <c r="DR131" s="500">
        <f>_xlfn.IFERROR(DR125/DR53,0)*1000</f>
        <v>0</v>
      </c>
      <c r="DS131" s="500">
        <f>_xlfn.IFERROR(DS125/DS53,0)*1000</f>
        <v>0</v>
      </c>
      <c r="DT131" s="500">
        <f>_xlfn.IFERROR(DT125/DT53,0)*1000</f>
        <v>0</v>
      </c>
      <c r="DU131" s="500">
        <f>_xlfn.IFERROR(DU125/DU53,0)*1000</f>
        <v>0</v>
      </c>
      <c r="DV131" s="500">
        <f>_xlfn.IFERROR(DV125/DV53,0)*1000</f>
        <v>0</v>
      </c>
      <c r="DW131" s="500">
        <f>_xlfn.IFERROR(DW125/DW53,0)*1000</f>
        <v>0</v>
      </c>
      <c r="DX131" s="500">
        <f>_xlfn.IFERROR(DX125/DX53,0)*1000</f>
        <v>0</v>
      </c>
      <c r="DY131" s="500">
        <f>_xlfn.IFERROR(DY125/DY53,0)*1000</f>
        <v>0</v>
      </c>
      <c r="DZ131" s="500">
        <f>_xlfn.IFERROR(DZ125/DZ53,0)*1000</f>
        <v>0</v>
      </c>
      <c r="EA131" s="500">
        <f>_xlfn.IFERROR(EA125/EA53,0)*1000</f>
        <v>0</v>
      </c>
      <c r="EB131" s="500">
        <f>_xlfn.IFERROR(EB125/EB53,0)*1000</f>
        <v>0</v>
      </c>
      <c r="EC131" s="500">
        <f>_xlfn.IFERROR(EC125/EC53,0)*1000</f>
        <v>0</v>
      </c>
      <c r="ED131" s="500">
        <f>_xlfn.IFERROR(ED125/ED53,0)*1000</f>
        <v>0</v>
      </c>
      <c r="EE131" s="500">
        <f>_xlfn.IFERROR(EE125/EE53,0)*1000</f>
        <v>0</v>
      </c>
      <c r="EF131" s="500">
        <f>_xlfn.IFERROR(EF125/EF53,0)*1000</f>
        <v>0</v>
      </c>
      <c r="EG131" s="500">
        <f>_xlfn.IFERROR(EG125/EG53,0)*1000</f>
        <v>0</v>
      </c>
      <c r="EH131" s="500">
        <f>_xlfn.IFERROR(EH125/EH53,0)*1000</f>
        <v>0</v>
      </c>
      <c r="EI131" s="500">
        <f>_xlfn.IFERROR(EI125/EI53,0)*1000</f>
        <v>0</v>
      </c>
      <c r="EJ131" s="500">
        <f>_xlfn.IFERROR(EJ125/EJ53,0)*1000</f>
        <v>0</v>
      </c>
      <c r="EK131" s="500">
        <f>_xlfn.IFERROR(EK125/EK53,0)*1000</f>
        <v>0</v>
      </c>
      <c r="EL131" s="500">
        <f>_xlfn.IFERROR(EL125/EL53,0)*1000</f>
        <v>0</v>
      </c>
      <c r="EM131" s="500">
        <f>_xlfn.IFERROR(EM125/EM53,0)*1000</f>
        <v>0</v>
      </c>
      <c r="EN131" s="500">
        <f>_xlfn.IFERROR(EN125/EN53,0)*1000</f>
        <v>0</v>
      </c>
      <c r="EO131" s="500">
        <f>_xlfn.IFERROR(EO125/EO53,0)*1000</f>
        <v>0</v>
      </c>
      <c r="EP131" s="500">
        <f>_xlfn.IFERROR(EP125/EP53,0)*1000</f>
        <v>0</v>
      </c>
      <c r="EQ131" s="500">
        <f>_xlfn.IFERROR(EQ125/EQ53,0)*1000</f>
        <v>0</v>
      </c>
      <c r="ER131" s="500">
        <f>_xlfn.IFERROR(ER125/ER53,0)*1000</f>
        <v>0</v>
      </c>
      <c r="ES131" s="500">
        <f>_xlfn.IFERROR(ES125/ES53,0)*1000</f>
        <v>0</v>
      </c>
      <c r="ET131" s="500">
        <f>_xlfn.IFERROR(ET125/ET53,0)*1000</f>
        <v>0</v>
      </c>
      <c r="EU131" s="500">
        <f>_xlfn.IFERROR(EU125/EU53,0)*1000</f>
        <v>0</v>
      </c>
      <c r="EV131" s="500">
        <f>_xlfn.IFERROR(EV125/EV53,0)*1000</f>
        <v>0</v>
      </c>
      <c r="EW131" s="500">
        <f>_xlfn.IFERROR(EW125/EW53,0)*1000</f>
        <v>0</v>
      </c>
      <c r="EX131" s="500">
        <f>_xlfn.IFERROR(EX125/EX53,0)*1000</f>
        <v>0</v>
      </c>
      <c r="EY131" s="500">
        <f>_xlfn.IFERROR(EY125/EY53,0)*1000</f>
        <v>0</v>
      </c>
      <c r="EZ131" s="500">
        <f>_xlfn.IFERROR(EZ125/EZ53,0)*1000</f>
        <v>0</v>
      </c>
      <c r="FA131" s="500">
        <f>_xlfn.IFERROR(FA125/FA53,0)*1000</f>
        <v>0</v>
      </c>
      <c r="FB131" s="83"/>
      <c r="FE131" s="489" t="s">
        <v>997</v>
      </c>
      <c r="FK131" s="1157" cm="1" t="str">
        <f t="array" ref="FK131:FK131">OFFSET(FJ131,-1,1)</f>
        <v>0</v>
      </c>
      <c r="FL131" s="1078"/>
      <c r="FM131" s="1159"/>
      <c r="FN131" s="1159"/>
      <c r="FO131" s="1159"/>
      <c r="FP131" s="1159"/>
      <c r="FQ131" s="1159"/>
      <c r="FR131" s="1159"/>
      <c r="FS131" s="1078" t="s">
        <v>998</v>
      </c>
      <c r="FT131" s="1159"/>
      <c r="FU131" s="1159"/>
      <c r="FV131" s="1159"/>
      <c r="FW131" s="1159"/>
      <c r="FX131" s="1078" t="s">
        <v>303</v>
      </c>
      <c r="FY131" s="1078" t="s">
        <v>914</v>
      </c>
      <c r="FZ131" s="1078" t="s">
        <v>915</v>
      </c>
    </row>
    <row customHeight="1" ht="16.575" hidden="1">
      <c r="E132" s="180">
        <v>17</v>
      </c>
      <c r="F132" s="175" cm="1" t="str">
        <f t="array" ref="F132:F132">OFFSET(G132,-1,-1)</f>
        <v>0</v>
      </c>
      <c r="L132" s="175" cm="1" t="str">
        <f t="array" ref="L132:L132">OFFSET(M132,-1,-1)</f>
        <v>false</v>
      </c>
      <c r="R132" s="175" t="s">
        <v>804</v>
      </c>
      <c r="S132" s="175" cm="1" t="str">
        <f t="array" ref="S132:S132">OFFSET(T132,-1,-1)</f>
        <v>false</v>
      </c>
      <c r="T132" s="175" cm="1" t="str">
        <f t="array" ref="T132:T132">L132</f>
        <v>false</v>
      </c>
      <c r="U132" s="753">
        <f>AND(S132,IF(ISBLANK(T132),TRUE,T132))</f>
        <v>0</v>
      </c>
      <c r="AB132" s="1650"/>
      <c r="AD132" s="491" t="str">
        <f>AD131&amp;".0"</f>
        <v>41.0</v>
      </c>
      <c r="AE132" s="537" t="s">
        <v>822</v>
      </c>
      <c r="AF132" s="368"/>
      <c r="AG132" s="470" t="s">
        <v>996</v>
      </c>
      <c r="AH132" s="500">
        <f>_xlfn.IFERROR(AH126/AH54,0)*1000</f>
        <v>0</v>
      </c>
      <c r="AI132" s="500">
        <f>_xlfn.IFERROR(AI126/AI54,0)*1000</f>
        <v>0</v>
      </c>
      <c r="AJ132" s="500">
        <f>_xlfn.IFERROR(AJ126/AJ54,0)*1000</f>
        <v>0</v>
      </c>
      <c r="AK132" s="500">
        <f>_xlfn.IFERROR(AK126/AK54,0)*1000</f>
        <v>0</v>
      </c>
      <c r="AL132" s="500">
        <f>_xlfn.IFERROR(AL126/AL54,0)*1000</f>
        <v>0</v>
      </c>
      <c r="AM132" s="500">
        <f>_xlfn.IFERROR(AM126/AM54,0)*1000</f>
        <v>0</v>
      </c>
      <c r="AN132" s="500">
        <f>_xlfn.IFERROR(AN126/AN54,0)*1000</f>
        <v>0</v>
      </c>
      <c r="AO132" s="500">
        <f>_xlfn.IFERROR(AO126/AO54,0)*1000</f>
        <v>0</v>
      </c>
      <c r="AP132" s="500">
        <f>_xlfn.IFERROR(AP126/AP54,0)*1000</f>
        <v>0</v>
      </c>
      <c r="AQ132" s="500">
        <f>_xlfn.IFERROR(AQ126/AQ54,0)*1000</f>
        <v>0</v>
      </c>
      <c r="AR132" s="500">
        <f>_xlfn.IFERROR(AR126/AR54,0)*1000</f>
        <v>0</v>
      </c>
      <c r="AS132" s="500">
        <f>_xlfn.IFERROR(AS126/AS54,0)*1000</f>
        <v>0</v>
      </c>
      <c r="AT132" s="500">
        <f>_xlfn.IFERROR(AT126/AT54,0)*1000</f>
        <v>0</v>
      </c>
      <c r="AU132" s="500">
        <f>_xlfn.IFERROR(AU126/AU54,0)*1000</f>
        <v>0</v>
      </c>
      <c r="AV132" s="500">
        <f>_xlfn.IFERROR(AV126/AV54,0)*1000</f>
        <v>0</v>
      </c>
      <c r="AW132" s="500">
        <f>_xlfn.IFERROR(AW126/AW54,0)*1000</f>
        <v>0</v>
      </c>
      <c r="AX132" s="500">
        <f>_xlfn.IFERROR(AX126/AX54,0)*1000</f>
        <v>0</v>
      </c>
      <c r="AY132" s="500">
        <f>_xlfn.IFERROR(AY126/AY54,0)*1000</f>
        <v>0</v>
      </c>
      <c r="AZ132" s="500">
        <f>_xlfn.IFERROR(AZ126/AZ54,0)*1000</f>
        <v>0</v>
      </c>
      <c r="BA132" s="500">
        <f>_xlfn.IFERROR(BA126/BA54,0)*1000</f>
        <v>0</v>
      </c>
      <c r="BB132" s="500">
        <f>_xlfn.IFERROR(BB126/BB54,0)*1000</f>
        <v>0</v>
      </c>
      <c r="BC132" s="500">
        <f>_xlfn.IFERROR(BC126/BC54,0)*1000</f>
        <v>0</v>
      </c>
      <c r="BD132" s="500">
        <f>_xlfn.IFERROR(BD126/BD54,0)*1000</f>
        <v>0</v>
      </c>
      <c r="BE132" s="500">
        <f>_xlfn.IFERROR(BE126/BE54,0)*1000</f>
        <v>0</v>
      </c>
      <c r="BF132" s="500">
        <f>_xlfn.IFERROR(BF126/BF54,0)*1000</f>
        <v>0</v>
      </c>
      <c r="BG132" s="500">
        <f>_xlfn.IFERROR(BG126/BG54,0)*1000</f>
        <v>0</v>
      </c>
      <c r="BH132" s="500">
        <f>_xlfn.IFERROR(BH126/BH54,0)*1000</f>
        <v>0</v>
      </c>
      <c r="BI132" s="500">
        <f>_xlfn.IFERROR(BI126/BI54,0)*1000</f>
        <v>0</v>
      </c>
      <c r="BJ132" s="500">
        <f>_xlfn.IFERROR(BJ126/BJ54,0)*1000</f>
        <v>0</v>
      </c>
      <c r="BK132" s="500">
        <f>_xlfn.IFERROR(BK126/BK54,0)*1000</f>
        <v>0</v>
      </c>
      <c r="BL132" s="500">
        <f>_xlfn.IFERROR(BL126/BL54,0)*1000</f>
        <v>0</v>
      </c>
      <c r="BM132" s="500">
        <f>_xlfn.IFERROR(BM126/BM54,0)*1000</f>
        <v>0</v>
      </c>
      <c r="BN132" s="500">
        <f>_xlfn.IFERROR(BN126/BN54,0)*1000</f>
        <v>0</v>
      </c>
      <c r="BO132" s="500">
        <f>_xlfn.IFERROR(BO126/BO54,0)*1000</f>
        <v>0</v>
      </c>
      <c r="BP132" s="500">
        <f>_xlfn.IFERROR(BP126/BP54,0)*1000</f>
        <v>0</v>
      </c>
      <c r="BQ132" s="500">
        <f>_xlfn.IFERROR(BQ126/BQ54,0)*1000</f>
        <v>0</v>
      </c>
      <c r="BR132" s="500">
        <f>_xlfn.IFERROR(BR126/BR54,0)*1000</f>
        <v>0</v>
      </c>
      <c r="BS132" s="500">
        <f>_xlfn.IFERROR(BS126/BS54,0)*1000</f>
        <v>0</v>
      </c>
      <c r="BT132" s="500">
        <f>_xlfn.IFERROR(BT126/BT54,0)*1000</f>
        <v>0</v>
      </c>
      <c r="BU132" s="500">
        <f>_xlfn.IFERROR(BU126/BU54,0)*1000</f>
        <v>0</v>
      </c>
      <c r="BV132" s="500">
        <f>_xlfn.IFERROR(BV126/BV54,0)*1000</f>
        <v>0</v>
      </c>
      <c r="BW132" s="500">
        <f>_xlfn.IFERROR(BW126/BW54,0)*1000</f>
        <v>0</v>
      </c>
      <c r="BX132" s="500">
        <f>_xlfn.IFERROR(BX126/BX54,0)*1000</f>
        <v>0</v>
      </c>
      <c r="BY132" s="500">
        <f>_xlfn.IFERROR(BY126/BY54,0)*1000</f>
        <v>0</v>
      </c>
      <c r="BZ132" s="500">
        <f>_xlfn.IFERROR(BZ126/BZ54,0)*1000</f>
        <v>0</v>
      </c>
      <c r="CA132" s="500">
        <f>_xlfn.IFERROR(CA126/CA54,0)*1000</f>
        <v>0</v>
      </c>
      <c r="CB132" s="500">
        <f>_xlfn.IFERROR(CB126/CB54,0)*1000</f>
        <v>0</v>
      </c>
      <c r="CC132" s="500">
        <f>_xlfn.IFERROR(CC126/CC54,0)*1000</f>
        <v>0</v>
      </c>
      <c r="CD132" s="500">
        <f>_xlfn.IFERROR(CD126/CD54,0)*1000</f>
        <v>0</v>
      </c>
      <c r="CE132" s="500">
        <f>_xlfn.IFERROR(CE126/CE54,0)*1000</f>
        <v>0</v>
      </c>
      <c r="CF132" s="500">
        <f>_xlfn.IFERROR(CF126/CF54,0)*1000</f>
        <v>0</v>
      </c>
      <c r="CG132" s="500">
        <f>_xlfn.IFERROR(CG126/CG54,0)*1000</f>
        <v>0</v>
      </c>
      <c r="CH132" s="500">
        <f>_xlfn.IFERROR(CH126/CH54,0)*1000</f>
        <v>0</v>
      </c>
      <c r="CI132" s="500">
        <f>_xlfn.IFERROR(CI126/CI54,0)*1000</f>
        <v>0</v>
      </c>
      <c r="CJ132" s="500">
        <f>_xlfn.IFERROR(CJ126/CJ54,0)*1000</f>
        <v>0</v>
      </c>
      <c r="CK132" s="500">
        <f>_xlfn.IFERROR(CK126/CK54,0)*1000</f>
        <v>0</v>
      </c>
      <c r="CL132" s="500">
        <f>_xlfn.IFERROR(CL126/CL54,0)*1000</f>
        <v>0</v>
      </c>
      <c r="CM132" s="500">
        <f>_xlfn.IFERROR(CM126/CM54,0)*1000</f>
        <v>0</v>
      </c>
      <c r="CN132" s="500">
        <f>_xlfn.IFERROR(CN126/CN54,0)*1000</f>
        <v>0</v>
      </c>
      <c r="CO132" s="500">
        <f>_xlfn.IFERROR(CO126/CO54,0)*1000</f>
        <v>0</v>
      </c>
      <c r="CP132" s="500">
        <f>_xlfn.IFERROR(CP126/CP54,0)*1000</f>
        <v>0</v>
      </c>
      <c r="CQ132" s="500">
        <f>_xlfn.IFERROR(CQ126/CQ54,0)*1000</f>
        <v>0</v>
      </c>
      <c r="CR132" s="500">
        <f>_xlfn.IFERROR(CR126/CR54,0)*1000</f>
        <v>0</v>
      </c>
      <c r="CS132" s="500">
        <f>_xlfn.IFERROR(CS126/CS54,0)*1000</f>
        <v>0</v>
      </c>
      <c r="CT132" s="500">
        <f>_xlfn.IFERROR(CT126/CT54,0)*1000</f>
        <v>0</v>
      </c>
      <c r="CU132" s="500">
        <f>_xlfn.IFERROR(CU126/CU54,0)*1000</f>
        <v>0</v>
      </c>
      <c r="CV132" s="500">
        <f>_xlfn.IFERROR(CV126/CV54,0)*1000</f>
        <v>0</v>
      </c>
      <c r="CW132" s="500">
        <f>_xlfn.IFERROR(CW126/CW54,0)*1000</f>
        <v>0</v>
      </c>
      <c r="CX132" s="500">
        <f>_xlfn.IFERROR(CX126/CX54,0)*1000</f>
        <v>0</v>
      </c>
      <c r="CY132" s="500">
        <f>_xlfn.IFERROR(CY126/CY54,0)*1000</f>
        <v>0</v>
      </c>
      <c r="CZ132" s="500">
        <f>_xlfn.IFERROR(CZ126/CZ54,0)*1000</f>
        <v>0</v>
      </c>
      <c r="DA132" s="500">
        <f>_xlfn.IFERROR(DA126/DA54,0)*1000</f>
        <v>0</v>
      </c>
      <c r="DB132" s="500">
        <f>_xlfn.IFERROR(DB126/DB54,0)*1000</f>
        <v>0</v>
      </c>
      <c r="DC132" s="500">
        <f>_xlfn.IFERROR(DC126/DC54,0)*1000</f>
        <v>0</v>
      </c>
      <c r="DD132" s="500">
        <f>_xlfn.IFERROR(DD126/DD54,0)*1000</f>
        <v>0</v>
      </c>
      <c r="DE132" s="500">
        <f>_xlfn.IFERROR(DE126/DE54,0)*1000</f>
        <v>0</v>
      </c>
      <c r="DF132" s="500">
        <f>_xlfn.IFERROR(DF126/DF54,0)*1000</f>
        <v>0</v>
      </c>
      <c r="DG132" s="500">
        <f>_xlfn.IFERROR(DG126/DG54,0)*1000</f>
        <v>0</v>
      </c>
      <c r="DH132" s="500">
        <f>_xlfn.IFERROR(DH126/DH54,0)*1000</f>
        <v>0</v>
      </c>
      <c r="DI132" s="500">
        <f>_xlfn.IFERROR(DI126/DI54,0)*1000</f>
        <v>0</v>
      </c>
      <c r="DJ132" s="500">
        <f>_xlfn.IFERROR(DJ126/DJ54,0)*1000</f>
        <v>0</v>
      </c>
      <c r="DK132" s="500">
        <f>_xlfn.IFERROR(DK126/DK54,0)*1000</f>
        <v>0</v>
      </c>
      <c r="DL132" s="500">
        <f>_xlfn.IFERROR(DL126/DL54,0)*1000</f>
        <v>0</v>
      </c>
      <c r="DM132" s="500">
        <f>_xlfn.IFERROR(DM126/DM54,0)*1000</f>
        <v>0</v>
      </c>
      <c r="DN132" s="500">
        <f>_xlfn.IFERROR(DN126/DN54,0)*1000</f>
        <v>0</v>
      </c>
      <c r="DO132" s="500">
        <f>_xlfn.IFERROR(DO126/DO54,0)*1000</f>
        <v>0</v>
      </c>
      <c r="DP132" s="500">
        <f>_xlfn.IFERROR(DP126/DP54,0)*1000</f>
        <v>0</v>
      </c>
      <c r="DQ132" s="500">
        <f>_xlfn.IFERROR(DQ126/DQ54,0)*1000</f>
        <v>0</v>
      </c>
      <c r="DR132" s="500">
        <f>_xlfn.IFERROR(DR126/DR54,0)*1000</f>
        <v>0</v>
      </c>
      <c r="DS132" s="500">
        <f>_xlfn.IFERROR(DS126/DS54,0)*1000</f>
        <v>0</v>
      </c>
      <c r="DT132" s="500">
        <f>_xlfn.IFERROR(DT126/DT54,0)*1000</f>
        <v>0</v>
      </c>
      <c r="DU132" s="500">
        <f>_xlfn.IFERROR(DU126/DU54,0)*1000</f>
        <v>0</v>
      </c>
      <c r="DV132" s="500">
        <f>_xlfn.IFERROR(DV126/DV54,0)*1000</f>
        <v>0</v>
      </c>
      <c r="DW132" s="500">
        <f>_xlfn.IFERROR(DW126/DW54,0)*1000</f>
        <v>0</v>
      </c>
      <c r="DX132" s="500">
        <f>_xlfn.IFERROR(DX126/DX54,0)*1000</f>
        <v>0</v>
      </c>
      <c r="DY132" s="500">
        <f>_xlfn.IFERROR(DY126/DY54,0)*1000</f>
        <v>0</v>
      </c>
      <c r="DZ132" s="500">
        <f>_xlfn.IFERROR(DZ126/DZ54,0)*1000</f>
        <v>0</v>
      </c>
      <c r="EA132" s="500">
        <f>_xlfn.IFERROR(EA126/EA54,0)*1000</f>
        <v>0</v>
      </c>
      <c r="EB132" s="500">
        <f>_xlfn.IFERROR(EB126/EB54,0)*1000</f>
        <v>0</v>
      </c>
      <c r="EC132" s="500">
        <f>_xlfn.IFERROR(EC126/EC54,0)*1000</f>
        <v>0</v>
      </c>
      <c r="ED132" s="500">
        <f>_xlfn.IFERROR(ED126/ED54,0)*1000</f>
        <v>0</v>
      </c>
      <c r="EE132" s="500">
        <f>_xlfn.IFERROR(EE126/EE54,0)*1000</f>
        <v>0</v>
      </c>
      <c r="EF132" s="500">
        <f>_xlfn.IFERROR(EF126/EF54,0)*1000</f>
        <v>0</v>
      </c>
      <c r="EG132" s="500">
        <f>_xlfn.IFERROR(EG126/EG54,0)*1000</f>
        <v>0</v>
      </c>
      <c r="EH132" s="500">
        <f>_xlfn.IFERROR(EH126/EH54,0)*1000</f>
        <v>0</v>
      </c>
      <c r="EI132" s="500">
        <f>_xlfn.IFERROR(EI126/EI54,0)*1000</f>
        <v>0</v>
      </c>
      <c r="EJ132" s="500">
        <f>_xlfn.IFERROR(EJ126/EJ54,0)*1000</f>
        <v>0</v>
      </c>
      <c r="EK132" s="500">
        <f>_xlfn.IFERROR(EK126/EK54,0)*1000</f>
        <v>0</v>
      </c>
      <c r="EL132" s="500">
        <f>_xlfn.IFERROR(EL126/EL54,0)*1000</f>
        <v>0</v>
      </c>
      <c r="EM132" s="500">
        <f>_xlfn.IFERROR(EM126/EM54,0)*1000</f>
        <v>0</v>
      </c>
      <c r="EN132" s="500">
        <f>_xlfn.IFERROR(EN126/EN54,0)*1000</f>
        <v>0</v>
      </c>
      <c r="EO132" s="500">
        <f>_xlfn.IFERROR(EO126/EO54,0)*1000</f>
        <v>0</v>
      </c>
      <c r="EP132" s="500">
        <f>_xlfn.IFERROR(EP126/EP54,0)*1000</f>
        <v>0</v>
      </c>
      <c r="EQ132" s="500">
        <f>_xlfn.IFERROR(EQ126/EQ54,0)*1000</f>
        <v>0</v>
      </c>
      <c r="ER132" s="500">
        <f>_xlfn.IFERROR(ER126/ER54,0)*1000</f>
        <v>0</v>
      </c>
      <c r="ES132" s="500">
        <f>_xlfn.IFERROR(ES126/ES54,0)*1000</f>
        <v>0</v>
      </c>
      <c r="ET132" s="500">
        <f>_xlfn.IFERROR(ET126/ET54,0)*1000</f>
        <v>0</v>
      </c>
      <c r="EU132" s="500">
        <f>_xlfn.IFERROR(EU126/EU54,0)*1000</f>
        <v>0</v>
      </c>
      <c r="EV132" s="500">
        <f>_xlfn.IFERROR(EV126/EV54,0)*1000</f>
        <v>0</v>
      </c>
      <c r="EW132" s="500">
        <f>_xlfn.IFERROR(EW126/EW54,0)*1000</f>
        <v>0</v>
      </c>
      <c r="EX132" s="500">
        <f>_xlfn.IFERROR(EX126/EX54,0)*1000</f>
        <v>0</v>
      </c>
      <c r="EY132" s="500">
        <f>_xlfn.IFERROR(EY126/EY54,0)*1000</f>
        <v>0</v>
      </c>
      <c r="EZ132" s="500">
        <f>_xlfn.IFERROR(EZ126/EZ54,0)*1000</f>
        <v>0</v>
      </c>
      <c r="FA132" s="500">
        <f>_xlfn.IFERROR(FA126/FA54,0)*1000</f>
        <v>0</v>
      </c>
      <c r="FB132" s="83"/>
      <c r="FE132" s="489" t="s">
        <v>999</v>
      </c>
      <c r="FK132" s="1157" cm="1" t="str">
        <f t="array" ref="FK132:FK132">OFFSET(FJ132,-1,1)</f>
        <v>0</v>
      </c>
      <c r="FL132" s="1159"/>
      <c r="FM132" s="1078" t="s">
        <v>824</v>
      </c>
      <c r="FN132" s="1159"/>
      <c r="FO132" s="1159"/>
      <c r="FP132" s="1159"/>
      <c r="FQ132" s="1159"/>
      <c r="FR132" s="1159"/>
      <c r="FS132" s="1078" t="s">
        <v>998</v>
      </c>
      <c r="FT132" s="1159"/>
      <c r="FU132" s="1159"/>
      <c r="FV132" s="1159"/>
      <c r="FW132" s="1159"/>
      <c r="FX132" s="1078" t="s">
        <v>303</v>
      </c>
      <c r="FY132" s="1078" t="s">
        <v>914</v>
      </c>
      <c r="FZ132" s="1078" t="s">
        <v>915</v>
      </c>
    </row>
    <row customHeight="1" ht="16.575" hidden="1">
      <c r="E133" s="180">
        <v>17</v>
      </c>
      <c r="F133" s="175" cm="1" t="str">
        <f t="array" ref="F133:F133">OFFSET(G133,-1,-1)</f>
        <v>0</v>
      </c>
      <c r="L133" s="175" cm="1" t="str">
        <f t="array" ref="L133:L133">OFFSET(M133,-1,-1)</f>
        <v>false</v>
      </c>
      <c r="S133" s="175" cm="1" t="str">
        <f t="array" ref="S133:S133">OFFSET(T133,-1,-1)</f>
        <v>false</v>
      </c>
      <c r="T133" s="175">
        <f>AD133&lt;&gt;"41.0"</f>
        <v>0</v>
      </c>
      <c r="U133" s="753">
        <f>AND(S133,IF(ISBLANK(T133),TRUE,T133))</f>
        <v>0</v>
      </c>
      <c r="X133" s="175" t="s">
        <v>189</v>
      </c>
      <c r="AB133" s="1650"/>
      <c r="AD133" s="491" t="s">
        <v>1000</v>
      </c>
      <c r="AE133" s="514"/>
      <c r="AF133" s="515"/>
      <c r="AG133" s="470" t="s">
        <v>996</v>
      </c>
      <c r="AH133" s="500">
        <f>_xlfn.IFERROR(AH129/AH55,0)*1000</f>
        <v>0</v>
      </c>
      <c r="AI133" s="500">
        <f>_xlfn.IFERROR(AI129/AI55,0)*1000</f>
        <v>0</v>
      </c>
      <c r="AJ133" s="500">
        <f>_xlfn.IFERROR(AJ129/AJ55,0)*1000</f>
        <v>0</v>
      </c>
      <c r="AK133" s="500">
        <f>_xlfn.IFERROR(AK129/AK55,0)*1000</f>
        <v>0</v>
      </c>
      <c r="AL133" s="500">
        <f>_xlfn.IFERROR(AL129/AL55,0)*1000</f>
        <v>0</v>
      </c>
      <c r="AM133" s="500">
        <f>_xlfn.IFERROR(AM129/AM55,0)*1000</f>
        <v>0</v>
      </c>
      <c r="AN133" s="500">
        <f>_xlfn.IFERROR(AN129/AN55,0)*1000</f>
        <v>0</v>
      </c>
      <c r="AO133" s="500">
        <f>_xlfn.IFERROR(AO129/AO55,0)*1000</f>
        <v>0</v>
      </c>
      <c r="AP133" s="500">
        <f>_xlfn.IFERROR(AP129/AP55,0)*1000</f>
        <v>0</v>
      </c>
      <c r="AQ133" s="500">
        <f>_xlfn.IFERROR(AQ129/AQ55,0)*1000</f>
        <v>0</v>
      </c>
      <c r="AR133" s="500">
        <f>_xlfn.IFERROR(AR129/AR55,0)*1000</f>
        <v>0</v>
      </c>
      <c r="AS133" s="500">
        <f>_xlfn.IFERROR(AS129/AS55,0)*1000</f>
        <v>0</v>
      </c>
      <c r="AT133" s="500">
        <f>_xlfn.IFERROR(AT129/AT55,0)*1000</f>
        <v>0</v>
      </c>
      <c r="AU133" s="500">
        <f>_xlfn.IFERROR(AU129/AU55,0)*1000</f>
        <v>0</v>
      </c>
      <c r="AV133" s="500">
        <f>_xlfn.IFERROR(AV129/AV55,0)*1000</f>
        <v>0</v>
      </c>
      <c r="AW133" s="500">
        <f>_xlfn.IFERROR(AW129/AW55,0)*1000</f>
        <v>0</v>
      </c>
      <c r="AX133" s="500">
        <f>_xlfn.IFERROR(AX129/AX55,0)*1000</f>
        <v>0</v>
      </c>
      <c r="AY133" s="500">
        <f>_xlfn.IFERROR(AY129/AY55,0)*1000</f>
        <v>0</v>
      </c>
      <c r="AZ133" s="500">
        <f>_xlfn.IFERROR(AZ129/AZ55,0)*1000</f>
        <v>0</v>
      </c>
      <c r="BA133" s="500">
        <f>_xlfn.IFERROR(BA129/BA55,0)*1000</f>
        <v>0</v>
      </c>
      <c r="BB133" s="500">
        <f>_xlfn.IFERROR(BB129/BB55,0)*1000</f>
        <v>0</v>
      </c>
      <c r="BC133" s="500">
        <f>_xlfn.IFERROR(BC129/BC55,0)*1000</f>
        <v>0</v>
      </c>
      <c r="BD133" s="500">
        <f>_xlfn.IFERROR(BD129/BD55,0)*1000</f>
        <v>0</v>
      </c>
      <c r="BE133" s="500">
        <f>_xlfn.IFERROR(BE129/BE55,0)*1000</f>
        <v>0</v>
      </c>
      <c r="BF133" s="500">
        <f>_xlfn.IFERROR(BF129/BF55,0)*1000</f>
        <v>0</v>
      </c>
      <c r="BG133" s="500">
        <f>_xlfn.IFERROR(BG129/BG55,0)*1000</f>
        <v>0</v>
      </c>
      <c r="BH133" s="500">
        <f>_xlfn.IFERROR(BH129/BH55,0)*1000</f>
        <v>0</v>
      </c>
      <c r="BI133" s="500">
        <f>_xlfn.IFERROR(BI129/BI55,0)*1000</f>
        <v>0</v>
      </c>
      <c r="BJ133" s="500">
        <f>_xlfn.IFERROR(BJ129/BJ55,0)*1000</f>
        <v>0</v>
      </c>
      <c r="BK133" s="500">
        <f>_xlfn.IFERROR(BK129/BK55,0)*1000</f>
        <v>0</v>
      </c>
      <c r="BL133" s="500">
        <f>_xlfn.IFERROR(BL129/BL55,0)*1000</f>
        <v>0</v>
      </c>
      <c r="BM133" s="500">
        <f>_xlfn.IFERROR(BM129/BM55,0)*1000</f>
        <v>0</v>
      </c>
      <c r="BN133" s="500">
        <f>_xlfn.IFERROR(BN129/BN55,0)*1000</f>
        <v>0</v>
      </c>
      <c r="BO133" s="500">
        <f>_xlfn.IFERROR(BO129/BO55,0)*1000</f>
        <v>0</v>
      </c>
      <c r="BP133" s="500">
        <f>_xlfn.IFERROR(BP129/BP55,0)*1000</f>
        <v>0</v>
      </c>
      <c r="BQ133" s="500">
        <f>_xlfn.IFERROR(BQ129/BQ55,0)*1000</f>
        <v>0</v>
      </c>
      <c r="BR133" s="500">
        <f>_xlfn.IFERROR(BR129/BR55,0)*1000</f>
        <v>0</v>
      </c>
      <c r="BS133" s="500">
        <f>_xlfn.IFERROR(BS129/BS55,0)*1000</f>
        <v>0</v>
      </c>
      <c r="BT133" s="500">
        <f>_xlfn.IFERROR(BT129/BT55,0)*1000</f>
        <v>0</v>
      </c>
      <c r="BU133" s="500">
        <f>_xlfn.IFERROR(BU129/BU55,0)*1000</f>
        <v>0</v>
      </c>
      <c r="BV133" s="500">
        <f>_xlfn.IFERROR(BV129/BV55,0)*1000</f>
        <v>0</v>
      </c>
      <c r="BW133" s="500">
        <f>_xlfn.IFERROR(BW129/BW55,0)*1000</f>
        <v>0</v>
      </c>
      <c r="BX133" s="500">
        <f>_xlfn.IFERROR(BX129/BX55,0)*1000</f>
        <v>0</v>
      </c>
      <c r="BY133" s="500">
        <f>_xlfn.IFERROR(BY129/BY55,0)*1000</f>
        <v>0</v>
      </c>
      <c r="BZ133" s="500">
        <f>_xlfn.IFERROR(BZ129/BZ55,0)*1000</f>
        <v>0</v>
      </c>
      <c r="CA133" s="500">
        <f>_xlfn.IFERROR(CA129/CA55,0)*1000</f>
        <v>0</v>
      </c>
      <c r="CB133" s="500">
        <f>_xlfn.IFERROR(CB129/CB55,0)*1000</f>
        <v>0</v>
      </c>
      <c r="CC133" s="500">
        <f>_xlfn.IFERROR(CC129/CC55,0)*1000</f>
        <v>0</v>
      </c>
      <c r="CD133" s="500">
        <f>_xlfn.IFERROR(CD129/CD55,0)*1000</f>
        <v>0</v>
      </c>
      <c r="CE133" s="500">
        <f>_xlfn.IFERROR(CE129/CE55,0)*1000</f>
        <v>0</v>
      </c>
      <c r="CF133" s="500">
        <f>_xlfn.IFERROR(CF129/CF55,0)*1000</f>
        <v>0</v>
      </c>
      <c r="CG133" s="500">
        <f>_xlfn.IFERROR(CG129/CG55,0)*1000</f>
        <v>0</v>
      </c>
      <c r="CH133" s="500">
        <f>_xlfn.IFERROR(CH129/CH55,0)*1000</f>
        <v>0</v>
      </c>
      <c r="CI133" s="500">
        <f>_xlfn.IFERROR(CI129/CI55,0)*1000</f>
        <v>0</v>
      </c>
      <c r="CJ133" s="500">
        <f>_xlfn.IFERROR(CJ129/CJ55,0)*1000</f>
        <v>0</v>
      </c>
      <c r="CK133" s="500">
        <f>_xlfn.IFERROR(CK129/CK55,0)*1000</f>
        <v>0</v>
      </c>
      <c r="CL133" s="500">
        <f>_xlfn.IFERROR(CL129/CL55,0)*1000</f>
        <v>0</v>
      </c>
      <c r="CM133" s="500">
        <f>_xlfn.IFERROR(CM129/CM55,0)*1000</f>
        <v>0</v>
      </c>
      <c r="CN133" s="500">
        <f>_xlfn.IFERROR(CN129/CN55,0)*1000</f>
        <v>0</v>
      </c>
      <c r="CO133" s="500">
        <f>_xlfn.IFERROR(CO129/CO55,0)*1000</f>
        <v>0</v>
      </c>
      <c r="CP133" s="500">
        <f>_xlfn.IFERROR(CP129/CP55,0)*1000</f>
        <v>0</v>
      </c>
      <c r="CQ133" s="500">
        <f>_xlfn.IFERROR(CQ129/CQ55,0)*1000</f>
        <v>0</v>
      </c>
      <c r="CR133" s="500">
        <f>_xlfn.IFERROR(CR129/CR55,0)*1000</f>
        <v>0</v>
      </c>
      <c r="CS133" s="500">
        <f>_xlfn.IFERROR(CS129/CS55,0)*1000</f>
        <v>0</v>
      </c>
      <c r="CT133" s="500">
        <f>_xlfn.IFERROR(CT129/CT55,0)*1000</f>
        <v>0</v>
      </c>
      <c r="CU133" s="500">
        <f>_xlfn.IFERROR(CU129/CU55,0)*1000</f>
        <v>0</v>
      </c>
      <c r="CV133" s="500">
        <f>_xlfn.IFERROR(CV129/CV55,0)*1000</f>
        <v>0</v>
      </c>
      <c r="CW133" s="500">
        <f>_xlfn.IFERROR(CW129/CW55,0)*1000</f>
        <v>0</v>
      </c>
      <c r="CX133" s="500">
        <f>_xlfn.IFERROR(CX129/CX55,0)*1000</f>
        <v>0</v>
      </c>
      <c r="CY133" s="500">
        <f>_xlfn.IFERROR(CY129/CY55,0)*1000</f>
        <v>0</v>
      </c>
      <c r="CZ133" s="500">
        <f>_xlfn.IFERROR(CZ129/CZ55,0)*1000</f>
        <v>0</v>
      </c>
      <c r="DA133" s="500">
        <f>_xlfn.IFERROR(DA129/DA55,0)*1000</f>
        <v>0</v>
      </c>
      <c r="DB133" s="500">
        <f>_xlfn.IFERROR(DB129/DB55,0)*1000</f>
        <v>0</v>
      </c>
      <c r="DC133" s="500">
        <f>_xlfn.IFERROR(DC129/DC55,0)*1000</f>
        <v>0</v>
      </c>
      <c r="DD133" s="500">
        <f>_xlfn.IFERROR(DD129/DD55,0)*1000</f>
        <v>0</v>
      </c>
      <c r="DE133" s="500">
        <f>_xlfn.IFERROR(DE129/DE55,0)*1000</f>
        <v>0</v>
      </c>
      <c r="DF133" s="500">
        <f>_xlfn.IFERROR(DF129/DF55,0)*1000</f>
        <v>0</v>
      </c>
      <c r="DG133" s="500">
        <f>_xlfn.IFERROR(DG129/DG55,0)*1000</f>
        <v>0</v>
      </c>
      <c r="DH133" s="500">
        <f>_xlfn.IFERROR(DH129/DH55,0)*1000</f>
        <v>0</v>
      </c>
      <c r="DI133" s="500">
        <f>_xlfn.IFERROR(DI129/DI55,0)*1000</f>
        <v>0</v>
      </c>
      <c r="DJ133" s="500">
        <f>_xlfn.IFERROR(DJ129/DJ55,0)*1000</f>
        <v>0</v>
      </c>
      <c r="DK133" s="500">
        <f>_xlfn.IFERROR(DK129/DK55,0)*1000</f>
        <v>0</v>
      </c>
      <c r="DL133" s="500">
        <f>_xlfn.IFERROR(DL129/DL55,0)*1000</f>
        <v>0</v>
      </c>
      <c r="DM133" s="500">
        <f>_xlfn.IFERROR(DM129/DM55,0)*1000</f>
        <v>0</v>
      </c>
      <c r="DN133" s="500">
        <f>_xlfn.IFERROR(DN129/DN55,0)*1000</f>
        <v>0</v>
      </c>
      <c r="DO133" s="500">
        <f>_xlfn.IFERROR(DO129/DO55,0)*1000</f>
        <v>0</v>
      </c>
      <c r="DP133" s="500">
        <f>_xlfn.IFERROR(DP129/DP55,0)*1000</f>
        <v>0</v>
      </c>
      <c r="DQ133" s="500">
        <f>_xlfn.IFERROR(DQ129/DQ55,0)*1000</f>
        <v>0</v>
      </c>
      <c r="DR133" s="500">
        <f>_xlfn.IFERROR(DR129/DR55,0)*1000</f>
        <v>0</v>
      </c>
      <c r="DS133" s="500">
        <f>_xlfn.IFERROR(DS129/DS55,0)*1000</f>
        <v>0</v>
      </c>
      <c r="DT133" s="500">
        <f>_xlfn.IFERROR(DT129/DT55,0)*1000</f>
        <v>0</v>
      </c>
      <c r="DU133" s="500">
        <f>_xlfn.IFERROR(DU129/DU55,0)*1000</f>
        <v>0</v>
      </c>
      <c r="DV133" s="500">
        <f>_xlfn.IFERROR(DV129/DV55,0)*1000</f>
        <v>0</v>
      </c>
      <c r="DW133" s="500">
        <f>_xlfn.IFERROR(DW129/DW55,0)*1000</f>
        <v>0</v>
      </c>
      <c r="DX133" s="500">
        <f>_xlfn.IFERROR(DX129/DX55,0)*1000</f>
        <v>0</v>
      </c>
      <c r="DY133" s="500">
        <f>_xlfn.IFERROR(DY129/DY55,0)*1000</f>
        <v>0</v>
      </c>
      <c r="DZ133" s="500">
        <f>_xlfn.IFERROR(DZ129/DZ55,0)*1000</f>
        <v>0</v>
      </c>
      <c r="EA133" s="500">
        <f>_xlfn.IFERROR(EA129/EA55,0)*1000</f>
        <v>0</v>
      </c>
      <c r="EB133" s="500">
        <f>_xlfn.IFERROR(EB129/EB55,0)*1000</f>
        <v>0</v>
      </c>
      <c r="EC133" s="500">
        <f>_xlfn.IFERROR(EC129/EC55,0)*1000</f>
        <v>0</v>
      </c>
      <c r="ED133" s="500">
        <f>_xlfn.IFERROR(ED129/ED55,0)*1000</f>
        <v>0</v>
      </c>
      <c r="EE133" s="500">
        <f>_xlfn.IFERROR(EE129/EE55,0)*1000</f>
        <v>0</v>
      </c>
      <c r="EF133" s="500">
        <f>_xlfn.IFERROR(EF129/EF55,0)*1000</f>
        <v>0</v>
      </c>
      <c r="EG133" s="500">
        <f>_xlfn.IFERROR(EG129/EG55,0)*1000</f>
        <v>0</v>
      </c>
      <c r="EH133" s="500">
        <f>_xlfn.IFERROR(EH129/EH55,0)*1000</f>
        <v>0</v>
      </c>
      <c r="EI133" s="500">
        <f>_xlfn.IFERROR(EI129/EI55,0)*1000</f>
        <v>0</v>
      </c>
      <c r="EJ133" s="500">
        <f>_xlfn.IFERROR(EJ129/EJ55,0)*1000</f>
        <v>0</v>
      </c>
      <c r="EK133" s="500">
        <f>_xlfn.IFERROR(EK129/EK55,0)*1000</f>
        <v>0</v>
      </c>
      <c r="EL133" s="500">
        <f>_xlfn.IFERROR(EL129/EL55,0)*1000</f>
        <v>0</v>
      </c>
      <c r="EM133" s="500">
        <f>_xlfn.IFERROR(EM129/EM55,0)*1000</f>
        <v>0</v>
      </c>
      <c r="EN133" s="500">
        <f>_xlfn.IFERROR(EN129/EN55,0)*1000</f>
        <v>0</v>
      </c>
      <c r="EO133" s="500">
        <f>_xlfn.IFERROR(EO129/EO55,0)*1000</f>
        <v>0</v>
      </c>
      <c r="EP133" s="500">
        <f>_xlfn.IFERROR(EP129/EP55,0)*1000</f>
        <v>0</v>
      </c>
      <c r="EQ133" s="500">
        <f>_xlfn.IFERROR(EQ129/EQ55,0)*1000</f>
        <v>0</v>
      </c>
      <c r="ER133" s="500">
        <f>_xlfn.IFERROR(ER129/ER55,0)*1000</f>
        <v>0</v>
      </c>
      <c r="ES133" s="500">
        <f>_xlfn.IFERROR(ES129/ES55,0)*1000</f>
        <v>0</v>
      </c>
      <c r="ET133" s="500">
        <f>_xlfn.IFERROR(ET129/ET55,0)*1000</f>
        <v>0</v>
      </c>
      <c r="EU133" s="500">
        <f>_xlfn.IFERROR(EU129/EU55,0)*1000</f>
        <v>0</v>
      </c>
      <c r="EV133" s="500">
        <f>_xlfn.IFERROR(EV129/EV55,0)*1000</f>
        <v>0</v>
      </c>
      <c r="EW133" s="500">
        <f>_xlfn.IFERROR(EW129/EW55,0)*1000</f>
        <v>0</v>
      </c>
      <c r="EX133" s="500">
        <f>_xlfn.IFERROR(EX129/EX55,0)*1000</f>
        <v>0</v>
      </c>
      <c r="EY133" s="500">
        <f>_xlfn.IFERROR(EY129/EY55,0)*1000</f>
        <v>0</v>
      </c>
      <c r="EZ133" s="500">
        <f>_xlfn.IFERROR(EZ129/EZ55,0)*1000</f>
        <v>0</v>
      </c>
      <c r="FA133" s="500">
        <f>_xlfn.IFERROR(FA129/FA55,0)*1000</f>
        <v>0</v>
      </c>
      <c r="FB133" s="83"/>
      <c r="FE133" s="489" t="s">
        <v>999</v>
      </c>
      <c r="FF133" s="648" t="s">
        <v>890</v>
      </c>
      <c r="FG133" s="648" cm="1" t="str">
        <f t="array" ref="FG133:FG133">AE133</f>
        <v>0</v>
      </c>
      <c r="FH133" s="648" cm="1" t="str">
        <f t="array" ref="FH133:FH133">AF133</f>
        <v>0</v>
      </c>
      <c r="FK133" s="1157" cm="1" t="str">
        <f t="array" ref="FK133:FK133">OFFSET(FJ133,-1,1)</f>
        <v>0</v>
      </c>
      <c r="FL133" s="1159"/>
      <c r="FM133" s="1159"/>
      <c r="FN133" s="1159"/>
      <c r="FO133" s="1159"/>
      <c r="FP133" s="1159"/>
      <c r="FQ133" s="1159"/>
      <c r="FR133" s="1159"/>
      <c r="FS133" s="1159" t="s">
        <v>998</v>
      </c>
      <c r="FT133" s="1159"/>
      <c r="FU133" s="1159"/>
      <c r="FV133" s="1159"/>
      <c r="FW133" s="1078" t="str">
        <f>$AE133&amp;"|"&amp;$AF133</f>
        <v>|</v>
      </c>
      <c r="FX133" s="1159" t="s">
        <v>303</v>
      </c>
      <c r="FY133" s="1159" t="s">
        <v>914</v>
      </c>
      <c r="FZ133" s="1159" t="s">
        <v>915</v>
      </c>
    </row>
    <row customHeight="1" ht="15" hidden="1">
      <c r="E134" s="965">
        <v>0</v>
      </c>
      <c r="F134" s="175" cm="1" t="str">
        <f t="array" ref="F134:F134">OFFSET(G134,-1,-1)</f>
        <v>0</v>
      </c>
      <c r="L134" s="175" cm="1" t="str">
        <f t="array" ref="L134:L134">OFFSET(M134,-1,-1)</f>
        <v>false</v>
      </c>
      <c r="S134" s="175" cm="1" t="str">
        <f t="array" ref="S134:S134">OFFSET(T134,-1,-1)</f>
        <v>false</v>
      </c>
      <c r="U134" s="753">
        <f>AND(S134,IF(ISBLANK(T134),TRUE,T134))</f>
        <v>0</v>
      </c>
      <c r="X134" s="980" t="str">
        <f>"{                  
         funcDyn: 'msg1',
         blok: 'blok_2',
         wsCross: 'Топливо 4.4',
         linkFormula: 'AE-AE#AF-AF',
         levelDyn: "&amp;Y28&amp;"
}"</f>
        <v>{                  
         funcDyn: 'msg1',
         blok: 'blok_2',
         wsCross: 'Топливо 4.4',
         linkFormula: 'AE-AE#AF-AF',
         levelDyn: 0
}</v>
      </c>
      <c r="AB134" s="1650"/>
      <c r="AD134" s="517"/>
      <c r="AE134" s="518" t="s">
        <v>191</v>
      </c>
      <c r="AF134" s="519"/>
      <c r="AG134" s="470"/>
      <c r="AH134" s="524"/>
      <c r="AI134" s="525"/>
      <c r="AJ134" s="525"/>
      <c r="AK134" s="525"/>
      <c r="AL134" s="525"/>
      <c r="AM134" s="525"/>
      <c r="AN134" s="525"/>
      <c r="AO134" s="525"/>
      <c r="AP134" s="525"/>
      <c r="AQ134" s="525"/>
      <c r="AR134" s="525"/>
      <c r="AS134" s="525"/>
      <c r="AT134" s="525"/>
      <c r="AU134" s="525"/>
      <c r="AV134" s="525"/>
      <c r="AW134" s="525"/>
      <c r="AX134" s="525"/>
      <c r="AY134" s="525"/>
      <c r="AZ134" s="525"/>
      <c r="BA134" s="525"/>
      <c r="BB134" s="525"/>
      <c r="BC134" s="525"/>
      <c r="BD134" s="525"/>
      <c r="BE134" s="525"/>
      <c r="BF134" s="525"/>
      <c r="BG134" s="525"/>
      <c r="BH134" s="525"/>
      <c r="BI134" s="525"/>
      <c r="BJ134" s="525"/>
      <c r="BK134" s="525"/>
      <c r="BL134" s="525"/>
      <c r="BM134" s="525"/>
      <c r="BN134" s="525"/>
      <c r="BO134" s="525"/>
      <c r="BP134" s="525"/>
      <c r="BQ134" s="525"/>
      <c r="BR134" s="525"/>
      <c r="BS134" s="525"/>
      <c r="BT134" s="525"/>
      <c r="BU134" s="525"/>
      <c r="BV134" s="525"/>
      <c r="BW134" s="525"/>
      <c r="BX134" s="525"/>
      <c r="BY134" s="525"/>
      <c r="BZ134" s="525"/>
      <c r="CA134" s="525"/>
      <c r="CB134" s="525"/>
      <c r="CC134" s="525"/>
      <c r="CD134" s="525"/>
      <c r="CE134" s="525"/>
      <c r="CF134" s="525"/>
      <c r="CG134" s="525"/>
      <c r="CH134" s="525"/>
      <c r="CI134" s="525"/>
      <c r="CJ134" s="525"/>
      <c r="CK134" s="525"/>
      <c r="CL134" s="525"/>
      <c r="CM134" s="525"/>
      <c r="CN134" s="525"/>
      <c r="CO134" s="525"/>
      <c r="CP134" s="525"/>
      <c r="CQ134" s="525"/>
      <c r="CR134" s="525"/>
      <c r="CS134" s="525"/>
      <c r="CT134" s="525"/>
      <c r="CU134" s="525"/>
      <c r="CV134" s="525"/>
      <c r="CW134" s="525"/>
      <c r="CX134" s="525"/>
      <c r="CY134" s="525"/>
      <c r="CZ134" s="525"/>
      <c r="DA134" s="525"/>
      <c r="DB134" s="525"/>
      <c r="DC134" s="525"/>
      <c r="DD134" s="525"/>
      <c r="DE134" s="525"/>
      <c r="DF134" s="525"/>
      <c r="DG134" s="525"/>
      <c r="DH134" s="525"/>
      <c r="DI134" s="525"/>
      <c r="DJ134" s="525"/>
      <c r="DK134" s="525"/>
      <c r="DL134" s="525"/>
      <c r="DM134" s="525"/>
      <c r="DN134" s="525"/>
      <c r="DO134" s="525"/>
      <c r="DP134" s="525"/>
      <c r="DQ134" s="525"/>
      <c r="DR134" s="525"/>
      <c r="DS134" s="525"/>
      <c r="DT134" s="525"/>
      <c r="DU134" s="525"/>
      <c r="DV134" s="525"/>
      <c r="DW134" s="525"/>
      <c r="DX134" s="525"/>
      <c r="DY134" s="525"/>
      <c r="DZ134" s="525"/>
      <c r="EA134" s="525"/>
      <c r="EB134" s="525"/>
      <c r="EC134" s="525"/>
      <c r="ED134" s="525"/>
      <c r="EE134" s="525"/>
      <c r="EF134" s="525"/>
      <c r="EG134" s="525"/>
      <c r="EH134" s="525"/>
      <c r="EI134" s="525"/>
      <c r="EJ134" s="525"/>
      <c r="EK134" s="525"/>
      <c r="EL134" s="525"/>
      <c r="EM134" s="525"/>
      <c r="EN134" s="525"/>
      <c r="EO134" s="525"/>
      <c r="EP134" s="525"/>
      <c r="EQ134" s="525"/>
      <c r="ER134" s="525"/>
      <c r="ES134" s="525"/>
      <c r="ET134" s="525"/>
      <c r="EU134" s="525"/>
      <c r="EV134" s="525"/>
      <c r="EW134" s="525"/>
      <c r="EX134" s="525"/>
      <c r="EY134" s="525"/>
      <c r="EZ134" s="525"/>
      <c r="FA134" s="525"/>
      <c r="FB134" s="93"/>
      <c r="FE134" s="489" t="str">
        <f>IF(AND(ISNUMBER(VALUE(TRIM(SUBSTITUTE(AD134,".","")))),TRIM(SUBSTITUTE(AD134,".",""))&lt;&gt;""),"P"&amp;SUBSTITUTE(AD134,".",""),"")</f>
        <v/>
      </c>
      <c r="FK134" s="1157" cm="1" t="str">
        <f t="array" ref="FK134:FK134">OFFSET(FJ134,-1,1)</f>
        <v>0</v>
      </c>
      <c r="FL134" s="1159"/>
      <c r="FM134" s="1159"/>
      <c r="FN134" s="1159"/>
      <c r="FO134" s="1159"/>
      <c r="FP134" s="1159"/>
      <c r="FQ134" s="1159"/>
      <c r="FR134" s="1159"/>
      <c r="FS134" s="1159"/>
      <c r="FT134" s="1159"/>
      <c r="FU134" s="1159"/>
      <c r="FV134" s="1159"/>
      <c r="FW134" s="1159"/>
      <c r="FX134" s="1159"/>
      <c r="FY134" s="1159"/>
      <c r="FZ134" s="1159"/>
    </row>
    <row customHeight="1" ht="16.575" hidden="1">
      <c r="E135" s="180">
        <v>17</v>
      </c>
      <c r="F135" s="175" cm="1" t="str">
        <f t="array" ref="F135:F135">OFFSET(G135,-1,-1)</f>
        <v>0</v>
      </c>
      <c r="L135" s="175" cm="1" t="str">
        <f t="array" ref="L135:L135">OFFSET(M135,-1,-1)</f>
        <v>false</v>
      </c>
      <c r="S135" s="175" cm="1" t="str">
        <f t="array" ref="S135:S135">OFFSET(T135,-1,-1)</f>
        <v>false</v>
      </c>
      <c r="U135" s="753">
        <f>AND(S135,IF(ISBLANK(T135),TRUE,T135))</f>
        <v>0</v>
      </c>
      <c r="AB135" s="1650"/>
      <c r="AD135" s="327">
        <v>42</v>
      </c>
      <c r="AE135" s="1618" t="s">
        <v>1001</v>
      </c>
      <c r="AF135" s="427"/>
      <c r="AG135" s="534"/>
      <c r="AH135" s="524"/>
      <c r="AI135" s="525"/>
      <c r="AJ135" s="525"/>
      <c r="AK135" s="525"/>
      <c r="AL135" s="525"/>
      <c r="AM135" s="525"/>
      <c r="AN135" s="525"/>
      <c r="AO135" s="525"/>
      <c r="AP135" s="525"/>
      <c r="AQ135" s="525"/>
      <c r="AR135" s="525"/>
      <c r="AS135" s="525"/>
      <c r="AT135" s="525"/>
      <c r="AU135" s="525"/>
      <c r="AV135" s="525"/>
      <c r="AW135" s="525"/>
      <c r="AX135" s="525"/>
      <c r="AY135" s="525"/>
      <c r="AZ135" s="525"/>
      <c r="BA135" s="525"/>
      <c r="BB135" s="525"/>
      <c r="BC135" s="525"/>
      <c r="BD135" s="525"/>
      <c r="BE135" s="525"/>
      <c r="BF135" s="525"/>
      <c r="BG135" s="525"/>
      <c r="BH135" s="525"/>
      <c r="BI135" s="525"/>
      <c r="BJ135" s="525"/>
      <c r="BK135" s="525"/>
      <c r="BL135" s="525"/>
      <c r="BM135" s="525"/>
      <c r="BN135" s="525"/>
      <c r="BO135" s="525"/>
      <c r="BP135" s="525"/>
      <c r="BQ135" s="525"/>
      <c r="BR135" s="525"/>
      <c r="BS135" s="525"/>
      <c r="BT135" s="525"/>
      <c r="BU135" s="525"/>
      <c r="BV135" s="525"/>
      <c r="BW135" s="525"/>
      <c r="BX135" s="525"/>
      <c r="BY135" s="525"/>
      <c r="BZ135" s="525"/>
      <c r="CA135" s="525"/>
      <c r="CB135" s="525"/>
      <c r="CC135" s="525"/>
      <c r="CD135" s="525"/>
      <c r="CE135" s="525"/>
      <c r="CF135" s="525"/>
      <c r="CG135" s="525"/>
      <c r="CH135" s="525"/>
      <c r="CI135" s="525"/>
      <c r="CJ135" s="525"/>
      <c r="CK135" s="525"/>
      <c r="CL135" s="525"/>
      <c r="CM135" s="525"/>
      <c r="CN135" s="525"/>
      <c r="CO135" s="525"/>
      <c r="CP135" s="525"/>
      <c r="CQ135" s="525"/>
      <c r="CR135" s="525"/>
      <c r="CS135" s="525"/>
      <c r="CT135" s="525"/>
      <c r="CU135" s="525"/>
      <c r="CV135" s="525"/>
      <c r="CW135" s="525"/>
      <c r="CX135" s="525"/>
      <c r="CY135" s="525"/>
      <c r="CZ135" s="525"/>
      <c r="DA135" s="525"/>
      <c r="DB135" s="525"/>
      <c r="DC135" s="525"/>
      <c r="DD135" s="525"/>
      <c r="DE135" s="525"/>
      <c r="DF135" s="525"/>
      <c r="DG135" s="525"/>
      <c r="DH135" s="525"/>
      <c r="DI135" s="525"/>
      <c r="DJ135" s="525"/>
      <c r="DK135" s="525"/>
      <c r="DL135" s="525"/>
      <c r="DM135" s="525"/>
      <c r="DN135" s="525"/>
      <c r="DO135" s="525"/>
      <c r="DP135" s="525"/>
      <c r="DQ135" s="525"/>
      <c r="DR135" s="525"/>
      <c r="DS135" s="525"/>
      <c r="DT135" s="525"/>
      <c r="DU135" s="525"/>
      <c r="DV135" s="525"/>
      <c r="DW135" s="525"/>
      <c r="DX135" s="525"/>
      <c r="DY135" s="525"/>
      <c r="DZ135" s="525"/>
      <c r="EA135" s="525"/>
      <c r="EB135" s="525"/>
      <c r="EC135" s="525"/>
      <c r="ED135" s="525"/>
      <c r="EE135" s="525"/>
      <c r="EF135" s="525"/>
      <c r="EG135" s="525"/>
      <c r="EH135" s="525"/>
      <c r="EI135" s="525"/>
      <c r="EJ135" s="525"/>
      <c r="EK135" s="525"/>
      <c r="EL135" s="525"/>
      <c r="EM135" s="525"/>
      <c r="EN135" s="525"/>
      <c r="EO135" s="525"/>
      <c r="EP135" s="525"/>
      <c r="EQ135" s="525"/>
      <c r="ER135" s="525"/>
      <c r="ES135" s="525"/>
      <c r="ET135" s="525"/>
      <c r="EU135" s="525"/>
      <c r="EV135" s="525"/>
      <c r="EW135" s="525"/>
      <c r="EX135" s="525"/>
      <c r="EY135" s="525"/>
      <c r="EZ135" s="525"/>
      <c r="FA135" s="525"/>
      <c r="FB135" s="83"/>
      <c r="FE135" s="489" t="s">
        <v>1002</v>
      </c>
      <c r="FK135" s="1157" cm="1" t="str">
        <f t="array" ref="FK135:FK135">OFFSET(FJ135,-1,1)</f>
        <v>0</v>
      </c>
      <c r="FL135" s="1078"/>
      <c r="FM135" s="1159"/>
      <c r="FN135" s="1159"/>
      <c r="FO135" s="1159"/>
      <c r="FP135" s="1159"/>
      <c r="FQ135" s="1159"/>
      <c r="FR135" s="1159"/>
      <c r="FS135" s="1078" t="s">
        <v>987</v>
      </c>
      <c r="FT135" s="1159"/>
      <c r="FU135" s="1159"/>
      <c r="FV135" s="1078" t="s">
        <v>255</v>
      </c>
      <c r="FW135" s="1159"/>
      <c r="FX135" s="1078"/>
      <c r="FY135" s="1078"/>
      <c r="FZ135" s="1078"/>
    </row>
    <row customHeight="1" ht="16.575" hidden="1">
      <c r="E136" s="180">
        <v>17</v>
      </c>
      <c r="F136" s="175" cm="1" t="str">
        <f t="array" ref="F136:F136">OFFSET(G136,-1,-1)</f>
        <v>0</v>
      </c>
      <c r="L136" s="175" cm="1" t="str">
        <f t="array" ref="L136:L136">OFFSET(M136,-1,-1)</f>
        <v>false</v>
      </c>
      <c r="S136" s="175" cm="1" t="str">
        <f t="array" ref="S136:S136">OFFSET(T136,-1,-1)</f>
        <v>false</v>
      </c>
      <c r="T136" s="175">
        <f>AD136&lt;&gt;"42.0"</f>
        <v>0</v>
      </c>
      <c r="U136" s="753">
        <f>AND(S136,IF(ISBLANK(T136),TRUE,T136))</f>
        <v>0</v>
      </c>
      <c r="X136" s="175" t="s">
        <v>189</v>
      </c>
      <c r="AB136" s="1650"/>
      <c r="AD136" s="491" t="s">
        <v>1003</v>
      </c>
      <c r="AE136" s="514"/>
      <c r="AF136" s="515"/>
      <c r="AG136" s="530" t="str">
        <f>"руб./"&amp;_xlfn.IFERROR(INDEX(fuel_ed_izm_list,MATCH(AE136,fuel_list,0)),"")</f>
        <v>руб./</v>
      </c>
      <c r="AH136" s="542">
        <f>_xlfn.IFERROR(AH129/AH64,0)*1000</f>
        <v>0</v>
      </c>
      <c r="AI136" s="542">
        <f>_xlfn.IFERROR(AI129/AI64,0)*1000</f>
        <v>0</v>
      </c>
      <c r="AJ136" s="542">
        <f>_xlfn.IFERROR(AJ129/AJ64,0)*1000</f>
        <v>0</v>
      </c>
      <c r="AK136" s="542">
        <f>_xlfn.IFERROR(AK129/AK64,0)*1000</f>
        <v>0</v>
      </c>
      <c r="AL136" s="542">
        <f>_xlfn.IFERROR(AL129/AL64,0)*1000</f>
        <v>0</v>
      </c>
      <c r="AM136" s="542">
        <f>_xlfn.IFERROR(AM129/AM64,0)*1000</f>
        <v>0</v>
      </c>
      <c r="AN136" s="542">
        <f>_xlfn.IFERROR(AN129/AN64,0)*1000</f>
        <v>0</v>
      </c>
      <c r="AO136" s="542">
        <f>_xlfn.IFERROR(AO129/AO64,0)*1000</f>
        <v>0</v>
      </c>
      <c r="AP136" s="542">
        <f>_xlfn.IFERROR(AP129/AP64,0)*1000</f>
        <v>0</v>
      </c>
      <c r="AQ136" s="542">
        <f>_xlfn.IFERROR(AQ129/AQ64,0)*1000</f>
        <v>0</v>
      </c>
      <c r="AR136" s="542">
        <f>_xlfn.IFERROR(AR129/AR64,0)*1000</f>
        <v>0</v>
      </c>
      <c r="AS136" s="542">
        <f>_xlfn.IFERROR(AS129/AS64,0)*1000</f>
        <v>0</v>
      </c>
      <c r="AT136" s="542">
        <f>_xlfn.IFERROR(AT129/AT64,0)*1000</f>
        <v>0</v>
      </c>
      <c r="AU136" s="542">
        <f>_xlfn.IFERROR(AU129/AU64,0)*1000</f>
        <v>0</v>
      </c>
      <c r="AV136" s="542">
        <f>_xlfn.IFERROR(AV129/AV64,0)*1000</f>
        <v>0</v>
      </c>
      <c r="AW136" s="542">
        <f>_xlfn.IFERROR(AW129/AW64,0)*1000</f>
        <v>0</v>
      </c>
      <c r="AX136" s="542">
        <f>_xlfn.IFERROR(AX129/AX64,0)*1000</f>
        <v>0</v>
      </c>
      <c r="AY136" s="542">
        <f>_xlfn.IFERROR(AY129/AY64,0)*1000</f>
        <v>0</v>
      </c>
      <c r="AZ136" s="542">
        <f>_xlfn.IFERROR(AZ129/AZ64,0)*1000</f>
        <v>0</v>
      </c>
      <c r="BA136" s="542">
        <f>_xlfn.IFERROR(BA129/BA64,0)*1000</f>
        <v>0</v>
      </c>
      <c r="BB136" s="542">
        <f>_xlfn.IFERROR(BB129/BB64,0)*1000</f>
        <v>0</v>
      </c>
      <c r="BC136" s="542">
        <f>_xlfn.IFERROR(BC129/BC64,0)*1000</f>
        <v>0</v>
      </c>
      <c r="BD136" s="542">
        <f>_xlfn.IFERROR(BD129/BD64,0)*1000</f>
        <v>0</v>
      </c>
      <c r="BE136" s="542">
        <f>_xlfn.IFERROR(BE129/BE64,0)*1000</f>
        <v>0</v>
      </c>
      <c r="BF136" s="542">
        <f>_xlfn.IFERROR(BF129/BF64,0)*1000</f>
        <v>0</v>
      </c>
      <c r="BG136" s="542">
        <f>_xlfn.IFERROR(BG129/BG64,0)*1000</f>
        <v>0</v>
      </c>
      <c r="BH136" s="542">
        <f>_xlfn.IFERROR(BH129/BH64,0)*1000</f>
        <v>0</v>
      </c>
      <c r="BI136" s="542">
        <f>_xlfn.IFERROR(BI129/BI64,0)*1000</f>
        <v>0</v>
      </c>
      <c r="BJ136" s="542">
        <f>_xlfn.IFERROR(BJ129/BJ64,0)*1000</f>
        <v>0</v>
      </c>
      <c r="BK136" s="542">
        <f>_xlfn.IFERROR(BK129/BK64,0)*1000</f>
        <v>0</v>
      </c>
      <c r="BL136" s="542">
        <f>_xlfn.IFERROR(BL129/BL64,0)*1000</f>
        <v>0</v>
      </c>
      <c r="BM136" s="542">
        <f>_xlfn.IFERROR(BM129/BM64,0)*1000</f>
        <v>0</v>
      </c>
      <c r="BN136" s="542">
        <f>_xlfn.IFERROR(BN129/BN64,0)*1000</f>
        <v>0</v>
      </c>
      <c r="BO136" s="542">
        <f>_xlfn.IFERROR(BO129/BO64,0)*1000</f>
        <v>0</v>
      </c>
      <c r="BP136" s="542">
        <f>_xlfn.IFERROR(BP129/BP64,0)*1000</f>
        <v>0</v>
      </c>
      <c r="BQ136" s="542">
        <f>_xlfn.IFERROR(BQ129/BQ64,0)*1000</f>
        <v>0</v>
      </c>
      <c r="BR136" s="542">
        <f>_xlfn.IFERROR(BR129/BR64,0)*1000</f>
        <v>0</v>
      </c>
      <c r="BS136" s="542">
        <f>_xlfn.IFERROR(BS129/BS64,0)*1000</f>
        <v>0</v>
      </c>
      <c r="BT136" s="542">
        <f>_xlfn.IFERROR(BT129/BT64,0)*1000</f>
        <v>0</v>
      </c>
      <c r="BU136" s="542">
        <f>_xlfn.IFERROR(BU129/BU64,0)*1000</f>
        <v>0</v>
      </c>
      <c r="BV136" s="542">
        <f>_xlfn.IFERROR(BV129/BV64,0)*1000</f>
        <v>0</v>
      </c>
      <c r="BW136" s="542">
        <f>_xlfn.IFERROR(BW129/BW64,0)*1000</f>
        <v>0</v>
      </c>
      <c r="BX136" s="542">
        <f>_xlfn.IFERROR(BX129/BX64,0)*1000</f>
        <v>0</v>
      </c>
      <c r="BY136" s="542">
        <f>_xlfn.IFERROR(BY129/BY64,0)*1000</f>
        <v>0</v>
      </c>
      <c r="BZ136" s="542">
        <f>_xlfn.IFERROR(BZ129/BZ64,0)*1000</f>
        <v>0</v>
      </c>
      <c r="CA136" s="542">
        <f>_xlfn.IFERROR(CA129/CA64,0)*1000</f>
        <v>0</v>
      </c>
      <c r="CB136" s="542">
        <f>_xlfn.IFERROR(CB129/CB64,0)*1000</f>
        <v>0</v>
      </c>
      <c r="CC136" s="542">
        <f>_xlfn.IFERROR(CC129/CC64,0)*1000</f>
        <v>0</v>
      </c>
      <c r="CD136" s="542">
        <f>_xlfn.IFERROR(CD129/CD64,0)*1000</f>
        <v>0</v>
      </c>
      <c r="CE136" s="542">
        <f>_xlfn.IFERROR(CE129/CE64,0)*1000</f>
        <v>0</v>
      </c>
      <c r="CF136" s="542">
        <f>_xlfn.IFERROR(CF129/CF64,0)*1000</f>
        <v>0</v>
      </c>
      <c r="CG136" s="542">
        <f>_xlfn.IFERROR(CG129/CG64,0)*1000</f>
        <v>0</v>
      </c>
      <c r="CH136" s="542">
        <f>_xlfn.IFERROR(CH129/CH64,0)*1000</f>
        <v>0</v>
      </c>
      <c r="CI136" s="542">
        <f>_xlfn.IFERROR(CI129/CI64,0)*1000</f>
        <v>0</v>
      </c>
      <c r="CJ136" s="542">
        <f>_xlfn.IFERROR(CJ129/CJ64,0)*1000</f>
        <v>0</v>
      </c>
      <c r="CK136" s="542">
        <f>_xlfn.IFERROR(CK129/CK64,0)*1000</f>
        <v>0</v>
      </c>
      <c r="CL136" s="542">
        <f>_xlfn.IFERROR(CL129/CL64,0)*1000</f>
        <v>0</v>
      </c>
      <c r="CM136" s="542">
        <f>_xlfn.IFERROR(CM129/CM64,0)*1000</f>
        <v>0</v>
      </c>
      <c r="CN136" s="542">
        <f>_xlfn.IFERROR(CN129/CN64,0)*1000</f>
        <v>0</v>
      </c>
      <c r="CO136" s="542">
        <f>_xlfn.IFERROR(CO129/CO64,0)*1000</f>
        <v>0</v>
      </c>
      <c r="CP136" s="542">
        <f>_xlfn.IFERROR(CP129/CP64,0)*1000</f>
        <v>0</v>
      </c>
      <c r="CQ136" s="542">
        <f>_xlfn.IFERROR(CQ129/CQ64,0)*1000</f>
        <v>0</v>
      </c>
      <c r="CR136" s="542">
        <f>_xlfn.IFERROR(CR129/CR64,0)*1000</f>
        <v>0</v>
      </c>
      <c r="CS136" s="542">
        <f>_xlfn.IFERROR(CS129/CS64,0)*1000</f>
        <v>0</v>
      </c>
      <c r="CT136" s="542">
        <f>_xlfn.IFERROR(CT129/CT64,0)*1000</f>
        <v>0</v>
      </c>
      <c r="CU136" s="542">
        <f>_xlfn.IFERROR(CU129/CU64,0)*1000</f>
        <v>0</v>
      </c>
      <c r="CV136" s="542">
        <f>_xlfn.IFERROR(CV129/CV64,0)*1000</f>
        <v>0</v>
      </c>
      <c r="CW136" s="542">
        <f>_xlfn.IFERROR(CW129/CW64,0)*1000</f>
        <v>0</v>
      </c>
      <c r="CX136" s="542">
        <f>_xlfn.IFERROR(CX129/CX64,0)*1000</f>
        <v>0</v>
      </c>
      <c r="CY136" s="542">
        <f>_xlfn.IFERROR(CY129/CY64,0)*1000</f>
        <v>0</v>
      </c>
      <c r="CZ136" s="542">
        <f>_xlfn.IFERROR(CZ129/CZ64,0)*1000</f>
        <v>0</v>
      </c>
      <c r="DA136" s="542">
        <f>_xlfn.IFERROR(DA129/DA64,0)*1000</f>
        <v>0</v>
      </c>
      <c r="DB136" s="542">
        <f>_xlfn.IFERROR(DB129/DB64,0)*1000</f>
        <v>0</v>
      </c>
      <c r="DC136" s="542">
        <f>_xlfn.IFERROR(DC129/DC64,0)*1000</f>
        <v>0</v>
      </c>
      <c r="DD136" s="542">
        <f>_xlfn.IFERROR(DD129/DD64,0)*1000</f>
        <v>0</v>
      </c>
      <c r="DE136" s="542">
        <f>_xlfn.IFERROR(DE129/DE64,0)*1000</f>
        <v>0</v>
      </c>
      <c r="DF136" s="542">
        <f>_xlfn.IFERROR(DF129/DF64,0)*1000</f>
        <v>0</v>
      </c>
      <c r="DG136" s="542">
        <f>_xlfn.IFERROR(DG129/DG64,0)*1000</f>
        <v>0</v>
      </c>
      <c r="DH136" s="542">
        <f>_xlfn.IFERROR(DH129/DH64,0)*1000</f>
        <v>0</v>
      </c>
      <c r="DI136" s="542">
        <f>_xlfn.IFERROR(DI129/DI64,0)*1000</f>
        <v>0</v>
      </c>
      <c r="DJ136" s="542">
        <f>_xlfn.IFERROR(DJ129/DJ64,0)*1000</f>
        <v>0</v>
      </c>
      <c r="DK136" s="542">
        <f>_xlfn.IFERROR(DK129/DK64,0)*1000</f>
        <v>0</v>
      </c>
      <c r="DL136" s="542">
        <f>_xlfn.IFERROR(DL129/DL64,0)*1000</f>
        <v>0</v>
      </c>
      <c r="DM136" s="542">
        <f>_xlfn.IFERROR(DM129/DM64,0)*1000</f>
        <v>0</v>
      </c>
      <c r="DN136" s="542">
        <f>_xlfn.IFERROR(DN129/DN64,0)*1000</f>
        <v>0</v>
      </c>
      <c r="DO136" s="542">
        <f>_xlfn.IFERROR(DO129/DO64,0)*1000</f>
        <v>0</v>
      </c>
      <c r="DP136" s="542">
        <f>_xlfn.IFERROR(DP129/DP64,0)*1000</f>
        <v>0</v>
      </c>
      <c r="DQ136" s="542">
        <f>_xlfn.IFERROR(DQ129/DQ64,0)*1000</f>
        <v>0</v>
      </c>
      <c r="DR136" s="542">
        <f>_xlfn.IFERROR(DR129/DR64,0)*1000</f>
        <v>0</v>
      </c>
      <c r="DS136" s="542">
        <f>_xlfn.IFERROR(DS129/DS64,0)*1000</f>
        <v>0</v>
      </c>
      <c r="DT136" s="542">
        <f>_xlfn.IFERROR(DT129/DT64,0)*1000</f>
        <v>0</v>
      </c>
      <c r="DU136" s="542">
        <f>_xlfn.IFERROR(DU129/DU64,0)*1000</f>
        <v>0</v>
      </c>
      <c r="DV136" s="542">
        <f>_xlfn.IFERROR(DV129/DV64,0)*1000</f>
        <v>0</v>
      </c>
      <c r="DW136" s="542">
        <f>_xlfn.IFERROR(DW129/DW64,0)*1000</f>
        <v>0</v>
      </c>
      <c r="DX136" s="542">
        <f>_xlfn.IFERROR(DX129/DX64,0)*1000</f>
        <v>0</v>
      </c>
      <c r="DY136" s="542">
        <f>_xlfn.IFERROR(DY129/DY64,0)*1000</f>
        <v>0</v>
      </c>
      <c r="DZ136" s="542">
        <f>_xlfn.IFERROR(DZ129/DZ64,0)*1000</f>
        <v>0</v>
      </c>
      <c r="EA136" s="542">
        <f>_xlfn.IFERROR(EA129/EA64,0)*1000</f>
        <v>0</v>
      </c>
      <c r="EB136" s="542">
        <f>_xlfn.IFERROR(EB129/EB64,0)*1000</f>
        <v>0</v>
      </c>
      <c r="EC136" s="542">
        <f>_xlfn.IFERROR(EC129/EC64,0)*1000</f>
        <v>0</v>
      </c>
      <c r="ED136" s="542">
        <f>_xlfn.IFERROR(ED129/ED64,0)*1000</f>
        <v>0</v>
      </c>
      <c r="EE136" s="542">
        <f>_xlfn.IFERROR(EE129/EE64,0)*1000</f>
        <v>0</v>
      </c>
      <c r="EF136" s="542">
        <f>_xlfn.IFERROR(EF129/EF64,0)*1000</f>
        <v>0</v>
      </c>
      <c r="EG136" s="542">
        <f>_xlfn.IFERROR(EG129/EG64,0)*1000</f>
        <v>0</v>
      </c>
      <c r="EH136" s="542">
        <f>_xlfn.IFERROR(EH129/EH64,0)*1000</f>
        <v>0</v>
      </c>
      <c r="EI136" s="542">
        <f>_xlfn.IFERROR(EI129/EI64,0)*1000</f>
        <v>0</v>
      </c>
      <c r="EJ136" s="542">
        <f>_xlfn.IFERROR(EJ129/EJ64,0)*1000</f>
        <v>0</v>
      </c>
      <c r="EK136" s="542">
        <f>_xlfn.IFERROR(EK129/EK64,0)*1000</f>
        <v>0</v>
      </c>
      <c r="EL136" s="542">
        <f>_xlfn.IFERROR(EL129/EL64,0)*1000</f>
        <v>0</v>
      </c>
      <c r="EM136" s="542">
        <f>_xlfn.IFERROR(EM129/EM64,0)*1000</f>
        <v>0</v>
      </c>
      <c r="EN136" s="542">
        <f>_xlfn.IFERROR(EN129/EN64,0)*1000</f>
        <v>0</v>
      </c>
      <c r="EO136" s="542">
        <f>_xlfn.IFERROR(EO129/EO64,0)*1000</f>
        <v>0</v>
      </c>
      <c r="EP136" s="542">
        <f>_xlfn.IFERROR(EP129/EP64,0)*1000</f>
        <v>0</v>
      </c>
      <c r="EQ136" s="542">
        <f>_xlfn.IFERROR(EQ129/EQ64,0)*1000</f>
        <v>0</v>
      </c>
      <c r="ER136" s="542">
        <f>_xlfn.IFERROR(ER129/ER64,0)*1000</f>
        <v>0</v>
      </c>
      <c r="ES136" s="542">
        <f>_xlfn.IFERROR(ES129/ES64,0)*1000</f>
        <v>0</v>
      </c>
      <c r="ET136" s="542">
        <f>_xlfn.IFERROR(ET129/ET64,0)*1000</f>
        <v>0</v>
      </c>
      <c r="EU136" s="542">
        <f>_xlfn.IFERROR(EU129/EU64,0)*1000</f>
        <v>0</v>
      </c>
      <c r="EV136" s="542">
        <f>_xlfn.IFERROR(EV129/EV64,0)*1000</f>
        <v>0</v>
      </c>
      <c r="EW136" s="542">
        <f>_xlfn.IFERROR(EW129/EW64,0)*1000</f>
        <v>0</v>
      </c>
      <c r="EX136" s="542">
        <f>_xlfn.IFERROR(EX129/EX64,0)*1000</f>
        <v>0</v>
      </c>
      <c r="EY136" s="542">
        <f>_xlfn.IFERROR(EY129/EY64,0)*1000</f>
        <v>0</v>
      </c>
      <c r="EZ136" s="542">
        <f>_xlfn.IFERROR(EZ129/EZ64,0)*1000</f>
        <v>0</v>
      </c>
      <c r="FA136" s="542">
        <f>_xlfn.IFERROR(FA129/FA64,0)*1000</f>
        <v>0</v>
      </c>
      <c r="FB136" s="83"/>
      <c r="FE136" s="489" t="s">
        <v>1002</v>
      </c>
      <c r="FF136" s="648" t="s">
        <v>890</v>
      </c>
      <c r="FG136" s="648" cm="1" t="str">
        <f t="array" ref="FG136:FG136">AE136</f>
        <v>0</v>
      </c>
      <c r="FH136" s="648" cm="1" t="str">
        <f t="array" ref="FH136:FH136">AF136</f>
        <v>0</v>
      </c>
      <c r="FK136" s="1157" cm="1" t="str">
        <f t="array" ref="FK136:FK136">OFFSET(FJ136,-1,1)</f>
        <v>0</v>
      </c>
      <c r="FL136" s="1159"/>
      <c r="FM136" s="1159"/>
      <c r="FN136" s="1159"/>
      <c r="FO136" s="1159"/>
      <c r="FP136" s="1159"/>
      <c r="FQ136" s="1159"/>
      <c r="FR136" s="1159"/>
      <c r="FS136" s="1159" t="s">
        <v>987</v>
      </c>
      <c r="FT136" s="1159"/>
      <c r="FU136" s="1159"/>
      <c r="FV136" s="1159" t="s">
        <v>255</v>
      </c>
      <c r="FW136" s="1078" t="str">
        <f>$AE136&amp;"|"&amp;$AF136</f>
        <v>|</v>
      </c>
      <c r="FX136" s="1159" t="s">
        <v>303</v>
      </c>
      <c r="FY136" s="1159" t="s">
        <v>914</v>
      </c>
      <c r="FZ136" s="1159" t="s">
        <v>915</v>
      </c>
    </row>
    <row customHeight="1" ht="15" hidden="1">
      <c r="E137" s="965">
        <v>0</v>
      </c>
      <c r="F137" s="175" cm="1" t="str">
        <f t="array" ref="F137:F137">OFFSET(G137,-1,-1)</f>
        <v>0</v>
      </c>
      <c r="L137" s="175" cm="1" t="str">
        <f t="array" ref="L137:L137">OFFSET(M137,-1,-1)</f>
        <v>false</v>
      </c>
      <c r="S137" s="175" cm="1" t="str">
        <f t="array" ref="S137:S137">OFFSET(T137,-1,-1)</f>
        <v>false</v>
      </c>
      <c r="U137" s="753">
        <f>AND(S137,IF(ISBLANK(T137),TRUE,T137))</f>
        <v>0</v>
      </c>
      <c r="X137" s="980" t="str">
        <f>"{                  
         funcDyn: 'msg1',
         blok: '',
         wsCross: '',
         linkFormula: '',
         levelDyn: "&amp;Y28&amp;"
}"</f>
        <v>{                  
         funcDyn: 'msg1',
         blok: '',
         wsCross: '',
         linkFormula: '',
         levelDyn: 0
}</v>
      </c>
      <c r="AB137" s="1650"/>
      <c r="AD137" s="517"/>
      <c r="AE137" s="518" t="s">
        <v>191</v>
      </c>
      <c r="AF137" s="519"/>
      <c r="AG137" s="470"/>
      <c r="AH137" s="543"/>
      <c r="AI137" s="544"/>
      <c r="AJ137" s="544"/>
      <c r="AK137" s="544"/>
      <c r="AL137" s="544"/>
      <c r="AM137" s="544"/>
      <c r="AN137" s="544"/>
      <c r="AO137" s="544"/>
      <c r="AP137" s="544"/>
      <c r="AQ137" s="544"/>
      <c r="AR137" s="544"/>
      <c r="AS137" s="544"/>
      <c r="AT137" s="544"/>
      <c r="AU137" s="544"/>
      <c r="AV137" s="544"/>
      <c r="AW137" s="544"/>
      <c r="AX137" s="544"/>
      <c r="AY137" s="544"/>
      <c r="AZ137" s="544"/>
      <c r="BA137" s="544"/>
      <c r="BB137" s="544"/>
      <c r="BC137" s="544"/>
      <c r="BD137" s="544"/>
      <c r="BE137" s="544"/>
      <c r="BF137" s="544"/>
      <c r="BG137" s="544"/>
      <c r="BH137" s="544"/>
      <c r="BI137" s="544"/>
      <c r="BJ137" s="544"/>
      <c r="BK137" s="544"/>
      <c r="BL137" s="544"/>
      <c r="BM137" s="544"/>
      <c r="BN137" s="544"/>
      <c r="BO137" s="544"/>
      <c r="BP137" s="544"/>
      <c r="BQ137" s="544"/>
      <c r="BR137" s="544"/>
      <c r="BS137" s="544"/>
      <c r="BT137" s="544"/>
      <c r="BU137" s="544"/>
      <c r="BV137" s="544"/>
      <c r="BW137" s="544"/>
      <c r="BX137" s="544"/>
      <c r="BY137" s="544"/>
      <c r="BZ137" s="544"/>
      <c r="CA137" s="544"/>
      <c r="CB137" s="544"/>
      <c r="CC137" s="544"/>
      <c r="CD137" s="544"/>
      <c r="CE137" s="544"/>
      <c r="CF137" s="544"/>
      <c r="CG137" s="544"/>
      <c r="CH137" s="544"/>
      <c r="CI137" s="544"/>
      <c r="CJ137" s="544"/>
      <c r="CK137" s="544"/>
      <c r="CL137" s="544"/>
      <c r="CM137" s="544"/>
      <c r="CN137" s="544"/>
      <c r="CO137" s="544"/>
      <c r="CP137" s="544"/>
      <c r="CQ137" s="544"/>
      <c r="CR137" s="544"/>
      <c r="CS137" s="544"/>
      <c r="CT137" s="544"/>
      <c r="CU137" s="544"/>
      <c r="CV137" s="544"/>
      <c r="CW137" s="544"/>
      <c r="CX137" s="544"/>
      <c r="CY137" s="544"/>
      <c r="CZ137" s="544"/>
      <c r="DA137" s="544"/>
      <c r="DB137" s="544"/>
      <c r="DC137" s="544"/>
      <c r="DD137" s="544"/>
      <c r="DE137" s="544"/>
      <c r="DF137" s="544"/>
      <c r="DG137" s="544"/>
      <c r="DH137" s="544"/>
      <c r="DI137" s="544"/>
      <c r="DJ137" s="544"/>
      <c r="DK137" s="544"/>
      <c r="DL137" s="544"/>
      <c r="DM137" s="544"/>
      <c r="DN137" s="544"/>
      <c r="DO137" s="544"/>
      <c r="DP137" s="544"/>
      <c r="DQ137" s="544"/>
      <c r="DR137" s="544"/>
      <c r="DS137" s="544"/>
      <c r="DT137" s="544"/>
      <c r="DU137" s="544"/>
      <c r="DV137" s="544"/>
      <c r="DW137" s="544"/>
      <c r="DX137" s="544"/>
      <c r="DY137" s="544"/>
      <c r="DZ137" s="544"/>
      <c r="EA137" s="544"/>
      <c r="EB137" s="544"/>
      <c r="EC137" s="544"/>
      <c r="ED137" s="544"/>
      <c r="EE137" s="544"/>
      <c r="EF137" s="544"/>
      <c r="EG137" s="544"/>
      <c r="EH137" s="544"/>
      <c r="EI137" s="544"/>
      <c r="EJ137" s="544"/>
      <c r="EK137" s="544"/>
      <c r="EL137" s="544"/>
      <c r="EM137" s="544"/>
      <c r="EN137" s="544"/>
      <c r="EO137" s="544"/>
      <c r="EP137" s="544"/>
      <c r="EQ137" s="544"/>
      <c r="ER137" s="544"/>
      <c r="ES137" s="544"/>
      <c r="ET137" s="544"/>
      <c r="EU137" s="544"/>
      <c r="EV137" s="544"/>
      <c r="EW137" s="544"/>
      <c r="EX137" s="544"/>
      <c r="EY137" s="544"/>
      <c r="EZ137" s="544"/>
      <c r="FA137" s="544"/>
      <c r="FB137" s="93"/>
      <c r="FE137" s="489" t="str">
        <f>IF(AND(ISNUMBER(VALUE(TRIM(SUBSTITUTE(AD137,".","")))),TRIM(SUBSTITUTE(AD137,".",""))&lt;&gt;""),"P"&amp;SUBSTITUTE(AD137,".",""),"")</f>
        <v/>
      </c>
      <c r="FK137" s="1157" cm="1" t="str">
        <f t="array" ref="FK137:FK137">OFFSET(FJ137,-1,1)</f>
        <v>0</v>
      </c>
      <c r="FL137" s="1159"/>
      <c r="FM137" s="1159"/>
      <c r="FN137" s="1159"/>
      <c r="FO137" s="1159"/>
      <c r="FP137" s="1159"/>
      <c r="FQ137" s="1159"/>
      <c r="FR137" s="1159"/>
      <c r="FS137" s="1159"/>
      <c r="FT137" s="1159"/>
      <c r="FU137" s="1159"/>
      <c r="FV137" s="1159"/>
      <c r="FW137" s="1159"/>
      <c r="FX137" s="1159"/>
      <c r="FY137" s="1159"/>
      <c r="FZ137" s="1159"/>
    </row>
    <row customHeight="1" ht="16.575" hidden="1">
      <c r="E138" s="180">
        <v>17</v>
      </c>
      <c r="F138" s="175" cm="1" t="str">
        <f t="array" ref="F138:F138">OFFSET(G138,-1,-1)</f>
        <v>0</v>
      </c>
      <c r="L138" s="175" cm="1" t="str">
        <f t="array" ref="L138:L138">OFFSET(M138,-1,-1)</f>
        <v>false</v>
      </c>
      <c r="S138" s="175" cm="1" t="str">
        <f t="array" ref="S138:S138">OFFSET(T138,-1,-1)</f>
        <v>false</v>
      </c>
      <c r="U138" s="753">
        <f>AND(S138,IF(ISBLANK(T138),TRUE,T138))</f>
        <v>0</v>
      </c>
      <c r="AB138" s="1651"/>
      <c r="AC138" s="545"/>
      <c r="AD138" s="327">
        <v>43</v>
      </c>
      <c r="AE138" s="1618" t="s">
        <v>1004</v>
      </c>
      <c r="AF138" s="427"/>
      <c r="AG138" s="470" t="s">
        <v>1005</v>
      </c>
      <c r="AH138" s="500">
        <f>_xlfn.IFERROR(AH126/AH44*1000,0)</f>
        <v>0</v>
      </c>
      <c r="AI138" s="500">
        <f>_xlfn.IFERROR(AI126/AI44*1000,0)</f>
        <v>0</v>
      </c>
      <c r="AJ138" s="500">
        <f>_xlfn.IFERROR(AJ126/AJ44*1000,0)</f>
        <v>0</v>
      </c>
      <c r="AK138" s="500">
        <f>_xlfn.IFERROR(AK126/AK44*1000,0)</f>
        <v>0</v>
      </c>
      <c r="AL138" s="500">
        <f>_xlfn.IFERROR(AL126/AL44*1000,0)</f>
        <v>0</v>
      </c>
      <c r="AM138" s="500">
        <f>_xlfn.IFERROR(AM126/AM44*1000,0)</f>
        <v>0</v>
      </c>
      <c r="AN138" s="500">
        <f>_xlfn.IFERROR(AN126/AN44*1000,0)</f>
        <v>0</v>
      </c>
      <c r="AO138" s="500">
        <f>_xlfn.IFERROR(AO126/AO44*1000,0)</f>
        <v>0</v>
      </c>
      <c r="AP138" s="500">
        <f>_xlfn.IFERROR(AP126/AP44*1000,0)</f>
        <v>0</v>
      </c>
      <c r="AQ138" s="500">
        <f>_xlfn.IFERROR(AQ126/AQ44*1000,0)</f>
        <v>0</v>
      </c>
      <c r="AR138" s="500">
        <f>_xlfn.IFERROR(AR126/AR44*1000,0)</f>
        <v>0</v>
      </c>
      <c r="AS138" s="500">
        <f>_xlfn.IFERROR(AS126/AS44*1000,0)</f>
        <v>0</v>
      </c>
      <c r="AT138" s="500">
        <f>_xlfn.IFERROR(AT126/AT44*1000,0)</f>
        <v>0</v>
      </c>
      <c r="AU138" s="500">
        <f>_xlfn.IFERROR(AU126/AU44*1000,0)</f>
        <v>0</v>
      </c>
      <c r="AV138" s="500">
        <f>_xlfn.IFERROR(AV126/AV44*1000,0)</f>
        <v>0</v>
      </c>
      <c r="AW138" s="500">
        <f>_xlfn.IFERROR(AW126/AW44*1000,0)</f>
        <v>0</v>
      </c>
      <c r="AX138" s="500">
        <f>_xlfn.IFERROR(AX126/AX44*1000,0)</f>
        <v>0</v>
      </c>
      <c r="AY138" s="500">
        <f>_xlfn.IFERROR(AY126/AY44*1000,0)</f>
        <v>0</v>
      </c>
      <c r="AZ138" s="500">
        <f>_xlfn.IFERROR(AZ126/AZ44*1000,0)</f>
        <v>0</v>
      </c>
      <c r="BA138" s="500">
        <f>_xlfn.IFERROR(BA126/BA44*1000,0)</f>
        <v>0</v>
      </c>
      <c r="BB138" s="500">
        <f>_xlfn.IFERROR(BB126/BB44*1000,0)</f>
        <v>0</v>
      </c>
      <c r="BC138" s="500">
        <f>_xlfn.IFERROR(BC126/BC44*1000,0)</f>
        <v>0</v>
      </c>
      <c r="BD138" s="500">
        <f>_xlfn.IFERROR(BD126/BD44*1000,0)</f>
        <v>0</v>
      </c>
      <c r="BE138" s="500">
        <f>_xlfn.IFERROR(BE126/BE44*1000,0)</f>
        <v>0</v>
      </c>
      <c r="BF138" s="500">
        <f>_xlfn.IFERROR(BF126/BF44*1000,0)</f>
        <v>0</v>
      </c>
      <c r="BG138" s="500">
        <f>_xlfn.IFERROR(BG126/BG44*1000,0)</f>
        <v>0</v>
      </c>
      <c r="BH138" s="500">
        <f>_xlfn.IFERROR(BH126/BH44*1000,0)</f>
        <v>0</v>
      </c>
      <c r="BI138" s="500">
        <f>_xlfn.IFERROR(BI126/BI44*1000,0)</f>
        <v>0</v>
      </c>
      <c r="BJ138" s="500">
        <f>_xlfn.IFERROR(BJ126/BJ44*1000,0)</f>
        <v>0</v>
      </c>
      <c r="BK138" s="500">
        <f>_xlfn.IFERROR(BK126/BK44*1000,0)</f>
        <v>0</v>
      </c>
      <c r="BL138" s="500">
        <f>_xlfn.IFERROR(BL126/BL44*1000,0)</f>
        <v>0</v>
      </c>
      <c r="BM138" s="500">
        <f>_xlfn.IFERROR(BM126/BM44*1000,0)</f>
        <v>0</v>
      </c>
      <c r="BN138" s="500">
        <f>_xlfn.IFERROR(BN126/BN44*1000,0)</f>
        <v>0</v>
      </c>
      <c r="BO138" s="500">
        <f>_xlfn.IFERROR(BO126/BO44*1000,0)</f>
        <v>0</v>
      </c>
      <c r="BP138" s="500">
        <f>_xlfn.IFERROR(BP126/BP44*1000,0)</f>
        <v>0</v>
      </c>
      <c r="BQ138" s="500">
        <f>_xlfn.IFERROR(BQ126/BQ44*1000,0)</f>
        <v>0</v>
      </c>
      <c r="BR138" s="500">
        <f>_xlfn.IFERROR(BR126/BR44*1000,0)</f>
        <v>0</v>
      </c>
      <c r="BS138" s="500">
        <f>_xlfn.IFERROR(BS126/BS44*1000,0)</f>
        <v>0</v>
      </c>
      <c r="BT138" s="500">
        <f>_xlfn.IFERROR(BT126/BT44*1000,0)</f>
        <v>0</v>
      </c>
      <c r="BU138" s="500">
        <f>_xlfn.IFERROR(BU126/BU44*1000,0)</f>
        <v>0</v>
      </c>
      <c r="BV138" s="500">
        <f>_xlfn.IFERROR(BV126/BV44*1000,0)</f>
        <v>0</v>
      </c>
      <c r="BW138" s="500">
        <f>_xlfn.IFERROR(BW126/BW44*1000,0)</f>
        <v>0</v>
      </c>
      <c r="BX138" s="500">
        <f>_xlfn.IFERROR(BX126/BX44*1000,0)</f>
        <v>0</v>
      </c>
      <c r="BY138" s="500">
        <f>_xlfn.IFERROR(BY126/BY44*1000,0)</f>
        <v>0</v>
      </c>
      <c r="BZ138" s="500">
        <f>_xlfn.IFERROR(BZ126/BZ44*1000,0)</f>
        <v>0</v>
      </c>
      <c r="CA138" s="500">
        <f>_xlfn.IFERROR(CA126/CA44*1000,0)</f>
        <v>0</v>
      </c>
      <c r="CB138" s="500">
        <f>_xlfn.IFERROR(CB126/CB44*1000,0)</f>
        <v>0</v>
      </c>
      <c r="CC138" s="500">
        <f>_xlfn.IFERROR(CC126/CC44*1000,0)</f>
        <v>0</v>
      </c>
      <c r="CD138" s="500">
        <f>_xlfn.IFERROR(CD126/CD44*1000,0)</f>
        <v>0</v>
      </c>
      <c r="CE138" s="500">
        <f>_xlfn.IFERROR(CE126/CE44*1000,0)</f>
        <v>0</v>
      </c>
      <c r="CF138" s="500">
        <f>_xlfn.IFERROR(CF126/CF44*1000,0)</f>
        <v>0</v>
      </c>
      <c r="CG138" s="500">
        <f>_xlfn.IFERROR(CG126/CG44*1000,0)</f>
        <v>0</v>
      </c>
      <c r="CH138" s="500">
        <f>_xlfn.IFERROR(CH126/CH44*1000,0)</f>
        <v>0</v>
      </c>
      <c r="CI138" s="500">
        <f>_xlfn.IFERROR(CI126/CI44*1000,0)</f>
        <v>0</v>
      </c>
      <c r="CJ138" s="500">
        <f>_xlfn.IFERROR(CJ126/CJ44*1000,0)</f>
        <v>0</v>
      </c>
      <c r="CK138" s="500">
        <f>_xlfn.IFERROR(CK126/CK44*1000,0)</f>
        <v>0</v>
      </c>
      <c r="CL138" s="500">
        <f>_xlfn.IFERROR(CL126/CL44*1000,0)</f>
        <v>0</v>
      </c>
      <c r="CM138" s="500">
        <f>_xlfn.IFERROR(CM126/CM44*1000,0)</f>
        <v>0</v>
      </c>
      <c r="CN138" s="500">
        <f>_xlfn.IFERROR(CN126/CN44*1000,0)</f>
        <v>0</v>
      </c>
      <c r="CO138" s="500">
        <f>_xlfn.IFERROR(CO126/CO44*1000,0)</f>
        <v>0</v>
      </c>
      <c r="CP138" s="500">
        <f>_xlfn.IFERROR(CP126/CP44*1000,0)</f>
        <v>0</v>
      </c>
      <c r="CQ138" s="500">
        <f>_xlfn.IFERROR(CQ126/CQ44*1000,0)</f>
        <v>0</v>
      </c>
      <c r="CR138" s="500">
        <f>_xlfn.IFERROR(CR126/CR44*1000,0)</f>
        <v>0</v>
      </c>
      <c r="CS138" s="500">
        <f>_xlfn.IFERROR(CS126/CS44*1000,0)</f>
        <v>0</v>
      </c>
      <c r="CT138" s="500">
        <f>_xlfn.IFERROR(CT126/CT44*1000,0)</f>
        <v>0</v>
      </c>
      <c r="CU138" s="500">
        <f>_xlfn.IFERROR(CU126/CU44*1000,0)</f>
        <v>0</v>
      </c>
      <c r="CV138" s="500">
        <f>_xlfn.IFERROR(CV126/CV44*1000,0)</f>
        <v>0</v>
      </c>
      <c r="CW138" s="500">
        <f>_xlfn.IFERROR(CW126/CW44*1000,0)</f>
        <v>0</v>
      </c>
      <c r="CX138" s="500">
        <f>_xlfn.IFERROR(CX126/CX44*1000,0)</f>
        <v>0</v>
      </c>
      <c r="CY138" s="500">
        <f>_xlfn.IFERROR(CY126/CY44*1000,0)</f>
        <v>0</v>
      </c>
      <c r="CZ138" s="500">
        <f>_xlfn.IFERROR(CZ126/CZ44*1000,0)</f>
        <v>0</v>
      </c>
      <c r="DA138" s="500">
        <f>_xlfn.IFERROR(DA126/DA44*1000,0)</f>
        <v>0</v>
      </c>
      <c r="DB138" s="500">
        <f>_xlfn.IFERROR(DB126/DB44*1000,0)</f>
        <v>0</v>
      </c>
      <c r="DC138" s="500">
        <f>_xlfn.IFERROR(DC126/DC44*1000,0)</f>
        <v>0</v>
      </c>
      <c r="DD138" s="500">
        <f>_xlfn.IFERROR(DD126/DD44*1000,0)</f>
        <v>0</v>
      </c>
      <c r="DE138" s="500">
        <f>_xlfn.IFERROR(DE126/DE44*1000,0)</f>
        <v>0</v>
      </c>
      <c r="DF138" s="500">
        <f>_xlfn.IFERROR(DF126/DF44*1000,0)</f>
        <v>0</v>
      </c>
      <c r="DG138" s="500">
        <f>_xlfn.IFERROR(DG126/DG44*1000,0)</f>
        <v>0</v>
      </c>
      <c r="DH138" s="500">
        <f>_xlfn.IFERROR(DH126/DH44*1000,0)</f>
        <v>0</v>
      </c>
      <c r="DI138" s="500">
        <f>_xlfn.IFERROR(DI126/DI44*1000,0)</f>
        <v>0</v>
      </c>
      <c r="DJ138" s="500">
        <f>_xlfn.IFERROR(DJ126/DJ44*1000,0)</f>
        <v>0</v>
      </c>
      <c r="DK138" s="500">
        <f>_xlfn.IFERROR(DK126/DK44*1000,0)</f>
        <v>0</v>
      </c>
      <c r="DL138" s="500">
        <f>_xlfn.IFERROR(DL126/DL44*1000,0)</f>
        <v>0</v>
      </c>
      <c r="DM138" s="500">
        <f>_xlfn.IFERROR(DM126/DM44*1000,0)</f>
        <v>0</v>
      </c>
      <c r="DN138" s="500">
        <f>_xlfn.IFERROR(DN126/DN44*1000,0)</f>
        <v>0</v>
      </c>
      <c r="DO138" s="500">
        <f>_xlfn.IFERROR(DO126/DO44*1000,0)</f>
        <v>0</v>
      </c>
      <c r="DP138" s="500">
        <f>_xlfn.IFERROR(DP126/DP44*1000,0)</f>
        <v>0</v>
      </c>
      <c r="DQ138" s="500">
        <f>_xlfn.IFERROR(DQ126/DQ44*1000,0)</f>
        <v>0</v>
      </c>
      <c r="DR138" s="500">
        <f>_xlfn.IFERROR(DR126/DR44*1000,0)</f>
        <v>0</v>
      </c>
      <c r="DS138" s="500">
        <f>_xlfn.IFERROR(DS126/DS44*1000,0)</f>
        <v>0</v>
      </c>
      <c r="DT138" s="500">
        <f>_xlfn.IFERROR(DT126/DT44*1000,0)</f>
        <v>0</v>
      </c>
      <c r="DU138" s="500">
        <f>_xlfn.IFERROR(DU126/DU44*1000,0)</f>
        <v>0</v>
      </c>
      <c r="DV138" s="500">
        <f>_xlfn.IFERROR(DV126/DV44*1000,0)</f>
        <v>0</v>
      </c>
      <c r="DW138" s="500">
        <f>_xlfn.IFERROR(DW126/DW44*1000,0)</f>
        <v>0</v>
      </c>
      <c r="DX138" s="500">
        <f>_xlfn.IFERROR(DX126/DX44*1000,0)</f>
        <v>0</v>
      </c>
      <c r="DY138" s="500">
        <f>_xlfn.IFERROR(DY126/DY44*1000,0)</f>
        <v>0</v>
      </c>
      <c r="DZ138" s="500">
        <f>_xlfn.IFERROR(DZ126/DZ44*1000,0)</f>
        <v>0</v>
      </c>
      <c r="EA138" s="500">
        <f>_xlfn.IFERROR(EA126/EA44*1000,0)</f>
        <v>0</v>
      </c>
      <c r="EB138" s="500">
        <f>_xlfn.IFERROR(EB126/EB44*1000,0)</f>
        <v>0</v>
      </c>
      <c r="EC138" s="500">
        <f>_xlfn.IFERROR(EC126/EC44*1000,0)</f>
        <v>0</v>
      </c>
      <c r="ED138" s="500">
        <f>_xlfn.IFERROR(ED126/ED44*1000,0)</f>
        <v>0</v>
      </c>
      <c r="EE138" s="500">
        <f>_xlfn.IFERROR(EE126/EE44*1000,0)</f>
        <v>0</v>
      </c>
      <c r="EF138" s="500">
        <f>_xlfn.IFERROR(EF126/EF44*1000,0)</f>
        <v>0</v>
      </c>
      <c r="EG138" s="500">
        <f>_xlfn.IFERROR(EG126/EG44*1000,0)</f>
        <v>0</v>
      </c>
      <c r="EH138" s="500">
        <f>_xlfn.IFERROR(EH126/EH44*1000,0)</f>
        <v>0</v>
      </c>
      <c r="EI138" s="500">
        <f>_xlfn.IFERROR(EI126/EI44*1000,0)</f>
        <v>0</v>
      </c>
      <c r="EJ138" s="500">
        <f>_xlfn.IFERROR(EJ126/EJ44*1000,0)</f>
        <v>0</v>
      </c>
      <c r="EK138" s="500">
        <f>_xlfn.IFERROR(EK126/EK44*1000,0)</f>
        <v>0</v>
      </c>
      <c r="EL138" s="500">
        <f>_xlfn.IFERROR(EL126/EL44*1000,0)</f>
        <v>0</v>
      </c>
      <c r="EM138" s="500">
        <f>_xlfn.IFERROR(EM126/EM44*1000,0)</f>
        <v>0</v>
      </c>
      <c r="EN138" s="500">
        <f>_xlfn.IFERROR(EN126/EN44*1000,0)</f>
        <v>0</v>
      </c>
      <c r="EO138" s="500">
        <f>_xlfn.IFERROR(EO126/EO44*1000,0)</f>
        <v>0</v>
      </c>
      <c r="EP138" s="500">
        <f>_xlfn.IFERROR(EP126/EP44*1000,0)</f>
        <v>0</v>
      </c>
      <c r="EQ138" s="500">
        <f>_xlfn.IFERROR(EQ126/EQ44*1000,0)</f>
        <v>0</v>
      </c>
      <c r="ER138" s="500">
        <f>_xlfn.IFERROR(ER126/ER44*1000,0)</f>
        <v>0</v>
      </c>
      <c r="ES138" s="500">
        <f>_xlfn.IFERROR(ES126/ES44*1000,0)</f>
        <v>0</v>
      </c>
      <c r="ET138" s="500">
        <f>_xlfn.IFERROR(ET126/ET44*1000,0)</f>
        <v>0</v>
      </c>
      <c r="EU138" s="500">
        <f>_xlfn.IFERROR(EU126/EU44*1000,0)</f>
        <v>0</v>
      </c>
      <c r="EV138" s="500">
        <f>_xlfn.IFERROR(EV126/EV44*1000,0)</f>
        <v>0</v>
      </c>
      <c r="EW138" s="500">
        <f>_xlfn.IFERROR(EW126/EW44*1000,0)</f>
        <v>0</v>
      </c>
      <c r="EX138" s="500">
        <f>_xlfn.IFERROR(EX126/EX44*1000,0)</f>
        <v>0</v>
      </c>
      <c r="EY138" s="500">
        <f>_xlfn.IFERROR(EY126/EY44*1000,0)</f>
        <v>0</v>
      </c>
      <c r="EZ138" s="500">
        <f>_xlfn.IFERROR(EZ126/EZ44*1000,0)</f>
        <v>0</v>
      </c>
      <c r="FA138" s="500">
        <f>_xlfn.IFERROR(FA126/FA44*1000,0)</f>
        <v>0</v>
      </c>
      <c r="FB138" s="83"/>
      <c r="FE138" s="489" t="s">
        <v>1006</v>
      </c>
      <c r="FK138" s="1157" cm="1" t="str">
        <f t="array" ref="FK138:FK138">OFFSET(FJ138,-1,1)</f>
        <v>0</v>
      </c>
      <c r="FL138" s="1159"/>
      <c r="FM138" s="1159"/>
      <c r="FN138" s="1159"/>
      <c r="FO138" s="1159"/>
      <c r="FP138" s="1159"/>
      <c r="FQ138" s="1159"/>
      <c r="FR138" s="1159"/>
      <c r="FS138" s="1159"/>
      <c r="FT138" s="1159"/>
      <c r="FU138" s="1159"/>
      <c r="FV138" s="1078" t="s">
        <v>883</v>
      </c>
      <c r="FW138" s="1159"/>
      <c r="FX138" s="1078" t="s">
        <v>303</v>
      </c>
      <c r="FY138" s="1078" t="s">
        <v>1007</v>
      </c>
      <c r="FZ138" s="1078" t="s">
        <v>1008</v>
      </c>
    </row>
    <row s="1751" customFormat="1" customHeight="1" ht="16.5">
      <c r="A139" s="371"/>
      <c r="B139" s="1548"/>
      <c r="C139" s="1548"/>
      <c r="D139" s="1548"/>
      <c r="E139" s="180">
        <v>17</v>
      </c>
      <c r="F139" s="175" cm="1" t="str">
        <f t="array" ref="F139:F139">Y139</f>
        <v>1</v>
      </c>
      <c r="G139" s="193" cm="1" t="str">
        <f t="array" ref="G139:G139">INDEX('Общие сведения'!$AE$169:$AE$202,MATCH($F139,'Общие сведения'!$Y$169:$Y$202,0))</f>
        <v>Теплоснабжение</v>
      </c>
      <c r="H139" s="193" cm="1" t="str">
        <f t="array" ref="H139:H139">INDEX('Общие сведения'!$AK$169:$AK$202,MATCH($F139,'Общие сведения'!$Y$169:$Y$202,0))</f>
        <v>одноставочный</v>
      </c>
      <c r="I139" s="193" cm="1" t="str">
        <f t="array" ref="I139:I139">INDEX('Общие сведения'!$AH$169:$AH$202,MATCH($F139,'Общие сведения'!$Y$169:$Y$202,0))</f>
        <v>0</v>
      </c>
      <c r="J139" s="193" cm="1" t="str">
        <f t="array" ref="J139:J139">INDEX('Общие сведения'!$AI$169:$AI$202,MATCH($F139,'Общие сведения'!$Y$169:$Y$202,0))</f>
        <v>вода</v>
      </c>
      <c r="K139" s="193" cm="1" t="str">
        <f t="array" ref="K139:K139">INDEX('Общие сведения'!$AJ$169:$AJ$202,MATCH($F139,'Общие сведения'!$Y$169:$Y$202,0))</f>
        <v>Доп. признак не требуется</v>
      </c>
      <c r="L139" s="193" cm="1" t="str">
        <f t="array" ref="L139:L139">INDEX('Общие сведения'!$AN$169:$AN$202,MATCH($F139,'Общие сведения'!$Y$169:$Y$202,0))</f>
        <v>false</v>
      </c>
      <c r="M139" s="1659"/>
      <c r="N139" s="1659"/>
      <c r="O139" s="1659"/>
      <c r="P139" s="1659"/>
      <c r="Q139" s="1659"/>
      <c r="R139" s="1548"/>
      <c r="S139" s="175">
        <f>Y139&gt;0</f>
        <v>1</v>
      </c>
      <c r="T139" s="1548"/>
      <c r="U139" s="753">
        <f>AND(S139,IF(ISBLANK(T139),TRUE,T139))</f>
        <v>1</v>
      </c>
      <c r="V139" s="1548"/>
      <c r="W139" s="175" cm="1" t="str">
        <f t="array" ref="W139:W139">'Баланс Тр'!$AB$35</f>
        <v>Тариф 1 (Теплоснабжение) - Тариф на тепловую энергию (мощность), поставляемую потребителям (Доп. признак не требуется)</v>
      </c>
      <c r="X139" s="1548"/>
      <c r="Y139" s="1644" t="s">
        <v>308</v>
      </c>
      <c r="Z139" s="1548"/>
      <c r="AA139" s="1009"/>
      <c r="AB139" s="435" cm="1" t="str">
        <f t="array" ref="AB139:AB139">IF(ISBLANK('Баланс Тр'!$AB$35),"",'Баланс Тр'!$AB$35)</f>
        <v>Тариф 1 (Теплоснабжение) - Тариф на тепловую энергию (мощность), поставляемую потребителям (Доп. признак не требуется)</v>
      </c>
      <c r="AC139" s="435"/>
      <c r="AD139" s="319"/>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335"/>
      <c r="DI139" s="335"/>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1751"/>
      <c r="FD139" s="1506"/>
      <c r="FE139" s="489" t="str">
        <f>IF(AND(ISNUMBER(VALUE(TRIM(SUBSTITUTE(AD139,".","")))),TRIM(SUBSTITUTE(AD139,".",""))&lt;&gt;""),"P"&amp;SUBSTITUTE(AD139,".",""),"")</f>
        <v/>
      </c>
      <c r="FF139" s="648"/>
      <c r="FG139" s="648"/>
      <c r="FH139" s="648"/>
      <c r="FI139" s="649"/>
      <c r="FJ139" s="649"/>
      <c r="FK139" s="1751"/>
      <c r="FL139" s="1158"/>
      <c r="FM139" s="1158"/>
      <c r="FN139" s="1158"/>
      <c r="FO139" s="1158"/>
      <c r="FP139" s="1158"/>
      <c r="FQ139" s="1158"/>
      <c r="FR139" s="1158"/>
      <c r="FS139" s="1158"/>
      <c r="FT139" s="1158"/>
      <c r="FU139" s="1158"/>
      <c r="FV139" s="1158"/>
      <c r="FW139" s="1158"/>
      <c r="FX139" s="1158"/>
      <c r="FY139" s="1158"/>
      <c r="FZ139" s="1158"/>
    </row>
    <row s="1751" customFormat="1" customHeight="1" ht="16.5" hidden="1">
      <c r="A140" s="371"/>
      <c r="B140" s="1548"/>
      <c r="C140" s="1548"/>
      <c r="D140" s="1548"/>
      <c r="E140" s="180">
        <v>17</v>
      </c>
      <c r="F140" s="175" cm="1" t="str">
        <f t="array" ref="F140:F140">OFFSET(G140,-1,-1)</f>
        <v>1</v>
      </c>
      <c r="G140" s="1659"/>
      <c r="H140" s="1659"/>
      <c r="I140" s="1659"/>
      <c r="J140" s="1659"/>
      <c r="K140" s="1659"/>
      <c r="L140" s="175" cm="1" t="str">
        <f t="array" ref="L140:L140">OFFSET(M140,-1,-1)</f>
        <v>false</v>
      </c>
      <c r="M140" s="1659"/>
      <c r="N140" s="1659"/>
      <c r="O140" s="1659"/>
      <c r="P140" s="1659"/>
      <c r="Q140" s="1659"/>
      <c r="R140" s="175" t="s">
        <v>804</v>
      </c>
      <c r="S140" s="175" cm="1" t="str">
        <f t="array" ref="S140:S140">OFFSET(T140,-1,-1)</f>
        <v>true</v>
      </c>
      <c r="T140" s="175" cm="1" t="str">
        <f t="array" ref="T140:T140">L140</f>
        <v>false</v>
      </c>
      <c r="U140" s="753">
        <f>AND(S140,IF(ISBLANK(T140),TRUE,T140))</f>
        <v>0</v>
      </c>
      <c r="V140" s="1548"/>
      <c r="W140" s="1548"/>
      <c r="X140" s="1548"/>
      <c r="Y140" s="1548"/>
      <c r="Z140" s="1548"/>
      <c r="AA140" s="1009"/>
      <c r="AB140" s="1645" t="s">
        <v>805</v>
      </c>
      <c r="AC140" s="1751"/>
      <c r="AD140" s="491">
        <v>1</v>
      </c>
      <c r="AE140" s="1619" t="s">
        <v>806</v>
      </c>
      <c r="AF140" s="496"/>
      <c r="AG140" s="491" t="s">
        <v>807</v>
      </c>
      <c r="AH140" s="88"/>
      <c r="AI140" s="89"/>
      <c r="AJ140" s="89"/>
      <c r="AK140" s="89"/>
      <c r="AL140" s="499">
        <f>AM140+AN140</f>
        <v>0</v>
      </c>
      <c r="AM140" s="89"/>
      <c r="AN140" s="89"/>
      <c r="AO140" s="499">
        <f>AP140+AQ140</f>
        <v>0</v>
      </c>
      <c r="AP140" s="89"/>
      <c r="AQ140" s="89"/>
      <c r="AR140" s="499">
        <f>AS140+AT140</f>
        <v>0</v>
      </c>
      <c r="AS140" s="89"/>
      <c r="AT140" s="89"/>
      <c r="AU140" s="499">
        <f>AV140+AW140</f>
        <v>0</v>
      </c>
      <c r="AV140" s="89"/>
      <c r="AW140" s="89"/>
      <c r="AX140" s="499">
        <f>AY140+AZ140</f>
        <v>0</v>
      </c>
      <c r="AY140" s="89"/>
      <c r="AZ140" s="89"/>
      <c r="BA140" s="499">
        <f>BB140+BC140</f>
        <v>0</v>
      </c>
      <c r="BB140" s="89"/>
      <c r="BC140" s="89"/>
      <c r="BD140" s="499">
        <f>BE140+BF140</f>
        <v>0</v>
      </c>
      <c r="BE140" s="89"/>
      <c r="BF140" s="89"/>
      <c r="BG140" s="499">
        <f>BH140+BI140</f>
        <v>0</v>
      </c>
      <c r="BH140" s="89"/>
      <c r="BI140" s="89"/>
      <c r="BJ140" s="499">
        <f>BK140+BL140</f>
        <v>0</v>
      </c>
      <c r="BK140" s="89"/>
      <c r="BL140" s="89"/>
      <c r="BM140" s="499">
        <f>BN140+BO140</f>
        <v>0</v>
      </c>
      <c r="BN140" s="89"/>
      <c r="BO140" s="89"/>
      <c r="BP140" s="499">
        <f>BQ140+BR140</f>
        <v>0</v>
      </c>
      <c r="BQ140" s="89"/>
      <c r="BR140" s="89"/>
      <c r="BS140" s="499">
        <f>BT140+BU140</f>
        <v>0</v>
      </c>
      <c r="BT140" s="89"/>
      <c r="BU140" s="89"/>
      <c r="BV140" s="499">
        <f>BW140+BX140</f>
        <v>0</v>
      </c>
      <c r="BW140" s="89"/>
      <c r="BX140" s="89"/>
      <c r="BY140" s="499">
        <f>BZ140+CA140</f>
        <v>0</v>
      </c>
      <c r="BZ140" s="89"/>
      <c r="CA140" s="89"/>
      <c r="CB140" s="499">
        <f>CC140+CD140</f>
        <v>0</v>
      </c>
      <c r="CC140" s="89"/>
      <c r="CD140" s="89"/>
      <c r="CE140" s="499">
        <f>CF140+CG140</f>
        <v>0</v>
      </c>
      <c r="CF140" s="89"/>
      <c r="CG140" s="89"/>
      <c r="CH140" s="499">
        <f>CI140+CJ140</f>
        <v>0</v>
      </c>
      <c r="CI140" s="89"/>
      <c r="CJ140" s="89"/>
      <c r="CK140" s="499">
        <f>CL140+CM140</f>
        <v>0</v>
      </c>
      <c r="CL140" s="89"/>
      <c r="CM140" s="89"/>
      <c r="CN140" s="499">
        <f>CO140+CP140</f>
        <v>0</v>
      </c>
      <c r="CO140" s="89"/>
      <c r="CP140" s="89"/>
      <c r="CQ140" s="499">
        <f>CR140+CS140</f>
        <v>0</v>
      </c>
      <c r="CR140" s="89"/>
      <c r="CS140" s="89"/>
      <c r="CT140" s="499">
        <f>CU140+CV140</f>
        <v>0</v>
      </c>
      <c r="CU140" s="498"/>
      <c r="CV140" s="498"/>
      <c r="CW140" s="499">
        <f>CX140+CY140</f>
        <v>0</v>
      </c>
      <c r="CX140" s="89"/>
      <c r="CY140" s="89"/>
      <c r="CZ140" s="499">
        <f>DA140+DB140</f>
        <v>0</v>
      </c>
      <c r="DA140" s="89"/>
      <c r="DB140" s="89"/>
      <c r="DC140" s="499">
        <f>DD140+DE140</f>
        <v>0</v>
      </c>
      <c r="DD140" s="89"/>
      <c r="DE140" s="89"/>
      <c r="DF140" s="499">
        <f>DG140+DH140</f>
        <v>0</v>
      </c>
      <c r="DG140" s="89"/>
      <c r="DH140" s="89"/>
      <c r="DI140" s="499">
        <f>DJ140+DK140</f>
        <v>0</v>
      </c>
      <c r="DJ140" s="89"/>
      <c r="DK140" s="89"/>
      <c r="DL140" s="499">
        <f>DM140+DN140</f>
        <v>0</v>
      </c>
      <c r="DM140" s="89"/>
      <c r="DN140" s="89"/>
      <c r="DO140" s="499">
        <f>DP140+DQ140</f>
        <v>0</v>
      </c>
      <c r="DP140" s="89"/>
      <c r="DQ140" s="89"/>
      <c r="DR140" s="499">
        <f>DS140+DT140</f>
        <v>0</v>
      </c>
      <c r="DS140" s="89"/>
      <c r="DT140" s="89"/>
      <c r="DU140" s="499">
        <f>DV140+DW140</f>
        <v>0</v>
      </c>
      <c r="DV140" s="89"/>
      <c r="DW140" s="89"/>
      <c r="DX140" s="499">
        <f>DY140+DZ140</f>
        <v>0</v>
      </c>
      <c r="DY140" s="89"/>
      <c r="DZ140" s="89"/>
      <c r="EA140" s="499">
        <f>EB140+EC140</f>
        <v>0</v>
      </c>
      <c r="EB140" s="89"/>
      <c r="EC140" s="89"/>
      <c r="ED140" s="499">
        <f>EE140+EF140</f>
        <v>0</v>
      </c>
      <c r="EE140" s="89"/>
      <c r="EF140" s="89"/>
      <c r="EG140" s="499">
        <f>EH140+EI140</f>
        <v>0</v>
      </c>
      <c r="EH140" s="89"/>
      <c r="EI140" s="89"/>
      <c r="EJ140" s="499">
        <f>EK140+EL140</f>
        <v>0</v>
      </c>
      <c r="EK140" s="89"/>
      <c r="EL140" s="89"/>
      <c r="EM140" s="499">
        <f>EN140+EO140</f>
        <v>0</v>
      </c>
      <c r="EN140" s="89"/>
      <c r="EO140" s="89"/>
      <c r="EP140" s="499">
        <f>EQ140+ER140</f>
        <v>0</v>
      </c>
      <c r="EQ140" s="89"/>
      <c r="ER140" s="89"/>
      <c r="ES140" s="499">
        <f>ET140+EU140</f>
        <v>0</v>
      </c>
      <c r="ET140" s="89"/>
      <c r="EU140" s="89"/>
      <c r="EV140" s="499">
        <f>EW140+EX140</f>
        <v>0</v>
      </c>
      <c r="EW140" s="89"/>
      <c r="EX140" s="89"/>
      <c r="EY140" s="499">
        <f>EZ140+FA140</f>
        <v>0</v>
      </c>
      <c r="EZ140" s="89"/>
      <c r="FA140" s="89"/>
      <c r="FB140" s="83"/>
      <c r="FC140" s="1751"/>
      <c r="FD140" s="1506"/>
      <c r="FE140" s="489" t="s">
        <v>808</v>
      </c>
      <c r="FF140" s="648"/>
      <c r="FG140" s="648"/>
      <c r="FH140" s="648"/>
      <c r="FI140" s="649"/>
      <c r="FJ140" s="649"/>
      <c r="FK140" s="1157" cm="1" t="str">
        <f t="array" ref="FK140:FK140">INDEX('Общие сведения'!$N$170:$N$202,MATCH($F140,'Общие сведения'!$Y$170:$Y$202,0)+1)</f>
        <v>ТЭ.42.31656254.0001</v>
      </c>
      <c r="FL140" s="1159"/>
      <c r="FM140" s="1159"/>
      <c r="FN140" s="1159"/>
      <c r="FO140" s="1159"/>
      <c r="FP140" s="1159"/>
      <c r="FQ140" s="1159"/>
      <c r="FR140" s="1159"/>
      <c r="FS140" s="1159"/>
      <c r="FT140" s="1159"/>
      <c r="FU140" s="1159"/>
      <c r="FV140" s="1078" t="s">
        <v>219</v>
      </c>
      <c r="FW140" s="1159"/>
      <c r="FX140" s="1078" t="s">
        <v>303</v>
      </c>
      <c r="FY140" s="1078" t="s">
        <v>809</v>
      </c>
      <c r="FZ140" s="1078" t="s">
        <v>810</v>
      </c>
    </row>
    <row s="1751" customFormat="1" customHeight="1" ht="16.5" hidden="1">
      <c r="A141" s="371"/>
      <c r="B141" s="1548"/>
      <c r="C141" s="1548"/>
      <c r="D141" s="1548"/>
      <c r="E141" s="180">
        <v>17</v>
      </c>
      <c r="F141" s="175" cm="1" t="str">
        <f t="array" ref="F141:F141">OFFSET(G141,-1,-1)</f>
        <v>1</v>
      </c>
      <c r="G141" s="1659"/>
      <c r="H141" s="1659"/>
      <c r="I141" s="1659"/>
      <c r="J141" s="1659"/>
      <c r="K141" s="1659"/>
      <c r="L141" s="175" cm="1" t="str">
        <f t="array" ref="L141:L141">OFFSET(M141,-1,-1)</f>
        <v>false</v>
      </c>
      <c r="M141" s="1659"/>
      <c r="N141" s="1659"/>
      <c r="O141" s="1659"/>
      <c r="P141" s="1659"/>
      <c r="Q141" s="1659"/>
      <c r="R141" s="175" t="s">
        <v>804</v>
      </c>
      <c r="S141" s="175" cm="1" t="str">
        <f t="array" ref="S141:S141">OFFSET(T141,-1,-1)</f>
        <v>true</v>
      </c>
      <c r="T141" s="175" cm="1" t="str">
        <f t="array" ref="T141:T141">T140</f>
        <v>false</v>
      </c>
      <c r="U141" s="753">
        <f>AND(S141,IF(ISBLANK(T141),TRUE,T141))</f>
        <v>0</v>
      </c>
      <c r="V141" s="1548"/>
      <c r="W141" s="1548"/>
      <c r="X141" s="1548"/>
      <c r="Y141" s="1548"/>
      <c r="Z141" s="1548"/>
      <c r="AA141" s="1009"/>
      <c r="AB141" s="1646"/>
      <c r="AC141" s="1751"/>
      <c r="AD141" s="491">
        <v>2</v>
      </c>
      <c r="AE141" s="1619" t="s">
        <v>811</v>
      </c>
      <c r="AF141" s="496"/>
      <c r="AG141" s="491" t="s">
        <v>807</v>
      </c>
      <c r="AH141" s="500">
        <f>AH142+AH144</f>
        <v>0</v>
      </c>
      <c r="AI141" s="499">
        <f>AI142+AI144</f>
        <v>0</v>
      </c>
      <c r="AJ141" s="499">
        <f>AJ142+AJ144</f>
        <v>0</v>
      </c>
      <c r="AK141" s="499">
        <f>AK142+AK144</f>
        <v>0</v>
      </c>
      <c r="AL141" s="499">
        <f>AL142+AL144</f>
        <v>0</v>
      </c>
      <c r="AM141" s="499">
        <f>AM142+AM144</f>
        <v>0</v>
      </c>
      <c r="AN141" s="499">
        <f>AN142+AN144</f>
        <v>0</v>
      </c>
      <c r="AO141" s="499">
        <f>AO142+AO144</f>
        <v>0</v>
      </c>
      <c r="AP141" s="499">
        <f>AP142+AP144</f>
        <v>0</v>
      </c>
      <c r="AQ141" s="499">
        <f>AQ142+AQ144</f>
        <v>0</v>
      </c>
      <c r="AR141" s="499">
        <f>AR142+AR144</f>
        <v>0</v>
      </c>
      <c r="AS141" s="499">
        <f>AS142+AS144</f>
        <v>0</v>
      </c>
      <c r="AT141" s="499">
        <f>AT142+AT144</f>
        <v>0</v>
      </c>
      <c r="AU141" s="499">
        <f>AU142+AU144</f>
        <v>0</v>
      </c>
      <c r="AV141" s="499">
        <f>AV142+AV144</f>
        <v>0</v>
      </c>
      <c r="AW141" s="499">
        <f>AW142+AW144</f>
        <v>0</v>
      </c>
      <c r="AX141" s="499">
        <f>AX142+AX144</f>
        <v>0</v>
      </c>
      <c r="AY141" s="499">
        <f>AY142+AY144</f>
        <v>0</v>
      </c>
      <c r="AZ141" s="499">
        <f>AZ142+AZ144</f>
        <v>0</v>
      </c>
      <c r="BA141" s="499">
        <f>BA142+BA144</f>
        <v>0</v>
      </c>
      <c r="BB141" s="499">
        <f>BB142+BB144</f>
        <v>0</v>
      </c>
      <c r="BC141" s="499">
        <f>BC142+BC144</f>
        <v>0</v>
      </c>
      <c r="BD141" s="499">
        <f>BD142+BD144</f>
        <v>0</v>
      </c>
      <c r="BE141" s="499">
        <f>BE142+BE144</f>
        <v>0</v>
      </c>
      <c r="BF141" s="499">
        <f>BF142+BF144</f>
        <v>0</v>
      </c>
      <c r="BG141" s="499">
        <f>BG142+BG144</f>
        <v>0</v>
      </c>
      <c r="BH141" s="499">
        <f>BH142+BH144</f>
        <v>0</v>
      </c>
      <c r="BI141" s="499">
        <f>BI142+BI144</f>
        <v>0</v>
      </c>
      <c r="BJ141" s="499">
        <f>BJ142+BJ144</f>
        <v>0</v>
      </c>
      <c r="BK141" s="499">
        <f>BK142+BK144</f>
        <v>0</v>
      </c>
      <c r="BL141" s="499">
        <f>BL142+BL144</f>
        <v>0</v>
      </c>
      <c r="BM141" s="499">
        <f>BM142+BM144</f>
        <v>0</v>
      </c>
      <c r="BN141" s="499">
        <f>BN142+BN144</f>
        <v>0</v>
      </c>
      <c r="BO141" s="499">
        <f>BO142+BO144</f>
        <v>0</v>
      </c>
      <c r="BP141" s="499">
        <f>BP142+BP144</f>
        <v>0</v>
      </c>
      <c r="BQ141" s="499">
        <f>BQ142+BQ144</f>
        <v>0</v>
      </c>
      <c r="BR141" s="499">
        <f>BR142+BR144</f>
        <v>0</v>
      </c>
      <c r="BS141" s="499">
        <f>BS142+BS144</f>
        <v>0</v>
      </c>
      <c r="BT141" s="499">
        <f>BT142+BT144</f>
        <v>0</v>
      </c>
      <c r="BU141" s="499">
        <f>BU142+BU144</f>
        <v>0</v>
      </c>
      <c r="BV141" s="499">
        <f>BV142+BV144</f>
        <v>0</v>
      </c>
      <c r="BW141" s="499">
        <f>BW142+BW144</f>
        <v>0</v>
      </c>
      <c r="BX141" s="499">
        <f>BX142+BX144</f>
        <v>0</v>
      </c>
      <c r="BY141" s="499">
        <f>BY142+BY144</f>
        <v>0</v>
      </c>
      <c r="BZ141" s="499">
        <f>BZ142+BZ144</f>
        <v>0</v>
      </c>
      <c r="CA141" s="499">
        <f>CA142+CA144</f>
        <v>0</v>
      </c>
      <c r="CB141" s="499">
        <f>CB142+CB144</f>
        <v>0</v>
      </c>
      <c r="CC141" s="499">
        <f>CC142+CC144</f>
        <v>0</v>
      </c>
      <c r="CD141" s="499">
        <f>CD142+CD144</f>
        <v>0</v>
      </c>
      <c r="CE141" s="499">
        <f>CE142+CE144</f>
        <v>0</v>
      </c>
      <c r="CF141" s="499">
        <f>CF142+CF144</f>
        <v>0</v>
      </c>
      <c r="CG141" s="499">
        <f>CG142+CG144</f>
        <v>0</v>
      </c>
      <c r="CH141" s="499">
        <f>CH142+CH144</f>
        <v>0</v>
      </c>
      <c r="CI141" s="499">
        <f>CI142+CI144</f>
        <v>0</v>
      </c>
      <c r="CJ141" s="499">
        <f>CJ142+CJ144</f>
        <v>0</v>
      </c>
      <c r="CK141" s="499">
        <f>CK142+CK144</f>
        <v>0</v>
      </c>
      <c r="CL141" s="499">
        <f>CL142+CL144</f>
        <v>0</v>
      </c>
      <c r="CM141" s="499">
        <f>CM142+CM144</f>
        <v>0</v>
      </c>
      <c r="CN141" s="499">
        <f>CN142+CN144</f>
        <v>0</v>
      </c>
      <c r="CO141" s="499">
        <f>CO142+CO144</f>
        <v>0</v>
      </c>
      <c r="CP141" s="499">
        <f>CP142+CP144</f>
        <v>0</v>
      </c>
      <c r="CQ141" s="499">
        <f>CQ142+CQ144</f>
        <v>0</v>
      </c>
      <c r="CR141" s="499">
        <f>CR142+CR144</f>
        <v>0</v>
      </c>
      <c r="CS141" s="499">
        <f>CS142+CS144</f>
        <v>0</v>
      </c>
      <c r="CT141" s="499">
        <f>CT142+CT144</f>
        <v>0</v>
      </c>
      <c r="CU141" s="499">
        <f>CU142+CU144</f>
        <v>0</v>
      </c>
      <c r="CV141" s="499">
        <f>CV142+CV144</f>
        <v>0</v>
      </c>
      <c r="CW141" s="499">
        <f>CW142+CW144</f>
        <v>0</v>
      </c>
      <c r="CX141" s="499">
        <f>CX142+CX144</f>
        <v>0</v>
      </c>
      <c r="CY141" s="499">
        <f>CY142+CY144</f>
        <v>0</v>
      </c>
      <c r="CZ141" s="499">
        <f>CZ142+CZ144</f>
        <v>0</v>
      </c>
      <c r="DA141" s="499">
        <f>DA142+DA144</f>
        <v>0</v>
      </c>
      <c r="DB141" s="499">
        <f>DB142+DB144</f>
        <v>0</v>
      </c>
      <c r="DC141" s="499">
        <f>DC142+DC144</f>
        <v>0</v>
      </c>
      <c r="DD141" s="499">
        <f>DD142+DD144</f>
        <v>0</v>
      </c>
      <c r="DE141" s="499">
        <f>DE142+DE144</f>
        <v>0</v>
      </c>
      <c r="DF141" s="499">
        <f>DF142+DF144</f>
        <v>0</v>
      </c>
      <c r="DG141" s="499">
        <f>DG142+DG144</f>
        <v>0</v>
      </c>
      <c r="DH141" s="499">
        <f>DH142+DH144</f>
        <v>0</v>
      </c>
      <c r="DI141" s="499">
        <f>DI142+DI144</f>
        <v>0</v>
      </c>
      <c r="DJ141" s="499">
        <f>DJ142+DJ144</f>
        <v>0</v>
      </c>
      <c r="DK141" s="499">
        <f>DK142+DK144</f>
        <v>0</v>
      </c>
      <c r="DL141" s="499">
        <f>DL142+DL144</f>
        <v>0</v>
      </c>
      <c r="DM141" s="499">
        <f>DM142+DM144</f>
        <v>0</v>
      </c>
      <c r="DN141" s="499">
        <f>DN142+DN144</f>
        <v>0</v>
      </c>
      <c r="DO141" s="499">
        <f>DO142+DO144</f>
        <v>0</v>
      </c>
      <c r="DP141" s="499">
        <f>DP142+DP144</f>
        <v>0</v>
      </c>
      <c r="DQ141" s="499">
        <f>DQ142+DQ144</f>
        <v>0</v>
      </c>
      <c r="DR141" s="499">
        <f>DR142+DR144</f>
        <v>0</v>
      </c>
      <c r="DS141" s="499">
        <f>DS142+DS144</f>
        <v>0</v>
      </c>
      <c r="DT141" s="499">
        <f>DT142+DT144</f>
        <v>0</v>
      </c>
      <c r="DU141" s="499">
        <f>DU142+DU144</f>
        <v>0</v>
      </c>
      <c r="DV141" s="499">
        <f>DV142+DV144</f>
        <v>0</v>
      </c>
      <c r="DW141" s="499">
        <f>DW142+DW144</f>
        <v>0</v>
      </c>
      <c r="DX141" s="499">
        <f>DX142+DX144</f>
        <v>0</v>
      </c>
      <c r="DY141" s="499">
        <f>DY142+DY144</f>
        <v>0</v>
      </c>
      <c r="DZ141" s="499">
        <f>DZ142+DZ144</f>
        <v>0</v>
      </c>
      <c r="EA141" s="499">
        <f>EA142+EA144</f>
        <v>0</v>
      </c>
      <c r="EB141" s="499">
        <f>EB142+EB144</f>
        <v>0</v>
      </c>
      <c r="EC141" s="499">
        <f>EC142+EC144</f>
        <v>0</v>
      </c>
      <c r="ED141" s="499">
        <f>ED142+ED144</f>
        <v>0</v>
      </c>
      <c r="EE141" s="499">
        <f>EE142+EE144</f>
        <v>0</v>
      </c>
      <c r="EF141" s="499">
        <f>EF142+EF144</f>
        <v>0</v>
      </c>
      <c r="EG141" s="499">
        <f>EG142+EG144</f>
        <v>0</v>
      </c>
      <c r="EH141" s="499">
        <f>EH142+EH144</f>
        <v>0</v>
      </c>
      <c r="EI141" s="499">
        <f>EI142+EI144</f>
        <v>0</v>
      </c>
      <c r="EJ141" s="499">
        <f>EJ142+EJ144</f>
        <v>0</v>
      </c>
      <c r="EK141" s="499">
        <f>EK142+EK144</f>
        <v>0</v>
      </c>
      <c r="EL141" s="499">
        <f>EL142+EL144</f>
        <v>0</v>
      </c>
      <c r="EM141" s="499">
        <f>EM142+EM144</f>
        <v>0</v>
      </c>
      <c r="EN141" s="499">
        <f>EN142+EN144</f>
        <v>0</v>
      </c>
      <c r="EO141" s="499">
        <f>EO142+EO144</f>
        <v>0</v>
      </c>
      <c r="EP141" s="499">
        <f>EP142+EP144</f>
        <v>0</v>
      </c>
      <c r="EQ141" s="499">
        <f>EQ142+EQ144</f>
        <v>0</v>
      </c>
      <c r="ER141" s="499">
        <f>ER142+ER144</f>
        <v>0</v>
      </c>
      <c r="ES141" s="499">
        <f>ES142+ES144</f>
        <v>0</v>
      </c>
      <c r="ET141" s="499">
        <f>ET142+ET144</f>
        <v>0</v>
      </c>
      <c r="EU141" s="499">
        <f>EU142+EU144</f>
        <v>0</v>
      </c>
      <c r="EV141" s="499">
        <f>EV142+EV144</f>
        <v>0</v>
      </c>
      <c r="EW141" s="499">
        <f>EW142+EW144</f>
        <v>0</v>
      </c>
      <c r="EX141" s="499">
        <f>EX142+EX144</f>
        <v>0</v>
      </c>
      <c r="EY141" s="499">
        <f>EY142+EY144</f>
        <v>0</v>
      </c>
      <c r="EZ141" s="499">
        <f>EZ142+EZ144</f>
        <v>0</v>
      </c>
      <c r="FA141" s="499">
        <f>FA142+FA144</f>
        <v>0</v>
      </c>
      <c r="FB141" s="83"/>
      <c r="FC141" s="1751"/>
      <c r="FD141" s="1506"/>
      <c r="FE141" s="489" t="s">
        <v>812</v>
      </c>
      <c r="FF141" s="648"/>
      <c r="FG141" s="648"/>
      <c r="FH141" s="648"/>
      <c r="FI141" s="649"/>
      <c r="FJ141" s="649"/>
      <c r="FK141" s="1157" cm="1" t="str">
        <f t="array" ref="FK141:FK141">OFFSET(FJ141,-1,1)</f>
        <v>ТЭ.42.31656254.0001</v>
      </c>
      <c r="FL141" s="1078" t="s">
        <v>518</v>
      </c>
      <c r="FM141" s="1159"/>
      <c r="FN141" s="1159"/>
      <c r="FO141" s="1159"/>
      <c r="FP141" s="1159"/>
      <c r="FQ141" s="1159"/>
      <c r="FR141" s="1159"/>
      <c r="FS141" s="1159"/>
      <c r="FT141" s="1159"/>
      <c r="FU141" s="1159"/>
      <c r="FV141" s="1078" t="s">
        <v>219</v>
      </c>
      <c r="FW141" s="1159"/>
      <c r="FX141" s="1078" t="s">
        <v>303</v>
      </c>
      <c r="FY141" s="1078" t="s">
        <v>813</v>
      </c>
      <c r="FZ141" s="1078" t="s">
        <v>814</v>
      </c>
    </row>
    <row s="1751" customFormat="1" customHeight="1" ht="16.5" hidden="1">
      <c r="A142" s="371"/>
      <c r="B142" s="1548"/>
      <c r="C142" s="1548"/>
      <c r="D142" s="1548"/>
      <c r="E142" s="180">
        <v>17</v>
      </c>
      <c r="F142" s="175" cm="1" t="str">
        <f t="array" ref="F142:F142">OFFSET(G142,-1,-1)</f>
        <v>1</v>
      </c>
      <c r="G142" s="1659"/>
      <c r="H142" s="1659"/>
      <c r="I142" s="1659"/>
      <c r="J142" s="1659"/>
      <c r="K142" s="1659"/>
      <c r="L142" s="175" cm="1" t="str">
        <f t="array" ref="L142:L142">OFFSET(M142,-1,-1)</f>
        <v>false</v>
      </c>
      <c r="M142" s="1659"/>
      <c r="N142" s="1659"/>
      <c r="O142" s="1659"/>
      <c r="P142" s="1659"/>
      <c r="Q142" s="1659"/>
      <c r="R142" s="175" t="s">
        <v>804</v>
      </c>
      <c r="S142" s="175" cm="1" t="str">
        <f t="array" ref="S142:S142">OFFSET(T142,-1,-1)</f>
        <v>true</v>
      </c>
      <c r="T142" s="175" cm="1" t="str">
        <f t="array" ref="T142:T142">T141</f>
        <v>false</v>
      </c>
      <c r="U142" s="753">
        <f>AND(S142,IF(ISBLANK(T142),TRUE,T142))</f>
        <v>0</v>
      </c>
      <c r="V142" s="1548"/>
      <c r="W142" s="1548"/>
      <c r="X142" s="1548"/>
      <c r="Y142" s="1548"/>
      <c r="Z142" s="1548"/>
      <c r="AA142" s="1009"/>
      <c r="AB142" s="1646"/>
      <c r="AC142" s="1751"/>
      <c r="AD142" s="491">
        <v>2.1</v>
      </c>
      <c r="AE142" s="1631" t="s">
        <v>815</v>
      </c>
      <c r="AF142" s="501"/>
      <c r="AG142" s="491" t="s">
        <v>807</v>
      </c>
      <c r="AH142" s="88"/>
      <c r="AI142" s="89"/>
      <c r="AJ142" s="89"/>
      <c r="AK142" s="89"/>
      <c r="AL142" s="499">
        <f>AM142+AN142</f>
        <v>0</v>
      </c>
      <c r="AM142" s="89"/>
      <c r="AN142" s="89"/>
      <c r="AO142" s="499">
        <f>AP142+AQ142</f>
        <v>0</v>
      </c>
      <c r="AP142" s="89"/>
      <c r="AQ142" s="89"/>
      <c r="AR142" s="499">
        <f>AS142+AT142</f>
        <v>0</v>
      </c>
      <c r="AS142" s="89"/>
      <c r="AT142" s="89"/>
      <c r="AU142" s="499">
        <f>AV142+AW142</f>
        <v>0</v>
      </c>
      <c r="AV142" s="89"/>
      <c r="AW142" s="89"/>
      <c r="AX142" s="499">
        <f>AY142+AZ142</f>
        <v>0</v>
      </c>
      <c r="AY142" s="89"/>
      <c r="AZ142" s="89"/>
      <c r="BA142" s="499">
        <f>BB142+BC142</f>
        <v>0</v>
      </c>
      <c r="BB142" s="89"/>
      <c r="BC142" s="89"/>
      <c r="BD142" s="499">
        <f>BE142+BF142</f>
        <v>0</v>
      </c>
      <c r="BE142" s="89"/>
      <c r="BF142" s="89"/>
      <c r="BG142" s="499">
        <f>BH142+BI142</f>
        <v>0</v>
      </c>
      <c r="BH142" s="89"/>
      <c r="BI142" s="89"/>
      <c r="BJ142" s="499">
        <f>BK142+BL142</f>
        <v>0</v>
      </c>
      <c r="BK142" s="89"/>
      <c r="BL142" s="89"/>
      <c r="BM142" s="499">
        <f>BN142+BO142</f>
        <v>0</v>
      </c>
      <c r="BN142" s="89"/>
      <c r="BO142" s="89"/>
      <c r="BP142" s="499">
        <f>BQ142+BR142</f>
        <v>0</v>
      </c>
      <c r="BQ142" s="89"/>
      <c r="BR142" s="89"/>
      <c r="BS142" s="499">
        <f>BT142+BU142</f>
        <v>0</v>
      </c>
      <c r="BT142" s="89"/>
      <c r="BU142" s="89"/>
      <c r="BV142" s="499">
        <f>BW142+BX142</f>
        <v>0</v>
      </c>
      <c r="BW142" s="89"/>
      <c r="BX142" s="89"/>
      <c r="BY142" s="499">
        <f>BZ142+CA142</f>
        <v>0</v>
      </c>
      <c r="BZ142" s="89"/>
      <c r="CA142" s="89"/>
      <c r="CB142" s="499">
        <f>CC142+CD142</f>
        <v>0</v>
      </c>
      <c r="CC142" s="89"/>
      <c r="CD142" s="89"/>
      <c r="CE142" s="499">
        <f>CF142+CG142</f>
        <v>0</v>
      </c>
      <c r="CF142" s="89"/>
      <c r="CG142" s="89"/>
      <c r="CH142" s="499">
        <f>CI142+CJ142</f>
        <v>0</v>
      </c>
      <c r="CI142" s="89"/>
      <c r="CJ142" s="89"/>
      <c r="CK142" s="499">
        <f>CL142+CM142</f>
        <v>0</v>
      </c>
      <c r="CL142" s="89"/>
      <c r="CM142" s="89"/>
      <c r="CN142" s="499">
        <f>CO142+CP142</f>
        <v>0</v>
      </c>
      <c r="CO142" s="89"/>
      <c r="CP142" s="89"/>
      <c r="CQ142" s="499">
        <f>CR142+CS142</f>
        <v>0</v>
      </c>
      <c r="CR142" s="89"/>
      <c r="CS142" s="89"/>
      <c r="CT142" s="499">
        <f>CU142+CV142</f>
        <v>0</v>
      </c>
      <c r="CU142" s="498"/>
      <c r="CV142" s="498"/>
      <c r="CW142" s="499">
        <f>CX142+CY142</f>
        <v>0</v>
      </c>
      <c r="CX142" s="89"/>
      <c r="CY142" s="89"/>
      <c r="CZ142" s="499">
        <f>DA142+DB142</f>
        <v>0</v>
      </c>
      <c r="DA142" s="89"/>
      <c r="DB142" s="89"/>
      <c r="DC142" s="499">
        <f>DD142+DE142</f>
        <v>0</v>
      </c>
      <c r="DD142" s="89"/>
      <c r="DE142" s="89"/>
      <c r="DF142" s="499">
        <f>DG142+DH142</f>
        <v>0</v>
      </c>
      <c r="DG142" s="89"/>
      <c r="DH142" s="89"/>
      <c r="DI142" s="499">
        <f>DJ142+DK142</f>
        <v>0</v>
      </c>
      <c r="DJ142" s="89"/>
      <c r="DK142" s="89"/>
      <c r="DL142" s="499">
        <f>DM142+DN142</f>
        <v>0</v>
      </c>
      <c r="DM142" s="89"/>
      <c r="DN142" s="89"/>
      <c r="DO142" s="499">
        <f>DP142+DQ142</f>
        <v>0</v>
      </c>
      <c r="DP142" s="89"/>
      <c r="DQ142" s="89"/>
      <c r="DR142" s="499">
        <f>DS142+DT142</f>
        <v>0</v>
      </c>
      <c r="DS142" s="89"/>
      <c r="DT142" s="89"/>
      <c r="DU142" s="499">
        <f>DV142+DW142</f>
        <v>0</v>
      </c>
      <c r="DV142" s="89"/>
      <c r="DW142" s="89"/>
      <c r="DX142" s="499">
        <f>DY142+DZ142</f>
        <v>0</v>
      </c>
      <c r="DY142" s="89"/>
      <c r="DZ142" s="89"/>
      <c r="EA142" s="499">
        <f>EB142+EC142</f>
        <v>0</v>
      </c>
      <c r="EB142" s="89"/>
      <c r="EC142" s="89"/>
      <c r="ED142" s="499">
        <f>EE142+EF142</f>
        <v>0</v>
      </c>
      <c r="EE142" s="89"/>
      <c r="EF142" s="89"/>
      <c r="EG142" s="499">
        <f>EH142+EI142</f>
        <v>0</v>
      </c>
      <c r="EH142" s="89"/>
      <c r="EI142" s="89"/>
      <c r="EJ142" s="499">
        <f>EK142+EL142</f>
        <v>0</v>
      </c>
      <c r="EK142" s="89"/>
      <c r="EL142" s="89"/>
      <c r="EM142" s="499">
        <f>EN142+EO142</f>
        <v>0</v>
      </c>
      <c r="EN142" s="89"/>
      <c r="EO142" s="89"/>
      <c r="EP142" s="499">
        <f>EQ142+ER142</f>
        <v>0</v>
      </c>
      <c r="EQ142" s="89"/>
      <c r="ER142" s="89"/>
      <c r="ES142" s="499">
        <f>ET142+EU142</f>
        <v>0</v>
      </c>
      <c r="ET142" s="89"/>
      <c r="EU142" s="89"/>
      <c r="EV142" s="499">
        <f>EW142+EX142</f>
        <v>0</v>
      </c>
      <c r="EW142" s="89"/>
      <c r="EX142" s="89"/>
      <c r="EY142" s="499">
        <f>EZ142+FA142</f>
        <v>0</v>
      </c>
      <c r="EZ142" s="89"/>
      <c r="FA142" s="89"/>
      <c r="FB142" s="83"/>
      <c r="FC142" s="1751"/>
      <c r="FD142" s="1506"/>
      <c r="FE142" s="489" t="s">
        <v>816</v>
      </c>
      <c r="FF142" s="648"/>
      <c r="FG142" s="648"/>
      <c r="FH142" s="648"/>
      <c r="FI142" s="649"/>
      <c r="FJ142" s="649"/>
      <c r="FK142" s="1157" cm="1" t="str">
        <f t="array" ref="FK142:FK142">OFFSET(FJ142,-1,1)</f>
        <v>ТЭ.42.31656254.0001</v>
      </c>
      <c r="FL142" s="1159"/>
      <c r="FM142" s="1078" t="s">
        <v>817</v>
      </c>
      <c r="FN142" s="1159"/>
      <c r="FO142" s="1159"/>
      <c r="FP142" s="1159"/>
      <c r="FQ142" s="1159"/>
      <c r="FR142" s="1159"/>
      <c r="FS142" s="1159"/>
      <c r="FT142" s="1159"/>
      <c r="FU142" s="1159"/>
      <c r="FV142" s="1078" t="s">
        <v>219</v>
      </c>
      <c r="FW142" s="1159"/>
      <c r="FX142" s="1078" t="s">
        <v>303</v>
      </c>
      <c r="FY142" s="1078" t="s">
        <v>813</v>
      </c>
      <c r="FZ142" s="1078" t="s">
        <v>814</v>
      </c>
    </row>
    <row s="1751" customFormat="1" customHeight="1" ht="16.5" hidden="1">
      <c r="A143" s="371"/>
      <c r="B143" s="1548"/>
      <c r="C143" s="1548"/>
      <c r="D143" s="1548"/>
      <c r="E143" s="180">
        <v>17</v>
      </c>
      <c r="F143" s="175" cm="1" t="str">
        <f t="array" ref="F143:F143">OFFSET(G143,-1,-1)</f>
        <v>1</v>
      </c>
      <c r="G143" s="1659"/>
      <c r="H143" s="1659"/>
      <c r="I143" s="1659"/>
      <c r="J143" s="1659"/>
      <c r="K143" s="1659"/>
      <c r="L143" s="175" cm="1" t="str">
        <f t="array" ref="L143:L143">OFFSET(M143,-1,-1)</f>
        <v>false</v>
      </c>
      <c r="M143" s="1659"/>
      <c r="N143" s="1659"/>
      <c r="O143" s="1659"/>
      <c r="P143" s="1659"/>
      <c r="Q143" s="1659"/>
      <c r="R143" s="175" t="s">
        <v>804</v>
      </c>
      <c r="S143" s="175" cm="1" t="str">
        <f t="array" ref="S143:S143">OFFSET(T143,-1,-1)</f>
        <v>true</v>
      </c>
      <c r="T143" s="175" cm="1" t="str">
        <f t="array" ref="T143:T143">T142</f>
        <v>false</v>
      </c>
      <c r="U143" s="753">
        <f>AND(S143,IF(ISBLANK(T143),TRUE,T143))</f>
        <v>0</v>
      </c>
      <c r="V143" s="1548"/>
      <c r="W143" s="1548"/>
      <c r="X143" s="1548"/>
      <c r="Y143" s="1548"/>
      <c r="Z143" s="1548"/>
      <c r="AA143" s="1009"/>
      <c r="AB143" s="1646"/>
      <c r="AC143" s="1751"/>
      <c r="AD143" s="491" t="s">
        <v>437</v>
      </c>
      <c r="AE143" s="1636" t="s">
        <v>818</v>
      </c>
      <c r="AF143" s="502"/>
      <c r="AG143" s="491" t="s">
        <v>495</v>
      </c>
      <c r="AH143" s="503">
        <f>_xlfn.IFERROR(AH142/AH140,0)</f>
        <v>0</v>
      </c>
      <c r="AI143" s="504">
        <f>_xlfn.IFERROR(AI142/AI140,0)</f>
        <v>0</v>
      </c>
      <c r="AJ143" s="504">
        <f>_xlfn.IFERROR(AJ142/AJ140,0)</f>
        <v>0</v>
      </c>
      <c r="AK143" s="504">
        <f>_xlfn.IFERROR(AK142/AK140,0)</f>
        <v>0</v>
      </c>
      <c r="AL143" s="504">
        <f>_xlfn.IFERROR(AL142/AL140,0)</f>
        <v>0</v>
      </c>
      <c r="AM143" s="504">
        <f>_xlfn.IFERROR(AM142/AM140,0)</f>
        <v>0</v>
      </c>
      <c r="AN143" s="504">
        <f>_xlfn.IFERROR(AN142/AN140,0)</f>
        <v>0</v>
      </c>
      <c r="AO143" s="504">
        <f>_xlfn.IFERROR(AO142/AO140,0)</f>
        <v>0</v>
      </c>
      <c r="AP143" s="504">
        <f>_xlfn.IFERROR(AP142/AP140,0)</f>
        <v>0</v>
      </c>
      <c r="AQ143" s="504">
        <f>_xlfn.IFERROR(AQ142/AQ140,0)</f>
        <v>0</v>
      </c>
      <c r="AR143" s="504">
        <f>_xlfn.IFERROR(AR142/AR140,0)</f>
        <v>0</v>
      </c>
      <c r="AS143" s="504">
        <f>_xlfn.IFERROR(AS142/AS140,0)</f>
        <v>0</v>
      </c>
      <c r="AT143" s="504">
        <f>_xlfn.IFERROR(AT142/AT140,0)</f>
        <v>0</v>
      </c>
      <c r="AU143" s="504">
        <f>_xlfn.IFERROR(AU142/AU140,0)</f>
        <v>0</v>
      </c>
      <c r="AV143" s="504">
        <f>_xlfn.IFERROR(AV142/AV140,0)</f>
        <v>0</v>
      </c>
      <c r="AW143" s="504">
        <f>_xlfn.IFERROR(AW142/AW140,0)</f>
        <v>0</v>
      </c>
      <c r="AX143" s="504">
        <f>_xlfn.IFERROR(AX142/AX140,0)</f>
        <v>0</v>
      </c>
      <c r="AY143" s="504">
        <f>_xlfn.IFERROR(AY142/AY140,0)</f>
        <v>0</v>
      </c>
      <c r="AZ143" s="504">
        <f>_xlfn.IFERROR(AZ142/AZ140,0)</f>
        <v>0</v>
      </c>
      <c r="BA143" s="504">
        <f>_xlfn.IFERROR(BA142/BA140,0)</f>
        <v>0</v>
      </c>
      <c r="BB143" s="504">
        <f>_xlfn.IFERROR(BB142/BB140,0)</f>
        <v>0</v>
      </c>
      <c r="BC143" s="504">
        <f>_xlfn.IFERROR(BC142/BC140,0)</f>
        <v>0</v>
      </c>
      <c r="BD143" s="504">
        <f>_xlfn.IFERROR(BD142/BD140,0)</f>
        <v>0</v>
      </c>
      <c r="BE143" s="504">
        <f>_xlfn.IFERROR(BE142/BE140,0)</f>
        <v>0</v>
      </c>
      <c r="BF143" s="504">
        <f>_xlfn.IFERROR(BF142/BF140,0)</f>
        <v>0</v>
      </c>
      <c r="BG143" s="504">
        <f>_xlfn.IFERROR(BG142/BG140,0)</f>
        <v>0</v>
      </c>
      <c r="BH143" s="504">
        <f>_xlfn.IFERROR(BH142/BH140,0)</f>
        <v>0</v>
      </c>
      <c r="BI143" s="504">
        <f>_xlfn.IFERROR(BI142/BI140,0)</f>
        <v>0</v>
      </c>
      <c r="BJ143" s="504">
        <f>_xlfn.IFERROR(BJ142/BJ140,0)</f>
        <v>0</v>
      </c>
      <c r="BK143" s="504">
        <f>_xlfn.IFERROR(BK142/BK140,0)</f>
        <v>0</v>
      </c>
      <c r="BL143" s="504">
        <f>_xlfn.IFERROR(BL142/BL140,0)</f>
        <v>0</v>
      </c>
      <c r="BM143" s="504">
        <f>_xlfn.IFERROR(BM142/BM140,0)</f>
        <v>0</v>
      </c>
      <c r="BN143" s="504">
        <f>_xlfn.IFERROR(BN142/BN140,0)</f>
        <v>0</v>
      </c>
      <c r="BO143" s="504">
        <f>_xlfn.IFERROR(BO142/BO140,0)</f>
        <v>0</v>
      </c>
      <c r="BP143" s="504">
        <f>_xlfn.IFERROR(BP142/BP140,0)</f>
        <v>0</v>
      </c>
      <c r="BQ143" s="504">
        <f>_xlfn.IFERROR(BQ142/BQ140,0)</f>
        <v>0</v>
      </c>
      <c r="BR143" s="504">
        <f>_xlfn.IFERROR(BR142/BR140,0)</f>
        <v>0</v>
      </c>
      <c r="BS143" s="504">
        <f>_xlfn.IFERROR(BS142/BS140,0)</f>
        <v>0</v>
      </c>
      <c r="BT143" s="504">
        <f>_xlfn.IFERROR(BT142/BT140,0)</f>
        <v>0</v>
      </c>
      <c r="BU143" s="504">
        <f>_xlfn.IFERROR(BU142/BU140,0)</f>
        <v>0</v>
      </c>
      <c r="BV143" s="504">
        <f>_xlfn.IFERROR(BV142/BV140,0)</f>
        <v>0</v>
      </c>
      <c r="BW143" s="504">
        <f>_xlfn.IFERROR(BW142/BW140,0)</f>
        <v>0</v>
      </c>
      <c r="BX143" s="504">
        <f>_xlfn.IFERROR(BX142/BX140,0)</f>
        <v>0</v>
      </c>
      <c r="BY143" s="504">
        <f>_xlfn.IFERROR(BY142/BY140,0)</f>
        <v>0</v>
      </c>
      <c r="BZ143" s="504">
        <f>_xlfn.IFERROR(BZ142/BZ140,0)</f>
        <v>0</v>
      </c>
      <c r="CA143" s="504">
        <f>_xlfn.IFERROR(CA142/CA140,0)</f>
        <v>0</v>
      </c>
      <c r="CB143" s="504">
        <f>_xlfn.IFERROR(CB142/CB140,0)</f>
        <v>0</v>
      </c>
      <c r="CC143" s="504">
        <f>_xlfn.IFERROR(CC142/CC140,0)</f>
        <v>0</v>
      </c>
      <c r="CD143" s="504">
        <f>_xlfn.IFERROR(CD142/CD140,0)</f>
        <v>0</v>
      </c>
      <c r="CE143" s="504">
        <f>_xlfn.IFERROR(CE142/CE140,0)</f>
        <v>0</v>
      </c>
      <c r="CF143" s="504">
        <f>_xlfn.IFERROR(CF142/CF140,0)</f>
        <v>0</v>
      </c>
      <c r="CG143" s="504">
        <f>_xlfn.IFERROR(CG142/CG140,0)</f>
        <v>0</v>
      </c>
      <c r="CH143" s="504">
        <f>_xlfn.IFERROR(CH142/CH140,0)</f>
        <v>0</v>
      </c>
      <c r="CI143" s="504">
        <f>_xlfn.IFERROR(CI142/CI140,0)</f>
        <v>0</v>
      </c>
      <c r="CJ143" s="504">
        <f>_xlfn.IFERROR(CJ142/CJ140,0)</f>
        <v>0</v>
      </c>
      <c r="CK143" s="504">
        <f>_xlfn.IFERROR(CK142/CK140,0)</f>
        <v>0</v>
      </c>
      <c r="CL143" s="504">
        <f>_xlfn.IFERROR(CL142/CL140,0)</f>
        <v>0</v>
      </c>
      <c r="CM143" s="504">
        <f>_xlfn.IFERROR(CM142/CM140,0)</f>
        <v>0</v>
      </c>
      <c r="CN143" s="504">
        <f>_xlfn.IFERROR(CN142/CN140,0)</f>
        <v>0</v>
      </c>
      <c r="CO143" s="504">
        <f>_xlfn.IFERROR(CO142/CO140,0)</f>
        <v>0</v>
      </c>
      <c r="CP143" s="504">
        <f>_xlfn.IFERROR(CP142/CP140,0)</f>
        <v>0</v>
      </c>
      <c r="CQ143" s="504">
        <f>_xlfn.IFERROR(CQ142/CQ140,0)</f>
        <v>0</v>
      </c>
      <c r="CR143" s="504">
        <f>_xlfn.IFERROR(CR142/CR140,0)</f>
        <v>0</v>
      </c>
      <c r="CS143" s="504">
        <f>_xlfn.IFERROR(CS142/CS140,0)</f>
        <v>0</v>
      </c>
      <c r="CT143" s="504">
        <f>_xlfn.IFERROR(CT142/CT140,0)</f>
        <v>0</v>
      </c>
      <c r="CU143" s="504">
        <f>_xlfn.IFERROR(CU142/CU140,0)</f>
        <v>0</v>
      </c>
      <c r="CV143" s="504">
        <f>_xlfn.IFERROR(CV142/CV140,0)</f>
        <v>0</v>
      </c>
      <c r="CW143" s="504">
        <f>_xlfn.IFERROR(CW142/CW140,0)</f>
        <v>0</v>
      </c>
      <c r="CX143" s="504">
        <f>_xlfn.IFERROR(CX142/CX140,0)</f>
        <v>0</v>
      </c>
      <c r="CY143" s="504">
        <f>_xlfn.IFERROR(CY142/CY140,0)</f>
        <v>0</v>
      </c>
      <c r="CZ143" s="504">
        <f>_xlfn.IFERROR(CZ142/CZ140,0)</f>
        <v>0</v>
      </c>
      <c r="DA143" s="504">
        <f>_xlfn.IFERROR(DA142/DA140,0)</f>
        <v>0</v>
      </c>
      <c r="DB143" s="504">
        <f>_xlfn.IFERROR(DB142/DB140,0)</f>
        <v>0</v>
      </c>
      <c r="DC143" s="504">
        <f>_xlfn.IFERROR(DC142/DC140,0)</f>
        <v>0</v>
      </c>
      <c r="DD143" s="504">
        <f>_xlfn.IFERROR(DD142/DD140,0)</f>
        <v>0</v>
      </c>
      <c r="DE143" s="504">
        <f>_xlfn.IFERROR(DE142/DE140,0)</f>
        <v>0</v>
      </c>
      <c r="DF143" s="504">
        <f>_xlfn.IFERROR(DF142/DF140,0)</f>
        <v>0</v>
      </c>
      <c r="DG143" s="504">
        <f>_xlfn.IFERROR(DG142/DG140,0)</f>
        <v>0</v>
      </c>
      <c r="DH143" s="504">
        <f>_xlfn.IFERROR(DH142/DH140,0)</f>
        <v>0</v>
      </c>
      <c r="DI143" s="504">
        <f>_xlfn.IFERROR(DI142/DI140,0)</f>
        <v>0</v>
      </c>
      <c r="DJ143" s="504">
        <f>_xlfn.IFERROR(DJ142/DJ140,0)</f>
        <v>0</v>
      </c>
      <c r="DK143" s="504">
        <f>_xlfn.IFERROR(DK142/DK140,0)</f>
        <v>0</v>
      </c>
      <c r="DL143" s="504">
        <f>_xlfn.IFERROR(DL142/DL140,0)</f>
        <v>0</v>
      </c>
      <c r="DM143" s="504">
        <f>_xlfn.IFERROR(DM142/DM140,0)</f>
        <v>0</v>
      </c>
      <c r="DN143" s="504">
        <f>_xlfn.IFERROR(DN142/DN140,0)</f>
        <v>0</v>
      </c>
      <c r="DO143" s="504">
        <f>_xlfn.IFERROR(DO142/DO140,0)</f>
        <v>0</v>
      </c>
      <c r="DP143" s="504">
        <f>_xlfn.IFERROR(DP142/DP140,0)</f>
        <v>0</v>
      </c>
      <c r="DQ143" s="504">
        <f>_xlfn.IFERROR(DQ142/DQ140,0)</f>
        <v>0</v>
      </c>
      <c r="DR143" s="504">
        <f>_xlfn.IFERROR(DR142/DR140,0)</f>
        <v>0</v>
      </c>
      <c r="DS143" s="504">
        <f>_xlfn.IFERROR(DS142/DS140,0)</f>
        <v>0</v>
      </c>
      <c r="DT143" s="504">
        <f>_xlfn.IFERROR(DT142/DT140,0)</f>
        <v>0</v>
      </c>
      <c r="DU143" s="504">
        <f>_xlfn.IFERROR(DU142/DU140,0)</f>
        <v>0</v>
      </c>
      <c r="DV143" s="504">
        <f>_xlfn.IFERROR(DV142/DV140,0)</f>
        <v>0</v>
      </c>
      <c r="DW143" s="504">
        <f>_xlfn.IFERROR(DW142/DW140,0)</f>
        <v>0</v>
      </c>
      <c r="DX143" s="504">
        <f>_xlfn.IFERROR(DX142/DX140,0)</f>
        <v>0</v>
      </c>
      <c r="DY143" s="504">
        <f>_xlfn.IFERROR(DY142/DY140,0)</f>
        <v>0</v>
      </c>
      <c r="DZ143" s="504">
        <f>_xlfn.IFERROR(DZ142/DZ140,0)</f>
        <v>0</v>
      </c>
      <c r="EA143" s="504">
        <f>_xlfn.IFERROR(EA142/EA140,0)</f>
        <v>0</v>
      </c>
      <c r="EB143" s="504">
        <f>_xlfn.IFERROR(EB142/EB140,0)</f>
        <v>0</v>
      </c>
      <c r="EC143" s="504">
        <f>_xlfn.IFERROR(EC142/EC140,0)</f>
        <v>0</v>
      </c>
      <c r="ED143" s="504">
        <f>_xlfn.IFERROR(ED142/ED140,0)</f>
        <v>0</v>
      </c>
      <c r="EE143" s="504">
        <f>_xlfn.IFERROR(EE142/EE140,0)</f>
        <v>0</v>
      </c>
      <c r="EF143" s="504">
        <f>_xlfn.IFERROR(EF142/EF140,0)</f>
        <v>0</v>
      </c>
      <c r="EG143" s="504">
        <f>_xlfn.IFERROR(EG142/EG140,0)</f>
        <v>0</v>
      </c>
      <c r="EH143" s="504">
        <f>_xlfn.IFERROR(EH142/EH140,0)</f>
        <v>0</v>
      </c>
      <c r="EI143" s="504">
        <f>_xlfn.IFERROR(EI142/EI140,0)</f>
        <v>0</v>
      </c>
      <c r="EJ143" s="504">
        <f>_xlfn.IFERROR(EJ142/EJ140,0)</f>
        <v>0</v>
      </c>
      <c r="EK143" s="504">
        <f>_xlfn.IFERROR(EK142/EK140,0)</f>
        <v>0</v>
      </c>
      <c r="EL143" s="504">
        <f>_xlfn.IFERROR(EL142/EL140,0)</f>
        <v>0</v>
      </c>
      <c r="EM143" s="504">
        <f>_xlfn.IFERROR(EM142/EM140,0)</f>
        <v>0</v>
      </c>
      <c r="EN143" s="504">
        <f>_xlfn.IFERROR(EN142/EN140,0)</f>
        <v>0</v>
      </c>
      <c r="EO143" s="504">
        <f>_xlfn.IFERROR(EO142/EO140,0)</f>
        <v>0</v>
      </c>
      <c r="EP143" s="504">
        <f>_xlfn.IFERROR(EP142/EP140,0)</f>
        <v>0</v>
      </c>
      <c r="EQ143" s="504">
        <f>_xlfn.IFERROR(EQ142/EQ140,0)</f>
        <v>0</v>
      </c>
      <c r="ER143" s="504">
        <f>_xlfn.IFERROR(ER142/ER140,0)</f>
        <v>0</v>
      </c>
      <c r="ES143" s="504">
        <f>_xlfn.IFERROR(ES142/ES140,0)</f>
        <v>0</v>
      </c>
      <c r="ET143" s="504">
        <f>_xlfn.IFERROR(ET142/ET140,0)</f>
        <v>0</v>
      </c>
      <c r="EU143" s="504">
        <f>_xlfn.IFERROR(EU142/EU140,0)</f>
        <v>0</v>
      </c>
      <c r="EV143" s="504">
        <f>_xlfn.IFERROR(EV142/EV140,0)</f>
        <v>0</v>
      </c>
      <c r="EW143" s="504">
        <f>_xlfn.IFERROR(EW142/EW140,0)</f>
        <v>0</v>
      </c>
      <c r="EX143" s="504">
        <f>_xlfn.IFERROR(EX142/EX140,0)</f>
        <v>0</v>
      </c>
      <c r="EY143" s="504">
        <f>_xlfn.IFERROR(EY142/EY140,0)</f>
        <v>0</v>
      </c>
      <c r="EZ143" s="504">
        <f>_xlfn.IFERROR(EZ142/EZ140,0)</f>
        <v>0</v>
      </c>
      <c r="FA143" s="504">
        <f>_xlfn.IFERROR(FA142/FA140,0)</f>
        <v>0</v>
      </c>
      <c r="FB143" s="83"/>
      <c r="FC143" s="1751"/>
      <c r="FD143" s="1506"/>
      <c r="FE143" s="489" t="s">
        <v>819</v>
      </c>
      <c r="FF143" s="648"/>
      <c r="FG143" s="648"/>
      <c r="FH143" s="648"/>
      <c r="FI143" s="649"/>
      <c r="FJ143" s="649"/>
      <c r="FK143" s="1157" cm="1" t="str">
        <f t="array" ref="FK143:FK143">OFFSET(FJ143,-1,1)</f>
        <v>ТЭ.42.31656254.0001</v>
      </c>
      <c r="FL143" s="1159"/>
      <c r="FM143" s="1078" t="s">
        <v>817</v>
      </c>
      <c r="FN143" s="1159"/>
      <c r="FO143" s="1159"/>
      <c r="FP143" s="1159"/>
      <c r="FQ143" s="1159"/>
      <c r="FR143" s="1159"/>
      <c r="FS143" s="1159"/>
      <c r="FT143" s="1159"/>
      <c r="FU143" s="1159"/>
      <c r="FV143" s="1078" t="s">
        <v>255</v>
      </c>
      <c r="FW143" s="1159"/>
      <c r="FX143" s="1078" t="s">
        <v>303</v>
      </c>
      <c r="FY143" s="1078" t="s">
        <v>820</v>
      </c>
      <c r="FZ143" s="1078" t="s">
        <v>821</v>
      </c>
    </row>
    <row s="1751" customFormat="1" customHeight="1" ht="16.5" hidden="1">
      <c r="A144" s="371"/>
      <c r="B144" s="1548"/>
      <c r="C144" s="1548"/>
      <c r="D144" s="1548"/>
      <c r="E144" s="180">
        <v>17</v>
      </c>
      <c r="F144" s="175" cm="1" t="str">
        <f t="array" ref="F144:F144">OFFSET(G144,-1,-1)</f>
        <v>1</v>
      </c>
      <c r="G144" s="1659"/>
      <c r="H144" s="1659"/>
      <c r="I144" s="1659"/>
      <c r="J144" s="1659"/>
      <c r="K144" s="1659"/>
      <c r="L144" s="175" cm="1" t="str">
        <f t="array" ref="L144:L144">OFFSET(M144,-1,-1)</f>
        <v>false</v>
      </c>
      <c r="M144" s="1659"/>
      <c r="N144" s="1659"/>
      <c r="O144" s="1659"/>
      <c r="P144" s="1659"/>
      <c r="Q144" s="1659"/>
      <c r="R144" s="175" t="s">
        <v>804</v>
      </c>
      <c r="S144" s="175" cm="1" t="str">
        <f t="array" ref="S144:S144">OFFSET(T144,-1,-1)</f>
        <v>true</v>
      </c>
      <c r="T144" s="175" cm="1" t="str">
        <f t="array" ref="T144:T144">T143</f>
        <v>false</v>
      </c>
      <c r="U144" s="753">
        <f>AND(S144,IF(ISBLANK(T144),TRUE,T144))</f>
        <v>0</v>
      </c>
      <c r="V144" s="1548"/>
      <c r="W144" s="1548"/>
      <c r="X144" s="1548"/>
      <c r="Y144" s="1548"/>
      <c r="Z144" s="1548"/>
      <c r="AA144" s="1009"/>
      <c r="AB144" s="1646"/>
      <c r="AC144" s="1751"/>
      <c r="AD144" s="491">
        <v>2.2</v>
      </c>
      <c r="AE144" s="1631" t="s">
        <v>822</v>
      </c>
      <c r="AF144" s="501"/>
      <c r="AG144" s="491" t="s">
        <v>807</v>
      </c>
      <c r="AH144" s="88"/>
      <c r="AI144" s="89"/>
      <c r="AJ144" s="89"/>
      <c r="AK144" s="89"/>
      <c r="AL144" s="499">
        <f>AM144+AN144</f>
        <v>0</v>
      </c>
      <c r="AM144" s="89"/>
      <c r="AN144" s="89"/>
      <c r="AO144" s="499">
        <f>AP144+AQ144</f>
        <v>0</v>
      </c>
      <c r="AP144" s="89"/>
      <c r="AQ144" s="89"/>
      <c r="AR144" s="499">
        <f>AS144+AT144</f>
        <v>0</v>
      </c>
      <c r="AS144" s="89"/>
      <c r="AT144" s="89"/>
      <c r="AU144" s="499">
        <f>AV144+AW144</f>
        <v>0</v>
      </c>
      <c r="AV144" s="89"/>
      <c r="AW144" s="89"/>
      <c r="AX144" s="499">
        <f>AY144+AZ144</f>
        <v>0</v>
      </c>
      <c r="AY144" s="89"/>
      <c r="AZ144" s="89"/>
      <c r="BA144" s="499">
        <f>BB144+BC144</f>
        <v>0</v>
      </c>
      <c r="BB144" s="89"/>
      <c r="BC144" s="89"/>
      <c r="BD144" s="499">
        <f>BE144+BF144</f>
        <v>0</v>
      </c>
      <c r="BE144" s="89"/>
      <c r="BF144" s="89"/>
      <c r="BG144" s="499">
        <f>BH144+BI144</f>
        <v>0</v>
      </c>
      <c r="BH144" s="89"/>
      <c r="BI144" s="89"/>
      <c r="BJ144" s="499">
        <f>BK144+BL144</f>
        <v>0</v>
      </c>
      <c r="BK144" s="89"/>
      <c r="BL144" s="89"/>
      <c r="BM144" s="499">
        <f>BN144+BO144</f>
        <v>0</v>
      </c>
      <c r="BN144" s="89"/>
      <c r="BO144" s="89"/>
      <c r="BP144" s="499">
        <f>BQ144+BR144</f>
        <v>0</v>
      </c>
      <c r="BQ144" s="89"/>
      <c r="BR144" s="89"/>
      <c r="BS144" s="499">
        <f>BT144+BU144</f>
        <v>0</v>
      </c>
      <c r="BT144" s="89"/>
      <c r="BU144" s="89"/>
      <c r="BV144" s="499">
        <f>BW144+BX144</f>
        <v>0</v>
      </c>
      <c r="BW144" s="89"/>
      <c r="BX144" s="89"/>
      <c r="BY144" s="499">
        <f>BZ144+CA144</f>
        <v>0</v>
      </c>
      <c r="BZ144" s="89"/>
      <c r="CA144" s="89"/>
      <c r="CB144" s="499">
        <f>CC144+CD144</f>
        <v>0</v>
      </c>
      <c r="CC144" s="89"/>
      <c r="CD144" s="89"/>
      <c r="CE144" s="499">
        <f>CF144+CG144</f>
        <v>0</v>
      </c>
      <c r="CF144" s="89"/>
      <c r="CG144" s="89"/>
      <c r="CH144" s="499">
        <f>CI144+CJ144</f>
        <v>0</v>
      </c>
      <c r="CI144" s="89"/>
      <c r="CJ144" s="89"/>
      <c r="CK144" s="499">
        <f>CL144+CM144</f>
        <v>0</v>
      </c>
      <c r="CL144" s="89"/>
      <c r="CM144" s="89"/>
      <c r="CN144" s="499">
        <f>CO144+CP144</f>
        <v>0</v>
      </c>
      <c r="CO144" s="89"/>
      <c r="CP144" s="89"/>
      <c r="CQ144" s="499">
        <f>CR144+CS144</f>
        <v>0</v>
      </c>
      <c r="CR144" s="89"/>
      <c r="CS144" s="89"/>
      <c r="CT144" s="499">
        <f>CU144+CV144</f>
        <v>0</v>
      </c>
      <c r="CU144" s="498"/>
      <c r="CV144" s="498"/>
      <c r="CW144" s="499">
        <f>CX144+CY144</f>
        <v>0</v>
      </c>
      <c r="CX144" s="89"/>
      <c r="CY144" s="89"/>
      <c r="CZ144" s="499">
        <f>DA144+DB144</f>
        <v>0</v>
      </c>
      <c r="DA144" s="89"/>
      <c r="DB144" s="89"/>
      <c r="DC144" s="499">
        <f>DD144+DE144</f>
        <v>0</v>
      </c>
      <c r="DD144" s="89"/>
      <c r="DE144" s="89"/>
      <c r="DF144" s="499">
        <f>DG144+DH144</f>
        <v>0</v>
      </c>
      <c r="DG144" s="89"/>
      <c r="DH144" s="89"/>
      <c r="DI144" s="499">
        <f>DJ144+DK144</f>
        <v>0</v>
      </c>
      <c r="DJ144" s="89"/>
      <c r="DK144" s="89"/>
      <c r="DL144" s="499">
        <f>DM144+DN144</f>
        <v>0</v>
      </c>
      <c r="DM144" s="89"/>
      <c r="DN144" s="89"/>
      <c r="DO144" s="499">
        <f>DP144+DQ144</f>
        <v>0</v>
      </c>
      <c r="DP144" s="89"/>
      <c r="DQ144" s="89"/>
      <c r="DR144" s="499">
        <f>DS144+DT144</f>
        <v>0</v>
      </c>
      <c r="DS144" s="89"/>
      <c r="DT144" s="89"/>
      <c r="DU144" s="499">
        <f>DV144+DW144</f>
        <v>0</v>
      </c>
      <c r="DV144" s="89"/>
      <c r="DW144" s="89"/>
      <c r="DX144" s="499">
        <f>DY144+DZ144</f>
        <v>0</v>
      </c>
      <c r="DY144" s="89"/>
      <c r="DZ144" s="89"/>
      <c r="EA144" s="499">
        <f>EB144+EC144</f>
        <v>0</v>
      </c>
      <c r="EB144" s="89"/>
      <c r="EC144" s="89"/>
      <c r="ED144" s="499">
        <f>EE144+EF144</f>
        <v>0</v>
      </c>
      <c r="EE144" s="89"/>
      <c r="EF144" s="89"/>
      <c r="EG144" s="499">
        <f>EH144+EI144</f>
        <v>0</v>
      </c>
      <c r="EH144" s="89"/>
      <c r="EI144" s="89"/>
      <c r="EJ144" s="499">
        <f>EK144+EL144</f>
        <v>0</v>
      </c>
      <c r="EK144" s="89"/>
      <c r="EL144" s="89"/>
      <c r="EM144" s="499">
        <f>EN144+EO144</f>
        <v>0</v>
      </c>
      <c r="EN144" s="89"/>
      <c r="EO144" s="89"/>
      <c r="EP144" s="499">
        <f>EQ144+ER144</f>
        <v>0</v>
      </c>
      <c r="EQ144" s="89"/>
      <c r="ER144" s="89"/>
      <c r="ES144" s="499">
        <f>ET144+EU144</f>
        <v>0</v>
      </c>
      <c r="ET144" s="89"/>
      <c r="EU144" s="89"/>
      <c r="EV144" s="499">
        <f>EW144+EX144</f>
        <v>0</v>
      </c>
      <c r="EW144" s="89"/>
      <c r="EX144" s="89"/>
      <c r="EY144" s="499">
        <f>EZ144+FA144</f>
        <v>0</v>
      </c>
      <c r="EZ144" s="89"/>
      <c r="FA144" s="89"/>
      <c r="FB144" s="83"/>
      <c r="FC144" s="1751"/>
      <c r="FD144" s="1506"/>
      <c r="FE144" s="489" t="s">
        <v>823</v>
      </c>
      <c r="FF144" s="648"/>
      <c r="FG144" s="648"/>
      <c r="FH144" s="648"/>
      <c r="FI144" s="649"/>
      <c r="FJ144" s="649"/>
      <c r="FK144" s="1157" cm="1" t="str">
        <f t="array" ref="FK144:FK144">OFFSET(FJ144,-1,1)</f>
        <v>ТЭ.42.31656254.0001</v>
      </c>
      <c r="FL144" s="1159"/>
      <c r="FM144" s="1078" t="s">
        <v>824</v>
      </c>
      <c r="FN144" s="1159"/>
      <c r="FO144" s="1159"/>
      <c r="FP144" s="1159"/>
      <c r="FQ144" s="1159"/>
      <c r="FR144" s="1159"/>
      <c r="FS144" s="1159"/>
      <c r="FT144" s="1159"/>
      <c r="FU144" s="1159"/>
      <c r="FV144" s="1078" t="s">
        <v>219</v>
      </c>
      <c r="FW144" s="1159"/>
      <c r="FX144" s="1078" t="s">
        <v>303</v>
      </c>
      <c r="FY144" s="1078" t="s">
        <v>813</v>
      </c>
      <c r="FZ144" s="1078" t="s">
        <v>814</v>
      </c>
    </row>
    <row s="1751" customFormat="1" customHeight="1" ht="16.5" hidden="1">
      <c r="A145" s="371"/>
      <c r="B145" s="1548"/>
      <c r="C145" s="1548"/>
      <c r="D145" s="1548"/>
      <c r="E145" s="180">
        <v>17</v>
      </c>
      <c r="F145" s="175" cm="1" t="str">
        <f t="array" ref="F145:F145">OFFSET(G145,-1,-1)</f>
        <v>1</v>
      </c>
      <c r="G145" s="1659"/>
      <c r="H145" s="1659"/>
      <c r="I145" s="1659"/>
      <c r="J145" s="1659"/>
      <c r="K145" s="1659"/>
      <c r="L145" s="175" cm="1" t="str">
        <f t="array" ref="L145:L145">OFFSET(M145,-1,-1)</f>
        <v>false</v>
      </c>
      <c r="M145" s="1659"/>
      <c r="N145" s="1659"/>
      <c r="O145" s="1659"/>
      <c r="P145" s="1659"/>
      <c r="Q145" s="1659"/>
      <c r="R145" s="175" t="s">
        <v>804</v>
      </c>
      <c r="S145" s="175" cm="1" t="str">
        <f t="array" ref="S145:S145">OFFSET(T145,-1,-1)</f>
        <v>true</v>
      </c>
      <c r="T145" s="175" cm="1" t="str">
        <f t="array" ref="T145:T145">T144</f>
        <v>false</v>
      </c>
      <c r="U145" s="753">
        <f>AND(S145,IF(ISBLANK(T145),TRUE,T145))</f>
        <v>0</v>
      </c>
      <c r="V145" s="1548"/>
      <c r="W145" s="1548"/>
      <c r="X145" s="1548"/>
      <c r="Y145" s="1548"/>
      <c r="Z145" s="1548"/>
      <c r="AA145" s="1009"/>
      <c r="AB145" s="1646"/>
      <c r="AC145" s="1751"/>
      <c r="AD145" s="491" t="s">
        <v>659</v>
      </c>
      <c r="AE145" s="1636" t="s">
        <v>825</v>
      </c>
      <c r="AF145" s="502"/>
      <c r="AG145" s="491" t="s">
        <v>826</v>
      </c>
      <c r="AH145" s="88"/>
      <c r="AI145" s="89"/>
      <c r="AJ145" s="89"/>
      <c r="AK145" s="89"/>
      <c r="AL145" s="89"/>
      <c r="AM145" s="89"/>
      <c r="AN145" s="89"/>
      <c r="AO145" s="89"/>
      <c r="AP145" s="89"/>
      <c r="AQ145" s="89"/>
      <c r="AR145" s="89"/>
      <c r="AS145" s="89"/>
      <c r="AT145" s="89"/>
      <c r="AU145" s="89"/>
      <c r="AV145" s="89"/>
      <c r="AW145" s="89"/>
      <c r="AX145" s="89"/>
      <c r="AY145" s="89"/>
      <c r="AZ145" s="89"/>
      <c r="BA145" s="89"/>
      <c r="BB145" s="89"/>
      <c r="BC145" s="89"/>
      <c r="BD145" s="89"/>
      <c r="BE145" s="89"/>
      <c r="BF145" s="89"/>
      <c r="BG145" s="89"/>
      <c r="BH145" s="89"/>
      <c r="BI145" s="89"/>
      <c r="BJ145" s="89"/>
      <c r="BK145" s="89"/>
      <c r="BL145" s="89"/>
      <c r="BM145" s="89"/>
      <c r="BN145" s="89"/>
      <c r="BO145" s="89"/>
      <c r="BP145" s="89"/>
      <c r="BQ145" s="89"/>
      <c r="BR145" s="89"/>
      <c r="BS145" s="89"/>
      <c r="BT145" s="89"/>
      <c r="BU145" s="89"/>
      <c r="BV145" s="89"/>
      <c r="BW145" s="89"/>
      <c r="BX145" s="89"/>
      <c r="BY145" s="89"/>
      <c r="BZ145" s="89"/>
      <c r="CA145" s="89"/>
      <c r="CB145" s="89"/>
      <c r="CC145" s="89"/>
      <c r="CD145" s="89"/>
      <c r="CE145" s="89"/>
      <c r="CF145" s="89"/>
      <c r="CG145" s="89"/>
      <c r="CH145" s="89"/>
      <c r="CI145" s="89"/>
      <c r="CJ145" s="89"/>
      <c r="CK145" s="89"/>
      <c r="CL145" s="89"/>
      <c r="CM145" s="89"/>
      <c r="CN145" s="89"/>
      <c r="CO145" s="89"/>
      <c r="CP145" s="89"/>
      <c r="CQ145" s="89"/>
      <c r="CR145" s="89"/>
      <c r="CS145" s="89"/>
      <c r="CT145" s="498"/>
      <c r="CU145" s="498"/>
      <c r="CV145" s="498"/>
      <c r="CW145" s="89"/>
      <c r="CX145" s="89"/>
      <c r="CY145" s="89"/>
      <c r="CZ145" s="89"/>
      <c r="DA145" s="89"/>
      <c r="DB145" s="89"/>
      <c r="DC145" s="89"/>
      <c r="DD145" s="89"/>
      <c r="DE145" s="89"/>
      <c r="DF145" s="89"/>
      <c r="DG145" s="89"/>
      <c r="DH145" s="89"/>
      <c r="DI145" s="89"/>
      <c r="DJ145" s="89"/>
      <c r="DK145" s="89"/>
      <c r="DL145" s="89"/>
      <c r="DM145" s="89"/>
      <c r="DN145" s="89"/>
      <c r="DO145" s="89"/>
      <c r="DP145" s="89"/>
      <c r="DQ145" s="89"/>
      <c r="DR145" s="89"/>
      <c r="DS145" s="89"/>
      <c r="DT145" s="89"/>
      <c r="DU145" s="89"/>
      <c r="DV145" s="89"/>
      <c r="DW145" s="89"/>
      <c r="DX145" s="89"/>
      <c r="DY145" s="89"/>
      <c r="DZ145" s="89"/>
      <c r="EA145" s="89"/>
      <c r="EB145" s="89"/>
      <c r="EC145" s="89"/>
      <c r="ED145" s="89"/>
      <c r="EE145" s="89"/>
      <c r="EF145" s="89"/>
      <c r="EG145" s="89"/>
      <c r="EH145" s="89"/>
      <c r="EI145" s="89"/>
      <c r="EJ145" s="89"/>
      <c r="EK145" s="89"/>
      <c r="EL145" s="89"/>
      <c r="EM145" s="89"/>
      <c r="EN145" s="89"/>
      <c r="EO145" s="89"/>
      <c r="EP145" s="89"/>
      <c r="EQ145" s="89"/>
      <c r="ER145" s="89"/>
      <c r="ES145" s="89"/>
      <c r="ET145" s="89"/>
      <c r="EU145" s="89"/>
      <c r="EV145" s="89"/>
      <c r="EW145" s="89"/>
      <c r="EX145" s="89"/>
      <c r="EY145" s="89"/>
      <c r="EZ145" s="89"/>
      <c r="FA145" s="89"/>
      <c r="FB145" s="83"/>
      <c r="FC145" s="1751"/>
      <c r="FD145" s="1506"/>
      <c r="FE145" s="489" t="s">
        <v>827</v>
      </c>
      <c r="FF145" s="648"/>
      <c r="FG145" s="648"/>
      <c r="FH145" s="648"/>
      <c r="FI145" s="649"/>
      <c r="FJ145" s="649"/>
      <c r="FK145" s="1157" cm="1" t="str">
        <f t="array" ref="FK145:FK145">OFFSET(FJ145,-1,1)</f>
        <v>ТЭ.42.31656254.0001</v>
      </c>
      <c r="FL145" s="1159"/>
      <c r="FM145" s="1078" t="s">
        <v>824</v>
      </c>
      <c r="FN145" s="1159"/>
      <c r="FO145" s="1159"/>
      <c r="FP145" s="1159"/>
      <c r="FQ145" s="1159"/>
      <c r="FR145" s="1159"/>
      <c r="FS145" s="1159"/>
      <c r="FT145" s="1159"/>
      <c r="FU145" s="1159"/>
      <c r="FV145" s="1078" t="s">
        <v>255</v>
      </c>
      <c r="FW145" s="1159"/>
      <c r="FX145" s="1078" t="s">
        <v>303</v>
      </c>
      <c r="FY145" s="1078" t="s">
        <v>828</v>
      </c>
      <c r="FZ145" s="1078" t="s">
        <v>829</v>
      </c>
    </row>
    <row s="1751" customFormat="1" customHeight="1" ht="16.5" hidden="1">
      <c r="A146" s="371"/>
      <c r="B146" s="1548"/>
      <c r="C146" s="1548"/>
      <c r="D146" s="1548"/>
      <c r="E146" s="180">
        <v>17</v>
      </c>
      <c r="F146" s="175" cm="1" t="str">
        <f t="array" ref="F146:F146">OFFSET(G146,-1,-1)</f>
        <v>1</v>
      </c>
      <c r="G146" s="1659"/>
      <c r="H146" s="1659"/>
      <c r="I146" s="1659"/>
      <c r="J146" s="1659"/>
      <c r="K146" s="1659"/>
      <c r="L146" s="175" cm="1" t="str">
        <f t="array" ref="L146:L146">OFFSET(M146,-1,-1)</f>
        <v>false</v>
      </c>
      <c r="M146" s="1659"/>
      <c r="N146" s="1659"/>
      <c r="O146" s="1659"/>
      <c r="P146" s="1659"/>
      <c r="Q146" s="1659"/>
      <c r="R146" s="175" t="s">
        <v>804</v>
      </c>
      <c r="S146" s="175" cm="1" t="str">
        <f t="array" ref="S146:S146">OFFSET(T146,-1,-1)</f>
        <v>true</v>
      </c>
      <c r="T146" s="175" cm="1" t="str">
        <f t="array" ref="T146:T146">T145</f>
        <v>false</v>
      </c>
      <c r="U146" s="753">
        <f>AND(S146,IF(ISBLANK(T146),TRUE,T146))</f>
        <v>0</v>
      </c>
      <c r="V146" s="1548"/>
      <c r="W146" s="1548"/>
      <c r="X146" s="1548"/>
      <c r="Y146" s="1548"/>
      <c r="Z146" s="1548"/>
      <c r="AA146" s="1009"/>
      <c r="AB146" s="1646"/>
      <c r="AC146" s="1751"/>
      <c r="AD146" s="491">
        <v>3</v>
      </c>
      <c r="AE146" s="1619" t="s">
        <v>830</v>
      </c>
      <c r="AF146" s="496"/>
      <c r="AG146" s="491" t="s">
        <v>807</v>
      </c>
      <c r="AH146" s="500">
        <f>AH140-AH141</f>
        <v>0</v>
      </c>
      <c r="AI146" s="499">
        <f>AI140-AI141</f>
        <v>0</v>
      </c>
      <c r="AJ146" s="499">
        <f>AJ140-AJ141</f>
        <v>0</v>
      </c>
      <c r="AK146" s="499">
        <f>AK140-AK141</f>
        <v>0</v>
      </c>
      <c r="AL146" s="499">
        <f>AL140-AL141</f>
        <v>0</v>
      </c>
      <c r="AM146" s="499">
        <f>AM140-AM141</f>
        <v>0</v>
      </c>
      <c r="AN146" s="499">
        <f>AN140-AN141</f>
        <v>0</v>
      </c>
      <c r="AO146" s="499">
        <f>AO140-AO141</f>
        <v>0</v>
      </c>
      <c r="AP146" s="499">
        <f>AP140-AP141</f>
        <v>0</v>
      </c>
      <c r="AQ146" s="499">
        <f>AQ140-AQ141</f>
        <v>0</v>
      </c>
      <c r="AR146" s="499">
        <f>AR140-AR141</f>
        <v>0</v>
      </c>
      <c r="AS146" s="499">
        <f>AS140-AS141</f>
        <v>0</v>
      </c>
      <c r="AT146" s="499">
        <f>AT140-AT141</f>
        <v>0</v>
      </c>
      <c r="AU146" s="499">
        <f>AU140-AU141</f>
        <v>0</v>
      </c>
      <c r="AV146" s="499">
        <f>AV140-AV141</f>
        <v>0</v>
      </c>
      <c r="AW146" s="499">
        <f>AW140-AW141</f>
        <v>0</v>
      </c>
      <c r="AX146" s="499">
        <f>AX140-AX141</f>
        <v>0</v>
      </c>
      <c r="AY146" s="499">
        <f>AY140-AY141</f>
        <v>0</v>
      </c>
      <c r="AZ146" s="499">
        <f>AZ140-AZ141</f>
        <v>0</v>
      </c>
      <c r="BA146" s="499">
        <f>BA140-BA141</f>
        <v>0</v>
      </c>
      <c r="BB146" s="499">
        <f>BB140-BB141</f>
        <v>0</v>
      </c>
      <c r="BC146" s="499">
        <f>BC140-BC141</f>
        <v>0</v>
      </c>
      <c r="BD146" s="499">
        <f>BD140-BD141</f>
        <v>0</v>
      </c>
      <c r="BE146" s="499">
        <f>BE140-BE141</f>
        <v>0</v>
      </c>
      <c r="BF146" s="499">
        <f>BF140-BF141</f>
        <v>0</v>
      </c>
      <c r="BG146" s="499">
        <f>BG140-BG141</f>
        <v>0</v>
      </c>
      <c r="BH146" s="499">
        <f>BH140-BH141</f>
        <v>0</v>
      </c>
      <c r="BI146" s="499">
        <f>BI140-BI141</f>
        <v>0</v>
      </c>
      <c r="BJ146" s="499">
        <f>BJ140-BJ141</f>
        <v>0</v>
      </c>
      <c r="BK146" s="499">
        <f>BK140-BK141</f>
        <v>0</v>
      </c>
      <c r="BL146" s="499">
        <f>BL140-BL141</f>
        <v>0</v>
      </c>
      <c r="BM146" s="499">
        <f>BM140-BM141</f>
        <v>0</v>
      </c>
      <c r="BN146" s="499">
        <f>BN140-BN141</f>
        <v>0</v>
      </c>
      <c r="BO146" s="499">
        <f>BO140-BO141</f>
        <v>0</v>
      </c>
      <c r="BP146" s="499">
        <f>BP140-BP141</f>
        <v>0</v>
      </c>
      <c r="BQ146" s="499">
        <f>BQ140-BQ141</f>
        <v>0</v>
      </c>
      <c r="BR146" s="499">
        <f>BR140-BR141</f>
        <v>0</v>
      </c>
      <c r="BS146" s="499">
        <f>BS140-BS141</f>
        <v>0</v>
      </c>
      <c r="BT146" s="499">
        <f>BT140-BT141</f>
        <v>0</v>
      </c>
      <c r="BU146" s="499">
        <f>BU140-BU141</f>
        <v>0</v>
      </c>
      <c r="BV146" s="499">
        <f>BV140-BV141</f>
        <v>0</v>
      </c>
      <c r="BW146" s="499">
        <f>BW140-BW141</f>
        <v>0</v>
      </c>
      <c r="BX146" s="499">
        <f>BX140-BX141</f>
        <v>0</v>
      </c>
      <c r="BY146" s="499">
        <f>BY140-BY141</f>
        <v>0</v>
      </c>
      <c r="BZ146" s="499">
        <f>BZ140-BZ141</f>
        <v>0</v>
      </c>
      <c r="CA146" s="499">
        <f>CA140-CA141</f>
        <v>0</v>
      </c>
      <c r="CB146" s="499">
        <f>CB140-CB141</f>
        <v>0</v>
      </c>
      <c r="CC146" s="499">
        <f>CC140-CC141</f>
        <v>0</v>
      </c>
      <c r="CD146" s="499">
        <f>CD140-CD141</f>
        <v>0</v>
      </c>
      <c r="CE146" s="499">
        <f>CE140-CE141</f>
        <v>0</v>
      </c>
      <c r="CF146" s="499">
        <f>CF140-CF141</f>
        <v>0</v>
      </c>
      <c r="CG146" s="499">
        <f>CG140-CG141</f>
        <v>0</v>
      </c>
      <c r="CH146" s="499">
        <f>CH140-CH141</f>
        <v>0</v>
      </c>
      <c r="CI146" s="499">
        <f>CI140-CI141</f>
        <v>0</v>
      </c>
      <c r="CJ146" s="499">
        <f>CJ140-CJ141</f>
        <v>0</v>
      </c>
      <c r="CK146" s="499">
        <f>CK140-CK141</f>
        <v>0</v>
      </c>
      <c r="CL146" s="499">
        <f>CL140-CL141</f>
        <v>0</v>
      </c>
      <c r="CM146" s="499">
        <f>CM140-CM141</f>
        <v>0</v>
      </c>
      <c r="CN146" s="499">
        <f>CN140-CN141</f>
        <v>0</v>
      </c>
      <c r="CO146" s="499">
        <f>CO140-CO141</f>
        <v>0</v>
      </c>
      <c r="CP146" s="499">
        <f>CP140-CP141</f>
        <v>0</v>
      </c>
      <c r="CQ146" s="499">
        <f>CQ140-CQ141</f>
        <v>0</v>
      </c>
      <c r="CR146" s="499">
        <f>CR140-CR141</f>
        <v>0</v>
      </c>
      <c r="CS146" s="499">
        <f>CS140-CS141</f>
        <v>0</v>
      </c>
      <c r="CT146" s="499">
        <f>CT140-CT141</f>
        <v>0</v>
      </c>
      <c r="CU146" s="499">
        <f>CU140-CU141</f>
        <v>0</v>
      </c>
      <c r="CV146" s="499">
        <f>CV140-CV141</f>
        <v>0</v>
      </c>
      <c r="CW146" s="499">
        <f>CW140-CW141</f>
        <v>0</v>
      </c>
      <c r="CX146" s="499">
        <f>CX140-CX141</f>
        <v>0</v>
      </c>
      <c r="CY146" s="499">
        <f>CY140-CY141</f>
        <v>0</v>
      </c>
      <c r="CZ146" s="499">
        <f>CZ140-CZ141</f>
        <v>0</v>
      </c>
      <c r="DA146" s="499">
        <f>DA140-DA141</f>
        <v>0</v>
      </c>
      <c r="DB146" s="499">
        <f>DB140-DB141</f>
        <v>0</v>
      </c>
      <c r="DC146" s="499">
        <f>DC140-DC141</f>
        <v>0</v>
      </c>
      <c r="DD146" s="499">
        <f>DD140-DD141</f>
        <v>0</v>
      </c>
      <c r="DE146" s="499">
        <f>DE140-DE141</f>
        <v>0</v>
      </c>
      <c r="DF146" s="499">
        <f>DF140-DF141</f>
        <v>0</v>
      </c>
      <c r="DG146" s="499">
        <f>DG140-DG141</f>
        <v>0</v>
      </c>
      <c r="DH146" s="499">
        <f>DH140-DH141</f>
        <v>0</v>
      </c>
      <c r="DI146" s="499">
        <f>DI140-DI141</f>
        <v>0</v>
      </c>
      <c r="DJ146" s="499">
        <f>DJ140-DJ141</f>
        <v>0</v>
      </c>
      <c r="DK146" s="499">
        <f>DK140-DK141</f>
        <v>0</v>
      </c>
      <c r="DL146" s="499">
        <f>DL140-DL141</f>
        <v>0</v>
      </c>
      <c r="DM146" s="499">
        <f>DM140-DM141</f>
        <v>0</v>
      </c>
      <c r="DN146" s="499">
        <f>DN140-DN141</f>
        <v>0</v>
      </c>
      <c r="DO146" s="499">
        <f>DO140-DO141</f>
        <v>0</v>
      </c>
      <c r="DP146" s="499">
        <f>DP140-DP141</f>
        <v>0</v>
      </c>
      <c r="DQ146" s="499">
        <f>DQ140-DQ141</f>
        <v>0</v>
      </c>
      <c r="DR146" s="499">
        <f>DR140-DR141</f>
        <v>0</v>
      </c>
      <c r="DS146" s="499">
        <f>DS140-DS141</f>
        <v>0</v>
      </c>
      <c r="DT146" s="499">
        <f>DT140-DT141</f>
        <v>0</v>
      </c>
      <c r="DU146" s="499">
        <f>DU140-DU141</f>
        <v>0</v>
      </c>
      <c r="DV146" s="499">
        <f>DV140-DV141</f>
        <v>0</v>
      </c>
      <c r="DW146" s="499">
        <f>DW140-DW141</f>
        <v>0</v>
      </c>
      <c r="DX146" s="499">
        <f>DX140-DX141</f>
        <v>0</v>
      </c>
      <c r="DY146" s="499">
        <f>DY140-DY141</f>
        <v>0</v>
      </c>
      <c r="DZ146" s="499">
        <f>DZ140-DZ141</f>
        <v>0</v>
      </c>
      <c r="EA146" s="499">
        <f>EA140-EA141</f>
        <v>0</v>
      </c>
      <c r="EB146" s="499">
        <f>EB140-EB141</f>
        <v>0</v>
      </c>
      <c r="EC146" s="499">
        <f>EC140-EC141</f>
        <v>0</v>
      </c>
      <c r="ED146" s="499">
        <f>ED140-ED141</f>
        <v>0</v>
      </c>
      <c r="EE146" s="499">
        <f>EE140-EE141</f>
        <v>0</v>
      </c>
      <c r="EF146" s="499">
        <f>EF140-EF141</f>
        <v>0</v>
      </c>
      <c r="EG146" s="499">
        <f>EG140-EG141</f>
        <v>0</v>
      </c>
      <c r="EH146" s="499">
        <f>EH140-EH141</f>
        <v>0</v>
      </c>
      <c r="EI146" s="499">
        <f>EI140-EI141</f>
        <v>0</v>
      </c>
      <c r="EJ146" s="499">
        <f>EJ140-EJ141</f>
        <v>0</v>
      </c>
      <c r="EK146" s="499">
        <f>EK140-EK141</f>
        <v>0</v>
      </c>
      <c r="EL146" s="499">
        <f>EL140-EL141</f>
        <v>0</v>
      </c>
      <c r="EM146" s="499">
        <f>EM140-EM141</f>
        <v>0</v>
      </c>
      <c r="EN146" s="499">
        <f>EN140-EN141</f>
        <v>0</v>
      </c>
      <c r="EO146" s="499">
        <f>EO140-EO141</f>
        <v>0</v>
      </c>
      <c r="EP146" s="499">
        <f>EP140-EP141</f>
        <v>0</v>
      </c>
      <c r="EQ146" s="499">
        <f>EQ140-EQ141</f>
        <v>0</v>
      </c>
      <c r="ER146" s="499">
        <f>ER140-ER141</f>
        <v>0</v>
      </c>
      <c r="ES146" s="499">
        <f>ES140-ES141</f>
        <v>0</v>
      </c>
      <c r="ET146" s="499">
        <f>ET140-ET141</f>
        <v>0</v>
      </c>
      <c r="EU146" s="499">
        <f>EU140-EU141</f>
        <v>0</v>
      </c>
      <c r="EV146" s="499">
        <f>EV140-EV141</f>
        <v>0</v>
      </c>
      <c r="EW146" s="499">
        <f>EW140-EW141</f>
        <v>0</v>
      </c>
      <c r="EX146" s="499">
        <f>EX140-EX141</f>
        <v>0</v>
      </c>
      <c r="EY146" s="499">
        <f>EY140-EY141</f>
        <v>0</v>
      </c>
      <c r="EZ146" s="499">
        <f>EZ140-EZ141</f>
        <v>0</v>
      </c>
      <c r="FA146" s="499">
        <f>FA140-FA141</f>
        <v>0</v>
      </c>
      <c r="FB146" s="83"/>
      <c r="FC146" s="1751"/>
      <c r="FD146" s="1506"/>
      <c r="FE146" s="489" t="s">
        <v>831</v>
      </c>
      <c r="FF146" s="648"/>
      <c r="FG146" s="648"/>
      <c r="FH146" s="648"/>
      <c r="FI146" s="649"/>
      <c r="FJ146" s="649"/>
      <c r="FK146" s="1157" cm="1" t="str">
        <f t="array" ref="FK146:FK146">OFFSET(FJ146,-1,1)</f>
        <v>ТЭ.42.31656254.0001</v>
      </c>
      <c r="FL146" s="1078" t="s">
        <v>518</v>
      </c>
      <c r="FM146" s="1159"/>
      <c r="FN146" s="1159"/>
      <c r="FO146" s="1159"/>
      <c r="FP146" s="1159"/>
      <c r="FQ146" s="1159"/>
      <c r="FR146" s="1159"/>
      <c r="FS146" s="1159"/>
      <c r="FT146" s="1159"/>
      <c r="FU146" s="1159"/>
      <c r="FV146" s="1078" t="s">
        <v>255</v>
      </c>
      <c r="FW146" s="1159"/>
      <c r="FX146" s="1078"/>
      <c r="FY146" s="1078"/>
      <c r="FZ146" s="1159"/>
    </row>
    <row s="1751" customFormat="1" customHeight="1" ht="16.5" hidden="1">
      <c r="A147" s="371"/>
      <c r="B147" s="1548"/>
      <c r="C147" s="1548"/>
      <c r="D147" s="1548"/>
      <c r="E147" s="180">
        <v>17</v>
      </c>
      <c r="F147" s="175" cm="1" t="str">
        <f t="array" ref="F147:F147">OFFSET(G147,-1,-1)</f>
        <v>1</v>
      </c>
      <c r="G147" s="1659"/>
      <c r="H147" s="1659"/>
      <c r="I147" s="1659"/>
      <c r="J147" s="1659"/>
      <c r="K147" s="1659"/>
      <c r="L147" s="175" cm="1" t="str">
        <f t="array" ref="L147:L147">OFFSET(M147,-1,-1)</f>
        <v>false</v>
      </c>
      <c r="M147" s="1659"/>
      <c r="N147" s="1659"/>
      <c r="O147" s="1659"/>
      <c r="P147" s="1659"/>
      <c r="Q147" s="1659"/>
      <c r="R147" s="175" t="s">
        <v>804</v>
      </c>
      <c r="S147" s="175" cm="1" t="str">
        <f t="array" ref="S147:S147">OFFSET(T147,-1,-1)</f>
        <v>true</v>
      </c>
      <c r="T147" s="175" cm="1" t="str">
        <f t="array" ref="T147:T147">T146</f>
        <v>false</v>
      </c>
      <c r="U147" s="753">
        <f>AND(S147,IF(ISBLANK(T147),TRUE,T147))</f>
        <v>0</v>
      </c>
      <c r="V147" s="1548"/>
      <c r="W147" s="1548"/>
      <c r="X147" s="1548"/>
      <c r="Y147" s="1548"/>
      <c r="Z147" s="1548"/>
      <c r="AA147" s="1009"/>
      <c r="AB147" s="1646"/>
      <c r="AC147" s="1751"/>
      <c r="AD147" s="491">
        <v>4</v>
      </c>
      <c r="AE147" s="1619" t="s">
        <v>832</v>
      </c>
      <c r="AF147" s="496"/>
      <c r="AG147" s="491" t="s">
        <v>807</v>
      </c>
      <c r="AH147" s="88"/>
      <c r="AI147" s="89"/>
      <c r="AJ147" s="89"/>
      <c r="AK147" s="89"/>
      <c r="AL147" s="499">
        <f>AM147+AN147</f>
        <v>0</v>
      </c>
      <c r="AM147" s="89"/>
      <c r="AN147" s="89"/>
      <c r="AO147" s="499">
        <f>AP147+AQ147</f>
        <v>0</v>
      </c>
      <c r="AP147" s="89"/>
      <c r="AQ147" s="89"/>
      <c r="AR147" s="499">
        <f>AS147+AT147</f>
        <v>0</v>
      </c>
      <c r="AS147" s="89"/>
      <c r="AT147" s="89"/>
      <c r="AU147" s="499">
        <f>AV147+AW147</f>
        <v>0</v>
      </c>
      <c r="AV147" s="89"/>
      <c r="AW147" s="89"/>
      <c r="AX147" s="499">
        <f>AY147+AZ147</f>
        <v>0</v>
      </c>
      <c r="AY147" s="89"/>
      <c r="AZ147" s="89"/>
      <c r="BA147" s="499">
        <f>BB147+BC147</f>
        <v>0</v>
      </c>
      <c r="BB147" s="89"/>
      <c r="BC147" s="89"/>
      <c r="BD147" s="499">
        <f>BE147+BF147</f>
        <v>0</v>
      </c>
      <c r="BE147" s="89"/>
      <c r="BF147" s="89"/>
      <c r="BG147" s="499">
        <f>BH147+BI147</f>
        <v>0</v>
      </c>
      <c r="BH147" s="89"/>
      <c r="BI147" s="89"/>
      <c r="BJ147" s="499">
        <f>BK147+BL147</f>
        <v>0</v>
      </c>
      <c r="BK147" s="89"/>
      <c r="BL147" s="89"/>
      <c r="BM147" s="499">
        <f>BN147+BO147</f>
        <v>0</v>
      </c>
      <c r="BN147" s="89"/>
      <c r="BO147" s="89"/>
      <c r="BP147" s="499">
        <f>BQ147+BR147</f>
        <v>0</v>
      </c>
      <c r="BQ147" s="89"/>
      <c r="BR147" s="89"/>
      <c r="BS147" s="499">
        <f>BT147+BU147</f>
        <v>0</v>
      </c>
      <c r="BT147" s="89"/>
      <c r="BU147" s="89"/>
      <c r="BV147" s="499">
        <f>BW147+BX147</f>
        <v>0</v>
      </c>
      <c r="BW147" s="89"/>
      <c r="BX147" s="89"/>
      <c r="BY147" s="499">
        <f>BZ147+CA147</f>
        <v>0</v>
      </c>
      <c r="BZ147" s="89"/>
      <c r="CA147" s="89"/>
      <c r="CB147" s="499">
        <f>CC147+CD147</f>
        <v>0</v>
      </c>
      <c r="CC147" s="89"/>
      <c r="CD147" s="89"/>
      <c r="CE147" s="499">
        <f>CF147+CG147</f>
        <v>0</v>
      </c>
      <c r="CF147" s="89"/>
      <c r="CG147" s="89"/>
      <c r="CH147" s="499">
        <f>CI147+CJ147</f>
        <v>0</v>
      </c>
      <c r="CI147" s="89"/>
      <c r="CJ147" s="89"/>
      <c r="CK147" s="499">
        <f>CL147+CM147</f>
        <v>0</v>
      </c>
      <c r="CL147" s="89"/>
      <c r="CM147" s="89"/>
      <c r="CN147" s="499">
        <f>CO147+CP147</f>
        <v>0</v>
      </c>
      <c r="CO147" s="89"/>
      <c r="CP147" s="89"/>
      <c r="CQ147" s="499">
        <f>CR147+CS147</f>
        <v>0</v>
      </c>
      <c r="CR147" s="89"/>
      <c r="CS147" s="89"/>
      <c r="CT147" s="499">
        <f>CU147+CV147</f>
        <v>0</v>
      </c>
      <c r="CU147" s="498"/>
      <c r="CV147" s="498"/>
      <c r="CW147" s="499">
        <f>CX147+CY147</f>
        <v>0</v>
      </c>
      <c r="CX147" s="89"/>
      <c r="CY147" s="89"/>
      <c r="CZ147" s="499">
        <f>DA147+DB147</f>
        <v>0</v>
      </c>
      <c r="DA147" s="89"/>
      <c r="DB147" s="89"/>
      <c r="DC147" s="499">
        <f>DD147+DE147</f>
        <v>0</v>
      </c>
      <c r="DD147" s="89"/>
      <c r="DE147" s="89"/>
      <c r="DF147" s="499">
        <f>DG147+DH147</f>
        <v>0</v>
      </c>
      <c r="DG147" s="89"/>
      <c r="DH147" s="89"/>
      <c r="DI147" s="499">
        <f>DJ147+DK147</f>
        <v>0</v>
      </c>
      <c r="DJ147" s="89"/>
      <c r="DK147" s="89"/>
      <c r="DL147" s="499">
        <f>DM147+DN147</f>
        <v>0</v>
      </c>
      <c r="DM147" s="89"/>
      <c r="DN147" s="89"/>
      <c r="DO147" s="499">
        <f>DP147+DQ147</f>
        <v>0</v>
      </c>
      <c r="DP147" s="89"/>
      <c r="DQ147" s="89"/>
      <c r="DR147" s="499">
        <f>DS147+DT147</f>
        <v>0</v>
      </c>
      <c r="DS147" s="89"/>
      <c r="DT147" s="89"/>
      <c r="DU147" s="499">
        <f>DV147+DW147</f>
        <v>0</v>
      </c>
      <c r="DV147" s="89"/>
      <c r="DW147" s="89"/>
      <c r="DX147" s="499">
        <f>DY147+DZ147</f>
        <v>0</v>
      </c>
      <c r="DY147" s="89"/>
      <c r="DZ147" s="89"/>
      <c r="EA147" s="499">
        <f>EB147+EC147</f>
        <v>0</v>
      </c>
      <c r="EB147" s="89"/>
      <c r="EC147" s="89"/>
      <c r="ED147" s="499">
        <f>EE147+EF147</f>
        <v>0</v>
      </c>
      <c r="EE147" s="89"/>
      <c r="EF147" s="89"/>
      <c r="EG147" s="499">
        <f>EH147+EI147</f>
        <v>0</v>
      </c>
      <c r="EH147" s="89"/>
      <c r="EI147" s="89"/>
      <c r="EJ147" s="499">
        <f>EK147+EL147</f>
        <v>0</v>
      </c>
      <c r="EK147" s="89"/>
      <c r="EL147" s="89"/>
      <c r="EM147" s="499">
        <f>EN147+EO147</f>
        <v>0</v>
      </c>
      <c r="EN147" s="89"/>
      <c r="EO147" s="89"/>
      <c r="EP147" s="499">
        <f>EQ147+ER147</f>
        <v>0</v>
      </c>
      <c r="EQ147" s="89"/>
      <c r="ER147" s="89"/>
      <c r="ES147" s="499">
        <f>ET147+EU147</f>
        <v>0</v>
      </c>
      <c r="ET147" s="89"/>
      <c r="EU147" s="89"/>
      <c r="EV147" s="499">
        <f>EW147+EX147</f>
        <v>0</v>
      </c>
      <c r="EW147" s="89"/>
      <c r="EX147" s="89"/>
      <c r="EY147" s="499">
        <f>EZ147+FA147</f>
        <v>0</v>
      </c>
      <c r="EZ147" s="89"/>
      <c r="FA147" s="89"/>
      <c r="FB147" s="83"/>
      <c r="FC147" s="1751"/>
      <c r="FD147" s="1506"/>
      <c r="FE147" s="489" t="s">
        <v>833</v>
      </c>
      <c r="FF147" s="648"/>
      <c r="FG147" s="648"/>
      <c r="FH147" s="648"/>
      <c r="FI147" s="649"/>
      <c r="FJ147" s="649"/>
      <c r="FK147" s="1157" cm="1" t="str">
        <f t="array" ref="FK147:FK147">OFFSET(FJ147,-1,1)</f>
        <v>ТЭ.42.31656254.0001</v>
      </c>
      <c r="FL147" s="1078" t="s">
        <v>518</v>
      </c>
      <c r="FM147" s="1159"/>
      <c r="FN147" s="1078" t="s">
        <v>834</v>
      </c>
      <c r="FO147" s="1159"/>
      <c r="FP147" s="1159"/>
      <c r="FQ147" s="1159"/>
      <c r="FR147" s="1159"/>
      <c r="FS147" s="1159"/>
      <c r="FT147" s="1159"/>
      <c r="FU147" s="1159"/>
      <c r="FV147" s="1078" t="s">
        <v>219</v>
      </c>
      <c r="FW147" s="1159"/>
      <c r="FX147" s="1078" t="s">
        <v>303</v>
      </c>
      <c r="FY147" s="1078" t="s">
        <v>835</v>
      </c>
      <c r="FZ147" s="1078" t="s">
        <v>836</v>
      </c>
    </row>
    <row s="1751" customFormat="1" customHeight="1" ht="16.5" hidden="1">
      <c r="A148" s="371"/>
      <c r="B148" s="1548"/>
      <c r="C148" s="1548"/>
      <c r="D148" s="1548"/>
      <c r="E148" s="180">
        <v>17</v>
      </c>
      <c r="F148" s="175" cm="1" t="str">
        <f t="array" ref="F148:F148">OFFSET(G148,-1,-1)</f>
        <v>1</v>
      </c>
      <c r="G148" s="1659"/>
      <c r="H148" s="1659"/>
      <c r="I148" s="1659"/>
      <c r="J148" s="1659"/>
      <c r="K148" s="1659"/>
      <c r="L148" s="175" cm="1" t="str">
        <f t="array" ref="L148:L148">OFFSET(M148,-1,-1)</f>
        <v>false</v>
      </c>
      <c r="M148" s="1659"/>
      <c r="N148" s="1659"/>
      <c r="O148" s="1659"/>
      <c r="P148" s="1659"/>
      <c r="Q148" s="1659"/>
      <c r="R148" s="175" t="s">
        <v>804</v>
      </c>
      <c r="S148" s="175" cm="1" t="str">
        <f t="array" ref="S148:S148">OFFSET(T148,-1,-1)</f>
        <v>true</v>
      </c>
      <c r="T148" s="175" cm="1" t="str">
        <f t="array" ref="T148:T148">T147</f>
        <v>false</v>
      </c>
      <c r="U148" s="753">
        <f>AND(S148,IF(ISBLANK(T148),TRUE,T148))</f>
        <v>0</v>
      </c>
      <c r="V148" s="1548"/>
      <c r="W148" s="1548"/>
      <c r="X148" s="1548"/>
      <c r="Y148" s="1548"/>
      <c r="Z148" s="1548"/>
      <c r="AA148" s="1009"/>
      <c r="AB148" s="1646"/>
      <c r="AC148" s="1751"/>
      <c r="AD148" s="491">
        <v>4.1</v>
      </c>
      <c r="AE148" s="1631" t="s">
        <v>837</v>
      </c>
      <c r="AF148" s="501"/>
      <c r="AG148" s="491" t="s">
        <v>495</v>
      </c>
      <c r="AH148" s="503">
        <f>_xlfn.IFERROR(AH147/AH146,0)</f>
        <v>0</v>
      </c>
      <c r="AI148" s="504">
        <f>_xlfn.IFERROR(AI147/AI146,0)</f>
        <v>0</v>
      </c>
      <c r="AJ148" s="504">
        <f>_xlfn.IFERROR(AJ147/AJ146,0)</f>
        <v>0</v>
      </c>
      <c r="AK148" s="504">
        <f>_xlfn.IFERROR(AK147/AK146,0)</f>
        <v>0</v>
      </c>
      <c r="AL148" s="504">
        <f>_xlfn.IFERROR(AL147/AL146,0)</f>
        <v>0</v>
      </c>
      <c r="AM148" s="504">
        <f>_xlfn.IFERROR(AM147/AM146,0)</f>
        <v>0</v>
      </c>
      <c r="AN148" s="504">
        <f>_xlfn.IFERROR(AN147/AN146,0)</f>
        <v>0</v>
      </c>
      <c r="AO148" s="504">
        <f>_xlfn.IFERROR(AO147/AO146,0)</f>
        <v>0</v>
      </c>
      <c r="AP148" s="504">
        <f>_xlfn.IFERROR(AP147/AP146,0)</f>
        <v>0</v>
      </c>
      <c r="AQ148" s="504">
        <f>_xlfn.IFERROR(AQ147/AQ146,0)</f>
        <v>0</v>
      </c>
      <c r="AR148" s="504">
        <f>_xlfn.IFERROR(AR147/AR146,0)</f>
        <v>0</v>
      </c>
      <c r="AS148" s="504">
        <f>_xlfn.IFERROR(AS147/AS146,0)</f>
        <v>0</v>
      </c>
      <c r="AT148" s="504">
        <f>_xlfn.IFERROR(AT147/AT146,0)</f>
        <v>0</v>
      </c>
      <c r="AU148" s="504">
        <f>_xlfn.IFERROR(AU147/AU146,0)</f>
        <v>0</v>
      </c>
      <c r="AV148" s="504">
        <f>_xlfn.IFERROR(AV147/AV146,0)</f>
        <v>0</v>
      </c>
      <c r="AW148" s="504">
        <f>_xlfn.IFERROR(AW147/AW146,0)</f>
        <v>0</v>
      </c>
      <c r="AX148" s="504">
        <f>_xlfn.IFERROR(AX147/AX146,0)</f>
        <v>0</v>
      </c>
      <c r="AY148" s="504">
        <f>_xlfn.IFERROR(AY147/AY146,0)</f>
        <v>0</v>
      </c>
      <c r="AZ148" s="504">
        <f>_xlfn.IFERROR(AZ147/AZ146,0)</f>
        <v>0</v>
      </c>
      <c r="BA148" s="504">
        <f>_xlfn.IFERROR(BA147/BA146,0)</f>
        <v>0</v>
      </c>
      <c r="BB148" s="504">
        <f>_xlfn.IFERROR(BB147/BB146,0)</f>
        <v>0</v>
      </c>
      <c r="BC148" s="504">
        <f>_xlfn.IFERROR(BC147/BC146,0)</f>
        <v>0</v>
      </c>
      <c r="BD148" s="504">
        <f>_xlfn.IFERROR(BD147/BD146,0)</f>
        <v>0</v>
      </c>
      <c r="BE148" s="504">
        <f>_xlfn.IFERROR(BE147/BE146,0)</f>
        <v>0</v>
      </c>
      <c r="BF148" s="504">
        <f>_xlfn.IFERROR(BF147/BF146,0)</f>
        <v>0</v>
      </c>
      <c r="BG148" s="504">
        <f>_xlfn.IFERROR(BG147/BG146,0)</f>
        <v>0</v>
      </c>
      <c r="BH148" s="504">
        <f>_xlfn.IFERROR(BH147/BH146,0)</f>
        <v>0</v>
      </c>
      <c r="BI148" s="504">
        <f>_xlfn.IFERROR(BI147/BI146,0)</f>
        <v>0</v>
      </c>
      <c r="BJ148" s="504">
        <f>_xlfn.IFERROR(BJ147/BJ146,0)</f>
        <v>0</v>
      </c>
      <c r="BK148" s="504">
        <f>_xlfn.IFERROR(BK147/BK146,0)</f>
        <v>0</v>
      </c>
      <c r="BL148" s="504">
        <f>_xlfn.IFERROR(BL147/BL146,0)</f>
        <v>0</v>
      </c>
      <c r="BM148" s="504">
        <f>_xlfn.IFERROR(BM147/BM146,0)</f>
        <v>0</v>
      </c>
      <c r="BN148" s="504">
        <f>_xlfn.IFERROR(BN147/BN146,0)</f>
        <v>0</v>
      </c>
      <c r="BO148" s="504">
        <f>_xlfn.IFERROR(BO147/BO146,0)</f>
        <v>0</v>
      </c>
      <c r="BP148" s="504">
        <f>_xlfn.IFERROR(BP147/BP146,0)</f>
        <v>0</v>
      </c>
      <c r="BQ148" s="504">
        <f>_xlfn.IFERROR(BQ147/BQ146,0)</f>
        <v>0</v>
      </c>
      <c r="BR148" s="504">
        <f>_xlfn.IFERROR(BR147/BR146,0)</f>
        <v>0</v>
      </c>
      <c r="BS148" s="504">
        <f>_xlfn.IFERROR(BS147/BS146,0)</f>
        <v>0</v>
      </c>
      <c r="BT148" s="504">
        <f>_xlfn.IFERROR(BT147/BT146,0)</f>
        <v>0</v>
      </c>
      <c r="BU148" s="504">
        <f>_xlfn.IFERROR(BU147/BU146,0)</f>
        <v>0</v>
      </c>
      <c r="BV148" s="504">
        <f>_xlfn.IFERROR(BV147/BV146,0)</f>
        <v>0</v>
      </c>
      <c r="BW148" s="504">
        <f>_xlfn.IFERROR(BW147/BW146,0)</f>
        <v>0</v>
      </c>
      <c r="BX148" s="504">
        <f>_xlfn.IFERROR(BX147/BX146,0)</f>
        <v>0</v>
      </c>
      <c r="BY148" s="504">
        <f>_xlfn.IFERROR(BY147/BY146,0)</f>
        <v>0</v>
      </c>
      <c r="BZ148" s="504">
        <f>_xlfn.IFERROR(BZ147/BZ146,0)</f>
        <v>0</v>
      </c>
      <c r="CA148" s="504">
        <f>_xlfn.IFERROR(CA147/CA146,0)</f>
        <v>0</v>
      </c>
      <c r="CB148" s="504">
        <f>_xlfn.IFERROR(CB147/CB146,0)</f>
        <v>0</v>
      </c>
      <c r="CC148" s="504">
        <f>_xlfn.IFERROR(CC147/CC146,0)</f>
        <v>0</v>
      </c>
      <c r="CD148" s="504">
        <f>_xlfn.IFERROR(CD147/CD146,0)</f>
        <v>0</v>
      </c>
      <c r="CE148" s="504">
        <f>_xlfn.IFERROR(CE147/CE146,0)</f>
        <v>0</v>
      </c>
      <c r="CF148" s="504">
        <f>_xlfn.IFERROR(CF147/CF146,0)</f>
        <v>0</v>
      </c>
      <c r="CG148" s="504">
        <f>_xlfn.IFERROR(CG147/CG146,0)</f>
        <v>0</v>
      </c>
      <c r="CH148" s="504">
        <f>_xlfn.IFERROR(CH147/CH146,0)</f>
        <v>0</v>
      </c>
      <c r="CI148" s="504">
        <f>_xlfn.IFERROR(CI147/CI146,0)</f>
        <v>0</v>
      </c>
      <c r="CJ148" s="504">
        <f>_xlfn.IFERROR(CJ147/CJ146,0)</f>
        <v>0</v>
      </c>
      <c r="CK148" s="504">
        <f>_xlfn.IFERROR(CK147/CK146,0)</f>
        <v>0</v>
      </c>
      <c r="CL148" s="504">
        <f>_xlfn.IFERROR(CL147/CL146,0)</f>
        <v>0</v>
      </c>
      <c r="CM148" s="504">
        <f>_xlfn.IFERROR(CM147/CM146,0)</f>
        <v>0</v>
      </c>
      <c r="CN148" s="504">
        <f>_xlfn.IFERROR(CN147/CN146,0)</f>
        <v>0</v>
      </c>
      <c r="CO148" s="504">
        <f>_xlfn.IFERROR(CO147/CO146,0)</f>
        <v>0</v>
      </c>
      <c r="CP148" s="504">
        <f>_xlfn.IFERROR(CP147/CP146,0)</f>
        <v>0</v>
      </c>
      <c r="CQ148" s="504">
        <f>_xlfn.IFERROR(CQ147/CQ146,0)</f>
        <v>0</v>
      </c>
      <c r="CR148" s="504">
        <f>_xlfn.IFERROR(CR147/CR146,0)</f>
        <v>0</v>
      </c>
      <c r="CS148" s="504">
        <f>_xlfn.IFERROR(CS147/CS146,0)</f>
        <v>0</v>
      </c>
      <c r="CT148" s="504">
        <f>_xlfn.IFERROR(CT147/CT146,0)</f>
        <v>0</v>
      </c>
      <c r="CU148" s="504">
        <f>_xlfn.IFERROR(CU147/CU146,0)</f>
        <v>0</v>
      </c>
      <c r="CV148" s="504">
        <f>_xlfn.IFERROR(CV147/CV146,0)</f>
        <v>0</v>
      </c>
      <c r="CW148" s="504">
        <f>_xlfn.IFERROR(CW147/CW146,0)</f>
        <v>0</v>
      </c>
      <c r="CX148" s="504">
        <f>_xlfn.IFERROR(CX147/CX146,0)</f>
        <v>0</v>
      </c>
      <c r="CY148" s="504">
        <f>_xlfn.IFERROR(CY147/CY146,0)</f>
        <v>0</v>
      </c>
      <c r="CZ148" s="504">
        <f>_xlfn.IFERROR(CZ147/CZ146,0)</f>
        <v>0</v>
      </c>
      <c r="DA148" s="504">
        <f>_xlfn.IFERROR(DA147/DA146,0)</f>
        <v>0</v>
      </c>
      <c r="DB148" s="504">
        <f>_xlfn.IFERROR(DB147/DB146,0)</f>
        <v>0</v>
      </c>
      <c r="DC148" s="504">
        <f>_xlfn.IFERROR(DC147/DC146,0)</f>
        <v>0</v>
      </c>
      <c r="DD148" s="504">
        <f>_xlfn.IFERROR(DD147/DD146,0)</f>
        <v>0</v>
      </c>
      <c r="DE148" s="504">
        <f>_xlfn.IFERROR(DE147/DE146,0)</f>
        <v>0</v>
      </c>
      <c r="DF148" s="504">
        <f>_xlfn.IFERROR(DF147/DF146,0)</f>
        <v>0</v>
      </c>
      <c r="DG148" s="504">
        <f>_xlfn.IFERROR(DG147/DG146,0)</f>
        <v>0</v>
      </c>
      <c r="DH148" s="504">
        <f>_xlfn.IFERROR(DH147/DH146,0)</f>
        <v>0</v>
      </c>
      <c r="DI148" s="504">
        <f>_xlfn.IFERROR(DI147/DI146,0)</f>
        <v>0</v>
      </c>
      <c r="DJ148" s="504">
        <f>_xlfn.IFERROR(DJ147/DJ146,0)</f>
        <v>0</v>
      </c>
      <c r="DK148" s="504">
        <f>_xlfn.IFERROR(DK147/DK146,0)</f>
        <v>0</v>
      </c>
      <c r="DL148" s="504">
        <f>_xlfn.IFERROR(DL147/DL146,0)</f>
        <v>0</v>
      </c>
      <c r="DM148" s="504">
        <f>_xlfn.IFERROR(DM147/DM146,0)</f>
        <v>0</v>
      </c>
      <c r="DN148" s="504">
        <f>_xlfn.IFERROR(DN147/DN146,0)</f>
        <v>0</v>
      </c>
      <c r="DO148" s="504">
        <f>_xlfn.IFERROR(DO147/DO146,0)</f>
        <v>0</v>
      </c>
      <c r="DP148" s="504">
        <f>_xlfn.IFERROR(DP147/DP146,0)</f>
        <v>0</v>
      </c>
      <c r="DQ148" s="504">
        <f>_xlfn.IFERROR(DQ147/DQ146,0)</f>
        <v>0</v>
      </c>
      <c r="DR148" s="504">
        <f>_xlfn.IFERROR(DR147/DR146,0)</f>
        <v>0</v>
      </c>
      <c r="DS148" s="504">
        <f>_xlfn.IFERROR(DS147/DS146,0)</f>
        <v>0</v>
      </c>
      <c r="DT148" s="504">
        <f>_xlfn.IFERROR(DT147/DT146,0)</f>
        <v>0</v>
      </c>
      <c r="DU148" s="504">
        <f>_xlfn.IFERROR(DU147/DU146,0)</f>
        <v>0</v>
      </c>
      <c r="DV148" s="504">
        <f>_xlfn.IFERROR(DV147/DV146,0)</f>
        <v>0</v>
      </c>
      <c r="DW148" s="504">
        <f>_xlfn.IFERROR(DW147/DW146,0)</f>
        <v>0</v>
      </c>
      <c r="DX148" s="504">
        <f>_xlfn.IFERROR(DX147/DX146,0)</f>
        <v>0</v>
      </c>
      <c r="DY148" s="504">
        <f>_xlfn.IFERROR(DY147/DY146,0)</f>
        <v>0</v>
      </c>
      <c r="DZ148" s="504">
        <f>_xlfn.IFERROR(DZ147/DZ146,0)</f>
        <v>0</v>
      </c>
      <c r="EA148" s="504">
        <f>_xlfn.IFERROR(EA147/EA146,0)</f>
        <v>0</v>
      </c>
      <c r="EB148" s="504">
        <f>_xlfn.IFERROR(EB147/EB146,0)</f>
        <v>0</v>
      </c>
      <c r="EC148" s="504">
        <f>_xlfn.IFERROR(EC147/EC146,0)</f>
        <v>0</v>
      </c>
      <c r="ED148" s="504">
        <f>_xlfn.IFERROR(ED147/ED146,0)</f>
        <v>0</v>
      </c>
      <c r="EE148" s="504">
        <f>_xlfn.IFERROR(EE147/EE146,0)</f>
        <v>0</v>
      </c>
      <c r="EF148" s="504">
        <f>_xlfn.IFERROR(EF147/EF146,0)</f>
        <v>0</v>
      </c>
      <c r="EG148" s="504">
        <f>_xlfn.IFERROR(EG147/EG146,0)</f>
        <v>0</v>
      </c>
      <c r="EH148" s="504">
        <f>_xlfn.IFERROR(EH147/EH146,0)</f>
        <v>0</v>
      </c>
      <c r="EI148" s="504">
        <f>_xlfn.IFERROR(EI147/EI146,0)</f>
        <v>0</v>
      </c>
      <c r="EJ148" s="504">
        <f>_xlfn.IFERROR(EJ147/EJ146,0)</f>
        <v>0</v>
      </c>
      <c r="EK148" s="504">
        <f>_xlfn.IFERROR(EK147/EK146,0)</f>
        <v>0</v>
      </c>
      <c r="EL148" s="504">
        <f>_xlfn.IFERROR(EL147/EL146,0)</f>
        <v>0</v>
      </c>
      <c r="EM148" s="504">
        <f>_xlfn.IFERROR(EM147/EM146,0)</f>
        <v>0</v>
      </c>
      <c r="EN148" s="504">
        <f>_xlfn.IFERROR(EN147/EN146,0)</f>
        <v>0</v>
      </c>
      <c r="EO148" s="504">
        <f>_xlfn.IFERROR(EO147/EO146,0)</f>
        <v>0</v>
      </c>
      <c r="EP148" s="504">
        <f>_xlfn.IFERROR(EP147/EP146,0)</f>
        <v>0</v>
      </c>
      <c r="EQ148" s="504">
        <f>_xlfn.IFERROR(EQ147/EQ146,0)</f>
        <v>0</v>
      </c>
      <c r="ER148" s="504">
        <f>_xlfn.IFERROR(ER147/ER146,0)</f>
        <v>0</v>
      </c>
      <c r="ES148" s="504">
        <f>_xlfn.IFERROR(ES147/ES146,0)</f>
        <v>0</v>
      </c>
      <c r="ET148" s="504">
        <f>_xlfn.IFERROR(ET147/ET146,0)</f>
        <v>0</v>
      </c>
      <c r="EU148" s="504">
        <f>_xlfn.IFERROR(EU147/EU146,0)</f>
        <v>0</v>
      </c>
      <c r="EV148" s="504">
        <f>_xlfn.IFERROR(EV147/EV146,0)</f>
        <v>0</v>
      </c>
      <c r="EW148" s="504">
        <f>_xlfn.IFERROR(EW147/EW146,0)</f>
        <v>0</v>
      </c>
      <c r="EX148" s="504">
        <f>_xlfn.IFERROR(EX147/EX146,0)</f>
        <v>0</v>
      </c>
      <c r="EY148" s="504">
        <f>_xlfn.IFERROR(EY147/EY146,0)</f>
        <v>0</v>
      </c>
      <c r="EZ148" s="504">
        <f>_xlfn.IFERROR(EZ147/EZ146,0)</f>
        <v>0</v>
      </c>
      <c r="FA148" s="504">
        <f>_xlfn.IFERROR(FA147/FA146,0)</f>
        <v>0</v>
      </c>
      <c r="FB148" s="83"/>
      <c r="FC148" s="1751"/>
      <c r="FD148" s="1506"/>
      <c r="FE148" s="489" t="s">
        <v>838</v>
      </c>
      <c r="FF148" s="648"/>
      <c r="FG148" s="648"/>
      <c r="FH148" s="648"/>
      <c r="FI148" s="649"/>
      <c r="FJ148" s="649"/>
      <c r="FK148" s="1157" cm="1" t="str">
        <f t="array" ref="FK148:FK148">OFFSET(FJ148,-1,1)</f>
        <v>ТЭ.42.31656254.0001</v>
      </c>
      <c r="FL148" s="1078" t="s">
        <v>518</v>
      </c>
      <c r="FM148" s="1159"/>
      <c r="FN148" s="1078" t="s">
        <v>834</v>
      </c>
      <c r="FO148" s="1159"/>
      <c r="FP148" s="1159"/>
      <c r="FQ148" s="1159"/>
      <c r="FR148" s="1159"/>
      <c r="FS148" s="1159"/>
      <c r="FT148" s="1159"/>
      <c r="FU148" s="1159"/>
      <c r="FV148" s="1078" t="s">
        <v>255</v>
      </c>
      <c r="FW148" s="1159"/>
      <c r="FX148" s="1078" t="s">
        <v>303</v>
      </c>
      <c r="FY148" s="1078" t="s">
        <v>820</v>
      </c>
      <c r="FZ148" s="1078" t="s">
        <v>821</v>
      </c>
    </row>
    <row s="1751" customFormat="1" customHeight="1" ht="16.5" hidden="1">
      <c r="A149" s="371"/>
      <c r="B149" s="1548"/>
      <c r="C149" s="1548"/>
      <c r="D149" s="1548"/>
      <c r="E149" s="180">
        <v>17</v>
      </c>
      <c r="F149" s="175" cm="1" t="str">
        <f t="array" ref="F149:F149">OFFSET(G149,-1,-1)</f>
        <v>1</v>
      </c>
      <c r="G149" s="1659"/>
      <c r="H149" s="1659"/>
      <c r="I149" s="1659"/>
      <c r="J149" s="1659"/>
      <c r="K149" s="1659"/>
      <c r="L149" s="175" cm="1" t="str">
        <f t="array" ref="L149:L149">OFFSET(M149,-1,-1)</f>
        <v>false</v>
      </c>
      <c r="M149" s="1659"/>
      <c r="N149" s="1659"/>
      <c r="O149" s="1659"/>
      <c r="P149" s="1659"/>
      <c r="Q149" s="1659"/>
      <c r="R149" s="175" t="s">
        <v>804</v>
      </c>
      <c r="S149" s="175" cm="1" t="str">
        <f t="array" ref="S149:S149">OFFSET(T149,-1,-1)</f>
        <v>true</v>
      </c>
      <c r="T149" s="175" cm="1" t="str">
        <f t="array" ref="T149:T149">T148</f>
        <v>false</v>
      </c>
      <c r="U149" s="753">
        <f>AND(S149,IF(ISBLANK(T149),TRUE,T149))</f>
        <v>0</v>
      </c>
      <c r="V149" s="1548"/>
      <c r="W149" s="1548"/>
      <c r="X149" s="1548"/>
      <c r="Y149" s="1548"/>
      <c r="Z149" s="1548"/>
      <c r="AA149" s="1009"/>
      <c r="AB149" s="1646"/>
      <c r="AC149" s="1751"/>
      <c r="AD149" s="491">
        <v>5</v>
      </c>
      <c r="AE149" s="1638" t="s">
        <v>839</v>
      </c>
      <c r="AF149" s="1639"/>
      <c r="AG149" s="491" t="s">
        <v>807</v>
      </c>
      <c r="AH149" s="88"/>
      <c r="AI149" s="89"/>
      <c r="AJ149" s="89"/>
      <c r="AK149" s="89"/>
      <c r="AL149" s="499">
        <f>AM149+AN149</f>
        <v>0</v>
      </c>
      <c r="AM149" s="89"/>
      <c r="AN149" s="89"/>
      <c r="AO149" s="499">
        <f>AP149+AQ149</f>
        <v>0</v>
      </c>
      <c r="AP149" s="89"/>
      <c r="AQ149" s="89"/>
      <c r="AR149" s="499">
        <f>AS149+AT149</f>
        <v>0</v>
      </c>
      <c r="AS149" s="89"/>
      <c r="AT149" s="89"/>
      <c r="AU149" s="499">
        <f>AV149+AW149</f>
        <v>0</v>
      </c>
      <c r="AV149" s="89"/>
      <c r="AW149" s="89"/>
      <c r="AX149" s="499">
        <f>AY149+AZ149</f>
        <v>0</v>
      </c>
      <c r="AY149" s="89"/>
      <c r="AZ149" s="89"/>
      <c r="BA149" s="499">
        <f>BB149+BC149</f>
        <v>0</v>
      </c>
      <c r="BB149" s="89"/>
      <c r="BC149" s="89"/>
      <c r="BD149" s="499">
        <f>BE149+BF149</f>
        <v>0</v>
      </c>
      <c r="BE149" s="89"/>
      <c r="BF149" s="89"/>
      <c r="BG149" s="499">
        <f>BH149+BI149</f>
        <v>0</v>
      </c>
      <c r="BH149" s="89"/>
      <c r="BI149" s="89"/>
      <c r="BJ149" s="499">
        <f>BK149+BL149</f>
        <v>0</v>
      </c>
      <c r="BK149" s="89"/>
      <c r="BL149" s="89"/>
      <c r="BM149" s="499">
        <f>BN149+BO149</f>
        <v>0</v>
      </c>
      <c r="BN149" s="89"/>
      <c r="BO149" s="89"/>
      <c r="BP149" s="499">
        <f>BQ149+BR149</f>
        <v>0</v>
      </c>
      <c r="BQ149" s="89"/>
      <c r="BR149" s="89"/>
      <c r="BS149" s="499">
        <f>BT149+BU149</f>
        <v>0</v>
      </c>
      <c r="BT149" s="89"/>
      <c r="BU149" s="89"/>
      <c r="BV149" s="499">
        <f>BW149+BX149</f>
        <v>0</v>
      </c>
      <c r="BW149" s="89"/>
      <c r="BX149" s="89"/>
      <c r="BY149" s="499">
        <f>BZ149+CA149</f>
        <v>0</v>
      </c>
      <c r="BZ149" s="89"/>
      <c r="CA149" s="89"/>
      <c r="CB149" s="499">
        <f>CC149+CD149</f>
        <v>0</v>
      </c>
      <c r="CC149" s="89"/>
      <c r="CD149" s="89"/>
      <c r="CE149" s="499">
        <f>CF149+CG149</f>
        <v>0</v>
      </c>
      <c r="CF149" s="89"/>
      <c r="CG149" s="89"/>
      <c r="CH149" s="499">
        <f>CI149+CJ149</f>
        <v>0</v>
      </c>
      <c r="CI149" s="89"/>
      <c r="CJ149" s="89"/>
      <c r="CK149" s="499">
        <f>CL149+CM149</f>
        <v>0</v>
      </c>
      <c r="CL149" s="89"/>
      <c r="CM149" s="89"/>
      <c r="CN149" s="499">
        <f>CO149+CP149</f>
        <v>0</v>
      </c>
      <c r="CO149" s="89"/>
      <c r="CP149" s="89"/>
      <c r="CQ149" s="499">
        <f>CR149+CS149</f>
        <v>0</v>
      </c>
      <c r="CR149" s="89"/>
      <c r="CS149" s="89"/>
      <c r="CT149" s="499">
        <f>CU149+CV149</f>
        <v>0</v>
      </c>
      <c r="CU149" s="498"/>
      <c r="CV149" s="498"/>
      <c r="CW149" s="499">
        <f>CX149+CY149</f>
        <v>0</v>
      </c>
      <c r="CX149" s="89"/>
      <c r="CY149" s="89"/>
      <c r="CZ149" s="499">
        <f>DA149+DB149</f>
        <v>0</v>
      </c>
      <c r="DA149" s="89"/>
      <c r="DB149" s="89"/>
      <c r="DC149" s="499">
        <f>DD149+DE149</f>
        <v>0</v>
      </c>
      <c r="DD149" s="89"/>
      <c r="DE149" s="89"/>
      <c r="DF149" s="499">
        <f>DG149+DH149</f>
        <v>0</v>
      </c>
      <c r="DG149" s="89"/>
      <c r="DH149" s="89"/>
      <c r="DI149" s="499">
        <f>DJ149+DK149</f>
        <v>0</v>
      </c>
      <c r="DJ149" s="89"/>
      <c r="DK149" s="89"/>
      <c r="DL149" s="499">
        <f>DM149+DN149</f>
        <v>0</v>
      </c>
      <c r="DM149" s="89"/>
      <c r="DN149" s="89"/>
      <c r="DO149" s="499">
        <f>DP149+DQ149</f>
        <v>0</v>
      </c>
      <c r="DP149" s="89"/>
      <c r="DQ149" s="89"/>
      <c r="DR149" s="499">
        <f>DS149+DT149</f>
        <v>0</v>
      </c>
      <c r="DS149" s="89"/>
      <c r="DT149" s="89"/>
      <c r="DU149" s="499">
        <f>DV149+DW149</f>
        <v>0</v>
      </c>
      <c r="DV149" s="89"/>
      <c r="DW149" s="89"/>
      <c r="DX149" s="499">
        <f>DY149+DZ149</f>
        <v>0</v>
      </c>
      <c r="DY149" s="89"/>
      <c r="DZ149" s="89"/>
      <c r="EA149" s="499">
        <f>EB149+EC149</f>
        <v>0</v>
      </c>
      <c r="EB149" s="89"/>
      <c r="EC149" s="89"/>
      <c r="ED149" s="499">
        <f>EE149+EF149</f>
        <v>0</v>
      </c>
      <c r="EE149" s="89"/>
      <c r="EF149" s="89"/>
      <c r="EG149" s="499">
        <f>EH149+EI149</f>
        <v>0</v>
      </c>
      <c r="EH149" s="89"/>
      <c r="EI149" s="89"/>
      <c r="EJ149" s="499">
        <f>EK149+EL149</f>
        <v>0</v>
      </c>
      <c r="EK149" s="89"/>
      <c r="EL149" s="89"/>
      <c r="EM149" s="499">
        <f>EN149+EO149</f>
        <v>0</v>
      </c>
      <c r="EN149" s="89"/>
      <c r="EO149" s="89"/>
      <c r="EP149" s="499">
        <f>EQ149+ER149</f>
        <v>0</v>
      </c>
      <c r="EQ149" s="89"/>
      <c r="ER149" s="89"/>
      <c r="ES149" s="499">
        <f>ET149+EU149</f>
        <v>0</v>
      </c>
      <c r="ET149" s="89"/>
      <c r="EU149" s="89"/>
      <c r="EV149" s="499">
        <f>EW149+EX149</f>
        <v>0</v>
      </c>
      <c r="EW149" s="89"/>
      <c r="EX149" s="89"/>
      <c r="EY149" s="499">
        <f>EZ149+FA149</f>
        <v>0</v>
      </c>
      <c r="EZ149" s="89"/>
      <c r="FA149" s="89"/>
      <c r="FB149" s="83"/>
      <c r="FC149" s="1751"/>
      <c r="FD149" s="1506"/>
      <c r="FE149" s="489" t="s">
        <v>840</v>
      </c>
      <c r="FF149" s="648"/>
      <c r="FG149" s="648"/>
      <c r="FH149" s="648"/>
      <c r="FI149" s="649"/>
      <c r="FJ149" s="649"/>
      <c r="FK149" s="1157" cm="1" t="str">
        <f t="array" ref="FK149:FK149">OFFSET(FJ149,-1,1)</f>
        <v>ТЭ.42.31656254.0001</v>
      </c>
      <c r="FL149" s="1078" t="s">
        <v>518</v>
      </c>
      <c r="FM149" s="1159"/>
      <c r="FN149" s="1078" t="s">
        <v>841</v>
      </c>
      <c r="FO149" s="1159"/>
      <c r="FP149" s="1159"/>
      <c r="FQ149" s="1159"/>
      <c r="FR149" s="1159"/>
      <c r="FS149" s="1159"/>
      <c r="FT149" s="1159"/>
      <c r="FU149" s="1159"/>
      <c r="FV149" s="1078" t="s">
        <v>219</v>
      </c>
      <c r="FW149" s="1159"/>
      <c r="FX149" s="1078" t="s">
        <v>303</v>
      </c>
      <c r="FY149" s="1078" t="s">
        <v>835</v>
      </c>
      <c r="FZ149" s="1078" t="s">
        <v>836</v>
      </c>
    </row>
    <row s="1751" customFormat="1" customHeight="1" ht="16.5" hidden="1">
      <c r="A150" s="371"/>
      <c r="B150" s="1548"/>
      <c r="C150" s="1548"/>
      <c r="D150" s="1548"/>
      <c r="E150" s="180">
        <v>17</v>
      </c>
      <c r="F150" s="175" cm="1" t="str">
        <f t="array" ref="F150:F150">OFFSET(G150,-1,-1)</f>
        <v>1</v>
      </c>
      <c r="G150" s="1659"/>
      <c r="H150" s="1659"/>
      <c r="I150" s="1659"/>
      <c r="J150" s="1659"/>
      <c r="K150" s="1659"/>
      <c r="L150" s="175" cm="1" t="str">
        <f t="array" ref="L150:L150">OFFSET(M150,-1,-1)</f>
        <v>false</v>
      </c>
      <c r="M150" s="1659"/>
      <c r="N150" s="1659"/>
      <c r="O150" s="1659"/>
      <c r="P150" s="1659"/>
      <c r="Q150" s="1659"/>
      <c r="R150" s="175" t="s">
        <v>804</v>
      </c>
      <c r="S150" s="175" cm="1" t="str">
        <f t="array" ref="S150:S150">OFFSET(T150,-1,-1)</f>
        <v>true</v>
      </c>
      <c r="T150" s="175" cm="1" t="str">
        <f t="array" ref="T150:T150">T149</f>
        <v>false</v>
      </c>
      <c r="U150" s="753">
        <f>AND(S150,IF(ISBLANK(T150),TRUE,T150))</f>
        <v>0</v>
      </c>
      <c r="V150" s="1548"/>
      <c r="W150" s="1548"/>
      <c r="X150" s="1548"/>
      <c r="Y150" s="1548"/>
      <c r="Z150" s="1548"/>
      <c r="AA150" s="1009"/>
      <c r="AB150" s="1646"/>
      <c r="AC150" s="1751"/>
      <c r="AD150" s="491">
        <v>5.1</v>
      </c>
      <c r="AE150" s="1631" t="s">
        <v>837</v>
      </c>
      <c r="AF150" s="501"/>
      <c r="AG150" s="491" t="s">
        <v>495</v>
      </c>
      <c r="AH150" s="503">
        <f>_xlfn.IFERROR(AH149/AH146,0)</f>
        <v>0</v>
      </c>
      <c r="AI150" s="504">
        <f>_xlfn.IFERROR(AI149/AI146,0)</f>
        <v>0</v>
      </c>
      <c r="AJ150" s="504">
        <f>_xlfn.IFERROR(AJ149/AJ146,0)</f>
        <v>0</v>
      </c>
      <c r="AK150" s="504">
        <f>_xlfn.IFERROR(AK149/AK146,0)</f>
        <v>0</v>
      </c>
      <c r="AL150" s="504">
        <f>_xlfn.IFERROR(AL149/AL146,0)</f>
        <v>0</v>
      </c>
      <c r="AM150" s="504">
        <f>_xlfn.IFERROR(AM149/AM146,0)</f>
        <v>0</v>
      </c>
      <c r="AN150" s="504">
        <f>_xlfn.IFERROR(AN149/AN146,0)</f>
        <v>0</v>
      </c>
      <c r="AO150" s="504">
        <f>_xlfn.IFERROR(AO149/AO146,0)</f>
        <v>0</v>
      </c>
      <c r="AP150" s="504">
        <f>_xlfn.IFERROR(AP149/AP146,0)</f>
        <v>0</v>
      </c>
      <c r="AQ150" s="504">
        <f>_xlfn.IFERROR(AQ149/AQ146,0)</f>
        <v>0</v>
      </c>
      <c r="AR150" s="504">
        <f>_xlfn.IFERROR(AR149/AR146,0)</f>
        <v>0</v>
      </c>
      <c r="AS150" s="504">
        <f>_xlfn.IFERROR(AS149/AS146,0)</f>
        <v>0</v>
      </c>
      <c r="AT150" s="504">
        <f>_xlfn.IFERROR(AT149/AT146,0)</f>
        <v>0</v>
      </c>
      <c r="AU150" s="504">
        <f>_xlfn.IFERROR(AU149/AU146,0)</f>
        <v>0</v>
      </c>
      <c r="AV150" s="504">
        <f>_xlfn.IFERROR(AV149/AV146,0)</f>
        <v>0</v>
      </c>
      <c r="AW150" s="504">
        <f>_xlfn.IFERROR(AW149/AW146,0)</f>
        <v>0</v>
      </c>
      <c r="AX150" s="504">
        <f>_xlfn.IFERROR(AX149/AX146,0)</f>
        <v>0</v>
      </c>
      <c r="AY150" s="504">
        <f>_xlfn.IFERROR(AY149/AY146,0)</f>
        <v>0</v>
      </c>
      <c r="AZ150" s="504">
        <f>_xlfn.IFERROR(AZ149/AZ146,0)</f>
        <v>0</v>
      </c>
      <c r="BA150" s="504">
        <f>_xlfn.IFERROR(BA149/BA146,0)</f>
        <v>0</v>
      </c>
      <c r="BB150" s="504">
        <f>_xlfn.IFERROR(BB149/BB146,0)</f>
        <v>0</v>
      </c>
      <c r="BC150" s="504">
        <f>_xlfn.IFERROR(BC149/BC146,0)</f>
        <v>0</v>
      </c>
      <c r="BD150" s="504">
        <f>_xlfn.IFERROR(BD149/BD146,0)</f>
        <v>0</v>
      </c>
      <c r="BE150" s="504">
        <f>_xlfn.IFERROR(BE149/BE146,0)</f>
        <v>0</v>
      </c>
      <c r="BF150" s="504">
        <f>_xlfn.IFERROR(BF149/BF146,0)</f>
        <v>0</v>
      </c>
      <c r="BG150" s="504">
        <f>_xlfn.IFERROR(BG149/BG146,0)</f>
        <v>0</v>
      </c>
      <c r="BH150" s="504">
        <f>_xlfn.IFERROR(BH149/BH146,0)</f>
        <v>0</v>
      </c>
      <c r="BI150" s="504">
        <f>_xlfn.IFERROR(BI149/BI146,0)</f>
        <v>0</v>
      </c>
      <c r="BJ150" s="504">
        <f>_xlfn.IFERROR(BJ149/BJ146,0)</f>
        <v>0</v>
      </c>
      <c r="BK150" s="504">
        <f>_xlfn.IFERROR(BK149/BK146,0)</f>
        <v>0</v>
      </c>
      <c r="BL150" s="504">
        <f>_xlfn.IFERROR(BL149/BL146,0)</f>
        <v>0</v>
      </c>
      <c r="BM150" s="504">
        <f>_xlfn.IFERROR(BM149/BM146,0)</f>
        <v>0</v>
      </c>
      <c r="BN150" s="504">
        <f>_xlfn.IFERROR(BN149/BN146,0)</f>
        <v>0</v>
      </c>
      <c r="BO150" s="504">
        <f>_xlfn.IFERROR(BO149/BO146,0)</f>
        <v>0</v>
      </c>
      <c r="BP150" s="504">
        <f>_xlfn.IFERROR(BP149/BP146,0)</f>
        <v>0</v>
      </c>
      <c r="BQ150" s="504">
        <f>_xlfn.IFERROR(BQ149/BQ146,0)</f>
        <v>0</v>
      </c>
      <c r="BR150" s="504">
        <f>_xlfn.IFERROR(BR149/BR146,0)</f>
        <v>0</v>
      </c>
      <c r="BS150" s="504">
        <f>_xlfn.IFERROR(BS149/BS146,0)</f>
        <v>0</v>
      </c>
      <c r="BT150" s="504">
        <f>_xlfn.IFERROR(BT149/BT146,0)</f>
        <v>0</v>
      </c>
      <c r="BU150" s="504">
        <f>_xlfn.IFERROR(BU149/BU146,0)</f>
        <v>0</v>
      </c>
      <c r="BV150" s="504">
        <f>_xlfn.IFERROR(BV149/BV146,0)</f>
        <v>0</v>
      </c>
      <c r="BW150" s="504">
        <f>_xlfn.IFERROR(BW149/BW146,0)</f>
        <v>0</v>
      </c>
      <c r="BX150" s="504">
        <f>_xlfn.IFERROR(BX149/BX146,0)</f>
        <v>0</v>
      </c>
      <c r="BY150" s="504">
        <f>_xlfn.IFERROR(BY149/BY146,0)</f>
        <v>0</v>
      </c>
      <c r="BZ150" s="504">
        <f>_xlfn.IFERROR(BZ149/BZ146,0)</f>
        <v>0</v>
      </c>
      <c r="CA150" s="504">
        <f>_xlfn.IFERROR(CA149/CA146,0)</f>
        <v>0</v>
      </c>
      <c r="CB150" s="504">
        <f>_xlfn.IFERROR(CB149/CB146,0)</f>
        <v>0</v>
      </c>
      <c r="CC150" s="504">
        <f>_xlfn.IFERROR(CC149/CC146,0)</f>
        <v>0</v>
      </c>
      <c r="CD150" s="504">
        <f>_xlfn.IFERROR(CD149/CD146,0)</f>
        <v>0</v>
      </c>
      <c r="CE150" s="504">
        <f>_xlfn.IFERROR(CE149/CE146,0)</f>
        <v>0</v>
      </c>
      <c r="CF150" s="504">
        <f>_xlfn.IFERROR(CF149/CF146,0)</f>
        <v>0</v>
      </c>
      <c r="CG150" s="504">
        <f>_xlfn.IFERROR(CG149/CG146,0)</f>
        <v>0</v>
      </c>
      <c r="CH150" s="504">
        <f>_xlfn.IFERROR(CH149/CH146,0)</f>
        <v>0</v>
      </c>
      <c r="CI150" s="504">
        <f>_xlfn.IFERROR(CI149/CI146,0)</f>
        <v>0</v>
      </c>
      <c r="CJ150" s="504">
        <f>_xlfn.IFERROR(CJ149/CJ146,0)</f>
        <v>0</v>
      </c>
      <c r="CK150" s="504">
        <f>_xlfn.IFERROR(CK149/CK146,0)</f>
        <v>0</v>
      </c>
      <c r="CL150" s="504">
        <f>_xlfn.IFERROR(CL149/CL146,0)</f>
        <v>0</v>
      </c>
      <c r="CM150" s="504">
        <f>_xlfn.IFERROR(CM149/CM146,0)</f>
        <v>0</v>
      </c>
      <c r="CN150" s="504">
        <f>_xlfn.IFERROR(CN149/CN146,0)</f>
        <v>0</v>
      </c>
      <c r="CO150" s="504">
        <f>_xlfn.IFERROR(CO149/CO146,0)</f>
        <v>0</v>
      </c>
      <c r="CP150" s="504">
        <f>_xlfn.IFERROR(CP149/CP146,0)</f>
        <v>0</v>
      </c>
      <c r="CQ150" s="504">
        <f>_xlfn.IFERROR(CQ149/CQ146,0)</f>
        <v>0</v>
      </c>
      <c r="CR150" s="504">
        <f>_xlfn.IFERROR(CR149/CR146,0)</f>
        <v>0</v>
      </c>
      <c r="CS150" s="504">
        <f>_xlfn.IFERROR(CS149/CS146,0)</f>
        <v>0</v>
      </c>
      <c r="CT150" s="504">
        <f>_xlfn.IFERROR(CT149/CT146,0)</f>
        <v>0</v>
      </c>
      <c r="CU150" s="504">
        <f>_xlfn.IFERROR(CU149/CU146,0)</f>
        <v>0</v>
      </c>
      <c r="CV150" s="504">
        <f>_xlfn.IFERROR(CV149/CV146,0)</f>
        <v>0</v>
      </c>
      <c r="CW150" s="504">
        <f>_xlfn.IFERROR(CW149/CW146,0)</f>
        <v>0</v>
      </c>
      <c r="CX150" s="504">
        <f>_xlfn.IFERROR(CX149/CX146,0)</f>
        <v>0</v>
      </c>
      <c r="CY150" s="504">
        <f>_xlfn.IFERROR(CY149/CY146,0)</f>
        <v>0</v>
      </c>
      <c r="CZ150" s="504">
        <f>_xlfn.IFERROR(CZ149/CZ146,0)</f>
        <v>0</v>
      </c>
      <c r="DA150" s="504">
        <f>_xlfn.IFERROR(DA149/DA146,0)</f>
        <v>0</v>
      </c>
      <c r="DB150" s="504">
        <f>_xlfn.IFERROR(DB149/DB146,0)</f>
        <v>0</v>
      </c>
      <c r="DC150" s="504">
        <f>_xlfn.IFERROR(DC149/DC146,0)</f>
        <v>0</v>
      </c>
      <c r="DD150" s="504">
        <f>_xlfn.IFERROR(DD149/DD146,0)</f>
        <v>0</v>
      </c>
      <c r="DE150" s="504">
        <f>_xlfn.IFERROR(DE149/DE146,0)</f>
        <v>0</v>
      </c>
      <c r="DF150" s="504">
        <f>_xlfn.IFERROR(DF149/DF146,0)</f>
        <v>0</v>
      </c>
      <c r="DG150" s="504">
        <f>_xlfn.IFERROR(DG149/DG146,0)</f>
        <v>0</v>
      </c>
      <c r="DH150" s="504">
        <f>_xlfn.IFERROR(DH149/DH146,0)</f>
        <v>0</v>
      </c>
      <c r="DI150" s="504">
        <f>_xlfn.IFERROR(DI149/DI146,0)</f>
        <v>0</v>
      </c>
      <c r="DJ150" s="504">
        <f>_xlfn.IFERROR(DJ149/DJ146,0)</f>
        <v>0</v>
      </c>
      <c r="DK150" s="504">
        <f>_xlfn.IFERROR(DK149/DK146,0)</f>
        <v>0</v>
      </c>
      <c r="DL150" s="504">
        <f>_xlfn.IFERROR(DL149/DL146,0)</f>
        <v>0</v>
      </c>
      <c r="DM150" s="504">
        <f>_xlfn.IFERROR(DM149/DM146,0)</f>
        <v>0</v>
      </c>
      <c r="DN150" s="504">
        <f>_xlfn.IFERROR(DN149/DN146,0)</f>
        <v>0</v>
      </c>
      <c r="DO150" s="504">
        <f>_xlfn.IFERROR(DO149/DO146,0)</f>
        <v>0</v>
      </c>
      <c r="DP150" s="504">
        <f>_xlfn.IFERROR(DP149/DP146,0)</f>
        <v>0</v>
      </c>
      <c r="DQ150" s="504">
        <f>_xlfn.IFERROR(DQ149/DQ146,0)</f>
        <v>0</v>
      </c>
      <c r="DR150" s="504">
        <f>_xlfn.IFERROR(DR149/DR146,0)</f>
        <v>0</v>
      </c>
      <c r="DS150" s="504">
        <f>_xlfn.IFERROR(DS149/DS146,0)</f>
        <v>0</v>
      </c>
      <c r="DT150" s="504">
        <f>_xlfn.IFERROR(DT149/DT146,0)</f>
        <v>0</v>
      </c>
      <c r="DU150" s="504">
        <f>_xlfn.IFERROR(DU149/DU146,0)</f>
        <v>0</v>
      </c>
      <c r="DV150" s="504">
        <f>_xlfn.IFERROR(DV149/DV146,0)</f>
        <v>0</v>
      </c>
      <c r="DW150" s="504">
        <f>_xlfn.IFERROR(DW149/DW146,0)</f>
        <v>0</v>
      </c>
      <c r="DX150" s="504">
        <f>_xlfn.IFERROR(DX149/DX146,0)</f>
        <v>0</v>
      </c>
      <c r="DY150" s="504">
        <f>_xlfn.IFERROR(DY149/DY146,0)</f>
        <v>0</v>
      </c>
      <c r="DZ150" s="504">
        <f>_xlfn.IFERROR(DZ149/DZ146,0)</f>
        <v>0</v>
      </c>
      <c r="EA150" s="504">
        <f>_xlfn.IFERROR(EA149/EA146,0)</f>
        <v>0</v>
      </c>
      <c r="EB150" s="504">
        <f>_xlfn.IFERROR(EB149/EB146,0)</f>
        <v>0</v>
      </c>
      <c r="EC150" s="504">
        <f>_xlfn.IFERROR(EC149/EC146,0)</f>
        <v>0</v>
      </c>
      <c r="ED150" s="504">
        <f>_xlfn.IFERROR(ED149/ED146,0)</f>
        <v>0</v>
      </c>
      <c r="EE150" s="504">
        <f>_xlfn.IFERROR(EE149/EE146,0)</f>
        <v>0</v>
      </c>
      <c r="EF150" s="504">
        <f>_xlfn.IFERROR(EF149/EF146,0)</f>
        <v>0</v>
      </c>
      <c r="EG150" s="504">
        <f>_xlfn.IFERROR(EG149/EG146,0)</f>
        <v>0</v>
      </c>
      <c r="EH150" s="504">
        <f>_xlfn.IFERROR(EH149/EH146,0)</f>
        <v>0</v>
      </c>
      <c r="EI150" s="504">
        <f>_xlfn.IFERROR(EI149/EI146,0)</f>
        <v>0</v>
      </c>
      <c r="EJ150" s="504">
        <f>_xlfn.IFERROR(EJ149/EJ146,0)</f>
        <v>0</v>
      </c>
      <c r="EK150" s="504">
        <f>_xlfn.IFERROR(EK149/EK146,0)</f>
        <v>0</v>
      </c>
      <c r="EL150" s="504">
        <f>_xlfn.IFERROR(EL149/EL146,0)</f>
        <v>0</v>
      </c>
      <c r="EM150" s="504">
        <f>_xlfn.IFERROR(EM149/EM146,0)</f>
        <v>0</v>
      </c>
      <c r="EN150" s="504">
        <f>_xlfn.IFERROR(EN149/EN146,0)</f>
        <v>0</v>
      </c>
      <c r="EO150" s="504">
        <f>_xlfn.IFERROR(EO149/EO146,0)</f>
        <v>0</v>
      </c>
      <c r="EP150" s="504">
        <f>_xlfn.IFERROR(EP149/EP146,0)</f>
        <v>0</v>
      </c>
      <c r="EQ150" s="504">
        <f>_xlfn.IFERROR(EQ149/EQ146,0)</f>
        <v>0</v>
      </c>
      <c r="ER150" s="504">
        <f>_xlfn.IFERROR(ER149/ER146,0)</f>
        <v>0</v>
      </c>
      <c r="ES150" s="504">
        <f>_xlfn.IFERROR(ES149/ES146,0)</f>
        <v>0</v>
      </c>
      <c r="ET150" s="504">
        <f>_xlfn.IFERROR(ET149/ET146,0)</f>
        <v>0</v>
      </c>
      <c r="EU150" s="504">
        <f>_xlfn.IFERROR(EU149/EU146,0)</f>
        <v>0</v>
      </c>
      <c r="EV150" s="504">
        <f>_xlfn.IFERROR(EV149/EV146,0)</f>
        <v>0</v>
      </c>
      <c r="EW150" s="504">
        <f>_xlfn.IFERROR(EW149/EW146,0)</f>
        <v>0</v>
      </c>
      <c r="EX150" s="504">
        <f>_xlfn.IFERROR(EX149/EX146,0)</f>
        <v>0</v>
      </c>
      <c r="EY150" s="504">
        <f>_xlfn.IFERROR(EY149/EY146,0)</f>
        <v>0</v>
      </c>
      <c r="EZ150" s="504">
        <f>_xlfn.IFERROR(EZ149/EZ146,0)</f>
        <v>0</v>
      </c>
      <c r="FA150" s="504">
        <f>_xlfn.IFERROR(FA149/FA146,0)</f>
        <v>0</v>
      </c>
      <c r="FB150" s="83"/>
      <c r="FC150" s="1751"/>
      <c r="FD150" s="1506"/>
      <c r="FE150" s="489" t="s">
        <v>842</v>
      </c>
      <c r="FF150" s="648"/>
      <c r="FG150" s="648"/>
      <c r="FH150" s="648"/>
      <c r="FI150" s="649"/>
      <c r="FJ150" s="649"/>
      <c r="FK150" s="1157" cm="1" t="str">
        <f t="array" ref="FK150:FK150">OFFSET(FJ150,-1,1)</f>
        <v>ТЭ.42.31656254.0001</v>
      </c>
      <c r="FL150" s="1078" t="s">
        <v>518</v>
      </c>
      <c r="FM150" s="1159"/>
      <c r="FN150" s="1078" t="s">
        <v>841</v>
      </c>
      <c r="FO150" s="1159"/>
      <c r="FP150" s="1159"/>
      <c r="FQ150" s="1159"/>
      <c r="FR150" s="1159"/>
      <c r="FS150" s="1159"/>
      <c r="FT150" s="1159"/>
      <c r="FU150" s="1159"/>
      <c r="FV150" s="1078" t="s">
        <v>255</v>
      </c>
      <c r="FW150" s="1159"/>
      <c r="FX150" s="1078" t="s">
        <v>303</v>
      </c>
      <c r="FY150" s="1078" t="s">
        <v>820</v>
      </c>
      <c r="FZ150" s="1078" t="s">
        <v>821</v>
      </c>
    </row>
    <row s="1751" customFormat="1" customHeight="1" ht="16.5" hidden="1">
      <c r="A151" s="371"/>
      <c r="B151" s="1548"/>
      <c r="C151" s="1548"/>
      <c r="D151" s="1548"/>
      <c r="E151" s="180">
        <v>17</v>
      </c>
      <c r="F151" s="175" cm="1" t="str">
        <f t="array" ref="F151:F151">OFFSET(G151,-1,-1)</f>
        <v>1</v>
      </c>
      <c r="G151" s="1659"/>
      <c r="H151" s="1659"/>
      <c r="I151" s="1659"/>
      <c r="J151" s="1659"/>
      <c r="K151" s="1659"/>
      <c r="L151" s="175" cm="1" t="str">
        <f t="array" ref="L151:L151">OFFSET(M151,-1,-1)</f>
        <v>false</v>
      </c>
      <c r="M151" s="1659"/>
      <c r="N151" s="1659"/>
      <c r="O151" s="1659"/>
      <c r="P151" s="1659"/>
      <c r="Q151" s="1659"/>
      <c r="R151" s="175" t="s">
        <v>804</v>
      </c>
      <c r="S151" s="175" cm="1" t="str">
        <f t="array" ref="S151:S151">OFFSET(T151,-1,-1)</f>
        <v>true</v>
      </c>
      <c r="T151" s="175" cm="1" t="str">
        <f t="array" ref="T151:T151">T150</f>
        <v>false</v>
      </c>
      <c r="U151" s="753">
        <f>AND(S151,IF(ISBLANK(T151),TRUE,T151))</f>
        <v>0</v>
      </c>
      <c r="V151" s="1548"/>
      <c r="W151" s="1548"/>
      <c r="X151" s="1548"/>
      <c r="Y151" s="1548"/>
      <c r="Z151" s="1548"/>
      <c r="AA151" s="1009"/>
      <c r="AB151" s="1646"/>
      <c r="AC151" s="1751"/>
      <c r="AD151" s="491">
        <v>6</v>
      </c>
      <c r="AE151" s="1638" t="s">
        <v>843</v>
      </c>
      <c r="AF151" s="1639"/>
      <c r="AG151" s="491" t="s">
        <v>807</v>
      </c>
      <c r="AH151" s="500">
        <f>AH146-AH147-AH149</f>
        <v>0</v>
      </c>
      <c r="AI151" s="499">
        <f>AI146-AI147-AI149</f>
        <v>0</v>
      </c>
      <c r="AJ151" s="499">
        <f>AJ146-AJ147-AJ149</f>
        <v>0</v>
      </c>
      <c r="AK151" s="499">
        <f>AK146-AK147-AK149</f>
        <v>0</v>
      </c>
      <c r="AL151" s="499">
        <f>AL146-AL147-AL149</f>
        <v>0</v>
      </c>
      <c r="AM151" s="499">
        <f>AM146-AM147-AM149</f>
        <v>0</v>
      </c>
      <c r="AN151" s="499">
        <f>AN146-AN147-AN149</f>
        <v>0</v>
      </c>
      <c r="AO151" s="499">
        <f>AO146-AO147-AO149</f>
        <v>0</v>
      </c>
      <c r="AP151" s="499">
        <f>AP146-AP147-AP149</f>
        <v>0</v>
      </c>
      <c r="AQ151" s="499">
        <f>AQ146-AQ147-AQ149</f>
        <v>0</v>
      </c>
      <c r="AR151" s="499">
        <f>AR146-AR147-AR149</f>
        <v>0</v>
      </c>
      <c r="AS151" s="499">
        <f>AS146-AS147-AS149</f>
        <v>0</v>
      </c>
      <c r="AT151" s="499">
        <f>AT146-AT147-AT149</f>
        <v>0</v>
      </c>
      <c r="AU151" s="499">
        <f>AU146-AU147-AU149</f>
        <v>0</v>
      </c>
      <c r="AV151" s="499">
        <f>AV146-AV147-AV149</f>
        <v>0</v>
      </c>
      <c r="AW151" s="499">
        <f>AW146-AW147-AW149</f>
        <v>0</v>
      </c>
      <c r="AX151" s="499">
        <f>AX146-AX147-AX149</f>
        <v>0</v>
      </c>
      <c r="AY151" s="499">
        <f>AY146-AY147-AY149</f>
        <v>0</v>
      </c>
      <c r="AZ151" s="499">
        <f>AZ146-AZ147-AZ149</f>
        <v>0</v>
      </c>
      <c r="BA151" s="499">
        <f>BA146-BA147-BA149</f>
        <v>0</v>
      </c>
      <c r="BB151" s="499">
        <f>BB146-BB147-BB149</f>
        <v>0</v>
      </c>
      <c r="BC151" s="499">
        <f>BC146-BC147-BC149</f>
        <v>0</v>
      </c>
      <c r="BD151" s="499">
        <f>BD146-BD147-BD149</f>
        <v>0</v>
      </c>
      <c r="BE151" s="499">
        <f>BE146-BE147-BE149</f>
        <v>0</v>
      </c>
      <c r="BF151" s="499">
        <f>BF146-BF147-BF149</f>
        <v>0</v>
      </c>
      <c r="BG151" s="499">
        <f>BG146-BG147-BG149</f>
        <v>0</v>
      </c>
      <c r="BH151" s="499">
        <f>BH146-BH147-BH149</f>
        <v>0</v>
      </c>
      <c r="BI151" s="499">
        <f>BI146-BI147-BI149</f>
        <v>0</v>
      </c>
      <c r="BJ151" s="499">
        <f>BJ146-BJ147-BJ149</f>
        <v>0</v>
      </c>
      <c r="BK151" s="499">
        <f>BK146-BK147-BK149</f>
        <v>0</v>
      </c>
      <c r="BL151" s="499">
        <f>BL146-BL147-BL149</f>
        <v>0</v>
      </c>
      <c r="BM151" s="499">
        <f>BM146-BM147-BM149</f>
        <v>0</v>
      </c>
      <c r="BN151" s="499">
        <f>BN146-BN147-BN149</f>
        <v>0</v>
      </c>
      <c r="BO151" s="499">
        <f>BO146-BO147-BO149</f>
        <v>0</v>
      </c>
      <c r="BP151" s="499">
        <f>BP146-BP147-BP149</f>
        <v>0</v>
      </c>
      <c r="BQ151" s="499">
        <f>BQ146-BQ147-BQ149</f>
        <v>0</v>
      </c>
      <c r="BR151" s="499">
        <f>BR146-BR147-BR149</f>
        <v>0</v>
      </c>
      <c r="BS151" s="499">
        <f>BS146-BS147-BS149</f>
        <v>0</v>
      </c>
      <c r="BT151" s="499">
        <f>BT146-BT147-BT149</f>
        <v>0</v>
      </c>
      <c r="BU151" s="499">
        <f>BU146-BU147-BU149</f>
        <v>0</v>
      </c>
      <c r="BV151" s="499">
        <f>BV146-BV147-BV149</f>
        <v>0</v>
      </c>
      <c r="BW151" s="499">
        <f>BW146-BW147-BW149</f>
        <v>0</v>
      </c>
      <c r="BX151" s="499">
        <f>BX146-BX147-BX149</f>
        <v>0</v>
      </c>
      <c r="BY151" s="499">
        <f>BY146-BY147-BY149</f>
        <v>0</v>
      </c>
      <c r="BZ151" s="499">
        <f>BZ146-BZ147-BZ149</f>
        <v>0</v>
      </c>
      <c r="CA151" s="499">
        <f>CA146-CA147-CA149</f>
        <v>0</v>
      </c>
      <c r="CB151" s="499">
        <f>CB146-CB147-CB149</f>
        <v>0</v>
      </c>
      <c r="CC151" s="499">
        <f>CC146-CC147-CC149</f>
        <v>0</v>
      </c>
      <c r="CD151" s="499">
        <f>CD146-CD147-CD149</f>
        <v>0</v>
      </c>
      <c r="CE151" s="499">
        <f>CE146-CE147-CE149</f>
        <v>0</v>
      </c>
      <c r="CF151" s="499">
        <f>CF146-CF147-CF149</f>
        <v>0</v>
      </c>
      <c r="CG151" s="499">
        <f>CG146-CG147-CG149</f>
        <v>0</v>
      </c>
      <c r="CH151" s="499">
        <f>CH146-CH147-CH149</f>
        <v>0</v>
      </c>
      <c r="CI151" s="499">
        <f>CI146-CI147-CI149</f>
        <v>0</v>
      </c>
      <c r="CJ151" s="499">
        <f>CJ146-CJ147-CJ149</f>
        <v>0</v>
      </c>
      <c r="CK151" s="499">
        <f>CK146-CK147-CK149</f>
        <v>0</v>
      </c>
      <c r="CL151" s="499">
        <f>CL146-CL147-CL149</f>
        <v>0</v>
      </c>
      <c r="CM151" s="499">
        <f>CM146-CM147-CM149</f>
        <v>0</v>
      </c>
      <c r="CN151" s="499">
        <f>CN146-CN147-CN149</f>
        <v>0</v>
      </c>
      <c r="CO151" s="499">
        <f>CO146-CO147-CO149</f>
        <v>0</v>
      </c>
      <c r="CP151" s="499">
        <f>CP146-CP147-CP149</f>
        <v>0</v>
      </c>
      <c r="CQ151" s="499">
        <f>CQ146-CQ147-CQ149</f>
        <v>0</v>
      </c>
      <c r="CR151" s="499">
        <f>CR146-CR147-CR149</f>
        <v>0</v>
      </c>
      <c r="CS151" s="499">
        <f>CS146-CS147-CS149</f>
        <v>0</v>
      </c>
      <c r="CT151" s="499">
        <f>CT146-CT147-CT149</f>
        <v>0</v>
      </c>
      <c r="CU151" s="499">
        <f>CU146-CU147-CU149</f>
        <v>0</v>
      </c>
      <c r="CV151" s="499">
        <f>CV146-CV147-CV149</f>
        <v>0</v>
      </c>
      <c r="CW151" s="499">
        <f>CW146-CW147-CW149</f>
        <v>0</v>
      </c>
      <c r="CX151" s="499">
        <f>CX146-CX147-CX149</f>
        <v>0</v>
      </c>
      <c r="CY151" s="499">
        <f>CY146-CY147-CY149</f>
        <v>0</v>
      </c>
      <c r="CZ151" s="499">
        <f>CZ146-CZ147-CZ149</f>
        <v>0</v>
      </c>
      <c r="DA151" s="499">
        <f>DA146-DA147-DA149</f>
        <v>0</v>
      </c>
      <c r="DB151" s="499">
        <f>DB146-DB147-DB149</f>
        <v>0</v>
      </c>
      <c r="DC151" s="499">
        <f>DC146-DC147-DC149</f>
        <v>0</v>
      </c>
      <c r="DD151" s="499">
        <f>DD146-DD147-DD149</f>
        <v>0</v>
      </c>
      <c r="DE151" s="499">
        <f>DE146-DE147-DE149</f>
        <v>0</v>
      </c>
      <c r="DF151" s="499">
        <f>DF146-DF147-DF149</f>
        <v>0</v>
      </c>
      <c r="DG151" s="499">
        <f>DG146-DG147-DG149</f>
        <v>0</v>
      </c>
      <c r="DH151" s="499">
        <f>DH146-DH147-DH149</f>
        <v>0</v>
      </c>
      <c r="DI151" s="499">
        <f>DI146-DI147-DI149</f>
        <v>0</v>
      </c>
      <c r="DJ151" s="499">
        <f>DJ146-DJ147-DJ149</f>
        <v>0</v>
      </c>
      <c r="DK151" s="499">
        <f>DK146-DK147-DK149</f>
        <v>0</v>
      </c>
      <c r="DL151" s="499">
        <f>DL146-DL147-DL149</f>
        <v>0</v>
      </c>
      <c r="DM151" s="499">
        <f>DM146-DM147-DM149</f>
        <v>0</v>
      </c>
      <c r="DN151" s="499">
        <f>DN146-DN147-DN149</f>
        <v>0</v>
      </c>
      <c r="DO151" s="499">
        <f>DO146-DO147-DO149</f>
        <v>0</v>
      </c>
      <c r="DP151" s="499">
        <f>DP146-DP147-DP149</f>
        <v>0</v>
      </c>
      <c r="DQ151" s="499">
        <f>DQ146-DQ147-DQ149</f>
        <v>0</v>
      </c>
      <c r="DR151" s="499">
        <f>DR146-DR147-DR149</f>
        <v>0</v>
      </c>
      <c r="DS151" s="499">
        <f>DS146-DS147-DS149</f>
        <v>0</v>
      </c>
      <c r="DT151" s="499">
        <f>DT146-DT147-DT149</f>
        <v>0</v>
      </c>
      <c r="DU151" s="499">
        <f>DU146-DU147-DU149</f>
        <v>0</v>
      </c>
      <c r="DV151" s="499">
        <f>DV146-DV147-DV149</f>
        <v>0</v>
      </c>
      <c r="DW151" s="499">
        <f>DW146-DW147-DW149</f>
        <v>0</v>
      </c>
      <c r="DX151" s="499">
        <f>DX146-DX147-DX149</f>
        <v>0</v>
      </c>
      <c r="DY151" s="499">
        <f>DY146-DY147-DY149</f>
        <v>0</v>
      </c>
      <c r="DZ151" s="499">
        <f>DZ146-DZ147-DZ149</f>
        <v>0</v>
      </c>
      <c r="EA151" s="499">
        <f>EA146-EA147-EA149</f>
        <v>0</v>
      </c>
      <c r="EB151" s="499">
        <f>EB146-EB147-EB149</f>
        <v>0</v>
      </c>
      <c r="EC151" s="499">
        <f>EC146-EC147-EC149</f>
        <v>0</v>
      </c>
      <c r="ED151" s="499">
        <f>ED146-ED147-ED149</f>
        <v>0</v>
      </c>
      <c r="EE151" s="499">
        <f>EE146-EE147-EE149</f>
        <v>0</v>
      </c>
      <c r="EF151" s="499">
        <f>EF146-EF147-EF149</f>
        <v>0</v>
      </c>
      <c r="EG151" s="499">
        <f>EG146-EG147-EG149</f>
        <v>0</v>
      </c>
      <c r="EH151" s="499">
        <f>EH146-EH147-EH149</f>
        <v>0</v>
      </c>
      <c r="EI151" s="499">
        <f>EI146-EI147-EI149</f>
        <v>0</v>
      </c>
      <c r="EJ151" s="499">
        <f>EJ146-EJ147-EJ149</f>
        <v>0</v>
      </c>
      <c r="EK151" s="499">
        <f>EK146-EK147-EK149</f>
        <v>0</v>
      </c>
      <c r="EL151" s="499">
        <f>EL146-EL147-EL149</f>
        <v>0</v>
      </c>
      <c r="EM151" s="499">
        <f>EM146-EM147-EM149</f>
        <v>0</v>
      </c>
      <c r="EN151" s="499">
        <f>EN146-EN147-EN149</f>
        <v>0</v>
      </c>
      <c r="EO151" s="499">
        <f>EO146-EO147-EO149</f>
        <v>0</v>
      </c>
      <c r="EP151" s="499">
        <f>EP146-EP147-EP149</f>
        <v>0</v>
      </c>
      <c r="EQ151" s="499">
        <f>EQ146-EQ147-EQ149</f>
        <v>0</v>
      </c>
      <c r="ER151" s="499">
        <f>ER146-ER147-ER149</f>
        <v>0</v>
      </c>
      <c r="ES151" s="499">
        <f>ES146-ES147-ES149</f>
        <v>0</v>
      </c>
      <c r="ET151" s="499">
        <f>ET146-ET147-ET149</f>
        <v>0</v>
      </c>
      <c r="EU151" s="499">
        <f>EU146-EU147-EU149</f>
        <v>0</v>
      </c>
      <c r="EV151" s="499">
        <f>EV146-EV147-EV149</f>
        <v>0</v>
      </c>
      <c r="EW151" s="499">
        <f>EW146-EW147-EW149</f>
        <v>0</v>
      </c>
      <c r="EX151" s="499">
        <f>EX146-EX147-EX149</f>
        <v>0</v>
      </c>
      <c r="EY151" s="499">
        <f>EY146-EY147-EY149</f>
        <v>0</v>
      </c>
      <c r="EZ151" s="499">
        <f>EZ146-EZ147-EZ149</f>
        <v>0</v>
      </c>
      <c r="FA151" s="499">
        <f>FA146-FA147-FA149</f>
        <v>0</v>
      </c>
      <c r="FB151" s="83"/>
      <c r="FC151" s="1751"/>
      <c r="FD151" s="1506"/>
      <c r="FE151" s="489" t="s">
        <v>844</v>
      </c>
      <c r="FF151" s="648"/>
      <c r="FG151" s="648"/>
      <c r="FH151" s="648"/>
      <c r="FI151" s="649"/>
      <c r="FJ151" s="649"/>
      <c r="FK151" s="1157" cm="1" t="str">
        <f t="array" ref="FK151:FK151">OFFSET(FJ151,-1,1)</f>
        <v>ТЭ.42.31656254.0001</v>
      </c>
      <c r="FL151" s="1078" t="s">
        <v>518</v>
      </c>
      <c r="FM151" s="1159"/>
      <c r="FN151" s="1159"/>
      <c r="FO151" s="1078" t="s">
        <v>845</v>
      </c>
      <c r="FP151" s="1159"/>
      <c r="FQ151" s="1159"/>
      <c r="FR151" s="1159"/>
      <c r="FS151" s="1159"/>
      <c r="FT151" s="1159"/>
      <c r="FU151" s="1159"/>
      <c r="FV151" s="1159"/>
      <c r="FW151" s="1159"/>
      <c r="FX151" s="1078" t="s">
        <v>303</v>
      </c>
      <c r="FY151" s="1078" t="s">
        <v>846</v>
      </c>
      <c r="FZ151" s="1078" t="s">
        <v>847</v>
      </c>
    </row>
    <row s="1751" customFormat="1" customHeight="1" ht="29.25">
      <c r="A152" s="371"/>
      <c r="B152" s="1548"/>
      <c r="C152" s="1548"/>
      <c r="D152" s="1548"/>
      <c r="E152" s="180">
        <v>30</v>
      </c>
      <c r="F152" s="175" cm="1" t="str">
        <f t="array" ref="F152:F152">OFFSET(G152,-1,-1)</f>
        <v>1</v>
      </c>
      <c r="G152" s="1659"/>
      <c r="H152" s="1659"/>
      <c r="I152" s="1659"/>
      <c r="J152" s="1659"/>
      <c r="K152" s="1659"/>
      <c r="L152" s="175" cm="1" t="str">
        <f t="array" ref="L152:L152">OFFSET(M152,-1,-1)</f>
        <v>false</v>
      </c>
      <c r="M152" s="1659"/>
      <c r="N152" s="1659"/>
      <c r="O152" s="1659"/>
      <c r="P152" s="1659"/>
      <c r="Q152" s="1659"/>
      <c r="R152" s="1548"/>
      <c r="S152" s="175" cm="1" t="str">
        <f t="array" ref="S152:S152">OFFSET(T152,-1,-1)</f>
        <v>true</v>
      </c>
      <c r="T152" s="1548"/>
      <c r="U152" s="753">
        <f>AND(S152,IF(ISBLANK(T152),TRUE,T152))</f>
        <v>1</v>
      </c>
      <c r="V152" s="1548"/>
      <c r="W152" s="1548"/>
      <c r="X152" s="1548"/>
      <c r="Y152" s="1548"/>
      <c r="Z152" s="1548"/>
      <c r="AA152" s="1009"/>
      <c r="AB152" s="1646"/>
      <c r="AC152" s="1751"/>
      <c r="AD152" s="491">
        <v>7</v>
      </c>
      <c r="AE152" s="1634" t="s">
        <v>848</v>
      </c>
      <c r="AF152" s="505"/>
      <c r="AG152" s="506" t="s">
        <v>629</v>
      </c>
      <c r="AH152" s="2255">
        <f>_xlfn.SUMIFS('Баланс Пр'!AE$27:AE$165,'Баланс Пр'!$AB$27:$AB$165,"3.1",'Баланс Пр'!$F$27:$F$165,$F152)+_xlfn.SUMIFS('Баланс Пр'!AE$27:AE$165,'Баланс Пр'!$AB$27:$AB$165,"3.2",'Баланс Пр'!$F$27:$F$165,$F152)</f>
        <v>4383</v>
      </c>
      <c r="AI152" s="2255">
        <f>_xlfn.SUMIFS('Баланс Пр'!AF$27:AF$165,'Баланс Пр'!$AB$27:$AB$165,"3.1",'Баланс Пр'!$F$27:$F$165,$F152)+_xlfn.SUMIFS('Баланс Пр'!AF$27:AF$165,'Баланс Пр'!$AB$27:$AB$165,"3.2",'Баланс Пр'!$F$27:$F$165,$F152)</f>
        <v>4637</v>
      </c>
      <c r="AJ152" s="2255">
        <f>_xlfn.SUMIFS('Баланс Пр'!AG$27:AG$165,'Баланс Пр'!$AB$27:$AB$165,"3.1",'Баланс Пр'!$F$27:$F$165,$F152)+_xlfn.SUMIFS('Баланс Пр'!AG$27:AG$165,'Баланс Пр'!$AB$27:$AB$165,"3.2",'Баланс Пр'!$F$27:$F$165,$F152)</f>
        <v>4637</v>
      </c>
      <c r="AK152" s="2255">
        <f>_xlfn.SUMIFS('Баланс Пр'!AH$27:AH$165,'Баланс Пр'!$AB$27:$AB$165,"3.1",'Баланс Пр'!$F$27:$F$165,$F152)+_xlfn.SUMIFS('Баланс Пр'!AH$27:AH$165,'Баланс Пр'!$AB$27:$AB$165,"3.2",'Баланс Пр'!$F$27:$F$165,$F152)</f>
        <v>4671</v>
      </c>
      <c r="AL152" s="2255">
        <f>_xlfn.SUMIFS('Баланс Пр'!AI$27:AI$165,'Баланс Пр'!$AB$27:$AB$165,"3.1",'Баланс Пр'!$F$27:$F$165,$F152)+_xlfn.SUMIFS('Баланс Пр'!AI$27:AI$165,'Баланс Пр'!$AB$27:$AB$165,"3.2",'Баланс Пр'!$F$27:$F$165,$F152)</f>
        <v>4637</v>
      </c>
      <c r="AM152" s="2256">
        <v>2643</v>
      </c>
      <c r="AN152" s="2256">
        <f>AL152-AM152</f>
        <v>1994</v>
      </c>
      <c r="AO152" s="2255">
        <f>_xlfn.SUMIFS('Баланс Пр'!AJ$27:AJ$165,'Баланс Пр'!$AB$27:$AB$165,"3.1",'Баланс Пр'!$F$27:$F$165,$F152)+_xlfn.SUMIFS('Баланс Пр'!AJ$27:AJ$165,'Баланс Пр'!$AB$27:$AB$165,"3.2",'Баланс Пр'!$F$27:$F$165,$F152)</f>
        <v>0</v>
      </c>
      <c r="AP152" s="2256"/>
      <c r="AQ152" s="2256">
        <f>AO152-AP152</f>
        <v>0</v>
      </c>
      <c r="AR152" s="2255">
        <f>_xlfn.SUMIFS('Баланс Пр'!AK$27:AK$165,'Баланс Пр'!$AB$27:$AB$165,"3.1",'Баланс Пр'!$F$27:$F$165,$F152)+_xlfn.SUMIFS('Баланс Пр'!AK$27:AK$165,'Баланс Пр'!$AB$27:$AB$165,"3.2",'Баланс Пр'!$F$27:$F$165,$F152)</f>
        <v>0</v>
      </c>
      <c r="AS152" s="2256"/>
      <c r="AT152" s="2256">
        <f>AR152-AS152</f>
        <v>0</v>
      </c>
      <c r="AU152" s="2255">
        <f>_xlfn.SUMIFS('Баланс Пр'!AL$27:AL$165,'Баланс Пр'!$AB$27:$AB$165,"3.1",'Баланс Пр'!$F$27:$F$165,$F152)+_xlfn.SUMIFS('Баланс Пр'!AL$27:AL$165,'Баланс Пр'!$AB$27:$AB$165,"3.2",'Баланс Пр'!$F$27:$F$165,$F152)</f>
        <v>0</v>
      </c>
      <c r="AV152" s="2256"/>
      <c r="AW152" s="2256">
        <f>AU152-AV152</f>
        <v>0</v>
      </c>
      <c r="AX152" s="2255">
        <f>_xlfn.SUMIFS('Баланс Пр'!AM$27:AM$165,'Баланс Пр'!$AB$27:$AB$165,"3.1",'Баланс Пр'!$F$27:$F$165,$F152)+_xlfn.SUMIFS('Баланс Пр'!AM$27:AM$165,'Баланс Пр'!$AB$27:$AB$165,"3.2",'Баланс Пр'!$F$27:$F$165,$F152)</f>
        <v>0</v>
      </c>
      <c r="AY152" s="2256"/>
      <c r="AZ152" s="2256">
        <f>AX152-AY152</f>
        <v>0</v>
      </c>
      <c r="BA152" s="2255">
        <f>_xlfn.SUMIFS('Баланс Пр'!AN$27:AN$165,'Баланс Пр'!$AB$27:$AB$165,"3.1",'Баланс Пр'!$F$27:$F$165,$F152)+_xlfn.SUMIFS('Баланс Пр'!AN$27:AN$165,'Баланс Пр'!$AB$27:$AB$165,"3.2",'Баланс Пр'!$F$27:$F$165,$F152)</f>
        <v>0</v>
      </c>
      <c r="BB152" s="2256"/>
      <c r="BC152" s="2256">
        <f>BA152-BB152</f>
        <v>0</v>
      </c>
      <c r="BD152" s="2255">
        <f>_xlfn.SUMIFS('Баланс Пр'!AO$27:AO$165,'Баланс Пр'!$AB$27:$AB$165,"3.1",'Баланс Пр'!$F$27:$F$165,$F152)+_xlfn.SUMIFS('Баланс Пр'!AO$27:AO$165,'Баланс Пр'!$AB$27:$AB$165,"3.2",'Баланс Пр'!$F$27:$F$165,$F152)</f>
        <v>0</v>
      </c>
      <c r="BE152" s="2256"/>
      <c r="BF152" s="2256">
        <f>BD152-BE152</f>
        <v>0</v>
      </c>
      <c r="BG152" s="2255">
        <f>_xlfn.SUMIFS('Баланс Пр'!AP$27:AP$165,'Баланс Пр'!$AB$27:$AB$165,"3.1",'Баланс Пр'!$F$27:$F$165,$F152)+_xlfn.SUMIFS('Баланс Пр'!AP$27:AP$165,'Баланс Пр'!$AB$27:$AB$165,"3.2",'Баланс Пр'!$F$27:$F$165,$F152)</f>
        <v>0</v>
      </c>
      <c r="BH152" s="2256"/>
      <c r="BI152" s="2256">
        <f>BG152-BH152</f>
        <v>0</v>
      </c>
      <c r="BJ152" s="2255">
        <f>_xlfn.SUMIFS('Баланс Пр'!AQ$27:AQ$165,'Баланс Пр'!$AB$27:$AB$165,"3.1",'Баланс Пр'!$F$27:$F$165,$F152)+_xlfn.SUMIFS('Баланс Пр'!AQ$27:AQ$165,'Баланс Пр'!$AB$27:$AB$165,"3.2",'Баланс Пр'!$F$27:$F$165,$F152)</f>
        <v>0</v>
      </c>
      <c r="BK152" s="2256"/>
      <c r="BL152" s="2256">
        <f>BJ152-BK152</f>
        <v>0</v>
      </c>
      <c r="BM152" s="2255">
        <f>_xlfn.SUMIFS('Баланс Пр'!AR$27:AR$165,'Баланс Пр'!$AB$27:$AB$165,"3.1",'Баланс Пр'!$F$27:$F$165,$F152)+_xlfn.SUMIFS('Баланс Пр'!AR$27:AR$165,'Баланс Пр'!$AB$27:$AB$165,"3.2",'Баланс Пр'!$F$27:$F$165,$F152)</f>
        <v>0</v>
      </c>
      <c r="BN152" s="2256"/>
      <c r="BO152" s="2256">
        <f>BM152-BN152</f>
        <v>0</v>
      </c>
      <c r="BP152" s="2255">
        <f>_xlfn.SUMIFS('Баланс Пр'!AS$27:AS$165,'Баланс Пр'!$AB$27:$AB$165,"3.1",'Баланс Пр'!$F$27:$F$165,$F152)+_xlfn.SUMIFS('Баланс Пр'!AS$27:AS$165,'Баланс Пр'!$AB$27:$AB$165,"3.2",'Баланс Пр'!$F$27:$F$165,$F152)</f>
        <v>0</v>
      </c>
      <c r="BQ152" s="2256"/>
      <c r="BR152" s="2256">
        <f>BP152-BQ152</f>
        <v>0</v>
      </c>
      <c r="BS152" s="2255">
        <f>_xlfn.SUMIFS('Баланс Пр'!AT$27:AT$165,'Баланс Пр'!$AB$27:$AB$165,"3.1",'Баланс Пр'!$F$27:$F$165,$F152)+_xlfn.SUMIFS('Баланс Пр'!AT$27:AT$165,'Баланс Пр'!$AB$27:$AB$165,"3.2",'Баланс Пр'!$F$27:$F$165,$F152)</f>
        <v>0</v>
      </c>
      <c r="BT152" s="2256"/>
      <c r="BU152" s="2256">
        <f>BS152-BT152</f>
        <v>0</v>
      </c>
      <c r="BV152" s="2255">
        <f>_xlfn.SUMIFS('Баланс Пр'!AU$27:AU$165,'Баланс Пр'!$AB$27:$AB$165,"3.1",'Баланс Пр'!$F$27:$F$165,$F152)+_xlfn.SUMIFS('Баланс Пр'!AU$27:AU$165,'Баланс Пр'!$AB$27:$AB$165,"3.2",'Баланс Пр'!$F$27:$F$165,$F152)</f>
        <v>0</v>
      </c>
      <c r="BW152" s="2256"/>
      <c r="BX152" s="2256">
        <f>BV152-BW152</f>
        <v>0</v>
      </c>
      <c r="BY152" s="2255">
        <f>_xlfn.SUMIFS('Баланс Пр'!AV$27:AV$165,'Баланс Пр'!$AB$27:$AB$165,"3.1",'Баланс Пр'!$F$27:$F$165,$F152)+_xlfn.SUMIFS('Баланс Пр'!AV$27:AV$165,'Баланс Пр'!$AB$27:$AB$165,"3.2",'Баланс Пр'!$F$27:$F$165,$F152)</f>
        <v>0</v>
      </c>
      <c r="BZ152" s="2256"/>
      <c r="CA152" s="2256">
        <f>BY152-BZ152</f>
        <v>0</v>
      </c>
      <c r="CB152" s="2255">
        <f>_xlfn.SUMIFS('Баланс Пр'!AW$27:AW$165,'Баланс Пр'!$AB$27:$AB$165,"3.1",'Баланс Пр'!$F$27:$F$165,$F152)+_xlfn.SUMIFS('Баланс Пр'!AW$27:AW$165,'Баланс Пр'!$AB$27:$AB$165,"3.2",'Баланс Пр'!$F$27:$F$165,$F152)</f>
        <v>0</v>
      </c>
      <c r="CC152" s="2256"/>
      <c r="CD152" s="2256">
        <f>CB152-CC152</f>
        <v>0</v>
      </c>
      <c r="CE152" s="2255">
        <f>_xlfn.SUMIFS('Баланс Пр'!AX$27:AX$165,'Баланс Пр'!$AB$27:$AB$165,"3.1",'Баланс Пр'!$F$27:$F$165,$F152)+_xlfn.SUMIFS('Баланс Пр'!AX$27:AX$165,'Баланс Пр'!$AB$27:$AB$165,"3.2",'Баланс Пр'!$F$27:$F$165,$F152)</f>
        <v>0</v>
      </c>
      <c r="CF152" s="2256"/>
      <c r="CG152" s="2256">
        <f>CE152-CF152</f>
        <v>0</v>
      </c>
      <c r="CH152" s="2255">
        <f>_xlfn.SUMIFS('Баланс Пр'!AY$27:AY$165,'Баланс Пр'!$AB$27:$AB$165,"3.1",'Баланс Пр'!$F$27:$F$165,$F152)+_xlfn.SUMIFS('Баланс Пр'!AY$27:AY$165,'Баланс Пр'!$AB$27:$AB$165,"3.2",'Баланс Пр'!$F$27:$F$165,$F152)</f>
        <v>0</v>
      </c>
      <c r="CI152" s="2256"/>
      <c r="CJ152" s="2256">
        <f>CH152-CI152</f>
        <v>0</v>
      </c>
      <c r="CK152" s="2255">
        <f>_xlfn.SUMIFS('Баланс Пр'!AZ$27:AZ$165,'Баланс Пр'!$AB$27:$AB$165,"3.1",'Баланс Пр'!$F$27:$F$165,$F152)+_xlfn.SUMIFS('Баланс Пр'!AZ$27:AZ$165,'Баланс Пр'!$AB$27:$AB$165,"3.2",'Баланс Пр'!$F$27:$F$165,$F152)</f>
        <v>0</v>
      </c>
      <c r="CL152" s="2256"/>
      <c r="CM152" s="2256">
        <f>CK152-CL152</f>
        <v>0</v>
      </c>
      <c r="CN152" s="2255">
        <f>_xlfn.SUMIFS('Баланс Пр'!BA$27:BA$165,'Баланс Пр'!$AB$27:$AB$165,"3.1",'Баланс Пр'!$F$27:$F$165,$F152)+_xlfn.SUMIFS('Баланс Пр'!BA$27:BA$165,'Баланс Пр'!$AB$27:$AB$165,"3.2",'Баланс Пр'!$F$27:$F$165,$F152)</f>
        <v>0</v>
      </c>
      <c r="CO152" s="2256"/>
      <c r="CP152" s="2256">
        <f>CN152-CO152</f>
        <v>0</v>
      </c>
      <c r="CQ152" s="2255">
        <f>_xlfn.SUMIFS('Баланс Пр'!BB$27:BB$165,'Баланс Пр'!$AB$27:$AB$165,"3.1",'Баланс Пр'!$F$27:$F$165,$F152)+_xlfn.SUMIFS('Баланс Пр'!BB$27:BB$165,'Баланс Пр'!$AB$27:$AB$165,"3.2",'Баланс Пр'!$F$27:$F$165,$F152)</f>
        <v>0</v>
      </c>
      <c r="CR152" s="2256"/>
      <c r="CS152" s="2256">
        <f>CQ152-CR152</f>
        <v>0</v>
      </c>
      <c r="CT152" s="497">
        <f>_xlfn.SUMIFS('Баланс Пр'!BC$27:BC$165,'Баланс Пр'!$AB$27:$AB$165,"3.1",'Баланс Пр'!$F$27:$F$165,$F152)+_xlfn.SUMIFS('Баланс Пр'!BC$27:BC$165,'Баланс Пр'!$AB$27:$AB$165,"3.2",'Баланс Пр'!$F$27:$F$165,$F152)</f>
        <v>4637</v>
      </c>
      <c r="CU152" s="498">
        <v>2643</v>
      </c>
      <c r="CV152" s="498">
        <f>CT152-CU152</f>
        <v>1994</v>
      </c>
      <c r="CW152" s="2255">
        <f>_xlfn.SUMIFS('Баланс Пр'!BD$27:BD$165,'Баланс Пр'!$AB$27:$AB$165,"3.1",'Баланс Пр'!$F$27:$F$165,$F152)+_xlfn.SUMIFS('Баланс Пр'!BD$27:BD$165,'Баланс Пр'!$AB$27:$AB$165,"3.2",'Баланс Пр'!$F$27:$F$165,$F152)</f>
        <v>0</v>
      </c>
      <c r="CX152" s="2256"/>
      <c r="CY152" s="2256">
        <f>CW152-CX152</f>
        <v>0</v>
      </c>
      <c r="CZ152" s="2255">
        <f>_xlfn.SUMIFS('Баланс Пр'!BE$27:BE$165,'Баланс Пр'!$AB$27:$AB$165,"3.1",'Баланс Пр'!$F$27:$F$165,$F152)+_xlfn.SUMIFS('Баланс Пр'!BE$27:BE$165,'Баланс Пр'!$AB$27:$AB$165,"3.2",'Баланс Пр'!$F$27:$F$165,$F152)</f>
        <v>0</v>
      </c>
      <c r="DA152" s="2256"/>
      <c r="DB152" s="2256">
        <f>CZ152-DA152</f>
        <v>0</v>
      </c>
      <c r="DC152" s="2255">
        <f>_xlfn.SUMIFS('Баланс Пр'!BF$27:BF$165,'Баланс Пр'!$AB$27:$AB$165,"3.1",'Баланс Пр'!$F$27:$F$165,$F152)+_xlfn.SUMIFS('Баланс Пр'!BF$27:BF$165,'Баланс Пр'!$AB$27:$AB$165,"3.2",'Баланс Пр'!$F$27:$F$165,$F152)</f>
        <v>0</v>
      </c>
      <c r="DD152" s="2256"/>
      <c r="DE152" s="2256">
        <f>DC152-DD152</f>
        <v>0</v>
      </c>
      <c r="DF152" s="2255">
        <f>_xlfn.SUMIFS('Баланс Пр'!BG$27:BG$165,'Баланс Пр'!$AB$27:$AB$165,"3.1",'Баланс Пр'!$F$27:$F$165,$F152)+_xlfn.SUMIFS('Баланс Пр'!BG$27:BG$165,'Баланс Пр'!$AB$27:$AB$165,"3.2",'Баланс Пр'!$F$27:$F$165,$F152)</f>
        <v>0</v>
      </c>
      <c r="DG152" s="2256"/>
      <c r="DH152" s="2256">
        <f>DF152-DG152</f>
        <v>0</v>
      </c>
      <c r="DI152" s="2255">
        <f>_xlfn.SUMIFS('Баланс Пр'!BH$27:BH$165,'Баланс Пр'!$AB$27:$AB$165,"3.1",'Баланс Пр'!$F$27:$F$165,$F152)+_xlfn.SUMIFS('Баланс Пр'!BH$27:BH$165,'Баланс Пр'!$AB$27:$AB$165,"3.2",'Баланс Пр'!$F$27:$F$165,$F152)</f>
        <v>0</v>
      </c>
      <c r="DJ152" s="2256"/>
      <c r="DK152" s="2256">
        <f>DI152-DJ152</f>
        <v>0</v>
      </c>
      <c r="DL152" s="2255">
        <f>_xlfn.SUMIFS('Баланс Пр'!BI$27:BI$165,'Баланс Пр'!$AB$27:$AB$165,"3.1",'Баланс Пр'!$F$27:$F$165,$F152)+_xlfn.SUMIFS('Баланс Пр'!BI$27:BI$165,'Баланс Пр'!$AB$27:$AB$165,"3.2",'Баланс Пр'!$F$27:$F$165,$F152)</f>
        <v>0</v>
      </c>
      <c r="DM152" s="2256"/>
      <c r="DN152" s="2256">
        <f>DL152-DM152</f>
        <v>0</v>
      </c>
      <c r="DO152" s="2255">
        <f>_xlfn.SUMIFS('Баланс Пр'!BJ$27:BJ$165,'Баланс Пр'!$AB$27:$AB$165,"3.1",'Баланс Пр'!$F$27:$F$165,$F152)+_xlfn.SUMIFS('Баланс Пр'!BJ$27:BJ$165,'Баланс Пр'!$AB$27:$AB$165,"3.2",'Баланс Пр'!$F$27:$F$165,$F152)</f>
        <v>0</v>
      </c>
      <c r="DP152" s="2256"/>
      <c r="DQ152" s="2256">
        <f>DO152-DP152</f>
        <v>0</v>
      </c>
      <c r="DR152" s="2255">
        <f>_xlfn.SUMIFS('Баланс Пр'!BK$27:BK$165,'Баланс Пр'!$AB$27:$AB$165,"3.1",'Баланс Пр'!$F$27:$F$165,$F152)+_xlfn.SUMIFS('Баланс Пр'!BK$27:BK$165,'Баланс Пр'!$AB$27:$AB$165,"3.2",'Баланс Пр'!$F$27:$F$165,$F152)</f>
        <v>0</v>
      </c>
      <c r="DS152" s="2256"/>
      <c r="DT152" s="2256">
        <f>DR152-DS152</f>
        <v>0</v>
      </c>
      <c r="DU152" s="2255">
        <f>_xlfn.SUMIFS('Баланс Пр'!BL$27:BL$165,'Баланс Пр'!$AB$27:$AB$165,"3.1",'Баланс Пр'!$F$27:$F$165,$F152)+_xlfn.SUMIFS('Баланс Пр'!BL$27:BL$165,'Баланс Пр'!$AB$27:$AB$165,"3.2",'Баланс Пр'!$F$27:$F$165,$F152)</f>
        <v>0</v>
      </c>
      <c r="DV152" s="2256"/>
      <c r="DW152" s="2256">
        <f>DU152-DV152</f>
        <v>0</v>
      </c>
      <c r="DX152" s="2255">
        <f>_xlfn.SUMIFS('Баланс Пр'!BM$27:BM$165,'Баланс Пр'!$AB$27:$AB$165,"3.1",'Баланс Пр'!$F$27:$F$165,$F152)+_xlfn.SUMIFS('Баланс Пр'!BM$27:BM$165,'Баланс Пр'!$AB$27:$AB$165,"3.2",'Баланс Пр'!$F$27:$F$165,$F152)</f>
        <v>0</v>
      </c>
      <c r="DY152" s="2256"/>
      <c r="DZ152" s="2256">
        <f>DX152-DY152</f>
        <v>0</v>
      </c>
      <c r="EA152" s="2255">
        <f>_xlfn.SUMIFS('Баланс Пр'!BN$27:BN$165,'Баланс Пр'!$AB$27:$AB$165,"3.1",'Баланс Пр'!$F$27:$F$165,$F152)+_xlfn.SUMIFS('Баланс Пр'!BN$27:BN$165,'Баланс Пр'!$AB$27:$AB$165,"3.2",'Баланс Пр'!$F$27:$F$165,$F152)</f>
        <v>0</v>
      </c>
      <c r="EB152" s="2256"/>
      <c r="EC152" s="2256">
        <f>EA152-EB152</f>
        <v>0</v>
      </c>
      <c r="ED152" s="2255">
        <f>_xlfn.SUMIFS('Баланс Пр'!BO$27:BO$165,'Баланс Пр'!$AB$27:$AB$165,"3.1",'Баланс Пр'!$F$27:$F$165,$F152)+_xlfn.SUMIFS('Баланс Пр'!BO$27:BO$165,'Баланс Пр'!$AB$27:$AB$165,"3.2",'Баланс Пр'!$F$27:$F$165,$F152)</f>
        <v>0</v>
      </c>
      <c r="EE152" s="2256"/>
      <c r="EF152" s="2256">
        <f>ED152-EE152</f>
        <v>0</v>
      </c>
      <c r="EG152" s="2255">
        <f>_xlfn.SUMIFS('Баланс Пр'!BP$27:BP$165,'Баланс Пр'!$AB$27:$AB$165,"3.1",'Баланс Пр'!$F$27:$F$165,$F152)+_xlfn.SUMIFS('Баланс Пр'!BP$27:BP$165,'Баланс Пр'!$AB$27:$AB$165,"3.2",'Баланс Пр'!$F$27:$F$165,$F152)</f>
        <v>0</v>
      </c>
      <c r="EH152" s="2256"/>
      <c r="EI152" s="2256">
        <f>EG152-EH152</f>
        <v>0</v>
      </c>
      <c r="EJ152" s="2255">
        <f>_xlfn.SUMIFS('Баланс Пр'!BQ$27:BQ$165,'Баланс Пр'!$AB$27:$AB$165,"3.1",'Баланс Пр'!$F$27:$F$165,$F152)+_xlfn.SUMIFS('Баланс Пр'!BQ$27:BQ$165,'Баланс Пр'!$AB$27:$AB$165,"3.2",'Баланс Пр'!$F$27:$F$165,$F152)</f>
        <v>0</v>
      </c>
      <c r="EK152" s="2256"/>
      <c r="EL152" s="2256">
        <f>EJ152-EK152</f>
        <v>0</v>
      </c>
      <c r="EM152" s="2255">
        <f>_xlfn.SUMIFS('Баланс Пр'!BR$27:BR$165,'Баланс Пр'!$AB$27:$AB$165,"3.1",'Баланс Пр'!$F$27:$F$165,$F152)+_xlfn.SUMIFS('Баланс Пр'!BR$27:BR$165,'Баланс Пр'!$AB$27:$AB$165,"3.2",'Баланс Пр'!$F$27:$F$165,$F152)</f>
        <v>0</v>
      </c>
      <c r="EN152" s="2256"/>
      <c r="EO152" s="2256">
        <f>EM152-EN152</f>
        <v>0</v>
      </c>
      <c r="EP152" s="2255">
        <f>_xlfn.SUMIFS('Баланс Пр'!BS$27:BS$165,'Баланс Пр'!$AB$27:$AB$165,"3.1",'Баланс Пр'!$F$27:$F$165,$F152)+_xlfn.SUMIFS('Баланс Пр'!BS$27:BS$165,'Баланс Пр'!$AB$27:$AB$165,"3.2",'Баланс Пр'!$F$27:$F$165,$F152)</f>
        <v>0</v>
      </c>
      <c r="EQ152" s="2256"/>
      <c r="ER152" s="2256">
        <f>EP152-EQ152</f>
        <v>0</v>
      </c>
      <c r="ES152" s="2255">
        <f>_xlfn.SUMIFS('Баланс Пр'!BT$27:BT$165,'Баланс Пр'!$AB$27:$AB$165,"3.1",'Баланс Пр'!$F$27:$F$165,$F152)+_xlfn.SUMIFS('Баланс Пр'!BT$27:BT$165,'Баланс Пр'!$AB$27:$AB$165,"3.2",'Баланс Пр'!$F$27:$F$165,$F152)</f>
        <v>0</v>
      </c>
      <c r="ET152" s="2256"/>
      <c r="EU152" s="2256">
        <f>ES152-ET152</f>
        <v>0</v>
      </c>
      <c r="EV152" s="2255">
        <f>_xlfn.SUMIFS('Баланс Пр'!BU$27:BU$165,'Баланс Пр'!$AB$27:$AB$165,"3.1",'Баланс Пр'!$F$27:$F$165,$F152)+_xlfn.SUMIFS('Баланс Пр'!BU$27:BU$165,'Баланс Пр'!$AB$27:$AB$165,"3.2",'Баланс Пр'!$F$27:$F$165,$F152)</f>
        <v>0</v>
      </c>
      <c r="EW152" s="2256"/>
      <c r="EX152" s="2256">
        <f>EV152-EW152</f>
        <v>0</v>
      </c>
      <c r="EY152" s="2255">
        <f>_xlfn.SUMIFS('Баланс Пр'!BV$27:BV$165,'Баланс Пр'!$AB$27:$AB$165,"3.1",'Баланс Пр'!$F$27:$F$165,$F152)+_xlfn.SUMIFS('Баланс Пр'!BV$27:BV$165,'Баланс Пр'!$AB$27:$AB$165,"3.2",'Баланс Пр'!$F$27:$F$165,$F152)</f>
        <v>0</v>
      </c>
      <c r="EZ152" s="2256"/>
      <c r="FA152" s="2256">
        <f>EY152-EZ152</f>
        <v>0</v>
      </c>
      <c r="FB152" s="1897"/>
      <c r="FC152" s="1751"/>
      <c r="FD152" s="1506"/>
      <c r="FE152" s="489" t="s">
        <v>849</v>
      </c>
      <c r="FF152" s="648"/>
      <c r="FG152" s="648"/>
      <c r="FH152" s="648"/>
      <c r="FI152" s="649"/>
      <c r="FJ152" s="649"/>
      <c r="FK152" s="1157" cm="1" t="str">
        <f t="array" ref="FK152:FK152">OFFSET(FJ152,-1,1)</f>
        <v>ТЭ.42.31656254.0001</v>
      </c>
      <c r="FL152" s="1078" t="s">
        <v>850</v>
      </c>
      <c r="FM152" s="1159"/>
      <c r="FN152" s="1159"/>
      <c r="FO152" s="1159"/>
      <c r="FP152" s="1078" t="s">
        <v>666</v>
      </c>
      <c r="FQ152" s="1159"/>
      <c r="FR152" s="1159"/>
      <c r="FS152" s="1159"/>
      <c r="FT152" s="1159"/>
      <c r="FU152" s="1159"/>
      <c r="FV152" s="1159"/>
      <c r="FW152" s="1159"/>
      <c r="FX152" s="1078" t="s">
        <v>303</v>
      </c>
      <c r="FY152" s="1078" t="s">
        <v>667</v>
      </c>
      <c r="FZ152" s="1078" t="s">
        <v>668</v>
      </c>
    </row>
    <row s="1751" customFormat="1" customHeight="1" ht="16.5">
      <c r="A153" s="371"/>
      <c r="B153" s="1548"/>
      <c r="C153" s="1548"/>
      <c r="D153" s="1548"/>
      <c r="E153" s="180">
        <v>17</v>
      </c>
      <c r="F153" s="175" cm="1" t="str">
        <f t="array" ref="F153:F153">OFFSET(G153,-1,-1)</f>
        <v>1</v>
      </c>
      <c r="G153" s="1659"/>
      <c r="H153" s="1659"/>
      <c r="I153" s="1659"/>
      <c r="J153" s="1659"/>
      <c r="K153" s="1659"/>
      <c r="L153" s="175" cm="1" t="str">
        <f t="array" ref="L153:L153">OFFSET(M153,-1,-1)</f>
        <v>false</v>
      </c>
      <c r="M153" s="1659"/>
      <c r="N153" s="1659"/>
      <c r="O153" s="1659"/>
      <c r="P153" s="1659"/>
      <c r="Q153" s="1659"/>
      <c r="R153" s="1548"/>
      <c r="S153" s="175" cm="1" t="str">
        <f t="array" ref="S153:S153">OFFSET(T153,-1,-1)</f>
        <v>true</v>
      </c>
      <c r="T153" s="1548"/>
      <c r="U153" s="753">
        <f>AND(S153,IF(ISBLANK(T153),TRUE,T153))</f>
        <v>1</v>
      </c>
      <c r="V153" s="1548"/>
      <c r="W153" s="1548"/>
      <c r="X153" s="1548"/>
      <c r="Y153" s="1548"/>
      <c r="Z153" s="1548"/>
      <c r="AA153" s="1009"/>
      <c r="AB153" s="1646"/>
      <c r="AC153" s="1751"/>
      <c r="AD153" s="491">
        <v>8</v>
      </c>
      <c r="AE153" s="1634" t="s">
        <v>851</v>
      </c>
      <c r="AF153" s="505"/>
      <c r="AG153" s="506" t="s">
        <v>629</v>
      </c>
      <c r="AH153" s="2255">
        <f>_xlfn.SUMIFS('Баланс Пр'!AE$27:AE$165,'Баланс Пр'!$AB$27:$AB$165,"5",'Баланс Пр'!$F$27:$F$165,$F152)</f>
        <v>0</v>
      </c>
      <c r="AI153" s="2255">
        <f>_xlfn.SUMIFS('Баланс Пр'!AF$27:AF$165,'Баланс Пр'!$AB$27:$AB$165,"5",'Баланс Пр'!$F$27:$F$165,$F152)</f>
        <v>0</v>
      </c>
      <c r="AJ153" s="2255">
        <f>_xlfn.SUMIFS('Баланс Пр'!AG$27:AG$165,'Баланс Пр'!$AB$27:$AB$165,"5",'Баланс Пр'!$F$27:$F$165,$F152)</f>
        <v>0</v>
      </c>
      <c r="AK153" s="2255">
        <f>_xlfn.SUMIFS('Баланс Пр'!AH$27:AH$165,'Баланс Пр'!$AB$27:$AB$165,"5",'Баланс Пр'!$F$27:$F$165,$F152)</f>
        <v>0</v>
      </c>
      <c r="AL153" s="2255">
        <f>_xlfn.SUMIFS('Баланс Пр'!AI$27:AI$165,'Баланс Пр'!$AB$27:$AB$165,"5",'Баланс Пр'!$F$27:$F$165,$F152)</f>
        <v>0</v>
      </c>
      <c r="AM153" s="2256"/>
      <c r="AN153" s="2256">
        <f>AL153-AM153</f>
        <v>0</v>
      </c>
      <c r="AO153" s="2255">
        <f>_xlfn.SUMIFS('Баланс Пр'!AJ$27:AJ$165,'Баланс Пр'!$AB$27:$AB$165,"5",'Баланс Пр'!$F$27:$F$165,$F152)</f>
        <v>0</v>
      </c>
      <c r="AP153" s="2256"/>
      <c r="AQ153" s="2256">
        <f>AO153-AP153</f>
        <v>0</v>
      </c>
      <c r="AR153" s="2255">
        <f>_xlfn.SUMIFS('Баланс Пр'!AK$27:AK$165,'Баланс Пр'!$AB$27:$AB$165,"5",'Баланс Пр'!$F$27:$F$165,$F152)</f>
        <v>0</v>
      </c>
      <c r="AS153" s="2256"/>
      <c r="AT153" s="2256">
        <f>AR153-AS153</f>
        <v>0</v>
      </c>
      <c r="AU153" s="2255">
        <f>_xlfn.SUMIFS('Баланс Пр'!AL$27:AL$165,'Баланс Пр'!$AB$27:$AB$165,"5",'Баланс Пр'!$F$27:$F$165,$F152)</f>
        <v>0</v>
      </c>
      <c r="AV153" s="2256"/>
      <c r="AW153" s="2256">
        <f>AU153-AV153</f>
        <v>0</v>
      </c>
      <c r="AX153" s="2255">
        <f>_xlfn.SUMIFS('Баланс Пр'!AM$27:AM$165,'Баланс Пр'!$AB$27:$AB$165,"5",'Баланс Пр'!$F$27:$F$165,$F152)</f>
        <v>0</v>
      </c>
      <c r="AY153" s="2256"/>
      <c r="AZ153" s="2256">
        <f>AX153-AY153</f>
        <v>0</v>
      </c>
      <c r="BA153" s="2255">
        <f>_xlfn.SUMIFS('Баланс Пр'!AN$27:AN$165,'Баланс Пр'!$AB$27:$AB$165,"5",'Баланс Пр'!$F$27:$F$165,$F152)</f>
        <v>0</v>
      </c>
      <c r="BB153" s="2256"/>
      <c r="BC153" s="2256">
        <f>BA153-BB153</f>
        <v>0</v>
      </c>
      <c r="BD153" s="2255">
        <f>_xlfn.SUMIFS('Баланс Пр'!AO$27:AO$165,'Баланс Пр'!$AB$27:$AB$165,"5",'Баланс Пр'!$F$27:$F$165,$F152)</f>
        <v>0</v>
      </c>
      <c r="BE153" s="2256"/>
      <c r="BF153" s="2256">
        <f>BD153-BE153</f>
        <v>0</v>
      </c>
      <c r="BG153" s="2255">
        <f>_xlfn.SUMIFS('Баланс Пр'!AP$27:AP$165,'Баланс Пр'!$AB$27:$AB$165,"5",'Баланс Пр'!$F$27:$F$165,$F152)</f>
        <v>0</v>
      </c>
      <c r="BH153" s="2256"/>
      <c r="BI153" s="2256">
        <f>BG153-BH153</f>
        <v>0</v>
      </c>
      <c r="BJ153" s="2255">
        <f>_xlfn.SUMIFS('Баланс Пр'!AQ$27:AQ$165,'Баланс Пр'!$AB$27:$AB$165,"5",'Баланс Пр'!$F$27:$F$165,$F152)</f>
        <v>0</v>
      </c>
      <c r="BK153" s="2256"/>
      <c r="BL153" s="2256">
        <f>BJ153-BK153</f>
        <v>0</v>
      </c>
      <c r="BM153" s="2255">
        <f>_xlfn.SUMIFS('Баланс Пр'!AR$27:AR$165,'Баланс Пр'!$AB$27:$AB$165,"5",'Баланс Пр'!$F$27:$F$165,$F152)</f>
        <v>0</v>
      </c>
      <c r="BN153" s="2256"/>
      <c r="BO153" s="2256">
        <f>BM153-BN153</f>
        <v>0</v>
      </c>
      <c r="BP153" s="2255">
        <f>_xlfn.SUMIFS('Баланс Пр'!AS$27:AS$165,'Баланс Пр'!$AB$27:$AB$165,"5",'Баланс Пр'!$F$27:$F$165,$F152)</f>
        <v>0</v>
      </c>
      <c r="BQ153" s="2256"/>
      <c r="BR153" s="2256">
        <f>BP153-BQ153</f>
        <v>0</v>
      </c>
      <c r="BS153" s="2255">
        <f>_xlfn.SUMIFS('Баланс Пр'!AT$27:AT$165,'Баланс Пр'!$AB$27:$AB$165,"5",'Баланс Пр'!$F$27:$F$165,$F152)</f>
        <v>0</v>
      </c>
      <c r="BT153" s="2256"/>
      <c r="BU153" s="2256">
        <f>BS153-BT153</f>
        <v>0</v>
      </c>
      <c r="BV153" s="2255">
        <f>_xlfn.SUMIFS('Баланс Пр'!AU$27:AU$165,'Баланс Пр'!$AB$27:$AB$165,"5",'Баланс Пр'!$F$27:$F$165,$F152)</f>
        <v>0</v>
      </c>
      <c r="BW153" s="2256"/>
      <c r="BX153" s="2256">
        <f>BV153-BW153</f>
        <v>0</v>
      </c>
      <c r="BY153" s="2255">
        <f>_xlfn.SUMIFS('Баланс Пр'!AV$27:AV$165,'Баланс Пр'!$AB$27:$AB$165,"5",'Баланс Пр'!$F$27:$F$165,$F152)</f>
        <v>0</v>
      </c>
      <c r="BZ153" s="2256"/>
      <c r="CA153" s="2256">
        <f>BY153-BZ153</f>
        <v>0</v>
      </c>
      <c r="CB153" s="2255">
        <f>_xlfn.SUMIFS('Баланс Пр'!AW$27:AW$165,'Баланс Пр'!$AB$27:$AB$165,"5",'Баланс Пр'!$F$27:$F$165,$F152)</f>
        <v>0</v>
      </c>
      <c r="CC153" s="2256"/>
      <c r="CD153" s="2256">
        <f>CB153-CC153</f>
        <v>0</v>
      </c>
      <c r="CE153" s="2255">
        <f>_xlfn.SUMIFS('Баланс Пр'!AX$27:AX$165,'Баланс Пр'!$AB$27:$AB$165,"5",'Баланс Пр'!$F$27:$F$165,$F152)</f>
        <v>0</v>
      </c>
      <c r="CF153" s="2256"/>
      <c r="CG153" s="2256">
        <f>CE153-CF153</f>
        <v>0</v>
      </c>
      <c r="CH153" s="2255">
        <f>_xlfn.SUMIFS('Баланс Пр'!AY$27:AY$165,'Баланс Пр'!$AB$27:$AB$165,"5",'Баланс Пр'!$F$27:$F$165,$F152)</f>
        <v>0</v>
      </c>
      <c r="CI153" s="2256"/>
      <c r="CJ153" s="2256">
        <f>CH153-CI153</f>
        <v>0</v>
      </c>
      <c r="CK153" s="2255">
        <f>_xlfn.SUMIFS('Баланс Пр'!AZ$27:AZ$165,'Баланс Пр'!$AB$27:$AB$165,"5",'Баланс Пр'!$F$27:$F$165,$F152)</f>
        <v>0</v>
      </c>
      <c r="CL153" s="2256"/>
      <c r="CM153" s="2256">
        <f>CK153-CL153</f>
        <v>0</v>
      </c>
      <c r="CN153" s="2255">
        <f>_xlfn.SUMIFS('Баланс Пр'!BA$27:BA$165,'Баланс Пр'!$AB$27:$AB$165,"5",'Баланс Пр'!$F$27:$F$165,$F152)</f>
        <v>0</v>
      </c>
      <c r="CO153" s="2256"/>
      <c r="CP153" s="2256">
        <f>CN153-CO153</f>
        <v>0</v>
      </c>
      <c r="CQ153" s="2255">
        <f>_xlfn.SUMIFS('Баланс Пр'!BB$27:BB$165,'Баланс Пр'!$AB$27:$AB$165,"5",'Баланс Пр'!$F$27:$F$165,$F152)</f>
        <v>0</v>
      </c>
      <c r="CR153" s="2256"/>
      <c r="CS153" s="2256">
        <f>CQ153-CR153</f>
        <v>0</v>
      </c>
      <c r="CT153" s="497">
        <f>_xlfn.SUMIFS('Баланс Пр'!BC$27:BC$165,'Баланс Пр'!$AB$27:$AB$165,"5",'Баланс Пр'!$F$27:$F$165,$F152)</f>
        <v>0</v>
      </c>
      <c r="CU153" s="498"/>
      <c r="CV153" s="498">
        <f>CT153-CU153</f>
        <v>0</v>
      </c>
      <c r="CW153" s="2255">
        <f>_xlfn.SUMIFS('Баланс Пр'!BD$27:BD$165,'Баланс Пр'!$AB$27:$AB$165,"5",'Баланс Пр'!$F$27:$F$165,$F152)</f>
        <v>0</v>
      </c>
      <c r="CX153" s="2256"/>
      <c r="CY153" s="2256">
        <f>CW153-CX153</f>
        <v>0</v>
      </c>
      <c r="CZ153" s="2255">
        <f>_xlfn.SUMIFS('Баланс Пр'!BE$27:BE$165,'Баланс Пр'!$AB$27:$AB$165,"5",'Баланс Пр'!$F$27:$F$165,$F152)</f>
        <v>0</v>
      </c>
      <c r="DA153" s="2256"/>
      <c r="DB153" s="2256">
        <f>CZ153-DA153</f>
        <v>0</v>
      </c>
      <c r="DC153" s="2255">
        <f>_xlfn.SUMIFS('Баланс Пр'!BF$27:BF$165,'Баланс Пр'!$AB$27:$AB$165,"5",'Баланс Пр'!$F$27:$F$165,$F152)</f>
        <v>0</v>
      </c>
      <c r="DD153" s="2256"/>
      <c r="DE153" s="2256">
        <f>DC153-DD153</f>
        <v>0</v>
      </c>
      <c r="DF153" s="2255">
        <f>_xlfn.SUMIFS('Баланс Пр'!BG$27:BG$165,'Баланс Пр'!$AB$27:$AB$165,"5",'Баланс Пр'!$F$27:$F$165,$F152)</f>
        <v>0</v>
      </c>
      <c r="DG153" s="2256"/>
      <c r="DH153" s="2256">
        <f>DF153-DG153</f>
        <v>0</v>
      </c>
      <c r="DI153" s="2255">
        <f>_xlfn.SUMIFS('Баланс Пр'!BH$27:BH$165,'Баланс Пр'!$AB$27:$AB$165,"5",'Баланс Пр'!$F$27:$F$165,$F152)</f>
        <v>0</v>
      </c>
      <c r="DJ153" s="2256"/>
      <c r="DK153" s="2256">
        <f>DI153-DJ153</f>
        <v>0</v>
      </c>
      <c r="DL153" s="2255">
        <f>_xlfn.SUMIFS('Баланс Пр'!BI$27:BI$165,'Баланс Пр'!$AB$27:$AB$165,"5",'Баланс Пр'!$F$27:$F$165,$F152)</f>
        <v>0</v>
      </c>
      <c r="DM153" s="2256"/>
      <c r="DN153" s="2256">
        <f>DL153-DM153</f>
        <v>0</v>
      </c>
      <c r="DO153" s="2255">
        <f>_xlfn.SUMIFS('Баланс Пр'!BJ$27:BJ$165,'Баланс Пр'!$AB$27:$AB$165,"5",'Баланс Пр'!$F$27:$F$165,$F152)</f>
        <v>0</v>
      </c>
      <c r="DP153" s="2256"/>
      <c r="DQ153" s="2256">
        <f>DO153-DP153</f>
        <v>0</v>
      </c>
      <c r="DR153" s="2255">
        <f>_xlfn.SUMIFS('Баланс Пр'!BK$27:BK$165,'Баланс Пр'!$AB$27:$AB$165,"5",'Баланс Пр'!$F$27:$F$165,$F152)</f>
        <v>0</v>
      </c>
      <c r="DS153" s="2256"/>
      <c r="DT153" s="2256">
        <f>DR153-DS153</f>
        <v>0</v>
      </c>
      <c r="DU153" s="2255">
        <f>_xlfn.SUMIFS('Баланс Пр'!BL$27:BL$165,'Баланс Пр'!$AB$27:$AB$165,"5",'Баланс Пр'!$F$27:$F$165,$F152)</f>
        <v>0</v>
      </c>
      <c r="DV153" s="2256"/>
      <c r="DW153" s="2256">
        <f>DU153-DV153</f>
        <v>0</v>
      </c>
      <c r="DX153" s="2255">
        <f>_xlfn.SUMIFS('Баланс Пр'!BM$27:BM$165,'Баланс Пр'!$AB$27:$AB$165,"5",'Баланс Пр'!$F$27:$F$165,$F152)</f>
        <v>0</v>
      </c>
      <c r="DY153" s="2256"/>
      <c r="DZ153" s="2256">
        <f>DX153-DY153</f>
        <v>0</v>
      </c>
      <c r="EA153" s="2255">
        <f>_xlfn.SUMIFS('Баланс Пр'!BN$27:BN$165,'Баланс Пр'!$AB$27:$AB$165,"5",'Баланс Пр'!$F$27:$F$165,$F152)</f>
        <v>0</v>
      </c>
      <c r="EB153" s="2256"/>
      <c r="EC153" s="2256">
        <f>EA153-EB153</f>
        <v>0</v>
      </c>
      <c r="ED153" s="2255">
        <f>_xlfn.SUMIFS('Баланс Пр'!BO$27:BO$165,'Баланс Пр'!$AB$27:$AB$165,"5",'Баланс Пр'!$F$27:$F$165,$F152)</f>
        <v>0</v>
      </c>
      <c r="EE153" s="2256"/>
      <c r="EF153" s="2256">
        <f>ED153-EE153</f>
        <v>0</v>
      </c>
      <c r="EG153" s="2255">
        <f>_xlfn.SUMIFS('Баланс Пр'!BP$27:BP$165,'Баланс Пр'!$AB$27:$AB$165,"5",'Баланс Пр'!$F$27:$F$165,$F152)</f>
        <v>0</v>
      </c>
      <c r="EH153" s="2256"/>
      <c r="EI153" s="2256">
        <f>EG153-EH153</f>
        <v>0</v>
      </c>
      <c r="EJ153" s="2255">
        <f>_xlfn.SUMIFS('Баланс Пр'!BQ$27:BQ$165,'Баланс Пр'!$AB$27:$AB$165,"5",'Баланс Пр'!$F$27:$F$165,$F152)</f>
        <v>0</v>
      </c>
      <c r="EK153" s="2256"/>
      <c r="EL153" s="2256">
        <f>EJ153-EK153</f>
        <v>0</v>
      </c>
      <c r="EM153" s="2255">
        <f>_xlfn.SUMIFS('Баланс Пр'!BR$27:BR$165,'Баланс Пр'!$AB$27:$AB$165,"5",'Баланс Пр'!$F$27:$F$165,$F152)</f>
        <v>0</v>
      </c>
      <c r="EN153" s="2256"/>
      <c r="EO153" s="2256">
        <f>EM153-EN153</f>
        <v>0</v>
      </c>
      <c r="EP153" s="2255">
        <f>_xlfn.SUMIFS('Баланс Пр'!BS$27:BS$165,'Баланс Пр'!$AB$27:$AB$165,"5",'Баланс Пр'!$F$27:$F$165,$F152)</f>
        <v>0</v>
      </c>
      <c r="EQ153" s="2256"/>
      <c r="ER153" s="2256">
        <f>EP153-EQ153</f>
        <v>0</v>
      </c>
      <c r="ES153" s="2255">
        <f>_xlfn.SUMIFS('Баланс Пр'!BT$27:BT$165,'Баланс Пр'!$AB$27:$AB$165,"5",'Баланс Пр'!$F$27:$F$165,$F152)</f>
        <v>0</v>
      </c>
      <c r="ET153" s="2256"/>
      <c r="EU153" s="2256">
        <f>ES153-ET153</f>
        <v>0</v>
      </c>
      <c r="EV153" s="2255">
        <f>_xlfn.SUMIFS('Баланс Пр'!BU$27:BU$165,'Баланс Пр'!$AB$27:$AB$165,"5",'Баланс Пр'!$F$27:$F$165,$F152)</f>
        <v>0</v>
      </c>
      <c r="EW153" s="2256"/>
      <c r="EX153" s="2256">
        <f>EV153-EW153</f>
        <v>0</v>
      </c>
      <c r="EY153" s="2255">
        <f>_xlfn.SUMIFS('Баланс Пр'!BV$27:BV$165,'Баланс Пр'!$AB$27:$AB$165,"5",'Баланс Пр'!$F$27:$F$165,$F152)</f>
        <v>0</v>
      </c>
      <c r="EZ153" s="2256"/>
      <c r="FA153" s="2256">
        <f>EY153-EZ153</f>
        <v>0</v>
      </c>
      <c r="FB153" s="1897"/>
      <c r="FC153" s="1751"/>
      <c r="FD153" s="1506"/>
      <c r="FE153" s="489" t="s">
        <v>852</v>
      </c>
      <c r="FF153" s="648"/>
      <c r="FG153" s="648"/>
      <c r="FH153" s="648"/>
      <c r="FI153" s="649"/>
      <c r="FJ153" s="649"/>
      <c r="FK153" s="1157" cm="1" t="str">
        <f t="array" ref="FK153:FK153">OFFSET(FJ153,-1,1)</f>
        <v>ТЭ.42.31656254.0001</v>
      </c>
      <c r="FL153" s="1078" t="s">
        <v>850</v>
      </c>
      <c r="FM153" s="1159"/>
      <c r="FN153" s="1159"/>
      <c r="FO153" s="1159"/>
      <c r="FP153" s="1159"/>
      <c r="FQ153" s="1159"/>
      <c r="FR153" s="1159"/>
      <c r="FS153" s="1159"/>
      <c r="FT153" s="1159"/>
      <c r="FU153" s="1159"/>
      <c r="FV153" s="1078" t="s">
        <v>219</v>
      </c>
      <c r="FW153" s="1159"/>
      <c r="FX153" s="1078" t="s">
        <v>303</v>
      </c>
      <c r="FY153" s="1078" t="s">
        <v>813</v>
      </c>
      <c r="FZ153" s="1078" t="s">
        <v>814</v>
      </c>
    </row>
    <row s="1751" customFormat="1" customHeight="1" ht="16.5">
      <c r="A154" s="371"/>
      <c r="B154" s="1548"/>
      <c r="C154" s="1548"/>
      <c r="D154" s="1548"/>
      <c r="E154" s="180">
        <v>17</v>
      </c>
      <c r="F154" s="175" cm="1" t="str">
        <f t="array" ref="F154:F154">OFFSET(G154,-1,-1)</f>
        <v>1</v>
      </c>
      <c r="G154" s="1659"/>
      <c r="H154" s="1659"/>
      <c r="I154" s="1659"/>
      <c r="J154" s="1659"/>
      <c r="K154" s="1659"/>
      <c r="L154" s="175" cm="1" t="str">
        <f t="array" ref="L154:L154">OFFSET(M154,-1,-1)</f>
        <v>false</v>
      </c>
      <c r="M154" s="1659"/>
      <c r="N154" s="1659"/>
      <c r="O154" s="1659"/>
      <c r="P154" s="1659"/>
      <c r="Q154" s="1659"/>
      <c r="R154" s="1548"/>
      <c r="S154" s="175" cm="1" t="str">
        <f t="array" ref="S154:S154">OFFSET(T154,-1,-1)</f>
        <v>true</v>
      </c>
      <c r="T154" s="1548"/>
      <c r="U154" s="753">
        <f>AND(S154,IF(ISBLANK(T154),TRUE,T154))</f>
        <v>1</v>
      </c>
      <c r="V154" s="1548"/>
      <c r="W154" s="1548"/>
      <c r="X154" s="1548"/>
      <c r="Y154" s="1548"/>
      <c r="Z154" s="1548"/>
      <c r="AA154" s="1009"/>
      <c r="AB154" s="1646"/>
      <c r="AC154" s="1751"/>
      <c r="AD154" s="491">
        <v>8.1</v>
      </c>
      <c r="AE154" s="1641" t="s">
        <v>853</v>
      </c>
      <c r="AF154" s="1642"/>
      <c r="AG154" s="507" t="s">
        <v>495</v>
      </c>
      <c r="AH154" s="503">
        <f>_xlfn.IFERROR(AH153/AH152,0)</f>
        <v>0</v>
      </c>
      <c r="AI154" s="504">
        <f>_xlfn.IFERROR(AI153/AI152,0)</f>
        <v>0</v>
      </c>
      <c r="AJ154" s="504">
        <f>_xlfn.IFERROR(AJ153/AJ152,0)</f>
        <v>0</v>
      </c>
      <c r="AK154" s="504">
        <f>_xlfn.IFERROR(AK153/AK152,0)</f>
        <v>0</v>
      </c>
      <c r="AL154" s="504">
        <f>_xlfn.IFERROR(AL153/AL152,0)</f>
        <v>0</v>
      </c>
      <c r="AM154" s="504">
        <f>_xlfn.IFERROR(AM153/AM152,0)</f>
        <v>0</v>
      </c>
      <c r="AN154" s="504">
        <f>_xlfn.IFERROR(AN153/AN152,0)</f>
        <v>0</v>
      </c>
      <c r="AO154" s="504">
        <f>_xlfn.IFERROR(AO153/AO152,0)</f>
        <v>0</v>
      </c>
      <c r="AP154" s="504">
        <f>_xlfn.IFERROR(AP153/AP152,0)</f>
        <v>0</v>
      </c>
      <c r="AQ154" s="504">
        <f>_xlfn.IFERROR(AQ153/AQ152,0)</f>
        <v>0</v>
      </c>
      <c r="AR154" s="504">
        <f>_xlfn.IFERROR(AR153/AR152,0)</f>
        <v>0</v>
      </c>
      <c r="AS154" s="504">
        <f>_xlfn.IFERROR(AS153/AS152,0)</f>
        <v>0</v>
      </c>
      <c r="AT154" s="504">
        <f>_xlfn.IFERROR(AT153/AT152,0)</f>
        <v>0</v>
      </c>
      <c r="AU154" s="504">
        <f>_xlfn.IFERROR(AU153/AU152,0)</f>
        <v>0</v>
      </c>
      <c r="AV154" s="504">
        <f>_xlfn.IFERROR(AV153/AV152,0)</f>
        <v>0</v>
      </c>
      <c r="AW154" s="504">
        <f>_xlfn.IFERROR(AW153/AW152,0)</f>
        <v>0</v>
      </c>
      <c r="AX154" s="504">
        <f>_xlfn.IFERROR(AX153/AX152,0)</f>
        <v>0</v>
      </c>
      <c r="AY154" s="504">
        <f>_xlfn.IFERROR(AY153/AY152,0)</f>
        <v>0</v>
      </c>
      <c r="AZ154" s="504">
        <f>_xlfn.IFERROR(AZ153/AZ152,0)</f>
        <v>0</v>
      </c>
      <c r="BA154" s="504">
        <f>_xlfn.IFERROR(BA153/BA152,0)</f>
        <v>0</v>
      </c>
      <c r="BB154" s="504">
        <f>_xlfn.IFERROR(BB153/BB152,0)</f>
        <v>0</v>
      </c>
      <c r="BC154" s="504">
        <f>_xlfn.IFERROR(BC153/BC152,0)</f>
        <v>0</v>
      </c>
      <c r="BD154" s="504">
        <f>_xlfn.IFERROR(BD153/BD152,0)</f>
        <v>0</v>
      </c>
      <c r="BE154" s="504">
        <f>_xlfn.IFERROR(BE153/BE152,0)</f>
        <v>0</v>
      </c>
      <c r="BF154" s="504">
        <f>_xlfn.IFERROR(BF153/BF152,0)</f>
        <v>0</v>
      </c>
      <c r="BG154" s="504">
        <f>_xlfn.IFERROR(BG153/BG152,0)</f>
        <v>0</v>
      </c>
      <c r="BH154" s="504">
        <f>_xlfn.IFERROR(BH153/BH152,0)</f>
        <v>0</v>
      </c>
      <c r="BI154" s="504">
        <f>_xlfn.IFERROR(BI153/BI152,0)</f>
        <v>0</v>
      </c>
      <c r="BJ154" s="504">
        <f>_xlfn.IFERROR(BJ153/BJ152,0)</f>
        <v>0</v>
      </c>
      <c r="BK154" s="504">
        <f>_xlfn.IFERROR(BK153/BK152,0)</f>
        <v>0</v>
      </c>
      <c r="BL154" s="504">
        <f>_xlfn.IFERROR(BL153/BL152,0)</f>
        <v>0</v>
      </c>
      <c r="BM154" s="504">
        <f>_xlfn.IFERROR(BM153/BM152,0)</f>
        <v>0</v>
      </c>
      <c r="BN154" s="504">
        <f>_xlfn.IFERROR(BN153/BN152,0)</f>
        <v>0</v>
      </c>
      <c r="BO154" s="504">
        <f>_xlfn.IFERROR(BO153/BO152,0)</f>
        <v>0</v>
      </c>
      <c r="BP154" s="504">
        <f>_xlfn.IFERROR(BP153/BP152,0)</f>
        <v>0</v>
      </c>
      <c r="BQ154" s="504">
        <f>_xlfn.IFERROR(BQ153/BQ152,0)</f>
        <v>0</v>
      </c>
      <c r="BR154" s="504">
        <f>_xlfn.IFERROR(BR153/BR152,0)</f>
        <v>0</v>
      </c>
      <c r="BS154" s="504">
        <f>_xlfn.IFERROR(BS153/BS152,0)</f>
        <v>0</v>
      </c>
      <c r="BT154" s="504">
        <f>_xlfn.IFERROR(BT153/BT152,0)</f>
        <v>0</v>
      </c>
      <c r="BU154" s="504">
        <f>_xlfn.IFERROR(BU153/BU152,0)</f>
        <v>0</v>
      </c>
      <c r="BV154" s="504">
        <f>_xlfn.IFERROR(BV153/BV152,0)</f>
        <v>0</v>
      </c>
      <c r="BW154" s="504">
        <f>_xlfn.IFERROR(BW153/BW152,0)</f>
        <v>0</v>
      </c>
      <c r="BX154" s="504">
        <f>_xlfn.IFERROR(BX153/BX152,0)</f>
        <v>0</v>
      </c>
      <c r="BY154" s="504">
        <f>_xlfn.IFERROR(BY153/BY152,0)</f>
        <v>0</v>
      </c>
      <c r="BZ154" s="504">
        <f>_xlfn.IFERROR(BZ153/BZ152,0)</f>
        <v>0</v>
      </c>
      <c r="CA154" s="504">
        <f>_xlfn.IFERROR(CA153/CA152,0)</f>
        <v>0</v>
      </c>
      <c r="CB154" s="504">
        <f>_xlfn.IFERROR(CB153/CB152,0)</f>
        <v>0</v>
      </c>
      <c r="CC154" s="504">
        <f>_xlfn.IFERROR(CC153/CC152,0)</f>
        <v>0</v>
      </c>
      <c r="CD154" s="504">
        <f>_xlfn.IFERROR(CD153/CD152,0)</f>
        <v>0</v>
      </c>
      <c r="CE154" s="504">
        <f>_xlfn.IFERROR(CE153/CE152,0)</f>
        <v>0</v>
      </c>
      <c r="CF154" s="504">
        <f>_xlfn.IFERROR(CF153/CF152,0)</f>
        <v>0</v>
      </c>
      <c r="CG154" s="504">
        <f>_xlfn.IFERROR(CG153/CG152,0)</f>
        <v>0</v>
      </c>
      <c r="CH154" s="504">
        <f>_xlfn.IFERROR(CH153/CH152,0)</f>
        <v>0</v>
      </c>
      <c r="CI154" s="504">
        <f>_xlfn.IFERROR(CI153/CI152,0)</f>
        <v>0</v>
      </c>
      <c r="CJ154" s="504">
        <f>_xlfn.IFERROR(CJ153/CJ152,0)</f>
        <v>0</v>
      </c>
      <c r="CK154" s="504">
        <f>_xlfn.IFERROR(CK153/CK152,0)</f>
        <v>0</v>
      </c>
      <c r="CL154" s="504">
        <f>_xlfn.IFERROR(CL153/CL152,0)</f>
        <v>0</v>
      </c>
      <c r="CM154" s="504">
        <f>_xlfn.IFERROR(CM153/CM152,0)</f>
        <v>0</v>
      </c>
      <c r="CN154" s="504">
        <f>_xlfn.IFERROR(CN153/CN152,0)</f>
        <v>0</v>
      </c>
      <c r="CO154" s="504">
        <f>_xlfn.IFERROR(CO153/CO152,0)</f>
        <v>0</v>
      </c>
      <c r="CP154" s="504">
        <f>_xlfn.IFERROR(CP153/CP152,0)</f>
        <v>0</v>
      </c>
      <c r="CQ154" s="504">
        <f>_xlfn.IFERROR(CQ153/CQ152,0)</f>
        <v>0</v>
      </c>
      <c r="CR154" s="504">
        <f>_xlfn.IFERROR(CR153/CR152,0)</f>
        <v>0</v>
      </c>
      <c r="CS154" s="504">
        <f>_xlfn.IFERROR(CS153/CS152,0)</f>
        <v>0</v>
      </c>
      <c r="CT154" s="504">
        <f>_xlfn.IFERROR(CT153/CT152,0)</f>
        <v>0</v>
      </c>
      <c r="CU154" s="504">
        <f>_xlfn.IFERROR(CU153/CU152,0)</f>
        <v>0</v>
      </c>
      <c r="CV154" s="504">
        <f>_xlfn.IFERROR(CV153/CV152,0)</f>
        <v>0</v>
      </c>
      <c r="CW154" s="504">
        <f>_xlfn.IFERROR(CW153/CW152,0)</f>
        <v>0</v>
      </c>
      <c r="CX154" s="504">
        <f>_xlfn.IFERROR(CX153/CX152,0)</f>
        <v>0</v>
      </c>
      <c r="CY154" s="504">
        <f>_xlfn.IFERROR(CY153/CY152,0)</f>
        <v>0</v>
      </c>
      <c r="CZ154" s="504">
        <f>_xlfn.IFERROR(CZ153/CZ152,0)</f>
        <v>0</v>
      </c>
      <c r="DA154" s="504">
        <f>_xlfn.IFERROR(DA153/DA152,0)</f>
        <v>0</v>
      </c>
      <c r="DB154" s="504">
        <f>_xlfn.IFERROR(DB153/DB152,0)</f>
        <v>0</v>
      </c>
      <c r="DC154" s="504">
        <f>_xlfn.IFERROR(DC153/DC152,0)</f>
        <v>0</v>
      </c>
      <c r="DD154" s="504">
        <f>_xlfn.IFERROR(DD153/DD152,0)</f>
        <v>0</v>
      </c>
      <c r="DE154" s="504">
        <f>_xlfn.IFERROR(DE153/DE152,0)</f>
        <v>0</v>
      </c>
      <c r="DF154" s="504">
        <f>_xlfn.IFERROR(DF153/DF152,0)</f>
        <v>0</v>
      </c>
      <c r="DG154" s="504">
        <f>_xlfn.IFERROR(DG153/DG152,0)</f>
        <v>0</v>
      </c>
      <c r="DH154" s="504">
        <f>_xlfn.IFERROR(DH153/DH152,0)</f>
        <v>0</v>
      </c>
      <c r="DI154" s="504">
        <f>_xlfn.IFERROR(DI153/DI152,0)</f>
        <v>0</v>
      </c>
      <c r="DJ154" s="504">
        <f>_xlfn.IFERROR(DJ153/DJ152,0)</f>
        <v>0</v>
      </c>
      <c r="DK154" s="504">
        <f>_xlfn.IFERROR(DK153/DK152,0)</f>
        <v>0</v>
      </c>
      <c r="DL154" s="504">
        <f>_xlfn.IFERROR(DL153/DL152,0)</f>
        <v>0</v>
      </c>
      <c r="DM154" s="504">
        <f>_xlfn.IFERROR(DM153/DM152,0)</f>
        <v>0</v>
      </c>
      <c r="DN154" s="504">
        <f>_xlfn.IFERROR(DN153/DN152,0)</f>
        <v>0</v>
      </c>
      <c r="DO154" s="504">
        <f>_xlfn.IFERROR(DO153/DO152,0)</f>
        <v>0</v>
      </c>
      <c r="DP154" s="504">
        <f>_xlfn.IFERROR(DP153/DP152,0)</f>
        <v>0</v>
      </c>
      <c r="DQ154" s="504">
        <f>_xlfn.IFERROR(DQ153/DQ152,0)</f>
        <v>0</v>
      </c>
      <c r="DR154" s="504">
        <f>_xlfn.IFERROR(DR153/DR152,0)</f>
        <v>0</v>
      </c>
      <c r="DS154" s="504">
        <f>_xlfn.IFERROR(DS153/DS152,0)</f>
        <v>0</v>
      </c>
      <c r="DT154" s="504">
        <f>_xlfn.IFERROR(DT153/DT152,0)</f>
        <v>0</v>
      </c>
      <c r="DU154" s="504">
        <f>_xlfn.IFERROR(DU153/DU152,0)</f>
        <v>0</v>
      </c>
      <c r="DV154" s="504">
        <f>_xlfn.IFERROR(DV153/DV152,0)</f>
        <v>0</v>
      </c>
      <c r="DW154" s="504">
        <f>_xlfn.IFERROR(DW153/DW152,0)</f>
        <v>0</v>
      </c>
      <c r="DX154" s="504">
        <f>_xlfn.IFERROR(DX153/DX152,0)</f>
        <v>0</v>
      </c>
      <c r="DY154" s="504">
        <f>_xlfn.IFERROR(DY153/DY152,0)</f>
        <v>0</v>
      </c>
      <c r="DZ154" s="504">
        <f>_xlfn.IFERROR(DZ153/DZ152,0)</f>
        <v>0</v>
      </c>
      <c r="EA154" s="504">
        <f>_xlfn.IFERROR(EA153/EA152,0)</f>
        <v>0</v>
      </c>
      <c r="EB154" s="504">
        <f>_xlfn.IFERROR(EB153/EB152,0)</f>
        <v>0</v>
      </c>
      <c r="EC154" s="504">
        <f>_xlfn.IFERROR(EC153/EC152,0)</f>
        <v>0</v>
      </c>
      <c r="ED154" s="504">
        <f>_xlfn.IFERROR(ED153/ED152,0)</f>
        <v>0</v>
      </c>
      <c r="EE154" s="504">
        <f>_xlfn.IFERROR(EE153/EE152,0)</f>
        <v>0</v>
      </c>
      <c r="EF154" s="504">
        <f>_xlfn.IFERROR(EF153/EF152,0)</f>
        <v>0</v>
      </c>
      <c r="EG154" s="504">
        <f>_xlfn.IFERROR(EG153/EG152,0)</f>
        <v>0</v>
      </c>
      <c r="EH154" s="504">
        <f>_xlfn.IFERROR(EH153/EH152,0)</f>
        <v>0</v>
      </c>
      <c r="EI154" s="504">
        <f>_xlfn.IFERROR(EI153/EI152,0)</f>
        <v>0</v>
      </c>
      <c r="EJ154" s="504">
        <f>_xlfn.IFERROR(EJ153/EJ152,0)</f>
        <v>0</v>
      </c>
      <c r="EK154" s="504">
        <f>_xlfn.IFERROR(EK153/EK152,0)</f>
        <v>0</v>
      </c>
      <c r="EL154" s="504">
        <f>_xlfn.IFERROR(EL153/EL152,0)</f>
        <v>0</v>
      </c>
      <c r="EM154" s="504">
        <f>_xlfn.IFERROR(EM153/EM152,0)</f>
        <v>0</v>
      </c>
      <c r="EN154" s="504">
        <f>_xlfn.IFERROR(EN153/EN152,0)</f>
        <v>0</v>
      </c>
      <c r="EO154" s="504">
        <f>_xlfn.IFERROR(EO153/EO152,0)</f>
        <v>0</v>
      </c>
      <c r="EP154" s="504">
        <f>_xlfn.IFERROR(EP153/EP152,0)</f>
        <v>0</v>
      </c>
      <c r="EQ154" s="504">
        <f>_xlfn.IFERROR(EQ153/EQ152,0)</f>
        <v>0</v>
      </c>
      <c r="ER154" s="504">
        <f>_xlfn.IFERROR(ER153/ER152,0)</f>
        <v>0</v>
      </c>
      <c r="ES154" s="504">
        <f>_xlfn.IFERROR(ES153/ES152,0)</f>
        <v>0</v>
      </c>
      <c r="ET154" s="504">
        <f>_xlfn.IFERROR(ET153/ET152,0)</f>
        <v>0</v>
      </c>
      <c r="EU154" s="504">
        <f>_xlfn.IFERROR(EU153/EU152,0)</f>
        <v>0</v>
      </c>
      <c r="EV154" s="504">
        <f>_xlfn.IFERROR(EV153/EV152,0)</f>
        <v>0</v>
      </c>
      <c r="EW154" s="504">
        <f>_xlfn.IFERROR(EW153/EW152,0)</f>
        <v>0</v>
      </c>
      <c r="EX154" s="504">
        <f>_xlfn.IFERROR(EX153/EX152,0)</f>
        <v>0</v>
      </c>
      <c r="EY154" s="504">
        <f>_xlfn.IFERROR(EY153/EY152,0)</f>
        <v>0</v>
      </c>
      <c r="EZ154" s="504">
        <f>_xlfn.IFERROR(EZ153/EZ152,0)</f>
        <v>0</v>
      </c>
      <c r="FA154" s="504">
        <f>_xlfn.IFERROR(FA153/FA152,0)</f>
        <v>0</v>
      </c>
      <c r="FB154" s="1897"/>
      <c r="FC154" s="1751"/>
      <c r="FD154" s="1506"/>
      <c r="FE154" s="489" t="s">
        <v>854</v>
      </c>
      <c r="FF154" s="648"/>
      <c r="FG154" s="648"/>
      <c r="FH154" s="648"/>
      <c r="FI154" s="649"/>
      <c r="FJ154" s="649"/>
      <c r="FK154" s="1157" cm="1" t="str">
        <f t="array" ref="FK154:FK154">OFFSET(FJ154,-1,1)</f>
        <v>ТЭ.42.31656254.0001</v>
      </c>
      <c r="FL154" s="1078" t="s">
        <v>850</v>
      </c>
      <c r="FM154" s="1159"/>
      <c r="FN154" s="1159"/>
      <c r="FO154" s="1159"/>
      <c r="FP154" s="1159"/>
      <c r="FQ154" s="1159"/>
      <c r="FR154" s="1159"/>
      <c r="FS154" s="1159"/>
      <c r="FT154" s="1159"/>
      <c r="FU154" s="1159"/>
      <c r="FV154" s="1078" t="s">
        <v>255</v>
      </c>
      <c r="FW154" s="1159"/>
      <c r="FX154" s="1078" t="s">
        <v>303</v>
      </c>
      <c r="FY154" s="1078" t="s">
        <v>820</v>
      </c>
      <c r="FZ154" s="1078" t="s">
        <v>821</v>
      </c>
    </row>
    <row s="1751" customFormat="1" customHeight="1" ht="29.25">
      <c r="A155" s="371"/>
      <c r="B155" s="1548"/>
      <c r="C155" s="1548"/>
      <c r="D155" s="1548"/>
      <c r="E155" s="180">
        <v>30</v>
      </c>
      <c r="F155" s="175" cm="1" t="str">
        <f t="array" ref="F155:F155">OFFSET(G155,-1,-1)</f>
        <v>1</v>
      </c>
      <c r="G155" s="1659"/>
      <c r="H155" s="1659"/>
      <c r="I155" s="1659"/>
      <c r="J155" s="1659"/>
      <c r="K155" s="1659"/>
      <c r="L155" s="175" cm="1" t="str">
        <f t="array" ref="L155:L155">OFFSET(M155,-1,-1)</f>
        <v>false</v>
      </c>
      <c r="M155" s="1659"/>
      <c r="N155" s="1659"/>
      <c r="O155" s="1659"/>
      <c r="P155" s="1659"/>
      <c r="Q155" s="1659"/>
      <c r="R155" s="1548"/>
      <c r="S155" s="175" cm="1" t="str">
        <f t="array" ref="S155:S155">OFFSET(T155,-1,-1)</f>
        <v>true</v>
      </c>
      <c r="T155" s="1548"/>
      <c r="U155" s="753">
        <f>AND(S155,IF(ISBLANK(T155),TRUE,T155))</f>
        <v>1</v>
      </c>
      <c r="V155" s="1548"/>
      <c r="W155" s="1548"/>
      <c r="X155" s="1548"/>
      <c r="Y155" s="1548"/>
      <c r="Z155" s="1548"/>
      <c r="AA155" s="1009"/>
      <c r="AB155" s="1646"/>
      <c r="AC155" s="1751"/>
      <c r="AD155" s="491">
        <v>9</v>
      </c>
      <c r="AE155" s="1619" t="s">
        <v>855</v>
      </c>
      <c r="AF155" s="496"/>
      <c r="AG155" s="506" t="s">
        <v>629</v>
      </c>
      <c r="AH155" s="500">
        <f>AH152-AH153</f>
        <v>4383</v>
      </c>
      <c r="AI155" s="499">
        <f>AI152-AI153</f>
        <v>4637</v>
      </c>
      <c r="AJ155" s="499">
        <f>AJ152-AJ153</f>
        <v>4637</v>
      </c>
      <c r="AK155" s="499">
        <f>AK152-AK153</f>
        <v>4671</v>
      </c>
      <c r="AL155" s="499">
        <f>AL152-AL153</f>
        <v>4637</v>
      </c>
      <c r="AM155" s="499">
        <f>AM152-AM153</f>
        <v>2643</v>
      </c>
      <c r="AN155" s="499">
        <f>AN152-AN153</f>
        <v>1994</v>
      </c>
      <c r="AO155" s="499">
        <f>AO152-AO153</f>
        <v>0</v>
      </c>
      <c r="AP155" s="499">
        <f>AP152-AP153</f>
        <v>0</v>
      </c>
      <c r="AQ155" s="499">
        <f>AQ152-AQ153</f>
        <v>0</v>
      </c>
      <c r="AR155" s="499">
        <f>AR152-AR153</f>
        <v>0</v>
      </c>
      <c r="AS155" s="499">
        <f>AS152-AS153</f>
        <v>0</v>
      </c>
      <c r="AT155" s="499">
        <f>AT152-AT153</f>
        <v>0</v>
      </c>
      <c r="AU155" s="499">
        <f>AU152-AU153</f>
        <v>0</v>
      </c>
      <c r="AV155" s="499">
        <f>AV152-AV153</f>
        <v>0</v>
      </c>
      <c r="AW155" s="499">
        <f>AW152-AW153</f>
        <v>0</v>
      </c>
      <c r="AX155" s="499">
        <f>AX152-AX153</f>
        <v>0</v>
      </c>
      <c r="AY155" s="499">
        <f>AY152-AY153</f>
        <v>0</v>
      </c>
      <c r="AZ155" s="499">
        <f>AZ152-AZ153</f>
        <v>0</v>
      </c>
      <c r="BA155" s="499">
        <f>BA152-BA153</f>
        <v>0</v>
      </c>
      <c r="BB155" s="499">
        <f>BB152-BB153</f>
        <v>0</v>
      </c>
      <c r="BC155" s="499">
        <f>BC152-BC153</f>
        <v>0</v>
      </c>
      <c r="BD155" s="499">
        <f>BD152-BD153</f>
        <v>0</v>
      </c>
      <c r="BE155" s="499">
        <f>BE152-BE153</f>
        <v>0</v>
      </c>
      <c r="BF155" s="499">
        <f>BF152-BF153</f>
        <v>0</v>
      </c>
      <c r="BG155" s="499">
        <f>BG152-BG153</f>
        <v>0</v>
      </c>
      <c r="BH155" s="499">
        <f>BH152-BH153</f>
        <v>0</v>
      </c>
      <c r="BI155" s="499">
        <f>BI152-BI153</f>
        <v>0</v>
      </c>
      <c r="BJ155" s="499">
        <f>BJ152-BJ153</f>
        <v>0</v>
      </c>
      <c r="BK155" s="499">
        <f>BK152-BK153</f>
        <v>0</v>
      </c>
      <c r="BL155" s="499">
        <f>BL152-BL153</f>
        <v>0</v>
      </c>
      <c r="BM155" s="499">
        <f>BM152-BM153</f>
        <v>0</v>
      </c>
      <c r="BN155" s="499">
        <f>BN152-BN153</f>
        <v>0</v>
      </c>
      <c r="BO155" s="499">
        <f>BO152-BO153</f>
        <v>0</v>
      </c>
      <c r="BP155" s="499">
        <f>BP152-BP153</f>
        <v>0</v>
      </c>
      <c r="BQ155" s="499">
        <f>BQ152-BQ153</f>
        <v>0</v>
      </c>
      <c r="BR155" s="499">
        <f>BR152-BR153</f>
        <v>0</v>
      </c>
      <c r="BS155" s="499">
        <f>BS152-BS153</f>
        <v>0</v>
      </c>
      <c r="BT155" s="499">
        <f>BT152-BT153</f>
        <v>0</v>
      </c>
      <c r="BU155" s="499">
        <f>BU152-BU153</f>
        <v>0</v>
      </c>
      <c r="BV155" s="499">
        <f>BV152-BV153</f>
        <v>0</v>
      </c>
      <c r="BW155" s="499">
        <f>BW152-BW153</f>
        <v>0</v>
      </c>
      <c r="BX155" s="499">
        <f>BX152-BX153</f>
        <v>0</v>
      </c>
      <c r="BY155" s="499">
        <f>BY152-BY153</f>
        <v>0</v>
      </c>
      <c r="BZ155" s="499">
        <f>BZ152-BZ153</f>
        <v>0</v>
      </c>
      <c r="CA155" s="499">
        <f>CA152-CA153</f>
        <v>0</v>
      </c>
      <c r="CB155" s="499">
        <f>CB152-CB153</f>
        <v>0</v>
      </c>
      <c r="CC155" s="499">
        <f>CC152-CC153</f>
        <v>0</v>
      </c>
      <c r="CD155" s="499">
        <f>CD152-CD153</f>
        <v>0</v>
      </c>
      <c r="CE155" s="499">
        <f>CE152-CE153</f>
        <v>0</v>
      </c>
      <c r="CF155" s="499">
        <f>CF152-CF153</f>
        <v>0</v>
      </c>
      <c r="CG155" s="499">
        <f>CG152-CG153</f>
        <v>0</v>
      </c>
      <c r="CH155" s="499">
        <f>CH152-CH153</f>
        <v>0</v>
      </c>
      <c r="CI155" s="499">
        <f>CI152-CI153</f>
        <v>0</v>
      </c>
      <c r="CJ155" s="499">
        <f>CJ152-CJ153</f>
        <v>0</v>
      </c>
      <c r="CK155" s="499">
        <f>CK152-CK153</f>
        <v>0</v>
      </c>
      <c r="CL155" s="499">
        <f>CL152-CL153</f>
        <v>0</v>
      </c>
      <c r="CM155" s="499">
        <f>CM152-CM153</f>
        <v>0</v>
      </c>
      <c r="CN155" s="499">
        <f>CN152-CN153</f>
        <v>0</v>
      </c>
      <c r="CO155" s="499">
        <f>CO152-CO153</f>
        <v>0</v>
      </c>
      <c r="CP155" s="499">
        <f>CP152-CP153</f>
        <v>0</v>
      </c>
      <c r="CQ155" s="499">
        <f>CQ152-CQ153</f>
        <v>0</v>
      </c>
      <c r="CR155" s="499">
        <f>CR152-CR153</f>
        <v>0</v>
      </c>
      <c r="CS155" s="499">
        <f>CS152-CS153</f>
        <v>0</v>
      </c>
      <c r="CT155" s="499">
        <f>CT152-CT153</f>
        <v>4637</v>
      </c>
      <c r="CU155" s="499">
        <f>CU152-CU153</f>
        <v>2643</v>
      </c>
      <c r="CV155" s="499">
        <f>CV152-CV153</f>
        <v>1994</v>
      </c>
      <c r="CW155" s="499">
        <f>CW152-CW153</f>
        <v>0</v>
      </c>
      <c r="CX155" s="499">
        <f>CX152-CX153</f>
        <v>0</v>
      </c>
      <c r="CY155" s="499">
        <f>CY152-CY153</f>
        <v>0</v>
      </c>
      <c r="CZ155" s="499">
        <f>CZ152-CZ153</f>
        <v>0</v>
      </c>
      <c r="DA155" s="499">
        <f>DA152-DA153</f>
        <v>0</v>
      </c>
      <c r="DB155" s="499">
        <f>DB152-DB153</f>
        <v>0</v>
      </c>
      <c r="DC155" s="499">
        <f>DC152-DC153</f>
        <v>0</v>
      </c>
      <c r="DD155" s="499">
        <f>DD152-DD153</f>
        <v>0</v>
      </c>
      <c r="DE155" s="499">
        <f>DE152-DE153</f>
        <v>0</v>
      </c>
      <c r="DF155" s="499">
        <f>DF152-DF153</f>
        <v>0</v>
      </c>
      <c r="DG155" s="499">
        <f>DG152-DG153</f>
        <v>0</v>
      </c>
      <c r="DH155" s="499">
        <f>DH152-DH153</f>
        <v>0</v>
      </c>
      <c r="DI155" s="499">
        <f>DI152-DI153</f>
        <v>0</v>
      </c>
      <c r="DJ155" s="499">
        <f>DJ152-DJ153</f>
        <v>0</v>
      </c>
      <c r="DK155" s="499">
        <f>DK152-DK153</f>
        <v>0</v>
      </c>
      <c r="DL155" s="499">
        <f>DL152-DL153</f>
        <v>0</v>
      </c>
      <c r="DM155" s="499">
        <f>DM152-DM153</f>
        <v>0</v>
      </c>
      <c r="DN155" s="499">
        <f>DN152-DN153</f>
        <v>0</v>
      </c>
      <c r="DO155" s="499">
        <f>DO152-DO153</f>
        <v>0</v>
      </c>
      <c r="DP155" s="499">
        <f>DP152-DP153</f>
        <v>0</v>
      </c>
      <c r="DQ155" s="499">
        <f>DQ152-DQ153</f>
        <v>0</v>
      </c>
      <c r="DR155" s="499">
        <f>DR152-DR153</f>
        <v>0</v>
      </c>
      <c r="DS155" s="499">
        <f>DS152-DS153</f>
        <v>0</v>
      </c>
      <c r="DT155" s="499">
        <f>DT152-DT153</f>
        <v>0</v>
      </c>
      <c r="DU155" s="499">
        <f>DU152-DU153</f>
        <v>0</v>
      </c>
      <c r="DV155" s="499">
        <f>DV152-DV153</f>
        <v>0</v>
      </c>
      <c r="DW155" s="499">
        <f>DW152-DW153</f>
        <v>0</v>
      </c>
      <c r="DX155" s="499">
        <f>DX152-DX153</f>
        <v>0</v>
      </c>
      <c r="DY155" s="499">
        <f>DY152-DY153</f>
        <v>0</v>
      </c>
      <c r="DZ155" s="499">
        <f>DZ152-DZ153</f>
        <v>0</v>
      </c>
      <c r="EA155" s="499">
        <f>EA152-EA153</f>
        <v>0</v>
      </c>
      <c r="EB155" s="499">
        <f>EB152-EB153</f>
        <v>0</v>
      </c>
      <c r="EC155" s="499">
        <f>EC152-EC153</f>
        <v>0</v>
      </c>
      <c r="ED155" s="499">
        <f>ED152-ED153</f>
        <v>0</v>
      </c>
      <c r="EE155" s="499">
        <f>EE152-EE153</f>
        <v>0</v>
      </c>
      <c r="EF155" s="499">
        <f>EF152-EF153</f>
        <v>0</v>
      </c>
      <c r="EG155" s="499">
        <f>EG152-EG153</f>
        <v>0</v>
      </c>
      <c r="EH155" s="499">
        <f>EH152-EH153</f>
        <v>0</v>
      </c>
      <c r="EI155" s="499">
        <f>EI152-EI153</f>
        <v>0</v>
      </c>
      <c r="EJ155" s="499">
        <f>EJ152-EJ153</f>
        <v>0</v>
      </c>
      <c r="EK155" s="499">
        <f>EK152-EK153</f>
        <v>0</v>
      </c>
      <c r="EL155" s="499">
        <f>EL152-EL153</f>
        <v>0</v>
      </c>
      <c r="EM155" s="499">
        <f>EM152-EM153</f>
        <v>0</v>
      </c>
      <c r="EN155" s="499">
        <f>EN152-EN153</f>
        <v>0</v>
      </c>
      <c r="EO155" s="499">
        <f>EO152-EO153</f>
        <v>0</v>
      </c>
      <c r="EP155" s="499">
        <f>EP152-EP153</f>
        <v>0</v>
      </c>
      <c r="EQ155" s="499">
        <f>EQ152-EQ153</f>
        <v>0</v>
      </c>
      <c r="ER155" s="499">
        <f>ER152-ER153</f>
        <v>0</v>
      </c>
      <c r="ES155" s="499">
        <f>ES152-ES153</f>
        <v>0</v>
      </c>
      <c r="ET155" s="499">
        <f>ET152-ET153</f>
        <v>0</v>
      </c>
      <c r="EU155" s="499">
        <f>EU152-EU153</f>
        <v>0</v>
      </c>
      <c r="EV155" s="499">
        <f>EV152-EV153</f>
        <v>0</v>
      </c>
      <c r="EW155" s="499">
        <f>EW152-EW153</f>
        <v>0</v>
      </c>
      <c r="EX155" s="499">
        <f>EX152-EX153</f>
        <v>0</v>
      </c>
      <c r="EY155" s="499">
        <f>EY152-EY153</f>
        <v>0</v>
      </c>
      <c r="EZ155" s="499">
        <f>EZ152-EZ153</f>
        <v>0</v>
      </c>
      <c r="FA155" s="499">
        <f>FA152-FA153</f>
        <v>0</v>
      </c>
      <c r="FB155" s="1897"/>
      <c r="FC155" s="1751"/>
      <c r="FD155" s="1506"/>
      <c r="FE155" s="489" t="s">
        <v>856</v>
      </c>
      <c r="FF155" s="648"/>
      <c r="FG155" s="648"/>
      <c r="FH155" s="648"/>
      <c r="FI155" s="649"/>
      <c r="FJ155" s="649"/>
      <c r="FK155" s="1157" cm="1" t="str">
        <f t="array" ref="FK155:FK155">OFFSET(FJ155,-1,1)</f>
        <v>ТЭ.42.31656254.0001</v>
      </c>
      <c r="FL155" s="1078" t="s">
        <v>850</v>
      </c>
      <c r="FM155" s="1159"/>
      <c r="FN155" s="1159"/>
      <c r="FO155" s="1159"/>
      <c r="FP155" s="1159"/>
      <c r="FQ155" s="1078" t="s">
        <v>857</v>
      </c>
      <c r="FR155" s="1159"/>
      <c r="FS155" s="1159"/>
      <c r="FT155" s="1159"/>
      <c r="FU155" s="1159"/>
      <c r="FV155" s="1159"/>
      <c r="FW155" s="1159"/>
      <c r="FX155" s="1078" t="s">
        <v>303</v>
      </c>
      <c r="FY155" s="1078" t="s">
        <v>667</v>
      </c>
      <c r="FZ155" s="1078" t="s">
        <v>668</v>
      </c>
    </row>
    <row s="1751" customFormat="1" customHeight="1" ht="16.5" hidden="1">
      <c r="A156" s="371"/>
      <c r="B156" s="1548"/>
      <c r="C156" s="1548"/>
      <c r="D156" s="1548"/>
      <c r="E156" s="180">
        <v>17</v>
      </c>
      <c r="F156" s="175" cm="1" t="str">
        <f t="array" ref="F156:F156">OFFSET(G156,-1,-1)</f>
        <v>1</v>
      </c>
      <c r="G156" s="1659"/>
      <c r="H156" s="1659"/>
      <c r="I156" s="1659"/>
      <c r="J156" s="1659"/>
      <c r="K156" s="1659"/>
      <c r="L156" s="175" cm="1" t="str">
        <f t="array" ref="L156:L156">OFFSET(M156,-1,-1)</f>
        <v>false</v>
      </c>
      <c r="M156" s="1659"/>
      <c r="N156" s="1659"/>
      <c r="O156" s="1659"/>
      <c r="P156" s="1659"/>
      <c r="Q156" s="1659"/>
      <c r="R156" s="175" t="s">
        <v>804</v>
      </c>
      <c r="S156" s="175" cm="1" t="str">
        <f t="array" ref="S156:S156">OFFSET(T156,-1,-1)</f>
        <v>true</v>
      </c>
      <c r="T156" s="175" cm="1" t="str">
        <f t="array" ref="T156:T156">L156</f>
        <v>false</v>
      </c>
      <c r="U156" s="753">
        <f>AND(S156,IF(ISBLANK(T156),TRUE,T156))</f>
        <v>0</v>
      </c>
      <c r="V156" s="1548"/>
      <c r="W156" s="1548"/>
      <c r="X156" s="1548"/>
      <c r="Y156" s="1548"/>
      <c r="Z156" s="1548"/>
      <c r="AA156" s="1009"/>
      <c r="AB156" s="1646"/>
      <c r="AC156" s="1751"/>
      <c r="AD156" s="491">
        <v>10</v>
      </c>
      <c r="AE156" s="1619" t="s">
        <v>830</v>
      </c>
      <c r="AF156" s="496"/>
      <c r="AG156" s="507" t="s">
        <v>807</v>
      </c>
      <c r="AH156" s="88"/>
      <c r="AI156" s="89"/>
      <c r="AJ156" s="89"/>
      <c r="AK156" s="89"/>
      <c r="AL156" s="499">
        <f>AM156+AN156</f>
        <v>0</v>
      </c>
      <c r="AM156" s="89"/>
      <c r="AN156" s="89"/>
      <c r="AO156" s="499">
        <f>AP156+AQ156</f>
        <v>0</v>
      </c>
      <c r="AP156" s="89"/>
      <c r="AQ156" s="89"/>
      <c r="AR156" s="499">
        <f>AS156+AT156</f>
        <v>0</v>
      </c>
      <c r="AS156" s="89"/>
      <c r="AT156" s="89"/>
      <c r="AU156" s="499">
        <f>AV156+AW156</f>
        <v>0</v>
      </c>
      <c r="AV156" s="89"/>
      <c r="AW156" s="89"/>
      <c r="AX156" s="499">
        <f>AY156+AZ156</f>
        <v>0</v>
      </c>
      <c r="AY156" s="89"/>
      <c r="AZ156" s="89"/>
      <c r="BA156" s="499">
        <f>BB156+BC156</f>
        <v>0</v>
      </c>
      <c r="BB156" s="89"/>
      <c r="BC156" s="89"/>
      <c r="BD156" s="499">
        <f>BE156+BF156</f>
        <v>0</v>
      </c>
      <c r="BE156" s="89"/>
      <c r="BF156" s="89"/>
      <c r="BG156" s="499">
        <f>BH156+BI156</f>
        <v>0</v>
      </c>
      <c r="BH156" s="89"/>
      <c r="BI156" s="89"/>
      <c r="BJ156" s="499">
        <f>BK156+BL156</f>
        <v>0</v>
      </c>
      <c r="BK156" s="89"/>
      <c r="BL156" s="89"/>
      <c r="BM156" s="499">
        <f>BN156+BO156</f>
        <v>0</v>
      </c>
      <c r="BN156" s="89"/>
      <c r="BO156" s="89"/>
      <c r="BP156" s="499">
        <f>BQ156+BR156</f>
        <v>0</v>
      </c>
      <c r="BQ156" s="89"/>
      <c r="BR156" s="89"/>
      <c r="BS156" s="499">
        <f>BT156+BU156</f>
        <v>0</v>
      </c>
      <c r="BT156" s="89"/>
      <c r="BU156" s="89"/>
      <c r="BV156" s="499">
        <f>BW156+BX156</f>
        <v>0</v>
      </c>
      <c r="BW156" s="89"/>
      <c r="BX156" s="89"/>
      <c r="BY156" s="499">
        <f>BZ156+CA156</f>
        <v>0</v>
      </c>
      <c r="BZ156" s="89"/>
      <c r="CA156" s="89"/>
      <c r="CB156" s="499">
        <f>CC156+CD156</f>
        <v>0</v>
      </c>
      <c r="CC156" s="89"/>
      <c r="CD156" s="89"/>
      <c r="CE156" s="499">
        <f>CF156+CG156</f>
        <v>0</v>
      </c>
      <c r="CF156" s="89"/>
      <c r="CG156" s="89"/>
      <c r="CH156" s="499">
        <f>CI156+CJ156</f>
        <v>0</v>
      </c>
      <c r="CI156" s="89"/>
      <c r="CJ156" s="89"/>
      <c r="CK156" s="499">
        <f>CL156+CM156</f>
        <v>0</v>
      </c>
      <c r="CL156" s="89"/>
      <c r="CM156" s="89"/>
      <c r="CN156" s="499">
        <f>CO156+CP156</f>
        <v>0</v>
      </c>
      <c r="CO156" s="89"/>
      <c r="CP156" s="89"/>
      <c r="CQ156" s="499">
        <f>CR156+CS156</f>
        <v>0</v>
      </c>
      <c r="CR156" s="89"/>
      <c r="CS156" s="89"/>
      <c r="CT156" s="499">
        <f>CU156+CV156</f>
        <v>0</v>
      </c>
      <c r="CU156" s="498"/>
      <c r="CV156" s="498"/>
      <c r="CW156" s="499">
        <f>CX156+CY156</f>
        <v>0</v>
      </c>
      <c r="CX156" s="89"/>
      <c r="CY156" s="89"/>
      <c r="CZ156" s="499">
        <f>DA156+DB156</f>
        <v>0</v>
      </c>
      <c r="DA156" s="89"/>
      <c r="DB156" s="89"/>
      <c r="DC156" s="499">
        <f>DD156+DE156</f>
        <v>0</v>
      </c>
      <c r="DD156" s="89"/>
      <c r="DE156" s="89"/>
      <c r="DF156" s="499">
        <f>DG156+DH156</f>
        <v>0</v>
      </c>
      <c r="DG156" s="89"/>
      <c r="DH156" s="89"/>
      <c r="DI156" s="499">
        <f>DJ156+DK156</f>
        <v>0</v>
      </c>
      <c r="DJ156" s="89"/>
      <c r="DK156" s="89"/>
      <c r="DL156" s="499">
        <f>DM156+DN156</f>
        <v>0</v>
      </c>
      <c r="DM156" s="89"/>
      <c r="DN156" s="89"/>
      <c r="DO156" s="499">
        <f>DP156+DQ156</f>
        <v>0</v>
      </c>
      <c r="DP156" s="89"/>
      <c r="DQ156" s="89"/>
      <c r="DR156" s="499">
        <f>DS156+DT156</f>
        <v>0</v>
      </c>
      <c r="DS156" s="89"/>
      <c r="DT156" s="89"/>
      <c r="DU156" s="499">
        <f>DV156+DW156</f>
        <v>0</v>
      </c>
      <c r="DV156" s="89"/>
      <c r="DW156" s="89"/>
      <c r="DX156" s="499">
        <f>DY156+DZ156</f>
        <v>0</v>
      </c>
      <c r="DY156" s="89"/>
      <c r="DZ156" s="89"/>
      <c r="EA156" s="499">
        <f>EB156+EC156</f>
        <v>0</v>
      </c>
      <c r="EB156" s="89"/>
      <c r="EC156" s="89"/>
      <c r="ED156" s="499">
        <f>EE156+EF156</f>
        <v>0</v>
      </c>
      <c r="EE156" s="89"/>
      <c r="EF156" s="89"/>
      <c r="EG156" s="499">
        <f>EH156+EI156</f>
        <v>0</v>
      </c>
      <c r="EH156" s="89"/>
      <c r="EI156" s="89"/>
      <c r="EJ156" s="499">
        <f>EK156+EL156</f>
        <v>0</v>
      </c>
      <c r="EK156" s="89"/>
      <c r="EL156" s="89"/>
      <c r="EM156" s="499">
        <f>EN156+EO156</f>
        <v>0</v>
      </c>
      <c r="EN156" s="89"/>
      <c r="EO156" s="89"/>
      <c r="EP156" s="499">
        <f>EQ156+ER156</f>
        <v>0</v>
      </c>
      <c r="EQ156" s="89"/>
      <c r="ER156" s="89"/>
      <c r="ES156" s="499">
        <f>ET156+EU156</f>
        <v>0</v>
      </c>
      <c r="ET156" s="89"/>
      <c r="EU156" s="89"/>
      <c r="EV156" s="499">
        <f>EW156+EX156</f>
        <v>0</v>
      </c>
      <c r="EW156" s="89"/>
      <c r="EX156" s="89"/>
      <c r="EY156" s="499">
        <f>EZ156+FA156</f>
        <v>0</v>
      </c>
      <c r="EZ156" s="89"/>
      <c r="FA156" s="89"/>
      <c r="FB156" s="83"/>
      <c r="FC156" s="1751"/>
      <c r="FD156" s="1506"/>
      <c r="FE156" s="489" t="s">
        <v>858</v>
      </c>
      <c r="FF156" s="648"/>
      <c r="FG156" s="648"/>
      <c r="FH156" s="648"/>
      <c r="FI156" s="649"/>
      <c r="FJ156" s="649"/>
      <c r="FK156" s="1157" cm="1" t="str">
        <f t="array" ref="FK156:FK156">OFFSET(FJ156,-1,1)</f>
        <v>ТЭ.42.31656254.0001</v>
      </c>
      <c r="FL156" s="1078" t="s">
        <v>518</v>
      </c>
      <c r="FM156" s="1159"/>
      <c r="FN156" s="1159"/>
      <c r="FO156" s="1159"/>
      <c r="FP156" s="1159"/>
      <c r="FQ156" s="1159"/>
      <c r="FR156" s="1159"/>
      <c r="FS156" s="1159"/>
      <c r="FT156" s="1159"/>
      <c r="FU156" s="1159"/>
      <c r="FV156" s="1078" t="s">
        <v>449</v>
      </c>
      <c r="FW156" s="1159"/>
      <c r="FX156" s="1078" t="s">
        <v>303</v>
      </c>
      <c r="FY156" s="1078" t="s">
        <v>846</v>
      </c>
      <c r="FZ156" s="1078" t="s">
        <v>847</v>
      </c>
    </row>
    <row s="1751" customFormat="1" customHeight="1" ht="29.25" hidden="1">
      <c r="A157" s="371"/>
      <c r="B157" s="1548"/>
      <c r="C157" s="1548"/>
      <c r="D157" s="1548"/>
      <c r="E157" s="180">
        <v>30</v>
      </c>
      <c r="F157" s="175" cm="1" t="str">
        <f t="array" ref="F157:F157">OFFSET(G157,-1,-1)</f>
        <v>1</v>
      </c>
      <c r="G157" s="1659"/>
      <c r="H157" s="1659"/>
      <c r="I157" s="1659"/>
      <c r="J157" s="1659"/>
      <c r="K157" s="1659"/>
      <c r="L157" s="175" cm="1" t="str">
        <f t="array" ref="L157:L157">OFFSET(M157,-1,-1)</f>
        <v>false</v>
      </c>
      <c r="M157" s="1659"/>
      <c r="N157" s="1659"/>
      <c r="O157" s="1659"/>
      <c r="P157" s="1659"/>
      <c r="Q157" s="1659"/>
      <c r="R157" s="175" t="s">
        <v>804</v>
      </c>
      <c r="S157" s="175" cm="1" t="str">
        <f t="array" ref="S157:S157">OFFSET(T157,-1,-1)</f>
        <v>true</v>
      </c>
      <c r="T157" s="175" cm="1" t="str">
        <f t="array" ref="T157:T157">L157</f>
        <v>false</v>
      </c>
      <c r="U157" s="753">
        <f>AND(S157,IF(ISBLANK(T157),TRUE,T157))</f>
        <v>0</v>
      </c>
      <c r="V157" s="1548"/>
      <c r="W157" s="1548"/>
      <c r="X157" s="1548"/>
      <c r="Y157" s="1548"/>
      <c r="Z157" s="1548"/>
      <c r="AA157" s="1009"/>
      <c r="AB157" s="1646"/>
      <c r="AC157" s="1751"/>
      <c r="AD157" s="491">
        <v>11</v>
      </c>
      <c r="AE157" s="1619" t="s">
        <v>859</v>
      </c>
      <c r="AF157" s="496"/>
      <c r="AG157" s="507" t="s">
        <v>860</v>
      </c>
      <c r="AH157" s="88"/>
      <c r="AI157" s="89"/>
      <c r="AJ157" s="89"/>
      <c r="AK157" s="89"/>
      <c r="AL157" s="499">
        <f>_xlfn.IFERROR(AL158*1000/AL156,0)</f>
        <v>0</v>
      </c>
      <c r="AM157" s="89"/>
      <c r="AN157" s="89" cm="1" t="str">
        <f t="array" ref="AN157:AN157">AM157</f>
        <v>0</v>
      </c>
      <c r="AO157" s="499">
        <f>_xlfn.IFERROR(AO158*1000/AO156,0)</f>
        <v>0</v>
      </c>
      <c r="AP157" s="89"/>
      <c r="AQ157" s="89" cm="1" t="str">
        <f t="array" ref="AQ157:AQ157">AP157</f>
        <v>0</v>
      </c>
      <c r="AR157" s="499">
        <f>_xlfn.IFERROR(AR158*1000/AR156,0)</f>
        <v>0</v>
      </c>
      <c r="AS157" s="89"/>
      <c r="AT157" s="89" cm="1" t="str">
        <f t="array" ref="AT157:AT157">AS157</f>
        <v>0</v>
      </c>
      <c r="AU157" s="499">
        <f>_xlfn.IFERROR(AU158*1000/AU156,0)</f>
        <v>0</v>
      </c>
      <c r="AV157" s="89"/>
      <c r="AW157" s="89" cm="1" t="str">
        <f t="array" ref="AW157:AW157">AV157</f>
        <v>0</v>
      </c>
      <c r="AX157" s="499">
        <f>_xlfn.IFERROR(AX158*1000/AX156,0)</f>
        <v>0</v>
      </c>
      <c r="AY157" s="89"/>
      <c r="AZ157" s="89" cm="1" t="str">
        <f t="array" ref="AZ157:AZ157">AY157</f>
        <v>0</v>
      </c>
      <c r="BA157" s="499">
        <f>_xlfn.IFERROR(BA158*1000/BA156,0)</f>
        <v>0</v>
      </c>
      <c r="BB157" s="89"/>
      <c r="BC157" s="89" cm="1" t="str">
        <f t="array" ref="BC157:BC157">BB157</f>
        <v>0</v>
      </c>
      <c r="BD157" s="499">
        <f>_xlfn.IFERROR(BD158*1000/BD156,0)</f>
        <v>0</v>
      </c>
      <c r="BE157" s="89"/>
      <c r="BF157" s="89" cm="1" t="str">
        <f t="array" ref="BF157:BF157">BE157</f>
        <v>0</v>
      </c>
      <c r="BG157" s="499">
        <f>_xlfn.IFERROR(BG158*1000/BG156,0)</f>
        <v>0</v>
      </c>
      <c r="BH157" s="89"/>
      <c r="BI157" s="89" cm="1" t="str">
        <f t="array" ref="BI157:BI157">BH157</f>
        <v>0</v>
      </c>
      <c r="BJ157" s="499">
        <f>_xlfn.IFERROR(BJ158*1000/BJ156,0)</f>
        <v>0</v>
      </c>
      <c r="BK157" s="89"/>
      <c r="BL157" s="89" cm="1" t="str">
        <f t="array" ref="BL157:BL157">BK157</f>
        <v>0</v>
      </c>
      <c r="BM157" s="499">
        <f>_xlfn.IFERROR(BM158*1000/BM156,0)</f>
        <v>0</v>
      </c>
      <c r="BN157" s="89"/>
      <c r="BO157" s="89" cm="1" t="str">
        <f t="array" ref="BO157:BO157">BN157</f>
        <v>0</v>
      </c>
      <c r="BP157" s="499">
        <f>_xlfn.IFERROR(BP158*1000/BP156,0)</f>
        <v>0</v>
      </c>
      <c r="BQ157" s="89"/>
      <c r="BR157" s="89" cm="1" t="str">
        <f t="array" ref="BR157:BR157">BQ157</f>
        <v>0</v>
      </c>
      <c r="BS157" s="499">
        <f>_xlfn.IFERROR(BS158*1000/BS156,0)</f>
        <v>0</v>
      </c>
      <c r="BT157" s="89"/>
      <c r="BU157" s="89" cm="1" t="str">
        <f t="array" ref="BU157:BU157">BT157</f>
        <v>0</v>
      </c>
      <c r="BV157" s="499">
        <f>_xlfn.IFERROR(BV158*1000/BV156,0)</f>
        <v>0</v>
      </c>
      <c r="BW157" s="89"/>
      <c r="BX157" s="89" cm="1" t="str">
        <f t="array" ref="BX157:BX157">BW157</f>
        <v>0</v>
      </c>
      <c r="BY157" s="499">
        <f>_xlfn.IFERROR(BY158*1000/BY156,0)</f>
        <v>0</v>
      </c>
      <c r="BZ157" s="89"/>
      <c r="CA157" s="89" cm="1" t="str">
        <f t="array" ref="CA157:CA157">BZ157</f>
        <v>0</v>
      </c>
      <c r="CB157" s="499">
        <f>_xlfn.IFERROR(CB158*1000/CB156,0)</f>
        <v>0</v>
      </c>
      <c r="CC157" s="89"/>
      <c r="CD157" s="89" cm="1" t="str">
        <f t="array" ref="CD157:CD157">CC157</f>
        <v>0</v>
      </c>
      <c r="CE157" s="499">
        <f>_xlfn.IFERROR(CE158*1000/CE156,0)</f>
        <v>0</v>
      </c>
      <c r="CF157" s="89"/>
      <c r="CG157" s="89" cm="1" t="str">
        <f t="array" ref="CG157:CG157">CF157</f>
        <v>0</v>
      </c>
      <c r="CH157" s="499">
        <f>_xlfn.IFERROR(CH158*1000/CH156,0)</f>
        <v>0</v>
      </c>
      <c r="CI157" s="89"/>
      <c r="CJ157" s="89" cm="1" t="str">
        <f t="array" ref="CJ157:CJ157">CI157</f>
        <v>0</v>
      </c>
      <c r="CK157" s="499">
        <f>_xlfn.IFERROR(CK158*1000/CK156,0)</f>
        <v>0</v>
      </c>
      <c r="CL157" s="89"/>
      <c r="CM157" s="89" cm="1" t="str">
        <f t="array" ref="CM157:CM157">CL157</f>
        <v>0</v>
      </c>
      <c r="CN157" s="499">
        <f>_xlfn.IFERROR(CN158*1000/CN156,0)</f>
        <v>0</v>
      </c>
      <c r="CO157" s="89"/>
      <c r="CP157" s="89" cm="1" t="str">
        <f t="array" ref="CP157:CP157">CO157</f>
        <v>0</v>
      </c>
      <c r="CQ157" s="499">
        <f>_xlfn.IFERROR(CQ158*1000/CQ156,0)</f>
        <v>0</v>
      </c>
      <c r="CR157" s="89"/>
      <c r="CS157" s="89" cm="1" t="str">
        <f t="array" ref="CS157:CS157">CR157</f>
        <v>0</v>
      </c>
      <c r="CT157" s="499">
        <f>_xlfn.IFERROR(CT158*1000/CT156,0)</f>
        <v>0</v>
      </c>
      <c r="CU157" s="498"/>
      <c r="CV157" s="498" cm="1" t="str">
        <f t="array" ref="CV157:CV157">CU157</f>
        <v>0</v>
      </c>
      <c r="CW157" s="499">
        <f>_xlfn.IFERROR(CW158*1000/CW156,0)</f>
        <v>0</v>
      </c>
      <c r="CX157" s="89"/>
      <c r="CY157" s="89" cm="1" t="str">
        <f t="array" ref="CY157:CY157">CX157</f>
        <v>0</v>
      </c>
      <c r="CZ157" s="499">
        <f>_xlfn.IFERROR(CZ158*1000/CZ156,0)</f>
        <v>0</v>
      </c>
      <c r="DA157" s="89"/>
      <c r="DB157" s="89" cm="1" t="str">
        <f t="array" ref="DB157:DB157">DA157</f>
        <v>0</v>
      </c>
      <c r="DC157" s="499">
        <f>_xlfn.IFERROR(DC158*1000/DC156,0)</f>
        <v>0</v>
      </c>
      <c r="DD157" s="89"/>
      <c r="DE157" s="89" cm="1" t="str">
        <f t="array" ref="DE157:DE157">DD157</f>
        <v>0</v>
      </c>
      <c r="DF157" s="499">
        <f>_xlfn.IFERROR(DF158*1000/DF156,0)</f>
        <v>0</v>
      </c>
      <c r="DG157" s="89"/>
      <c r="DH157" s="89" cm="1" t="str">
        <f t="array" ref="DH157:DH157">DG157</f>
        <v>0</v>
      </c>
      <c r="DI157" s="499">
        <f>_xlfn.IFERROR(DI158*1000/DI156,0)</f>
        <v>0</v>
      </c>
      <c r="DJ157" s="89"/>
      <c r="DK157" s="89" cm="1" t="str">
        <f t="array" ref="DK157:DK157">DJ157</f>
        <v>0</v>
      </c>
      <c r="DL157" s="499">
        <f>_xlfn.IFERROR(DL158*1000/DL156,0)</f>
        <v>0</v>
      </c>
      <c r="DM157" s="89"/>
      <c r="DN157" s="89" cm="1" t="str">
        <f t="array" ref="DN157:DN157">DM157</f>
        <v>0</v>
      </c>
      <c r="DO157" s="499">
        <f>_xlfn.IFERROR(DO158*1000/DO156,0)</f>
        <v>0</v>
      </c>
      <c r="DP157" s="89"/>
      <c r="DQ157" s="89" cm="1" t="str">
        <f t="array" ref="DQ157:DQ157">DP157</f>
        <v>0</v>
      </c>
      <c r="DR157" s="499">
        <f>_xlfn.IFERROR(DR158*1000/DR156,0)</f>
        <v>0</v>
      </c>
      <c r="DS157" s="89"/>
      <c r="DT157" s="89" cm="1" t="str">
        <f t="array" ref="DT157:DT157">DS157</f>
        <v>0</v>
      </c>
      <c r="DU157" s="499">
        <f>_xlfn.IFERROR(DU158*1000/DU156,0)</f>
        <v>0</v>
      </c>
      <c r="DV157" s="89"/>
      <c r="DW157" s="89" cm="1" t="str">
        <f t="array" ref="DW157:DW157">DV157</f>
        <v>0</v>
      </c>
      <c r="DX157" s="499">
        <f>_xlfn.IFERROR(DX158*1000/DX156,0)</f>
        <v>0</v>
      </c>
      <c r="DY157" s="89"/>
      <c r="DZ157" s="89" cm="1" t="str">
        <f t="array" ref="DZ157:DZ157">DY157</f>
        <v>0</v>
      </c>
      <c r="EA157" s="499">
        <f>_xlfn.IFERROR(EA158*1000/EA156,0)</f>
        <v>0</v>
      </c>
      <c r="EB157" s="89"/>
      <c r="EC157" s="89" cm="1" t="str">
        <f t="array" ref="EC157:EC157">EB157</f>
        <v>0</v>
      </c>
      <c r="ED157" s="499">
        <f>_xlfn.IFERROR(ED158*1000/ED156,0)</f>
        <v>0</v>
      </c>
      <c r="EE157" s="89"/>
      <c r="EF157" s="89" cm="1" t="str">
        <f t="array" ref="EF157:EF157">EE157</f>
        <v>0</v>
      </c>
      <c r="EG157" s="499">
        <f>_xlfn.IFERROR(EG158*1000/EG156,0)</f>
        <v>0</v>
      </c>
      <c r="EH157" s="89"/>
      <c r="EI157" s="89" cm="1" t="str">
        <f t="array" ref="EI157:EI157">EH157</f>
        <v>0</v>
      </c>
      <c r="EJ157" s="499">
        <f>_xlfn.IFERROR(EJ158*1000/EJ156,0)</f>
        <v>0</v>
      </c>
      <c r="EK157" s="89"/>
      <c r="EL157" s="89" cm="1" t="str">
        <f t="array" ref="EL157:EL157">EK157</f>
        <v>0</v>
      </c>
      <c r="EM157" s="499">
        <f>_xlfn.IFERROR(EM158*1000/EM156,0)</f>
        <v>0</v>
      </c>
      <c r="EN157" s="89"/>
      <c r="EO157" s="89" cm="1" t="str">
        <f t="array" ref="EO157:EO157">EN157</f>
        <v>0</v>
      </c>
      <c r="EP157" s="499">
        <f>_xlfn.IFERROR(EP158*1000/EP156,0)</f>
        <v>0</v>
      </c>
      <c r="EQ157" s="89"/>
      <c r="ER157" s="89" cm="1" t="str">
        <f t="array" ref="ER157:ER157">EQ157</f>
        <v>0</v>
      </c>
      <c r="ES157" s="499">
        <f>_xlfn.IFERROR(ES158*1000/ES156,0)</f>
        <v>0</v>
      </c>
      <c r="ET157" s="89"/>
      <c r="EU157" s="89" cm="1" t="str">
        <f t="array" ref="EU157:EU157">ET157</f>
        <v>0</v>
      </c>
      <c r="EV157" s="499">
        <f>_xlfn.IFERROR(EV158*1000/EV156,0)</f>
        <v>0</v>
      </c>
      <c r="EW157" s="89"/>
      <c r="EX157" s="89" cm="1" t="str">
        <f t="array" ref="EX157:EX157">EW157</f>
        <v>0</v>
      </c>
      <c r="EY157" s="499">
        <f>_xlfn.IFERROR(EY158*1000/EY156,0)</f>
        <v>0</v>
      </c>
      <c r="EZ157" s="89"/>
      <c r="FA157" s="89" cm="1" t="str">
        <f t="array" ref="FA157:FA157">EZ157</f>
        <v>0</v>
      </c>
      <c r="FB157" s="83"/>
      <c r="FC157" s="1751"/>
      <c r="FD157" s="1506"/>
      <c r="FE157" s="489" t="s">
        <v>861</v>
      </c>
      <c r="FF157" s="648"/>
      <c r="FG157" s="648"/>
      <c r="FH157" s="648"/>
      <c r="FI157" s="649"/>
      <c r="FJ157" s="649"/>
      <c r="FK157" s="1157" cm="1" t="str">
        <f t="array" ref="FK157:FK157">OFFSET(FJ157,-1,1)</f>
        <v>ТЭ.42.31656254.0001</v>
      </c>
      <c r="FL157" s="1078" t="s">
        <v>862</v>
      </c>
      <c r="FM157" s="1159"/>
      <c r="FN157" s="1159"/>
      <c r="FO157" s="1159"/>
      <c r="FP157" s="1159"/>
      <c r="FQ157" s="1159"/>
      <c r="FR157" s="1159"/>
      <c r="FS157" s="1159"/>
      <c r="FT157" s="1159"/>
      <c r="FU157" s="1159"/>
      <c r="FV157" s="1078" t="s">
        <v>219</v>
      </c>
      <c r="FW157" s="1159"/>
      <c r="FX157" s="1078" t="s">
        <v>303</v>
      </c>
      <c r="FY157" s="1078" t="s">
        <v>863</v>
      </c>
      <c r="FZ157" s="1078" t="s">
        <v>864</v>
      </c>
    </row>
    <row s="1751" customFormat="1" customHeight="1" ht="16.5" hidden="1">
      <c r="A158" s="371"/>
      <c r="B158" s="1548"/>
      <c r="C158" s="1548"/>
      <c r="D158" s="1548"/>
      <c r="E158" s="180">
        <v>17</v>
      </c>
      <c r="F158" s="175" cm="1" t="str">
        <f t="array" ref="F158:F158">OFFSET(G158,-1,-1)</f>
        <v>1</v>
      </c>
      <c r="G158" s="1659"/>
      <c r="H158" s="1659"/>
      <c r="I158" s="1659"/>
      <c r="J158" s="1659"/>
      <c r="K158" s="1659"/>
      <c r="L158" s="175" cm="1" t="str">
        <f t="array" ref="L158:L158">OFFSET(M158,-1,-1)</f>
        <v>false</v>
      </c>
      <c r="M158" s="1659"/>
      <c r="N158" s="1659"/>
      <c r="O158" s="1659"/>
      <c r="P158" s="1659"/>
      <c r="Q158" s="1659"/>
      <c r="R158" s="175" t="s">
        <v>804</v>
      </c>
      <c r="S158" s="175" cm="1" t="str">
        <f t="array" ref="S158:S158">OFFSET(T158,-1,-1)</f>
        <v>true</v>
      </c>
      <c r="T158" s="175" cm="1" t="str">
        <f t="array" ref="T158:T158">L158</f>
        <v>false</v>
      </c>
      <c r="U158" s="753">
        <f>AND(S158,IF(ISBLANK(T158),TRUE,T158))</f>
        <v>0</v>
      </c>
      <c r="V158" s="1548"/>
      <c r="W158" s="1548"/>
      <c r="X158" s="1548"/>
      <c r="Y158" s="1548"/>
      <c r="Z158" s="1548"/>
      <c r="AA158" s="1009"/>
      <c r="AB158" s="1646"/>
      <c r="AC158" s="1751"/>
      <c r="AD158" s="491">
        <v>12</v>
      </c>
      <c r="AE158" s="1619" t="s">
        <v>865</v>
      </c>
      <c r="AF158" s="496"/>
      <c r="AG158" s="507" t="s">
        <v>866</v>
      </c>
      <c r="AH158" s="444">
        <f>AH156*AH157/1000</f>
        <v>0</v>
      </c>
      <c r="AI158" s="438">
        <f>AI156*AI157/1000</f>
        <v>0</v>
      </c>
      <c r="AJ158" s="438">
        <f>AJ156*AJ157/1000</f>
        <v>0</v>
      </c>
      <c r="AK158" s="438">
        <f>AK156*AK157/1000</f>
        <v>0</v>
      </c>
      <c r="AL158" s="499">
        <f>AM158+AN158</f>
        <v>0</v>
      </c>
      <c r="AM158" s="438">
        <f>AM156*AM157/1000</f>
        <v>0</v>
      </c>
      <c r="AN158" s="438">
        <f>AN156*AN157/1000</f>
        <v>0</v>
      </c>
      <c r="AO158" s="499">
        <f>AP158+AQ158</f>
        <v>0</v>
      </c>
      <c r="AP158" s="438">
        <f>AP156*AP157/1000</f>
        <v>0</v>
      </c>
      <c r="AQ158" s="438">
        <f>AQ156*AQ157/1000</f>
        <v>0</v>
      </c>
      <c r="AR158" s="499">
        <f>AS158+AT158</f>
        <v>0</v>
      </c>
      <c r="AS158" s="438">
        <f>AS156*AS157/1000</f>
        <v>0</v>
      </c>
      <c r="AT158" s="438">
        <f>AT156*AT157/1000</f>
        <v>0</v>
      </c>
      <c r="AU158" s="499">
        <f>AV158+AW158</f>
        <v>0</v>
      </c>
      <c r="AV158" s="438">
        <f>AV156*AV157/1000</f>
        <v>0</v>
      </c>
      <c r="AW158" s="438">
        <f>AW156*AW157/1000</f>
        <v>0</v>
      </c>
      <c r="AX158" s="499">
        <f>AY158+AZ158</f>
        <v>0</v>
      </c>
      <c r="AY158" s="438">
        <f>AY156*AY157/1000</f>
        <v>0</v>
      </c>
      <c r="AZ158" s="438">
        <f>AZ156*AZ157/1000</f>
        <v>0</v>
      </c>
      <c r="BA158" s="499">
        <f>BB158+BC158</f>
        <v>0</v>
      </c>
      <c r="BB158" s="438">
        <f>BB156*BB157/1000</f>
        <v>0</v>
      </c>
      <c r="BC158" s="438">
        <f>BC156*BC157/1000</f>
        <v>0</v>
      </c>
      <c r="BD158" s="499">
        <f>BE158+BF158</f>
        <v>0</v>
      </c>
      <c r="BE158" s="438">
        <f>BE156*BE157/1000</f>
        <v>0</v>
      </c>
      <c r="BF158" s="438">
        <f>BF156*BF157/1000</f>
        <v>0</v>
      </c>
      <c r="BG158" s="499">
        <f>BH158+BI158</f>
        <v>0</v>
      </c>
      <c r="BH158" s="438">
        <f>BH156*BH157/1000</f>
        <v>0</v>
      </c>
      <c r="BI158" s="438">
        <f>BI156*BI157/1000</f>
        <v>0</v>
      </c>
      <c r="BJ158" s="499">
        <f>BK158+BL158</f>
        <v>0</v>
      </c>
      <c r="BK158" s="438">
        <f>BK156*BK157/1000</f>
        <v>0</v>
      </c>
      <c r="BL158" s="438">
        <f>BL156*BL157/1000</f>
        <v>0</v>
      </c>
      <c r="BM158" s="499">
        <f>BN158+BO158</f>
        <v>0</v>
      </c>
      <c r="BN158" s="438">
        <f>BN156*BN157/1000</f>
        <v>0</v>
      </c>
      <c r="BO158" s="438">
        <f>BO156*BO157/1000</f>
        <v>0</v>
      </c>
      <c r="BP158" s="499">
        <f>BQ158+BR158</f>
        <v>0</v>
      </c>
      <c r="BQ158" s="438">
        <f>BQ156*BQ157/1000</f>
        <v>0</v>
      </c>
      <c r="BR158" s="438">
        <f>BR156*BR157/1000</f>
        <v>0</v>
      </c>
      <c r="BS158" s="499">
        <f>BT158+BU158</f>
        <v>0</v>
      </c>
      <c r="BT158" s="438">
        <f>BT156*BT157/1000</f>
        <v>0</v>
      </c>
      <c r="BU158" s="438">
        <f>BU156*BU157/1000</f>
        <v>0</v>
      </c>
      <c r="BV158" s="499">
        <f>BW158+BX158</f>
        <v>0</v>
      </c>
      <c r="BW158" s="438">
        <f>BW156*BW157/1000</f>
        <v>0</v>
      </c>
      <c r="BX158" s="438">
        <f>BX156*BX157/1000</f>
        <v>0</v>
      </c>
      <c r="BY158" s="499">
        <f>BZ158+CA158</f>
        <v>0</v>
      </c>
      <c r="BZ158" s="438">
        <f>BZ156*BZ157/1000</f>
        <v>0</v>
      </c>
      <c r="CA158" s="438">
        <f>CA156*CA157/1000</f>
        <v>0</v>
      </c>
      <c r="CB158" s="499">
        <f>CC158+CD158</f>
        <v>0</v>
      </c>
      <c r="CC158" s="438">
        <f>CC156*CC157/1000</f>
        <v>0</v>
      </c>
      <c r="CD158" s="438">
        <f>CD156*CD157/1000</f>
        <v>0</v>
      </c>
      <c r="CE158" s="499">
        <f>CF158+CG158</f>
        <v>0</v>
      </c>
      <c r="CF158" s="438">
        <f>CF156*CF157/1000</f>
        <v>0</v>
      </c>
      <c r="CG158" s="438">
        <f>CG156*CG157/1000</f>
        <v>0</v>
      </c>
      <c r="CH158" s="499">
        <f>CI158+CJ158</f>
        <v>0</v>
      </c>
      <c r="CI158" s="438">
        <f>CI156*CI157/1000</f>
        <v>0</v>
      </c>
      <c r="CJ158" s="438">
        <f>CJ156*CJ157/1000</f>
        <v>0</v>
      </c>
      <c r="CK158" s="499">
        <f>CL158+CM158</f>
        <v>0</v>
      </c>
      <c r="CL158" s="438">
        <f>CL156*CL157/1000</f>
        <v>0</v>
      </c>
      <c r="CM158" s="438">
        <f>CM156*CM157/1000</f>
        <v>0</v>
      </c>
      <c r="CN158" s="499">
        <f>CO158+CP158</f>
        <v>0</v>
      </c>
      <c r="CO158" s="438">
        <f>CO156*CO157/1000</f>
        <v>0</v>
      </c>
      <c r="CP158" s="438">
        <f>CP156*CP157/1000</f>
        <v>0</v>
      </c>
      <c r="CQ158" s="499">
        <f>CR158+CS158</f>
        <v>0</v>
      </c>
      <c r="CR158" s="438">
        <f>CR156*CR157/1000</f>
        <v>0</v>
      </c>
      <c r="CS158" s="438">
        <f>CS156*CS157/1000</f>
        <v>0</v>
      </c>
      <c r="CT158" s="499">
        <f>CU158+CV158</f>
        <v>0</v>
      </c>
      <c r="CU158" s="438">
        <f>CU156*CU157/1000</f>
        <v>0</v>
      </c>
      <c r="CV158" s="438">
        <f>CV156*CV157/1000</f>
        <v>0</v>
      </c>
      <c r="CW158" s="499">
        <f>CX158+CY158</f>
        <v>0</v>
      </c>
      <c r="CX158" s="438">
        <f>CX156*CX157/1000</f>
        <v>0</v>
      </c>
      <c r="CY158" s="438">
        <f>CY156*CY157/1000</f>
        <v>0</v>
      </c>
      <c r="CZ158" s="499">
        <f>DA158+DB158</f>
        <v>0</v>
      </c>
      <c r="DA158" s="438">
        <f>DA156*DA157/1000</f>
        <v>0</v>
      </c>
      <c r="DB158" s="438">
        <f>DB156*DB157/1000</f>
        <v>0</v>
      </c>
      <c r="DC158" s="499">
        <f>DD158+DE158</f>
        <v>0</v>
      </c>
      <c r="DD158" s="438">
        <f>DD156*DD157/1000</f>
        <v>0</v>
      </c>
      <c r="DE158" s="438">
        <f>DE156*DE157/1000</f>
        <v>0</v>
      </c>
      <c r="DF158" s="499">
        <f>DG158+DH158</f>
        <v>0</v>
      </c>
      <c r="DG158" s="438">
        <f>DG156*DG157/1000</f>
        <v>0</v>
      </c>
      <c r="DH158" s="438">
        <f>DH156*DH157/1000</f>
        <v>0</v>
      </c>
      <c r="DI158" s="499">
        <f>DJ158+DK158</f>
        <v>0</v>
      </c>
      <c r="DJ158" s="438">
        <f>DJ156*DJ157/1000</f>
        <v>0</v>
      </c>
      <c r="DK158" s="438">
        <f>DK156*DK157/1000</f>
        <v>0</v>
      </c>
      <c r="DL158" s="499">
        <f>DM158+DN158</f>
        <v>0</v>
      </c>
      <c r="DM158" s="438">
        <f>DM156*DM157/1000</f>
        <v>0</v>
      </c>
      <c r="DN158" s="438">
        <f>DN156*DN157/1000</f>
        <v>0</v>
      </c>
      <c r="DO158" s="499">
        <f>DP158+DQ158</f>
        <v>0</v>
      </c>
      <c r="DP158" s="438">
        <f>DP156*DP157/1000</f>
        <v>0</v>
      </c>
      <c r="DQ158" s="438">
        <f>DQ156*DQ157/1000</f>
        <v>0</v>
      </c>
      <c r="DR158" s="499">
        <f>DS158+DT158</f>
        <v>0</v>
      </c>
      <c r="DS158" s="438">
        <f>DS156*DS157/1000</f>
        <v>0</v>
      </c>
      <c r="DT158" s="438">
        <f>DT156*DT157/1000</f>
        <v>0</v>
      </c>
      <c r="DU158" s="499">
        <f>DV158+DW158</f>
        <v>0</v>
      </c>
      <c r="DV158" s="438">
        <f>DV156*DV157/1000</f>
        <v>0</v>
      </c>
      <c r="DW158" s="438">
        <f>DW156*DW157/1000</f>
        <v>0</v>
      </c>
      <c r="DX158" s="499">
        <f>DY158+DZ158</f>
        <v>0</v>
      </c>
      <c r="DY158" s="438">
        <f>DY156*DY157/1000</f>
        <v>0</v>
      </c>
      <c r="DZ158" s="438">
        <f>DZ156*DZ157/1000</f>
        <v>0</v>
      </c>
      <c r="EA158" s="499">
        <f>EB158+EC158</f>
        <v>0</v>
      </c>
      <c r="EB158" s="438">
        <f>EB156*EB157/1000</f>
        <v>0</v>
      </c>
      <c r="EC158" s="438">
        <f>EC156*EC157/1000</f>
        <v>0</v>
      </c>
      <c r="ED158" s="499">
        <f>EE158+EF158</f>
        <v>0</v>
      </c>
      <c r="EE158" s="438">
        <f>EE156*EE157/1000</f>
        <v>0</v>
      </c>
      <c r="EF158" s="438">
        <f>EF156*EF157/1000</f>
        <v>0</v>
      </c>
      <c r="EG158" s="499">
        <f>EH158+EI158</f>
        <v>0</v>
      </c>
      <c r="EH158" s="438">
        <f>EH156*EH157/1000</f>
        <v>0</v>
      </c>
      <c r="EI158" s="438">
        <f>EI156*EI157/1000</f>
        <v>0</v>
      </c>
      <c r="EJ158" s="499">
        <f>EK158+EL158</f>
        <v>0</v>
      </c>
      <c r="EK158" s="438">
        <f>EK156*EK157/1000</f>
        <v>0</v>
      </c>
      <c r="EL158" s="438">
        <f>EL156*EL157/1000</f>
        <v>0</v>
      </c>
      <c r="EM158" s="499">
        <f>EN158+EO158</f>
        <v>0</v>
      </c>
      <c r="EN158" s="438">
        <f>EN156*EN157/1000</f>
        <v>0</v>
      </c>
      <c r="EO158" s="438">
        <f>EO156*EO157/1000</f>
        <v>0</v>
      </c>
      <c r="EP158" s="499">
        <f>EQ158+ER158</f>
        <v>0</v>
      </c>
      <c r="EQ158" s="438">
        <f>EQ156*EQ157/1000</f>
        <v>0</v>
      </c>
      <c r="ER158" s="438">
        <f>ER156*ER157/1000</f>
        <v>0</v>
      </c>
      <c r="ES158" s="499">
        <f>ET158+EU158</f>
        <v>0</v>
      </c>
      <c r="ET158" s="438">
        <f>ET156*ET157/1000</f>
        <v>0</v>
      </c>
      <c r="EU158" s="438">
        <f>EU156*EU157/1000</f>
        <v>0</v>
      </c>
      <c r="EV158" s="499">
        <f>EW158+EX158</f>
        <v>0</v>
      </c>
      <c r="EW158" s="438">
        <f>EW156*EW157/1000</f>
        <v>0</v>
      </c>
      <c r="EX158" s="438">
        <f>EX156*EX157/1000</f>
        <v>0</v>
      </c>
      <c r="EY158" s="499">
        <f>EZ158+FA158</f>
        <v>0</v>
      </c>
      <c r="EZ158" s="438">
        <f>EZ156*EZ157/1000</f>
        <v>0</v>
      </c>
      <c r="FA158" s="438">
        <f>FA156*FA157/1000</f>
        <v>0</v>
      </c>
      <c r="FB158" s="83"/>
      <c r="FC158" s="1751"/>
      <c r="FD158" s="1506"/>
      <c r="FE158" s="489" t="s">
        <v>867</v>
      </c>
      <c r="FF158" s="648"/>
      <c r="FG158" s="648"/>
      <c r="FH158" s="648"/>
      <c r="FI158" s="649"/>
      <c r="FJ158" s="649"/>
      <c r="FK158" s="1157" cm="1" t="str">
        <f t="array" ref="FK158:FK158">OFFSET(FJ158,-1,1)</f>
        <v>ТЭ.42.31656254.0001</v>
      </c>
      <c r="FL158" s="1078" t="s">
        <v>862</v>
      </c>
      <c r="FM158" s="1078" t="s">
        <v>817</v>
      </c>
      <c r="FN158" s="1159"/>
      <c r="FO158" s="1159"/>
      <c r="FP158" s="1159"/>
      <c r="FQ158" s="1159"/>
      <c r="FR158" s="1159"/>
      <c r="FS158" s="1159"/>
      <c r="FT158" s="1159"/>
      <c r="FU158" s="1159"/>
      <c r="FV158" s="1159"/>
      <c r="FW158" s="1159"/>
      <c r="FX158" s="1078" t="s">
        <v>303</v>
      </c>
      <c r="FY158" s="1078" t="s">
        <v>868</v>
      </c>
      <c r="FZ158" s="1078" t="s">
        <v>869</v>
      </c>
    </row>
    <row s="1751" customFormat="1" customHeight="1" ht="29.25">
      <c r="A159" s="371"/>
      <c r="B159" s="1548"/>
      <c r="C159" s="1548"/>
      <c r="D159" s="1548"/>
      <c r="E159" s="180">
        <v>30</v>
      </c>
      <c r="F159" s="175" cm="1" t="str">
        <f t="array" ref="F159:F159">OFFSET(G159,-1,-1)</f>
        <v>1</v>
      </c>
      <c r="G159" s="1659"/>
      <c r="H159" s="1659"/>
      <c r="I159" s="1659"/>
      <c r="J159" s="1659"/>
      <c r="K159" s="1659"/>
      <c r="L159" s="175" cm="1" t="str">
        <f t="array" ref="L159:L159">OFFSET(M159,-1,-1)</f>
        <v>false</v>
      </c>
      <c r="M159" s="1659"/>
      <c r="N159" s="1659"/>
      <c r="O159" s="1659"/>
      <c r="P159" s="1659"/>
      <c r="Q159" s="1659"/>
      <c r="R159" s="1548"/>
      <c r="S159" s="175" cm="1" t="str">
        <f t="array" ref="S159:S159">OFFSET(T159,-1,-1)</f>
        <v>true</v>
      </c>
      <c r="T159" s="1548"/>
      <c r="U159" s="753">
        <f>AND(S159,IF(ISBLANK(T159),TRUE,T159))</f>
        <v>1</v>
      </c>
      <c r="V159" s="1548"/>
      <c r="W159" s="1548"/>
      <c r="X159" s="1548"/>
      <c r="Y159" s="1548"/>
      <c r="Z159" s="1548"/>
      <c r="AA159" s="1009"/>
      <c r="AB159" s="1646"/>
      <c r="AC159" s="1751"/>
      <c r="AD159" s="491">
        <v>13</v>
      </c>
      <c r="AE159" s="1619" t="s">
        <v>848</v>
      </c>
      <c r="AF159" s="496"/>
      <c r="AG159" s="507" t="s">
        <v>629</v>
      </c>
      <c r="AH159" s="2255" cm="1" t="str">
        <f t="array" ref="AH159:AH159">AH152</f>
        <v>4383</v>
      </c>
      <c r="AI159" s="2255" cm="1" t="str">
        <f t="array" ref="AI159:AI159">AI152</f>
        <v>4637</v>
      </c>
      <c r="AJ159" s="2255" cm="1" t="str">
        <f t="array" ref="AJ159:AJ159">AJ152</f>
        <v>4637</v>
      </c>
      <c r="AK159" s="2255" cm="1" t="str">
        <f t="array" ref="AK159:AK159">AK152</f>
        <v>4671</v>
      </c>
      <c r="AL159" s="2255" cm="1" t="str">
        <f t="array" ref="AL159:AL159">AL152</f>
        <v>4637</v>
      </c>
      <c r="AM159" s="2255" cm="1" t="str">
        <f t="array" ref="AM159:AM159">AM152</f>
        <v>2643</v>
      </c>
      <c r="AN159" s="2255" cm="1" t="str">
        <f t="array" ref="AN159:AN159">AN152</f>
        <v>1994</v>
      </c>
      <c r="AO159" s="2255" cm="1" t="str">
        <f t="array" ref="AO159:AO159">AO152</f>
        <v>0</v>
      </c>
      <c r="AP159" s="2255" cm="1" t="str">
        <f t="array" ref="AP159:AP159">AP152</f>
        <v>0</v>
      </c>
      <c r="AQ159" s="2255" cm="1" t="str">
        <f t="array" ref="AQ159:AQ159">AQ152</f>
        <v>0</v>
      </c>
      <c r="AR159" s="2255" cm="1" t="str">
        <f t="array" ref="AR159:AR159">AR152</f>
        <v>0</v>
      </c>
      <c r="AS159" s="2255" cm="1" t="str">
        <f t="array" ref="AS159:AS159">AS152</f>
        <v>0</v>
      </c>
      <c r="AT159" s="2255" cm="1" t="str">
        <f t="array" ref="AT159:AT159">AT152</f>
        <v>0</v>
      </c>
      <c r="AU159" s="2255" cm="1" t="str">
        <f t="array" ref="AU159:AU159">AU152</f>
        <v>0</v>
      </c>
      <c r="AV159" s="2255" cm="1" t="str">
        <f t="array" ref="AV159:AV159">AV152</f>
        <v>0</v>
      </c>
      <c r="AW159" s="2255" cm="1" t="str">
        <f t="array" ref="AW159:AW159">AW152</f>
        <v>0</v>
      </c>
      <c r="AX159" s="2255" cm="1" t="str">
        <f t="array" ref="AX159:AX159">AX152</f>
        <v>0</v>
      </c>
      <c r="AY159" s="2255" cm="1" t="str">
        <f t="array" ref="AY159:AY159">AY152</f>
        <v>0</v>
      </c>
      <c r="AZ159" s="2255" cm="1" t="str">
        <f t="array" ref="AZ159:AZ159">AZ152</f>
        <v>0</v>
      </c>
      <c r="BA159" s="2255" cm="1" t="str">
        <f t="array" ref="BA159:BA159">BA152</f>
        <v>0</v>
      </c>
      <c r="BB159" s="2255" cm="1" t="str">
        <f t="array" ref="BB159:BB159">BB152</f>
        <v>0</v>
      </c>
      <c r="BC159" s="2255" cm="1" t="str">
        <f t="array" ref="BC159:BC159">BC152</f>
        <v>0</v>
      </c>
      <c r="BD159" s="2255" cm="1" t="str">
        <f t="array" ref="BD159:BD159">BD152</f>
        <v>0</v>
      </c>
      <c r="BE159" s="2255" cm="1" t="str">
        <f t="array" ref="BE159:BE159">BE152</f>
        <v>0</v>
      </c>
      <c r="BF159" s="2255" cm="1" t="str">
        <f t="array" ref="BF159:BF159">BF152</f>
        <v>0</v>
      </c>
      <c r="BG159" s="2255" cm="1" t="str">
        <f t="array" ref="BG159:BG159">BG152</f>
        <v>0</v>
      </c>
      <c r="BH159" s="2255" cm="1" t="str">
        <f t="array" ref="BH159:BH159">BH152</f>
        <v>0</v>
      </c>
      <c r="BI159" s="2255" cm="1" t="str">
        <f t="array" ref="BI159:BI159">BI152</f>
        <v>0</v>
      </c>
      <c r="BJ159" s="2255" cm="1" t="str">
        <f t="array" ref="BJ159:BJ159">BJ152</f>
        <v>0</v>
      </c>
      <c r="BK159" s="2255" cm="1" t="str">
        <f t="array" ref="BK159:BK159">BK152</f>
        <v>0</v>
      </c>
      <c r="BL159" s="2255" cm="1" t="str">
        <f t="array" ref="BL159:BL159">BL152</f>
        <v>0</v>
      </c>
      <c r="BM159" s="2255" cm="1" t="str">
        <f t="array" ref="BM159:BM159">BM152</f>
        <v>0</v>
      </c>
      <c r="BN159" s="2255" cm="1" t="str">
        <f t="array" ref="BN159:BN159">BN152</f>
        <v>0</v>
      </c>
      <c r="BO159" s="2255" cm="1" t="str">
        <f t="array" ref="BO159:BO159">BO152</f>
        <v>0</v>
      </c>
      <c r="BP159" s="2255" cm="1" t="str">
        <f t="array" ref="BP159:BP159">BP152</f>
        <v>0</v>
      </c>
      <c r="BQ159" s="2255" cm="1" t="str">
        <f t="array" ref="BQ159:BQ159">BQ152</f>
        <v>0</v>
      </c>
      <c r="BR159" s="2255" cm="1" t="str">
        <f t="array" ref="BR159:BR159">BR152</f>
        <v>0</v>
      </c>
      <c r="BS159" s="2255" cm="1" t="str">
        <f t="array" ref="BS159:BS159">BS152</f>
        <v>0</v>
      </c>
      <c r="BT159" s="2255" cm="1" t="str">
        <f t="array" ref="BT159:BT159">BT152</f>
        <v>0</v>
      </c>
      <c r="BU159" s="2255" cm="1" t="str">
        <f t="array" ref="BU159:BU159">BU152</f>
        <v>0</v>
      </c>
      <c r="BV159" s="2255" cm="1" t="str">
        <f t="array" ref="BV159:BV159">BV152</f>
        <v>0</v>
      </c>
      <c r="BW159" s="2255" cm="1" t="str">
        <f t="array" ref="BW159:BW159">BW152</f>
        <v>0</v>
      </c>
      <c r="BX159" s="2255" cm="1" t="str">
        <f t="array" ref="BX159:BX159">BX152</f>
        <v>0</v>
      </c>
      <c r="BY159" s="2255" cm="1" t="str">
        <f t="array" ref="BY159:BY159">BY152</f>
        <v>0</v>
      </c>
      <c r="BZ159" s="2255" cm="1" t="str">
        <f t="array" ref="BZ159:BZ159">BZ152</f>
        <v>0</v>
      </c>
      <c r="CA159" s="2255" cm="1" t="str">
        <f t="array" ref="CA159:CA159">CA152</f>
        <v>0</v>
      </c>
      <c r="CB159" s="2255" cm="1" t="str">
        <f t="array" ref="CB159:CB159">CB152</f>
        <v>0</v>
      </c>
      <c r="CC159" s="2255" cm="1" t="str">
        <f t="array" ref="CC159:CC159">CC152</f>
        <v>0</v>
      </c>
      <c r="CD159" s="2255" cm="1" t="str">
        <f t="array" ref="CD159:CD159">CD152</f>
        <v>0</v>
      </c>
      <c r="CE159" s="2255" cm="1" t="str">
        <f t="array" ref="CE159:CE159">CE152</f>
        <v>0</v>
      </c>
      <c r="CF159" s="2255" cm="1" t="str">
        <f t="array" ref="CF159:CF159">CF152</f>
        <v>0</v>
      </c>
      <c r="CG159" s="2255" cm="1" t="str">
        <f t="array" ref="CG159:CG159">CG152</f>
        <v>0</v>
      </c>
      <c r="CH159" s="2255" cm="1" t="str">
        <f t="array" ref="CH159:CH159">CH152</f>
        <v>0</v>
      </c>
      <c r="CI159" s="2255" cm="1" t="str">
        <f t="array" ref="CI159:CI159">CI152</f>
        <v>0</v>
      </c>
      <c r="CJ159" s="2255" cm="1" t="str">
        <f t="array" ref="CJ159:CJ159">CJ152</f>
        <v>0</v>
      </c>
      <c r="CK159" s="2255" cm="1" t="str">
        <f t="array" ref="CK159:CK159">CK152</f>
        <v>0</v>
      </c>
      <c r="CL159" s="2255" cm="1" t="str">
        <f t="array" ref="CL159:CL159">CL152</f>
        <v>0</v>
      </c>
      <c r="CM159" s="2255" cm="1" t="str">
        <f t="array" ref="CM159:CM159">CM152</f>
        <v>0</v>
      </c>
      <c r="CN159" s="2255" cm="1" t="str">
        <f t="array" ref="CN159:CN159">CN152</f>
        <v>0</v>
      </c>
      <c r="CO159" s="2255" cm="1" t="str">
        <f t="array" ref="CO159:CO159">CO152</f>
        <v>0</v>
      </c>
      <c r="CP159" s="2255" cm="1" t="str">
        <f t="array" ref="CP159:CP159">CP152</f>
        <v>0</v>
      </c>
      <c r="CQ159" s="2255" cm="1" t="str">
        <f t="array" ref="CQ159:CQ159">CQ152</f>
        <v>0</v>
      </c>
      <c r="CR159" s="2255" cm="1" t="str">
        <f t="array" ref="CR159:CR159">CR152</f>
        <v>0</v>
      </c>
      <c r="CS159" s="2255" cm="1" t="str">
        <f t="array" ref="CS159:CS159">CS152</f>
        <v>0</v>
      </c>
      <c r="CT159" s="497" cm="1" t="str">
        <f t="array" ref="CT159:CT159">CT152</f>
        <v>4637</v>
      </c>
      <c r="CU159" s="497" cm="1" t="str">
        <f t="array" ref="CU159:CU159">CU152</f>
        <v>2643</v>
      </c>
      <c r="CV159" s="497" cm="1" t="str">
        <f t="array" ref="CV159:CV159">CV152</f>
        <v>1994</v>
      </c>
      <c r="CW159" s="2255" cm="1" t="str">
        <f t="array" ref="CW159:CW159">CW152</f>
        <v>0</v>
      </c>
      <c r="CX159" s="2255" cm="1" t="str">
        <f t="array" ref="CX159:CX159">CX152</f>
        <v>0</v>
      </c>
      <c r="CY159" s="2255" cm="1" t="str">
        <f t="array" ref="CY159:CY159">CY152</f>
        <v>0</v>
      </c>
      <c r="CZ159" s="2255" cm="1" t="str">
        <f t="array" ref="CZ159:CZ159">CZ152</f>
        <v>0</v>
      </c>
      <c r="DA159" s="2255" cm="1" t="str">
        <f t="array" ref="DA159:DA159">DA152</f>
        <v>0</v>
      </c>
      <c r="DB159" s="2255" cm="1" t="str">
        <f t="array" ref="DB159:DB159">DB152</f>
        <v>0</v>
      </c>
      <c r="DC159" s="2255" cm="1" t="str">
        <f t="array" ref="DC159:DC159">DC152</f>
        <v>0</v>
      </c>
      <c r="DD159" s="2255" cm="1" t="str">
        <f t="array" ref="DD159:DD159">DD152</f>
        <v>0</v>
      </c>
      <c r="DE159" s="2255" cm="1" t="str">
        <f t="array" ref="DE159:DE159">DE152</f>
        <v>0</v>
      </c>
      <c r="DF159" s="2255" cm="1" t="str">
        <f t="array" ref="DF159:DF159">DF152</f>
        <v>0</v>
      </c>
      <c r="DG159" s="2255" cm="1" t="str">
        <f t="array" ref="DG159:DG159">DG152</f>
        <v>0</v>
      </c>
      <c r="DH159" s="2255" cm="1" t="str">
        <f t="array" ref="DH159:DH159">DH152</f>
        <v>0</v>
      </c>
      <c r="DI159" s="2255" cm="1" t="str">
        <f t="array" ref="DI159:DI159">DI152</f>
        <v>0</v>
      </c>
      <c r="DJ159" s="2255" cm="1" t="str">
        <f t="array" ref="DJ159:DJ159">DJ152</f>
        <v>0</v>
      </c>
      <c r="DK159" s="2255" cm="1" t="str">
        <f t="array" ref="DK159:DK159">DK152</f>
        <v>0</v>
      </c>
      <c r="DL159" s="2255" cm="1" t="str">
        <f t="array" ref="DL159:DL159">DL152</f>
        <v>0</v>
      </c>
      <c r="DM159" s="2255" cm="1" t="str">
        <f t="array" ref="DM159:DM159">DM152</f>
        <v>0</v>
      </c>
      <c r="DN159" s="2255" cm="1" t="str">
        <f t="array" ref="DN159:DN159">DN152</f>
        <v>0</v>
      </c>
      <c r="DO159" s="2255" cm="1" t="str">
        <f t="array" ref="DO159:DO159">DO152</f>
        <v>0</v>
      </c>
      <c r="DP159" s="2255" cm="1" t="str">
        <f t="array" ref="DP159:DP159">DP152</f>
        <v>0</v>
      </c>
      <c r="DQ159" s="2255" cm="1" t="str">
        <f t="array" ref="DQ159:DQ159">DQ152</f>
        <v>0</v>
      </c>
      <c r="DR159" s="2255" cm="1" t="str">
        <f t="array" ref="DR159:DR159">DR152</f>
        <v>0</v>
      </c>
      <c r="DS159" s="2255" cm="1" t="str">
        <f t="array" ref="DS159:DS159">DS152</f>
        <v>0</v>
      </c>
      <c r="DT159" s="2255" cm="1" t="str">
        <f t="array" ref="DT159:DT159">DT152</f>
        <v>0</v>
      </c>
      <c r="DU159" s="2255" cm="1" t="str">
        <f t="array" ref="DU159:DU159">DU152</f>
        <v>0</v>
      </c>
      <c r="DV159" s="2255" cm="1" t="str">
        <f t="array" ref="DV159:DV159">DV152</f>
        <v>0</v>
      </c>
      <c r="DW159" s="2255" cm="1" t="str">
        <f t="array" ref="DW159:DW159">DW152</f>
        <v>0</v>
      </c>
      <c r="DX159" s="2255" cm="1" t="str">
        <f t="array" ref="DX159:DX159">DX152</f>
        <v>0</v>
      </c>
      <c r="DY159" s="2255" cm="1" t="str">
        <f t="array" ref="DY159:DY159">DY152</f>
        <v>0</v>
      </c>
      <c r="DZ159" s="2255" cm="1" t="str">
        <f t="array" ref="DZ159:DZ159">DZ152</f>
        <v>0</v>
      </c>
      <c r="EA159" s="2255" cm="1" t="str">
        <f t="array" ref="EA159:EA159">EA152</f>
        <v>0</v>
      </c>
      <c r="EB159" s="2255" cm="1" t="str">
        <f t="array" ref="EB159:EB159">EB152</f>
        <v>0</v>
      </c>
      <c r="EC159" s="2255" cm="1" t="str">
        <f t="array" ref="EC159:EC159">EC152</f>
        <v>0</v>
      </c>
      <c r="ED159" s="2255" cm="1" t="str">
        <f t="array" ref="ED159:ED159">ED152</f>
        <v>0</v>
      </c>
      <c r="EE159" s="2255" cm="1" t="str">
        <f t="array" ref="EE159:EE159">EE152</f>
        <v>0</v>
      </c>
      <c r="EF159" s="2255" cm="1" t="str">
        <f t="array" ref="EF159:EF159">EF152</f>
        <v>0</v>
      </c>
      <c r="EG159" s="2255" cm="1" t="str">
        <f t="array" ref="EG159:EG159">EG152</f>
        <v>0</v>
      </c>
      <c r="EH159" s="2255" cm="1" t="str">
        <f t="array" ref="EH159:EH159">EH152</f>
        <v>0</v>
      </c>
      <c r="EI159" s="2255" cm="1" t="str">
        <f t="array" ref="EI159:EI159">EI152</f>
        <v>0</v>
      </c>
      <c r="EJ159" s="2255" cm="1" t="str">
        <f t="array" ref="EJ159:EJ159">EJ152</f>
        <v>0</v>
      </c>
      <c r="EK159" s="2255" cm="1" t="str">
        <f t="array" ref="EK159:EK159">EK152</f>
        <v>0</v>
      </c>
      <c r="EL159" s="2255" cm="1" t="str">
        <f t="array" ref="EL159:EL159">EL152</f>
        <v>0</v>
      </c>
      <c r="EM159" s="2255" cm="1" t="str">
        <f t="array" ref="EM159:EM159">EM152</f>
        <v>0</v>
      </c>
      <c r="EN159" s="2255" cm="1" t="str">
        <f t="array" ref="EN159:EN159">EN152</f>
        <v>0</v>
      </c>
      <c r="EO159" s="2255" cm="1" t="str">
        <f t="array" ref="EO159:EO159">EO152</f>
        <v>0</v>
      </c>
      <c r="EP159" s="2255" cm="1" t="str">
        <f t="array" ref="EP159:EP159">EP152</f>
        <v>0</v>
      </c>
      <c r="EQ159" s="2255" cm="1" t="str">
        <f t="array" ref="EQ159:EQ159">EQ152</f>
        <v>0</v>
      </c>
      <c r="ER159" s="2255" cm="1" t="str">
        <f t="array" ref="ER159:ER159">ER152</f>
        <v>0</v>
      </c>
      <c r="ES159" s="2255" cm="1" t="str">
        <f t="array" ref="ES159:ES159">ES152</f>
        <v>0</v>
      </c>
      <c r="ET159" s="2255" cm="1" t="str">
        <f t="array" ref="ET159:ET159">ET152</f>
        <v>0</v>
      </c>
      <c r="EU159" s="2255" cm="1" t="str">
        <f t="array" ref="EU159:EU159">EU152</f>
        <v>0</v>
      </c>
      <c r="EV159" s="2255" cm="1" t="str">
        <f t="array" ref="EV159:EV159">EV152</f>
        <v>0</v>
      </c>
      <c r="EW159" s="2255" cm="1" t="str">
        <f t="array" ref="EW159:EW159">EW152</f>
        <v>0</v>
      </c>
      <c r="EX159" s="2255" cm="1" t="str">
        <f t="array" ref="EX159:EX159">EX152</f>
        <v>0</v>
      </c>
      <c r="EY159" s="2255" cm="1" t="str">
        <f t="array" ref="EY159:EY159">EY152</f>
        <v>0</v>
      </c>
      <c r="EZ159" s="2255" cm="1" t="str">
        <f t="array" ref="EZ159:EZ159">EZ152</f>
        <v>0</v>
      </c>
      <c r="FA159" s="2255" cm="1" t="str">
        <f t="array" ref="FA159:FA159">FA152</f>
        <v>0</v>
      </c>
      <c r="FB159" s="1897"/>
      <c r="FC159" s="1751"/>
      <c r="FD159" s="1506"/>
      <c r="FE159" s="489" t="s">
        <v>870</v>
      </c>
      <c r="FF159" s="648"/>
      <c r="FG159" s="648"/>
      <c r="FH159" s="648"/>
      <c r="FI159" s="649"/>
      <c r="FJ159" s="649"/>
      <c r="FK159" s="1157" cm="1" t="str">
        <f t="array" ref="FK159:FK159">OFFSET(FJ159,-1,1)</f>
        <v>ТЭ.42.31656254.0001</v>
      </c>
      <c r="FL159" s="1078" t="s">
        <v>850</v>
      </c>
      <c r="FM159" s="1159"/>
      <c r="FN159" s="1159"/>
      <c r="FO159" s="1159"/>
      <c r="FP159" s="1078" t="s">
        <v>666</v>
      </c>
      <c r="FQ159" s="1078" t="s">
        <v>857</v>
      </c>
      <c r="FR159" s="1159"/>
      <c r="FS159" s="1159"/>
      <c r="FT159" s="1159"/>
      <c r="FU159" s="1159"/>
      <c r="FV159" s="1159"/>
      <c r="FW159" s="1159"/>
      <c r="FX159" s="1078" t="s">
        <v>303</v>
      </c>
      <c r="FY159" s="1078" t="s">
        <v>667</v>
      </c>
      <c r="FZ159" s="1078" t="s">
        <v>668</v>
      </c>
    </row>
    <row s="1751" customFormat="1" customHeight="1" ht="29.25">
      <c r="A160" s="371"/>
      <c r="B160" s="1548"/>
      <c r="C160" s="1548"/>
      <c r="D160" s="1548"/>
      <c r="E160" s="180">
        <v>30</v>
      </c>
      <c r="F160" s="175" cm="1" t="str">
        <f t="array" ref="F160:F160">OFFSET(G160,-1,-1)</f>
        <v>1</v>
      </c>
      <c r="G160" s="1659"/>
      <c r="H160" s="1659"/>
      <c r="I160" s="1659"/>
      <c r="J160" s="1659"/>
      <c r="K160" s="1659"/>
      <c r="L160" s="175" cm="1" t="str">
        <f t="array" ref="L160:L160">OFFSET(M160,-1,-1)</f>
        <v>false</v>
      </c>
      <c r="M160" s="1659"/>
      <c r="N160" s="1659"/>
      <c r="O160" s="1659"/>
      <c r="P160" s="1659"/>
      <c r="Q160" s="1659"/>
      <c r="R160" s="1548"/>
      <c r="S160" s="175" cm="1" t="str">
        <f t="array" ref="S160:S160">OFFSET(T160,-1,-1)</f>
        <v>true</v>
      </c>
      <c r="T160" s="1548"/>
      <c r="U160" s="753">
        <f>AND(S160,IF(ISBLANK(T160),TRUE,T160))</f>
        <v>1</v>
      </c>
      <c r="V160" s="1548"/>
      <c r="W160" s="1548"/>
      <c r="X160" s="1548"/>
      <c r="Y160" s="1548"/>
      <c r="Z160" s="1548"/>
      <c r="AA160" s="1009"/>
      <c r="AB160" s="1646"/>
      <c r="AC160" s="1751"/>
      <c r="AD160" s="491">
        <v>14</v>
      </c>
      <c r="AE160" s="1619" t="s">
        <v>871</v>
      </c>
      <c r="AF160" s="496"/>
      <c r="AG160" s="491" t="s">
        <v>872</v>
      </c>
      <c r="AH160" s="2255">
        <f>_xlfn.IFERROR(AH161/AH159*1000,0)</f>
        <v>213.2</v>
      </c>
      <c r="AI160" s="2255">
        <f>_xlfn.IFERROR(AI161/AI159*1000,0)</f>
        <v>260.043131334915</v>
      </c>
      <c r="AJ160" s="2255">
        <f>_xlfn.IFERROR(AJ161/AJ159*1000,0)</f>
        <v>213.2</v>
      </c>
      <c r="AK160" s="2255">
        <f>_xlfn.IFERROR(AK161/AK159*1000,0)</f>
        <v>213.2</v>
      </c>
      <c r="AL160" s="2255">
        <v>213.2</v>
      </c>
      <c r="AM160" s="2255" cm="1" t="str">
        <f t="array" ref="AM160:AM160">AL160</f>
        <v>213.2</v>
      </c>
      <c r="AN160" s="2255" cm="1" t="str">
        <f t="array" ref="AN160:AN160">AL160</f>
        <v>213.2</v>
      </c>
      <c r="AO160" s="2255"/>
      <c r="AP160" s="2255" cm="1" t="str">
        <f t="array" ref="AP160:AP160">AO160</f>
        <v>0</v>
      </c>
      <c r="AQ160" s="2255" cm="1" t="str">
        <f t="array" ref="AQ160:AQ160">AO160</f>
        <v>0</v>
      </c>
      <c r="AR160" s="2255"/>
      <c r="AS160" s="2255" cm="1" t="str">
        <f t="array" ref="AS160:AS160">AR160</f>
        <v>0</v>
      </c>
      <c r="AT160" s="2255" cm="1" t="str">
        <f t="array" ref="AT160:AT160">AR160</f>
        <v>0</v>
      </c>
      <c r="AU160" s="2255"/>
      <c r="AV160" s="2255" cm="1" t="str">
        <f t="array" ref="AV160:AV160">AU160</f>
        <v>0</v>
      </c>
      <c r="AW160" s="2255" cm="1" t="str">
        <f t="array" ref="AW160:AW160">AU160</f>
        <v>0</v>
      </c>
      <c r="AX160" s="2255"/>
      <c r="AY160" s="2255" cm="1" t="str">
        <f t="array" ref="AY160:AY160">AX160</f>
        <v>0</v>
      </c>
      <c r="AZ160" s="2255" cm="1" t="str">
        <f t="array" ref="AZ160:AZ160">AX160</f>
        <v>0</v>
      </c>
      <c r="BA160" s="2255"/>
      <c r="BB160" s="2255" cm="1" t="str">
        <f t="array" ref="BB160:BB160">BA160</f>
        <v>0</v>
      </c>
      <c r="BC160" s="2255" cm="1" t="str">
        <f t="array" ref="BC160:BC160">BA160</f>
        <v>0</v>
      </c>
      <c r="BD160" s="2255"/>
      <c r="BE160" s="2255" cm="1" t="str">
        <f t="array" ref="BE160:BE160">BD160</f>
        <v>0</v>
      </c>
      <c r="BF160" s="2255" cm="1" t="str">
        <f t="array" ref="BF160:BF160">BD160</f>
        <v>0</v>
      </c>
      <c r="BG160" s="2255"/>
      <c r="BH160" s="2255" cm="1" t="str">
        <f t="array" ref="BH160:BH160">BG160</f>
        <v>0</v>
      </c>
      <c r="BI160" s="2255" cm="1" t="str">
        <f t="array" ref="BI160:BI160">BG160</f>
        <v>0</v>
      </c>
      <c r="BJ160" s="2255"/>
      <c r="BK160" s="2255" cm="1" t="str">
        <f t="array" ref="BK160:BK160">BJ160</f>
        <v>0</v>
      </c>
      <c r="BL160" s="2255" cm="1" t="str">
        <f t="array" ref="BL160:BL160">BJ160</f>
        <v>0</v>
      </c>
      <c r="BM160" s="2255"/>
      <c r="BN160" s="2255" cm="1" t="str">
        <f t="array" ref="BN160:BN160">BM160</f>
        <v>0</v>
      </c>
      <c r="BO160" s="2255" cm="1" t="str">
        <f t="array" ref="BO160:BO160">BM160</f>
        <v>0</v>
      </c>
      <c r="BP160" s="2255"/>
      <c r="BQ160" s="2255" cm="1" t="str">
        <f t="array" ref="BQ160:BQ160">BP160</f>
        <v>0</v>
      </c>
      <c r="BR160" s="2255" cm="1" t="str">
        <f t="array" ref="BR160:BR160">BP160</f>
        <v>0</v>
      </c>
      <c r="BS160" s="2255"/>
      <c r="BT160" s="2255" cm="1" t="str">
        <f t="array" ref="BT160:BT160">BS160</f>
        <v>0</v>
      </c>
      <c r="BU160" s="2255" cm="1" t="str">
        <f t="array" ref="BU160:BU160">BS160</f>
        <v>0</v>
      </c>
      <c r="BV160" s="2255"/>
      <c r="BW160" s="2255" cm="1" t="str">
        <f t="array" ref="BW160:BW160">BV160</f>
        <v>0</v>
      </c>
      <c r="BX160" s="2255" cm="1" t="str">
        <f t="array" ref="BX160:BX160">BV160</f>
        <v>0</v>
      </c>
      <c r="BY160" s="2255"/>
      <c r="BZ160" s="2255" cm="1" t="str">
        <f t="array" ref="BZ160:BZ160">BY160</f>
        <v>0</v>
      </c>
      <c r="CA160" s="2255" cm="1" t="str">
        <f t="array" ref="CA160:CA160">BY160</f>
        <v>0</v>
      </c>
      <c r="CB160" s="2255"/>
      <c r="CC160" s="2255" cm="1" t="str">
        <f t="array" ref="CC160:CC160">CB160</f>
        <v>0</v>
      </c>
      <c r="CD160" s="2255" cm="1" t="str">
        <f t="array" ref="CD160:CD160">CB160</f>
        <v>0</v>
      </c>
      <c r="CE160" s="2255"/>
      <c r="CF160" s="2255" cm="1" t="str">
        <f t="array" ref="CF160:CF160">CE160</f>
        <v>0</v>
      </c>
      <c r="CG160" s="2255" cm="1" t="str">
        <f t="array" ref="CG160:CG160">CE160</f>
        <v>0</v>
      </c>
      <c r="CH160" s="2255"/>
      <c r="CI160" s="2255" cm="1" t="str">
        <f t="array" ref="CI160:CI160">CH160</f>
        <v>0</v>
      </c>
      <c r="CJ160" s="2255" cm="1" t="str">
        <f t="array" ref="CJ160:CJ160">CH160</f>
        <v>0</v>
      </c>
      <c r="CK160" s="2255"/>
      <c r="CL160" s="2255" cm="1" t="str">
        <f t="array" ref="CL160:CL160">CK160</f>
        <v>0</v>
      </c>
      <c r="CM160" s="2255" cm="1" t="str">
        <f t="array" ref="CM160:CM160">CK160</f>
        <v>0</v>
      </c>
      <c r="CN160" s="2255"/>
      <c r="CO160" s="2255" cm="1" t="str">
        <f t="array" ref="CO160:CO160">CN160</f>
        <v>0</v>
      </c>
      <c r="CP160" s="2255" cm="1" t="str">
        <f t="array" ref="CP160:CP160">CN160</f>
        <v>0</v>
      </c>
      <c r="CQ160" s="2255"/>
      <c r="CR160" s="2255" cm="1" t="str">
        <f t="array" ref="CR160:CR160">CQ160</f>
        <v>0</v>
      </c>
      <c r="CS160" s="2255" cm="1" t="str">
        <f t="array" ref="CS160:CS160">CQ160</f>
        <v>0</v>
      </c>
      <c r="CT160" s="497">
        <v>213.2</v>
      </c>
      <c r="CU160" s="497" cm="1" t="str">
        <f t="array" ref="CU160:CU160">CT160</f>
        <v>213.2</v>
      </c>
      <c r="CV160" s="497" cm="1" t="str">
        <f t="array" ref="CV160:CV160">CT160</f>
        <v>213.2</v>
      </c>
      <c r="CW160" s="2255"/>
      <c r="CX160" s="2255" cm="1" t="str">
        <f t="array" ref="CX160:CX160">CW160</f>
        <v>0</v>
      </c>
      <c r="CY160" s="2255" cm="1" t="str">
        <f t="array" ref="CY160:CY160">CW160</f>
        <v>0</v>
      </c>
      <c r="CZ160" s="2255"/>
      <c r="DA160" s="2255" cm="1" t="str">
        <f t="array" ref="DA160:DA160">CZ160</f>
        <v>0</v>
      </c>
      <c r="DB160" s="2255" cm="1" t="str">
        <f t="array" ref="DB160:DB160">CZ160</f>
        <v>0</v>
      </c>
      <c r="DC160" s="2255"/>
      <c r="DD160" s="2255" cm="1" t="str">
        <f t="array" ref="DD160:DD160">DC160</f>
        <v>0</v>
      </c>
      <c r="DE160" s="2255" cm="1" t="str">
        <f t="array" ref="DE160:DE160">DC160</f>
        <v>0</v>
      </c>
      <c r="DF160" s="2255"/>
      <c r="DG160" s="2255" cm="1" t="str">
        <f t="array" ref="DG160:DG160">DF160</f>
        <v>0</v>
      </c>
      <c r="DH160" s="2255" cm="1" t="str">
        <f t="array" ref="DH160:DH160">DF160</f>
        <v>0</v>
      </c>
      <c r="DI160" s="2255"/>
      <c r="DJ160" s="2255" cm="1" t="str">
        <f t="array" ref="DJ160:DJ160">DI160</f>
        <v>0</v>
      </c>
      <c r="DK160" s="2255" cm="1" t="str">
        <f t="array" ref="DK160:DK160">DI160</f>
        <v>0</v>
      </c>
      <c r="DL160" s="2255"/>
      <c r="DM160" s="2255" cm="1" t="str">
        <f t="array" ref="DM160:DM160">DL160</f>
        <v>0</v>
      </c>
      <c r="DN160" s="2255" cm="1" t="str">
        <f t="array" ref="DN160:DN160">DL160</f>
        <v>0</v>
      </c>
      <c r="DO160" s="2255"/>
      <c r="DP160" s="2255" cm="1" t="str">
        <f t="array" ref="DP160:DP160">DO160</f>
        <v>0</v>
      </c>
      <c r="DQ160" s="2255" cm="1" t="str">
        <f t="array" ref="DQ160:DQ160">DO160</f>
        <v>0</v>
      </c>
      <c r="DR160" s="2255"/>
      <c r="DS160" s="2255" cm="1" t="str">
        <f t="array" ref="DS160:DS160">DR160</f>
        <v>0</v>
      </c>
      <c r="DT160" s="2255" cm="1" t="str">
        <f t="array" ref="DT160:DT160">DR160</f>
        <v>0</v>
      </c>
      <c r="DU160" s="2255"/>
      <c r="DV160" s="2255" cm="1" t="str">
        <f t="array" ref="DV160:DV160">DU160</f>
        <v>0</v>
      </c>
      <c r="DW160" s="2255" cm="1" t="str">
        <f t="array" ref="DW160:DW160">DU160</f>
        <v>0</v>
      </c>
      <c r="DX160" s="2255"/>
      <c r="DY160" s="2255" cm="1" t="str">
        <f t="array" ref="DY160:DY160">DX160</f>
        <v>0</v>
      </c>
      <c r="DZ160" s="2255" cm="1" t="str">
        <f t="array" ref="DZ160:DZ160">DX160</f>
        <v>0</v>
      </c>
      <c r="EA160" s="2255"/>
      <c r="EB160" s="2255" cm="1" t="str">
        <f t="array" ref="EB160:EB160">EA160</f>
        <v>0</v>
      </c>
      <c r="EC160" s="2255" cm="1" t="str">
        <f t="array" ref="EC160:EC160">EA160</f>
        <v>0</v>
      </c>
      <c r="ED160" s="2255"/>
      <c r="EE160" s="2255" cm="1" t="str">
        <f t="array" ref="EE160:EE160">ED160</f>
        <v>0</v>
      </c>
      <c r="EF160" s="2255" cm="1" t="str">
        <f t="array" ref="EF160:EF160">ED160</f>
        <v>0</v>
      </c>
      <c r="EG160" s="2255"/>
      <c r="EH160" s="2255" cm="1" t="str">
        <f t="array" ref="EH160:EH160">EG160</f>
        <v>0</v>
      </c>
      <c r="EI160" s="2255" cm="1" t="str">
        <f t="array" ref="EI160:EI160">EG160</f>
        <v>0</v>
      </c>
      <c r="EJ160" s="2255"/>
      <c r="EK160" s="2255" cm="1" t="str">
        <f t="array" ref="EK160:EK160">EJ160</f>
        <v>0</v>
      </c>
      <c r="EL160" s="2255" cm="1" t="str">
        <f t="array" ref="EL160:EL160">EJ160</f>
        <v>0</v>
      </c>
      <c r="EM160" s="2255"/>
      <c r="EN160" s="2255" cm="1" t="str">
        <f t="array" ref="EN160:EN160">EM160</f>
        <v>0</v>
      </c>
      <c r="EO160" s="2255" cm="1" t="str">
        <f t="array" ref="EO160:EO160">EM160</f>
        <v>0</v>
      </c>
      <c r="EP160" s="2255"/>
      <c r="EQ160" s="2255" cm="1" t="str">
        <f t="array" ref="EQ160:EQ160">EP160</f>
        <v>0</v>
      </c>
      <c r="ER160" s="2255" cm="1" t="str">
        <f t="array" ref="ER160:ER160">EP160</f>
        <v>0</v>
      </c>
      <c r="ES160" s="2255"/>
      <c r="ET160" s="2255" cm="1" t="str">
        <f t="array" ref="ET160:ET160">ES160</f>
        <v>0</v>
      </c>
      <c r="EU160" s="2255" cm="1" t="str">
        <f t="array" ref="EU160:EU160">ES160</f>
        <v>0</v>
      </c>
      <c r="EV160" s="2255"/>
      <c r="EW160" s="2255" cm="1" t="str">
        <f t="array" ref="EW160:EW160">EV160</f>
        <v>0</v>
      </c>
      <c r="EX160" s="2255" cm="1" t="str">
        <f t="array" ref="EX160:EX160">EV160</f>
        <v>0</v>
      </c>
      <c r="EY160" s="2255"/>
      <c r="EZ160" s="2255" cm="1" t="str">
        <f t="array" ref="EZ160:EZ160">EY160</f>
        <v>0</v>
      </c>
      <c r="FA160" s="2255" cm="1" t="str">
        <f t="array" ref="FA160:FA160">EY160</f>
        <v>0</v>
      </c>
      <c r="FB160" s="1897"/>
      <c r="FC160" s="1751"/>
      <c r="FD160" s="1506"/>
      <c r="FE160" s="489" t="s">
        <v>873</v>
      </c>
      <c r="FF160" s="648"/>
      <c r="FG160" s="648"/>
      <c r="FH160" s="648"/>
      <c r="FI160" s="649"/>
      <c r="FJ160" s="649"/>
      <c r="FK160" s="1157" cm="1" t="str">
        <f t="array" ref="FK160:FK160">OFFSET(FJ160,-1,1)</f>
        <v>ТЭ.42.31656254.0001</v>
      </c>
      <c r="FL160" s="1078" t="s">
        <v>862</v>
      </c>
      <c r="FM160" s="1078" t="s">
        <v>824</v>
      </c>
      <c r="FN160" s="1159"/>
      <c r="FO160" s="1159"/>
      <c r="FP160" s="1159"/>
      <c r="FQ160" s="1159"/>
      <c r="FR160" s="1159"/>
      <c r="FS160" s="1159"/>
      <c r="FT160" s="1159"/>
      <c r="FU160" s="1159"/>
      <c r="FV160" s="1159"/>
      <c r="FW160" s="1159"/>
      <c r="FX160" s="1078" t="s">
        <v>303</v>
      </c>
      <c r="FY160" s="1078" t="s">
        <v>868</v>
      </c>
      <c r="FZ160" s="1078" t="s">
        <v>869</v>
      </c>
    </row>
    <row s="1751" customFormat="1" customHeight="1" ht="16.5">
      <c r="A161" s="371"/>
      <c r="B161" s="1548"/>
      <c r="C161" s="1548"/>
      <c r="D161" s="1548"/>
      <c r="E161" s="180">
        <v>17</v>
      </c>
      <c r="F161" s="175" cm="1" t="str">
        <f t="array" ref="F161:F161">OFFSET(G161,-1,-1)</f>
        <v>1</v>
      </c>
      <c r="G161" s="1659"/>
      <c r="H161" s="1659"/>
      <c r="I161" s="1659"/>
      <c r="J161" s="1659"/>
      <c r="K161" s="1659"/>
      <c r="L161" s="175" cm="1" t="str">
        <f t="array" ref="L161:L161">OFFSET(M161,-1,-1)</f>
        <v>false</v>
      </c>
      <c r="M161" s="1659"/>
      <c r="N161" s="1659"/>
      <c r="O161" s="1659"/>
      <c r="P161" s="1659"/>
      <c r="Q161" s="1659"/>
      <c r="R161" s="1548"/>
      <c r="S161" s="175" cm="1" t="str">
        <f t="array" ref="S161:S161">OFFSET(T161,-1,-1)</f>
        <v>true</v>
      </c>
      <c r="T161" s="1548"/>
      <c r="U161" s="753">
        <f>AND(S161,IF(ISBLANK(T161),TRUE,T161))</f>
        <v>1</v>
      </c>
      <c r="V161" s="1548"/>
      <c r="W161" s="1548"/>
      <c r="X161" s="1548"/>
      <c r="Y161" s="1548"/>
      <c r="Z161" s="1548"/>
      <c r="AA161" s="1009"/>
      <c r="AB161" s="1609" t="s">
        <v>874</v>
      </c>
      <c r="AC161" s="1751"/>
      <c r="AD161" s="491">
        <v>15</v>
      </c>
      <c r="AE161" s="1619" t="s">
        <v>875</v>
      </c>
      <c r="AF161" s="496"/>
      <c r="AG161" s="491" t="s">
        <v>866</v>
      </c>
      <c r="AH161" s="2255">
        <f>213.2*AH159/1000</f>
        <v>934.4556</v>
      </c>
      <c r="AI161" s="2255">
        <f>1386*0.87</f>
        <v>1205.82</v>
      </c>
      <c r="AJ161" s="2255">
        <f>213.2*AJ159/1000</f>
        <v>988.6084</v>
      </c>
      <c r="AK161" s="2255">
        <f>213.2*AK152/1000</f>
        <v>995.8572</v>
      </c>
      <c r="AL161" s="500">
        <f>AM161+AN161</f>
        <v>988</v>
      </c>
      <c r="AM161" s="2255">
        <f>ROUND(AM160*AM159/1000,0)</f>
        <v>563</v>
      </c>
      <c r="AN161" s="2255">
        <f>ROUND(AN160*AN159/1000,0)</f>
        <v>425</v>
      </c>
      <c r="AO161" s="500">
        <f>AP161+AQ161</f>
        <v>0</v>
      </c>
      <c r="AP161" s="2255">
        <f>AP160*AP159/1000</f>
        <v>0</v>
      </c>
      <c r="AQ161" s="2255">
        <f>AQ160*AQ159/1000</f>
        <v>0</v>
      </c>
      <c r="AR161" s="500">
        <f>AS161+AT161</f>
        <v>0</v>
      </c>
      <c r="AS161" s="2255">
        <f>AS160*AS159/1000</f>
        <v>0</v>
      </c>
      <c r="AT161" s="2255">
        <f>AT160*AT159/1000</f>
        <v>0</v>
      </c>
      <c r="AU161" s="500">
        <f>AV161+AW161</f>
        <v>0</v>
      </c>
      <c r="AV161" s="2255">
        <f>AV160*AV159/1000</f>
        <v>0</v>
      </c>
      <c r="AW161" s="2255">
        <f>AW160*AW159/1000</f>
        <v>0</v>
      </c>
      <c r="AX161" s="500">
        <f>AY161+AZ161</f>
        <v>0</v>
      </c>
      <c r="AY161" s="2255">
        <f>AY160*AY159/1000</f>
        <v>0</v>
      </c>
      <c r="AZ161" s="2255">
        <f>AZ160*AZ159/1000</f>
        <v>0</v>
      </c>
      <c r="BA161" s="500">
        <f>BB161+BC161</f>
        <v>0</v>
      </c>
      <c r="BB161" s="2255">
        <f>BB160*BB159/1000</f>
        <v>0</v>
      </c>
      <c r="BC161" s="2255">
        <f>BC160*BC159/1000</f>
        <v>0</v>
      </c>
      <c r="BD161" s="500">
        <f>BE161+BF161</f>
        <v>0</v>
      </c>
      <c r="BE161" s="2255">
        <f>BE160*BE159/1000</f>
        <v>0</v>
      </c>
      <c r="BF161" s="2255">
        <f>BF160*BF159/1000</f>
        <v>0</v>
      </c>
      <c r="BG161" s="500">
        <f>BH161+BI161</f>
        <v>0</v>
      </c>
      <c r="BH161" s="2255">
        <f>BH160*BH159/1000</f>
        <v>0</v>
      </c>
      <c r="BI161" s="2255">
        <f>BI160*BI159/1000</f>
        <v>0</v>
      </c>
      <c r="BJ161" s="500">
        <f>BK161+BL161</f>
        <v>0</v>
      </c>
      <c r="BK161" s="2255">
        <f>BK160*BK159/1000</f>
        <v>0</v>
      </c>
      <c r="BL161" s="2255">
        <f>BL160*BL159/1000</f>
        <v>0</v>
      </c>
      <c r="BM161" s="500">
        <f>BN161+BO161</f>
        <v>0</v>
      </c>
      <c r="BN161" s="2255">
        <f>BN160*BN159/1000</f>
        <v>0</v>
      </c>
      <c r="BO161" s="2255">
        <f>BO160*BO159/1000</f>
        <v>0</v>
      </c>
      <c r="BP161" s="500">
        <f>BQ161+BR161</f>
        <v>0</v>
      </c>
      <c r="BQ161" s="2255">
        <f>BQ160*BQ159/1000</f>
        <v>0</v>
      </c>
      <c r="BR161" s="2255">
        <f>BR160*BR159/1000</f>
        <v>0</v>
      </c>
      <c r="BS161" s="500">
        <f>BT161+BU161</f>
        <v>0</v>
      </c>
      <c r="BT161" s="2255">
        <f>BT160*BT159/1000</f>
        <v>0</v>
      </c>
      <c r="BU161" s="2255">
        <f>BU160*BU159/1000</f>
        <v>0</v>
      </c>
      <c r="BV161" s="500">
        <f>BW161+BX161</f>
        <v>0</v>
      </c>
      <c r="BW161" s="2255">
        <f>BW160*BW159/1000</f>
        <v>0</v>
      </c>
      <c r="BX161" s="2255">
        <f>BX160*BX159/1000</f>
        <v>0</v>
      </c>
      <c r="BY161" s="500">
        <f>BZ161+CA161</f>
        <v>0</v>
      </c>
      <c r="BZ161" s="2255">
        <f>BZ160*BZ159/1000</f>
        <v>0</v>
      </c>
      <c r="CA161" s="2255">
        <f>CA160*CA159/1000</f>
        <v>0</v>
      </c>
      <c r="CB161" s="500">
        <f>CC161+CD161</f>
        <v>0</v>
      </c>
      <c r="CC161" s="2255">
        <f>CC160*CC159/1000</f>
        <v>0</v>
      </c>
      <c r="CD161" s="2255">
        <f>CD160*CD159/1000</f>
        <v>0</v>
      </c>
      <c r="CE161" s="500">
        <f>CF161+CG161</f>
        <v>0</v>
      </c>
      <c r="CF161" s="2255">
        <f>CF160*CF159/1000</f>
        <v>0</v>
      </c>
      <c r="CG161" s="2255">
        <f>CG160*CG159/1000</f>
        <v>0</v>
      </c>
      <c r="CH161" s="500">
        <f>CI161+CJ161</f>
        <v>0</v>
      </c>
      <c r="CI161" s="2255">
        <f>CI160*CI159/1000</f>
        <v>0</v>
      </c>
      <c r="CJ161" s="2255">
        <f>CJ160*CJ159/1000</f>
        <v>0</v>
      </c>
      <c r="CK161" s="500">
        <f>CL161+CM161</f>
        <v>0</v>
      </c>
      <c r="CL161" s="2255">
        <f>CL160*CL159/1000</f>
        <v>0</v>
      </c>
      <c r="CM161" s="2255">
        <f>CM160*CM159/1000</f>
        <v>0</v>
      </c>
      <c r="CN161" s="500">
        <f>CO161+CP161</f>
        <v>0</v>
      </c>
      <c r="CO161" s="2255">
        <f>CO160*CO159/1000</f>
        <v>0</v>
      </c>
      <c r="CP161" s="2255">
        <f>CP160*CP159/1000</f>
        <v>0</v>
      </c>
      <c r="CQ161" s="500">
        <f>CR161+CS161</f>
        <v>0</v>
      </c>
      <c r="CR161" s="2255">
        <f>CR160*CR159/1000</f>
        <v>0</v>
      </c>
      <c r="CS161" s="2255">
        <f>CS160*CS159/1000</f>
        <v>0</v>
      </c>
      <c r="CT161" s="500">
        <f>CU161+CV161</f>
        <v>988.6084</v>
      </c>
      <c r="CU161" s="497">
        <f>CU160*CU159/1000</f>
        <v>563.4876</v>
      </c>
      <c r="CV161" s="497">
        <f>CV160*CV159/1000</f>
        <v>425.1208</v>
      </c>
      <c r="CW161" s="500">
        <f>CX161+CY161</f>
        <v>0</v>
      </c>
      <c r="CX161" s="2255">
        <f>CX160*CX159/1000</f>
        <v>0</v>
      </c>
      <c r="CY161" s="2255">
        <f>CY160*CY159/1000</f>
        <v>0</v>
      </c>
      <c r="CZ161" s="500">
        <f>DA161+DB161</f>
        <v>0</v>
      </c>
      <c r="DA161" s="2255">
        <f>DA160*DA159/1000</f>
        <v>0</v>
      </c>
      <c r="DB161" s="2255">
        <f>DB160*DB159/1000</f>
        <v>0</v>
      </c>
      <c r="DC161" s="500">
        <f>DD161+DE161</f>
        <v>0</v>
      </c>
      <c r="DD161" s="2255">
        <f>DD160*DD159/1000</f>
        <v>0</v>
      </c>
      <c r="DE161" s="2255">
        <f>DE160*DE159/1000</f>
        <v>0</v>
      </c>
      <c r="DF161" s="500">
        <f>DG161+DH161</f>
        <v>0</v>
      </c>
      <c r="DG161" s="2255">
        <f>DG160*DG159/1000</f>
        <v>0</v>
      </c>
      <c r="DH161" s="2255">
        <f>DH160*DH159/1000</f>
        <v>0</v>
      </c>
      <c r="DI161" s="500">
        <f>DJ161+DK161</f>
        <v>0</v>
      </c>
      <c r="DJ161" s="2255">
        <f>DJ160*DJ159/1000</f>
        <v>0</v>
      </c>
      <c r="DK161" s="2255">
        <f>DK160*DK159/1000</f>
        <v>0</v>
      </c>
      <c r="DL161" s="500">
        <f>DM161+DN161</f>
        <v>0</v>
      </c>
      <c r="DM161" s="2255">
        <f>DM160*DM159/1000</f>
        <v>0</v>
      </c>
      <c r="DN161" s="2255">
        <f>DN160*DN159/1000</f>
        <v>0</v>
      </c>
      <c r="DO161" s="500">
        <f>DP161+DQ161</f>
        <v>0</v>
      </c>
      <c r="DP161" s="2255">
        <f>DP160*DP159/1000</f>
        <v>0</v>
      </c>
      <c r="DQ161" s="2255">
        <f>DQ160*DQ159/1000</f>
        <v>0</v>
      </c>
      <c r="DR161" s="500">
        <f>DS161+DT161</f>
        <v>0</v>
      </c>
      <c r="DS161" s="2255">
        <f>DS160*DS159/1000</f>
        <v>0</v>
      </c>
      <c r="DT161" s="2255">
        <f>DT160*DT159/1000</f>
        <v>0</v>
      </c>
      <c r="DU161" s="500">
        <f>DV161+DW161</f>
        <v>0</v>
      </c>
      <c r="DV161" s="2255">
        <f>DV160*DV159/1000</f>
        <v>0</v>
      </c>
      <c r="DW161" s="2255">
        <f>DW160*DW159/1000</f>
        <v>0</v>
      </c>
      <c r="DX161" s="500">
        <f>DY161+DZ161</f>
        <v>0</v>
      </c>
      <c r="DY161" s="2255">
        <f>DY160*DY159/1000</f>
        <v>0</v>
      </c>
      <c r="DZ161" s="2255">
        <f>DZ160*DZ159/1000</f>
        <v>0</v>
      </c>
      <c r="EA161" s="500">
        <f>EB161+EC161</f>
        <v>0</v>
      </c>
      <c r="EB161" s="2255">
        <f>EB160*EB159/1000</f>
        <v>0</v>
      </c>
      <c r="EC161" s="2255">
        <f>EC160*EC159/1000</f>
        <v>0</v>
      </c>
      <c r="ED161" s="500">
        <f>EE161+EF161</f>
        <v>0</v>
      </c>
      <c r="EE161" s="2255">
        <f>EE160*EE159/1000</f>
        <v>0</v>
      </c>
      <c r="EF161" s="2255">
        <f>EF160*EF159/1000</f>
        <v>0</v>
      </c>
      <c r="EG161" s="500">
        <f>EH161+EI161</f>
        <v>0</v>
      </c>
      <c r="EH161" s="2255">
        <f>EH160*EH159/1000</f>
        <v>0</v>
      </c>
      <c r="EI161" s="2255">
        <f>EI160*EI159/1000</f>
        <v>0</v>
      </c>
      <c r="EJ161" s="500">
        <f>EK161+EL161</f>
        <v>0</v>
      </c>
      <c r="EK161" s="2255">
        <f>EK160*EK159/1000</f>
        <v>0</v>
      </c>
      <c r="EL161" s="2255">
        <f>EL160*EL159/1000</f>
        <v>0</v>
      </c>
      <c r="EM161" s="500">
        <f>EN161+EO161</f>
        <v>0</v>
      </c>
      <c r="EN161" s="2255">
        <f>EN160*EN159/1000</f>
        <v>0</v>
      </c>
      <c r="EO161" s="2255">
        <f>EO160*EO159/1000</f>
        <v>0</v>
      </c>
      <c r="EP161" s="500">
        <f>EQ161+ER161</f>
        <v>0</v>
      </c>
      <c r="EQ161" s="2255">
        <f>EQ160*EQ159/1000</f>
        <v>0</v>
      </c>
      <c r="ER161" s="2255">
        <f>ER160*ER159/1000</f>
        <v>0</v>
      </c>
      <c r="ES161" s="500">
        <f>ET161+EU161</f>
        <v>0</v>
      </c>
      <c r="ET161" s="2255">
        <f>ET160*ET159/1000</f>
        <v>0</v>
      </c>
      <c r="EU161" s="2255">
        <f>EU160*EU159/1000</f>
        <v>0</v>
      </c>
      <c r="EV161" s="500">
        <f>EW161+EX161</f>
        <v>0</v>
      </c>
      <c r="EW161" s="2255">
        <f>EW160*EW159/1000</f>
        <v>0</v>
      </c>
      <c r="EX161" s="2255">
        <f>EX160*EX159/1000</f>
        <v>0</v>
      </c>
      <c r="EY161" s="500">
        <f>EZ161+FA161</f>
        <v>0</v>
      </c>
      <c r="EZ161" s="2255">
        <f>EZ160*EZ159/1000</f>
        <v>0</v>
      </c>
      <c r="FA161" s="2255">
        <f>FA160*FA159/1000</f>
        <v>0</v>
      </c>
      <c r="FB161" s="1897"/>
      <c r="FC161" s="1751"/>
      <c r="FD161" s="1506"/>
      <c r="FE161" s="489" t="s">
        <v>876</v>
      </c>
      <c r="FF161" s="648"/>
      <c r="FG161" s="648"/>
      <c r="FH161" s="648"/>
      <c r="FI161" s="649"/>
      <c r="FJ161" s="649"/>
      <c r="FK161" s="1157" cm="1" t="str">
        <f t="array" ref="FK161:FK161">OFFSET(FJ161,-1,1)</f>
        <v>ТЭ.42.31656254.0001</v>
      </c>
      <c r="FL161" s="1078" t="s">
        <v>862</v>
      </c>
      <c r="FM161" s="1159"/>
      <c r="FN161" s="1159"/>
      <c r="FO161" s="1159"/>
      <c r="FP161" s="1159"/>
      <c r="FQ161" s="1159"/>
      <c r="FR161" s="1159"/>
      <c r="FS161" s="1159"/>
      <c r="FT161" s="1159"/>
      <c r="FU161" s="1159"/>
      <c r="FV161" s="1078" t="s">
        <v>255</v>
      </c>
      <c r="FW161" s="1159"/>
      <c r="FX161" s="1078" t="s">
        <v>303</v>
      </c>
      <c r="FY161" s="1078" t="s">
        <v>877</v>
      </c>
      <c r="FZ161" s="1078" t="s">
        <v>878</v>
      </c>
    </row>
    <row s="1751" customFormat="1" customHeight="1" ht="16.5">
      <c r="A162" s="371"/>
      <c r="B162" s="1548"/>
      <c r="C162" s="1548"/>
      <c r="D162" s="1548"/>
      <c r="E162" s="180">
        <v>17</v>
      </c>
      <c r="F162" s="175" cm="1" t="str">
        <f t="array" ref="F162:F162">OFFSET(G162,-1,-1)</f>
        <v>1</v>
      </c>
      <c r="G162" s="1659"/>
      <c r="H162" s="1659"/>
      <c r="I162" s="1659"/>
      <c r="J162" s="1659"/>
      <c r="K162" s="1659"/>
      <c r="L162" s="175" cm="1" t="str">
        <f t="array" ref="L162:L162">OFFSET(M162,-1,-1)</f>
        <v>false</v>
      </c>
      <c r="M162" s="1659"/>
      <c r="N162" s="1659"/>
      <c r="O162" s="1659"/>
      <c r="P162" s="1659"/>
      <c r="Q162" s="1659"/>
      <c r="R162" s="1548"/>
      <c r="S162" s="175" cm="1" t="str">
        <f t="array" ref="S162:S162">OFFSET(T162,-1,-1)</f>
        <v>true</v>
      </c>
      <c r="T162" s="1548"/>
      <c r="U162" s="753">
        <f>AND(S162,IF(ISBLANK(T162),TRUE,T162))</f>
        <v>1</v>
      </c>
      <c r="V162" s="1548"/>
      <c r="W162" s="1548"/>
      <c r="X162" s="1548"/>
      <c r="Y162" s="1548"/>
      <c r="Z162" s="1548"/>
      <c r="AA162" s="1009"/>
      <c r="AB162" s="1610"/>
      <c r="AC162" s="1751"/>
      <c r="AD162" s="491">
        <v>16</v>
      </c>
      <c r="AE162" s="1619" t="s">
        <v>879</v>
      </c>
      <c r="AF162" s="496"/>
      <c r="AG162" s="491" t="s">
        <v>866</v>
      </c>
      <c r="AH162" s="500">
        <f>AH161+AH158</f>
        <v>934.4556</v>
      </c>
      <c r="AI162" s="500">
        <f>AI161+AI158</f>
        <v>1205.82</v>
      </c>
      <c r="AJ162" s="500">
        <f>AJ161+AJ158</f>
        <v>988.6084</v>
      </c>
      <c r="AK162" s="500">
        <f>AK161+AK158</f>
        <v>995.8572</v>
      </c>
      <c r="AL162" s="500">
        <f>AM162+AN162</f>
        <v>988</v>
      </c>
      <c r="AM162" s="500">
        <f>AM161+AM158</f>
        <v>563</v>
      </c>
      <c r="AN162" s="500">
        <f>AN161+AN158</f>
        <v>425</v>
      </c>
      <c r="AO162" s="500">
        <f>AP162+AQ162</f>
        <v>0</v>
      </c>
      <c r="AP162" s="500">
        <f>AP161+AP158</f>
        <v>0</v>
      </c>
      <c r="AQ162" s="500">
        <f>AQ161+AQ158</f>
        <v>0</v>
      </c>
      <c r="AR162" s="500">
        <f>AS162+AT162</f>
        <v>0</v>
      </c>
      <c r="AS162" s="500">
        <f>AS161+AS158</f>
        <v>0</v>
      </c>
      <c r="AT162" s="500">
        <f>AT161+AT158</f>
        <v>0</v>
      </c>
      <c r="AU162" s="500">
        <f>AV162+AW162</f>
        <v>0</v>
      </c>
      <c r="AV162" s="500">
        <f>AV161+AV158</f>
        <v>0</v>
      </c>
      <c r="AW162" s="500">
        <f>AW161+AW158</f>
        <v>0</v>
      </c>
      <c r="AX162" s="500">
        <f>AY162+AZ162</f>
        <v>0</v>
      </c>
      <c r="AY162" s="500">
        <f>AY161+AY158</f>
        <v>0</v>
      </c>
      <c r="AZ162" s="500">
        <f>AZ161+AZ158</f>
        <v>0</v>
      </c>
      <c r="BA162" s="500">
        <f>BB162+BC162</f>
        <v>0</v>
      </c>
      <c r="BB162" s="500">
        <f>BB161+BB158</f>
        <v>0</v>
      </c>
      <c r="BC162" s="500">
        <f>BC161+BC158</f>
        <v>0</v>
      </c>
      <c r="BD162" s="500">
        <f>BE162+BF162</f>
        <v>0</v>
      </c>
      <c r="BE162" s="500">
        <f>BE161+BE158</f>
        <v>0</v>
      </c>
      <c r="BF162" s="500">
        <f>BF161+BF158</f>
        <v>0</v>
      </c>
      <c r="BG162" s="500">
        <f>BH162+BI162</f>
        <v>0</v>
      </c>
      <c r="BH162" s="500">
        <f>BH161+BH158</f>
        <v>0</v>
      </c>
      <c r="BI162" s="500">
        <f>BI161+BI158</f>
        <v>0</v>
      </c>
      <c r="BJ162" s="500">
        <f>BK162+BL162</f>
        <v>0</v>
      </c>
      <c r="BK162" s="500">
        <f>BK161+BK158</f>
        <v>0</v>
      </c>
      <c r="BL162" s="500">
        <f>BL161+BL158</f>
        <v>0</v>
      </c>
      <c r="BM162" s="500">
        <f>BN162+BO162</f>
        <v>0</v>
      </c>
      <c r="BN162" s="500">
        <f>BN161+BN158</f>
        <v>0</v>
      </c>
      <c r="BO162" s="500">
        <f>BO161+BO158</f>
        <v>0</v>
      </c>
      <c r="BP162" s="500">
        <f>BQ162+BR162</f>
        <v>0</v>
      </c>
      <c r="BQ162" s="500">
        <f>BQ161+BQ158</f>
        <v>0</v>
      </c>
      <c r="BR162" s="500">
        <f>BR161+BR158</f>
        <v>0</v>
      </c>
      <c r="BS162" s="500">
        <f>BT162+BU162</f>
        <v>0</v>
      </c>
      <c r="BT162" s="500">
        <f>BT161+BT158</f>
        <v>0</v>
      </c>
      <c r="BU162" s="500">
        <f>BU161+BU158</f>
        <v>0</v>
      </c>
      <c r="BV162" s="500">
        <f>BW162+BX162</f>
        <v>0</v>
      </c>
      <c r="BW162" s="500">
        <f>BW161+BW158</f>
        <v>0</v>
      </c>
      <c r="BX162" s="500">
        <f>BX161+BX158</f>
        <v>0</v>
      </c>
      <c r="BY162" s="500">
        <f>BZ162+CA162</f>
        <v>0</v>
      </c>
      <c r="BZ162" s="500">
        <f>BZ161+BZ158</f>
        <v>0</v>
      </c>
      <c r="CA162" s="500">
        <f>CA161+CA158</f>
        <v>0</v>
      </c>
      <c r="CB162" s="500">
        <f>CC162+CD162</f>
        <v>0</v>
      </c>
      <c r="CC162" s="500">
        <f>CC161+CC158</f>
        <v>0</v>
      </c>
      <c r="CD162" s="500">
        <f>CD161+CD158</f>
        <v>0</v>
      </c>
      <c r="CE162" s="500">
        <f>CF162+CG162</f>
        <v>0</v>
      </c>
      <c r="CF162" s="500">
        <f>CF161+CF158</f>
        <v>0</v>
      </c>
      <c r="CG162" s="500">
        <f>CG161+CG158</f>
        <v>0</v>
      </c>
      <c r="CH162" s="500">
        <f>CI162+CJ162</f>
        <v>0</v>
      </c>
      <c r="CI162" s="500">
        <f>CI161+CI158</f>
        <v>0</v>
      </c>
      <c r="CJ162" s="500">
        <f>CJ161+CJ158</f>
        <v>0</v>
      </c>
      <c r="CK162" s="500">
        <f>CL162+CM162</f>
        <v>0</v>
      </c>
      <c r="CL162" s="500">
        <f>CL161+CL158</f>
        <v>0</v>
      </c>
      <c r="CM162" s="500">
        <f>CM161+CM158</f>
        <v>0</v>
      </c>
      <c r="CN162" s="500">
        <f>CO162+CP162</f>
        <v>0</v>
      </c>
      <c r="CO162" s="500">
        <f>CO161+CO158</f>
        <v>0</v>
      </c>
      <c r="CP162" s="500">
        <f>CP161+CP158</f>
        <v>0</v>
      </c>
      <c r="CQ162" s="500">
        <f>CR162+CS162</f>
        <v>0</v>
      </c>
      <c r="CR162" s="500">
        <f>CR161+CR158</f>
        <v>0</v>
      </c>
      <c r="CS162" s="500">
        <f>CS161+CS158</f>
        <v>0</v>
      </c>
      <c r="CT162" s="500">
        <f>CU162+CV162</f>
        <v>988.6084</v>
      </c>
      <c r="CU162" s="500">
        <f>CU161+CU158</f>
        <v>563.4876</v>
      </c>
      <c r="CV162" s="500">
        <f>CV161+CV158</f>
        <v>425.1208</v>
      </c>
      <c r="CW162" s="500">
        <f>CX162+CY162</f>
        <v>0</v>
      </c>
      <c r="CX162" s="500">
        <f>CX161+CX158</f>
        <v>0</v>
      </c>
      <c r="CY162" s="500">
        <f>CY161+CY158</f>
        <v>0</v>
      </c>
      <c r="CZ162" s="500">
        <f>DA162+DB162</f>
        <v>0</v>
      </c>
      <c r="DA162" s="500">
        <f>DA161+DA158</f>
        <v>0</v>
      </c>
      <c r="DB162" s="500">
        <f>DB161+DB158</f>
        <v>0</v>
      </c>
      <c r="DC162" s="500">
        <f>DD162+DE162</f>
        <v>0</v>
      </c>
      <c r="DD162" s="500">
        <f>DD161+DD158</f>
        <v>0</v>
      </c>
      <c r="DE162" s="500">
        <f>DE161+DE158</f>
        <v>0</v>
      </c>
      <c r="DF162" s="500">
        <f>DG162+DH162</f>
        <v>0</v>
      </c>
      <c r="DG162" s="500">
        <f>DG161+DG158</f>
        <v>0</v>
      </c>
      <c r="DH162" s="500">
        <f>DH161+DH158</f>
        <v>0</v>
      </c>
      <c r="DI162" s="500">
        <f>DJ162+DK162</f>
        <v>0</v>
      </c>
      <c r="DJ162" s="500">
        <f>DJ161+DJ158</f>
        <v>0</v>
      </c>
      <c r="DK162" s="500">
        <f>DK161+DK158</f>
        <v>0</v>
      </c>
      <c r="DL162" s="500">
        <f>DM162+DN162</f>
        <v>0</v>
      </c>
      <c r="DM162" s="500">
        <f>DM161+DM158</f>
        <v>0</v>
      </c>
      <c r="DN162" s="500">
        <f>DN161+DN158</f>
        <v>0</v>
      </c>
      <c r="DO162" s="500">
        <f>DP162+DQ162</f>
        <v>0</v>
      </c>
      <c r="DP162" s="500">
        <f>DP161+DP158</f>
        <v>0</v>
      </c>
      <c r="DQ162" s="500">
        <f>DQ161+DQ158</f>
        <v>0</v>
      </c>
      <c r="DR162" s="500">
        <f>DS162+DT162</f>
        <v>0</v>
      </c>
      <c r="DS162" s="500">
        <f>DS161+DS158</f>
        <v>0</v>
      </c>
      <c r="DT162" s="500">
        <f>DT161+DT158</f>
        <v>0</v>
      </c>
      <c r="DU162" s="500">
        <f>DV162+DW162</f>
        <v>0</v>
      </c>
      <c r="DV162" s="500">
        <f>DV161+DV158</f>
        <v>0</v>
      </c>
      <c r="DW162" s="500">
        <f>DW161+DW158</f>
        <v>0</v>
      </c>
      <c r="DX162" s="500">
        <f>DY162+DZ162</f>
        <v>0</v>
      </c>
      <c r="DY162" s="500">
        <f>DY161+DY158</f>
        <v>0</v>
      </c>
      <c r="DZ162" s="500">
        <f>DZ161+DZ158</f>
        <v>0</v>
      </c>
      <c r="EA162" s="500">
        <f>EB162+EC162</f>
        <v>0</v>
      </c>
      <c r="EB162" s="500">
        <f>EB161+EB158</f>
        <v>0</v>
      </c>
      <c r="EC162" s="500">
        <f>EC161+EC158</f>
        <v>0</v>
      </c>
      <c r="ED162" s="500">
        <f>EE162+EF162</f>
        <v>0</v>
      </c>
      <c r="EE162" s="500">
        <f>EE161+EE158</f>
        <v>0</v>
      </c>
      <c r="EF162" s="500">
        <f>EF161+EF158</f>
        <v>0</v>
      </c>
      <c r="EG162" s="500">
        <f>EH162+EI162</f>
        <v>0</v>
      </c>
      <c r="EH162" s="500">
        <f>EH161+EH158</f>
        <v>0</v>
      </c>
      <c r="EI162" s="500">
        <f>EI161+EI158</f>
        <v>0</v>
      </c>
      <c r="EJ162" s="500">
        <f>EK162+EL162</f>
        <v>0</v>
      </c>
      <c r="EK162" s="500">
        <f>EK161+EK158</f>
        <v>0</v>
      </c>
      <c r="EL162" s="500">
        <f>EL161+EL158</f>
        <v>0</v>
      </c>
      <c r="EM162" s="500">
        <f>EN162+EO162</f>
        <v>0</v>
      </c>
      <c r="EN162" s="500">
        <f>EN161+EN158</f>
        <v>0</v>
      </c>
      <c r="EO162" s="500">
        <f>EO161+EO158</f>
        <v>0</v>
      </c>
      <c r="EP162" s="500">
        <f>EQ162+ER162</f>
        <v>0</v>
      </c>
      <c r="EQ162" s="500">
        <f>EQ161+EQ158</f>
        <v>0</v>
      </c>
      <c r="ER162" s="500">
        <f>ER161+ER158</f>
        <v>0</v>
      </c>
      <c r="ES162" s="500">
        <f>ET162+EU162</f>
        <v>0</v>
      </c>
      <c r="ET162" s="500">
        <f>ET161+ET158</f>
        <v>0</v>
      </c>
      <c r="EU162" s="500">
        <f>EU161+EU158</f>
        <v>0</v>
      </c>
      <c r="EV162" s="500">
        <f>EW162+EX162</f>
        <v>0</v>
      </c>
      <c r="EW162" s="500">
        <f>EW161+EW158</f>
        <v>0</v>
      </c>
      <c r="EX162" s="500">
        <f>EX161+EX158</f>
        <v>0</v>
      </c>
      <c r="EY162" s="500">
        <f>EZ162+FA162</f>
        <v>0</v>
      </c>
      <c r="EZ162" s="500">
        <f>EZ161+EZ158</f>
        <v>0</v>
      </c>
      <c r="FA162" s="500">
        <f>FA161+FA158</f>
        <v>0</v>
      </c>
      <c r="FB162" s="1897"/>
      <c r="FC162" s="1751"/>
      <c r="FD162" s="1506"/>
      <c r="FE162" s="489" t="s">
        <v>880</v>
      </c>
      <c r="FF162" s="648"/>
      <c r="FG162" s="648"/>
      <c r="FH162" s="648"/>
      <c r="FI162" s="649"/>
      <c r="FJ162" s="649"/>
      <c r="FK162" s="1157" cm="1" t="str">
        <f t="array" ref="FK162:FK162">OFFSET(FJ162,-1,1)</f>
        <v>ТЭ.42.31656254.0001</v>
      </c>
      <c r="FL162" s="1078" t="s">
        <v>862</v>
      </c>
      <c r="FM162" s="1159"/>
      <c r="FN162" s="1159"/>
      <c r="FO162" s="1159"/>
      <c r="FP162" s="1159"/>
      <c r="FQ162" s="1159"/>
      <c r="FR162" s="1159"/>
      <c r="FS162" s="1159"/>
      <c r="FT162" s="1159"/>
      <c r="FU162" s="1159"/>
      <c r="FV162" s="1078" t="s">
        <v>449</v>
      </c>
      <c r="FW162" s="1159"/>
      <c r="FX162" s="1078"/>
      <c r="FY162" s="1078"/>
      <c r="FZ162" s="1159"/>
    </row>
    <row s="1751" customFormat="1" customHeight="1" ht="16.5" hidden="1">
      <c r="A163" s="371"/>
      <c r="B163" s="1548"/>
      <c r="C163" s="1548"/>
      <c r="D163" s="1548"/>
      <c r="E163" s="180">
        <v>17</v>
      </c>
      <c r="F163" s="175" cm="1" t="str">
        <f t="array" ref="F163:F163">OFFSET(G163,-1,-1)</f>
        <v>1</v>
      </c>
      <c r="G163" s="1659"/>
      <c r="H163" s="1659"/>
      <c r="I163" s="1659"/>
      <c r="J163" s="1659"/>
      <c r="K163" s="1659"/>
      <c r="L163" s="175" cm="1" t="str">
        <f t="array" ref="L163:L163">OFFSET(M163,-1,-1)</f>
        <v>false</v>
      </c>
      <c r="M163" s="1659"/>
      <c r="N163" s="1659"/>
      <c r="O163" s="1659"/>
      <c r="P163" s="1659"/>
      <c r="Q163" s="1659"/>
      <c r="R163" s="175" t="s">
        <v>804</v>
      </c>
      <c r="S163" s="175" cm="1" t="str">
        <f t="array" ref="S163:S163">OFFSET(T163,-1,-1)</f>
        <v>true</v>
      </c>
      <c r="T163" s="175" cm="1" t="str">
        <f t="array" ref="T163:T163">L163</f>
        <v>false</v>
      </c>
      <c r="U163" s="753">
        <f>AND(S163,IF(ISBLANK(T163),TRUE,T163))</f>
        <v>0</v>
      </c>
      <c r="V163" s="1548"/>
      <c r="W163" s="1548"/>
      <c r="X163" s="1548"/>
      <c r="Y163" s="1548"/>
      <c r="Z163" s="1548"/>
      <c r="AA163" s="1009"/>
      <c r="AB163" s="1610"/>
      <c r="AC163" s="1751"/>
      <c r="AD163" s="491">
        <v>17</v>
      </c>
      <c r="AE163" s="1619" t="s">
        <v>881</v>
      </c>
      <c r="AF163" s="496"/>
      <c r="AG163" s="491" t="s">
        <v>495</v>
      </c>
      <c r="AH163" s="503">
        <f>_xlfn.IFERROR(AH161/AH162,0)</f>
        <v>1</v>
      </c>
      <c r="AI163" s="504">
        <f>_xlfn.IFERROR(AI161/AI162,0)</f>
        <v>1</v>
      </c>
      <c r="AJ163" s="504">
        <f>_xlfn.IFERROR(AJ161/AJ162,0)</f>
        <v>1</v>
      </c>
      <c r="AK163" s="504">
        <f>_xlfn.IFERROR(AK161/AK162,0)</f>
        <v>1</v>
      </c>
      <c r="AL163" s="504">
        <f>_xlfn.IFERROR(AL161/AL162,0)</f>
        <v>1</v>
      </c>
      <c r="AM163" s="504">
        <f>_xlfn.IFERROR(AM161/AM162,0)</f>
        <v>1</v>
      </c>
      <c r="AN163" s="504">
        <f>_xlfn.IFERROR(AN161/AN162,0)</f>
        <v>1</v>
      </c>
      <c r="AO163" s="504">
        <f>_xlfn.IFERROR(AO161/AO162,0)</f>
        <v>0</v>
      </c>
      <c r="AP163" s="504">
        <f>_xlfn.IFERROR(AP161/AP162,0)</f>
        <v>0</v>
      </c>
      <c r="AQ163" s="504">
        <f>_xlfn.IFERROR(AQ161/AQ162,0)</f>
        <v>0</v>
      </c>
      <c r="AR163" s="504">
        <f>_xlfn.IFERROR(AR161/AR162,0)</f>
        <v>0</v>
      </c>
      <c r="AS163" s="504">
        <f>_xlfn.IFERROR(AS161/AS162,0)</f>
        <v>0</v>
      </c>
      <c r="AT163" s="504">
        <f>_xlfn.IFERROR(AT161/AT162,0)</f>
        <v>0</v>
      </c>
      <c r="AU163" s="504">
        <f>_xlfn.IFERROR(AU161/AU162,0)</f>
        <v>0</v>
      </c>
      <c r="AV163" s="504">
        <f>_xlfn.IFERROR(AV161/AV162,0)</f>
        <v>0</v>
      </c>
      <c r="AW163" s="504">
        <f>_xlfn.IFERROR(AW161/AW162,0)</f>
        <v>0</v>
      </c>
      <c r="AX163" s="504">
        <f>_xlfn.IFERROR(AX161/AX162,0)</f>
        <v>0</v>
      </c>
      <c r="AY163" s="504">
        <f>_xlfn.IFERROR(AY161/AY162,0)</f>
        <v>0</v>
      </c>
      <c r="AZ163" s="504">
        <f>_xlfn.IFERROR(AZ161/AZ162,0)</f>
        <v>0</v>
      </c>
      <c r="BA163" s="504">
        <f>_xlfn.IFERROR(BA161/BA162,0)</f>
        <v>0</v>
      </c>
      <c r="BB163" s="504">
        <f>_xlfn.IFERROR(BB161/BB162,0)</f>
        <v>0</v>
      </c>
      <c r="BC163" s="504">
        <f>_xlfn.IFERROR(BC161/BC162,0)</f>
        <v>0</v>
      </c>
      <c r="BD163" s="504">
        <f>_xlfn.IFERROR(BD161/BD162,0)</f>
        <v>0</v>
      </c>
      <c r="BE163" s="504">
        <f>_xlfn.IFERROR(BE161/BE162,0)</f>
        <v>0</v>
      </c>
      <c r="BF163" s="504">
        <f>_xlfn.IFERROR(BF161/BF162,0)</f>
        <v>0</v>
      </c>
      <c r="BG163" s="504">
        <f>_xlfn.IFERROR(BG161/BG162,0)</f>
        <v>0</v>
      </c>
      <c r="BH163" s="504">
        <f>_xlfn.IFERROR(BH161/BH162,0)</f>
        <v>0</v>
      </c>
      <c r="BI163" s="504">
        <f>_xlfn.IFERROR(BI161/BI162,0)</f>
        <v>0</v>
      </c>
      <c r="BJ163" s="504">
        <f>_xlfn.IFERROR(BJ161/BJ162,0)</f>
        <v>0</v>
      </c>
      <c r="BK163" s="504">
        <f>_xlfn.IFERROR(BK161/BK162,0)</f>
        <v>0</v>
      </c>
      <c r="BL163" s="504">
        <f>_xlfn.IFERROR(BL161/BL162,0)</f>
        <v>0</v>
      </c>
      <c r="BM163" s="504">
        <f>_xlfn.IFERROR(BM161/BM162,0)</f>
        <v>0</v>
      </c>
      <c r="BN163" s="504">
        <f>_xlfn.IFERROR(BN161/BN162,0)</f>
        <v>0</v>
      </c>
      <c r="BO163" s="504">
        <f>_xlfn.IFERROR(BO161/BO162,0)</f>
        <v>0</v>
      </c>
      <c r="BP163" s="504">
        <f>_xlfn.IFERROR(BP161/BP162,0)</f>
        <v>0</v>
      </c>
      <c r="BQ163" s="504">
        <f>_xlfn.IFERROR(BQ161/BQ162,0)</f>
        <v>0</v>
      </c>
      <c r="BR163" s="504">
        <f>_xlfn.IFERROR(BR161/BR162,0)</f>
        <v>0</v>
      </c>
      <c r="BS163" s="504">
        <f>_xlfn.IFERROR(BS161/BS162,0)</f>
        <v>0</v>
      </c>
      <c r="BT163" s="504">
        <f>_xlfn.IFERROR(BT161/BT162,0)</f>
        <v>0</v>
      </c>
      <c r="BU163" s="504">
        <f>_xlfn.IFERROR(BU161/BU162,0)</f>
        <v>0</v>
      </c>
      <c r="BV163" s="504">
        <f>_xlfn.IFERROR(BV161/BV162,0)</f>
        <v>0</v>
      </c>
      <c r="BW163" s="504">
        <f>_xlfn.IFERROR(BW161/BW162,0)</f>
        <v>0</v>
      </c>
      <c r="BX163" s="504">
        <f>_xlfn.IFERROR(BX161/BX162,0)</f>
        <v>0</v>
      </c>
      <c r="BY163" s="504">
        <f>_xlfn.IFERROR(BY161/BY162,0)</f>
        <v>0</v>
      </c>
      <c r="BZ163" s="504">
        <f>_xlfn.IFERROR(BZ161/BZ162,0)</f>
        <v>0</v>
      </c>
      <c r="CA163" s="504">
        <f>_xlfn.IFERROR(CA161/CA162,0)</f>
        <v>0</v>
      </c>
      <c r="CB163" s="504">
        <f>_xlfn.IFERROR(CB161/CB162,0)</f>
        <v>0</v>
      </c>
      <c r="CC163" s="504">
        <f>_xlfn.IFERROR(CC161/CC162,0)</f>
        <v>0</v>
      </c>
      <c r="CD163" s="504">
        <f>_xlfn.IFERROR(CD161/CD162,0)</f>
        <v>0</v>
      </c>
      <c r="CE163" s="504">
        <f>_xlfn.IFERROR(CE161/CE162,0)</f>
        <v>0</v>
      </c>
      <c r="CF163" s="504">
        <f>_xlfn.IFERROR(CF161/CF162,0)</f>
        <v>0</v>
      </c>
      <c r="CG163" s="504">
        <f>_xlfn.IFERROR(CG161/CG162,0)</f>
        <v>0</v>
      </c>
      <c r="CH163" s="504">
        <f>_xlfn.IFERROR(CH161/CH162,0)</f>
        <v>0</v>
      </c>
      <c r="CI163" s="504">
        <f>_xlfn.IFERROR(CI161/CI162,0)</f>
        <v>0</v>
      </c>
      <c r="CJ163" s="504">
        <f>_xlfn.IFERROR(CJ161/CJ162,0)</f>
        <v>0</v>
      </c>
      <c r="CK163" s="504">
        <f>_xlfn.IFERROR(CK161/CK162,0)</f>
        <v>0</v>
      </c>
      <c r="CL163" s="504">
        <f>_xlfn.IFERROR(CL161/CL162,0)</f>
        <v>0</v>
      </c>
      <c r="CM163" s="504">
        <f>_xlfn.IFERROR(CM161/CM162,0)</f>
        <v>0</v>
      </c>
      <c r="CN163" s="504">
        <f>_xlfn.IFERROR(CN161/CN162,0)</f>
        <v>0</v>
      </c>
      <c r="CO163" s="504">
        <f>_xlfn.IFERROR(CO161/CO162,0)</f>
        <v>0</v>
      </c>
      <c r="CP163" s="504">
        <f>_xlfn.IFERROR(CP161/CP162,0)</f>
        <v>0</v>
      </c>
      <c r="CQ163" s="504">
        <f>_xlfn.IFERROR(CQ161/CQ162,0)</f>
        <v>0</v>
      </c>
      <c r="CR163" s="504">
        <f>_xlfn.IFERROR(CR161/CR162,0)</f>
        <v>0</v>
      </c>
      <c r="CS163" s="504">
        <f>_xlfn.IFERROR(CS161/CS162,0)</f>
        <v>0</v>
      </c>
      <c r="CT163" s="504">
        <f>_xlfn.IFERROR(CT161/CT162,0)</f>
        <v>1</v>
      </c>
      <c r="CU163" s="504">
        <f>_xlfn.IFERROR(CU161/CU162,0)</f>
        <v>1</v>
      </c>
      <c r="CV163" s="504">
        <f>_xlfn.IFERROR(CV161/CV162,0)</f>
        <v>1</v>
      </c>
      <c r="CW163" s="504">
        <f>_xlfn.IFERROR(CW161/CW162,0)</f>
        <v>0</v>
      </c>
      <c r="CX163" s="504">
        <f>_xlfn.IFERROR(CX161/CX162,0)</f>
        <v>0</v>
      </c>
      <c r="CY163" s="504">
        <f>_xlfn.IFERROR(CY161/CY162,0)</f>
        <v>0</v>
      </c>
      <c r="CZ163" s="504">
        <f>_xlfn.IFERROR(CZ161/CZ162,0)</f>
        <v>0</v>
      </c>
      <c r="DA163" s="504">
        <f>_xlfn.IFERROR(DA161/DA162,0)</f>
        <v>0</v>
      </c>
      <c r="DB163" s="504">
        <f>_xlfn.IFERROR(DB161/DB162,0)</f>
        <v>0</v>
      </c>
      <c r="DC163" s="504">
        <f>_xlfn.IFERROR(DC161/DC162,0)</f>
        <v>0</v>
      </c>
      <c r="DD163" s="504">
        <f>_xlfn.IFERROR(DD161/DD162,0)</f>
        <v>0</v>
      </c>
      <c r="DE163" s="504">
        <f>_xlfn.IFERROR(DE161/DE162,0)</f>
        <v>0</v>
      </c>
      <c r="DF163" s="504">
        <f>_xlfn.IFERROR(DF161/DF162,0)</f>
        <v>0</v>
      </c>
      <c r="DG163" s="504">
        <f>_xlfn.IFERROR(DG161/DG162,0)</f>
        <v>0</v>
      </c>
      <c r="DH163" s="504">
        <f>_xlfn.IFERROR(DH161/DH162,0)</f>
        <v>0</v>
      </c>
      <c r="DI163" s="504">
        <f>_xlfn.IFERROR(DI161/DI162,0)</f>
        <v>0</v>
      </c>
      <c r="DJ163" s="504">
        <f>_xlfn.IFERROR(DJ161/DJ162,0)</f>
        <v>0</v>
      </c>
      <c r="DK163" s="504">
        <f>_xlfn.IFERROR(DK161/DK162,0)</f>
        <v>0</v>
      </c>
      <c r="DL163" s="504">
        <f>_xlfn.IFERROR(DL161/DL162,0)</f>
        <v>0</v>
      </c>
      <c r="DM163" s="504">
        <f>_xlfn.IFERROR(DM161/DM162,0)</f>
        <v>0</v>
      </c>
      <c r="DN163" s="504">
        <f>_xlfn.IFERROR(DN161/DN162,0)</f>
        <v>0</v>
      </c>
      <c r="DO163" s="504">
        <f>_xlfn.IFERROR(DO161/DO162,0)</f>
        <v>0</v>
      </c>
      <c r="DP163" s="504">
        <f>_xlfn.IFERROR(DP161/DP162,0)</f>
        <v>0</v>
      </c>
      <c r="DQ163" s="504">
        <f>_xlfn.IFERROR(DQ161/DQ162,0)</f>
        <v>0</v>
      </c>
      <c r="DR163" s="504">
        <f>_xlfn.IFERROR(DR161/DR162,0)</f>
        <v>0</v>
      </c>
      <c r="DS163" s="504">
        <f>_xlfn.IFERROR(DS161/DS162,0)</f>
        <v>0</v>
      </c>
      <c r="DT163" s="504">
        <f>_xlfn.IFERROR(DT161/DT162,0)</f>
        <v>0</v>
      </c>
      <c r="DU163" s="504">
        <f>_xlfn.IFERROR(DU161/DU162,0)</f>
        <v>0</v>
      </c>
      <c r="DV163" s="504">
        <f>_xlfn.IFERROR(DV161/DV162,0)</f>
        <v>0</v>
      </c>
      <c r="DW163" s="504">
        <f>_xlfn.IFERROR(DW161/DW162,0)</f>
        <v>0</v>
      </c>
      <c r="DX163" s="504">
        <f>_xlfn.IFERROR(DX161/DX162,0)</f>
        <v>0</v>
      </c>
      <c r="DY163" s="504">
        <f>_xlfn.IFERROR(DY161/DY162,0)</f>
        <v>0</v>
      </c>
      <c r="DZ163" s="504">
        <f>_xlfn.IFERROR(DZ161/DZ162,0)</f>
        <v>0</v>
      </c>
      <c r="EA163" s="504">
        <f>_xlfn.IFERROR(EA161/EA162,0)</f>
        <v>0</v>
      </c>
      <c r="EB163" s="504">
        <f>_xlfn.IFERROR(EB161/EB162,0)</f>
        <v>0</v>
      </c>
      <c r="EC163" s="504">
        <f>_xlfn.IFERROR(EC161/EC162,0)</f>
        <v>0</v>
      </c>
      <c r="ED163" s="504">
        <f>_xlfn.IFERROR(ED161/ED162,0)</f>
        <v>0</v>
      </c>
      <c r="EE163" s="504">
        <f>_xlfn.IFERROR(EE161/EE162,0)</f>
        <v>0</v>
      </c>
      <c r="EF163" s="504">
        <f>_xlfn.IFERROR(EF161/EF162,0)</f>
        <v>0</v>
      </c>
      <c r="EG163" s="504">
        <f>_xlfn.IFERROR(EG161/EG162,0)</f>
        <v>0</v>
      </c>
      <c r="EH163" s="504">
        <f>_xlfn.IFERROR(EH161/EH162,0)</f>
        <v>0</v>
      </c>
      <c r="EI163" s="504">
        <f>_xlfn.IFERROR(EI161/EI162,0)</f>
        <v>0</v>
      </c>
      <c r="EJ163" s="504">
        <f>_xlfn.IFERROR(EJ161/EJ162,0)</f>
        <v>0</v>
      </c>
      <c r="EK163" s="504">
        <f>_xlfn.IFERROR(EK161/EK162,0)</f>
        <v>0</v>
      </c>
      <c r="EL163" s="504">
        <f>_xlfn.IFERROR(EL161/EL162,0)</f>
        <v>0</v>
      </c>
      <c r="EM163" s="504">
        <f>_xlfn.IFERROR(EM161/EM162,0)</f>
        <v>0</v>
      </c>
      <c r="EN163" s="504">
        <f>_xlfn.IFERROR(EN161/EN162,0)</f>
        <v>0</v>
      </c>
      <c r="EO163" s="504">
        <f>_xlfn.IFERROR(EO161/EO162,0)</f>
        <v>0</v>
      </c>
      <c r="EP163" s="504">
        <f>_xlfn.IFERROR(EP161/EP162,0)</f>
        <v>0</v>
      </c>
      <c r="EQ163" s="504">
        <f>_xlfn.IFERROR(EQ161/EQ162,0)</f>
        <v>0</v>
      </c>
      <c r="ER163" s="504">
        <f>_xlfn.IFERROR(ER161/ER162,0)</f>
        <v>0</v>
      </c>
      <c r="ES163" s="504">
        <f>_xlfn.IFERROR(ES161/ES162,0)</f>
        <v>0</v>
      </c>
      <c r="ET163" s="504">
        <f>_xlfn.IFERROR(ET161/ET162,0)</f>
        <v>0</v>
      </c>
      <c r="EU163" s="504">
        <f>_xlfn.IFERROR(EU161/EU162,0)</f>
        <v>0</v>
      </c>
      <c r="EV163" s="504">
        <f>_xlfn.IFERROR(EV161/EV162,0)</f>
        <v>0</v>
      </c>
      <c r="EW163" s="504">
        <f>_xlfn.IFERROR(EW161/EW162,0)</f>
        <v>0</v>
      </c>
      <c r="EX163" s="504">
        <f>_xlfn.IFERROR(EX161/EX162,0)</f>
        <v>0</v>
      </c>
      <c r="EY163" s="504">
        <f>_xlfn.IFERROR(EY161/EY162,0)</f>
        <v>0</v>
      </c>
      <c r="EZ163" s="504">
        <f>_xlfn.IFERROR(EZ161/EZ162,0)</f>
        <v>0</v>
      </c>
      <c r="FA163" s="504">
        <f>_xlfn.IFERROR(FA161/FA162,0)</f>
        <v>0</v>
      </c>
      <c r="FB163" s="83"/>
      <c r="FC163" s="1751"/>
      <c r="FD163" s="1506"/>
      <c r="FE163" s="489" t="s">
        <v>882</v>
      </c>
      <c r="FF163" s="648"/>
      <c r="FG163" s="648"/>
      <c r="FH163" s="648"/>
      <c r="FI163" s="649"/>
      <c r="FJ163" s="649"/>
      <c r="FK163" s="1157" cm="1" t="str">
        <f t="array" ref="FK163:FK163">OFFSET(FJ163,-1,1)</f>
        <v>ТЭ.42.31656254.0001</v>
      </c>
      <c r="FL163" s="1078" t="s">
        <v>862</v>
      </c>
      <c r="FM163" s="1159"/>
      <c r="FN163" s="1159"/>
      <c r="FO163" s="1159"/>
      <c r="FP163" s="1159"/>
      <c r="FQ163" s="1159"/>
      <c r="FR163" s="1159"/>
      <c r="FS163" s="1159"/>
      <c r="FT163" s="1159"/>
      <c r="FU163" s="1159"/>
      <c r="FV163" s="1078" t="s">
        <v>883</v>
      </c>
      <c r="FW163" s="1159"/>
      <c r="FX163" s="1078" t="s">
        <v>303</v>
      </c>
      <c r="FY163" s="1078" t="s">
        <v>820</v>
      </c>
      <c r="FZ163" s="1078" t="s">
        <v>821</v>
      </c>
    </row>
    <row s="1751" customFormat="1" customHeight="1" ht="16.5">
      <c r="A164" s="371"/>
      <c r="B164" s="1548"/>
      <c r="C164" s="1548"/>
      <c r="D164" s="1548"/>
      <c r="E164" s="180">
        <v>17</v>
      </c>
      <c r="F164" s="175" cm="1" t="str">
        <f t="array" ref="F164:F164">OFFSET(G164,-1,-1)</f>
        <v>1</v>
      </c>
      <c r="G164" s="1659"/>
      <c r="H164" s="1659"/>
      <c r="I164" s="1659"/>
      <c r="J164" s="1659"/>
      <c r="K164" s="1659"/>
      <c r="L164" s="175" cm="1" t="str">
        <f t="array" ref="L164:L164">OFFSET(M164,-1,-1)</f>
        <v>false</v>
      </c>
      <c r="M164" s="1659"/>
      <c r="N164" s="1659"/>
      <c r="O164" s="1659"/>
      <c r="P164" s="1659"/>
      <c r="Q164" s="1659"/>
      <c r="R164" s="1548"/>
      <c r="S164" s="175" cm="1" t="str">
        <f t="array" ref="S164:S164">OFFSET(T164,-1,-1)</f>
        <v>true</v>
      </c>
      <c r="T164" s="1548"/>
      <c r="U164" s="753">
        <f>AND(S164,IF(ISBLANK(T164),TRUE,T164))</f>
        <v>1</v>
      </c>
      <c r="V164" s="1548"/>
      <c r="W164" s="1548"/>
      <c r="X164" s="1548"/>
      <c r="Y164" s="1548"/>
      <c r="Z164" s="1548"/>
      <c r="AA164" s="1009"/>
      <c r="AB164" s="1610"/>
      <c r="AC164" s="1751"/>
      <c r="AD164" s="491">
        <v>18</v>
      </c>
      <c r="AE164" s="1619" t="s">
        <v>884</v>
      </c>
      <c r="AF164" s="496"/>
      <c r="AG164" s="491" t="s">
        <v>866</v>
      </c>
      <c r="AH164" s="500">
        <f>SUM(AH166:AH168)</f>
        <v>934.4556</v>
      </c>
      <c r="AI164" s="500">
        <f>SUM(AI166:AI168)</f>
        <v>1205.82</v>
      </c>
      <c r="AJ164" s="500">
        <f>SUM(AJ166:AJ168)</f>
        <v>988.608399999997</v>
      </c>
      <c r="AK164" s="500">
        <f>SUM(AK166:AK168)</f>
        <v>995.8572</v>
      </c>
      <c r="AL164" s="500">
        <f>SUM(AL166:AL168)</f>
        <v>988</v>
      </c>
      <c r="AM164" s="500">
        <f>SUM(AM166:AM168)</f>
        <v>563</v>
      </c>
      <c r="AN164" s="500">
        <f>SUM(AN166:AN168)</f>
        <v>425</v>
      </c>
      <c r="AO164" s="500">
        <f>SUM(AO166:AO168)</f>
        <v>0</v>
      </c>
      <c r="AP164" s="500">
        <f>SUM(AP166:AP168)</f>
        <v>0</v>
      </c>
      <c r="AQ164" s="500">
        <f>SUM(AQ166:AQ168)</f>
        <v>0</v>
      </c>
      <c r="AR164" s="500">
        <f>SUM(AR166:AR168)</f>
        <v>0</v>
      </c>
      <c r="AS164" s="500">
        <f>SUM(AS166:AS168)</f>
        <v>0</v>
      </c>
      <c r="AT164" s="500">
        <f>SUM(AT166:AT168)</f>
        <v>0</v>
      </c>
      <c r="AU164" s="500">
        <f>SUM(AU166:AU168)</f>
        <v>0</v>
      </c>
      <c r="AV164" s="500">
        <f>SUM(AV166:AV168)</f>
        <v>0</v>
      </c>
      <c r="AW164" s="500">
        <f>SUM(AW166:AW168)</f>
        <v>0</v>
      </c>
      <c r="AX164" s="500">
        <f>SUM(AX166:AX168)</f>
        <v>0</v>
      </c>
      <c r="AY164" s="500">
        <f>SUM(AY166:AY168)</f>
        <v>0</v>
      </c>
      <c r="AZ164" s="500">
        <f>SUM(AZ166:AZ168)</f>
        <v>0</v>
      </c>
      <c r="BA164" s="500">
        <f>SUM(BA166:BA168)</f>
        <v>0</v>
      </c>
      <c r="BB164" s="500">
        <f>SUM(BB166:BB168)</f>
        <v>0</v>
      </c>
      <c r="BC164" s="500">
        <f>SUM(BC166:BC168)</f>
        <v>0</v>
      </c>
      <c r="BD164" s="500">
        <f>SUM(BD166:BD168)</f>
        <v>0</v>
      </c>
      <c r="BE164" s="500">
        <f>SUM(BE166:BE168)</f>
        <v>0</v>
      </c>
      <c r="BF164" s="500">
        <f>SUM(BF166:BF168)</f>
        <v>0</v>
      </c>
      <c r="BG164" s="500">
        <f>SUM(BG166:BG168)</f>
        <v>0</v>
      </c>
      <c r="BH164" s="500">
        <f>SUM(BH166:BH168)</f>
        <v>0</v>
      </c>
      <c r="BI164" s="500">
        <f>SUM(BI166:BI168)</f>
        <v>0</v>
      </c>
      <c r="BJ164" s="500">
        <f>SUM(BJ166:BJ168)</f>
        <v>0</v>
      </c>
      <c r="BK164" s="500">
        <f>SUM(BK166:BK168)</f>
        <v>0</v>
      </c>
      <c r="BL164" s="500">
        <f>SUM(BL166:BL168)</f>
        <v>0</v>
      </c>
      <c r="BM164" s="500">
        <f>SUM(BM166:BM168)</f>
        <v>0</v>
      </c>
      <c r="BN164" s="500">
        <f>SUM(BN166:BN168)</f>
        <v>0</v>
      </c>
      <c r="BO164" s="500">
        <f>SUM(BO166:BO168)</f>
        <v>0</v>
      </c>
      <c r="BP164" s="500">
        <f>SUM(BP166:BP168)</f>
        <v>0</v>
      </c>
      <c r="BQ164" s="500">
        <f>SUM(BQ166:BQ168)</f>
        <v>0</v>
      </c>
      <c r="BR164" s="500">
        <f>SUM(BR166:BR168)</f>
        <v>0</v>
      </c>
      <c r="BS164" s="500">
        <f>SUM(BS166:BS168)</f>
        <v>0</v>
      </c>
      <c r="BT164" s="500">
        <f>SUM(BT166:BT168)</f>
        <v>0</v>
      </c>
      <c r="BU164" s="500">
        <f>SUM(BU166:BU168)</f>
        <v>0</v>
      </c>
      <c r="BV164" s="500">
        <f>SUM(BV166:BV168)</f>
        <v>0</v>
      </c>
      <c r="BW164" s="500">
        <f>SUM(BW166:BW168)</f>
        <v>0</v>
      </c>
      <c r="BX164" s="500">
        <f>SUM(BX166:BX168)</f>
        <v>0</v>
      </c>
      <c r="BY164" s="500">
        <f>SUM(BY166:BY168)</f>
        <v>0</v>
      </c>
      <c r="BZ164" s="500">
        <f>SUM(BZ166:BZ168)</f>
        <v>0</v>
      </c>
      <c r="CA164" s="500">
        <f>SUM(CA166:CA168)</f>
        <v>0</v>
      </c>
      <c r="CB164" s="500">
        <f>SUM(CB166:CB168)</f>
        <v>0</v>
      </c>
      <c r="CC164" s="500">
        <f>SUM(CC166:CC168)</f>
        <v>0</v>
      </c>
      <c r="CD164" s="500">
        <f>SUM(CD166:CD168)</f>
        <v>0</v>
      </c>
      <c r="CE164" s="500">
        <f>SUM(CE166:CE168)</f>
        <v>0</v>
      </c>
      <c r="CF164" s="500">
        <f>SUM(CF166:CF168)</f>
        <v>0</v>
      </c>
      <c r="CG164" s="500">
        <f>SUM(CG166:CG168)</f>
        <v>0</v>
      </c>
      <c r="CH164" s="500">
        <f>SUM(CH166:CH168)</f>
        <v>0</v>
      </c>
      <c r="CI164" s="500">
        <f>SUM(CI166:CI168)</f>
        <v>0</v>
      </c>
      <c r="CJ164" s="500">
        <f>SUM(CJ166:CJ168)</f>
        <v>0</v>
      </c>
      <c r="CK164" s="500">
        <f>SUM(CK166:CK168)</f>
        <v>0</v>
      </c>
      <c r="CL164" s="500">
        <f>SUM(CL166:CL168)</f>
        <v>0</v>
      </c>
      <c r="CM164" s="500">
        <f>SUM(CM166:CM168)</f>
        <v>0</v>
      </c>
      <c r="CN164" s="500">
        <f>SUM(CN166:CN168)</f>
        <v>0</v>
      </c>
      <c r="CO164" s="500">
        <f>SUM(CO166:CO168)</f>
        <v>0</v>
      </c>
      <c r="CP164" s="500">
        <f>SUM(CP166:CP168)</f>
        <v>0</v>
      </c>
      <c r="CQ164" s="500">
        <f>SUM(CQ166:CQ168)</f>
        <v>0</v>
      </c>
      <c r="CR164" s="500">
        <f>SUM(CR166:CR168)</f>
        <v>0</v>
      </c>
      <c r="CS164" s="500">
        <f>SUM(CS166:CS168)</f>
        <v>0</v>
      </c>
      <c r="CT164" s="500">
        <f>SUM(CT166:CT168)</f>
        <v>988.6084</v>
      </c>
      <c r="CU164" s="500">
        <f>SUM(CU166:CU168)</f>
        <v>563.4876</v>
      </c>
      <c r="CV164" s="500">
        <f>SUM(CV166:CV168)</f>
        <v>425.1208</v>
      </c>
      <c r="CW164" s="500">
        <f>SUM(CW166:CW168)</f>
        <v>0</v>
      </c>
      <c r="CX164" s="500">
        <f>SUM(CX166:CX168)</f>
        <v>0</v>
      </c>
      <c r="CY164" s="500">
        <f>SUM(CY166:CY168)</f>
        <v>0</v>
      </c>
      <c r="CZ164" s="500">
        <f>SUM(CZ166:CZ168)</f>
        <v>0</v>
      </c>
      <c r="DA164" s="500">
        <f>SUM(DA166:DA168)</f>
        <v>0</v>
      </c>
      <c r="DB164" s="500">
        <f>SUM(DB166:DB168)</f>
        <v>0</v>
      </c>
      <c r="DC164" s="500">
        <f>SUM(DC166:DC168)</f>
        <v>0</v>
      </c>
      <c r="DD164" s="500">
        <f>SUM(DD166:DD168)</f>
        <v>0</v>
      </c>
      <c r="DE164" s="500">
        <f>SUM(DE166:DE168)</f>
        <v>0</v>
      </c>
      <c r="DF164" s="500">
        <f>SUM(DF166:DF168)</f>
        <v>0</v>
      </c>
      <c r="DG164" s="500">
        <f>SUM(DG166:DG168)</f>
        <v>0</v>
      </c>
      <c r="DH164" s="500">
        <f>SUM(DH166:DH168)</f>
        <v>0</v>
      </c>
      <c r="DI164" s="500">
        <f>SUM(DI166:DI168)</f>
        <v>0</v>
      </c>
      <c r="DJ164" s="500">
        <f>SUM(DJ166:DJ168)</f>
        <v>0</v>
      </c>
      <c r="DK164" s="500">
        <f>SUM(DK166:DK168)</f>
        <v>0</v>
      </c>
      <c r="DL164" s="500">
        <f>SUM(DL166:DL168)</f>
        <v>0</v>
      </c>
      <c r="DM164" s="500">
        <f>SUM(DM166:DM168)</f>
        <v>0</v>
      </c>
      <c r="DN164" s="500">
        <f>SUM(DN166:DN168)</f>
        <v>0</v>
      </c>
      <c r="DO164" s="500">
        <f>SUM(DO166:DO168)</f>
        <v>0</v>
      </c>
      <c r="DP164" s="500">
        <f>SUM(DP166:DP168)</f>
        <v>0</v>
      </c>
      <c r="DQ164" s="500">
        <f>SUM(DQ166:DQ168)</f>
        <v>0</v>
      </c>
      <c r="DR164" s="500">
        <f>SUM(DR166:DR168)</f>
        <v>0</v>
      </c>
      <c r="DS164" s="500">
        <f>SUM(DS166:DS168)</f>
        <v>0</v>
      </c>
      <c r="DT164" s="500">
        <f>SUM(DT166:DT168)</f>
        <v>0</v>
      </c>
      <c r="DU164" s="500">
        <f>SUM(DU166:DU168)</f>
        <v>0</v>
      </c>
      <c r="DV164" s="500">
        <f>SUM(DV166:DV168)</f>
        <v>0</v>
      </c>
      <c r="DW164" s="500">
        <f>SUM(DW166:DW168)</f>
        <v>0</v>
      </c>
      <c r="DX164" s="500">
        <f>SUM(DX166:DX168)</f>
        <v>0</v>
      </c>
      <c r="DY164" s="500">
        <f>SUM(DY166:DY168)</f>
        <v>0</v>
      </c>
      <c r="DZ164" s="500">
        <f>SUM(DZ166:DZ168)</f>
        <v>0</v>
      </c>
      <c r="EA164" s="500">
        <f>SUM(EA166:EA168)</f>
        <v>0</v>
      </c>
      <c r="EB164" s="500">
        <f>SUM(EB166:EB168)</f>
        <v>0</v>
      </c>
      <c r="EC164" s="500">
        <f>SUM(EC166:EC168)</f>
        <v>0</v>
      </c>
      <c r="ED164" s="500">
        <f>SUM(ED166:ED168)</f>
        <v>0</v>
      </c>
      <c r="EE164" s="500">
        <f>SUM(EE166:EE168)</f>
        <v>0</v>
      </c>
      <c r="EF164" s="500">
        <f>SUM(EF166:EF168)</f>
        <v>0</v>
      </c>
      <c r="EG164" s="500">
        <f>SUM(EG166:EG168)</f>
        <v>0</v>
      </c>
      <c r="EH164" s="500">
        <f>SUM(EH166:EH168)</f>
        <v>0</v>
      </c>
      <c r="EI164" s="500">
        <f>SUM(EI166:EI168)</f>
        <v>0</v>
      </c>
      <c r="EJ164" s="500">
        <f>SUM(EJ166:EJ168)</f>
        <v>0</v>
      </c>
      <c r="EK164" s="500">
        <f>SUM(EK166:EK168)</f>
        <v>0</v>
      </c>
      <c r="EL164" s="500">
        <f>SUM(EL166:EL168)</f>
        <v>0</v>
      </c>
      <c r="EM164" s="500">
        <f>SUM(EM166:EM168)</f>
        <v>0</v>
      </c>
      <c r="EN164" s="500">
        <f>SUM(EN166:EN168)</f>
        <v>0</v>
      </c>
      <c r="EO164" s="500">
        <f>SUM(EO166:EO168)</f>
        <v>0</v>
      </c>
      <c r="EP164" s="500">
        <f>SUM(EP166:EP168)</f>
        <v>0</v>
      </c>
      <c r="EQ164" s="500">
        <f>SUM(EQ166:EQ168)</f>
        <v>0</v>
      </c>
      <c r="ER164" s="500">
        <f>SUM(ER166:ER168)</f>
        <v>0</v>
      </c>
      <c r="ES164" s="500">
        <f>SUM(ES166:ES168)</f>
        <v>0</v>
      </c>
      <c r="ET164" s="500">
        <f>SUM(ET166:ET168)</f>
        <v>0</v>
      </c>
      <c r="EU164" s="500">
        <f>SUM(EU166:EU168)</f>
        <v>0</v>
      </c>
      <c r="EV164" s="500">
        <f>SUM(EV166:EV168)</f>
        <v>0</v>
      </c>
      <c r="EW164" s="500">
        <f>SUM(EW166:EW168)</f>
        <v>0</v>
      </c>
      <c r="EX164" s="500">
        <f>SUM(EX166:EX168)</f>
        <v>0</v>
      </c>
      <c r="EY164" s="500">
        <f>SUM(EY166:EY168)</f>
        <v>0</v>
      </c>
      <c r="EZ164" s="500">
        <f>SUM(EZ166:EZ168)</f>
        <v>0</v>
      </c>
      <c r="FA164" s="500">
        <f>SUM(FA166:FA168)</f>
        <v>0</v>
      </c>
      <c r="FB164" s="1897"/>
      <c r="FC164" s="1751"/>
      <c r="FD164" s="1506"/>
      <c r="FE164" s="489" t="s">
        <v>885</v>
      </c>
      <c r="FF164" s="648"/>
      <c r="FG164" s="648"/>
      <c r="FH164" s="648"/>
      <c r="FI164" s="649"/>
      <c r="FJ164" s="649"/>
      <c r="FK164" s="1157" cm="1" t="str">
        <f t="array" ref="FK164:FK164">OFFSET(FJ164,-1,1)</f>
        <v>ТЭ.42.31656254.0001</v>
      </c>
      <c r="FL164" s="1078" t="s">
        <v>862</v>
      </c>
      <c r="FM164" s="1159"/>
      <c r="FN164" s="1159"/>
      <c r="FO164" s="1159"/>
      <c r="FP164" s="1159"/>
      <c r="FQ164" s="1159"/>
      <c r="FR164" s="1159"/>
      <c r="FS164" s="1159"/>
      <c r="FT164" s="1159"/>
      <c r="FU164" s="1159"/>
      <c r="FV164" s="1078" t="s">
        <v>886</v>
      </c>
      <c r="FW164" s="1159"/>
      <c r="FX164" s="1078"/>
      <c r="FY164" s="1078"/>
      <c r="FZ164" s="1159"/>
    </row>
    <row s="1751" customFormat="1" customHeight="1" ht="16.5" hidden="1">
      <c r="A165" s="371"/>
      <c r="B165" s="1548"/>
      <c r="C165" s="1548"/>
      <c r="D165" s="1548"/>
      <c r="E165" s="180">
        <v>17</v>
      </c>
      <c r="F165" s="175" cm="1" t="str">
        <f t="array" ref="F165:F165">OFFSET(G165,-1,-1)</f>
        <v>1</v>
      </c>
      <c r="G165" s="1659"/>
      <c r="H165" s="1659"/>
      <c r="I165" s="1659"/>
      <c r="J165" s="1659"/>
      <c r="K165" s="1659"/>
      <c r="L165" s="175" cm="1" t="str">
        <f t="array" ref="L165:L165">OFFSET(M165,-1,-1)</f>
        <v>false</v>
      </c>
      <c r="M165" s="1659"/>
      <c r="N165" s="1659"/>
      <c r="O165" s="1659"/>
      <c r="P165" s="1659"/>
      <c r="Q165" s="1659"/>
      <c r="R165" s="175" t="s">
        <v>804</v>
      </c>
      <c r="S165" s="175" cm="1" t="str">
        <f t="array" ref="S165:S165">OFFSET(T165,-1,-1)</f>
        <v>true</v>
      </c>
      <c r="T165" s="175" cm="1" t="str">
        <f t="array" ref="T165:T165">L165</f>
        <v>false</v>
      </c>
      <c r="U165" s="753">
        <f>AND(S165,IF(ISBLANK(T165),TRUE,T165))</f>
        <v>0</v>
      </c>
      <c r="V165" s="1548"/>
      <c r="W165" s="1548"/>
      <c r="X165" s="1548"/>
      <c r="Y165" s="1548"/>
      <c r="Z165" s="1548"/>
      <c r="AA165" s="1009"/>
      <c r="AB165" s="1610"/>
      <c r="AC165" s="1751"/>
      <c r="AD165" s="491" t="s">
        <v>887</v>
      </c>
      <c r="AE165" s="1619" t="s">
        <v>822</v>
      </c>
      <c r="AF165" s="496"/>
      <c r="AG165" s="491" t="s">
        <v>866</v>
      </c>
      <c r="AH165" s="88">
        <f>AH$163*AH164</f>
        <v>934.4556</v>
      </c>
      <c r="AI165" s="89">
        <f>AI$163*AI164</f>
        <v>1205.82</v>
      </c>
      <c r="AJ165" s="89">
        <f>AJ$163*AJ164</f>
        <v>988.608399999997</v>
      </c>
      <c r="AK165" s="89">
        <f>AK$163*AK164</f>
        <v>995.8572</v>
      </c>
      <c r="AL165" s="500">
        <f>AM165+AN165</f>
        <v>988</v>
      </c>
      <c r="AM165" s="89">
        <f>AM$163*AM164</f>
        <v>563</v>
      </c>
      <c r="AN165" s="89">
        <f>AN$163*AN164</f>
        <v>425</v>
      </c>
      <c r="AO165" s="500">
        <f>AP165+AQ165</f>
        <v>0</v>
      </c>
      <c r="AP165" s="89">
        <f>AP$163*AP164</f>
        <v>0</v>
      </c>
      <c r="AQ165" s="89">
        <f>AQ$163*AQ164</f>
        <v>0</v>
      </c>
      <c r="AR165" s="500">
        <f>AS165+AT165</f>
        <v>0</v>
      </c>
      <c r="AS165" s="89">
        <f>AS$163*AS164</f>
        <v>0</v>
      </c>
      <c r="AT165" s="89">
        <f>AT$163*AT164</f>
        <v>0</v>
      </c>
      <c r="AU165" s="500">
        <f>AV165+AW165</f>
        <v>0</v>
      </c>
      <c r="AV165" s="89">
        <f>AV$163*AV164</f>
        <v>0</v>
      </c>
      <c r="AW165" s="89">
        <f>AW$163*AW164</f>
        <v>0</v>
      </c>
      <c r="AX165" s="500">
        <f>AY165+AZ165</f>
        <v>0</v>
      </c>
      <c r="AY165" s="89">
        <f>AY$163*AY164</f>
        <v>0</v>
      </c>
      <c r="AZ165" s="89">
        <f>AZ$163*AZ164</f>
        <v>0</v>
      </c>
      <c r="BA165" s="500">
        <f>BB165+BC165</f>
        <v>0</v>
      </c>
      <c r="BB165" s="89">
        <f>BB$163*BB164</f>
        <v>0</v>
      </c>
      <c r="BC165" s="89">
        <f>BC$163*BC164</f>
        <v>0</v>
      </c>
      <c r="BD165" s="500">
        <f>BE165+BF165</f>
        <v>0</v>
      </c>
      <c r="BE165" s="89">
        <f>BE$163*BE164</f>
        <v>0</v>
      </c>
      <c r="BF165" s="89">
        <f>BF$163*BF164</f>
        <v>0</v>
      </c>
      <c r="BG165" s="500">
        <f>BH165+BI165</f>
        <v>0</v>
      </c>
      <c r="BH165" s="89">
        <f>BH$163*BH164</f>
        <v>0</v>
      </c>
      <c r="BI165" s="89">
        <f>BI$163*BI164</f>
        <v>0</v>
      </c>
      <c r="BJ165" s="500">
        <f>BK165+BL165</f>
        <v>0</v>
      </c>
      <c r="BK165" s="89">
        <f>BK$163*BK164</f>
        <v>0</v>
      </c>
      <c r="BL165" s="89">
        <f>BL$163*BL164</f>
        <v>0</v>
      </c>
      <c r="BM165" s="500">
        <f>BN165+BO165</f>
        <v>0</v>
      </c>
      <c r="BN165" s="89">
        <f>BN$163*BN164</f>
        <v>0</v>
      </c>
      <c r="BO165" s="89">
        <f>BO$163*BO164</f>
        <v>0</v>
      </c>
      <c r="BP165" s="500">
        <f>BQ165+BR165</f>
        <v>0</v>
      </c>
      <c r="BQ165" s="89">
        <f>BQ$163*BQ164</f>
        <v>0</v>
      </c>
      <c r="BR165" s="89">
        <f>BR$163*BR164</f>
        <v>0</v>
      </c>
      <c r="BS165" s="500">
        <f>BT165+BU165</f>
        <v>0</v>
      </c>
      <c r="BT165" s="89">
        <f>BT$163*BT164</f>
        <v>0</v>
      </c>
      <c r="BU165" s="89">
        <f>BU$163*BU164</f>
        <v>0</v>
      </c>
      <c r="BV165" s="500">
        <f>BW165+BX165</f>
        <v>0</v>
      </c>
      <c r="BW165" s="89">
        <f>BW$163*BW164</f>
        <v>0</v>
      </c>
      <c r="BX165" s="89">
        <f>BX$163*BX164</f>
        <v>0</v>
      </c>
      <c r="BY165" s="500">
        <f>BZ165+CA165</f>
        <v>0</v>
      </c>
      <c r="BZ165" s="89">
        <f>BZ$163*BZ164</f>
        <v>0</v>
      </c>
      <c r="CA165" s="89">
        <f>CA$163*CA164</f>
        <v>0</v>
      </c>
      <c r="CB165" s="500">
        <f>CC165+CD165</f>
        <v>0</v>
      </c>
      <c r="CC165" s="89">
        <f>CC$163*CC164</f>
        <v>0</v>
      </c>
      <c r="CD165" s="89">
        <f>CD$163*CD164</f>
        <v>0</v>
      </c>
      <c r="CE165" s="500">
        <f>CF165+CG165</f>
        <v>0</v>
      </c>
      <c r="CF165" s="89">
        <f>CF$163*CF164</f>
        <v>0</v>
      </c>
      <c r="CG165" s="89">
        <f>CG$163*CG164</f>
        <v>0</v>
      </c>
      <c r="CH165" s="500">
        <f>CI165+CJ165</f>
        <v>0</v>
      </c>
      <c r="CI165" s="89">
        <f>CI$163*CI164</f>
        <v>0</v>
      </c>
      <c r="CJ165" s="89">
        <f>CJ$163*CJ164</f>
        <v>0</v>
      </c>
      <c r="CK165" s="500">
        <f>CL165+CM165</f>
        <v>0</v>
      </c>
      <c r="CL165" s="89">
        <f>CL$163*CL164</f>
        <v>0</v>
      </c>
      <c r="CM165" s="89">
        <f>CM$163*CM164</f>
        <v>0</v>
      </c>
      <c r="CN165" s="500">
        <f>CO165+CP165</f>
        <v>0</v>
      </c>
      <c r="CO165" s="89">
        <f>CO$163*CO164</f>
        <v>0</v>
      </c>
      <c r="CP165" s="89">
        <f>CP$163*CP164</f>
        <v>0</v>
      </c>
      <c r="CQ165" s="500">
        <f>CR165+CS165</f>
        <v>0</v>
      </c>
      <c r="CR165" s="89">
        <f>CR$163*CR164</f>
        <v>0</v>
      </c>
      <c r="CS165" s="89">
        <f>CS$163*CS164</f>
        <v>0</v>
      </c>
      <c r="CT165" s="500">
        <f>CU165+CV165</f>
        <v>988.6084</v>
      </c>
      <c r="CU165" s="498">
        <f>CU$163*CU164</f>
        <v>563.4876</v>
      </c>
      <c r="CV165" s="498">
        <f>CV$163*CV164</f>
        <v>425.1208</v>
      </c>
      <c r="CW165" s="500">
        <f>CX165+CY165</f>
        <v>0</v>
      </c>
      <c r="CX165" s="89">
        <f>CX$163*CX164</f>
        <v>0</v>
      </c>
      <c r="CY165" s="89">
        <f>CY$163*CY164</f>
        <v>0</v>
      </c>
      <c r="CZ165" s="500">
        <f>DA165+DB165</f>
        <v>0</v>
      </c>
      <c r="DA165" s="89">
        <f>DA$163*DA164</f>
        <v>0</v>
      </c>
      <c r="DB165" s="89">
        <f>DB$163*DB164</f>
        <v>0</v>
      </c>
      <c r="DC165" s="500">
        <f>DD165+DE165</f>
        <v>0</v>
      </c>
      <c r="DD165" s="89">
        <f>DD$163*DD164</f>
        <v>0</v>
      </c>
      <c r="DE165" s="89">
        <f>DE$163*DE164</f>
        <v>0</v>
      </c>
      <c r="DF165" s="500">
        <f>DG165+DH165</f>
        <v>0</v>
      </c>
      <c r="DG165" s="89">
        <f>DG$163*DG164</f>
        <v>0</v>
      </c>
      <c r="DH165" s="89">
        <f>DH$163*DH164</f>
        <v>0</v>
      </c>
      <c r="DI165" s="500">
        <f>DJ165+DK165</f>
        <v>0</v>
      </c>
      <c r="DJ165" s="89">
        <f>DJ$163*DJ164</f>
        <v>0</v>
      </c>
      <c r="DK165" s="89">
        <f>DK$163*DK164</f>
        <v>0</v>
      </c>
      <c r="DL165" s="500">
        <f>DM165+DN165</f>
        <v>0</v>
      </c>
      <c r="DM165" s="89">
        <f>DM$163*DM164</f>
        <v>0</v>
      </c>
      <c r="DN165" s="89">
        <f>DN$163*DN164</f>
        <v>0</v>
      </c>
      <c r="DO165" s="500">
        <f>DP165+DQ165</f>
        <v>0</v>
      </c>
      <c r="DP165" s="89">
        <f>DP$163*DP164</f>
        <v>0</v>
      </c>
      <c r="DQ165" s="89">
        <f>DQ$163*DQ164</f>
        <v>0</v>
      </c>
      <c r="DR165" s="500">
        <f>DS165+DT165</f>
        <v>0</v>
      </c>
      <c r="DS165" s="89">
        <f>DS$163*DS164</f>
        <v>0</v>
      </c>
      <c r="DT165" s="89">
        <f>DT$163*DT164</f>
        <v>0</v>
      </c>
      <c r="DU165" s="500">
        <f>DV165+DW165</f>
        <v>0</v>
      </c>
      <c r="DV165" s="89">
        <f>DV$163*DV164</f>
        <v>0</v>
      </c>
      <c r="DW165" s="89">
        <f>DW$163*DW164</f>
        <v>0</v>
      </c>
      <c r="DX165" s="500">
        <f>DY165+DZ165</f>
        <v>0</v>
      </c>
      <c r="DY165" s="89">
        <f>DY$163*DY164</f>
        <v>0</v>
      </c>
      <c r="DZ165" s="89">
        <f>DZ$163*DZ164</f>
        <v>0</v>
      </c>
      <c r="EA165" s="500">
        <f>EB165+EC165</f>
        <v>0</v>
      </c>
      <c r="EB165" s="89">
        <f>EB$163*EB164</f>
        <v>0</v>
      </c>
      <c r="EC165" s="89">
        <f>EC$163*EC164</f>
        <v>0</v>
      </c>
      <c r="ED165" s="500">
        <f>EE165+EF165</f>
        <v>0</v>
      </c>
      <c r="EE165" s="89">
        <f>EE$163*EE164</f>
        <v>0</v>
      </c>
      <c r="EF165" s="89">
        <f>EF$163*EF164</f>
        <v>0</v>
      </c>
      <c r="EG165" s="500">
        <f>EH165+EI165</f>
        <v>0</v>
      </c>
      <c r="EH165" s="89">
        <f>EH$163*EH164</f>
        <v>0</v>
      </c>
      <c r="EI165" s="89">
        <f>EI$163*EI164</f>
        <v>0</v>
      </c>
      <c r="EJ165" s="500">
        <f>EK165+EL165</f>
        <v>0</v>
      </c>
      <c r="EK165" s="89">
        <f>EK$163*EK164</f>
        <v>0</v>
      </c>
      <c r="EL165" s="89">
        <f>EL$163*EL164</f>
        <v>0</v>
      </c>
      <c r="EM165" s="500">
        <f>EN165+EO165</f>
        <v>0</v>
      </c>
      <c r="EN165" s="89">
        <f>EN$163*EN164</f>
        <v>0</v>
      </c>
      <c r="EO165" s="89">
        <f>EO$163*EO164</f>
        <v>0</v>
      </c>
      <c r="EP165" s="500">
        <f>EQ165+ER165</f>
        <v>0</v>
      </c>
      <c r="EQ165" s="89">
        <f>EQ$163*EQ164</f>
        <v>0</v>
      </c>
      <c r="ER165" s="89">
        <f>ER$163*ER164</f>
        <v>0</v>
      </c>
      <c r="ES165" s="500">
        <f>ET165+EU165</f>
        <v>0</v>
      </c>
      <c r="ET165" s="89">
        <f>ET$163*ET164</f>
        <v>0</v>
      </c>
      <c r="EU165" s="89">
        <f>EU$163*EU164</f>
        <v>0</v>
      </c>
      <c r="EV165" s="500">
        <f>EW165+EX165</f>
        <v>0</v>
      </c>
      <c r="EW165" s="89">
        <f>EW$163*EW164</f>
        <v>0</v>
      </c>
      <c r="EX165" s="89">
        <f>EX$163*EX164</f>
        <v>0</v>
      </c>
      <c r="EY165" s="500">
        <f>EZ165+FA165</f>
        <v>0</v>
      </c>
      <c r="EZ165" s="89">
        <f>EZ$163*EZ164</f>
        <v>0</v>
      </c>
      <c r="FA165" s="89">
        <f>FA$163*FA164</f>
        <v>0</v>
      </c>
      <c r="FB165" s="83"/>
      <c r="FC165" s="1751"/>
      <c r="FD165" s="1506"/>
      <c r="FE165" s="489" t="s">
        <v>888</v>
      </c>
      <c r="FF165" s="648"/>
      <c r="FG165" s="648"/>
      <c r="FH165" s="648"/>
      <c r="FI165" s="649"/>
      <c r="FJ165" s="649"/>
      <c r="FK165" s="1157" cm="1" t="str">
        <f t="array" ref="FK165:FK165">OFFSET(FJ165,-1,1)</f>
        <v>ТЭ.42.31656254.0001</v>
      </c>
      <c r="FL165" s="1078"/>
      <c r="FM165" s="1160"/>
      <c r="FN165" s="1160"/>
      <c r="FO165" s="1160"/>
      <c r="FP165" s="1160"/>
      <c r="FQ165" s="1160"/>
      <c r="FR165" s="1160"/>
      <c r="FS165" s="1159"/>
      <c r="FT165" s="1160"/>
      <c r="FU165" s="1160"/>
      <c r="FV165" s="286" t="s">
        <v>255</v>
      </c>
      <c r="FW165" s="1078"/>
      <c r="FX165" s="1078" t="s">
        <v>303</v>
      </c>
      <c r="FY165" s="1078" t="s">
        <v>877</v>
      </c>
      <c r="FZ165" s="1078" t="s">
        <v>878</v>
      </c>
    </row>
    <row s="1751" customFormat="1" customHeight="1" ht="16.5" hidden="1">
      <c r="E166" s="180">
        <v>17</v>
      </c>
      <c r="F166" s="175" cm="1" t="str">
        <f t="array" ref="F166:F166">OFFSET(G166,-1,-1)</f>
        <v>1</v>
      </c>
      <c r="L166" s="175" cm="1" t="str">
        <f t="array" ref="L166:L166">OFFSET(M166,-1,-1)</f>
        <v>false</v>
      </c>
      <c r="S166" s="175" cm="1" t="str">
        <f t="array" ref="S166:S166">OFFSET(T166,-1,-1)</f>
        <v>true</v>
      </c>
      <c r="T166" s="175">
        <f>AD166&lt;&gt;"18.0"</f>
        <v>0</v>
      </c>
      <c r="U166" s="753">
        <f>AND(S166,IF(ISBLANK(T166),TRUE,T166))</f>
        <v>0</v>
      </c>
      <c r="X166" s="175" t="s">
        <v>189</v>
      </c>
      <c r="AB166" s="1610"/>
      <c r="AC166" s="477" t="s">
        <v>171</v>
      </c>
      <c r="AD166" s="491" t="s">
        <v>887</v>
      </c>
      <c r="AE166" s="90"/>
      <c r="AF166" s="91"/>
      <c r="AG166" s="491" t="s">
        <v>866</v>
      </c>
      <c r="AH166" s="88">
        <f>AH$162*AH170</f>
        <v>0</v>
      </c>
      <c r="AI166" s="88">
        <f>AI178*AI174</f>
        <v>0</v>
      </c>
      <c r="AJ166" s="88">
        <f>AJ178*AJ174</f>
        <v>0</v>
      </c>
      <c r="AK166" s="88">
        <f>AK$162*AK170</f>
        <v>0</v>
      </c>
      <c r="AL166" s="500">
        <f>AM166+AN166</f>
        <v>0</v>
      </c>
      <c r="AM166" s="88">
        <f>AM$162*AM170</f>
        <v>0</v>
      </c>
      <c r="AN166" s="88">
        <f>AN$162*AN170</f>
        <v>0</v>
      </c>
      <c r="AO166" s="500">
        <f>AP166+AQ166</f>
        <v>0</v>
      </c>
      <c r="AP166" s="88">
        <f>AP$162*AP170</f>
        <v>0</v>
      </c>
      <c r="AQ166" s="88">
        <f>AQ$162*AQ170</f>
        <v>0</v>
      </c>
      <c r="AR166" s="500">
        <f>AS166+AT166</f>
        <v>0</v>
      </c>
      <c r="AS166" s="88">
        <f>AS$162*AS170</f>
        <v>0</v>
      </c>
      <c r="AT166" s="88">
        <f>AT$162*AT170</f>
        <v>0</v>
      </c>
      <c r="AU166" s="500">
        <f>AV166+AW166</f>
        <v>0</v>
      </c>
      <c r="AV166" s="88">
        <f>AV$162*AV170</f>
        <v>0</v>
      </c>
      <c r="AW166" s="88">
        <f>AW$162*AW170</f>
        <v>0</v>
      </c>
      <c r="AX166" s="500">
        <f>AY166+AZ166</f>
        <v>0</v>
      </c>
      <c r="AY166" s="88">
        <f>AY$162*AY170</f>
        <v>0</v>
      </c>
      <c r="AZ166" s="88">
        <f>AZ$162*AZ170</f>
        <v>0</v>
      </c>
      <c r="BA166" s="500">
        <f>BB166+BC166</f>
        <v>0</v>
      </c>
      <c r="BB166" s="88">
        <f>BB$162*BB170</f>
        <v>0</v>
      </c>
      <c r="BC166" s="88">
        <f>BC$162*BC170</f>
        <v>0</v>
      </c>
      <c r="BD166" s="500">
        <f>BE166+BF166</f>
        <v>0</v>
      </c>
      <c r="BE166" s="88">
        <f>BE$162*BE170</f>
        <v>0</v>
      </c>
      <c r="BF166" s="88">
        <f>BF$162*BF170</f>
        <v>0</v>
      </c>
      <c r="BG166" s="500">
        <f>BH166+BI166</f>
        <v>0</v>
      </c>
      <c r="BH166" s="88">
        <f>BH$162*BH170</f>
        <v>0</v>
      </c>
      <c r="BI166" s="88">
        <f>BI$162*BI170</f>
        <v>0</v>
      </c>
      <c r="BJ166" s="500">
        <f>BK166+BL166</f>
        <v>0</v>
      </c>
      <c r="BK166" s="88">
        <f>BK$162*BK170</f>
        <v>0</v>
      </c>
      <c r="BL166" s="88">
        <f>BL$162*BL170</f>
        <v>0</v>
      </c>
      <c r="BM166" s="500">
        <f>BN166+BO166</f>
        <v>0</v>
      </c>
      <c r="BN166" s="88">
        <f>BN$162*BN170</f>
        <v>0</v>
      </c>
      <c r="BO166" s="88">
        <f>BO$162*BO170</f>
        <v>0</v>
      </c>
      <c r="BP166" s="500">
        <f>BQ166+BR166</f>
        <v>0</v>
      </c>
      <c r="BQ166" s="88">
        <f>BQ$162*BQ170</f>
        <v>0</v>
      </c>
      <c r="BR166" s="88">
        <f>BR$162*BR170</f>
        <v>0</v>
      </c>
      <c r="BS166" s="500">
        <f>BT166+BU166</f>
        <v>0</v>
      </c>
      <c r="BT166" s="88">
        <f>BT$162*BT170</f>
        <v>0</v>
      </c>
      <c r="BU166" s="88">
        <f>BU$162*BU170</f>
        <v>0</v>
      </c>
      <c r="BV166" s="500">
        <f>BW166+BX166</f>
        <v>0</v>
      </c>
      <c r="BW166" s="88">
        <f>BW$162*BW170</f>
        <v>0</v>
      </c>
      <c r="BX166" s="88">
        <f>BX$162*BX170</f>
        <v>0</v>
      </c>
      <c r="BY166" s="500">
        <f>BZ166+CA166</f>
        <v>0</v>
      </c>
      <c r="BZ166" s="88">
        <f>BZ$162*BZ170</f>
        <v>0</v>
      </c>
      <c r="CA166" s="88">
        <f>CA$162*CA170</f>
        <v>0</v>
      </c>
      <c r="CB166" s="500">
        <f>CC166+CD166</f>
        <v>0</v>
      </c>
      <c r="CC166" s="88">
        <f>CC$162*CC170</f>
        <v>0</v>
      </c>
      <c r="CD166" s="88">
        <f>CD$162*CD170</f>
        <v>0</v>
      </c>
      <c r="CE166" s="500">
        <f>CF166+CG166</f>
        <v>0</v>
      </c>
      <c r="CF166" s="88">
        <f>CF$162*CF170</f>
        <v>0</v>
      </c>
      <c r="CG166" s="88">
        <f>CG$162*CG170</f>
        <v>0</v>
      </c>
      <c r="CH166" s="500">
        <f>CI166+CJ166</f>
        <v>0</v>
      </c>
      <c r="CI166" s="88">
        <f>CI$162*CI170</f>
        <v>0</v>
      </c>
      <c r="CJ166" s="88">
        <f>CJ$162*CJ170</f>
        <v>0</v>
      </c>
      <c r="CK166" s="500">
        <f>CL166+CM166</f>
        <v>0</v>
      </c>
      <c r="CL166" s="88">
        <f>CL$162*CL170</f>
        <v>0</v>
      </c>
      <c r="CM166" s="88">
        <f>CM$162*CM170</f>
        <v>0</v>
      </c>
      <c r="CN166" s="500">
        <f>CO166+CP166</f>
        <v>0</v>
      </c>
      <c r="CO166" s="88">
        <f>CO$162*CO170</f>
        <v>0</v>
      </c>
      <c r="CP166" s="88">
        <f>CP$162*CP170</f>
        <v>0</v>
      </c>
      <c r="CQ166" s="500">
        <f>CR166+CS166</f>
        <v>0</v>
      </c>
      <c r="CR166" s="88">
        <f>CR$162*CR170</f>
        <v>0</v>
      </c>
      <c r="CS166" s="88">
        <f>CS$162*CS170</f>
        <v>0</v>
      </c>
      <c r="CT166" s="500">
        <f>CU166+CV166</f>
        <v>0</v>
      </c>
      <c r="CU166" s="497">
        <f>CU$162*CU170</f>
        <v>0</v>
      </c>
      <c r="CV166" s="497">
        <f>CV$162*CV170</f>
        <v>0</v>
      </c>
      <c r="CW166" s="500">
        <f>CX166+CY166</f>
        <v>0</v>
      </c>
      <c r="CX166" s="88">
        <f>CX$162*CX170</f>
        <v>0</v>
      </c>
      <c r="CY166" s="88">
        <f>CY$162*CY170</f>
        <v>0</v>
      </c>
      <c r="CZ166" s="500">
        <f>DA166+DB166</f>
        <v>0</v>
      </c>
      <c r="DA166" s="88">
        <f>DA$162*DA170</f>
        <v>0</v>
      </c>
      <c r="DB166" s="88">
        <f>DB$162*DB170</f>
        <v>0</v>
      </c>
      <c r="DC166" s="500">
        <f>DD166+DE166</f>
        <v>0</v>
      </c>
      <c r="DD166" s="88">
        <f>DD$162*DD170</f>
        <v>0</v>
      </c>
      <c r="DE166" s="88">
        <f>DE$162*DE170</f>
        <v>0</v>
      </c>
      <c r="DF166" s="500">
        <f>DG166+DH166</f>
        <v>0</v>
      </c>
      <c r="DG166" s="88">
        <f>DG$162*DG170</f>
        <v>0</v>
      </c>
      <c r="DH166" s="88">
        <f>DH$162*DH170</f>
        <v>0</v>
      </c>
      <c r="DI166" s="500">
        <f>DJ166+DK166</f>
        <v>0</v>
      </c>
      <c r="DJ166" s="88">
        <f>DJ$162*DJ170</f>
        <v>0</v>
      </c>
      <c r="DK166" s="88">
        <f>DK$162*DK170</f>
        <v>0</v>
      </c>
      <c r="DL166" s="500">
        <f>DM166+DN166</f>
        <v>0</v>
      </c>
      <c r="DM166" s="88">
        <f>DM$162*DM170</f>
        <v>0</v>
      </c>
      <c r="DN166" s="88">
        <f>DN$162*DN170</f>
        <v>0</v>
      </c>
      <c r="DO166" s="500">
        <f>DP166+DQ166</f>
        <v>0</v>
      </c>
      <c r="DP166" s="88">
        <f>DP$162*DP170</f>
        <v>0</v>
      </c>
      <c r="DQ166" s="88">
        <f>DQ$162*DQ170</f>
        <v>0</v>
      </c>
      <c r="DR166" s="500">
        <f>DS166+DT166</f>
        <v>0</v>
      </c>
      <c r="DS166" s="88">
        <f>DS$162*DS170</f>
        <v>0</v>
      </c>
      <c r="DT166" s="88">
        <f>DT$162*DT170</f>
        <v>0</v>
      </c>
      <c r="DU166" s="500">
        <f>DV166+DW166</f>
        <v>0</v>
      </c>
      <c r="DV166" s="88">
        <f>DV$162*DV170</f>
        <v>0</v>
      </c>
      <c r="DW166" s="88">
        <f>DW$162*DW170</f>
        <v>0</v>
      </c>
      <c r="DX166" s="500">
        <f>DY166+DZ166</f>
        <v>0</v>
      </c>
      <c r="DY166" s="88">
        <f>DY$162*DY170</f>
        <v>0</v>
      </c>
      <c r="DZ166" s="88">
        <f>DZ$162*DZ170</f>
        <v>0</v>
      </c>
      <c r="EA166" s="500">
        <f>EB166+EC166</f>
        <v>0</v>
      </c>
      <c r="EB166" s="88">
        <f>EB$162*EB170</f>
        <v>0</v>
      </c>
      <c r="EC166" s="88">
        <f>EC$162*EC170</f>
        <v>0</v>
      </c>
      <c r="ED166" s="500">
        <f>EE166+EF166</f>
        <v>0</v>
      </c>
      <c r="EE166" s="88">
        <f>EE$162*EE170</f>
        <v>0</v>
      </c>
      <c r="EF166" s="88">
        <f>EF$162*EF170</f>
        <v>0</v>
      </c>
      <c r="EG166" s="500">
        <f>EH166+EI166</f>
        <v>0</v>
      </c>
      <c r="EH166" s="88">
        <f>EH$162*EH170</f>
        <v>0</v>
      </c>
      <c r="EI166" s="88">
        <f>EI$162*EI170</f>
        <v>0</v>
      </c>
      <c r="EJ166" s="500">
        <f>EK166+EL166</f>
        <v>0</v>
      </c>
      <c r="EK166" s="88">
        <f>EK$162*EK170</f>
        <v>0</v>
      </c>
      <c r="EL166" s="88">
        <f>EL$162*EL170</f>
        <v>0</v>
      </c>
      <c r="EM166" s="500">
        <f>EN166+EO166</f>
        <v>0</v>
      </c>
      <c r="EN166" s="88">
        <f>EN$162*EN170</f>
        <v>0</v>
      </c>
      <c r="EO166" s="88">
        <f>EO$162*EO170</f>
        <v>0</v>
      </c>
      <c r="EP166" s="500">
        <f>EQ166+ER166</f>
        <v>0</v>
      </c>
      <c r="EQ166" s="88">
        <f>EQ$162*EQ170</f>
        <v>0</v>
      </c>
      <c r="ER166" s="88">
        <f>ER$162*ER170</f>
        <v>0</v>
      </c>
      <c r="ES166" s="500">
        <f>ET166+EU166</f>
        <v>0</v>
      </c>
      <c r="ET166" s="88">
        <f>ET$162*ET170</f>
        <v>0</v>
      </c>
      <c r="EU166" s="88">
        <f>EU$162*EU170</f>
        <v>0</v>
      </c>
      <c r="EV166" s="500">
        <f>EW166+EX166</f>
        <v>0</v>
      </c>
      <c r="EW166" s="88">
        <f>EW$162*EW170</f>
        <v>0</v>
      </c>
      <c r="EX166" s="88">
        <f>EX$162*EX170</f>
        <v>0</v>
      </c>
      <c r="EY166" s="500">
        <f>EZ166+FA166</f>
        <v>0</v>
      </c>
      <c r="EZ166" s="88">
        <f>EZ$162*EZ170</f>
        <v>0</v>
      </c>
      <c r="FA166" s="88">
        <f>FA$162*FA170</f>
        <v>0</v>
      </c>
      <c r="FB166" s="83"/>
      <c r="FE166" s="489" t="s">
        <v>889</v>
      </c>
      <c r="FF166" s="648" t="s">
        <v>890</v>
      </c>
      <c r="FG166" s="648" cm="1" t="str">
        <f t="array" ref="FG166:FG166">AE166</f>
        <v>0</v>
      </c>
      <c r="FH166" s="648" cm="1" t="str">
        <f t="array" ref="FH166:FH166">AF166</f>
        <v>0</v>
      </c>
      <c r="FI166" s="649"/>
      <c r="FJ166" s="649" t="b">
        <v>1</v>
      </c>
      <c r="FK166" s="1157" cm="1" t="str">
        <f t="array" ref="FK166:FK166">OFFSET(FJ166,-1,1)</f>
        <v>ТЭ.42.31656254.0001</v>
      </c>
      <c r="FL166" s="1078" t="s">
        <v>862</v>
      </c>
      <c r="FM166" s="1159"/>
      <c r="FN166" s="1159"/>
      <c r="FO166" s="1159"/>
      <c r="FP166" s="1159"/>
      <c r="FQ166" s="1159"/>
      <c r="FR166" s="1159"/>
      <c r="FS166" s="1159"/>
      <c r="FT166" s="1159"/>
      <c r="FU166" s="1159"/>
      <c r="FV166" s="1159"/>
      <c r="FW166" s="1078" t="str">
        <f>$AE166&amp;"|"&amp;$AF166</f>
        <v>|</v>
      </c>
      <c r="FX166" s="1078" t="s">
        <v>303</v>
      </c>
      <c r="FY166" s="1078" t="s">
        <v>877</v>
      </c>
      <c r="FZ166" s="1078" t="s">
        <v>878</v>
      </c>
    </row>
    <row s="1751" customFormat="1" customHeight="1" ht="16.5">
      <c r="A167" s="1751"/>
      <c r="B167" s="1751"/>
      <c r="C167" s="1751"/>
      <c r="D167" s="1751"/>
      <c r="E167" s="180">
        <v>17</v>
      </c>
      <c r="F167" s="175" cm="1" t="str">
        <f t="array" ref="F167:F167">OFFSET(G167,-1,-1)</f>
        <v>1</v>
      </c>
      <c r="G167" s="1751"/>
      <c r="H167" s="1751"/>
      <c r="I167" s="1751"/>
      <c r="J167" s="1751"/>
      <c r="K167" s="1751"/>
      <c r="L167" s="175" cm="1" t="str">
        <f t="array" ref="L167:L167">OFFSET(M167,-1,-1)</f>
        <v>false</v>
      </c>
      <c r="M167" s="1751"/>
      <c r="N167" s="1751"/>
      <c r="O167" s="1751"/>
      <c r="P167" s="1751"/>
      <c r="Q167" s="1751"/>
      <c r="R167" s="1751"/>
      <c r="S167" s="175" cm="1" t="str">
        <f t="array" ref="S167:S167">OFFSET(T167,-1,-1)</f>
        <v>true</v>
      </c>
      <c r="T167" s="175">
        <f>AD167&lt;&gt;"18.0"</f>
        <v>1</v>
      </c>
      <c r="U167" s="753">
        <f>AND(S167,IF(ISBLANK(T167),TRUE,T167))</f>
        <v>1</v>
      </c>
      <c r="V167" s="1751"/>
      <c r="W167" s="1751"/>
      <c r="X167" s="175"/>
      <c r="Y167" s="1751"/>
      <c r="Z167" s="1751"/>
      <c r="AA167" s="1751"/>
      <c r="AB167" s="1610"/>
      <c r="AC167" s="477" t="s">
        <v>171</v>
      </c>
      <c r="AD167" s="491" t="s">
        <v>1009</v>
      </c>
      <c r="AE167" s="2259" t="s">
        <v>1010</v>
      </c>
      <c r="AF167" s="2260"/>
      <c r="AG167" s="491" t="s">
        <v>866</v>
      </c>
      <c r="AH167" s="2255">
        <f>AH$162*AH171</f>
        <v>934.4556</v>
      </c>
      <c r="AI167" s="2255">
        <f>AI179*AI175</f>
        <v>1205.82</v>
      </c>
      <c r="AJ167" s="2255">
        <f>AJ179*AJ175</f>
        <v>988.608399999997</v>
      </c>
      <c r="AK167" s="2255">
        <f>AK$162*AK171</f>
        <v>995.8572</v>
      </c>
      <c r="AL167" s="500">
        <f>AM167+AN167</f>
        <v>988</v>
      </c>
      <c r="AM167" s="2255">
        <f>AM$162*AM171</f>
        <v>563</v>
      </c>
      <c r="AN167" s="2255">
        <f>AN$162*AN171</f>
        <v>425</v>
      </c>
      <c r="AO167" s="500">
        <f>AP167+AQ167</f>
        <v>0</v>
      </c>
      <c r="AP167" s="2255">
        <f>AP$162*AP171</f>
        <v>0</v>
      </c>
      <c r="AQ167" s="2255">
        <f>AQ$162*AQ171</f>
        <v>0</v>
      </c>
      <c r="AR167" s="500">
        <f>AS167+AT167</f>
        <v>0</v>
      </c>
      <c r="AS167" s="2255">
        <f>AS$162*AS171</f>
        <v>0</v>
      </c>
      <c r="AT167" s="2255">
        <f>AT$162*AT171</f>
        <v>0</v>
      </c>
      <c r="AU167" s="500">
        <f>AV167+AW167</f>
        <v>0</v>
      </c>
      <c r="AV167" s="2255">
        <f>AV$162*AV171</f>
        <v>0</v>
      </c>
      <c r="AW167" s="2255">
        <f>AW$162*AW171</f>
        <v>0</v>
      </c>
      <c r="AX167" s="500">
        <f>AY167+AZ167</f>
        <v>0</v>
      </c>
      <c r="AY167" s="2255">
        <f>AY$162*AY171</f>
        <v>0</v>
      </c>
      <c r="AZ167" s="2255">
        <f>AZ$162*AZ171</f>
        <v>0</v>
      </c>
      <c r="BA167" s="500">
        <f>BB167+BC167</f>
        <v>0</v>
      </c>
      <c r="BB167" s="2255">
        <f>BB$162*BB171</f>
        <v>0</v>
      </c>
      <c r="BC167" s="2255">
        <f>BC$162*BC171</f>
        <v>0</v>
      </c>
      <c r="BD167" s="500">
        <f>BE167+BF167</f>
        <v>0</v>
      </c>
      <c r="BE167" s="2255">
        <f>BE$162*BE171</f>
        <v>0</v>
      </c>
      <c r="BF167" s="2255">
        <f>BF$162*BF171</f>
        <v>0</v>
      </c>
      <c r="BG167" s="500">
        <f>BH167+BI167</f>
        <v>0</v>
      </c>
      <c r="BH167" s="2255">
        <f>BH$162*BH171</f>
        <v>0</v>
      </c>
      <c r="BI167" s="2255">
        <f>BI$162*BI171</f>
        <v>0</v>
      </c>
      <c r="BJ167" s="500">
        <f>BK167+BL167</f>
        <v>0</v>
      </c>
      <c r="BK167" s="2255">
        <f>BK$162*BK171</f>
        <v>0</v>
      </c>
      <c r="BL167" s="2255">
        <f>BL$162*BL171</f>
        <v>0</v>
      </c>
      <c r="BM167" s="500">
        <f>BN167+BO167</f>
        <v>0</v>
      </c>
      <c r="BN167" s="2255">
        <f>BN$162*BN171</f>
        <v>0</v>
      </c>
      <c r="BO167" s="2255">
        <f>BO$162*BO171</f>
        <v>0</v>
      </c>
      <c r="BP167" s="500">
        <f>BQ167+BR167</f>
        <v>0</v>
      </c>
      <c r="BQ167" s="2255">
        <f>BQ$162*BQ171</f>
        <v>0</v>
      </c>
      <c r="BR167" s="2255">
        <f>BR$162*BR171</f>
        <v>0</v>
      </c>
      <c r="BS167" s="500">
        <f>BT167+BU167</f>
        <v>0</v>
      </c>
      <c r="BT167" s="2255">
        <f>BT$162*BT171</f>
        <v>0</v>
      </c>
      <c r="BU167" s="2255">
        <f>BU$162*BU171</f>
        <v>0</v>
      </c>
      <c r="BV167" s="500">
        <f>BW167+BX167</f>
        <v>0</v>
      </c>
      <c r="BW167" s="2255">
        <f>BW$162*BW171</f>
        <v>0</v>
      </c>
      <c r="BX167" s="2255">
        <f>BX$162*BX171</f>
        <v>0</v>
      </c>
      <c r="BY167" s="500">
        <f>BZ167+CA167</f>
        <v>0</v>
      </c>
      <c r="BZ167" s="2255">
        <f>BZ$162*BZ171</f>
        <v>0</v>
      </c>
      <c r="CA167" s="2255">
        <f>CA$162*CA171</f>
        <v>0</v>
      </c>
      <c r="CB167" s="500">
        <f>CC167+CD167</f>
        <v>0</v>
      </c>
      <c r="CC167" s="2255">
        <f>CC$162*CC171</f>
        <v>0</v>
      </c>
      <c r="CD167" s="2255">
        <f>CD$162*CD171</f>
        <v>0</v>
      </c>
      <c r="CE167" s="500">
        <f>CF167+CG167</f>
        <v>0</v>
      </c>
      <c r="CF167" s="2255">
        <f>CF$162*CF171</f>
        <v>0</v>
      </c>
      <c r="CG167" s="2255">
        <f>CG$162*CG171</f>
        <v>0</v>
      </c>
      <c r="CH167" s="500">
        <f>CI167+CJ167</f>
        <v>0</v>
      </c>
      <c r="CI167" s="2255">
        <f>CI$162*CI171</f>
        <v>0</v>
      </c>
      <c r="CJ167" s="2255">
        <f>CJ$162*CJ171</f>
        <v>0</v>
      </c>
      <c r="CK167" s="500">
        <f>CL167+CM167</f>
        <v>0</v>
      </c>
      <c r="CL167" s="2255">
        <f>CL$162*CL171</f>
        <v>0</v>
      </c>
      <c r="CM167" s="2255">
        <f>CM$162*CM171</f>
        <v>0</v>
      </c>
      <c r="CN167" s="500">
        <f>CO167+CP167</f>
        <v>0</v>
      </c>
      <c r="CO167" s="2255">
        <f>CO$162*CO171</f>
        <v>0</v>
      </c>
      <c r="CP167" s="2255">
        <f>CP$162*CP171</f>
        <v>0</v>
      </c>
      <c r="CQ167" s="500">
        <f>CR167+CS167</f>
        <v>0</v>
      </c>
      <c r="CR167" s="2255">
        <f>CR$162*CR171</f>
        <v>0</v>
      </c>
      <c r="CS167" s="2255">
        <f>CS$162*CS171</f>
        <v>0</v>
      </c>
      <c r="CT167" s="500">
        <f>CU167+CV167</f>
        <v>988.6084</v>
      </c>
      <c r="CU167" s="497">
        <f>CU$162*CU171</f>
        <v>563.4876</v>
      </c>
      <c r="CV167" s="497">
        <f>CV$162*CV171</f>
        <v>425.1208</v>
      </c>
      <c r="CW167" s="500">
        <f>CX167+CY167</f>
        <v>0</v>
      </c>
      <c r="CX167" s="2255">
        <f>CX$162*CX171</f>
        <v>0</v>
      </c>
      <c r="CY167" s="2255">
        <f>CY$162*CY171</f>
        <v>0</v>
      </c>
      <c r="CZ167" s="500">
        <f>DA167+DB167</f>
        <v>0</v>
      </c>
      <c r="DA167" s="2255">
        <f>DA$162*DA171</f>
        <v>0</v>
      </c>
      <c r="DB167" s="2255">
        <f>DB$162*DB171</f>
        <v>0</v>
      </c>
      <c r="DC167" s="500">
        <f>DD167+DE167</f>
        <v>0</v>
      </c>
      <c r="DD167" s="2255">
        <f>DD$162*DD171</f>
        <v>0</v>
      </c>
      <c r="DE167" s="2255">
        <f>DE$162*DE171</f>
        <v>0</v>
      </c>
      <c r="DF167" s="500">
        <f>DG167+DH167</f>
        <v>0</v>
      </c>
      <c r="DG167" s="2255">
        <f>DG$162*DG171</f>
        <v>0</v>
      </c>
      <c r="DH167" s="2255">
        <f>DH$162*DH171</f>
        <v>0</v>
      </c>
      <c r="DI167" s="500">
        <f>DJ167+DK167</f>
        <v>0</v>
      </c>
      <c r="DJ167" s="2255">
        <f>DJ$162*DJ171</f>
        <v>0</v>
      </c>
      <c r="DK167" s="2255">
        <f>DK$162*DK171</f>
        <v>0</v>
      </c>
      <c r="DL167" s="500">
        <f>DM167+DN167</f>
        <v>0</v>
      </c>
      <c r="DM167" s="2255">
        <f>DM$162*DM171</f>
        <v>0</v>
      </c>
      <c r="DN167" s="2255">
        <f>DN$162*DN171</f>
        <v>0</v>
      </c>
      <c r="DO167" s="500">
        <f>DP167+DQ167</f>
        <v>0</v>
      </c>
      <c r="DP167" s="2255">
        <f>DP$162*DP171</f>
        <v>0</v>
      </c>
      <c r="DQ167" s="2255">
        <f>DQ$162*DQ171</f>
        <v>0</v>
      </c>
      <c r="DR167" s="500">
        <f>DS167+DT167</f>
        <v>0</v>
      </c>
      <c r="DS167" s="2255">
        <f>DS$162*DS171</f>
        <v>0</v>
      </c>
      <c r="DT167" s="2255">
        <f>DT$162*DT171</f>
        <v>0</v>
      </c>
      <c r="DU167" s="500">
        <f>DV167+DW167</f>
        <v>0</v>
      </c>
      <c r="DV167" s="2255">
        <f>DV$162*DV171</f>
        <v>0</v>
      </c>
      <c r="DW167" s="2255">
        <f>DW$162*DW171</f>
        <v>0</v>
      </c>
      <c r="DX167" s="500">
        <f>DY167+DZ167</f>
        <v>0</v>
      </c>
      <c r="DY167" s="2255">
        <f>DY$162*DY171</f>
        <v>0</v>
      </c>
      <c r="DZ167" s="2255">
        <f>DZ$162*DZ171</f>
        <v>0</v>
      </c>
      <c r="EA167" s="500">
        <f>EB167+EC167</f>
        <v>0</v>
      </c>
      <c r="EB167" s="2255">
        <f>EB$162*EB171</f>
        <v>0</v>
      </c>
      <c r="EC167" s="2255">
        <f>EC$162*EC171</f>
        <v>0</v>
      </c>
      <c r="ED167" s="500">
        <f>EE167+EF167</f>
        <v>0</v>
      </c>
      <c r="EE167" s="2255">
        <f>EE$162*EE171</f>
        <v>0</v>
      </c>
      <c r="EF167" s="2255">
        <f>EF$162*EF171</f>
        <v>0</v>
      </c>
      <c r="EG167" s="500">
        <f>EH167+EI167</f>
        <v>0</v>
      </c>
      <c r="EH167" s="2255">
        <f>EH$162*EH171</f>
        <v>0</v>
      </c>
      <c r="EI167" s="2255">
        <f>EI$162*EI171</f>
        <v>0</v>
      </c>
      <c r="EJ167" s="500">
        <f>EK167+EL167</f>
        <v>0</v>
      </c>
      <c r="EK167" s="2255">
        <f>EK$162*EK171</f>
        <v>0</v>
      </c>
      <c r="EL167" s="2255">
        <f>EL$162*EL171</f>
        <v>0</v>
      </c>
      <c r="EM167" s="500">
        <f>EN167+EO167</f>
        <v>0</v>
      </c>
      <c r="EN167" s="2255">
        <f>EN$162*EN171</f>
        <v>0</v>
      </c>
      <c r="EO167" s="2255">
        <f>EO$162*EO171</f>
        <v>0</v>
      </c>
      <c r="EP167" s="500">
        <f>EQ167+ER167</f>
        <v>0</v>
      </c>
      <c r="EQ167" s="2255">
        <f>EQ$162*EQ171</f>
        <v>0</v>
      </c>
      <c r="ER167" s="2255">
        <f>ER$162*ER171</f>
        <v>0</v>
      </c>
      <c r="ES167" s="500">
        <f>ET167+EU167</f>
        <v>0</v>
      </c>
      <c r="ET167" s="2255">
        <f>ET$162*ET171</f>
        <v>0</v>
      </c>
      <c r="EU167" s="2255">
        <f>EU$162*EU171</f>
        <v>0</v>
      </c>
      <c r="EV167" s="500">
        <f>EW167+EX167</f>
        <v>0</v>
      </c>
      <c r="EW167" s="2255">
        <f>EW$162*EW171</f>
        <v>0</v>
      </c>
      <c r="EX167" s="2255">
        <f>EX$162*EX171</f>
        <v>0</v>
      </c>
      <c r="EY167" s="500">
        <f>EZ167+FA167</f>
        <v>0</v>
      </c>
      <c r="EZ167" s="2255">
        <f>EZ$162*EZ171</f>
        <v>0</v>
      </c>
      <c r="FA167" s="2255">
        <f>FA$162*FA171</f>
        <v>0</v>
      </c>
      <c r="FB167" s="1897"/>
      <c r="FC167" s="1751"/>
      <c r="FD167" s="1751"/>
      <c r="FE167" s="489" t="s">
        <v>889</v>
      </c>
      <c r="FF167" s="648" t="s">
        <v>890</v>
      </c>
      <c r="FG167" s="648" cm="1" t="str">
        <f t="array" ref="FG167:FG167">AE167</f>
        <v>Уголь длиннопламенный</v>
      </c>
      <c r="FH167" s="648" cm="1" t="str">
        <f t="array" ref="FH167:FH167">AF167</f>
        <v>0</v>
      </c>
      <c r="FI167" s="649"/>
      <c r="FJ167" s="649" t="b">
        <v>1</v>
      </c>
      <c r="FK167" s="1157" cm="1" t="str">
        <f t="array" ref="FK167:FK167">OFFSET(FJ167,-1,1)</f>
        <v>ТЭ.42.31656254.0001</v>
      </c>
      <c r="FL167" s="1078" t="s">
        <v>862</v>
      </c>
      <c r="FM167" s="1159"/>
      <c r="FN167" s="1159"/>
      <c r="FO167" s="1159"/>
      <c r="FP167" s="1159"/>
      <c r="FQ167" s="1159"/>
      <c r="FR167" s="1159"/>
      <c r="FS167" s="1159"/>
      <c r="FT167" s="1159"/>
      <c r="FU167" s="1159"/>
      <c r="FV167" s="1159"/>
      <c r="FW167" s="1078" t="str">
        <f>$AE167&amp;"|"&amp;$AF167</f>
        <v>Уголь длиннопламенный|</v>
      </c>
      <c r="FX167" s="1078" t="s">
        <v>303</v>
      </c>
      <c r="FY167" s="1078" t="s">
        <v>877</v>
      </c>
      <c r="FZ167" s="1078" t="s">
        <v>878</v>
      </c>
    </row>
    <row s="1751" customFormat="1" customHeight="1" ht="16.5">
      <c r="A168" s="371"/>
      <c r="B168" s="1548"/>
      <c r="C168" s="1548"/>
      <c r="D168" s="1548"/>
      <c r="E168" s="180">
        <v>17</v>
      </c>
      <c r="F168" s="175" cm="1" t="str">
        <f t="array" ref="F168:F168">OFFSET(G168,-1,-1)</f>
        <v>1</v>
      </c>
      <c r="G168" s="1659"/>
      <c r="H168" s="1659"/>
      <c r="I168" s="1659"/>
      <c r="J168" s="1659"/>
      <c r="K168" s="1659"/>
      <c r="L168" s="175" cm="1" t="str">
        <f t="array" ref="L168:L168">OFFSET(M168,-1,-1)</f>
        <v>false</v>
      </c>
      <c r="M168" s="1659"/>
      <c r="N168" s="1659"/>
      <c r="O168" s="1659"/>
      <c r="P168" s="1659"/>
      <c r="Q168" s="1659"/>
      <c r="R168" s="1548"/>
      <c r="S168" s="175" cm="1" t="str">
        <f t="array" ref="S168:S168">OFFSET(T168,-1,-1)</f>
        <v>true</v>
      </c>
      <c r="T168" s="1548"/>
      <c r="U168" s="753">
        <f>AND(S168,IF(ISBLANK(T168),TRUE,T168))</f>
        <v>1</v>
      </c>
      <c r="V168" s="1548"/>
      <c r="W168" s="1548"/>
      <c r="X168" s="980" t="str">
        <f>"{                  
         funcDyn: 'msg',
         blok: 'blok_2',
         wsCross: 'Топливо 4.4',
         linkFormula: 'AE-AE#AF-AF',
         levelDyn: "&amp;Y139&amp;"
}"</f>
        <v>{                  
         funcDyn: 'msg',
         blok: 'blok_2',
         wsCross: 'Топливо 4.4',
         linkFormula: 'AE-AE#AF-AF',
         levelDyn: 1
}</v>
      </c>
      <c r="Y168" s="1548"/>
      <c r="Z168" s="1548"/>
      <c r="AA168" s="1009"/>
      <c r="AB168" s="1610"/>
      <c r="AC168" s="1751"/>
      <c r="AD168" s="405"/>
      <c r="AE168" s="510" t="s">
        <v>191</v>
      </c>
      <c r="AF168" s="510"/>
      <c r="AG168" s="510"/>
      <c r="AH168" s="510"/>
      <c r="AI168" s="510"/>
      <c r="AJ168" s="510"/>
      <c r="AK168" s="510"/>
      <c r="AL168" s="510"/>
      <c r="AM168" s="510"/>
      <c r="AN168" s="510"/>
      <c r="AO168" s="510"/>
      <c r="AP168" s="510"/>
      <c r="AQ168" s="510"/>
      <c r="AR168" s="510"/>
      <c r="AS168" s="510"/>
      <c r="AT168" s="510"/>
      <c r="AU168" s="510"/>
      <c r="AV168" s="510"/>
      <c r="AW168" s="510"/>
      <c r="AX168" s="510"/>
      <c r="AY168" s="510"/>
      <c r="AZ168" s="510"/>
      <c r="BA168" s="510"/>
      <c r="BB168" s="510"/>
      <c r="BC168" s="510"/>
      <c r="BD168" s="510"/>
      <c r="BE168" s="510"/>
      <c r="BF168" s="510"/>
      <c r="BG168" s="510"/>
      <c r="BH168" s="510"/>
      <c r="BI168" s="510"/>
      <c r="BJ168" s="510"/>
      <c r="BK168" s="510"/>
      <c r="BL168" s="510"/>
      <c r="BM168" s="510"/>
      <c r="BN168" s="510"/>
      <c r="BO168" s="510"/>
      <c r="BP168" s="510"/>
      <c r="BQ168" s="510"/>
      <c r="BR168" s="510"/>
      <c r="BS168" s="510"/>
      <c r="BT168" s="510"/>
      <c r="BU168" s="510"/>
      <c r="BV168" s="510"/>
      <c r="BW168" s="510"/>
      <c r="BX168" s="510"/>
      <c r="BY168" s="510"/>
      <c r="BZ168" s="510"/>
      <c r="CA168" s="510"/>
      <c r="CB168" s="510"/>
      <c r="CC168" s="510"/>
      <c r="CD168" s="510"/>
      <c r="CE168" s="510"/>
      <c r="CF168" s="510"/>
      <c r="CG168" s="510"/>
      <c r="CH168" s="510"/>
      <c r="CI168" s="510"/>
      <c r="CJ168" s="510"/>
      <c r="CK168" s="510"/>
      <c r="CL168" s="510"/>
      <c r="CM168" s="510"/>
      <c r="CN168" s="510"/>
      <c r="CO168" s="510"/>
      <c r="CP168" s="510"/>
      <c r="CQ168" s="510"/>
      <c r="CR168" s="510"/>
      <c r="CS168" s="510"/>
      <c r="CT168" s="510"/>
      <c r="CU168" s="510"/>
      <c r="CV168" s="510"/>
      <c r="CW168" s="510"/>
      <c r="CX168" s="510"/>
      <c r="CY168" s="510"/>
      <c r="CZ168" s="510"/>
      <c r="DA168" s="510"/>
      <c r="DB168" s="510"/>
      <c r="DC168" s="510"/>
      <c r="DD168" s="510"/>
      <c r="DE168" s="510"/>
      <c r="DF168" s="510"/>
      <c r="DG168" s="510"/>
      <c r="DH168" s="510"/>
      <c r="DI168" s="510"/>
      <c r="DJ168" s="510"/>
      <c r="DK168" s="510"/>
      <c r="DL168" s="510"/>
      <c r="DM168" s="510"/>
      <c r="DN168" s="510"/>
      <c r="DO168" s="510"/>
      <c r="DP168" s="510"/>
      <c r="DQ168" s="510"/>
      <c r="DR168" s="510"/>
      <c r="DS168" s="510"/>
      <c r="DT168" s="510"/>
      <c r="DU168" s="510"/>
      <c r="DV168" s="510"/>
      <c r="DW168" s="510"/>
      <c r="DX168" s="510"/>
      <c r="DY168" s="510"/>
      <c r="DZ168" s="510"/>
      <c r="EA168" s="510"/>
      <c r="EB168" s="510"/>
      <c r="EC168" s="510"/>
      <c r="ED168" s="510"/>
      <c r="EE168" s="510"/>
      <c r="EF168" s="510"/>
      <c r="EG168" s="510"/>
      <c r="EH168" s="510"/>
      <c r="EI168" s="510"/>
      <c r="EJ168" s="510"/>
      <c r="EK168" s="510"/>
      <c r="EL168" s="510"/>
      <c r="EM168" s="510"/>
      <c r="EN168" s="510"/>
      <c r="EO168" s="510"/>
      <c r="EP168" s="510"/>
      <c r="EQ168" s="510"/>
      <c r="ER168" s="510"/>
      <c r="ES168" s="510"/>
      <c r="ET168" s="510"/>
      <c r="EU168" s="510"/>
      <c r="EV168" s="510"/>
      <c r="EW168" s="510"/>
      <c r="EX168" s="510"/>
      <c r="EY168" s="510"/>
      <c r="EZ168" s="510"/>
      <c r="FA168" s="510"/>
      <c r="FB168" s="511"/>
      <c r="FC168" s="1751"/>
      <c r="FD168" s="1506"/>
      <c r="FE168" s="489" t="str">
        <f>IF(AND(ISNUMBER(VALUE(TRIM(SUBSTITUTE(AD168,".","")))),TRIM(SUBSTITUTE(AD168,".",""))&lt;&gt;""),"P"&amp;SUBSTITUTE(AD168,".",""),"")</f>
        <v/>
      </c>
      <c r="FF168" s="648"/>
      <c r="FG168" s="648"/>
      <c r="FH168" s="648"/>
      <c r="FI168" s="649" t="s">
        <v>890</v>
      </c>
      <c r="FJ168" s="649"/>
      <c r="FK168" s="1157" cm="1" t="str">
        <f t="array" ref="FK168:FK168">OFFSET(FJ168,-1,1)</f>
        <v>ТЭ.42.31656254.0001</v>
      </c>
      <c r="FL168" s="1078"/>
      <c r="FM168" s="1159"/>
      <c r="FN168" s="1159"/>
      <c r="FO168" s="1159"/>
      <c r="FP168" s="1159"/>
      <c r="FQ168" s="1159"/>
      <c r="FR168" s="1159"/>
      <c r="FS168" s="1159"/>
      <c r="FT168" s="1159"/>
      <c r="FU168" s="1159"/>
      <c r="FV168" s="1159"/>
      <c r="FW168" s="1159"/>
      <c r="FX168" s="1159"/>
      <c r="FY168" s="1159"/>
      <c r="FZ168" s="1159"/>
    </row>
    <row s="1751" customFormat="1" customHeight="1" ht="16.5">
      <c r="A169" s="371"/>
      <c r="B169" s="1548"/>
      <c r="C169" s="1548"/>
      <c r="D169" s="1548"/>
      <c r="E169" s="180">
        <v>17</v>
      </c>
      <c r="F169" s="175" cm="1" t="str">
        <f t="array" ref="F169:F169">OFFSET(G169,-1,-1)</f>
        <v>1</v>
      </c>
      <c r="G169" s="1659"/>
      <c r="H169" s="1659"/>
      <c r="I169" s="1659"/>
      <c r="J169" s="1659"/>
      <c r="K169" s="1659"/>
      <c r="L169" s="175" cm="1" t="str">
        <f t="array" ref="L169:L169">OFFSET(M169,-1,-1)</f>
        <v>false</v>
      </c>
      <c r="M169" s="1659"/>
      <c r="N169" s="1659"/>
      <c r="O169" s="1659"/>
      <c r="P169" s="1659"/>
      <c r="Q169" s="1659"/>
      <c r="R169" s="1548"/>
      <c r="S169" s="175" cm="1" t="str">
        <f t="array" ref="S169:S169">OFFSET(T169,-1,-1)</f>
        <v>true</v>
      </c>
      <c r="T169" s="1548"/>
      <c r="U169" s="753">
        <f>AND(S169,IF(ISBLANK(T169),TRUE,T169))</f>
        <v>1</v>
      </c>
      <c r="V169" s="1548"/>
      <c r="W169" s="1548"/>
      <c r="X169" s="1548"/>
      <c r="Y169" s="1548"/>
      <c r="Z169" s="1548"/>
      <c r="AA169" s="1009"/>
      <c r="AB169" s="1610"/>
      <c r="AC169" s="1751"/>
      <c r="AD169" s="491">
        <v>19</v>
      </c>
      <c r="AE169" s="1647" t="s">
        <v>891</v>
      </c>
      <c r="AF169" s="1648"/>
      <c r="AG169" s="512" t="s">
        <v>495</v>
      </c>
      <c r="AH169" s="513">
        <f>SUM(AH170:AH172)</f>
        <v>1</v>
      </c>
      <c r="AI169" s="513">
        <f>SUM(AI170:AI172)</f>
        <v>1</v>
      </c>
      <c r="AJ169" s="513">
        <f>SUM(AJ170:AJ172)</f>
        <v>1</v>
      </c>
      <c r="AK169" s="513">
        <f>SUM(AK170:AK172)</f>
        <v>1</v>
      </c>
      <c r="AL169" s="513">
        <f>SUM(AL170:AL172)</f>
        <v>1</v>
      </c>
      <c r="AM169" s="513">
        <f>SUM(AM170:AM172)</f>
        <v>1</v>
      </c>
      <c r="AN169" s="513">
        <f>SUM(AN170:AN172)</f>
        <v>1</v>
      </c>
      <c r="AO169" s="513">
        <f>SUM(AO170:AO172)</f>
        <v>0</v>
      </c>
      <c r="AP169" s="513">
        <f>SUM(AP170:AP172)</f>
        <v>0</v>
      </c>
      <c r="AQ169" s="513">
        <f>SUM(AQ170:AQ172)</f>
        <v>0</v>
      </c>
      <c r="AR169" s="513">
        <f>SUM(AR170:AR172)</f>
        <v>0</v>
      </c>
      <c r="AS169" s="513">
        <f>SUM(AS170:AS172)</f>
        <v>0</v>
      </c>
      <c r="AT169" s="513">
        <f>SUM(AT170:AT172)</f>
        <v>0</v>
      </c>
      <c r="AU169" s="513">
        <f>SUM(AU170:AU172)</f>
        <v>0</v>
      </c>
      <c r="AV169" s="513">
        <f>SUM(AV170:AV172)</f>
        <v>0</v>
      </c>
      <c r="AW169" s="513">
        <f>SUM(AW170:AW172)</f>
        <v>0</v>
      </c>
      <c r="AX169" s="513">
        <f>SUM(AX170:AX172)</f>
        <v>0</v>
      </c>
      <c r="AY169" s="513">
        <f>SUM(AY170:AY172)</f>
        <v>0</v>
      </c>
      <c r="AZ169" s="513">
        <f>SUM(AZ170:AZ172)</f>
        <v>0</v>
      </c>
      <c r="BA169" s="513">
        <f>SUM(BA170:BA172)</f>
        <v>0</v>
      </c>
      <c r="BB169" s="513">
        <f>SUM(BB170:BB172)</f>
        <v>0</v>
      </c>
      <c r="BC169" s="513">
        <f>SUM(BC170:BC172)</f>
        <v>0</v>
      </c>
      <c r="BD169" s="513">
        <f>SUM(BD170:BD172)</f>
        <v>0</v>
      </c>
      <c r="BE169" s="513">
        <f>SUM(BE170:BE172)</f>
        <v>0</v>
      </c>
      <c r="BF169" s="513">
        <f>SUM(BF170:BF172)</f>
        <v>0</v>
      </c>
      <c r="BG169" s="513">
        <f>SUM(BG170:BG172)</f>
        <v>0</v>
      </c>
      <c r="BH169" s="513">
        <f>SUM(BH170:BH172)</f>
        <v>0</v>
      </c>
      <c r="BI169" s="513">
        <f>SUM(BI170:BI172)</f>
        <v>0</v>
      </c>
      <c r="BJ169" s="513">
        <f>SUM(BJ170:BJ172)</f>
        <v>0</v>
      </c>
      <c r="BK169" s="513">
        <f>SUM(BK170:BK172)</f>
        <v>0</v>
      </c>
      <c r="BL169" s="513">
        <f>SUM(BL170:BL172)</f>
        <v>0</v>
      </c>
      <c r="BM169" s="513">
        <f>SUM(BM170:BM172)</f>
        <v>0</v>
      </c>
      <c r="BN169" s="513">
        <f>SUM(BN170:BN172)</f>
        <v>0</v>
      </c>
      <c r="BO169" s="513">
        <f>SUM(BO170:BO172)</f>
        <v>0</v>
      </c>
      <c r="BP169" s="513">
        <f>SUM(BP170:BP172)</f>
        <v>0</v>
      </c>
      <c r="BQ169" s="513">
        <f>SUM(BQ170:BQ172)</f>
        <v>0</v>
      </c>
      <c r="BR169" s="513">
        <f>SUM(BR170:BR172)</f>
        <v>0</v>
      </c>
      <c r="BS169" s="513">
        <f>SUM(BS170:BS172)</f>
        <v>0</v>
      </c>
      <c r="BT169" s="513">
        <f>SUM(BT170:BT172)</f>
        <v>0</v>
      </c>
      <c r="BU169" s="513">
        <f>SUM(BU170:BU172)</f>
        <v>0</v>
      </c>
      <c r="BV169" s="513">
        <f>SUM(BV170:BV172)</f>
        <v>0</v>
      </c>
      <c r="BW169" s="513">
        <f>SUM(BW170:BW172)</f>
        <v>0</v>
      </c>
      <c r="BX169" s="513">
        <f>SUM(BX170:BX172)</f>
        <v>0</v>
      </c>
      <c r="BY169" s="513">
        <f>SUM(BY170:BY172)</f>
        <v>0</v>
      </c>
      <c r="BZ169" s="513">
        <f>SUM(BZ170:BZ172)</f>
        <v>0</v>
      </c>
      <c r="CA169" s="513">
        <f>SUM(CA170:CA172)</f>
        <v>0</v>
      </c>
      <c r="CB169" s="513">
        <f>SUM(CB170:CB172)</f>
        <v>0</v>
      </c>
      <c r="CC169" s="513">
        <f>SUM(CC170:CC172)</f>
        <v>0</v>
      </c>
      <c r="CD169" s="513">
        <f>SUM(CD170:CD172)</f>
        <v>0</v>
      </c>
      <c r="CE169" s="513">
        <f>SUM(CE170:CE172)</f>
        <v>0</v>
      </c>
      <c r="CF169" s="513">
        <f>SUM(CF170:CF172)</f>
        <v>0</v>
      </c>
      <c r="CG169" s="513">
        <f>SUM(CG170:CG172)</f>
        <v>0</v>
      </c>
      <c r="CH169" s="513">
        <f>SUM(CH170:CH172)</f>
        <v>0</v>
      </c>
      <c r="CI169" s="513">
        <f>SUM(CI170:CI172)</f>
        <v>0</v>
      </c>
      <c r="CJ169" s="513">
        <f>SUM(CJ170:CJ172)</f>
        <v>0</v>
      </c>
      <c r="CK169" s="513">
        <f>SUM(CK170:CK172)</f>
        <v>0</v>
      </c>
      <c r="CL169" s="513">
        <f>SUM(CL170:CL172)</f>
        <v>0</v>
      </c>
      <c r="CM169" s="513">
        <f>SUM(CM170:CM172)</f>
        <v>0</v>
      </c>
      <c r="CN169" s="513">
        <f>SUM(CN170:CN172)</f>
        <v>0</v>
      </c>
      <c r="CO169" s="513">
        <f>SUM(CO170:CO172)</f>
        <v>0</v>
      </c>
      <c r="CP169" s="513">
        <f>SUM(CP170:CP172)</f>
        <v>0</v>
      </c>
      <c r="CQ169" s="513">
        <f>SUM(CQ170:CQ172)</f>
        <v>0</v>
      </c>
      <c r="CR169" s="513">
        <f>SUM(CR170:CR172)</f>
        <v>0</v>
      </c>
      <c r="CS169" s="513">
        <f>SUM(CS170:CS172)</f>
        <v>0</v>
      </c>
      <c r="CT169" s="513">
        <f>SUM(CT170:CT172)</f>
        <v>1</v>
      </c>
      <c r="CU169" s="513">
        <f>SUM(CU170:CU172)</f>
        <v>1</v>
      </c>
      <c r="CV169" s="513">
        <f>SUM(CV170:CV172)</f>
        <v>1</v>
      </c>
      <c r="CW169" s="513">
        <f>SUM(CW170:CW172)</f>
        <v>0</v>
      </c>
      <c r="CX169" s="513">
        <f>SUM(CX170:CX172)</f>
        <v>0</v>
      </c>
      <c r="CY169" s="513">
        <f>SUM(CY170:CY172)</f>
        <v>0</v>
      </c>
      <c r="CZ169" s="513">
        <f>SUM(CZ170:CZ172)</f>
        <v>0</v>
      </c>
      <c r="DA169" s="513">
        <f>SUM(DA170:DA172)</f>
        <v>0</v>
      </c>
      <c r="DB169" s="513">
        <f>SUM(DB170:DB172)</f>
        <v>0</v>
      </c>
      <c r="DC169" s="513">
        <f>SUM(DC170:DC172)</f>
        <v>0</v>
      </c>
      <c r="DD169" s="513">
        <f>SUM(DD170:DD172)</f>
        <v>0</v>
      </c>
      <c r="DE169" s="513">
        <f>SUM(DE170:DE172)</f>
        <v>0</v>
      </c>
      <c r="DF169" s="513">
        <f>SUM(DF170:DF172)</f>
        <v>0</v>
      </c>
      <c r="DG169" s="513">
        <f>SUM(DG170:DG172)</f>
        <v>0</v>
      </c>
      <c r="DH169" s="513">
        <f>SUM(DH170:DH172)</f>
        <v>0</v>
      </c>
      <c r="DI169" s="513">
        <f>SUM(DI170:DI172)</f>
        <v>0</v>
      </c>
      <c r="DJ169" s="513">
        <f>SUM(DJ170:DJ172)</f>
        <v>0</v>
      </c>
      <c r="DK169" s="513">
        <f>SUM(DK170:DK172)</f>
        <v>0</v>
      </c>
      <c r="DL169" s="513">
        <f>SUM(DL170:DL172)</f>
        <v>0</v>
      </c>
      <c r="DM169" s="513">
        <f>SUM(DM170:DM172)</f>
        <v>0</v>
      </c>
      <c r="DN169" s="513">
        <f>SUM(DN170:DN172)</f>
        <v>0</v>
      </c>
      <c r="DO169" s="513">
        <f>SUM(DO170:DO172)</f>
        <v>0</v>
      </c>
      <c r="DP169" s="513">
        <f>SUM(DP170:DP172)</f>
        <v>0</v>
      </c>
      <c r="DQ169" s="513">
        <f>SUM(DQ170:DQ172)</f>
        <v>0</v>
      </c>
      <c r="DR169" s="513">
        <f>SUM(DR170:DR172)</f>
        <v>0</v>
      </c>
      <c r="DS169" s="513">
        <f>SUM(DS170:DS172)</f>
        <v>0</v>
      </c>
      <c r="DT169" s="513">
        <f>SUM(DT170:DT172)</f>
        <v>0</v>
      </c>
      <c r="DU169" s="513">
        <f>SUM(DU170:DU172)</f>
        <v>0</v>
      </c>
      <c r="DV169" s="513">
        <f>SUM(DV170:DV172)</f>
        <v>0</v>
      </c>
      <c r="DW169" s="513">
        <f>SUM(DW170:DW172)</f>
        <v>0</v>
      </c>
      <c r="DX169" s="513">
        <f>SUM(DX170:DX172)</f>
        <v>0</v>
      </c>
      <c r="DY169" s="513">
        <f>SUM(DY170:DY172)</f>
        <v>0</v>
      </c>
      <c r="DZ169" s="513">
        <f>SUM(DZ170:DZ172)</f>
        <v>0</v>
      </c>
      <c r="EA169" s="513">
        <f>SUM(EA170:EA172)</f>
        <v>0</v>
      </c>
      <c r="EB169" s="513">
        <f>SUM(EB170:EB172)</f>
        <v>0</v>
      </c>
      <c r="EC169" s="513">
        <f>SUM(EC170:EC172)</f>
        <v>0</v>
      </c>
      <c r="ED169" s="513">
        <f>SUM(ED170:ED172)</f>
        <v>0</v>
      </c>
      <c r="EE169" s="513">
        <f>SUM(EE170:EE172)</f>
        <v>0</v>
      </c>
      <c r="EF169" s="513">
        <f>SUM(EF170:EF172)</f>
        <v>0</v>
      </c>
      <c r="EG169" s="513">
        <f>SUM(EG170:EG172)</f>
        <v>0</v>
      </c>
      <c r="EH169" s="513">
        <f>SUM(EH170:EH172)</f>
        <v>0</v>
      </c>
      <c r="EI169" s="513">
        <f>SUM(EI170:EI172)</f>
        <v>0</v>
      </c>
      <c r="EJ169" s="513">
        <f>SUM(EJ170:EJ172)</f>
        <v>0</v>
      </c>
      <c r="EK169" s="513">
        <f>SUM(EK170:EK172)</f>
        <v>0</v>
      </c>
      <c r="EL169" s="513">
        <f>SUM(EL170:EL172)</f>
        <v>0</v>
      </c>
      <c r="EM169" s="513">
        <f>SUM(EM170:EM172)</f>
        <v>0</v>
      </c>
      <c r="EN169" s="513">
        <f>SUM(EN170:EN172)</f>
        <v>0</v>
      </c>
      <c r="EO169" s="513">
        <f>SUM(EO170:EO172)</f>
        <v>0</v>
      </c>
      <c r="EP169" s="513">
        <f>SUM(EP170:EP172)</f>
        <v>0</v>
      </c>
      <c r="EQ169" s="513">
        <f>SUM(EQ170:EQ172)</f>
        <v>0</v>
      </c>
      <c r="ER169" s="513">
        <f>SUM(ER170:ER172)</f>
        <v>0</v>
      </c>
      <c r="ES169" s="513">
        <f>SUM(ES170:ES172)</f>
        <v>0</v>
      </c>
      <c r="ET169" s="513">
        <f>SUM(ET170:ET172)</f>
        <v>0</v>
      </c>
      <c r="EU169" s="513">
        <f>SUM(EU170:EU172)</f>
        <v>0</v>
      </c>
      <c r="EV169" s="513">
        <f>SUM(EV170:EV172)</f>
        <v>0</v>
      </c>
      <c r="EW169" s="513">
        <f>SUM(EW170:EW172)</f>
        <v>0</v>
      </c>
      <c r="EX169" s="513">
        <f>SUM(EX170:EX172)</f>
        <v>0</v>
      </c>
      <c r="EY169" s="513">
        <f>SUM(EY170:EY172)</f>
        <v>0</v>
      </c>
      <c r="EZ169" s="513">
        <f>SUM(EZ170:EZ172)</f>
        <v>0</v>
      </c>
      <c r="FA169" s="513">
        <f>SUM(FA170:FA172)</f>
        <v>0</v>
      </c>
      <c r="FB169" s="1908"/>
      <c r="FC169" s="1751"/>
      <c r="FD169" s="1506"/>
      <c r="FE169" s="489" t="s">
        <v>892</v>
      </c>
      <c r="FF169" s="648"/>
      <c r="FG169" s="648"/>
      <c r="FH169" s="648"/>
      <c r="FI169" s="649"/>
      <c r="FJ169" s="649"/>
      <c r="FK169" s="1157" cm="1" t="str">
        <f t="array" ref="FK169:FK169">OFFSET(FJ169,-1,1)</f>
        <v>ТЭ.42.31656254.0001</v>
      </c>
      <c r="FL169" s="1159"/>
      <c r="FM169" s="1159"/>
      <c r="FN169" s="1159"/>
      <c r="FO169" s="1159"/>
      <c r="FP169" s="1159"/>
      <c r="FQ169" s="1159"/>
      <c r="FR169" s="1159"/>
      <c r="FS169" s="1159"/>
      <c r="FT169" s="1159"/>
      <c r="FU169" s="1159"/>
      <c r="FV169" s="1159" t="s">
        <v>449</v>
      </c>
      <c r="FW169" s="1159"/>
      <c r="FX169" s="1159" t="s">
        <v>303</v>
      </c>
      <c r="FY169" s="1159" t="s">
        <v>820</v>
      </c>
      <c r="FZ169" s="1159" t="s">
        <v>821</v>
      </c>
    </row>
    <row s="1751" customFormat="1" customHeight="1" ht="16.5" hidden="1">
      <c r="E170" s="180">
        <v>17</v>
      </c>
      <c r="F170" s="175" cm="1" t="str">
        <f t="array" ref="F170:F170">OFFSET(G170,-1,-1)</f>
        <v>1</v>
      </c>
      <c r="L170" s="175" cm="1" t="str">
        <f t="array" ref="L170:L170">OFFSET(M170,-1,-1)</f>
        <v>false</v>
      </c>
      <c r="S170" s="175" cm="1" t="str">
        <f t="array" ref="S170:S170">OFFSET(T170,-1,-1)</f>
        <v>true</v>
      </c>
      <c r="T170" s="175">
        <f>AD170&lt;&gt;"19.0"</f>
        <v>0</v>
      </c>
      <c r="U170" s="753">
        <f>AND(S170,IF(ISBLANK(T170),TRUE,T170))</f>
        <v>0</v>
      </c>
      <c r="X170" s="175" t="s">
        <v>189</v>
      </c>
      <c r="AB170" s="1610"/>
      <c r="AD170" s="491" t="s">
        <v>893</v>
      </c>
      <c r="AE170" s="514"/>
      <c r="AF170" s="515"/>
      <c r="AG170" s="491" t="s">
        <v>495</v>
      </c>
      <c r="AH170" s="92"/>
      <c r="AI170" s="92">
        <f>_xlfn.IFERROR(AI166/AI$164,0)</f>
        <v>0</v>
      </c>
      <c r="AJ170" s="92">
        <f>_xlfn.IFERROR(AJ166/AJ$164,0)</f>
        <v>0</v>
      </c>
      <c r="AK170" s="92"/>
      <c r="AL170" s="503">
        <f>_xlfn.IFERROR(AL166/AL$162,0)</f>
        <v>0</v>
      </c>
      <c r="AM170" s="92"/>
      <c r="AN170" s="92"/>
      <c r="AO170" s="503">
        <f>_xlfn.IFERROR(AO166/AO$162,0)</f>
        <v>0</v>
      </c>
      <c r="AP170" s="92"/>
      <c r="AQ170" s="92"/>
      <c r="AR170" s="503">
        <f>_xlfn.IFERROR(AR166/AR$162,0)</f>
        <v>0</v>
      </c>
      <c r="AS170" s="92"/>
      <c r="AT170" s="92"/>
      <c r="AU170" s="503">
        <f>_xlfn.IFERROR(AU166/AU$162,0)</f>
        <v>0</v>
      </c>
      <c r="AV170" s="92"/>
      <c r="AW170" s="92"/>
      <c r="AX170" s="503">
        <f>_xlfn.IFERROR(AX166/AX$162,0)</f>
        <v>0</v>
      </c>
      <c r="AY170" s="92"/>
      <c r="AZ170" s="92"/>
      <c r="BA170" s="503">
        <f>_xlfn.IFERROR(BA166/BA$162,0)</f>
        <v>0</v>
      </c>
      <c r="BB170" s="92"/>
      <c r="BC170" s="92"/>
      <c r="BD170" s="503">
        <f>_xlfn.IFERROR(BD166/BD$162,0)</f>
        <v>0</v>
      </c>
      <c r="BE170" s="92"/>
      <c r="BF170" s="92"/>
      <c r="BG170" s="503">
        <f>_xlfn.IFERROR(BG166/BG$162,0)</f>
        <v>0</v>
      </c>
      <c r="BH170" s="92"/>
      <c r="BI170" s="92"/>
      <c r="BJ170" s="503">
        <f>_xlfn.IFERROR(BJ166/BJ$162,0)</f>
        <v>0</v>
      </c>
      <c r="BK170" s="92"/>
      <c r="BL170" s="92"/>
      <c r="BM170" s="503">
        <f>_xlfn.IFERROR(BM166/BM$162,0)</f>
        <v>0</v>
      </c>
      <c r="BN170" s="92"/>
      <c r="BO170" s="92"/>
      <c r="BP170" s="503">
        <f>_xlfn.IFERROR(BP166/BP$162,0)</f>
        <v>0</v>
      </c>
      <c r="BQ170" s="92"/>
      <c r="BR170" s="92"/>
      <c r="BS170" s="503">
        <f>_xlfn.IFERROR(BS166/BS$162,0)</f>
        <v>0</v>
      </c>
      <c r="BT170" s="92"/>
      <c r="BU170" s="92"/>
      <c r="BV170" s="503">
        <f>_xlfn.IFERROR(BV166/BV$162,0)</f>
        <v>0</v>
      </c>
      <c r="BW170" s="92"/>
      <c r="BX170" s="92"/>
      <c r="BY170" s="503">
        <f>_xlfn.IFERROR(BY166/BY$162,0)</f>
        <v>0</v>
      </c>
      <c r="BZ170" s="92"/>
      <c r="CA170" s="92"/>
      <c r="CB170" s="503">
        <f>_xlfn.IFERROR(CB166/CB$162,0)</f>
        <v>0</v>
      </c>
      <c r="CC170" s="92"/>
      <c r="CD170" s="92"/>
      <c r="CE170" s="503">
        <f>_xlfn.IFERROR(CE166/CE$162,0)</f>
        <v>0</v>
      </c>
      <c r="CF170" s="92"/>
      <c r="CG170" s="92"/>
      <c r="CH170" s="503">
        <f>_xlfn.IFERROR(CH166/CH$162,0)</f>
        <v>0</v>
      </c>
      <c r="CI170" s="92"/>
      <c r="CJ170" s="92"/>
      <c r="CK170" s="503">
        <f>_xlfn.IFERROR(CK166/CK$162,0)</f>
        <v>0</v>
      </c>
      <c r="CL170" s="92"/>
      <c r="CM170" s="92"/>
      <c r="CN170" s="503">
        <f>_xlfn.IFERROR(CN166/CN$162,0)</f>
        <v>0</v>
      </c>
      <c r="CO170" s="92"/>
      <c r="CP170" s="92"/>
      <c r="CQ170" s="503">
        <f>_xlfn.IFERROR(CQ166/CQ$162,0)</f>
        <v>0</v>
      </c>
      <c r="CR170" s="92"/>
      <c r="CS170" s="92"/>
      <c r="CT170" s="503">
        <f>_xlfn.IFERROR(CT166/CT$162,0)</f>
        <v>0</v>
      </c>
      <c r="CU170" s="516"/>
      <c r="CV170" s="516"/>
      <c r="CW170" s="503">
        <f>_xlfn.IFERROR(CW166/CW$162,0)</f>
        <v>0</v>
      </c>
      <c r="CX170" s="92"/>
      <c r="CY170" s="92"/>
      <c r="CZ170" s="503">
        <f>_xlfn.IFERROR(CZ166/CZ$162,0)</f>
        <v>0</v>
      </c>
      <c r="DA170" s="92"/>
      <c r="DB170" s="92"/>
      <c r="DC170" s="503">
        <f>_xlfn.IFERROR(DC166/DC$162,0)</f>
        <v>0</v>
      </c>
      <c r="DD170" s="92"/>
      <c r="DE170" s="92"/>
      <c r="DF170" s="503">
        <f>_xlfn.IFERROR(DF166/DF$162,0)</f>
        <v>0</v>
      </c>
      <c r="DG170" s="92"/>
      <c r="DH170" s="92"/>
      <c r="DI170" s="503">
        <f>_xlfn.IFERROR(DI166/DI$162,0)</f>
        <v>0</v>
      </c>
      <c r="DJ170" s="92"/>
      <c r="DK170" s="92"/>
      <c r="DL170" s="503">
        <f>_xlfn.IFERROR(DL166/DL$162,0)</f>
        <v>0</v>
      </c>
      <c r="DM170" s="92"/>
      <c r="DN170" s="92"/>
      <c r="DO170" s="503">
        <f>_xlfn.IFERROR(DO166/DO$162,0)</f>
        <v>0</v>
      </c>
      <c r="DP170" s="92"/>
      <c r="DQ170" s="92"/>
      <c r="DR170" s="503">
        <f>_xlfn.IFERROR(DR166/DR$162,0)</f>
        <v>0</v>
      </c>
      <c r="DS170" s="92"/>
      <c r="DT170" s="92"/>
      <c r="DU170" s="503">
        <f>_xlfn.IFERROR(DU166/DU$162,0)</f>
        <v>0</v>
      </c>
      <c r="DV170" s="92"/>
      <c r="DW170" s="92"/>
      <c r="DX170" s="503">
        <f>_xlfn.IFERROR(DX166/DX$162,0)</f>
        <v>0</v>
      </c>
      <c r="DY170" s="92"/>
      <c r="DZ170" s="92"/>
      <c r="EA170" s="503">
        <f>_xlfn.IFERROR(EA166/EA$162,0)</f>
        <v>0</v>
      </c>
      <c r="EB170" s="92"/>
      <c r="EC170" s="92"/>
      <c r="ED170" s="503">
        <f>_xlfn.IFERROR(ED166/ED$162,0)</f>
        <v>0</v>
      </c>
      <c r="EE170" s="92"/>
      <c r="EF170" s="92"/>
      <c r="EG170" s="503">
        <f>_xlfn.IFERROR(EG166/EG$162,0)</f>
        <v>0</v>
      </c>
      <c r="EH170" s="92"/>
      <c r="EI170" s="92"/>
      <c r="EJ170" s="503">
        <f>_xlfn.IFERROR(EJ166/EJ$162,0)</f>
        <v>0</v>
      </c>
      <c r="EK170" s="92"/>
      <c r="EL170" s="92"/>
      <c r="EM170" s="503">
        <f>_xlfn.IFERROR(EM166/EM$162,0)</f>
        <v>0</v>
      </c>
      <c r="EN170" s="92"/>
      <c r="EO170" s="92"/>
      <c r="EP170" s="503">
        <f>_xlfn.IFERROR(EP166/EP$162,0)</f>
        <v>0</v>
      </c>
      <c r="EQ170" s="92"/>
      <c r="ER170" s="92"/>
      <c r="ES170" s="503">
        <f>_xlfn.IFERROR(ES166/ES$162,0)</f>
        <v>0</v>
      </c>
      <c r="ET170" s="92"/>
      <c r="EU170" s="92"/>
      <c r="EV170" s="503">
        <f>_xlfn.IFERROR(EV166/EV$162,0)</f>
        <v>0</v>
      </c>
      <c r="EW170" s="92"/>
      <c r="EX170" s="92"/>
      <c r="EY170" s="503">
        <f>_xlfn.IFERROR(EY166/EY$162,0)</f>
        <v>0</v>
      </c>
      <c r="EZ170" s="92"/>
      <c r="FA170" s="92"/>
      <c r="FB170" s="83"/>
      <c r="FE170" s="489" t="s">
        <v>892</v>
      </c>
      <c r="FF170" s="648" t="s">
        <v>890</v>
      </c>
      <c r="FG170" s="648" cm="1" t="str">
        <f t="array" ref="FG170:FG170">AE170</f>
        <v>0</v>
      </c>
      <c r="FH170" s="648" cm="1" t="str">
        <f t="array" ref="FH170:FH170">AF170</f>
        <v>0</v>
      </c>
      <c r="FI170" s="649"/>
      <c r="FJ170" s="649"/>
      <c r="FK170" s="1157" cm="1" t="str">
        <f t="array" ref="FK170:FK170">OFFSET(FJ170,-1,1)</f>
        <v>ТЭ.42.31656254.0001</v>
      </c>
      <c r="FL170" s="1159"/>
      <c r="FM170" s="1159"/>
      <c r="FN170" s="1159"/>
      <c r="FO170" s="1159"/>
      <c r="FP170" s="1159"/>
      <c r="FQ170" s="1159"/>
      <c r="FR170" s="1159"/>
      <c r="FS170" s="1159" t="s">
        <v>894</v>
      </c>
      <c r="FT170" s="1159"/>
      <c r="FU170" s="1159"/>
      <c r="FV170" s="1159"/>
      <c r="FW170" s="1078" t="str">
        <f>$AE170&amp;"|"&amp;$AF170</f>
        <v>|</v>
      </c>
      <c r="FX170" s="1159" t="s">
        <v>303</v>
      </c>
      <c r="FY170" s="1159" t="s">
        <v>820</v>
      </c>
      <c r="FZ170" s="1159" t="s">
        <v>821</v>
      </c>
    </row>
    <row s="1751" customFormat="1" customHeight="1" ht="16.5">
      <c r="A171" s="1751"/>
      <c r="B171" s="1751"/>
      <c r="C171" s="1751"/>
      <c r="D171" s="1751"/>
      <c r="E171" s="180">
        <v>17</v>
      </c>
      <c r="F171" s="175" cm="1" t="str">
        <f t="array" ref="F171:F171">OFFSET(G171,-1,-1)</f>
        <v>1</v>
      </c>
      <c r="G171" s="1751"/>
      <c r="H171" s="1751"/>
      <c r="I171" s="1751"/>
      <c r="J171" s="1751"/>
      <c r="K171" s="1751"/>
      <c r="L171" s="175" cm="1" t="str">
        <f t="array" ref="L171:L171">OFFSET(M171,-1,-1)</f>
        <v>false</v>
      </c>
      <c r="M171" s="1751"/>
      <c r="N171" s="1751"/>
      <c r="O171" s="1751"/>
      <c r="P171" s="1751"/>
      <c r="Q171" s="1751"/>
      <c r="R171" s="1751"/>
      <c r="S171" s="175" cm="1" t="str">
        <f t="array" ref="S171:S171">OFFSET(T171,-1,-1)</f>
        <v>true</v>
      </c>
      <c r="T171" s="175">
        <f>AD171&lt;&gt;"19.0"</f>
        <v>1</v>
      </c>
      <c r="U171" s="753">
        <f>AND(S171,IF(ISBLANK(T171),TRUE,T171))</f>
        <v>1</v>
      </c>
      <c r="V171" s="1751"/>
      <c r="W171" s="1751"/>
      <c r="X171" s="175" t="str">
        <f>'Топливо 4.4'!$AE$167&amp;'Топливо 4.4'!$AF$167</f>
        <v>Уголь длиннопламенный</v>
      </c>
      <c r="Y171" s="1751"/>
      <c r="Z171" s="1751"/>
      <c r="AA171" s="1751"/>
      <c r="AB171" s="1610"/>
      <c r="AC171" s="1751"/>
      <c r="AD171" s="491" t="s">
        <v>1011</v>
      </c>
      <c r="AE171" s="514" cm="1" t="str">
        <f t="array" ref="AE171:AE171">IF(ISBLANK('Топливо 4.4'!$AE$167),"",'Топливо 4.4'!$AE$167)</f>
        <v>Уголь длиннопламенный</v>
      </c>
      <c r="AF171" s="515" t="str">
        <f>IF(ISBLANK('Топливо 4.4'!$AF$167),"",'Топливо 4.4'!$AF$167)</f>
        <v/>
      </c>
      <c r="AG171" s="491" t="s">
        <v>495</v>
      </c>
      <c r="AH171" s="2261">
        <v>1</v>
      </c>
      <c r="AI171" s="2261">
        <f>_xlfn.IFERROR(AI167/AI$164,0)</f>
        <v>1</v>
      </c>
      <c r="AJ171" s="2261">
        <f>_xlfn.IFERROR(AJ167/AJ$164,0)</f>
        <v>1</v>
      </c>
      <c r="AK171" s="2261">
        <v>1</v>
      </c>
      <c r="AL171" s="503">
        <f>_xlfn.IFERROR(AL167/AL$162,0)</f>
        <v>1</v>
      </c>
      <c r="AM171" s="2261">
        <v>1</v>
      </c>
      <c r="AN171" s="2261">
        <v>1</v>
      </c>
      <c r="AO171" s="503">
        <f>_xlfn.IFERROR(AO167/AO$162,0)</f>
        <v>0</v>
      </c>
      <c r="AP171" s="2261"/>
      <c r="AQ171" s="2261"/>
      <c r="AR171" s="503">
        <f>_xlfn.IFERROR(AR167/AR$162,0)</f>
        <v>0</v>
      </c>
      <c r="AS171" s="2261"/>
      <c r="AT171" s="2261"/>
      <c r="AU171" s="503">
        <f>_xlfn.IFERROR(AU167/AU$162,0)</f>
        <v>0</v>
      </c>
      <c r="AV171" s="2261"/>
      <c r="AW171" s="2261"/>
      <c r="AX171" s="503">
        <f>_xlfn.IFERROR(AX167/AX$162,0)</f>
        <v>0</v>
      </c>
      <c r="AY171" s="2261"/>
      <c r="AZ171" s="2261"/>
      <c r="BA171" s="503">
        <f>_xlfn.IFERROR(BA167/BA$162,0)</f>
        <v>0</v>
      </c>
      <c r="BB171" s="2261"/>
      <c r="BC171" s="2261"/>
      <c r="BD171" s="503">
        <f>_xlfn.IFERROR(BD167/BD$162,0)</f>
        <v>0</v>
      </c>
      <c r="BE171" s="2261"/>
      <c r="BF171" s="2261"/>
      <c r="BG171" s="503">
        <f>_xlfn.IFERROR(BG167/BG$162,0)</f>
        <v>0</v>
      </c>
      <c r="BH171" s="2261"/>
      <c r="BI171" s="2261"/>
      <c r="BJ171" s="503">
        <f>_xlfn.IFERROR(BJ167/BJ$162,0)</f>
        <v>0</v>
      </c>
      <c r="BK171" s="2261"/>
      <c r="BL171" s="2261"/>
      <c r="BM171" s="503">
        <f>_xlfn.IFERROR(BM167/BM$162,0)</f>
        <v>0</v>
      </c>
      <c r="BN171" s="2261"/>
      <c r="BO171" s="2261"/>
      <c r="BP171" s="503">
        <f>_xlfn.IFERROR(BP167/BP$162,0)</f>
        <v>0</v>
      </c>
      <c r="BQ171" s="2261"/>
      <c r="BR171" s="2261"/>
      <c r="BS171" s="503">
        <f>_xlfn.IFERROR(BS167/BS$162,0)</f>
        <v>0</v>
      </c>
      <c r="BT171" s="2261"/>
      <c r="BU171" s="2261"/>
      <c r="BV171" s="503">
        <f>_xlfn.IFERROR(BV167/BV$162,0)</f>
        <v>0</v>
      </c>
      <c r="BW171" s="2261"/>
      <c r="BX171" s="2261"/>
      <c r="BY171" s="503">
        <f>_xlfn.IFERROR(BY167/BY$162,0)</f>
        <v>0</v>
      </c>
      <c r="BZ171" s="2261"/>
      <c r="CA171" s="2261"/>
      <c r="CB171" s="503">
        <f>_xlfn.IFERROR(CB167/CB$162,0)</f>
        <v>0</v>
      </c>
      <c r="CC171" s="2261"/>
      <c r="CD171" s="2261"/>
      <c r="CE171" s="503">
        <f>_xlfn.IFERROR(CE167/CE$162,0)</f>
        <v>0</v>
      </c>
      <c r="CF171" s="2261"/>
      <c r="CG171" s="2261"/>
      <c r="CH171" s="503">
        <f>_xlfn.IFERROR(CH167/CH$162,0)</f>
        <v>0</v>
      </c>
      <c r="CI171" s="2261"/>
      <c r="CJ171" s="2261"/>
      <c r="CK171" s="503">
        <f>_xlfn.IFERROR(CK167/CK$162,0)</f>
        <v>0</v>
      </c>
      <c r="CL171" s="2261"/>
      <c r="CM171" s="2261"/>
      <c r="CN171" s="503">
        <f>_xlfn.IFERROR(CN167/CN$162,0)</f>
        <v>0</v>
      </c>
      <c r="CO171" s="2261"/>
      <c r="CP171" s="2261"/>
      <c r="CQ171" s="503">
        <f>_xlfn.IFERROR(CQ167/CQ$162,0)</f>
        <v>0</v>
      </c>
      <c r="CR171" s="2261"/>
      <c r="CS171" s="2261"/>
      <c r="CT171" s="503">
        <f>_xlfn.IFERROR(CT167/CT$162,0)</f>
        <v>1</v>
      </c>
      <c r="CU171" s="516">
        <v>1</v>
      </c>
      <c r="CV171" s="516">
        <v>1</v>
      </c>
      <c r="CW171" s="503">
        <f>_xlfn.IFERROR(CW167/CW$162,0)</f>
        <v>0</v>
      </c>
      <c r="CX171" s="2261"/>
      <c r="CY171" s="2261"/>
      <c r="CZ171" s="503">
        <f>_xlfn.IFERROR(CZ167/CZ$162,0)</f>
        <v>0</v>
      </c>
      <c r="DA171" s="2261"/>
      <c r="DB171" s="2261"/>
      <c r="DC171" s="503">
        <f>_xlfn.IFERROR(DC167/DC$162,0)</f>
        <v>0</v>
      </c>
      <c r="DD171" s="2261"/>
      <c r="DE171" s="2261"/>
      <c r="DF171" s="503">
        <f>_xlfn.IFERROR(DF167/DF$162,0)</f>
        <v>0</v>
      </c>
      <c r="DG171" s="2261"/>
      <c r="DH171" s="2261"/>
      <c r="DI171" s="503">
        <f>_xlfn.IFERROR(DI167/DI$162,0)</f>
        <v>0</v>
      </c>
      <c r="DJ171" s="2261"/>
      <c r="DK171" s="2261"/>
      <c r="DL171" s="503">
        <f>_xlfn.IFERROR(DL167/DL$162,0)</f>
        <v>0</v>
      </c>
      <c r="DM171" s="2261"/>
      <c r="DN171" s="2261"/>
      <c r="DO171" s="503">
        <f>_xlfn.IFERROR(DO167/DO$162,0)</f>
        <v>0</v>
      </c>
      <c r="DP171" s="2261"/>
      <c r="DQ171" s="2261"/>
      <c r="DR171" s="503">
        <f>_xlfn.IFERROR(DR167/DR$162,0)</f>
        <v>0</v>
      </c>
      <c r="DS171" s="2261"/>
      <c r="DT171" s="2261"/>
      <c r="DU171" s="503">
        <f>_xlfn.IFERROR(DU167/DU$162,0)</f>
        <v>0</v>
      </c>
      <c r="DV171" s="2261"/>
      <c r="DW171" s="2261"/>
      <c r="DX171" s="503">
        <f>_xlfn.IFERROR(DX167/DX$162,0)</f>
        <v>0</v>
      </c>
      <c r="DY171" s="2261"/>
      <c r="DZ171" s="2261"/>
      <c r="EA171" s="503">
        <f>_xlfn.IFERROR(EA167/EA$162,0)</f>
        <v>0</v>
      </c>
      <c r="EB171" s="2261"/>
      <c r="EC171" s="2261"/>
      <c r="ED171" s="503">
        <f>_xlfn.IFERROR(ED167/ED$162,0)</f>
        <v>0</v>
      </c>
      <c r="EE171" s="2261"/>
      <c r="EF171" s="2261"/>
      <c r="EG171" s="503">
        <f>_xlfn.IFERROR(EG167/EG$162,0)</f>
        <v>0</v>
      </c>
      <c r="EH171" s="2261"/>
      <c r="EI171" s="2261"/>
      <c r="EJ171" s="503">
        <f>_xlfn.IFERROR(EJ167/EJ$162,0)</f>
        <v>0</v>
      </c>
      <c r="EK171" s="2261"/>
      <c r="EL171" s="2261"/>
      <c r="EM171" s="503">
        <f>_xlfn.IFERROR(EM167/EM$162,0)</f>
        <v>0</v>
      </c>
      <c r="EN171" s="2261"/>
      <c r="EO171" s="2261"/>
      <c r="EP171" s="503">
        <f>_xlfn.IFERROR(EP167/EP$162,0)</f>
        <v>0</v>
      </c>
      <c r="EQ171" s="2261"/>
      <c r="ER171" s="2261"/>
      <c r="ES171" s="503">
        <f>_xlfn.IFERROR(ES167/ES$162,0)</f>
        <v>0</v>
      </c>
      <c r="ET171" s="2261"/>
      <c r="EU171" s="2261"/>
      <c r="EV171" s="503">
        <f>_xlfn.IFERROR(EV167/EV$162,0)</f>
        <v>0</v>
      </c>
      <c r="EW171" s="2261"/>
      <c r="EX171" s="2261"/>
      <c r="EY171" s="503">
        <f>_xlfn.IFERROR(EY167/EY$162,0)</f>
        <v>0</v>
      </c>
      <c r="EZ171" s="2261"/>
      <c r="FA171" s="2261"/>
      <c r="FB171" s="1897"/>
      <c r="FC171" s="1751"/>
      <c r="FD171" s="1751"/>
      <c r="FE171" s="489" t="s">
        <v>892</v>
      </c>
      <c r="FF171" s="648" t="s">
        <v>890</v>
      </c>
      <c r="FG171" s="648" cm="1" t="str">
        <f t="array" ref="FG171:FG171">AE171</f>
        <v>Уголь длиннопламенный</v>
      </c>
      <c r="FH171" s="648" cm="1" t="str">
        <f t="array" ref="FH171:FH171">AF171</f>
        <v/>
      </c>
      <c r="FI171" s="649"/>
      <c r="FJ171" s="649"/>
      <c r="FK171" s="1157" cm="1" t="str">
        <f t="array" ref="FK171:FK171">OFFSET(FJ171,-1,1)</f>
        <v>ТЭ.42.31656254.0001</v>
      </c>
      <c r="FL171" s="1159"/>
      <c r="FM171" s="1159"/>
      <c r="FN171" s="1159"/>
      <c r="FO171" s="1159"/>
      <c r="FP171" s="1159"/>
      <c r="FQ171" s="1159"/>
      <c r="FR171" s="1159"/>
      <c r="FS171" s="1159" t="s">
        <v>894</v>
      </c>
      <c r="FT171" s="1159"/>
      <c r="FU171" s="1159"/>
      <c r="FV171" s="1159"/>
      <c r="FW171" s="1078" t="str">
        <f>$AE171&amp;"|"&amp;$AF171</f>
        <v>Уголь длиннопламенный|</v>
      </c>
      <c r="FX171" s="1159" t="s">
        <v>303</v>
      </c>
      <c r="FY171" s="1159" t="s">
        <v>820</v>
      </c>
      <c r="FZ171" s="1159" t="s">
        <v>821</v>
      </c>
    </row>
    <row s="1751" customFormat="1" customHeight="1" ht="17.25" hidden="1">
      <c r="A172" s="371"/>
      <c r="B172" s="1548"/>
      <c r="C172" s="1548"/>
      <c r="D172" s="1548"/>
      <c r="E172" s="965">
        <v>0</v>
      </c>
      <c r="F172" s="175" cm="1" t="str">
        <f t="array" ref="F172:F172">OFFSET(G172,-1,-1)</f>
        <v>1</v>
      </c>
      <c r="G172" s="1659"/>
      <c r="H172" s="1659"/>
      <c r="I172" s="1659"/>
      <c r="J172" s="1659"/>
      <c r="K172" s="1659"/>
      <c r="L172" s="175" cm="1" t="str">
        <f t="array" ref="L172:L172">OFFSET(M172,-1,-1)</f>
        <v>false</v>
      </c>
      <c r="M172" s="1659"/>
      <c r="N172" s="1659"/>
      <c r="O172" s="1659"/>
      <c r="P172" s="1659"/>
      <c r="Q172" s="1659"/>
      <c r="R172" s="1548"/>
      <c r="S172" s="175" cm="1" t="str">
        <f t="array" ref="S172:S172">OFFSET(T172,-1,-1)</f>
        <v>true</v>
      </c>
      <c r="T172" s="1548"/>
      <c r="U172" s="753">
        <f>AND(S172,IF(ISBLANK(T172),TRUE,T172))</f>
        <v>1</v>
      </c>
      <c r="V172" s="1548"/>
      <c r="W172" s="1548"/>
      <c r="X172" s="980" t="str">
        <f>"{                  
         funcDyn: 'msg1',
         blok: 'blok_2',
         wsCross: 'Топливо 4.4',
         linkFormula: 'AE-AE#AF-AF',
         levelDyn: "&amp;Y139&amp;"
}"</f>
        <v>{                  
         funcDyn: 'msg1',
         blok: 'blok_2',
         wsCross: 'Топливо 4.4',
         linkFormula: 'AE-AE#AF-AF',
         levelDyn: 1
}</v>
      </c>
      <c r="Y172" s="1548"/>
      <c r="Z172" s="1548"/>
      <c r="AA172" s="1009"/>
      <c r="AB172" s="1610"/>
      <c r="AC172" s="1751"/>
      <c r="AD172" s="517"/>
      <c r="AE172" s="518" t="s">
        <v>191</v>
      </c>
      <c r="AF172" s="519"/>
      <c r="AG172" s="507"/>
      <c r="AH172" s="521"/>
      <c r="AI172" s="521"/>
      <c r="AJ172" s="521"/>
      <c r="AK172" s="521"/>
      <c r="AL172" s="521"/>
      <c r="AM172" s="521"/>
      <c r="AN172" s="521"/>
      <c r="AO172" s="521"/>
      <c r="AP172" s="521"/>
      <c r="AQ172" s="521"/>
      <c r="AR172" s="521"/>
      <c r="AS172" s="521"/>
      <c r="AT172" s="521"/>
      <c r="AU172" s="521"/>
      <c r="AV172" s="521"/>
      <c r="AW172" s="521"/>
      <c r="AX172" s="521"/>
      <c r="AY172" s="521"/>
      <c r="AZ172" s="521"/>
      <c r="BA172" s="521"/>
      <c r="BB172" s="521"/>
      <c r="BC172" s="521"/>
      <c r="BD172" s="521"/>
      <c r="BE172" s="521"/>
      <c r="BF172" s="521"/>
      <c r="BG172" s="521"/>
      <c r="BH172" s="521"/>
      <c r="BI172" s="521"/>
      <c r="BJ172" s="521"/>
      <c r="BK172" s="521"/>
      <c r="BL172" s="521"/>
      <c r="BM172" s="521"/>
      <c r="BN172" s="521"/>
      <c r="BO172" s="521"/>
      <c r="BP172" s="521"/>
      <c r="BQ172" s="521"/>
      <c r="BR172" s="521"/>
      <c r="BS172" s="521"/>
      <c r="BT172" s="521"/>
      <c r="BU172" s="521"/>
      <c r="BV172" s="521"/>
      <c r="BW172" s="521"/>
      <c r="BX172" s="521"/>
      <c r="BY172" s="521"/>
      <c r="BZ172" s="521"/>
      <c r="CA172" s="521"/>
      <c r="CB172" s="521"/>
      <c r="CC172" s="521"/>
      <c r="CD172" s="521"/>
      <c r="CE172" s="521"/>
      <c r="CF172" s="521"/>
      <c r="CG172" s="521"/>
      <c r="CH172" s="521"/>
      <c r="CI172" s="521"/>
      <c r="CJ172" s="521"/>
      <c r="CK172" s="521"/>
      <c r="CL172" s="521"/>
      <c r="CM172" s="521"/>
      <c r="CN172" s="521"/>
      <c r="CO172" s="521"/>
      <c r="CP172" s="521"/>
      <c r="CQ172" s="521"/>
      <c r="CR172" s="521"/>
      <c r="CS172" s="521"/>
      <c r="CT172" s="521"/>
      <c r="CU172" s="521"/>
      <c r="CV172" s="521"/>
      <c r="CW172" s="521"/>
      <c r="CX172" s="521"/>
      <c r="CY172" s="521"/>
      <c r="CZ172" s="521"/>
      <c r="DA172" s="521"/>
      <c r="DB172" s="521"/>
      <c r="DC172" s="521"/>
      <c r="DD172" s="521"/>
      <c r="DE172" s="521"/>
      <c r="DF172" s="521"/>
      <c r="DG172" s="521"/>
      <c r="DH172" s="521"/>
      <c r="DI172" s="521"/>
      <c r="DJ172" s="521"/>
      <c r="DK172" s="521"/>
      <c r="DL172" s="521"/>
      <c r="DM172" s="521"/>
      <c r="DN172" s="521"/>
      <c r="DO172" s="521"/>
      <c r="DP172" s="521"/>
      <c r="DQ172" s="521"/>
      <c r="DR172" s="521"/>
      <c r="DS172" s="521"/>
      <c r="DT172" s="521"/>
      <c r="DU172" s="521"/>
      <c r="DV172" s="521"/>
      <c r="DW172" s="521"/>
      <c r="DX172" s="521"/>
      <c r="DY172" s="521"/>
      <c r="DZ172" s="521"/>
      <c r="EA172" s="521"/>
      <c r="EB172" s="521"/>
      <c r="EC172" s="521"/>
      <c r="ED172" s="521"/>
      <c r="EE172" s="521"/>
      <c r="EF172" s="521"/>
      <c r="EG172" s="521"/>
      <c r="EH172" s="521"/>
      <c r="EI172" s="521"/>
      <c r="EJ172" s="521"/>
      <c r="EK172" s="521"/>
      <c r="EL172" s="521"/>
      <c r="EM172" s="521"/>
      <c r="EN172" s="521"/>
      <c r="EO172" s="521"/>
      <c r="EP172" s="521"/>
      <c r="EQ172" s="521"/>
      <c r="ER172" s="521"/>
      <c r="ES172" s="521"/>
      <c r="ET172" s="521"/>
      <c r="EU172" s="521"/>
      <c r="EV172" s="521"/>
      <c r="EW172" s="521"/>
      <c r="EX172" s="521"/>
      <c r="EY172" s="521"/>
      <c r="EZ172" s="521"/>
      <c r="FA172" s="521"/>
      <c r="FB172" s="93"/>
      <c r="FC172" s="1751"/>
      <c r="FD172" s="1506"/>
      <c r="FE172" s="489" t="str">
        <f>IF(AND(ISNUMBER(VALUE(TRIM(SUBSTITUTE(AD172,".","")))),TRIM(SUBSTITUTE(AD172,".",""))&lt;&gt;""),"P"&amp;SUBSTITUTE(AD172,".",""),"")</f>
        <v/>
      </c>
      <c r="FF172" s="648"/>
      <c r="FG172" s="648"/>
      <c r="FH172" s="648"/>
      <c r="FI172" s="649"/>
      <c r="FJ172" s="649"/>
      <c r="FK172" s="1157" cm="1" t="str">
        <f t="array" ref="FK172:FK172">OFFSET(FJ172,-1,1)</f>
        <v>ТЭ.42.31656254.0001</v>
      </c>
      <c r="FL172" s="1159"/>
      <c r="FM172" s="1159"/>
      <c r="FN172" s="1159"/>
      <c r="FO172" s="1159"/>
      <c r="FP172" s="1159"/>
      <c r="FQ172" s="1159"/>
      <c r="FR172" s="1159"/>
      <c r="FS172" s="1159"/>
      <c r="FT172" s="1159"/>
      <c r="FU172" s="1159"/>
      <c r="FV172" s="1159"/>
      <c r="FW172" s="1159"/>
      <c r="FX172" s="1159"/>
      <c r="FY172" s="1159"/>
      <c r="FZ172" s="1159"/>
    </row>
    <row s="1751" customFormat="1" customHeight="1" ht="16.5">
      <c r="A173" s="371"/>
      <c r="B173" s="1548"/>
      <c r="C173" s="1548"/>
      <c r="D173" s="1548"/>
      <c r="E173" s="180">
        <v>17</v>
      </c>
      <c r="F173" s="175" cm="1" t="str">
        <f t="array" ref="F173:F173">OFFSET(G173,-1,-1)</f>
        <v>1</v>
      </c>
      <c r="G173" s="1659"/>
      <c r="H173" s="1659"/>
      <c r="I173" s="1659"/>
      <c r="J173" s="1659"/>
      <c r="K173" s="1659"/>
      <c r="L173" s="175" cm="1" t="str">
        <f t="array" ref="L173:L173">OFFSET(M173,-1,-1)</f>
        <v>false</v>
      </c>
      <c r="M173" s="1659"/>
      <c r="N173" s="1659"/>
      <c r="O173" s="1659"/>
      <c r="P173" s="1659"/>
      <c r="Q173" s="1659"/>
      <c r="R173" s="1548"/>
      <c r="S173" s="175" cm="1" t="str">
        <f t="array" ref="S173:S173">OFFSET(T173,-1,-1)</f>
        <v>true</v>
      </c>
      <c r="T173" s="1548"/>
      <c r="U173" s="753">
        <f>AND(S173,IF(ISBLANK(T173),TRUE,T173))</f>
        <v>1</v>
      </c>
      <c r="V173" s="1548"/>
      <c r="W173" s="1548"/>
      <c r="X173" s="1548"/>
      <c r="Y173" s="1548"/>
      <c r="Z173" s="1548"/>
      <c r="AA173" s="1009"/>
      <c r="AB173" s="1610"/>
      <c r="AC173" s="1751"/>
      <c r="AD173" s="491">
        <v>20</v>
      </c>
      <c r="AE173" s="1619" t="s">
        <v>895</v>
      </c>
      <c r="AF173" s="496"/>
      <c r="AG173" s="523"/>
      <c r="AH173" s="524"/>
      <c r="AI173" s="525"/>
      <c r="AJ173" s="525"/>
      <c r="AK173" s="525"/>
      <c r="AL173" s="525"/>
      <c r="AM173" s="525"/>
      <c r="AN173" s="525"/>
      <c r="AO173" s="525"/>
      <c r="AP173" s="525"/>
      <c r="AQ173" s="525"/>
      <c r="AR173" s="525"/>
      <c r="AS173" s="525"/>
      <c r="AT173" s="525"/>
      <c r="AU173" s="525"/>
      <c r="AV173" s="525"/>
      <c r="AW173" s="525"/>
      <c r="AX173" s="525"/>
      <c r="AY173" s="525"/>
      <c r="AZ173" s="525"/>
      <c r="BA173" s="525"/>
      <c r="BB173" s="525"/>
      <c r="BC173" s="525"/>
      <c r="BD173" s="525"/>
      <c r="BE173" s="525"/>
      <c r="BF173" s="525"/>
      <c r="BG173" s="525"/>
      <c r="BH173" s="525"/>
      <c r="BI173" s="525"/>
      <c r="BJ173" s="525"/>
      <c r="BK173" s="525"/>
      <c r="BL173" s="525"/>
      <c r="BM173" s="525"/>
      <c r="BN173" s="525"/>
      <c r="BO173" s="525"/>
      <c r="BP173" s="525"/>
      <c r="BQ173" s="525"/>
      <c r="BR173" s="525"/>
      <c r="BS173" s="525"/>
      <c r="BT173" s="525"/>
      <c r="BU173" s="525"/>
      <c r="BV173" s="525"/>
      <c r="BW173" s="525"/>
      <c r="BX173" s="525"/>
      <c r="BY173" s="525"/>
      <c r="BZ173" s="525"/>
      <c r="CA173" s="525"/>
      <c r="CB173" s="525"/>
      <c r="CC173" s="525"/>
      <c r="CD173" s="525"/>
      <c r="CE173" s="525"/>
      <c r="CF173" s="525"/>
      <c r="CG173" s="525"/>
      <c r="CH173" s="525"/>
      <c r="CI173" s="525"/>
      <c r="CJ173" s="525"/>
      <c r="CK173" s="525"/>
      <c r="CL173" s="525"/>
      <c r="CM173" s="525"/>
      <c r="CN173" s="525"/>
      <c r="CO173" s="525"/>
      <c r="CP173" s="525"/>
      <c r="CQ173" s="525"/>
      <c r="CR173" s="525"/>
      <c r="CS173" s="525"/>
      <c r="CT173" s="525"/>
      <c r="CU173" s="525"/>
      <c r="CV173" s="525"/>
      <c r="CW173" s="525"/>
      <c r="CX173" s="525"/>
      <c r="CY173" s="525"/>
      <c r="CZ173" s="525"/>
      <c r="DA173" s="525"/>
      <c r="DB173" s="525"/>
      <c r="DC173" s="525"/>
      <c r="DD173" s="525"/>
      <c r="DE173" s="525"/>
      <c r="DF173" s="525"/>
      <c r="DG173" s="525"/>
      <c r="DH173" s="525"/>
      <c r="DI173" s="525"/>
      <c r="DJ173" s="525"/>
      <c r="DK173" s="525"/>
      <c r="DL173" s="525"/>
      <c r="DM173" s="525"/>
      <c r="DN173" s="525"/>
      <c r="DO173" s="525"/>
      <c r="DP173" s="525"/>
      <c r="DQ173" s="525"/>
      <c r="DR173" s="525"/>
      <c r="DS173" s="525"/>
      <c r="DT173" s="525"/>
      <c r="DU173" s="525"/>
      <c r="DV173" s="525"/>
      <c r="DW173" s="525"/>
      <c r="DX173" s="525"/>
      <c r="DY173" s="525"/>
      <c r="DZ173" s="525"/>
      <c r="EA173" s="525"/>
      <c r="EB173" s="525"/>
      <c r="EC173" s="525"/>
      <c r="ED173" s="525"/>
      <c r="EE173" s="525"/>
      <c r="EF173" s="525"/>
      <c r="EG173" s="525"/>
      <c r="EH173" s="525"/>
      <c r="EI173" s="525"/>
      <c r="EJ173" s="525"/>
      <c r="EK173" s="525"/>
      <c r="EL173" s="525"/>
      <c r="EM173" s="525"/>
      <c r="EN173" s="525"/>
      <c r="EO173" s="525"/>
      <c r="EP173" s="525"/>
      <c r="EQ173" s="525"/>
      <c r="ER173" s="525"/>
      <c r="ES173" s="525"/>
      <c r="ET173" s="525"/>
      <c r="EU173" s="525"/>
      <c r="EV173" s="525"/>
      <c r="EW173" s="525"/>
      <c r="EX173" s="525"/>
      <c r="EY173" s="525"/>
      <c r="EZ173" s="525"/>
      <c r="FA173" s="525"/>
      <c r="FB173" s="1897"/>
      <c r="FC173" s="1751"/>
      <c r="FD173" s="1506"/>
      <c r="FE173" s="489" t="s">
        <v>896</v>
      </c>
      <c r="FF173" s="648"/>
      <c r="FG173" s="648"/>
      <c r="FH173" s="648"/>
      <c r="FI173" s="649"/>
      <c r="FJ173" s="649"/>
      <c r="FK173" s="1157" cm="1" t="str">
        <f t="array" ref="FK173:FK173">OFFSET(FJ173,-1,1)</f>
        <v>ТЭ.42.31656254.0001</v>
      </c>
      <c r="FL173" s="1078"/>
      <c r="FM173" s="1159"/>
      <c r="FN173" s="1159"/>
      <c r="FO173" s="1159"/>
      <c r="FP173" s="1159"/>
      <c r="FQ173" s="1159"/>
      <c r="FR173" s="1159"/>
      <c r="FS173" s="1078" t="s">
        <v>897</v>
      </c>
      <c r="FT173" s="1159"/>
      <c r="FU173" s="1159"/>
      <c r="FV173" s="1159"/>
      <c r="FW173" s="1159"/>
      <c r="FX173" s="1078"/>
      <c r="FY173" s="1078"/>
      <c r="FZ173" s="1078"/>
    </row>
    <row s="1751" customFormat="1" customHeight="1" ht="16.5" hidden="1">
      <c r="E174" s="180">
        <v>17</v>
      </c>
      <c r="F174" s="175" cm="1" t="str">
        <f t="array" ref="F174:F174">OFFSET(G174,-1,-1)</f>
        <v>1</v>
      </c>
      <c r="L174" s="175" cm="1" t="str">
        <f t="array" ref="L174:L174">OFFSET(M174,-1,-1)</f>
        <v>false</v>
      </c>
      <c r="S174" s="175" cm="1" t="str">
        <f t="array" ref="S174:S174">OFFSET(T174,-1,-1)</f>
        <v>true</v>
      </c>
      <c r="T174" s="175">
        <f>AD174&lt;&gt;"20.0"</f>
        <v>0</v>
      </c>
      <c r="U174" s="753">
        <f>AND(S174,IF(ISBLANK(T174),TRUE,T174))</f>
        <v>0</v>
      </c>
      <c r="X174" s="175" t="s">
        <v>189</v>
      </c>
      <c r="AB174" s="1610"/>
      <c r="AD174" s="491" t="s">
        <v>898</v>
      </c>
      <c r="AE174" s="514"/>
      <c r="AF174" s="515"/>
      <c r="AG174" s="523"/>
      <c r="AH174" s="88"/>
      <c r="AI174" s="89"/>
      <c r="AJ174" s="89"/>
      <c r="AK174" s="89"/>
      <c r="AL174" s="499">
        <f>_xlfn.IFERROR(AL166/AL178,0)</f>
        <v>0</v>
      </c>
      <c r="AM174" s="89"/>
      <c r="AN174" s="89" cm="1" t="str">
        <f t="array" ref="AN174:AN174">AM174</f>
        <v>0</v>
      </c>
      <c r="AO174" s="499">
        <f>_xlfn.IFERROR(AO166/AO178,0)</f>
        <v>0</v>
      </c>
      <c r="AP174" s="89"/>
      <c r="AQ174" s="89" cm="1" t="str">
        <f t="array" ref="AQ174:AQ174">AP174</f>
        <v>0</v>
      </c>
      <c r="AR174" s="499">
        <f>_xlfn.IFERROR(AR166/AR178,0)</f>
        <v>0</v>
      </c>
      <c r="AS174" s="89"/>
      <c r="AT174" s="89" cm="1" t="str">
        <f t="array" ref="AT174:AT174">AS174</f>
        <v>0</v>
      </c>
      <c r="AU174" s="499">
        <f>_xlfn.IFERROR(AU166/AU178,0)</f>
        <v>0</v>
      </c>
      <c r="AV174" s="89"/>
      <c r="AW174" s="89" cm="1" t="str">
        <f t="array" ref="AW174:AW174">AV174</f>
        <v>0</v>
      </c>
      <c r="AX174" s="499">
        <f>_xlfn.IFERROR(AX166/AX178,0)</f>
        <v>0</v>
      </c>
      <c r="AY174" s="89"/>
      <c r="AZ174" s="89" cm="1" t="str">
        <f t="array" ref="AZ174:AZ174">AY174</f>
        <v>0</v>
      </c>
      <c r="BA174" s="499">
        <f>_xlfn.IFERROR(BA166/BA178,0)</f>
        <v>0</v>
      </c>
      <c r="BB174" s="89"/>
      <c r="BC174" s="89" cm="1" t="str">
        <f t="array" ref="BC174:BC174">BB174</f>
        <v>0</v>
      </c>
      <c r="BD174" s="499">
        <f>_xlfn.IFERROR(BD166/BD178,0)</f>
        <v>0</v>
      </c>
      <c r="BE174" s="89"/>
      <c r="BF174" s="89" cm="1" t="str">
        <f t="array" ref="BF174:BF174">BE174</f>
        <v>0</v>
      </c>
      <c r="BG174" s="499">
        <f>_xlfn.IFERROR(BG166/BG178,0)</f>
        <v>0</v>
      </c>
      <c r="BH174" s="89"/>
      <c r="BI174" s="89" cm="1" t="str">
        <f t="array" ref="BI174:BI174">BH174</f>
        <v>0</v>
      </c>
      <c r="BJ174" s="499">
        <f>_xlfn.IFERROR(BJ166/BJ178,0)</f>
        <v>0</v>
      </c>
      <c r="BK174" s="89"/>
      <c r="BL174" s="89" cm="1" t="str">
        <f t="array" ref="BL174:BL174">BK174</f>
        <v>0</v>
      </c>
      <c r="BM174" s="499">
        <f>_xlfn.IFERROR(BM166/BM178,0)</f>
        <v>0</v>
      </c>
      <c r="BN174" s="89"/>
      <c r="BO174" s="89" cm="1" t="str">
        <f t="array" ref="BO174:BO174">BN174</f>
        <v>0</v>
      </c>
      <c r="BP174" s="499">
        <f>_xlfn.IFERROR(BP166/BP178,0)</f>
        <v>0</v>
      </c>
      <c r="BQ174" s="89"/>
      <c r="BR174" s="89" cm="1" t="str">
        <f t="array" ref="BR174:BR174">BQ174</f>
        <v>0</v>
      </c>
      <c r="BS174" s="499">
        <f>_xlfn.IFERROR(BS166/BS178,0)</f>
        <v>0</v>
      </c>
      <c r="BT174" s="89"/>
      <c r="BU174" s="89" cm="1" t="str">
        <f t="array" ref="BU174:BU174">BT174</f>
        <v>0</v>
      </c>
      <c r="BV174" s="499">
        <f>_xlfn.IFERROR(BV166/BV178,0)</f>
        <v>0</v>
      </c>
      <c r="BW174" s="89"/>
      <c r="BX174" s="89" cm="1" t="str">
        <f t="array" ref="BX174:BX174">BW174</f>
        <v>0</v>
      </c>
      <c r="BY174" s="499">
        <f>_xlfn.IFERROR(BY166/BY178,0)</f>
        <v>0</v>
      </c>
      <c r="BZ174" s="89"/>
      <c r="CA174" s="89" cm="1" t="str">
        <f t="array" ref="CA174:CA174">BZ174</f>
        <v>0</v>
      </c>
      <c r="CB174" s="499">
        <f>_xlfn.IFERROR(CB166/CB178,0)</f>
        <v>0</v>
      </c>
      <c r="CC174" s="89"/>
      <c r="CD174" s="89" cm="1" t="str">
        <f t="array" ref="CD174:CD174">CC174</f>
        <v>0</v>
      </c>
      <c r="CE174" s="499">
        <f>_xlfn.IFERROR(CE166/CE178,0)</f>
        <v>0</v>
      </c>
      <c r="CF174" s="89"/>
      <c r="CG174" s="89" cm="1" t="str">
        <f t="array" ref="CG174:CG174">CF174</f>
        <v>0</v>
      </c>
      <c r="CH174" s="499">
        <f>_xlfn.IFERROR(CH166/CH178,0)</f>
        <v>0</v>
      </c>
      <c r="CI174" s="89"/>
      <c r="CJ174" s="89" cm="1" t="str">
        <f t="array" ref="CJ174:CJ174">CI174</f>
        <v>0</v>
      </c>
      <c r="CK174" s="499">
        <f>_xlfn.IFERROR(CK166/CK178,0)</f>
        <v>0</v>
      </c>
      <c r="CL174" s="89"/>
      <c r="CM174" s="89" cm="1" t="str">
        <f t="array" ref="CM174:CM174">CL174</f>
        <v>0</v>
      </c>
      <c r="CN174" s="499">
        <f>_xlfn.IFERROR(CN166/CN178,0)</f>
        <v>0</v>
      </c>
      <c r="CO174" s="89"/>
      <c r="CP174" s="89" cm="1" t="str">
        <f t="array" ref="CP174:CP174">CO174</f>
        <v>0</v>
      </c>
      <c r="CQ174" s="499">
        <f>_xlfn.IFERROR(CQ166/CQ178,0)</f>
        <v>0</v>
      </c>
      <c r="CR174" s="89"/>
      <c r="CS174" s="89" cm="1" t="str">
        <f t="array" ref="CS174:CS174">CR174</f>
        <v>0</v>
      </c>
      <c r="CT174" s="499">
        <f>_xlfn.IFERROR(CT166/CT178,0)</f>
        <v>0</v>
      </c>
      <c r="CU174" s="498"/>
      <c r="CV174" s="498" cm="1" t="str">
        <f t="array" ref="CV174:CV174">CU174</f>
        <v>0</v>
      </c>
      <c r="CW174" s="499">
        <f>_xlfn.IFERROR(CW166/CW178,0)</f>
        <v>0</v>
      </c>
      <c r="CX174" s="89"/>
      <c r="CY174" s="89" cm="1" t="str">
        <f t="array" ref="CY174:CY174">CX174</f>
        <v>0</v>
      </c>
      <c r="CZ174" s="499">
        <f>_xlfn.IFERROR(CZ166/CZ178,0)</f>
        <v>0</v>
      </c>
      <c r="DA174" s="89"/>
      <c r="DB174" s="89" cm="1" t="str">
        <f t="array" ref="DB174:DB174">DA174</f>
        <v>0</v>
      </c>
      <c r="DC174" s="499">
        <f>_xlfn.IFERROR(DC166/DC178,0)</f>
        <v>0</v>
      </c>
      <c r="DD174" s="89"/>
      <c r="DE174" s="89" cm="1" t="str">
        <f t="array" ref="DE174:DE174">DD174</f>
        <v>0</v>
      </c>
      <c r="DF174" s="499">
        <f>_xlfn.IFERROR(DF166/DF178,0)</f>
        <v>0</v>
      </c>
      <c r="DG174" s="89"/>
      <c r="DH174" s="89" cm="1" t="str">
        <f t="array" ref="DH174:DH174">DG174</f>
        <v>0</v>
      </c>
      <c r="DI174" s="499">
        <f>_xlfn.IFERROR(DI166/DI178,0)</f>
        <v>0</v>
      </c>
      <c r="DJ174" s="89"/>
      <c r="DK174" s="89" cm="1" t="str">
        <f t="array" ref="DK174:DK174">DJ174</f>
        <v>0</v>
      </c>
      <c r="DL174" s="499">
        <f>_xlfn.IFERROR(DL166/DL178,0)</f>
        <v>0</v>
      </c>
      <c r="DM174" s="89"/>
      <c r="DN174" s="89" cm="1" t="str">
        <f t="array" ref="DN174:DN174">DM174</f>
        <v>0</v>
      </c>
      <c r="DO174" s="499">
        <f>_xlfn.IFERROR(DO166/DO178,0)</f>
        <v>0</v>
      </c>
      <c r="DP174" s="89"/>
      <c r="DQ174" s="89" cm="1" t="str">
        <f t="array" ref="DQ174:DQ174">DP174</f>
        <v>0</v>
      </c>
      <c r="DR174" s="499">
        <f>_xlfn.IFERROR(DR166/DR178,0)</f>
        <v>0</v>
      </c>
      <c r="DS174" s="89"/>
      <c r="DT174" s="89" cm="1" t="str">
        <f t="array" ref="DT174:DT174">DS174</f>
        <v>0</v>
      </c>
      <c r="DU174" s="499">
        <f>_xlfn.IFERROR(DU166/DU178,0)</f>
        <v>0</v>
      </c>
      <c r="DV174" s="89"/>
      <c r="DW174" s="89" cm="1" t="str">
        <f t="array" ref="DW174:DW174">DV174</f>
        <v>0</v>
      </c>
      <c r="DX174" s="499">
        <f>_xlfn.IFERROR(DX166/DX178,0)</f>
        <v>0</v>
      </c>
      <c r="DY174" s="89"/>
      <c r="DZ174" s="89" cm="1" t="str">
        <f t="array" ref="DZ174:DZ174">DY174</f>
        <v>0</v>
      </c>
      <c r="EA174" s="499">
        <f>_xlfn.IFERROR(EA166/EA178,0)</f>
        <v>0</v>
      </c>
      <c r="EB174" s="89"/>
      <c r="EC174" s="89" cm="1" t="str">
        <f t="array" ref="EC174:EC174">EB174</f>
        <v>0</v>
      </c>
      <c r="ED174" s="499">
        <f>_xlfn.IFERROR(ED166/ED178,0)</f>
        <v>0</v>
      </c>
      <c r="EE174" s="89"/>
      <c r="EF174" s="89" cm="1" t="str">
        <f t="array" ref="EF174:EF174">EE174</f>
        <v>0</v>
      </c>
      <c r="EG174" s="499">
        <f>_xlfn.IFERROR(EG166/EG178,0)</f>
        <v>0</v>
      </c>
      <c r="EH174" s="89"/>
      <c r="EI174" s="89" cm="1" t="str">
        <f t="array" ref="EI174:EI174">EH174</f>
        <v>0</v>
      </c>
      <c r="EJ174" s="499">
        <f>_xlfn.IFERROR(EJ166/EJ178,0)</f>
        <v>0</v>
      </c>
      <c r="EK174" s="89"/>
      <c r="EL174" s="89" cm="1" t="str">
        <f t="array" ref="EL174:EL174">EK174</f>
        <v>0</v>
      </c>
      <c r="EM174" s="499">
        <f>_xlfn.IFERROR(EM166/EM178,0)</f>
        <v>0</v>
      </c>
      <c r="EN174" s="89"/>
      <c r="EO174" s="89" cm="1" t="str">
        <f t="array" ref="EO174:EO174">EN174</f>
        <v>0</v>
      </c>
      <c r="EP174" s="499">
        <f>_xlfn.IFERROR(EP166/EP178,0)</f>
        <v>0</v>
      </c>
      <c r="EQ174" s="89"/>
      <c r="ER174" s="89" cm="1" t="str">
        <f t="array" ref="ER174:ER174">EQ174</f>
        <v>0</v>
      </c>
      <c r="ES174" s="499">
        <f>_xlfn.IFERROR(ES166/ES178,0)</f>
        <v>0</v>
      </c>
      <c r="ET174" s="89"/>
      <c r="EU174" s="89" cm="1" t="str">
        <f t="array" ref="EU174:EU174">ET174</f>
        <v>0</v>
      </c>
      <c r="EV174" s="499">
        <f>_xlfn.IFERROR(EV166/EV178,0)</f>
        <v>0</v>
      </c>
      <c r="EW174" s="89"/>
      <c r="EX174" s="89" cm="1" t="str">
        <f t="array" ref="EX174:EX174">EW174</f>
        <v>0</v>
      </c>
      <c r="EY174" s="499">
        <f>_xlfn.IFERROR(EY166/EY178,0)</f>
        <v>0</v>
      </c>
      <c r="EZ174" s="89"/>
      <c r="FA174" s="89" cm="1" t="str">
        <f t="array" ref="FA174:FA174">EZ174</f>
        <v>0</v>
      </c>
      <c r="FB174" s="83"/>
      <c r="FE174" s="489" t="s">
        <v>896</v>
      </c>
      <c r="FF174" s="648" t="s">
        <v>890</v>
      </c>
      <c r="FG174" s="648" cm="1" t="str">
        <f t="array" ref="FG174:FG174">AE174</f>
        <v>0</v>
      </c>
      <c r="FH174" s="648" cm="1" t="str">
        <f t="array" ref="FH174:FH174">AF174</f>
        <v>0</v>
      </c>
      <c r="FI174" s="649"/>
      <c r="FJ174" s="649"/>
      <c r="FK174" s="1157" cm="1" t="str">
        <f t="array" ref="FK174:FK174">OFFSET(FJ174,-1,1)</f>
        <v>ТЭ.42.31656254.0001</v>
      </c>
      <c r="FL174" s="1159"/>
      <c r="FM174" s="1159"/>
      <c r="FN174" s="1159"/>
      <c r="FO174" s="1159"/>
      <c r="FP174" s="1159"/>
      <c r="FQ174" s="1159"/>
      <c r="FR174" s="1159"/>
      <c r="FS174" s="1159" t="s">
        <v>897</v>
      </c>
      <c r="FT174" s="1159"/>
      <c r="FU174" s="1159"/>
      <c r="FV174" s="1159"/>
      <c r="FW174" s="1078" t="str">
        <f>$AE174&amp;"|"&amp;$AF174</f>
        <v>|</v>
      </c>
      <c r="FX174" s="1159" t="s">
        <v>303</v>
      </c>
      <c r="FY174" s="1159" t="s">
        <v>899</v>
      </c>
      <c r="FZ174" s="1159" t="s">
        <v>900</v>
      </c>
    </row>
    <row s="1751" customFormat="1" customHeight="1" ht="16.5">
      <c r="A175" s="1751"/>
      <c r="B175" s="1751"/>
      <c r="C175" s="1751"/>
      <c r="D175" s="1751"/>
      <c r="E175" s="180">
        <v>17</v>
      </c>
      <c r="F175" s="175" cm="1" t="str">
        <f t="array" ref="F175:F175">OFFSET(G175,-1,-1)</f>
        <v>1</v>
      </c>
      <c r="G175" s="1751"/>
      <c r="H175" s="1751"/>
      <c r="I175" s="1751"/>
      <c r="J175" s="1751"/>
      <c r="K175" s="1751"/>
      <c r="L175" s="175" cm="1" t="str">
        <f t="array" ref="L175:L175">OFFSET(M175,-1,-1)</f>
        <v>false</v>
      </c>
      <c r="M175" s="1751"/>
      <c r="N175" s="1751"/>
      <c r="O175" s="1751"/>
      <c r="P175" s="1751"/>
      <c r="Q175" s="1751"/>
      <c r="R175" s="1751"/>
      <c r="S175" s="175" cm="1" t="str">
        <f t="array" ref="S175:S175">OFFSET(T175,-1,-1)</f>
        <v>true</v>
      </c>
      <c r="T175" s="175">
        <f>AD175&lt;&gt;"20.0"</f>
        <v>1</v>
      </c>
      <c r="U175" s="753">
        <f>AND(S175,IF(ISBLANK(T175),TRUE,T175))</f>
        <v>1</v>
      </c>
      <c r="V175" s="1751"/>
      <c r="W175" s="1751"/>
      <c r="X175" s="175" t="str">
        <f>'Топливо 4.4'!$AE$171&amp;'Топливо 4.4'!$AF$171</f>
        <v>Уголь длиннопламенный</v>
      </c>
      <c r="Y175" s="1751"/>
      <c r="Z175" s="1751"/>
      <c r="AA175" s="1751"/>
      <c r="AB175" s="1610"/>
      <c r="AC175" s="1751"/>
      <c r="AD175" s="491" t="s">
        <v>1012</v>
      </c>
      <c r="AE175" s="514" cm="1" t="str">
        <f t="array" ref="AE175:AE175">IF(ISBLANK('Топливо 4.4'!$AE$171),"",'Топливо 4.4'!$AE$171)</f>
        <v>Уголь длиннопламенный</v>
      </c>
      <c r="AF175" s="515" cm="1" t="str">
        <f t="array" ref="AF175:AF175">IF(ISBLANK('Топливо 4.4'!$AF$171),"",'Топливо 4.4'!$AF$171)</f>
        <v/>
      </c>
      <c r="AG175" s="523"/>
      <c r="AH175" s="2255">
        <v>0.745155496462258</v>
      </c>
      <c r="AI175" s="2256">
        <v>0.87</v>
      </c>
      <c r="AJ175" s="2256">
        <v>0.87</v>
      </c>
      <c r="AK175" s="2256">
        <f>5200/7000</f>
        <v>0.742857142857143</v>
      </c>
      <c r="AL175" s="499">
        <f>_xlfn.IFERROR(AL167/AL179,0)</f>
        <v>0.713</v>
      </c>
      <c r="AM175" s="2256">
        <v>0.713</v>
      </c>
      <c r="AN175" s="2256" cm="1" t="str">
        <f t="array" ref="AN175:AN175">AM175</f>
        <v>0.713</v>
      </c>
      <c r="AO175" s="499">
        <f>_xlfn.IFERROR(AO167/AO179,0)</f>
        <v>0</v>
      </c>
      <c r="AP175" s="2256"/>
      <c r="AQ175" s="2256" cm="1" t="str">
        <f t="array" ref="AQ175:AQ175">AP175</f>
        <v>0</v>
      </c>
      <c r="AR175" s="499">
        <f>_xlfn.IFERROR(AR167/AR179,0)</f>
        <v>0</v>
      </c>
      <c r="AS175" s="2256"/>
      <c r="AT175" s="2256" cm="1" t="str">
        <f t="array" ref="AT175:AT175">AS175</f>
        <v>0</v>
      </c>
      <c r="AU175" s="499">
        <f>_xlfn.IFERROR(AU167/AU179,0)</f>
        <v>0</v>
      </c>
      <c r="AV175" s="2256"/>
      <c r="AW175" s="2256" cm="1" t="str">
        <f t="array" ref="AW175:AW175">AV175</f>
        <v>0</v>
      </c>
      <c r="AX175" s="499">
        <f>_xlfn.IFERROR(AX167/AX179,0)</f>
        <v>0</v>
      </c>
      <c r="AY175" s="2256"/>
      <c r="AZ175" s="2256" cm="1" t="str">
        <f t="array" ref="AZ175:AZ175">AY175</f>
        <v>0</v>
      </c>
      <c r="BA175" s="499">
        <f>_xlfn.IFERROR(BA167/BA179,0)</f>
        <v>0</v>
      </c>
      <c r="BB175" s="2256"/>
      <c r="BC175" s="2256" cm="1" t="str">
        <f t="array" ref="BC175:BC175">BB175</f>
        <v>0</v>
      </c>
      <c r="BD175" s="499">
        <f>_xlfn.IFERROR(BD167/BD179,0)</f>
        <v>0</v>
      </c>
      <c r="BE175" s="2256"/>
      <c r="BF175" s="2256" cm="1" t="str">
        <f t="array" ref="BF175:BF175">BE175</f>
        <v>0</v>
      </c>
      <c r="BG175" s="499">
        <f>_xlfn.IFERROR(BG167/BG179,0)</f>
        <v>0</v>
      </c>
      <c r="BH175" s="2256"/>
      <c r="BI175" s="2256" cm="1" t="str">
        <f t="array" ref="BI175:BI175">BH175</f>
        <v>0</v>
      </c>
      <c r="BJ175" s="499">
        <f>_xlfn.IFERROR(BJ167/BJ179,0)</f>
        <v>0</v>
      </c>
      <c r="BK175" s="2256"/>
      <c r="BL175" s="2256" cm="1" t="str">
        <f t="array" ref="BL175:BL175">BK175</f>
        <v>0</v>
      </c>
      <c r="BM175" s="499">
        <f>_xlfn.IFERROR(BM167/BM179,0)</f>
        <v>0</v>
      </c>
      <c r="BN175" s="2256"/>
      <c r="BO175" s="2256" cm="1" t="str">
        <f t="array" ref="BO175:BO175">BN175</f>
        <v>0</v>
      </c>
      <c r="BP175" s="499">
        <f>_xlfn.IFERROR(BP167/BP179,0)</f>
        <v>0</v>
      </c>
      <c r="BQ175" s="2256"/>
      <c r="BR175" s="2256" cm="1" t="str">
        <f t="array" ref="BR175:BR175">BQ175</f>
        <v>0</v>
      </c>
      <c r="BS175" s="499">
        <f>_xlfn.IFERROR(BS167/BS179,0)</f>
        <v>0</v>
      </c>
      <c r="BT175" s="2256"/>
      <c r="BU175" s="2256" cm="1" t="str">
        <f t="array" ref="BU175:BU175">BT175</f>
        <v>0</v>
      </c>
      <c r="BV175" s="499">
        <f>_xlfn.IFERROR(BV167/BV179,0)</f>
        <v>0</v>
      </c>
      <c r="BW175" s="2256"/>
      <c r="BX175" s="2256" cm="1" t="str">
        <f t="array" ref="BX175:BX175">BW175</f>
        <v>0</v>
      </c>
      <c r="BY175" s="499">
        <f>_xlfn.IFERROR(BY167/BY179,0)</f>
        <v>0</v>
      </c>
      <c r="BZ175" s="2256"/>
      <c r="CA175" s="2256" cm="1" t="str">
        <f t="array" ref="CA175:CA175">BZ175</f>
        <v>0</v>
      </c>
      <c r="CB175" s="499">
        <f>_xlfn.IFERROR(CB167/CB179,0)</f>
        <v>0</v>
      </c>
      <c r="CC175" s="2256"/>
      <c r="CD175" s="2256" cm="1" t="str">
        <f t="array" ref="CD175:CD175">CC175</f>
        <v>0</v>
      </c>
      <c r="CE175" s="499">
        <f>_xlfn.IFERROR(CE167/CE179,0)</f>
        <v>0</v>
      </c>
      <c r="CF175" s="2256"/>
      <c r="CG175" s="2256" cm="1" t="str">
        <f t="array" ref="CG175:CG175">CF175</f>
        <v>0</v>
      </c>
      <c r="CH175" s="499">
        <f>_xlfn.IFERROR(CH167/CH179,0)</f>
        <v>0</v>
      </c>
      <c r="CI175" s="2256"/>
      <c r="CJ175" s="2256" cm="1" t="str">
        <f t="array" ref="CJ175:CJ175">CI175</f>
        <v>0</v>
      </c>
      <c r="CK175" s="499">
        <f>_xlfn.IFERROR(CK167/CK179,0)</f>
        <v>0</v>
      </c>
      <c r="CL175" s="2256"/>
      <c r="CM175" s="2256" cm="1" t="str">
        <f t="array" ref="CM175:CM175">CL175</f>
        <v>0</v>
      </c>
      <c r="CN175" s="499">
        <f>_xlfn.IFERROR(CN167/CN179,0)</f>
        <v>0</v>
      </c>
      <c r="CO175" s="2256"/>
      <c r="CP175" s="2256" cm="1" t="str">
        <f t="array" ref="CP175:CP175">CO175</f>
        <v>0</v>
      </c>
      <c r="CQ175" s="499">
        <f>_xlfn.IFERROR(CQ167/CQ179,0)</f>
        <v>0</v>
      </c>
      <c r="CR175" s="2256"/>
      <c r="CS175" s="2256" cm="1" t="str">
        <f t="array" ref="CS175:CS175">CR175</f>
        <v>0</v>
      </c>
      <c r="CT175" s="499">
        <f>_xlfn.IFERROR(CT167/CT179,0)</f>
        <v>0.87</v>
      </c>
      <c r="CU175" s="498">
        <v>0.87</v>
      </c>
      <c r="CV175" s="498" cm="1" t="str">
        <f t="array" ref="CV175:CV175">CU175</f>
        <v>0.87</v>
      </c>
      <c r="CW175" s="499">
        <f>_xlfn.IFERROR(CW167/CW179,0)</f>
        <v>0</v>
      </c>
      <c r="CX175" s="2256"/>
      <c r="CY175" s="2256" cm="1" t="str">
        <f t="array" ref="CY175:CY175">CX175</f>
        <v>0</v>
      </c>
      <c r="CZ175" s="499">
        <f>_xlfn.IFERROR(CZ167/CZ179,0)</f>
        <v>0</v>
      </c>
      <c r="DA175" s="2256"/>
      <c r="DB175" s="2256" cm="1" t="str">
        <f t="array" ref="DB175:DB175">DA175</f>
        <v>0</v>
      </c>
      <c r="DC175" s="499">
        <f>_xlfn.IFERROR(DC167/DC179,0)</f>
        <v>0</v>
      </c>
      <c r="DD175" s="2256"/>
      <c r="DE175" s="2256" cm="1" t="str">
        <f t="array" ref="DE175:DE175">DD175</f>
        <v>0</v>
      </c>
      <c r="DF175" s="499">
        <f>_xlfn.IFERROR(DF167/DF179,0)</f>
        <v>0</v>
      </c>
      <c r="DG175" s="2256"/>
      <c r="DH175" s="2256" cm="1" t="str">
        <f t="array" ref="DH175:DH175">DG175</f>
        <v>0</v>
      </c>
      <c r="DI175" s="499">
        <f>_xlfn.IFERROR(DI167/DI179,0)</f>
        <v>0</v>
      </c>
      <c r="DJ175" s="2256"/>
      <c r="DK175" s="2256" cm="1" t="str">
        <f t="array" ref="DK175:DK175">DJ175</f>
        <v>0</v>
      </c>
      <c r="DL175" s="499">
        <f>_xlfn.IFERROR(DL167/DL179,0)</f>
        <v>0</v>
      </c>
      <c r="DM175" s="2256"/>
      <c r="DN175" s="2256" cm="1" t="str">
        <f t="array" ref="DN175:DN175">DM175</f>
        <v>0</v>
      </c>
      <c r="DO175" s="499">
        <f>_xlfn.IFERROR(DO167/DO179,0)</f>
        <v>0</v>
      </c>
      <c r="DP175" s="2256"/>
      <c r="DQ175" s="2256" cm="1" t="str">
        <f t="array" ref="DQ175:DQ175">DP175</f>
        <v>0</v>
      </c>
      <c r="DR175" s="499">
        <f>_xlfn.IFERROR(DR167/DR179,0)</f>
        <v>0</v>
      </c>
      <c r="DS175" s="2256"/>
      <c r="DT175" s="2256" cm="1" t="str">
        <f t="array" ref="DT175:DT175">DS175</f>
        <v>0</v>
      </c>
      <c r="DU175" s="499">
        <f>_xlfn.IFERROR(DU167/DU179,0)</f>
        <v>0</v>
      </c>
      <c r="DV175" s="2256"/>
      <c r="DW175" s="2256" cm="1" t="str">
        <f t="array" ref="DW175:DW175">DV175</f>
        <v>0</v>
      </c>
      <c r="DX175" s="499">
        <f>_xlfn.IFERROR(DX167/DX179,0)</f>
        <v>0</v>
      </c>
      <c r="DY175" s="2256"/>
      <c r="DZ175" s="2256" cm="1" t="str">
        <f t="array" ref="DZ175:DZ175">DY175</f>
        <v>0</v>
      </c>
      <c r="EA175" s="499">
        <f>_xlfn.IFERROR(EA167/EA179,0)</f>
        <v>0</v>
      </c>
      <c r="EB175" s="2256"/>
      <c r="EC175" s="2256" cm="1" t="str">
        <f t="array" ref="EC175:EC175">EB175</f>
        <v>0</v>
      </c>
      <c r="ED175" s="499">
        <f>_xlfn.IFERROR(ED167/ED179,0)</f>
        <v>0</v>
      </c>
      <c r="EE175" s="2256"/>
      <c r="EF175" s="2256" cm="1" t="str">
        <f t="array" ref="EF175:EF175">EE175</f>
        <v>0</v>
      </c>
      <c r="EG175" s="499">
        <f>_xlfn.IFERROR(EG167/EG179,0)</f>
        <v>0</v>
      </c>
      <c r="EH175" s="2256"/>
      <c r="EI175" s="2256" cm="1" t="str">
        <f t="array" ref="EI175:EI175">EH175</f>
        <v>0</v>
      </c>
      <c r="EJ175" s="499">
        <f>_xlfn.IFERROR(EJ167/EJ179,0)</f>
        <v>0</v>
      </c>
      <c r="EK175" s="2256"/>
      <c r="EL175" s="2256" cm="1" t="str">
        <f t="array" ref="EL175:EL175">EK175</f>
        <v>0</v>
      </c>
      <c r="EM175" s="499">
        <f>_xlfn.IFERROR(EM167/EM179,0)</f>
        <v>0</v>
      </c>
      <c r="EN175" s="2256"/>
      <c r="EO175" s="2256" cm="1" t="str">
        <f t="array" ref="EO175:EO175">EN175</f>
        <v>0</v>
      </c>
      <c r="EP175" s="499">
        <f>_xlfn.IFERROR(EP167/EP179,0)</f>
        <v>0</v>
      </c>
      <c r="EQ175" s="2256"/>
      <c r="ER175" s="2256" cm="1" t="str">
        <f t="array" ref="ER175:ER175">EQ175</f>
        <v>0</v>
      </c>
      <c r="ES175" s="499">
        <f>_xlfn.IFERROR(ES167/ES179,0)</f>
        <v>0</v>
      </c>
      <c r="ET175" s="2256"/>
      <c r="EU175" s="2256" cm="1" t="str">
        <f t="array" ref="EU175:EU175">ET175</f>
        <v>0</v>
      </c>
      <c r="EV175" s="499">
        <f>_xlfn.IFERROR(EV167/EV179,0)</f>
        <v>0</v>
      </c>
      <c r="EW175" s="2256"/>
      <c r="EX175" s="2256" cm="1" t="str">
        <f t="array" ref="EX175:EX175">EW175</f>
        <v>0</v>
      </c>
      <c r="EY175" s="499">
        <f>_xlfn.IFERROR(EY167/EY179,0)</f>
        <v>0</v>
      </c>
      <c r="EZ175" s="2256"/>
      <c r="FA175" s="2256" cm="1" t="str">
        <f t="array" ref="FA175:FA175">EZ175</f>
        <v>0</v>
      </c>
      <c r="FB175" s="1897"/>
      <c r="FC175" s="1751"/>
      <c r="FD175" s="1751"/>
      <c r="FE175" s="489" t="s">
        <v>896</v>
      </c>
      <c r="FF175" s="648" t="s">
        <v>890</v>
      </c>
      <c r="FG175" s="648" cm="1" t="str">
        <f t="array" ref="FG175:FG175">AE175</f>
        <v>Уголь длиннопламенный</v>
      </c>
      <c r="FH175" s="648" cm="1" t="str">
        <f t="array" ref="FH175:FH175">AF175</f>
        <v/>
      </c>
      <c r="FI175" s="649"/>
      <c r="FJ175" s="649"/>
      <c r="FK175" s="1157" cm="1" t="str">
        <f t="array" ref="FK175:FK175">OFFSET(FJ175,-1,1)</f>
        <v>ТЭ.42.31656254.0001</v>
      </c>
      <c r="FL175" s="1159"/>
      <c r="FM175" s="1159"/>
      <c r="FN175" s="1159"/>
      <c r="FO175" s="1159"/>
      <c r="FP175" s="1159"/>
      <c r="FQ175" s="1159"/>
      <c r="FR175" s="1159"/>
      <c r="FS175" s="1159" t="s">
        <v>897</v>
      </c>
      <c r="FT175" s="1159"/>
      <c r="FU175" s="1159"/>
      <c r="FV175" s="1159"/>
      <c r="FW175" s="1078" t="str">
        <f>$AE175&amp;"|"&amp;$AF175</f>
        <v>Уголь длиннопламенный|</v>
      </c>
      <c r="FX175" s="1159" t="s">
        <v>303</v>
      </c>
      <c r="FY175" s="1159" t="s">
        <v>899</v>
      </c>
      <c r="FZ175" s="1159" t="s">
        <v>900</v>
      </c>
    </row>
    <row s="1751" customFormat="1" customHeight="1" ht="17.25" hidden="1">
      <c r="A176" s="371"/>
      <c r="B176" s="1548"/>
      <c r="C176" s="1548"/>
      <c r="D176" s="1548"/>
      <c r="E176" s="965">
        <v>0</v>
      </c>
      <c r="F176" s="175" cm="1" t="str">
        <f t="array" ref="F176:F176">OFFSET(G176,-1,-1)</f>
        <v>1</v>
      </c>
      <c r="G176" s="1659"/>
      <c r="H176" s="1659"/>
      <c r="I176" s="1659"/>
      <c r="J176" s="1659"/>
      <c r="K176" s="1659"/>
      <c r="L176" s="175" cm="1" t="str">
        <f t="array" ref="L176:L176">OFFSET(M176,-1,-1)</f>
        <v>false</v>
      </c>
      <c r="M176" s="1659"/>
      <c r="N176" s="1659"/>
      <c r="O176" s="1659"/>
      <c r="P176" s="1659"/>
      <c r="Q176" s="1659"/>
      <c r="R176" s="1548"/>
      <c r="S176" s="175" cm="1" t="str">
        <f t="array" ref="S176:S176">OFFSET(T176,-1,-1)</f>
        <v>true</v>
      </c>
      <c r="T176" s="1548"/>
      <c r="U176" s="753">
        <f>AND(S176,IF(ISBLANK(T176),TRUE,T176))</f>
        <v>1</v>
      </c>
      <c r="V176" s="1548"/>
      <c r="W176" s="1548"/>
      <c r="X176" s="980" t="str">
        <f>"{                  
         funcDyn: 'msg1',
         blok: 'blok_2',
         wsCross: 'Топливо 4.4',
         linkFormula: 'AE-AE#AF-AF',
         levelDyn: "&amp;Y139&amp;"
}"</f>
        <v>{                  
         funcDyn: 'msg1',
         blok: 'blok_2',
         wsCross: 'Топливо 4.4',
         linkFormula: 'AE-AE#AF-AF',
         levelDyn: 1
}</v>
      </c>
      <c r="Y176" s="1548"/>
      <c r="Z176" s="1548"/>
      <c r="AA176" s="1009"/>
      <c r="AB176" s="1610"/>
      <c r="AC176" s="1751"/>
      <c r="AD176" s="517"/>
      <c r="AE176" s="518" t="s">
        <v>191</v>
      </c>
      <c r="AF176" s="519"/>
      <c r="AG176" s="526"/>
      <c r="AH176" s="524"/>
      <c r="AI176" s="525"/>
      <c r="AJ176" s="525"/>
      <c r="AK176" s="525"/>
      <c r="AL176" s="525"/>
      <c r="AM176" s="525"/>
      <c r="AN176" s="525"/>
      <c r="AO176" s="525"/>
      <c r="AP176" s="525"/>
      <c r="AQ176" s="525"/>
      <c r="AR176" s="525"/>
      <c r="AS176" s="525"/>
      <c r="AT176" s="525"/>
      <c r="AU176" s="525"/>
      <c r="AV176" s="525"/>
      <c r="AW176" s="525"/>
      <c r="AX176" s="525"/>
      <c r="AY176" s="525"/>
      <c r="AZ176" s="525"/>
      <c r="BA176" s="525"/>
      <c r="BB176" s="525"/>
      <c r="BC176" s="525"/>
      <c r="BD176" s="525"/>
      <c r="BE176" s="525"/>
      <c r="BF176" s="525"/>
      <c r="BG176" s="525"/>
      <c r="BH176" s="525"/>
      <c r="BI176" s="525"/>
      <c r="BJ176" s="525"/>
      <c r="BK176" s="525"/>
      <c r="BL176" s="525"/>
      <c r="BM176" s="525"/>
      <c r="BN176" s="525"/>
      <c r="BO176" s="525"/>
      <c r="BP176" s="525"/>
      <c r="BQ176" s="525"/>
      <c r="BR176" s="525"/>
      <c r="BS176" s="525"/>
      <c r="BT176" s="525"/>
      <c r="BU176" s="525"/>
      <c r="BV176" s="525"/>
      <c r="BW176" s="525"/>
      <c r="BX176" s="525"/>
      <c r="BY176" s="525"/>
      <c r="BZ176" s="525"/>
      <c r="CA176" s="525"/>
      <c r="CB176" s="525"/>
      <c r="CC176" s="525"/>
      <c r="CD176" s="525"/>
      <c r="CE176" s="525"/>
      <c r="CF176" s="525"/>
      <c r="CG176" s="525"/>
      <c r="CH176" s="525"/>
      <c r="CI176" s="525"/>
      <c r="CJ176" s="525"/>
      <c r="CK176" s="525"/>
      <c r="CL176" s="525"/>
      <c r="CM176" s="525"/>
      <c r="CN176" s="525"/>
      <c r="CO176" s="525"/>
      <c r="CP176" s="525"/>
      <c r="CQ176" s="525"/>
      <c r="CR176" s="525"/>
      <c r="CS176" s="525"/>
      <c r="CT176" s="525"/>
      <c r="CU176" s="525"/>
      <c r="CV176" s="525"/>
      <c r="CW176" s="525"/>
      <c r="CX176" s="525"/>
      <c r="CY176" s="525"/>
      <c r="CZ176" s="525"/>
      <c r="DA176" s="525"/>
      <c r="DB176" s="525"/>
      <c r="DC176" s="525"/>
      <c r="DD176" s="525"/>
      <c r="DE176" s="525"/>
      <c r="DF176" s="525"/>
      <c r="DG176" s="525"/>
      <c r="DH176" s="525"/>
      <c r="DI176" s="525"/>
      <c r="DJ176" s="525"/>
      <c r="DK176" s="525"/>
      <c r="DL176" s="525"/>
      <c r="DM176" s="525"/>
      <c r="DN176" s="525"/>
      <c r="DO176" s="525"/>
      <c r="DP176" s="525"/>
      <c r="DQ176" s="525"/>
      <c r="DR176" s="525"/>
      <c r="DS176" s="525"/>
      <c r="DT176" s="525"/>
      <c r="DU176" s="525"/>
      <c r="DV176" s="525"/>
      <c r="DW176" s="525"/>
      <c r="DX176" s="525"/>
      <c r="DY176" s="525"/>
      <c r="DZ176" s="525"/>
      <c r="EA176" s="525"/>
      <c r="EB176" s="525"/>
      <c r="EC176" s="525"/>
      <c r="ED176" s="525"/>
      <c r="EE176" s="525"/>
      <c r="EF176" s="525"/>
      <c r="EG176" s="525"/>
      <c r="EH176" s="525"/>
      <c r="EI176" s="525"/>
      <c r="EJ176" s="525"/>
      <c r="EK176" s="525"/>
      <c r="EL176" s="525"/>
      <c r="EM176" s="525"/>
      <c r="EN176" s="525"/>
      <c r="EO176" s="525"/>
      <c r="EP176" s="525"/>
      <c r="EQ176" s="525"/>
      <c r="ER176" s="525"/>
      <c r="ES176" s="525"/>
      <c r="ET176" s="525"/>
      <c r="EU176" s="525"/>
      <c r="EV176" s="525"/>
      <c r="EW176" s="525"/>
      <c r="EX176" s="525"/>
      <c r="EY176" s="525"/>
      <c r="EZ176" s="525"/>
      <c r="FA176" s="525"/>
      <c r="FB176" s="93"/>
      <c r="FC176" s="1751"/>
      <c r="FD176" s="1506"/>
      <c r="FE176" s="489" t="str">
        <f>IF(AND(ISNUMBER(VALUE(TRIM(SUBSTITUTE(AD176,".","")))),TRIM(SUBSTITUTE(AD176,".",""))&lt;&gt;""),"P"&amp;SUBSTITUTE(AD176,".",""),"")</f>
        <v/>
      </c>
      <c r="FF176" s="648"/>
      <c r="FG176" s="648"/>
      <c r="FH176" s="648"/>
      <c r="FI176" s="649"/>
      <c r="FJ176" s="649"/>
      <c r="FK176" s="1157" cm="1" t="str">
        <f t="array" ref="FK176:FK176">OFFSET(FJ176,-1,1)</f>
        <v>ТЭ.42.31656254.0001</v>
      </c>
      <c r="FL176" s="1159"/>
      <c r="FM176" s="1159"/>
      <c r="FN176" s="1159"/>
      <c r="FO176" s="1159"/>
      <c r="FP176" s="1159"/>
      <c r="FQ176" s="1159"/>
      <c r="FR176" s="1159"/>
      <c r="FS176" s="1159"/>
      <c r="FT176" s="1159"/>
      <c r="FU176" s="1159"/>
      <c r="FV176" s="1159"/>
      <c r="FW176" s="1159"/>
      <c r="FX176" s="1159"/>
      <c r="FY176" s="1159"/>
      <c r="FZ176" s="1159"/>
    </row>
    <row s="1751" customFormat="1" customHeight="1" ht="16.5">
      <c r="A177" s="371"/>
      <c r="B177" s="1548"/>
      <c r="C177" s="1548"/>
      <c r="D177" s="1548"/>
      <c r="E177" s="180">
        <v>17</v>
      </c>
      <c r="F177" s="175" cm="1" t="str">
        <f t="array" ref="F177:F177">OFFSET(G177,-1,-1)</f>
        <v>1</v>
      </c>
      <c r="G177" s="1659"/>
      <c r="H177" s="1659"/>
      <c r="I177" s="1659"/>
      <c r="J177" s="1659"/>
      <c r="K177" s="1659"/>
      <c r="L177" s="175" cm="1" t="str">
        <f t="array" ref="L177:L177">OFFSET(M177,-1,-1)</f>
        <v>false</v>
      </c>
      <c r="M177" s="1659"/>
      <c r="N177" s="1659"/>
      <c r="O177" s="1659"/>
      <c r="P177" s="1659"/>
      <c r="Q177" s="1659"/>
      <c r="R177" s="1548"/>
      <c r="S177" s="175" cm="1" t="str">
        <f t="array" ref="S177:S177">OFFSET(T177,-1,-1)</f>
        <v>true</v>
      </c>
      <c r="T177" s="1548"/>
      <c r="U177" s="753">
        <f>AND(S177,IF(ISBLANK(T177),TRUE,T177))</f>
        <v>1</v>
      </c>
      <c r="V177" s="1548"/>
      <c r="W177" s="1548"/>
      <c r="X177" s="1548"/>
      <c r="Y177" s="1548"/>
      <c r="Z177" s="1548"/>
      <c r="AA177" s="1009"/>
      <c r="AB177" s="1610"/>
      <c r="AC177" s="1751"/>
      <c r="AD177" s="491">
        <v>21</v>
      </c>
      <c r="AE177" s="1629" t="s">
        <v>901</v>
      </c>
      <c r="AF177" s="529"/>
      <c r="AG177" s="523"/>
      <c r="AH177" s="524"/>
      <c r="AI177" s="525"/>
      <c r="AJ177" s="525"/>
      <c r="AK177" s="525"/>
      <c r="AL177" s="525"/>
      <c r="AM177" s="525"/>
      <c r="AN177" s="525"/>
      <c r="AO177" s="525"/>
      <c r="AP177" s="525"/>
      <c r="AQ177" s="525"/>
      <c r="AR177" s="525"/>
      <c r="AS177" s="525"/>
      <c r="AT177" s="525"/>
      <c r="AU177" s="525"/>
      <c r="AV177" s="525"/>
      <c r="AW177" s="525"/>
      <c r="AX177" s="525"/>
      <c r="AY177" s="525"/>
      <c r="AZ177" s="525"/>
      <c r="BA177" s="525"/>
      <c r="BB177" s="525"/>
      <c r="BC177" s="525"/>
      <c r="BD177" s="525"/>
      <c r="BE177" s="525"/>
      <c r="BF177" s="525"/>
      <c r="BG177" s="525"/>
      <c r="BH177" s="525"/>
      <c r="BI177" s="525"/>
      <c r="BJ177" s="525"/>
      <c r="BK177" s="525"/>
      <c r="BL177" s="525"/>
      <c r="BM177" s="525"/>
      <c r="BN177" s="525"/>
      <c r="BO177" s="525"/>
      <c r="BP177" s="525"/>
      <c r="BQ177" s="525"/>
      <c r="BR177" s="525"/>
      <c r="BS177" s="525"/>
      <c r="BT177" s="525"/>
      <c r="BU177" s="525"/>
      <c r="BV177" s="525"/>
      <c r="BW177" s="525"/>
      <c r="BX177" s="525"/>
      <c r="BY177" s="525"/>
      <c r="BZ177" s="525"/>
      <c r="CA177" s="525"/>
      <c r="CB177" s="525"/>
      <c r="CC177" s="525"/>
      <c r="CD177" s="525"/>
      <c r="CE177" s="525"/>
      <c r="CF177" s="525"/>
      <c r="CG177" s="525"/>
      <c r="CH177" s="525"/>
      <c r="CI177" s="525"/>
      <c r="CJ177" s="525"/>
      <c r="CK177" s="525"/>
      <c r="CL177" s="525"/>
      <c r="CM177" s="525"/>
      <c r="CN177" s="525"/>
      <c r="CO177" s="525"/>
      <c r="CP177" s="525"/>
      <c r="CQ177" s="525"/>
      <c r="CR177" s="525"/>
      <c r="CS177" s="525"/>
      <c r="CT177" s="525"/>
      <c r="CU177" s="525"/>
      <c r="CV177" s="525"/>
      <c r="CW177" s="525"/>
      <c r="CX177" s="525"/>
      <c r="CY177" s="525"/>
      <c r="CZ177" s="525"/>
      <c r="DA177" s="525"/>
      <c r="DB177" s="525"/>
      <c r="DC177" s="525"/>
      <c r="DD177" s="525"/>
      <c r="DE177" s="525"/>
      <c r="DF177" s="525"/>
      <c r="DG177" s="525"/>
      <c r="DH177" s="525"/>
      <c r="DI177" s="525"/>
      <c r="DJ177" s="525"/>
      <c r="DK177" s="525"/>
      <c r="DL177" s="525"/>
      <c r="DM177" s="525"/>
      <c r="DN177" s="525"/>
      <c r="DO177" s="525"/>
      <c r="DP177" s="525"/>
      <c r="DQ177" s="525"/>
      <c r="DR177" s="525"/>
      <c r="DS177" s="525"/>
      <c r="DT177" s="525"/>
      <c r="DU177" s="525"/>
      <c r="DV177" s="525"/>
      <c r="DW177" s="525"/>
      <c r="DX177" s="525"/>
      <c r="DY177" s="525"/>
      <c r="DZ177" s="525"/>
      <c r="EA177" s="525"/>
      <c r="EB177" s="525"/>
      <c r="EC177" s="525"/>
      <c r="ED177" s="525"/>
      <c r="EE177" s="525"/>
      <c r="EF177" s="525"/>
      <c r="EG177" s="525"/>
      <c r="EH177" s="525"/>
      <c r="EI177" s="525"/>
      <c r="EJ177" s="525"/>
      <c r="EK177" s="525"/>
      <c r="EL177" s="525"/>
      <c r="EM177" s="525"/>
      <c r="EN177" s="525"/>
      <c r="EO177" s="525"/>
      <c r="EP177" s="525"/>
      <c r="EQ177" s="525"/>
      <c r="ER177" s="525"/>
      <c r="ES177" s="525"/>
      <c r="ET177" s="525"/>
      <c r="EU177" s="525"/>
      <c r="EV177" s="525"/>
      <c r="EW177" s="525"/>
      <c r="EX177" s="525"/>
      <c r="EY177" s="525"/>
      <c r="EZ177" s="525"/>
      <c r="FA177" s="525"/>
      <c r="FB177" s="1897"/>
      <c r="FC177" s="1751"/>
      <c r="FD177" s="1506"/>
      <c r="FE177" s="489" t="s">
        <v>902</v>
      </c>
      <c r="FF177" s="648"/>
      <c r="FG177" s="648"/>
      <c r="FH177" s="648"/>
      <c r="FI177" s="649"/>
      <c r="FJ177" s="649"/>
      <c r="FK177" s="1157" cm="1" t="str">
        <f t="array" ref="FK177:FK177">OFFSET(FJ177,-1,1)</f>
        <v>ТЭ.42.31656254.0001</v>
      </c>
      <c r="FL177" s="1078"/>
      <c r="FM177" s="1159"/>
      <c r="FN177" s="1159"/>
      <c r="FO177" s="1159"/>
      <c r="FP177" s="1159"/>
      <c r="FQ177" s="1159"/>
      <c r="FR177" s="1159"/>
      <c r="FS177" s="1159"/>
      <c r="FT177" s="1159"/>
      <c r="FU177" s="1159"/>
      <c r="FV177" s="1159"/>
      <c r="FW177" s="1159"/>
      <c r="FX177" s="1078"/>
      <c r="FY177" s="1078"/>
      <c r="FZ177" s="1078"/>
    </row>
    <row s="1751" customFormat="1" customHeight="1" ht="16.5" hidden="1">
      <c r="E178" s="180">
        <v>17</v>
      </c>
      <c r="F178" s="175" cm="1" t="str">
        <f t="array" ref="F178:F178">OFFSET(G178,-1,-1)</f>
        <v>1</v>
      </c>
      <c r="L178" s="175" cm="1" t="str">
        <f t="array" ref="L178:L178">OFFSET(M178,-1,-1)</f>
        <v>false</v>
      </c>
      <c r="S178" s="175" cm="1" t="str">
        <f t="array" ref="S178:S178">OFFSET(T178,-1,-1)</f>
        <v>true</v>
      </c>
      <c r="T178" s="175">
        <f>AD178&lt;&gt;"21.0"</f>
        <v>0</v>
      </c>
      <c r="U178" s="753">
        <f>AND(S178,IF(ISBLANK(T178),TRUE,T178))</f>
        <v>0</v>
      </c>
      <c r="X178" s="175" t="s">
        <v>189</v>
      </c>
      <c r="AB178" s="1610"/>
      <c r="AD178" s="491" t="s">
        <v>903</v>
      </c>
      <c r="AE178" s="514"/>
      <c r="AF178" s="515"/>
      <c r="AG178" s="530" t="str">
        <f>_xlfn.IFERROR(INDEX(fuel_ed_izm_list,MATCH(AE178,fuel_list,0)),"тнт")</f>
        <v>тнт</v>
      </c>
      <c r="AH178" s="89">
        <f>_xlfn.IFERROR(AH166/AH174,0)</f>
        <v>0</v>
      </c>
      <c r="AI178" s="89"/>
      <c r="AJ178" s="89"/>
      <c r="AK178" s="89">
        <f>_xlfn.IFERROR(AK166/AK174,0)</f>
        <v>0</v>
      </c>
      <c r="AL178" s="500">
        <f>AM178+AN178</f>
        <v>0</v>
      </c>
      <c r="AM178" s="89">
        <f>_xlfn.IFERROR(AM166/AM174,0)</f>
        <v>0</v>
      </c>
      <c r="AN178" s="89">
        <f>_xlfn.IFERROR(AN166/AN174,0)</f>
        <v>0</v>
      </c>
      <c r="AO178" s="500">
        <f>AP178+AQ178</f>
        <v>0</v>
      </c>
      <c r="AP178" s="89">
        <f>_xlfn.IFERROR(AP166/AP174,0)</f>
        <v>0</v>
      </c>
      <c r="AQ178" s="89">
        <f>_xlfn.IFERROR(AQ166/AQ174,0)</f>
        <v>0</v>
      </c>
      <c r="AR178" s="500">
        <f>AS178+AT178</f>
        <v>0</v>
      </c>
      <c r="AS178" s="89">
        <f>_xlfn.IFERROR(AS166/AS174,0)</f>
        <v>0</v>
      </c>
      <c r="AT178" s="89">
        <f>_xlfn.IFERROR(AT166/AT174,0)</f>
        <v>0</v>
      </c>
      <c r="AU178" s="500">
        <f>AV178+AW178</f>
        <v>0</v>
      </c>
      <c r="AV178" s="89">
        <f>_xlfn.IFERROR(AV166/AV174,0)</f>
        <v>0</v>
      </c>
      <c r="AW178" s="89">
        <f>_xlfn.IFERROR(AW166/AW174,0)</f>
        <v>0</v>
      </c>
      <c r="AX178" s="500">
        <f>AY178+AZ178</f>
        <v>0</v>
      </c>
      <c r="AY178" s="89">
        <f>_xlfn.IFERROR(AY166/AY174,0)</f>
        <v>0</v>
      </c>
      <c r="AZ178" s="89">
        <f>_xlfn.IFERROR(AZ166/AZ174,0)</f>
        <v>0</v>
      </c>
      <c r="BA178" s="500">
        <f>BB178+BC178</f>
        <v>0</v>
      </c>
      <c r="BB178" s="89">
        <f>_xlfn.IFERROR(BB166/BB174,0)</f>
        <v>0</v>
      </c>
      <c r="BC178" s="89">
        <f>_xlfn.IFERROR(BC166/BC174,0)</f>
        <v>0</v>
      </c>
      <c r="BD178" s="500">
        <f>BE178+BF178</f>
        <v>0</v>
      </c>
      <c r="BE178" s="89">
        <f>_xlfn.IFERROR(BE166/BE174,0)</f>
        <v>0</v>
      </c>
      <c r="BF178" s="89">
        <f>_xlfn.IFERROR(BF166/BF174,0)</f>
        <v>0</v>
      </c>
      <c r="BG178" s="500">
        <f>BH178+BI178</f>
        <v>0</v>
      </c>
      <c r="BH178" s="89">
        <f>_xlfn.IFERROR(BH166/BH174,0)</f>
        <v>0</v>
      </c>
      <c r="BI178" s="89">
        <f>_xlfn.IFERROR(BI166/BI174,0)</f>
        <v>0</v>
      </c>
      <c r="BJ178" s="500">
        <f>BK178+BL178</f>
        <v>0</v>
      </c>
      <c r="BK178" s="89">
        <f>_xlfn.IFERROR(BK166/BK174,0)</f>
        <v>0</v>
      </c>
      <c r="BL178" s="89">
        <f>_xlfn.IFERROR(BL166/BL174,0)</f>
        <v>0</v>
      </c>
      <c r="BM178" s="500">
        <f>BN178+BO178</f>
        <v>0</v>
      </c>
      <c r="BN178" s="89">
        <f>_xlfn.IFERROR(BN166/BN174,0)</f>
        <v>0</v>
      </c>
      <c r="BO178" s="89">
        <f>_xlfn.IFERROR(BO166/BO174,0)</f>
        <v>0</v>
      </c>
      <c r="BP178" s="500">
        <f>BQ178+BR178</f>
        <v>0</v>
      </c>
      <c r="BQ178" s="89">
        <f>_xlfn.IFERROR(BQ166/BQ174,0)</f>
        <v>0</v>
      </c>
      <c r="BR178" s="89">
        <f>_xlfn.IFERROR(BR166/BR174,0)</f>
        <v>0</v>
      </c>
      <c r="BS178" s="500">
        <f>BT178+BU178</f>
        <v>0</v>
      </c>
      <c r="BT178" s="89">
        <f>_xlfn.IFERROR(BT166/BT174,0)</f>
        <v>0</v>
      </c>
      <c r="BU178" s="89">
        <f>_xlfn.IFERROR(BU166/BU174,0)</f>
        <v>0</v>
      </c>
      <c r="BV178" s="500">
        <f>BW178+BX178</f>
        <v>0</v>
      </c>
      <c r="BW178" s="89">
        <f>_xlfn.IFERROR(BW166/BW174,0)</f>
        <v>0</v>
      </c>
      <c r="BX178" s="89">
        <f>_xlfn.IFERROR(BX166/BX174,0)</f>
        <v>0</v>
      </c>
      <c r="BY178" s="500">
        <f>BZ178+CA178</f>
        <v>0</v>
      </c>
      <c r="BZ178" s="89">
        <f>_xlfn.IFERROR(BZ166/BZ174,0)</f>
        <v>0</v>
      </c>
      <c r="CA178" s="89">
        <f>_xlfn.IFERROR(CA166/CA174,0)</f>
        <v>0</v>
      </c>
      <c r="CB178" s="500">
        <f>CC178+CD178</f>
        <v>0</v>
      </c>
      <c r="CC178" s="89">
        <f>_xlfn.IFERROR(CC166/CC174,0)</f>
        <v>0</v>
      </c>
      <c r="CD178" s="89">
        <f>_xlfn.IFERROR(CD166/CD174,0)</f>
        <v>0</v>
      </c>
      <c r="CE178" s="500">
        <f>CF178+CG178</f>
        <v>0</v>
      </c>
      <c r="CF178" s="89">
        <f>_xlfn.IFERROR(CF166/CF174,0)</f>
        <v>0</v>
      </c>
      <c r="CG178" s="89">
        <f>_xlfn.IFERROR(CG166/CG174,0)</f>
        <v>0</v>
      </c>
      <c r="CH178" s="500">
        <f>CI178+CJ178</f>
        <v>0</v>
      </c>
      <c r="CI178" s="89">
        <f>_xlfn.IFERROR(CI166/CI174,0)</f>
        <v>0</v>
      </c>
      <c r="CJ178" s="89">
        <f>_xlfn.IFERROR(CJ166/CJ174,0)</f>
        <v>0</v>
      </c>
      <c r="CK178" s="500">
        <f>CL178+CM178</f>
        <v>0</v>
      </c>
      <c r="CL178" s="89">
        <f>_xlfn.IFERROR(CL166/CL174,0)</f>
        <v>0</v>
      </c>
      <c r="CM178" s="89">
        <f>_xlfn.IFERROR(CM166/CM174,0)</f>
        <v>0</v>
      </c>
      <c r="CN178" s="500">
        <f>CO178+CP178</f>
        <v>0</v>
      </c>
      <c r="CO178" s="89">
        <f>_xlfn.IFERROR(CO166/CO174,0)</f>
        <v>0</v>
      </c>
      <c r="CP178" s="89">
        <f>_xlfn.IFERROR(CP166/CP174,0)</f>
        <v>0</v>
      </c>
      <c r="CQ178" s="500">
        <f>CR178+CS178</f>
        <v>0</v>
      </c>
      <c r="CR178" s="89">
        <f>_xlfn.IFERROR(CR166/CR174,0)</f>
        <v>0</v>
      </c>
      <c r="CS178" s="89">
        <f>_xlfn.IFERROR(CS166/CS174,0)</f>
        <v>0</v>
      </c>
      <c r="CT178" s="500">
        <f>CU178+CV178</f>
        <v>0</v>
      </c>
      <c r="CU178" s="498">
        <f>_xlfn.IFERROR(CU166/CU174,0)</f>
        <v>0</v>
      </c>
      <c r="CV178" s="498">
        <f>_xlfn.IFERROR(CV166/CV174,0)</f>
        <v>0</v>
      </c>
      <c r="CW178" s="500">
        <f>CX178+CY178</f>
        <v>0</v>
      </c>
      <c r="CX178" s="89">
        <f>_xlfn.IFERROR(CX166/CX174,0)</f>
        <v>0</v>
      </c>
      <c r="CY178" s="89">
        <f>_xlfn.IFERROR(CY166/CY174,0)</f>
        <v>0</v>
      </c>
      <c r="CZ178" s="500">
        <f>DA178+DB178</f>
        <v>0</v>
      </c>
      <c r="DA178" s="89">
        <f>_xlfn.IFERROR(DA166/DA174,0)</f>
        <v>0</v>
      </c>
      <c r="DB178" s="89">
        <f>_xlfn.IFERROR(DB166/DB174,0)</f>
        <v>0</v>
      </c>
      <c r="DC178" s="500">
        <f>DD178+DE178</f>
        <v>0</v>
      </c>
      <c r="DD178" s="89">
        <f>_xlfn.IFERROR(DD166/DD174,0)</f>
        <v>0</v>
      </c>
      <c r="DE178" s="89">
        <f>_xlfn.IFERROR(DE166/DE174,0)</f>
        <v>0</v>
      </c>
      <c r="DF178" s="500">
        <f>DG178+DH178</f>
        <v>0</v>
      </c>
      <c r="DG178" s="89">
        <f>_xlfn.IFERROR(DG166/DG174,0)</f>
        <v>0</v>
      </c>
      <c r="DH178" s="89">
        <f>_xlfn.IFERROR(DH166/DH174,0)</f>
        <v>0</v>
      </c>
      <c r="DI178" s="500">
        <f>DJ178+DK178</f>
        <v>0</v>
      </c>
      <c r="DJ178" s="89">
        <f>_xlfn.IFERROR(DJ166/DJ174,0)</f>
        <v>0</v>
      </c>
      <c r="DK178" s="89">
        <f>_xlfn.IFERROR(DK166/DK174,0)</f>
        <v>0</v>
      </c>
      <c r="DL178" s="500">
        <f>DM178+DN178</f>
        <v>0</v>
      </c>
      <c r="DM178" s="89">
        <f>_xlfn.IFERROR(DM166/DM174,0)</f>
        <v>0</v>
      </c>
      <c r="DN178" s="89">
        <f>_xlfn.IFERROR(DN166/DN174,0)</f>
        <v>0</v>
      </c>
      <c r="DO178" s="500">
        <f>DP178+DQ178</f>
        <v>0</v>
      </c>
      <c r="DP178" s="89">
        <f>_xlfn.IFERROR(DP166/DP174,0)</f>
        <v>0</v>
      </c>
      <c r="DQ178" s="89">
        <f>_xlfn.IFERROR(DQ166/DQ174,0)</f>
        <v>0</v>
      </c>
      <c r="DR178" s="500">
        <f>DS178+DT178</f>
        <v>0</v>
      </c>
      <c r="DS178" s="89">
        <f>_xlfn.IFERROR(DS166/DS174,0)</f>
        <v>0</v>
      </c>
      <c r="DT178" s="89">
        <f>_xlfn.IFERROR(DT166/DT174,0)</f>
        <v>0</v>
      </c>
      <c r="DU178" s="500">
        <f>DV178+DW178</f>
        <v>0</v>
      </c>
      <c r="DV178" s="89">
        <f>_xlfn.IFERROR(DV166/DV174,0)</f>
        <v>0</v>
      </c>
      <c r="DW178" s="89">
        <f>_xlfn.IFERROR(DW166/DW174,0)</f>
        <v>0</v>
      </c>
      <c r="DX178" s="500">
        <f>DY178+DZ178</f>
        <v>0</v>
      </c>
      <c r="DY178" s="89">
        <f>_xlfn.IFERROR(DY166/DY174,0)</f>
        <v>0</v>
      </c>
      <c r="DZ178" s="89">
        <f>_xlfn.IFERROR(DZ166/DZ174,0)</f>
        <v>0</v>
      </c>
      <c r="EA178" s="500">
        <f>EB178+EC178</f>
        <v>0</v>
      </c>
      <c r="EB178" s="89">
        <f>_xlfn.IFERROR(EB166/EB174,0)</f>
        <v>0</v>
      </c>
      <c r="EC178" s="89">
        <f>_xlfn.IFERROR(EC166/EC174,0)</f>
        <v>0</v>
      </c>
      <c r="ED178" s="500">
        <f>EE178+EF178</f>
        <v>0</v>
      </c>
      <c r="EE178" s="89">
        <f>_xlfn.IFERROR(EE166/EE174,0)</f>
        <v>0</v>
      </c>
      <c r="EF178" s="89">
        <f>_xlfn.IFERROR(EF166/EF174,0)</f>
        <v>0</v>
      </c>
      <c r="EG178" s="500">
        <f>EH178+EI178</f>
        <v>0</v>
      </c>
      <c r="EH178" s="89">
        <f>_xlfn.IFERROR(EH166/EH174,0)</f>
        <v>0</v>
      </c>
      <c r="EI178" s="89">
        <f>_xlfn.IFERROR(EI166/EI174,0)</f>
        <v>0</v>
      </c>
      <c r="EJ178" s="500">
        <f>EK178+EL178</f>
        <v>0</v>
      </c>
      <c r="EK178" s="89">
        <f>_xlfn.IFERROR(EK166/EK174,0)</f>
        <v>0</v>
      </c>
      <c r="EL178" s="89">
        <f>_xlfn.IFERROR(EL166/EL174,0)</f>
        <v>0</v>
      </c>
      <c r="EM178" s="500">
        <f>EN178+EO178</f>
        <v>0</v>
      </c>
      <c r="EN178" s="89">
        <f>_xlfn.IFERROR(EN166/EN174,0)</f>
        <v>0</v>
      </c>
      <c r="EO178" s="89">
        <f>_xlfn.IFERROR(EO166/EO174,0)</f>
        <v>0</v>
      </c>
      <c r="EP178" s="500">
        <f>EQ178+ER178</f>
        <v>0</v>
      </c>
      <c r="EQ178" s="89">
        <f>_xlfn.IFERROR(EQ166/EQ174,0)</f>
        <v>0</v>
      </c>
      <c r="ER178" s="89">
        <f>_xlfn.IFERROR(ER166/ER174,0)</f>
        <v>0</v>
      </c>
      <c r="ES178" s="500">
        <f>ET178+EU178</f>
        <v>0</v>
      </c>
      <c r="ET178" s="89">
        <f>_xlfn.IFERROR(ET166/ET174,0)</f>
        <v>0</v>
      </c>
      <c r="EU178" s="89">
        <f>_xlfn.IFERROR(EU166/EU174,0)</f>
        <v>0</v>
      </c>
      <c r="EV178" s="500">
        <f>EW178+EX178</f>
        <v>0</v>
      </c>
      <c r="EW178" s="89">
        <f>_xlfn.IFERROR(EW166/EW174,0)</f>
        <v>0</v>
      </c>
      <c r="EX178" s="89">
        <f>_xlfn.IFERROR(EX166/EX174,0)</f>
        <v>0</v>
      </c>
      <c r="EY178" s="500">
        <f>EZ178+FA178</f>
        <v>0</v>
      </c>
      <c r="EZ178" s="89">
        <f>_xlfn.IFERROR(EZ166/EZ174,0)</f>
        <v>0</v>
      </c>
      <c r="FA178" s="89">
        <f>_xlfn.IFERROR(FA166/FA174,0)</f>
        <v>0</v>
      </c>
      <c r="FB178" s="83"/>
      <c r="FE178" s="489" t="s">
        <v>902</v>
      </c>
      <c r="FF178" s="648" t="s">
        <v>890</v>
      </c>
      <c r="FG178" s="648" cm="1" t="str">
        <f t="array" ref="FG178:FG178">AE178</f>
        <v>0</v>
      </c>
      <c r="FH178" s="648" cm="1" t="str">
        <f t="array" ref="FH178:FH178">AF178</f>
        <v>0</v>
      </c>
      <c r="FI178" s="649"/>
      <c r="FJ178" s="649"/>
      <c r="FK178" s="1157" cm="1" t="str">
        <f t="array" ref="FK178:FK178">OFFSET(FJ178,-1,1)</f>
        <v>ТЭ.42.31656254.0001</v>
      </c>
      <c r="FL178" s="1159"/>
      <c r="FM178" s="1159"/>
      <c r="FN178" s="1159"/>
      <c r="FO178" s="1159"/>
      <c r="FP178" s="1159"/>
      <c r="FQ178" s="1159"/>
      <c r="FR178" s="1159"/>
      <c r="FS178" s="1159" t="s">
        <v>904</v>
      </c>
      <c r="FT178" s="1159"/>
      <c r="FU178" s="1159"/>
      <c r="FV178" s="1159" t="s">
        <v>219</v>
      </c>
      <c r="FW178" s="1078" t="str">
        <f>$AE178&amp;"|"&amp;$AF178</f>
        <v>|</v>
      </c>
      <c r="FX178" s="1078" t="s">
        <v>303</v>
      </c>
      <c r="FY178" s="1078" t="s">
        <v>905</v>
      </c>
      <c r="FZ178" s="1078" t="s">
        <v>906</v>
      </c>
    </row>
    <row s="1751" customFormat="1" customHeight="1" ht="16.5">
      <c r="A179" s="1751"/>
      <c r="B179" s="1751"/>
      <c r="C179" s="1751"/>
      <c r="D179" s="1751"/>
      <c r="E179" s="180">
        <v>17</v>
      </c>
      <c r="F179" s="175" cm="1" t="str">
        <f t="array" ref="F179:F179">OFFSET(G179,-1,-1)</f>
        <v>1</v>
      </c>
      <c r="G179" s="1751"/>
      <c r="H179" s="1751"/>
      <c r="I179" s="1751"/>
      <c r="J179" s="1751"/>
      <c r="K179" s="1751"/>
      <c r="L179" s="175" cm="1" t="str">
        <f t="array" ref="L179:L179">OFFSET(M179,-1,-1)</f>
        <v>false</v>
      </c>
      <c r="M179" s="1751"/>
      <c r="N179" s="1751"/>
      <c r="O179" s="1751"/>
      <c r="P179" s="1751"/>
      <c r="Q179" s="1751"/>
      <c r="R179" s="1751"/>
      <c r="S179" s="175" cm="1" t="str">
        <f t="array" ref="S179:S179">OFFSET(T179,-1,-1)</f>
        <v>true</v>
      </c>
      <c r="T179" s="175">
        <f>AD179&lt;&gt;"21.0"</f>
        <v>1</v>
      </c>
      <c r="U179" s="753">
        <f>AND(S179,IF(ISBLANK(T179),TRUE,T179))</f>
        <v>1</v>
      </c>
      <c r="V179" s="1751"/>
      <c r="W179" s="1751"/>
      <c r="X179" s="175" t="str">
        <f>'Топливо 4.4'!$AE$175&amp;'Топливо 4.4'!$AF$175</f>
        <v>Уголь длиннопламенный</v>
      </c>
      <c r="Y179" s="1751"/>
      <c r="Z179" s="1751"/>
      <c r="AA179" s="1751"/>
      <c r="AB179" s="1610"/>
      <c r="AC179" s="1751"/>
      <c r="AD179" s="491" t="s">
        <v>1013</v>
      </c>
      <c r="AE179" s="514" cm="1" t="str">
        <f t="array" ref="AE179:AE179">IF(ISBLANK('Топливо 4.4'!$AE$175),"",'Топливо 4.4'!$AE$175)</f>
        <v>Уголь длиннопламенный</v>
      </c>
      <c r="AF179" s="515" cm="1" t="str">
        <f t="array" ref="AF179:AF179">IF(ISBLANK('Топливо 4.4'!$AF$175),"",'Топливо 4.4'!$AF$175)</f>
        <v/>
      </c>
      <c r="AG179" s="530" t="str">
        <f>_xlfn.IFERROR(INDEX(fuel_ed_izm_list,MATCH(AE179,fuel_list,0)),"тнт")</f>
        <v>тнт</v>
      </c>
      <c r="AH179" s="2256">
        <f>_xlfn.IFERROR(AH167/AH175,0)</f>
        <v>1254.04107523393</v>
      </c>
      <c r="AI179" s="2256">
        <v>1386</v>
      </c>
      <c r="AJ179" s="2256">
        <f>AJ161/0.87</f>
        <v>1136.33149425287</v>
      </c>
      <c r="AK179" s="2256">
        <f>_xlfn.IFERROR(AK167/AK175,0)</f>
        <v>1340.577</v>
      </c>
      <c r="AL179" s="500">
        <f>AM179+AN179</f>
        <v>1385.69424964937</v>
      </c>
      <c r="AM179" s="2256">
        <f>_xlfn.IFERROR(AM167/AM175,0)</f>
        <v>789.621318373072</v>
      </c>
      <c r="AN179" s="2256">
        <f>_xlfn.IFERROR(AN167/AN175,0)</f>
        <v>596.072931276297</v>
      </c>
      <c r="AO179" s="500">
        <f>AP179+AQ179</f>
        <v>0</v>
      </c>
      <c r="AP179" s="2256">
        <f>_xlfn.IFERROR(AP167/AP175,0)</f>
        <v>0</v>
      </c>
      <c r="AQ179" s="2256">
        <f>_xlfn.IFERROR(AQ167/AQ175,0)</f>
        <v>0</v>
      </c>
      <c r="AR179" s="500">
        <f>AS179+AT179</f>
        <v>0</v>
      </c>
      <c r="AS179" s="2256">
        <f>_xlfn.IFERROR(AS167/AS175,0)</f>
        <v>0</v>
      </c>
      <c r="AT179" s="2256">
        <f>_xlfn.IFERROR(AT167/AT175,0)</f>
        <v>0</v>
      </c>
      <c r="AU179" s="500">
        <f>AV179+AW179</f>
        <v>0</v>
      </c>
      <c r="AV179" s="2256">
        <f>_xlfn.IFERROR(AV167/AV175,0)</f>
        <v>0</v>
      </c>
      <c r="AW179" s="2256">
        <f>_xlfn.IFERROR(AW167/AW175,0)</f>
        <v>0</v>
      </c>
      <c r="AX179" s="500">
        <f>AY179+AZ179</f>
        <v>0</v>
      </c>
      <c r="AY179" s="2256">
        <f>_xlfn.IFERROR(AY167/AY175,0)</f>
        <v>0</v>
      </c>
      <c r="AZ179" s="2256">
        <f>_xlfn.IFERROR(AZ167/AZ175,0)</f>
        <v>0</v>
      </c>
      <c r="BA179" s="500">
        <f>BB179+BC179</f>
        <v>0</v>
      </c>
      <c r="BB179" s="2256">
        <f>_xlfn.IFERROR(BB167/BB175,0)</f>
        <v>0</v>
      </c>
      <c r="BC179" s="2256">
        <f>_xlfn.IFERROR(BC167/BC175,0)</f>
        <v>0</v>
      </c>
      <c r="BD179" s="500">
        <f>BE179+BF179</f>
        <v>0</v>
      </c>
      <c r="BE179" s="2256">
        <f>_xlfn.IFERROR(BE167/BE175,0)</f>
        <v>0</v>
      </c>
      <c r="BF179" s="2256">
        <f>_xlfn.IFERROR(BF167/BF175,0)</f>
        <v>0</v>
      </c>
      <c r="BG179" s="500">
        <f>BH179+BI179</f>
        <v>0</v>
      </c>
      <c r="BH179" s="2256">
        <f>_xlfn.IFERROR(BH167/BH175,0)</f>
        <v>0</v>
      </c>
      <c r="BI179" s="2256">
        <f>_xlfn.IFERROR(BI167/BI175,0)</f>
        <v>0</v>
      </c>
      <c r="BJ179" s="500">
        <f>BK179+BL179</f>
        <v>0</v>
      </c>
      <c r="BK179" s="2256">
        <f>_xlfn.IFERROR(BK167/BK175,0)</f>
        <v>0</v>
      </c>
      <c r="BL179" s="2256">
        <f>_xlfn.IFERROR(BL167/BL175,0)</f>
        <v>0</v>
      </c>
      <c r="BM179" s="500">
        <f>BN179+BO179</f>
        <v>0</v>
      </c>
      <c r="BN179" s="2256">
        <f>_xlfn.IFERROR(BN167/BN175,0)</f>
        <v>0</v>
      </c>
      <c r="BO179" s="2256">
        <f>_xlfn.IFERROR(BO167/BO175,0)</f>
        <v>0</v>
      </c>
      <c r="BP179" s="500">
        <f>BQ179+BR179</f>
        <v>0</v>
      </c>
      <c r="BQ179" s="2256">
        <f>_xlfn.IFERROR(BQ167/BQ175,0)</f>
        <v>0</v>
      </c>
      <c r="BR179" s="2256">
        <f>_xlfn.IFERROR(BR167/BR175,0)</f>
        <v>0</v>
      </c>
      <c r="BS179" s="500">
        <f>BT179+BU179</f>
        <v>0</v>
      </c>
      <c r="BT179" s="2256">
        <f>_xlfn.IFERROR(BT167/BT175,0)</f>
        <v>0</v>
      </c>
      <c r="BU179" s="2256">
        <f>_xlfn.IFERROR(BU167/BU175,0)</f>
        <v>0</v>
      </c>
      <c r="BV179" s="500">
        <f>BW179+BX179</f>
        <v>0</v>
      </c>
      <c r="BW179" s="2256">
        <f>_xlfn.IFERROR(BW167/BW175,0)</f>
        <v>0</v>
      </c>
      <c r="BX179" s="2256">
        <f>_xlfn.IFERROR(BX167/BX175,0)</f>
        <v>0</v>
      </c>
      <c r="BY179" s="500">
        <f>BZ179+CA179</f>
        <v>0</v>
      </c>
      <c r="BZ179" s="2256">
        <f>_xlfn.IFERROR(BZ167/BZ175,0)</f>
        <v>0</v>
      </c>
      <c r="CA179" s="2256">
        <f>_xlfn.IFERROR(CA167/CA175,0)</f>
        <v>0</v>
      </c>
      <c r="CB179" s="500">
        <f>CC179+CD179</f>
        <v>0</v>
      </c>
      <c r="CC179" s="2256">
        <f>_xlfn.IFERROR(CC167/CC175,0)</f>
        <v>0</v>
      </c>
      <c r="CD179" s="2256">
        <f>_xlfn.IFERROR(CD167/CD175,0)</f>
        <v>0</v>
      </c>
      <c r="CE179" s="500">
        <f>CF179+CG179</f>
        <v>0</v>
      </c>
      <c r="CF179" s="2256">
        <f>_xlfn.IFERROR(CF167/CF175,0)</f>
        <v>0</v>
      </c>
      <c r="CG179" s="2256">
        <f>_xlfn.IFERROR(CG167/CG175,0)</f>
        <v>0</v>
      </c>
      <c r="CH179" s="500">
        <f>CI179+CJ179</f>
        <v>0</v>
      </c>
      <c r="CI179" s="2256">
        <f>_xlfn.IFERROR(CI167/CI175,0)</f>
        <v>0</v>
      </c>
      <c r="CJ179" s="2256">
        <f>_xlfn.IFERROR(CJ167/CJ175,0)</f>
        <v>0</v>
      </c>
      <c r="CK179" s="500">
        <f>CL179+CM179</f>
        <v>0</v>
      </c>
      <c r="CL179" s="2256">
        <f>_xlfn.IFERROR(CL167/CL175,0)</f>
        <v>0</v>
      </c>
      <c r="CM179" s="2256">
        <f>_xlfn.IFERROR(CM167/CM175,0)</f>
        <v>0</v>
      </c>
      <c r="CN179" s="500">
        <f>CO179+CP179</f>
        <v>0</v>
      </c>
      <c r="CO179" s="2256">
        <f>_xlfn.IFERROR(CO167/CO175,0)</f>
        <v>0</v>
      </c>
      <c r="CP179" s="2256">
        <f>_xlfn.IFERROR(CP167/CP175,0)</f>
        <v>0</v>
      </c>
      <c r="CQ179" s="500">
        <f>CR179+CS179</f>
        <v>0</v>
      </c>
      <c r="CR179" s="2256">
        <f>_xlfn.IFERROR(CR167/CR175,0)</f>
        <v>0</v>
      </c>
      <c r="CS179" s="2256">
        <f>_xlfn.IFERROR(CS167/CS175,0)</f>
        <v>0</v>
      </c>
      <c r="CT179" s="500">
        <f>CU179+CV179</f>
        <v>1136.33149425287</v>
      </c>
      <c r="CU179" s="498">
        <f>_xlfn.IFERROR(CU167/CU175,0)</f>
        <v>647.686896551724</v>
      </c>
      <c r="CV179" s="498">
        <f>_xlfn.IFERROR(CV167/CV175,0)</f>
        <v>488.644597701149</v>
      </c>
      <c r="CW179" s="500">
        <f>CX179+CY179</f>
        <v>0</v>
      </c>
      <c r="CX179" s="2256">
        <f>_xlfn.IFERROR(CX167/CX175,0)</f>
        <v>0</v>
      </c>
      <c r="CY179" s="2256">
        <f>_xlfn.IFERROR(CY167/CY175,0)</f>
        <v>0</v>
      </c>
      <c r="CZ179" s="500">
        <f>DA179+DB179</f>
        <v>0</v>
      </c>
      <c r="DA179" s="2256">
        <f>_xlfn.IFERROR(DA167/DA175,0)</f>
        <v>0</v>
      </c>
      <c r="DB179" s="2256">
        <f>_xlfn.IFERROR(DB167/DB175,0)</f>
        <v>0</v>
      </c>
      <c r="DC179" s="500">
        <f>DD179+DE179</f>
        <v>0</v>
      </c>
      <c r="DD179" s="2256">
        <f>_xlfn.IFERROR(DD167/DD175,0)</f>
        <v>0</v>
      </c>
      <c r="DE179" s="2256">
        <f>_xlfn.IFERROR(DE167/DE175,0)</f>
        <v>0</v>
      </c>
      <c r="DF179" s="500">
        <f>DG179+DH179</f>
        <v>0</v>
      </c>
      <c r="DG179" s="2256">
        <f>_xlfn.IFERROR(DG167/DG175,0)</f>
        <v>0</v>
      </c>
      <c r="DH179" s="2256">
        <f>_xlfn.IFERROR(DH167/DH175,0)</f>
        <v>0</v>
      </c>
      <c r="DI179" s="500">
        <f>DJ179+DK179</f>
        <v>0</v>
      </c>
      <c r="DJ179" s="2256">
        <f>_xlfn.IFERROR(DJ167/DJ175,0)</f>
        <v>0</v>
      </c>
      <c r="DK179" s="2256">
        <f>_xlfn.IFERROR(DK167/DK175,0)</f>
        <v>0</v>
      </c>
      <c r="DL179" s="500">
        <f>DM179+DN179</f>
        <v>0</v>
      </c>
      <c r="DM179" s="2256">
        <f>_xlfn.IFERROR(DM167/DM175,0)</f>
        <v>0</v>
      </c>
      <c r="DN179" s="2256">
        <f>_xlfn.IFERROR(DN167/DN175,0)</f>
        <v>0</v>
      </c>
      <c r="DO179" s="500">
        <f>DP179+DQ179</f>
        <v>0</v>
      </c>
      <c r="DP179" s="2256">
        <f>_xlfn.IFERROR(DP167/DP175,0)</f>
        <v>0</v>
      </c>
      <c r="DQ179" s="2256">
        <f>_xlfn.IFERROR(DQ167/DQ175,0)</f>
        <v>0</v>
      </c>
      <c r="DR179" s="500">
        <f>DS179+DT179</f>
        <v>0</v>
      </c>
      <c r="DS179" s="2256">
        <f>_xlfn.IFERROR(DS167/DS175,0)</f>
        <v>0</v>
      </c>
      <c r="DT179" s="2256">
        <f>_xlfn.IFERROR(DT167/DT175,0)</f>
        <v>0</v>
      </c>
      <c r="DU179" s="500">
        <f>DV179+DW179</f>
        <v>0</v>
      </c>
      <c r="DV179" s="2256">
        <f>_xlfn.IFERROR(DV167/DV175,0)</f>
        <v>0</v>
      </c>
      <c r="DW179" s="2256">
        <f>_xlfn.IFERROR(DW167/DW175,0)</f>
        <v>0</v>
      </c>
      <c r="DX179" s="500">
        <f>DY179+DZ179</f>
        <v>0</v>
      </c>
      <c r="DY179" s="2256">
        <f>_xlfn.IFERROR(DY167/DY175,0)</f>
        <v>0</v>
      </c>
      <c r="DZ179" s="2256">
        <f>_xlfn.IFERROR(DZ167/DZ175,0)</f>
        <v>0</v>
      </c>
      <c r="EA179" s="500">
        <f>EB179+EC179</f>
        <v>0</v>
      </c>
      <c r="EB179" s="2256">
        <f>_xlfn.IFERROR(EB167/EB175,0)</f>
        <v>0</v>
      </c>
      <c r="EC179" s="2256">
        <f>_xlfn.IFERROR(EC167/EC175,0)</f>
        <v>0</v>
      </c>
      <c r="ED179" s="500">
        <f>EE179+EF179</f>
        <v>0</v>
      </c>
      <c r="EE179" s="2256">
        <f>_xlfn.IFERROR(EE167/EE175,0)</f>
        <v>0</v>
      </c>
      <c r="EF179" s="2256">
        <f>_xlfn.IFERROR(EF167/EF175,0)</f>
        <v>0</v>
      </c>
      <c r="EG179" s="500">
        <f>EH179+EI179</f>
        <v>0</v>
      </c>
      <c r="EH179" s="2256">
        <f>_xlfn.IFERROR(EH167/EH175,0)</f>
        <v>0</v>
      </c>
      <c r="EI179" s="2256">
        <f>_xlfn.IFERROR(EI167/EI175,0)</f>
        <v>0</v>
      </c>
      <c r="EJ179" s="500">
        <f>EK179+EL179</f>
        <v>0</v>
      </c>
      <c r="EK179" s="2256">
        <f>_xlfn.IFERROR(EK167/EK175,0)</f>
        <v>0</v>
      </c>
      <c r="EL179" s="2256">
        <f>_xlfn.IFERROR(EL167/EL175,0)</f>
        <v>0</v>
      </c>
      <c r="EM179" s="500">
        <f>EN179+EO179</f>
        <v>0</v>
      </c>
      <c r="EN179" s="2256">
        <f>_xlfn.IFERROR(EN167/EN175,0)</f>
        <v>0</v>
      </c>
      <c r="EO179" s="2256">
        <f>_xlfn.IFERROR(EO167/EO175,0)</f>
        <v>0</v>
      </c>
      <c r="EP179" s="500">
        <f>EQ179+ER179</f>
        <v>0</v>
      </c>
      <c r="EQ179" s="2256">
        <f>_xlfn.IFERROR(EQ167/EQ175,0)</f>
        <v>0</v>
      </c>
      <c r="ER179" s="2256">
        <f>_xlfn.IFERROR(ER167/ER175,0)</f>
        <v>0</v>
      </c>
      <c r="ES179" s="500">
        <f>ET179+EU179</f>
        <v>0</v>
      </c>
      <c r="ET179" s="2256">
        <f>_xlfn.IFERROR(ET167/ET175,0)</f>
        <v>0</v>
      </c>
      <c r="EU179" s="2256">
        <f>_xlfn.IFERROR(EU167/EU175,0)</f>
        <v>0</v>
      </c>
      <c r="EV179" s="500">
        <f>EW179+EX179</f>
        <v>0</v>
      </c>
      <c r="EW179" s="2256">
        <f>_xlfn.IFERROR(EW167/EW175,0)</f>
        <v>0</v>
      </c>
      <c r="EX179" s="2256">
        <f>_xlfn.IFERROR(EX167/EX175,0)</f>
        <v>0</v>
      </c>
      <c r="EY179" s="500">
        <f>EZ179+FA179</f>
        <v>0</v>
      </c>
      <c r="EZ179" s="2256">
        <f>_xlfn.IFERROR(EZ167/EZ175,0)</f>
        <v>0</v>
      </c>
      <c r="FA179" s="2256">
        <f>_xlfn.IFERROR(FA167/FA175,0)</f>
        <v>0</v>
      </c>
      <c r="FB179" s="1897"/>
      <c r="FC179" s="1751"/>
      <c r="FD179" s="1751"/>
      <c r="FE179" s="489" t="s">
        <v>902</v>
      </c>
      <c r="FF179" s="648" t="s">
        <v>890</v>
      </c>
      <c r="FG179" s="648" cm="1" t="str">
        <f t="array" ref="FG179:FG179">AE179</f>
        <v>Уголь длиннопламенный</v>
      </c>
      <c r="FH179" s="648" cm="1" t="str">
        <f t="array" ref="FH179:FH179">AF179</f>
        <v/>
      </c>
      <c r="FI179" s="649"/>
      <c r="FJ179" s="649"/>
      <c r="FK179" s="1157" cm="1" t="str">
        <f t="array" ref="FK179:FK179">OFFSET(FJ179,-1,1)</f>
        <v>ТЭ.42.31656254.0001</v>
      </c>
      <c r="FL179" s="1159"/>
      <c r="FM179" s="1159"/>
      <c r="FN179" s="1159"/>
      <c r="FO179" s="1159"/>
      <c r="FP179" s="1159"/>
      <c r="FQ179" s="1159"/>
      <c r="FR179" s="1159"/>
      <c r="FS179" s="1159" t="s">
        <v>904</v>
      </c>
      <c r="FT179" s="1159"/>
      <c r="FU179" s="1159"/>
      <c r="FV179" s="1159" t="s">
        <v>219</v>
      </c>
      <c r="FW179" s="1078" t="str">
        <f>$AE179&amp;"|"&amp;$AF179</f>
        <v>Уголь длиннопламенный|</v>
      </c>
      <c r="FX179" s="1078" t="s">
        <v>303</v>
      </c>
      <c r="FY179" s="1078" t="s">
        <v>905</v>
      </c>
      <c r="FZ179" s="1078" t="s">
        <v>906</v>
      </c>
    </row>
    <row s="1751" customFormat="1" customHeight="1" ht="17.25" hidden="1">
      <c r="A180" s="371"/>
      <c r="B180" s="1548"/>
      <c r="C180" s="1548"/>
      <c r="D180" s="1548"/>
      <c r="E180" s="965">
        <v>0</v>
      </c>
      <c r="F180" s="175" cm="1" t="str">
        <f t="array" ref="F180:F180">OFFSET(G180,-1,-1)</f>
        <v>1</v>
      </c>
      <c r="G180" s="1659"/>
      <c r="H180" s="1659"/>
      <c r="I180" s="1659"/>
      <c r="J180" s="1659"/>
      <c r="K180" s="1659"/>
      <c r="L180" s="175" cm="1" t="str">
        <f t="array" ref="L180:L180">OFFSET(M180,-1,-1)</f>
        <v>false</v>
      </c>
      <c r="M180" s="1659"/>
      <c r="N180" s="1659"/>
      <c r="O180" s="1659"/>
      <c r="P180" s="1659"/>
      <c r="Q180" s="1659"/>
      <c r="R180" s="1548"/>
      <c r="S180" s="175" cm="1" t="str">
        <f t="array" ref="S180:S180">OFFSET(T180,-1,-1)</f>
        <v>true</v>
      </c>
      <c r="T180" s="1548"/>
      <c r="U180" s="753">
        <f>AND(S180,IF(ISBLANK(T180),TRUE,T180))</f>
        <v>1</v>
      </c>
      <c r="V180" s="1548"/>
      <c r="W180" s="1548"/>
      <c r="X180" s="980" t="str">
        <f>"{                  
         funcDyn: 'msg1',
         blok: 'blok_2',
         wsCross: 'Топливо 4.4',
         linkFormula: 'AE-AE#AF-AF',
         levelDyn: "&amp;Y139&amp;"
}"</f>
        <v>{                  
         funcDyn: 'msg1',
         blok: 'blok_2',
         wsCross: 'Топливо 4.4',
         linkFormula: 'AE-AE#AF-AF',
         levelDyn: 1
}</v>
      </c>
      <c r="Y180" s="1548"/>
      <c r="Z180" s="1548"/>
      <c r="AA180" s="1009"/>
      <c r="AB180" s="1611"/>
      <c r="AC180" s="1751"/>
      <c r="AD180" s="517"/>
      <c r="AE180" s="518" t="s">
        <v>191</v>
      </c>
      <c r="AF180" s="519"/>
      <c r="AG180" s="526"/>
      <c r="AH180" s="524"/>
      <c r="AI180" s="525"/>
      <c r="AJ180" s="525"/>
      <c r="AK180" s="525"/>
      <c r="AL180" s="524"/>
      <c r="AM180" s="525"/>
      <c r="AN180" s="525"/>
      <c r="AO180" s="524"/>
      <c r="AP180" s="525"/>
      <c r="AQ180" s="525"/>
      <c r="AR180" s="524"/>
      <c r="AS180" s="525"/>
      <c r="AT180" s="525"/>
      <c r="AU180" s="524"/>
      <c r="AV180" s="525"/>
      <c r="AW180" s="525"/>
      <c r="AX180" s="524"/>
      <c r="AY180" s="525"/>
      <c r="AZ180" s="525"/>
      <c r="BA180" s="524"/>
      <c r="BB180" s="525"/>
      <c r="BC180" s="525"/>
      <c r="BD180" s="524"/>
      <c r="BE180" s="525"/>
      <c r="BF180" s="525"/>
      <c r="BG180" s="524"/>
      <c r="BH180" s="525"/>
      <c r="BI180" s="525"/>
      <c r="BJ180" s="524"/>
      <c r="BK180" s="525"/>
      <c r="BL180" s="525"/>
      <c r="BM180" s="524"/>
      <c r="BN180" s="525"/>
      <c r="BO180" s="525"/>
      <c r="BP180" s="524"/>
      <c r="BQ180" s="525"/>
      <c r="BR180" s="525"/>
      <c r="BS180" s="524"/>
      <c r="BT180" s="525"/>
      <c r="BU180" s="525"/>
      <c r="BV180" s="524"/>
      <c r="BW180" s="525"/>
      <c r="BX180" s="525"/>
      <c r="BY180" s="524"/>
      <c r="BZ180" s="525"/>
      <c r="CA180" s="525"/>
      <c r="CB180" s="524"/>
      <c r="CC180" s="525"/>
      <c r="CD180" s="525"/>
      <c r="CE180" s="524"/>
      <c r="CF180" s="525"/>
      <c r="CG180" s="525"/>
      <c r="CH180" s="524"/>
      <c r="CI180" s="525"/>
      <c r="CJ180" s="525"/>
      <c r="CK180" s="524"/>
      <c r="CL180" s="525"/>
      <c r="CM180" s="525"/>
      <c r="CN180" s="524"/>
      <c r="CO180" s="525"/>
      <c r="CP180" s="525"/>
      <c r="CQ180" s="524"/>
      <c r="CR180" s="525"/>
      <c r="CS180" s="525"/>
      <c r="CT180" s="524"/>
      <c r="CU180" s="525"/>
      <c r="CV180" s="525"/>
      <c r="CW180" s="524"/>
      <c r="CX180" s="525"/>
      <c r="CY180" s="525"/>
      <c r="CZ180" s="524"/>
      <c r="DA180" s="525"/>
      <c r="DB180" s="525"/>
      <c r="DC180" s="524"/>
      <c r="DD180" s="525"/>
      <c r="DE180" s="525"/>
      <c r="DF180" s="524"/>
      <c r="DG180" s="525"/>
      <c r="DH180" s="525"/>
      <c r="DI180" s="524"/>
      <c r="DJ180" s="525"/>
      <c r="DK180" s="525"/>
      <c r="DL180" s="524"/>
      <c r="DM180" s="525"/>
      <c r="DN180" s="525"/>
      <c r="DO180" s="524"/>
      <c r="DP180" s="525"/>
      <c r="DQ180" s="525"/>
      <c r="DR180" s="524"/>
      <c r="DS180" s="525"/>
      <c r="DT180" s="525"/>
      <c r="DU180" s="524"/>
      <c r="DV180" s="525"/>
      <c r="DW180" s="525"/>
      <c r="DX180" s="524"/>
      <c r="DY180" s="525"/>
      <c r="DZ180" s="525"/>
      <c r="EA180" s="524"/>
      <c r="EB180" s="525"/>
      <c r="EC180" s="525"/>
      <c r="ED180" s="524"/>
      <c r="EE180" s="525"/>
      <c r="EF180" s="525"/>
      <c r="EG180" s="524"/>
      <c r="EH180" s="525"/>
      <c r="EI180" s="525"/>
      <c r="EJ180" s="524"/>
      <c r="EK180" s="525"/>
      <c r="EL180" s="525"/>
      <c r="EM180" s="524"/>
      <c r="EN180" s="525"/>
      <c r="EO180" s="525"/>
      <c r="EP180" s="524"/>
      <c r="EQ180" s="525"/>
      <c r="ER180" s="525"/>
      <c r="ES180" s="524"/>
      <c r="ET180" s="525"/>
      <c r="EU180" s="525"/>
      <c r="EV180" s="524"/>
      <c r="EW180" s="525"/>
      <c r="EX180" s="525"/>
      <c r="EY180" s="524"/>
      <c r="EZ180" s="525"/>
      <c r="FA180" s="525"/>
      <c r="FB180" s="93"/>
      <c r="FC180" s="1751"/>
      <c r="FD180" s="1506"/>
      <c r="FE180" s="489" t="str">
        <f>IF(AND(ISNUMBER(VALUE(TRIM(SUBSTITUTE(AD180,".","")))),TRIM(SUBSTITUTE(AD180,".",""))&lt;&gt;""),"P"&amp;SUBSTITUTE(AD180,".",""),"")</f>
        <v/>
      </c>
      <c r="FF180" s="648"/>
      <c r="FG180" s="648"/>
      <c r="FH180" s="648"/>
      <c r="FI180" s="649"/>
      <c r="FJ180" s="649"/>
      <c r="FK180" s="1157" cm="1" t="str">
        <f t="array" ref="FK180:FK180">OFFSET(FJ180,-1,1)</f>
        <v>ТЭ.42.31656254.0001</v>
      </c>
      <c r="FL180" s="1159"/>
      <c r="FM180" s="1159"/>
      <c r="FN180" s="1159"/>
      <c r="FO180" s="1159"/>
      <c r="FP180" s="1159"/>
      <c r="FQ180" s="1159"/>
      <c r="FR180" s="1159"/>
      <c r="FS180" s="1159"/>
      <c r="FT180" s="1159"/>
      <c r="FU180" s="1159"/>
      <c r="FV180" s="1159"/>
      <c r="FW180" s="1159"/>
      <c r="FX180" s="1159"/>
      <c r="FY180" s="1159"/>
      <c r="FZ180" s="1159"/>
    </row>
    <row s="1751" customFormat="1" customHeight="1" ht="16.5">
      <c r="A181" s="371"/>
      <c r="B181" s="1548"/>
      <c r="C181" s="1548"/>
      <c r="D181" s="1548"/>
      <c r="E181" s="180">
        <v>17</v>
      </c>
      <c r="F181" s="175" cm="1" t="str">
        <f t="array" ref="F181:F181">OFFSET(G181,-1,-1)</f>
        <v>1</v>
      </c>
      <c r="G181" s="1659"/>
      <c r="H181" s="1659"/>
      <c r="I181" s="1659"/>
      <c r="J181" s="1659"/>
      <c r="K181" s="1659"/>
      <c r="L181" s="175" cm="1" t="str">
        <f t="array" ref="L181:L181">OFFSET(M181,-1,-1)</f>
        <v>false</v>
      </c>
      <c r="M181" s="1659"/>
      <c r="N181" s="1659"/>
      <c r="O181" s="1659"/>
      <c r="P181" s="1659"/>
      <c r="Q181" s="1659"/>
      <c r="R181" s="1548"/>
      <c r="S181" s="175" cm="1" t="str">
        <f t="array" ref="S181:S181">OFFSET(T181,-1,-1)</f>
        <v>true</v>
      </c>
      <c r="T181" s="1548"/>
      <c r="U181" s="753">
        <f>AND(S181,IF(ISBLANK(T181),TRUE,T181))</f>
        <v>1</v>
      </c>
      <c r="V181" s="1548"/>
      <c r="W181" s="1548"/>
      <c r="X181" s="1548"/>
      <c r="Y181" s="1548"/>
      <c r="Z181" s="1548"/>
      <c r="AA181" s="1009"/>
      <c r="AB181" s="1606" t="s">
        <v>907</v>
      </c>
      <c r="AC181" s="1751"/>
      <c r="AD181" s="491">
        <v>22</v>
      </c>
      <c r="AE181" s="1619" t="s">
        <v>908</v>
      </c>
      <c r="AF181" s="496"/>
      <c r="AG181" s="523"/>
      <c r="AH181" s="524"/>
      <c r="AI181" s="525"/>
      <c r="AJ181" s="525"/>
      <c r="AK181" s="525"/>
      <c r="AL181" s="525"/>
      <c r="AM181" s="525"/>
      <c r="AN181" s="525"/>
      <c r="AO181" s="525"/>
      <c r="AP181" s="525"/>
      <c r="AQ181" s="525"/>
      <c r="AR181" s="525"/>
      <c r="AS181" s="525"/>
      <c r="AT181" s="525"/>
      <c r="AU181" s="525"/>
      <c r="AV181" s="525"/>
      <c r="AW181" s="525"/>
      <c r="AX181" s="525"/>
      <c r="AY181" s="525"/>
      <c r="AZ181" s="525"/>
      <c r="BA181" s="525"/>
      <c r="BB181" s="525"/>
      <c r="BC181" s="525"/>
      <c r="BD181" s="525"/>
      <c r="BE181" s="525"/>
      <c r="BF181" s="525"/>
      <c r="BG181" s="525"/>
      <c r="BH181" s="525"/>
      <c r="BI181" s="525"/>
      <c r="BJ181" s="525"/>
      <c r="BK181" s="525"/>
      <c r="BL181" s="525"/>
      <c r="BM181" s="525"/>
      <c r="BN181" s="525"/>
      <c r="BO181" s="525"/>
      <c r="BP181" s="525"/>
      <c r="BQ181" s="525"/>
      <c r="BR181" s="525"/>
      <c r="BS181" s="525"/>
      <c r="BT181" s="525"/>
      <c r="BU181" s="525"/>
      <c r="BV181" s="525"/>
      <c r="BW181" s="525"/>
      <c r="BX181" s="525"/>
      <c r="BY181" s="525"/>
      <c r="BZ181" s="525"/>
      <c r="CA181" s="525"/>
      <c r="CB181" s="525"/>
      <c r="CC181" s="525"/>
      <c r="CD181" s="525"/>
      <c r="CE181" s="525"/>
      <c r="CF181" s="525"/>
      <c r="CG181" s="525"/>
      <c r="CH181" s="525"/>
      <c r="CI181" s="525"/>
      <c r="CJ181" s="525"/>
      <c r="CK181" s="525"/>
      <c r="CL181" s="525"/>
      <c r="CM181" s="525"/>
      <c r="CN181" s="525"/>
      <c r="CO181" s="525"/>
      <c r="CP181" s="525"/>
      <c r="CQ181" s="525"/>
      <c r="CR181" s="525"/>
      <c r="CS181" s="525"/>
      <c r="CT181" s="525"/>
      <c r="CU181" s="525"/>
      <c r="CV181" s="525"/>
      <c r="CW181" s="525"/>
      <c r="CX181" s="525"/>
      <c r="CY181" s="525"/>
      <c r="CZ181" s="525"/>
      <c r="DA181" s="525"/>
      <c r="DB181" s="525"/>
      <c r="DC181" s="525"/>
      <c r="DD181" s="525"/>
      <c r="DE181" s="525"/>
      <c r="DF181" s="525"/>
      <c r="DG181" s="525"/>
      <c r="DH181" s="525"/>
      <c r="DI181" s="525"/>
      <c r="DJ181" s="525"/>
      <c r="DK181" s="525"/>
      <c r="DL181" s="525"/>
      <c r="DM181" s="525"/>
      <c r="DN181" s="525"/>
      <c r="DO181" s="525"/>
      <c r="DP181" s="525"/>
      <c r="DQ181" s="525"/>
      <c r="DR181" s="525"/>
      <c r="DS181" s="525"/>
      <c r="DT181" s="525"/>
      <c r="DU181" s="525"/>
      <c r="DV181" s="525"/>
      <c r="DW181" s="525"/>
      <c r="DX181" s="525"/>
      <c r="DY181" s="525"/>
      <c r="DZ181" s="525"/>
      <c r="EA181" s="525"/>
      <c r="EB181" s="525"/>
      <c r="EC181" s="525"/>
      <c r="ED181" s="525"/>
      <c r="EE181" s="525"/>
      <c r="EF181" s="525"/>
      <c r="EG181" s="525"/>
      <c r="EH181" s="525"/>
      <c r="EI181" s="525"/>
      <c r="EJ181" s="525"/>
      <c r="EK181" s="525"/>
      <c r="EL181" s="525"/>
      <c r="EM181" s="525"/>
      <c r="EN181" s="525"/>
      <c r="EO181" s="525"/>
      <c r="EP181" s="525"/>
      <c r="EQ181" s="525"/>
      <c r="ER181" s="525"/>
      <c r="ES181" s="525"/>
      <c r="ET181" s="525"/>
      <c r="EU181" s="525"/>
      <c r="EV181" s="525"/>
      <c r="EW181" s="525"/>
      <c r="EX181" s="525"/>
      <c r="EY181" s="525"/>
      <c r="EZ181" s="525"/>
      <c r="FA181" s="525"/>
      <c r="FB181" s="1897"/>
      <c r="FC181" s="1751"/>
      <c r="FD181" s="1506"/>
      <c r="FE181" s="489" t="s">
        <v>909</v>
      </c>
      <c r="FF181" s="648"/>
      <c r="FG181" s="648"/>
      <c r="FH181" s="648"/>
      <c r="FI181" s="649"/>
      <c r="FJ181" s="649"/>
      <c r="FK181" s="1157" cm="1" t="str">
        <f t="array" ref="FK181:FK181">OFFSET(FJ181,-1,1)</f>
        <v>ТЭ.42.31656254.0001</v>
      </c>
      <c r="FL181" s="1078"/>
      <c r="FM181" s="1159"/>
      <c r="FN181" s="1159"/>
      <c r="FO181" s="1159"/>
      <c r="FP181" s="1159"/>
      <c r="FQ181" s="1159"/>
      <c r="FR181" s="1159"/>
      <c r="FS181" s="1078" t="s">
        <v>904</v>
      </c>
      <c r="FT181" s="1159"/>
      <c r="FU181" s="1159"/>
      <c r="FV181" s="1078" t="s">
        <v>219</v>
      </c>
      <c r="FW181" s="1159"/>
      <c r="FX181" s="1078"/>
      <c r="FY181" s="1078"/>
      <c r="FZ181" s="1078"/>
    </row>
    <row s="1751" customFormat="1" customHeight="1" ht="16.5" hidden="1">
      <c r="E182" s="180">
        <v>17</v>
      </c>
      <c r="F182" s="175" cm="1" t="str">
        <f t="array" ref="F182:F182">OFFSET(G182,-1,-1)</f>
        <v>1</v>
      </c>
      <c r="L182" s="175" cm="1" t="str">
        <f t="array" ref="L182:L182">OFFSET(M182,-1,-1)</f>
        <v>false</v>
      </c>
      <c r="S182" s="175" cm="1" t="str">
        <f t="array" ref="S182:S182">OFFSET(T182,-1,-1)</f>
        <v>true</v>
      </c>
      <c r="T182" s="175">
        <f>AD182&lt;&gt;"22.0"</f>
        <v>0</v>
      </c>
      <c r="U182" s="753">
        <f>AND(S182,IF(ISBLANK(T182),TRUE,T182))</f>
        <v>0</v>
      </c>
      <c r="X182" s="175" t="s">
        <v>189</v>
      </c>
      <c r="AB182" s="1607"/>
      <c r="AD182" s="491" t="s">
        <v>910</v>
      </c>
      <c r="AE182" s="514"/>
      <c r="AF182" s="515"/>
      <c r="AG182" s="526" t="s">
        <v>495</v>
      </c>
      <c r="AH182" s="94"/>
      <c r="AI182" s="95"/>
      <c r="AJ182" s="95"/>
      <c r="AK182" s="95"/>
      <c r="AL182" s="533"/>
      <c r="AM182" s="95"/>
      <c r="AN182" s="95"/>
      <c r="AO182" s="533"/>
      <c r="AP182" s="95"/>
      <c r="AQ182" s="95"/>
      <c r="AR182" s="533"/>
      <c r="AS182" s="95"/>
      <c r="AT182" s="95"/>
      <c r="AU182" s="533"/>
      <c r="AV182" s="95"/>
      <c r="AW182" s="95"/>
      <c r="AX182" s="533"/>
      <c r="AY182" s="95"/>
      <c r="AZ182" s="95"/>
      <c r="BA182" s="533"/>
      <c r="BB182" s="95"/>
      <c r="BC182" s="95"/>
      <c r="BD182" s="533"/>
      <c r="BE182" s="95"/>
      <c r="BF182" s="95"/>
      <c r="BG182" s="533"/>
      <c r="BH182" s="95"/>
      <c r="BI182" s="95"/>
      <c r="BJ182" s="533"/>
      <c r="BK182" s="95"/>
      <c r="BL182" s="95"/>
      <c r="BM182" s="533"/>
      <c r="BN182" s="95"/>
      <c r="BO182" s="95"/>
      <c r="BP182" s="533"/>
      <c r="BQ182" s="95"/>
      <c r="BR182" s="95"/>
      <c r="BS182" s="533"/>
      <c r="BT182" s="95"/>
      <c r="BU182" s="95"/>
      <c r="BV182" s="533"/>
      <c r="BW182" s="95"/>
      <c r="BX182" s="95"/>
      <c r="BY182" s="533"/>
      <c r="BZ182" s="95"/>
      <c r="CA182" s="95"/>
      <c r="CB182" s="533"/>
      <c r="CC182" s="95"/>
      <c r="CD182" s="95"/>
      <c r="CE182" s="533"/>
      <c r="CF182" s="95"/>
      <c r="CG182" s="95"/>
      <c r="CH182" s="533"/>
      <c r="CI182" s="95"/>
      <c r="CJ182" s="95"/>
      <c r="CK182" s="533"/>
      <c r="CL182" s="95"/>
      <c r="CM182" s="95"/>
      <c r="CN182" s="533"/>
      <c r="CO182" s="95"/>
      <c r="CP182" s="95"/>
      <c r="CQ182" s="533"/>
      <c r="CR182" s="95"/>
      <c r="CS182" s="95"/>
      <c r="CT182" s="533"/>
      <c r="CU182" s="532"/>
      <c r="CV182" s="532"/>
      <c r="CW182" s="533"/>
      <c r="CX182" s="95"/>
      <c r="CY182" s="95"/>
      <c r="CZ182" s="533"/>
      <c r="DA182" s="95"/>
      <c r="DB182" s="95"/>
      <c r="DC182" s="533"/>
      <c r="DD182" s="95"/>
      <c r="DE182" s="95"/>
      <c r="DF182" s="533"/>
      <c r="DG182" s="95"/>
      <c r="DH182" s="95"/>
      <c r="DI182" s="533"/>
      <c r="DJ182" s="95"/>
      <c r="DK182" s="95"/>
      <c r="DL182" s="533"/>
      <c r="DM182" s="95"/>
      <c r="DN182" s="95"/>
      <c r="DO182" s="533"/>
      <c r="DP182" s="95"/>
      <c r="DQ182" s="95"/>
      <c r="DR182" s="533"/>
      <c r="DS182" s="95"/>
      <c r="DT182" s="95"/>
      <c r="DU182" s="533"/>
      <c r="DV182" s="95"/>
      <c r="DW182" s="95"/>
      <c r="DX182" s="533"/>
      <c r="DY182" s="95"/>
      <c r="DZ182" s="95"/>
      <c r="EA182" s="533"/>
      <c r="EB182" s="95"/>
      <c r="EC182" s="95"/>
      <c r="ED182" s="533"/>
      <c r="EE182" s="95"/>
      <c r="EF182" s="95"/>
      <c r="EG182" s="533"/>
      <c r="EH182" s="95"/>
      <c r="EI182" s="95"/>
      <c r="EJ182" s="533"/>
      <c r="EK182" s="95"/>
      <c r="EL182" s="95"/>
      <c r="EM182" s="533"/>
      <c r="EN182" s="95"/>
      <c r="EO182" s="95"/>
      <c r="EP182" s="533"/>
      <c r="EQ182" s="95"/>
      <c r="ER182" s="95"/>
      <c r="ES182" s="533"/>
      <c r="ET182" s="95"/>
      <c r="EU182" s="95"/>
      <c r="EV182" s="533"/>
      <c r="EW182" s="95"/>
      <c r="EX182" s="95"/>
      <c r="EY182" s="533"/>
      <c r="EZ182" s="95"/>
      <c r="FA182" s="95"/>
      <c r="FB182" s="83"/>
      <c r="FE182" s="489" t="s">
        <v>909</v>
      </c>
      <c r="FF182" s="648" t="s">
        <v>890</v>
      </c>
      <c r="FG182" s="648" cm="1" t="str">
        <f t="array" ref="FG182:FG182">AE182</f>
        <v>0</v>
      </c>
      <c r="FH182" s="648" cm="1" t="str">
        <f t="array" ref="FH182:FH182">AF182</f>
        <v>0</v>
      </c>
      <c r="FI182" s="649"/>
      <c r="FJ182" s="649"/>
      <c r="FK182" s="1157" cm="1" t="str">
        <f t="array" ref="FK182:FK182">OFFSET(FJ182,-1,1)</f>
        <v>ТЭ.42.31656254.0001</v>
      </c>
      <c r="FL182" s="1159"/>
      <c r="FM182" s="1159"/>
      <c r="FN182" s="1159"/>
      <c r="FO182" s="1159"/>
      <c r="FP182" s="1159"/>
      <c r="FQ182" s="1159"/>
      <c r="FR182" s="1159"/>
      <c r="FS182" s="1159" t="s">
        <v>904</v>
      </c>
      <c r="FT182" s="1159"/>
      <c r="FU182" s="1159"/>
      <c r="FV182" s="1159" t="s">
        <v>255</v>
      </c>
      <c r="FW182" s="1078" t="str">
        <f>$AE182&amp;"|"&amp;$AF182</f>
        <v>|</v>
      </c>
      <c r="FX182" s="1159" t="s">
        <v>303</v>
      </c>
      <c r="FY182" s="1159" t="s">
        <v>519</v>
      </c>
      <c r="FZ182" s="1159" t="s">
        <v>520</v>
      </c>
    </row>
    <row s="1751" customFormat="1" customHeight="1" ht="16.5">
      <c r="A183" s="1751"/>
      <c r="B183" s="1751"/>
      <c r="C183" s="1751"/>
      <c r="D183" s="1751"/>
      <c r="E183" s="180">
        <v>17</v>
      </c>
      <c r="F183" s="175" cm="1" t="str">
        <f t="array" ref="F183:F183">OFFSET(G183,-1,-1)</f>
        <v>1</v>
      </c>
      <c r="G183" s="1751"/>
      <c r="H183" s="1751"/>
      <c r="I183" s="1751"/>
      <c r="J183" s="1751"/>
      <c r="K183" s="1751"/>
      <c r="L183" s="175" cm="1" t="str">
        <f t="array" ref="L183:L183">OFFSET(M183,-1,-1)</f>
        <v>false</v>
      </c>
      <c r="M183" s="1751"/>
      <c r="N183" s="1751"/>
      <c r="O183" s="1751"/>
      <c r="P183" s="1751"/>
      <c r="Q183" s="1751"/>
      <c r="R183" s="1751"/>
      <c r="S183" s="175" cm="1" t="str">
        <f t="array" ref="S183:S183">OFFSET(T183,-1,-1)</f>
        <v>true</v>
      </c>
      <c r="T183" s="175">
        <f>AD183&lt;&gt;"22.0"</f>
        <v>1</v>
      </c>
      <c r="U183" s="753">
        <f>AND(S183,IF(ISBLANK(T183),TRUE,T183))</f>
        <v>1</v>
      </c>
      <c r="V183" s="1751"/>
      <c r="W183" s="1751"/>
      <c r="X183" s="175" t="str">
        <f>'Топливо 4.4'!$AE$179&amp;'Топливо 4.4'!$AF$179</f>
        <v>Уголь длиннопламенный</v>
      </c>
      <c r="Y183" s="1751"/>
      <c r="Z183" s="1751"/>
      <c r="AA183" s="1751"/>
      <c r="AB183" s="1607"/>
      <c r="AC183" s="1751"/>
      <c r="AD183" s="491" t="s">
        <v>1014</v>
      </c>
      <c r="AE183" s="514" cm="1" t="str">
        <f t="array" ref="AE183:AE183">IF(ISBLANK('Топливо 4.4'!$AE$179),"",'Топливо 4.4'!$AE$179)</f>
        <v>Уголь длиннопламенный</v>
      </c>
      <c r="AF183" s="515" cm="1" t="str">
        <f t="array" ref="AF183:AF183">IF(ISBLANK('Топливо 4.4'!$AF$179),"",'Топливо 4.4'!$AF$179)</f>
        <v/>
      </c>
      <c r="AG183" s="526" t="s">
        <v>495</v>
      </c>
      <c r="AH183" s="2263"/>
      <c r="AI183" s="2264"/>
      <c r="AJ183" s="2264"/>
      <c r="AK183" s="2264"/>
      <c r="AL183" s="533"/>
      <c r="AM183" s="2264"/>
      <c r="AN183" s="2264"/>
      <c r="AO183" s="533"/>
      <c r="AP183" s="2264"/>
      <c r="AQ183" s="2264"/>
      <c r="AR183" s="533"/>
      <c r="AS183" s="2264"/>
      <c r="AT183" s="2264"/>
      <c r="AU183" s="533"/>
      <c r="AV183" s="2264"/>
      <c r="AW183" s="2264"/>
      <c r="AX183" s="533"/>
      <c r="AY183" s="2264"/>
      <c r="AZ183" s="2264"/>
      <c r="BA183" s="533"/>
      <c r="BB183" s="2264"/>
      <c r="BC183" s="2264"/>
      <c r="BD183" s="533"/>
      <c r="BE183" s="2264"/>
      <c r="BF183" s="2264"/>
      <c r="BG183" s="533"/>
      <c r="BH183" s="2264"/>
      <c r="BI183" s="2264"/>
      <c r="BJ183" s="533"/>
      <c r="BK183" s="2264"/>
      <c r="BL183" s="2264"/>
      <c r="BM183" s="533"/>
      <c r="BN183" s="2264"/>
      <c r="BO183" s="2264"/>
      <c r="BP183" s="533"/>
      <c r="BQ183" s="2264"/>
      <c r="BR183" s="2264"/>
      <c r="BS183" s="533"/>
      <c r="BT183" s="2264"/>
      <c r="BU183" s="2264"/>
      <c r="BV183" s="533"/>
      <c r="BW183" s="2264"/>
      <c r="BX183" s="2264"/>
      <c r="BY183" s="533"/>
      <c r="BZ183" s="2264"/>
      <c r="CA183" s="2264"/>
      <c r="CB183" s="533"/>
      <c r="CC183" s="2264"/>
      <c r="CD183" s="2264"/>
      <c r="CE183" s="533"/>
      <c r="CF183" s="2264"/>
      <c r="CG183" s="2264"/>
      <c r="CH183" s="533"/>
      <c r="CI183" s="2264"/>
      <c r="CJ183" s="2264"/>
      <c r="CK183" s="533"/>
      <c r="CL183" s="2264"/>
      <c r="CM183" s="2264"/>
      <c r="CN183" s="533"/>
      <c r="CO183" s="2264"/>
      <c r="CP183" s="2264"/>
      <c r="CQ183" s="533"/>
      <c r="CR183" s="2264"/>
      <c r="CS183" s="2264"/>
      <c r="CT183" s="533"/>
      <c r="CU183" s="532"/>
      <c r="CV183" s="532"/>
      <c r="CW183" s="533"/>
      <c r="CX183" s="2264"/>
      <c r="CY183" s="2264"/>
      <c r="CZ183" s="533"/>
      <c r="DA183" s="2264"/>
      <c r="DB183" s="2264"/>
      <c r="DC183" s="533"/>
      <c r="DD183" s="2264"/>
      <c r="DE183" s="2264"/>
      <c r="DF183" s="533"/>
      <c r="DG183" s="2264"/>
      <c r="DH183" s="2264"/>
      <c r="DI183" s="533"/>
      <c r="DJ183" s="2264"/>
      <c r="DK183" s="2264"/>
      <c r="DL183" s="533"/>
      <c r="DM183" s="2264"/>
      <c r="DN183" s="2264"/>
      <c r="DO183" s="533"/>
      <c r="DP183" s="2264"/>
      <c r="DQ183" s="2264"/>
      <c r="DR183" s="533"/>
      <c r="DS183" s="2264"/>
      <c r="DT183" s="2264"/>
      <c r="DU183" s="533"/>
      <c r="DV183" s="2264"/>
      <c r="DW183" s="2264"/>
      <c r="DX183" s="533"/>
      <c r="DY183" s="2264"/>
      <c r="DZ183" s="2264"/>
      <c r="EA183" s="533"/>
      <c r="EB183" s="2264"/>
      <c r="EC183" s="2264"/>
      <c r="ED183" s="533"/>
      <c r="EE183" s="2264"/>
      <c r="EF183" s="2264"/>
      <c r="EG183" s="533"/>
      <c r="EH183" s="2264"/>
      <c r="EI183" s="2264"/>
      <c r="EJ183" s="533"/>
      <c r="EK183" s="2264"/>
      <c r="EL183" s="2264"/>
      <c r="EM183" s="533"/>
      <c r="EN183" s="2264"/>
      <c r="EO183" s="2264"/>
      <c r="EP183" s="533"/>
      <c r="EQ183" s="2264"/>
      <c r="ER183" s="2264"/>
      <c r="ES183" s="533"/>
      <c r="ET183" s="2264"/>
      <c r="EU183" s="2264"/>
      <c r="EV183" s="533"/>
      <c r="EW183" s="2264"/>
      <c r="EX183" s="2264"/>
      <c r="EY183" s="533"/>
      <c r="EZ183" s="2264"/>
      <c r="FA183" s="2264"/>
      <c r="FB183" s="1897"/>
      <c r="FC183" s="1751"/>
      <c r="FD183" s="1751"/>
      <c r="FE183" s="489" t="s">
        <v>909</v>
      </c>
      <c r="FF183" s="648" t="s">
        <v>890</v>
      </c>
      <c r="FG183" s="648" cm="1" t="str">
        <f t="array" ref="FG183:FG183">AE183</f>
        <v>Уголь длиннопламенный</v>
      </c>
      <c r="FH183" s="648" cm="1" t="str">
        <f t="array" ref="FH183:FH183">AF183</f>
        <v/>
      </c>
      <c r="FI183" s="649"/>
      <c r="FJ183" s="649"/>
      <c r="FK183" s="1157" cm="1" t="str">
        <f t="array" ref="FK183:FK183">OFFSET(FJ183,-1,1)</f>
        <v>ТЭ.42.31656254.0001</v>
      </c>
      <c r="FL183" s="1159"/>
      <c r="FM183" s="1159"/>
      <c r="FN183" s="1159"/>
      <c r="FO183" s="1159"/>
      <c r="FP183" s="1159"/>
      <c r="FQ183" s="1159"/>
      <c r="FR183" s="1159"/>
      <c r="FS183" s="1159" t="s">
        <v>904</v>
      </c>
      <c r="FT183" s="1159"/>
      <c r="FU183" s="1159"/>
      <c r="FV183" s="1159" t="s">
        <v>255</v>
      </c>
      <c r="FW183" s="1078" t="str">
        <f>$AE183&amp;"|"&amp;$AF183</f>
        <v>Уголь длиннопламенный|</v>
      </c>
      <c r="FX183" s="1159" t="s">
        <v>303</v>
      </c>
      <c r="FY183" s="1159" t="s">
        <v>519</v>
      </c>
      <c r="FZ183" s="1159" t="s">
        <v>520</v>
      </c>
    </row>
    <row s="1751" customFormat="1" customHeight="1" ht="17.25" hidden="1">
      <c r="A184" s="371"/>
      <c r="B184" s="1548"/>
      <c r="C184" s="1548"/>
      <c r="D184" s="1548"/>
      <c r="E184" s="965">
        <v>0</v>
      </c>
      <c r="F184" s="175" cm="1" t="str">
        <f t="array" ref="F184:F184">OFFSET(G184,-1,-1)</f>
        <v>1</v>
      </c>
      <c r="G184" s="1659"/>
      <c r="H184" s="1659"/>
      <c r="I184" s="1659"/>
      <c r="J184" s="1659"/>
      <c r="K184" s="1659"/>
      <c r="L184" s="175" cm="1" t="str">
        <f t="array" ref="L184:L184">OFFSET(M184,-1,-1)</f>
        <v>false</v>
      </c>
      <c r="M184" s="1659"/>
      <c r="N184" s="1659"/>
      <c r="O184" s="1659"/>
      <c r="P184" s="1659"/>
      <c r="Q184" s="1659"/>
      <c r="R184" s="1548"/>
      <c r="S184" s="175" cm="1" t="str">
        <f t="array" ref="S184:S184">OFFSET(T184,-1,-1)</f>
        <v>true</v>
      </c>
      <c r="T184" s="1548"/>
      <c r="U184" s="753">
        <f>AND(S184,IF(ISBLANK(T184),TRUE,T184))</f>
        <v>1</v>
      </c>
      <c r="V184" s="1548"/>
      <c r="W184" s="1548"/>
      <c r="X184" s="980" t="str">
        <f>"{                  
         funcDyn: 'msg1',
         blok: 'blok_2',
         wsCross: 'Топливо 4.4',
         linkFormula: 'AE-AE#AF-AF',
         levelDyn: "&amp;Y139&amp;"
}"</f>
        <v>{                  
         funcDyn: 'msg1',
         blok: 'blok_2',
         wsCross: 'Топливо 4.4',
         linkFormula: 'AE-AE#AF-AF',
         levelDyn: 1
}</v>
      </c>
      <c r="Y184" s="1548"/>
      <c r="Z184" s="1548"/>
      <c r="AA184" s="1009"/>
      <c r="AB184" s="1607"/>
      <c r="AC184" s="1751"/>
      <c r="AD184" s="517"/>
      <c r="AE184" s="518" t="s">
        <v>191</v>
      </c>
      <c r="AF184" s="519"/>
      <c r="AG184" s="526"/>
      <c r="AH184" s="524"/>
      <c r="AI184" s="525"/>
      <c r="AJ184" s="525"/>
      <c r="AK184" s="525"/>
      <c r="AL184" s="525"/>
      <c r="AM184" s="525"/>
      <c r="AN184" s="525"/>
      <c r="AO184" s="525"/>
      <c r="AP184" s="525"/>
      <c r="AQ184" s="525"/>
      <c r="AR184" s="525"/>
      <c r="AS184" s="525"/>
      <c r="AT184" s="525"/>
      <c r="AU184" s="525"/>
      <c r="AV184" s="525"/>
      <c r="AW184" s="525"/>
      <c r="AX184" s="525"/>
      <c r="AY184" s="525"/>
      <c r="AZ184" s="525"/>
      <c r="BA184" s="525"/>
      <c r="BB184" s="525"/>
      <c r="BC184" s="525"/>
      <c r="BD184" s="525"/>
      <c r="BE184" s="525"/>
      <c r="BF184" s="525"/>
      <c r="BG184" s="525"/>
      <c r="BH184" s="525"/>
      <c r="BI184" s="525"/>
      <c r="BJ184" s="525"/>
      <c r="BK184" s="525"/>
      <c r="BL184" s="525"/>
      <c r="BM184" s="525"/>
      <c r="BN184" s="525"/>
      <c r="BO184" s="525"/>
      <c r="BP184" s="525"/>
      <c r="BQ184" s="525"/>
      <c r="BR184" s="525"/>
      <c r="BS184" s="525"/>
      <c r="BT184" s="525"/>
      <c r="BU184" s="525"/>
      <c r="BV184" s="525"/>
      <c r="BW184" s="525"/>
      <c r="BX184" s="525"/>
      <c r="BY184" s="525"/>
      <c r="BZ184" s="525"/>
      <c r="CA184" s="525"/>
      <c r="CB184" s="525"/>
      <c r="CC184" s="525"/>
      <c r="CD184" s="525"/>
      <c r="CE184" s="525"/>
      <c r="CF184" s="525"/>
      <c r="CG184" s="525"/>
      <c r="CH184" s="525"/>
      <c r="CI184" s="525"/>
      <c r="CJ184" s="525"/>
      <c r="CK184" s="525"/>
      <c r="CL184" s="525"/>
      <c r="CM184" s="525"/>
      <c r="CN184" s="525"/>
      <c r="CO184" s="525"/>
      <c r="CP184" s="525"/>
      <c r="CQ184" s="525"/>
      <c r="CR184" s="525"/>
      <c r="CS184" s="525"/>
      <c r="CT184" s="525"/>
      <c r="CU184" s="525"/>
      <c r="CV184" s="525"/>
      <c r="CW184" s="525"/>
      <c r="CX184" s="525"/>
      <c r="CY184" s="525"/>
      <c r="CZ184" s="525"/>
      <c r="DA184" s="525"/>
      <c r="DB184" s="525"/>
      <c r="DC184" s="525"/>
      <c r="DD184" s="525"/>
      <c r="DE184" s="525"/>
      <c r="DF184" s="525"/>
      <c r="DG184" s="525"/>
      <c r="DH184" s="525"/>
      <c r="DI184" s="525"/>
      <c r="DJ184" s="525"/>
      <c r="DK184" s="525"/>
      <c r="DL184" s="525"/>
      <c r="DM184" s="525"/>
      <c r="DN184" s="525"/>
      <c r="DO184" s="525"/>
      <c r="DP184" s="525"/>
      <c r="DQ184" s="525"/>
      <c r="DR184" s="525"/>
      <c r="DS184" s="525"/>
      <c r="DT184" s="525"/>
      <c r="DU184" s="525"/>
      <c r="DV184" s="525"/>
      <c r="DW184" s="525"/>
      <c r="DX184" s="525"/>
      <c r="DY184" s="525"/>
      <c r="DZ184" s="525"/>
      <c r="EA184" s="525"/>
      <c r="EB184" s="525"/>
      <c r="EC184" s="525"/>
      <c r="ED184" s="525"/>
      <c r="EE184" s="525"/>
      <c r="EF184" s="525"/>
      <c r="EG184" s="525"/>
      <c r="EH184" s="525"/>
      <c r="EI184" s="525"/>
      <c r="EJ184" s="525"/>
      <c r="EK184" s="525"/>
      <c r="EL184" s="525"/>
      <c r="EM184" s="525"/>
      <c r="EN184" s="525"/>
      <c r="EO184" s="525"/>
      <c r="EP184" s="525"/>
      <c r="EQ184" s="525"/>
      <c r="ER184" s="525"/>
      <c r="ES184" s="525"/>
      <c r="ET184" s="525"/>
      <c r="EU184" s="525"/>
      <c r="EV184" s="525"/>
      <c r="EW184" s="525"/>
      <c r="EX184" s="525"/>
      <c r="EY184" s="525"/>
      <c r="EZ184" s="525"/>
      <c r="FA184" s="525"/>
      <c r="FB184" s="93"/>
      <c r="FC184" s="1751"/>
      <c r="FD184" s="1506"/>
      <c r="FE184" s="489" t="str">
        <f>IF(AND(ISNUMBER(VALUE(TRIM(SUBSTITUTE(AD184,".","")))),TRIM(SUBSTITUTE(AD184,".",""))&lt;&gt;""),"P"&amp;SUBSTITUTE(AD184,".",""),"")</f>
        <v/>
      </c>
      <c r="FF184" s="648"/>
      <c r="FG184" s="648"/>
      <c r="FH184" s="648"/>
      <c r="FI184" s="649"/>
      <c r="FJ184" s="649"/>
      <c r="FK184" s="1157" cm="1" t="str">
        <f t="array" ref="FK184:FK184">OFFSET(FJ184,-1,1)</f>
        <v>ТЭ.42.31656254.0001</v>
      </c>
      <c r="FL184" s="1159"/>
      <c r="FM184" s="1159"/>
      <c r="FN184" s="1159"/>
      <c r="FO184" s="1159"/>
      <c r="FP184" s="1159"/>
      <c r="FQ184" s="1159"/>
      <c r="FR184" s="1159"/>
      <c r="FS184" s="1159"/>
      <c r="FT184" s="1159"/>
      <c r="FU184" s="1159"/>
      <c r="FV184" s="1159"/>
      <c r="FW184" s="1159"/>
      <c r="FX184" s="1159"/>
      <c r="FY184" s="1159"/>
      <c r="FZ184" s="1159"/>
    </row>
    <row s="1751" customFormat="1" customHeight="1" ht="16.5">
      <c r="A185" s="371"/>
      <c r="B185" s="1548"/>
      <c r="C185" s="1548"/>
      <c r="D185" s="1548"/>
      <c r="E185" s="180">
        <v>17</v>
      </c>
      <c r="F185" s="175" cm="1" t="str">
        <f t="array" ref="F185:F185">OFFSET(G185,-1,-1)</f>
        <v>1</v>
      </c>
      <c r="G185" s="1659"/>
      <c r="H185" s="1659"/>
      <c r="I185" s="1659"/>
      <c r="J185" s="1659"/>
      <c r="K185" s="1659"/>
      <c r="L185" s="175" cm="1" t="str">
        <f t="array" ref="L185:L185">OFFSET(M185,-1,-1)</f>
        <v>false</v>
      </c>
      <c r="M185" s="1659"/>
      <c r="N185" s="1659"/>
      <c r="O185" s="1659"/>
      <c r="P185" s="1659"/>
      <c r="Q185" s="1659"/>
      <c r="R185" s="1548"/>
      <c r="S185" s="175" cm="1" t="str">
        <f t="array" ref="S185:S185">OFFSET(T185,-1,-1)</f>
        <v>true</v>
      </c>
      <c r="T185" s="1548"/>
      <c r="U185" s="753">
        <f>AND(S185,IF(ISBLANK(T185),TRUE,T185))</f>
        <v>1</v>
      </c>
      <c r="V185" s="1548"/>
      <c r="W185" s="1548"/>
      <c r="X185" s="1548"/>
      <c r="Y185" s="1548"/>
      <c r="Z185" s="1548"/>
      <c r="AA185" s="1009"/>
      <c r="AB185" s="1607"/>
      <c r="AC185" s="1751"/>
      <c r="AD185" s="491">
        <v>23</v>
      </c>
      <c r="AE185" s="1619" t="s">
        <v>911</v>
      </c>
      <c r="AF185" s="496"/>
      <c r="AG185" s="523"/>
      <c r="AH185" s="524"/>
      <c r="AI185" s="525"/>
      <c r="AJ185" s="525"/>
      <c r="AK185" s="525"/>
      <c r="AL185" s="525"/>
      <c r="AM185" s="525"/>
      <c r="AN185" s="525"/>
      <c r="AO185" s="525"/>
      <c r="AP185" s="525"/>
      <c r="AQ185" s="525"/>
      <c r="AR185" s="525"/>
      <c r="AS185" s="525"/>
      <c r="AT185" s="525"/>
      <c r="AU185" s="525"/>
      <c r="AV185" s="525"/>
      <c r="AW185" s="525"/>
      <c r="AX185" s="525"/>
      <c r="AY185" s="525"/>
      <c r="AZ185" s="525"/>
      <c r="BA185" s="525"/>
      <c r="BB185" s="525"/>
      <c r="BC185" s="525"/>
      <c r="BD185" s="525"/>
      <c r="BE185" s="525"/>
      <c r="BF185" s="525"/>
      <c r="BG185" s="525"/>
      <c r="BH185" s="525"/>
      <c r="BI185" s="525"/>
      <c r="BJ185" s="525"/>
      <c r="BK185" s="525"/>
      <c r="BL185" s="525"/>
      <c r="BM185" s="525"/>
      <c r="BN185" s="525"/>
      <c r="BO185" s="525"/>
      <c r="BP185" s="525"/>
      <c r="BQ185" s="525"/>
      <c r="BR185" s="525"/>
      <c r="BS185" s="525"/>
      <c r="BT185" s="525"/>
      <c r="BU185" s="525"/>
      <c r="BV185" s="525"/>
      <c r="BW185" s="525"/>
      <c r="BX185" s="525"/>
      <c r="BY185" s="525"/>
      <c r="BZ185" s="525"/>
      <c r="CA185" s="525"/>
      <c r="CB185" s="525"/>
      <c r="CC185" s="525"/>
      <c r="CD185" s="525"/>
      <c r="CE185" s="525"/>
      <c r="CF185" s="525"/>
      <c r="CG185" s="525"/>
      <c r="CH185" s="525"/>
      <c r="CI185" s="525"/>
      <c r="CJ185" s="525"/>
      <c r="CK185" s="525"/>
      <c r="CL185" s="525"/>
      <c r="CM185" s="525"/>
      <c r="CN185" s="525"/>
      <c r="CO185" s="525"/>
      <c r="CP185" s="525"/>
      <c r="CQ185" s="525"/>
      <c r="CR185" s="525"/>
      <c r="CS185" s="525"/>
      <c r="CT185" s="525"/>
      <c r="CU185" s="525"/>
      <c r="CV185" s="525"/>
      <c r="CW185" s="525"/>
      <c r="CX185" s="525"/>
      <c r="CY185" s="525"/>
      <c r="CZ185" s="525"/>
      <c r="DA185" s="525"/>
      <c r="DB185" s="525"/>
      <c r="DC185" s="525"/>
      <c r="DD185" s="525"/>
      <c r="DE185" s="525"/>
      <c r="DF185" s="525"/>
      <c r="DG185" s="525"/>
      <c r="DH185" s="525"/>
      <c r="DI185" s="525"/>
      <c r="DJ185" s="525"/>
      <c r="DK185" s="525"/>
      <c r="DL185" s="525"/>
      <c r="DM185" s="525"/>
      <c r="DN185" s="525"/>
      <c r="DO185" s="525"/>
      <c r="DP185" s="525"/>
      <c r="DQ185" s="525"/>
      <c r="DR185" s="525"/>
      <c r="DS185" s="525"/>
      <c r="DT185" s="525"/>
      <c r="DU185" s="525"/>
      <c r="DV185" s="525"/>
      <c r="DW185" s="525"/>
      <c r="DX185" s="525"/>
      <c r="DY185" s="525"/>
      <c r="DZ185" s="525"/>
      <c r="EA185" s="525"/>
      <c r="EB185" s="525"/>
      <c r="EC185" s="525"/>
      <c r="ED185" s="525"/>
      <c r="EE185" s="525"/>
      <c r="EF185" s="525"/>
      <c r="EG185" s="525"/>
      <c r="EH185" s="525"/>
      <c r="EI185" s="525"/>
      <c r="EJ185" s="525"/>
      <c r="EK185" s="525"/>
      <c r="EL185" s="525"/>
      <c r="EM185" s="525"/>
      <c r="EN185" s="525"/>
      <c r="EO185" s="525"/>
      <c r="EP185" s="525"/>
      <c r="EQ185" s="525"/>
      <c r="ER185" s="525"/>
      <c r="ES185" s="525"/>
      <c r="ET185" s="525"/>
      <c r="EU185" s="525"/>
      <c r="EV185" s="525"/>
      <c r="EW185" s="525"/>
      <c r="EX185" s="525"/>
      <c r="EY185" s="525"/>
      <c r="EZ185" s="525"/>
      <c r="FA185" s="525"/>
      <c r="FB185" s="1897"/>
      <c r="FC185" s="1751"/>
      <c r="FD185" s="1506"/>
      <c r="FE185" s="489" t="s">
        <v>912</v>
      </c>
      <c r="FF185" s="648"/>
      <c r="FG185" s="648"/>
      <c r="FH185" s="648"/>
      <c r="FI185" s="649"/>
      <c r="FJ185" s="649"/>
      <c r="FK185" s="1157" cm="1" t="str">
        <f t="array" ref="FK185:FK185">OFFSET(FJ185,-1,1)</f>
        <v>ТЭ.42.31656254.0001</v>
      </c>
      <c r="FL185" s="1078"/>
      <c r="FM185" s="1159"/>
      <c r="FN185" s="1159"/>
      <c r="FO185" s="1159"/>
      <c r="FP185" s="1159"/>
      <c r="FQ185" s="1159"/>
      <c r="FR185" s="1159"/>
      <c r="FS185" s="1078" t="s">
        <v>904</v>
      </c>
      <c r="FT185" s="1159"/>
      <c r="FU185" s="1159"/>
      <c r="FV185" s="1078" t="s">
        <v>255</v>
      </c>
      <c r="FW185" s="1159"/>
      <c r="FX185" s="1078"/>
      <c r="FY185" s="1078"/>
      <c r="FZ185" s="1078"/>
    </row>
    <row s="1751" customFormat="1" customHeight="1" ht="16.5" hidden="1">
      <c r="E186" s="180">
        <v>17</v>
      </c>
      <c r="F186" s="175" cm="1" t="str">
        <f t="array" ref="F186:F186">OFFSET(G186,-1,-1)</f>
        <v>1</v>
      </c>
      <c r="L186" s="175" cm="1" t="str">
        <f t="array" ref="L186:L186">OFFSET(M186,-1,-1)</f>
        <v>false</v>
      </c>
      <c r="S186" s="175" cm="1" t="str">
        <f t="array" ref="S186:S186">OFFSET(T186,-1,-1)</f>
        <v>true</v>
      </c>
      <c r="T186" s="175">
        <f>AD186&lt;&gt;"23.0"</f>
        <v>0</v>
      </c>
      <c r="U186" s="753">
        <f>AND(S186,IF(ISBLANK(T186),TRUE,T186))</f>
        <v>0</v>
      </c>
      <c r="X186" s="175" t="s">
        <v>189</v>
      </c>
      <c r="AB186" s="1607"/>
      <c r="AD186" s="491" t="s">
        <v>913</v>
      </c>
      <c r="AE186" s="514"/>
      <c r="AF186" s="515"/>
      <c r="AG186" s="530" t="str">
        <f>"руб./"&amp;_xlfn.IFERROR(INDEX(fuel_ed_izm_list,MATCH(AE186,fuel_list,0)),"")</f>
        <v>руб./</v>
      </c>
      <c r="AH186" s="88">
        <f>_xlfn.IFERROR(AH191/AH178,0)*1000</f>
        <v>0</v>
      </c>
      <c r="AI186" s="89">
        <f>_xlfn.IFERROR(AI191/AI178,0)*1000</f>
        <v>0</v>
      </c>
      <c r="AJ186" s="89">
        <f>_xlfn.IFERROR(AJ191/AJ178,0)*1000</f>
        <v>0</v>
      </c>
      <c r="AK186" s="89">
        <f>_xlfn.IFERROR(AK191/AK178,0)*1000</f>
        <v>0</v>
      </c>
      <c r="AL186" s="499">
        <f>_xlfn.IFERROR(AL191/AL178,0)*1000</f>
        <v>0</v>
      </c>
      <c r="AM186" s="89"/>
      <c r="AN186" s="89"/>
      <c r="AO186" s="499">
        <f>_xlfn.IFERROR(AO191/AO178,0)*1000</f>
        <v>0</v>
      </c>
      <c r="AP186" s="89"/>
      <c r="AQ186" s="89"/>
      <c r="AR186" s="499">
        <f>_xlfn.IFERROR(AR191/AR178,0)*1000</f>
        <v>0</v>
      </c>
      <c r="AS186" s="89"/>
      <c r="AT186" s="89"/>
      <c r="AU186" s="499">
        <f>_xlfn.IFERROR(AU191/AU178,0)*1000</f>
        <v>0</v>
      </c>
      <c r="AV186" s="89"/>
      <c r="AW186" s="89"/>
      <c r="AX186" s="499">
        <f>_xlfn.IFERROR(AX191/AX178,0)*1000</f>
        <v>0</v>
      </c>
      <c r="AY186" s="89"/>
      <c r="AZ186" s="89"/>
      <c r="BA186" s="499">
        <f>_xlfn.IFERROR(BA191/BA178,0)*1000</f>
        <v>0</v>
      </c>
      <c r="BB186" s="89"/>
      <c r="BC186" s="89"/>
      <c r="BD186" s="499">
        <f>_xlfn.IFERROR(BD191/BD178,0)*1000</f>
        <v>0</v>
      </c>
      <c r="BE186" s="89"/>
      <c r="BF186" s="89"/>
      <c r="BG186" s="499">
        <f>_xlfn.IFERROR(BG191/BG178,0)*1000</f>
        <v>0</v>
      </c>
      <c r="BH186" s="89"/>
      <c r="BI186" s="89"/>
      <c r="BJ186" s="499">
        <f>_xlfn.IFERROR(BJ191/BJ178,0)*1000</f>
        <v>0</v>
      </c>
      <c r="BK186" s="89"/>
      <c r="BL186" s="89"/>
      <c r="BM186" s="499">
        <f>_xlfn.IFERROR(BM191/BM178,0)*1000</f>
        <v>0</v>
      </c>
      <c r="BN186" s="89"/>
      <c r="BO186" s="89"/>
      <c r="BP186" s="499">
        <f>_xlfn.IFERROR(BP191/BP178,0)*1000</f>
        <v>0</v>
      </c>
      <c r="BQ186" s="89"/>
      <c r="BR186" s="89"/>
      <c r="BS186" s="499">
        <f>_xlfn.IFERROR(BS191/BS178,0)*1000</f>
        <v>0</v>
      </c>
      <c r="BT186" s="89"/>
      <c r="BU186" s="89"/>
      <c r="BV186" s="499">
        <f>_xlfn.IFERROR(BV191/BV178,0)*1000</f>
        <v>0</v>
      </c>
      <c r="BW186" s="89"/>
      <c r="BX186" s="89"/>
      <c r="BY186" s="499">
        <f>_xlfn.IFERROR(BY191/BY178,0)*1000</f>
        <v>0</v>
      </c>
      <c r="BZ186" s="89"/>
      <c r="CA186" s="89"/>
      <c r="CB186" s="499">
        <f>_xlfn.IFERROR(CB191/CB178,0)*1000</f>
        <v>0</v>
      </c>
      <c r="CC186" s="89"/>
      <c r="CD186" s="89"/>
      <c r="CE186" s="499">
        <f>_xlfn.IFERROR(CE191/CE178,0)*1000</f>
        <v>0</v>
      </c>
      <c r="CF186" s="89"/>
      <c r="CG186" s="89"/>
      <c r="CH186" s="499">
        <f>_xlfn.IFERROR(CH191/CH178,0)*1000</f>
        <v>0</v>
      </c>
      <c r="CI186" s="89"/>
      <c r="CJ186" s="89"/>
      <c r="CK186" s="499">
        <f>_xlfn.IFERROR(CK191/CK178,0)*1000</f>
        <v>0</v>
      </c>
      <c r="CL186" s="89"/>
      <c r="CM186" s="89"/>
      <c r="CN186" s="499">
        <f>_xlfn.IFERROR(CN191/CN178,0)*1000</f>
        <v>0</v>
      </c>
      <c r="CO186" s="89"/>
      <c r="CP186" s="89"/>
      <c r="CQ186" s="499">
        <f>_xlfn.IFERROR(CQ191/CQ178,0)*1000</f>
        <v>0</v>
      </c>
      <c r="CR186" s="89"/>
      <c r="CS186" s="89"/>
      <c r="CT186" s="499">
        <f>_xlfn.IFERROR(CT191/CT178,0)*1000</f>
        <v>0</v>
      </c>
      <c r="CU186" s="498"/>
      <c r="CV186" s="498"/>
      <c r="CW186" s="499">
        <f>_xlfn.IFERROR(CW191/CW178,0)*1000</f>
        <v>0</v>
      </c>
      <c r="CX186" s="89"/>
      <c r="CY186" s="89"/>
      <c r="CZ186" s="499">
        <f>_xlfn.IFERROR(CZ191/CZ178,0)*1000</f>
        <v>0</v>
      </c>
      <c r="DA186" s="89"/>
      <c r="DB186" s="89"/>
      <c r="DC186" s="499">
        <f>_xlfn.IFERROR(DC191/DC178,0)*1000</f>
        <v>0</v>
      </c>
      <c r="DD186" s="89"/>
      <c r="DE186" s="89"/>
      <c r="DF186" s="499">
        <f>_xlfn.IFERROR(DF191/DF178,0)*1000</f>
        <v>0</v>
      </c>
      <c r="DG186" s="89"/>
      <c r="DH186" s="89"/>
      <c r="DI186" s="499">
        <f>_xlfn.IFERROR(DI191/DI178,0)*1000</f>
        <v>0</v>
      </c>
      <c r="DJ186" s="89"/>
      <c r="DK186" s="89"/>
      <c r="DL186" s="499">
        <f>_xlfn.IFERROR(DL191/DL178,0)*1000</f>
        <v>0</v>
      </c>
      <c r="DM186" s="89"/>
      <c r="DN186" s="89"/>
      <c r="DO186" s="499">
        <f>_xlfn.IFERROR(DO191/DO178,0)*1000</f>
        <v>0</v>
      </c>
      <c r="DP186" s="89"/>
      <c r="DQ186" s="89"/>
      <c r="DR186" s="499">
        <f>_xlfn.IFERROR(DR191/DR178,0)*1000</f>
        <v>0</v>
      </c>
      <c r="DS186" s="89"/>
      <c r="DT186" s="89"/>
      <c r="DU186" s="499">
        <f>_xlfn.IFERROR(DU191/DU178,0)*1000</f>
        <v>0</v>
      </c>
      <c r="DV186" s="89"/>
      <c r="DW186" s="89"/>
      <c r="DX186" s="499">
        <f>_xlfn.IFERROR(DX191/DX178,0)*1000</f>
        <v>0</v>
      </c>
      <c r="DY186" s="89"/>
      <c r="DZ186" s="89"/>
      <c r="EA186" s="499">
        <f>_xlfn.IFERROR(EA191/EA178,0)*1000</f>
        <v>0</v>
      </c>
      <c r="EB186" s="89"/>
      <c r="EC186" s="89"/>
      <c r="ED186" s="499">
        <f>_xlfn.IFERROR(ED191/ED178,0)*1000</f>
        <v>0</v>
      </c>
      <c r="EE186" s="89"/>
      <c r="EF186" s="89"/>
      <c r="EG186" s="499">
        <f>_xlfn.IFERROR(EG191/EG178,0)*1000</f>
        <v>0</v>
      </c>
      <c r="EH186" s="89"/>
      <c r="EI186" s="89"/>
      <c r="EJ186" s="499">
        <f>_xlfn.IFERROR(EJ191/EJ178,0)*1000</f>
        <v>0</v>
      </c>
      <c r="EK186" s="89"/>
      <c r="EL186" s="89"/>
      <c r="EM186" s="499">
        <f>_xlfn.IFERROR(EM191/EM178,0)*1000</f>
        <v>0</v>
      </c>
      <c r="EN186" s="89"/>
      <c r="EO186" s="89"/>
      <c r="EP186" s="499">
        <f>_xlfn.IFERROR(EP191/EP178,0)*1000</f>
        <v>0</v>
      </c>
      <c r="EQ186" s="89"/>
      <c r="ER186" s="89"/>
      <c r="ES186" s="499">
        <f>_xlfn.IFERROR(ES191/ES178,0)*1000</f>
        <v>0</v>
      </c>
      <c r="ET186" s="89"/>
      <c r="EU186" s="89"/>
      <c r="EV186" s="499">
        <f>_xlfn.IFERROR(EV191/EV178,0)*1000</f>
        <v>0</v>
      </c>
      <c r="EW186" s="89"/>
      <c r="EX186" s="89"/>
      <c r="EY186" s="499">
        <f>_xlfn.IFERROR(EY191/EY178,0)*1000</f>
        <v>0</v>
      </c>
      <c r="EZ186" s="89"/>
      <c r="FA186" s="89"/>
      <c r="FB186" s="83"/>
      <c r="FE186" s="489" t="s">
        <v>912</v>
      </c>
      <c r="FF186" s="648" t="s">
        <v>890</v>
      </c>
      <c r="FG186" s="648" cm="1" t="str">
        <f t="array" ref="FG186:FG186">AE186</f>
        <v>0</v>
      </c>
      <c r="FH186" s="648" cm="1" t="str">
        <f t="array" ref="FH186:FH186">AF186</f>
        <v>0</v>
      </c>
      <c r="FI186" s="649"/>
      <c r="FJ186" s="649"/>
      <c r="FK186" s="1157" cm="1" t="str">
        <f t="array" ref="FK186:FK186">OFFSET(FJ186,-1,1)</f>
        <v>ТЭ.42.31656254.0001</v>
      </c>
      <c r="FL186" s="1159"/>
      <c r="FM186" s="1159"/>
      <c r="FN186" s="1159"/>
      <c r="FO186" s="1159"/>
      <c r="FP186" s="1159"/>
      <c r="FQ186" s="1159"/>
      <c r="FR186" s="1159"/>
      <c r="FS186" s="1159" t="s">
        <v>904</v>
      </c>
      <c r="FT186" s="1159"/>
      <c r="FU186" s="1159"/>
      <c r="FV186" s="1159" t="s">
        <v>449</v>
      </c>
      <c r="FW186" s="1078" t="str">
        <f>$AE186&amp;"|"&amp;$AF186</f>
        <v>|</v>
      </c>
      <c r="FX186" s="1159" t="s">
        <v>303</v>
      </c>
      <c r="FY186" s="1159" t="s">
        <v>914</v>
      </c>
      <c r="FZ186" s="1159" t="s">
        <v>915</v>
      </c>
    </row>
    <row s="1751" customFormat="1" customHeight="1" ht="16.5">
      <c r="A187" s="1751"/>
      <c r="B187" s="1751"/>
      <c r="C187" s="1751"/>
      <c r="D187" s="1751"/>
      <c r="E187" s="180">
        <v>17</v>
      </c>
      <c r="F187" s="175" cm="1" t="str">
        <f t="array" ref="F187:F187">OFFSET(G187,-1,-1)</f>
        <v>1</v>
      </c>
      <c r="G187" s="1751"/>
      <c r="H187" s="1751"/>
      <c r="I187" s="1751"/>
      <c r="J187" s="1751"/>
      <c r="K187" s="1751"/>
      <c r="L187" s="175" cm="1" t="str">
        <f t="array" ref="L187:L187">OFFSET(M187,-1,-1)</f>
        <v>false</v>
      </c>
      <c r="M187" s="1751"/>
      <c r="N187" s="1751"/>
      <c r="O187" s="1751"/>
      <c r="P187" s="1751"/>
      <c r="Q187" s="1751"/>
      <c r="R187" s="1751"/>
      <c r="S187" s="175" cm="1" t="str">
        <f t="array" ref="S187:S187">OFFSET(T187,-1,-1)</f>
        <v>true</v>
      </c>
      <c r="T187" s="175">
        <f>AD187&lt;&gt;"23.0"</f>
        <v>1</v>
      </c>
      <c r="U187" s="753">
        <f>AND(S187,IF(ISBLANK(T187),TRUE,T187))</f>
        <v>1</v>
      </c>
      <c r="V187" s="1751"/>
      <c r="W187" s="1751"/>
      <c r="X187" s="175" t="str">
        <f>'Топливо 4.4'!$AE$183&amp;'Топливо 4.4'!$AF$183</f>
        <v>Уголь длиннопламенный</v>
      </c>
      <c r="Y187" s="1751"/>
      <c r="Z187" s="1751"/>
      <c r="AA187" s="1751"/>
      <c r="AB187" s="1607"/>
      <c r="AC187" s="1751"/>
      <c r="AD187" s="491" t="s">
        <v>1015</v>
      </c>
      <c r="AE187" s="514" cm="1" t="str">
        <f t="array" ref="AE187:AE187">IF(ISBLANK('Топливо 4.4'!$AE$183),"",'Топливо 4.4'!$AE$183)</f>
        <v>Уголь длиннопламенный</v>
      </c>
      <c r="AF187" s="515" cm="1" t="str">
        <f t="array" ref="AF187:AF187">IF(ISBLANK('Топливо 4.4'!$AF$183),"",'Топливо 4.4'!$AF$183)</f>
        <v/>
      </c>
      <c r="AG187" s="530" t="str">
        <f>"руб./"&amp;_xlfn.IFERROR(INDEX(fuel_ed_izm_list,MATCH(AE187,fuel_list,0)),"")</f>
        <v>руб./тнт</v>
      </c>
      <c r="AH187" s="2255">
        <f>_xlfn.IFERROR(AH192/AH179,0)*1000</f>
        <v>1505.53282287648</v>
      </c>
      <c r="AI187" s="2256">
        <f>_xlfn.IFERROR(AI192/AI179,0)*1000</f>
        <v>2365.31024531025</v>
      </c>
      <c r="AJ187" s="2256">
        <f>_xlfn.IFERROR(AJ192/AJ179,0)*1000</f>
        <v>2166.67</v>
      </c>
      <c r="AK187" s="2256">
        <f>_xlfn.IFERROR(AK192/AK179,0)*1000</f>
        <v>1774.60899299332</v>
      </c>
      <c r="AL187" s="499">
        <f>_xlfn.IFERROR(AL192/AL179,0)*1000</f>
        <v>2738.81</v>
      </c>
      <c r="AM187" s="2256">
        <f>3290.06-551.25</f>
        <v>2738.81</v>
      </c>
      <c r="AN187" s="2256" cm="1" t="str">
        <f t="array" ref="AN187:AN187">AM187</f>
        <v>2738.81</v>
      </c>
      <c r="AO187" s="499">
        <f>_xlfn.IFERROR(AO192/AO179,0)*1000</f>
        <v>0</v>
      </c>
      <c r="AP187" s="2256"/>
      <c r="AQ187" s="2256"/>
      <c r="AR187" s="499">
        <f>_xlfn.IFERROR(AR192/AR179,0)*1000</f>
        <v>0</v>
      </c>
      <c r="AS187" s="2256"/>
      <c r="AT187" s="2256"/>
      <c r="AU187" s="499">
        <f>_xlfn.IFERROR(AU192/AU179,0)*1000</f>
        <v>0</v>
      </c>
      <c r="AV187" s="2256"/>
      <c r="AW187" s="2256"/>
      <c r="AX187" s="499">
        <f>_xlfn.IFERROR(AX192/AX179,0)*1000</f>
        <v>0</v>
      </c>
      <c r="AY187" s="2256"/>
      <c r="AZ187" s="2256"/>
      <c r="BA187" s="499">
        <f>_xlfn.IFERROR(BA192/BA179,0)*1000</f>
        <v>0</v>
      </c>
      <c r="BB187" s="2256"/>
      <c r="BC187" s="2256"/>
      <c r="BD187" s="499">
        <f>_xlfn.IFERROR(BD192/BD179,0)*1000</f>
        <v>0</v>
      </c>
      <c r="BE187" s="2256"/>
      <c r="BF187" s="2256"/>
      <c r="BG187" s="499">
        <f>_xlfn.IFERROR(BG192/BG179,0)*1000</f>
        <v>0</v>
      </c>
      <c r="BH187" s="2256"/>
      <c r="BI187" s="2256"/>
      <c r="BJ187" s="499">
        <f>_xlfn.IFERROR(BJ192/BJ179,0)*1000</f>
        <v>0</v>
      </c>
      <c r="BK187" s="2256"/>
      <c r="BL187" s="2256"/>
      <c r="BM187" s="499">
        <f>_xlfn.IFERROR(BM192/BM179,0)*1000</f>
        <v>0</v>
      </c>
      <c r="BN187" s="2256"/>
      <c r="BO187" s="2256"/>
      <c r="BP187" s="499">
        <f>_xlfn.IFERROR(BP192/BP179,0)*1000</f>
        <v>0</v>
      </c>
      <c r="BQ187" s="2256"/>
      <c r="BR187" s="2256"/>
      <c r="BS187" s="499">
        <f>_xlfn.IFERROR(BS192/BS179,0)*1000</f>
        <v>0</v>
      </c>
      <c r="BT187" s="2256"/>
      <c r="BU187" s="2256"/>
      <c r="BV187" s="499">
        <f>_xlfn.IFERROR(BV192/BV179,0)*1000</f>
        <v>0</v>
      </c>
      <c r="BW187" s="2256"/>
      <c r="BX187" s="2256"/>
      <c r="BY187" s="499">
        <f>_xlfn.IFERROR(BY192/BY179,0)*1000</f>
        <v>0</v>
      </c>
      <c r="BZ187" s="2256"/>
      <c r="CA187" s="2256"/>
      <c r="CB187" s="499">
        <f>_xlfn.IFERROR(CB192/CB179,0)*1000</f>
        <v>0</v>
      </c>
      <c r="CC187" s="2256"/>
      <c r="CD187" s="2256"/>
      <c r="CE187" s="499">
        <f>_xlfn.IFERROR(CE192/CE179,0)*1000</f>
        <v>0</v>
      </c>
      <c r="CF187" s="2256"/>
      <c r="CG187" s="2256"/>
      <c r="CH187" s="499">
        <f>_xlfn.IFERROR(CH192/CH179,0)*1000</f>
        <v>0</v>
      </c>
      <c r="CI187" s="2256"/>
      <c r="CJ187" s="2256"/>
      <c r="CK187" s="499">
        <f>_xlfn.IFERROR(CK192/CK179,0)*1000</f>
        <v>0</v>
      </c>
      <c r="CL187" s="2256"/>
      <c r="CM187" s="2256"/>
      <c r="CN187" s="499">
        <f>_xlfn.IFERROR(CN192/CN179,0)*1000</f>
        <v>0</v>
      </c>
      <c r="CO187" s="2256"/>
      <c r="CP187" s="2256"/>
      <c r="CQ187" s="499">
        <f>_xlfn.IFERROR(CQ192/CQ179,0)*1000</f>
        <v>0</v>
      </c>
      <c r="CR187" s="2256"/>
      <c r="CS187" s="2256"/>
      <c r="CT187" s="499">
        <f>_xlfn.IFERROR(CT192/CT179,0)*1000</f>
        <v>2435.5384480407</v>
      </c>
      <c r="CU187" s="498">
        <v>2433.84</v>
      </c>
      <c r="CV187" s="498">
        <v>2433.84</v>
      </c>
      <c r="CW187" s="499">
        <f>_xlfn.IFERROR(CW192/CW179,0)*1000</f>
        <v>0</v>
      </c>
      <c r="CX187" s="2256"/>
      <c r="CY187" s="2256"/>
      <c r="CZ187" s="499">
        <f>_xlfn.IFERROR(CZ192/CZ179,0)*1000</f>
        <v>0</v>
      </c>
      <c r="DA187" s="2256"/>
      <c r="DB187" s="2256"/>
      <c r="DC187" s="499">
        <f>_xlfn.IFERROR(DC192/DC179,0)*1000</f>
        <v>0</v>
      </c>
      <c r="DD187" s="2256"/>
      <c r="DE187" s="2256"/>
      <c r="DF187" s="499">
        <f>_xlfn.IFERROR(DF192/DF179,0)*1000</f>
        <v>0</v>
      </c>
      <c r="DG187" s="2256"/>
      <c r="DH187" s="2256"/>
      <c r="DI187" s="499">
        <f>_xlfn.IFERROR(DI192/DI179,0)*1000</f>
        <v>0</v>
      </c>
      <c r="DJ187" s="2256"/>
      <c r="DK187" s="2256"/>
      <c r="DL187" s="499">
        <f>_xlfn.IFERROR(DL192/DL179,0)*1000</f>
        <v>0</v>
      </c>
      <c r="DM187" s="2256"/>
      <c r="DN187" s="2256"/>
      <c r="DO187" s="499">
        <f>_xlfn.IFERROR(DO192/DO179,0)*1000</f>
        <v>0</v>
      </c>
      <c r="DP187" s="2256"/>
      <c r="DQ187" s="2256"/>
      <c r="DR187" s="499">
        <f>_xlfn.IFERROR(DR192/DR179,0)*1000</f>
        <v>0</v>
      </c>
      <c r="DS187" s="2256"/>
      <c r="DT187" s="2256"/>
      <c r="DU187" s="499">
        <f>_xlfn.IFERROR(DU192/DU179,0)*1000</f>
        <v>0</v>
      </c>
      <c r="DV187" s="2256"/>
      <c r="DW187" s="2256"/>
      <c r="DX187" s="499">
        <f>_xlfn.IFERROR(DX192/DX179,0)*1000</f>
        <v>0</v>
      </c>
      <c r="DY187" s="2256"/>
      <c r="DZ187" s="2256"/>
      <c r="EA187" s="499">
        <f>_xlfn.IFERROR(EA192/EA179,0)*1000</f>
        <v>0</v>
      </c>
      <c r="EB187" s="2256"/>
      <c r="EC187" s="2256"/>
      <c r="ED187" s="499">
        <f>_xlfn.IFERROR(ED192/ED179,0)*1000</f>
        <v>0</v>
      </c>
      <c r="EE187" s="2256"/>
      <c r="EF187" s="2256"/>
      <c r="EG187" s="499">
        <f>_xlfn.IFERROR(EG192/EG179,0)*1000</f>
        <v>0</v>
      </c>
      <c r="EH187" s="2256"/>
      <c r="EI187" s="2256"/>
      <c r="EJ187" s="499">
        <f>_xlfn.IFERROR(EJ192/EJ179,0)*1000</f>
        <v>0</v>
      </c>
      <c r="EK187" s="2256"/>
      <c r="EL187" s="2256"/>
      <c r="EM187" s="499">
        <f>_xlfn.IFERROR(EM192/EM179,0)*1000</f>
        <v>0</v>
      </c>
      <c r="EN187" s="2256"/>
      <c r="EO187" s="2256"/>
      <c r="EP187" s="499">
        <f>_xlfn.IFERROR(EP192/EP179,0)*1000</f>
        <v>0</v>
      </c>
      <c r="EQ187" s="2256"/>
      <c r="ER187" s="2256"/>
      <c r="ES187" s="499">
        <f>_xlfn.IFERROR(ES192/ES179,0)*1000</f>
        <v>0</v>
      </c>
      <c r="ET187" s="2256"/>
      <c r="EU187" s="2256"/>
      <c r="EV187" s="499">
        <f>_xlfn.IFERROR(EV192/EV179,0)*1000</f>
        <v>0</v>
      </c>
      <c r="EW187" s="2256"/>
      <c r="EX187" s="2256"/>
      <c r="EY187" s="499">
        <f>_xlfn.IFERROR(EY192/EY179,0)*1000</f>
        <v>0</v>
      </c>
      <c r="EZ187" s="2256"/>
      <c r="FA187" s="2256"/>
      <c r="FB187" s="1897"/>
      <c r="FC187" s="1751"/>
      <c r="FD187" s="1751"/>
      <c r="FE187" s="489" t="s">
        <v>912</v>
      </c>
      <c r="FF187" s="648" t="s">
        <v>890</v>
      </c>
      <c r="FG187" s="648" cm="1" t="str">
        <f t="array" ref="FG187:FG187">AE187</f>
        <v>Уголь длиннопламенный</v>
      </c>
      <c r="FH187" s="648" cm="1" t="str">
        <f t="array" ref="FH187:FH187">AF187</f>
        <v/>
      </c>
      <c r="FI187" s="649"/>
      <c r="FJ187" s="649"/>
      <c r="FK187" s="1157" cm="1" t="str">
        <f t="array" ref="FK187:FK187">OFFSET(FJ187,-1,1)</f>
        <v>ТЭ.42.31656254.0001</v>
      </c>
      <c r="FL187" s="1159"/>
      <c r="FM187" s="1159"/>
      <c r="FN187" s="1159"/>
      <c r="FO187" s="1159"/>
      <c r="FP187" s="1159"/>
      <c r="FQ187" s="1159"/>
      <c r="FR187" s="1159"/>
      <c r="FS187" s="1159" t="s">
        <v>904</v>
      </c>
      <c r="FT187" s="1159"/>
      <c r="FU187" s="1159"/>
      <c r="FV187" s="1159" t="s">
        <v>449</v>
      </c>
      <c r="FW187" s="1078" t="str">
        <f>$AE187&amp;"|"&amp;$AF187</f>
        <v>Уголь длиннопламенный|</v>
      </c>
      <c r="FX187" s="1159" t="s">
        <v>303</v>
      </c>
      <c r="FY187" s="1159" t="s">
        <v>914</v>
      </c>
      <c r="FZ187" s="1159" t="s">
        <v>915</v>
      </c>
    </row>
    <row s="1751" customFormat="1" customHeight="1" ht="17.25" hidden="1">
      <c r="A188" s="371"/>
      <c r="B188" s="1548"/>
      <c r="C188" s="1548"/>
      <c r="D188" s="1548"/>
      <c r="E188" s="965">
        <v>0</v>
      </c>
      <c r="F188" s="175" cm="1" t="str">
        <f t="array" ref="F188:F188">OFFSET(G188,-1,-1)</f>
        <v>1</v>
      </c>
      <c r="G188" s="1659"/>
      <c r="H188" s="1659"/>
      <c r="I188" s="1659"/>
      <c r="J188" s="1659"/>
      <c r="K188" s="1659"/>
      <c r="L188" s="175" cm="1" t="str">
        <f t="array" ref="L188:L188">OFFSET(M188,-1,-1)</f>
        <v>false</v>
      </c>
      <c r="M188" s="1659"/>
      <c r="N188" s="1659"/>
      <c r="O188" s="1659"/>
      <c r="P188" s="1659"/>
      <c r="Q188" s="1659"/>
      <c r="R188" s="1548"/>
      <c r="S188" s="175" cm="1" t="str">
        <f t="array" ref="S188:S188">OFFSET(T188,-1,-1)</f>
        <v>true</v>
      </c>
      <c r="T188" s="1548"/>
      <c r="U188" s="753">
        <f>AND(S188,IF(ISBLANK(T188),TRUE,T188))</f>
        <v>1</v>
      </c>
      <c r="V188" s="1548"/>
      <c r="W188" s="1548"/>
      <c r="X188" s="980" t="str">
        <f>"{                  
         funcDyn: 'msg1',
         blok: 'blok_2',
         wsCross: 'Топливо 4.4',
         linkFormula: 'AE-AE#AF-AF',
         levelDyn: "&amp;Y139&amp;"
}"</f>
        <v>{                  
         funcDyn: 'msg1',
         blok: 'blok_2',
         wsCross: 'Топливо 4.4',
         linkFormula: 'AE-AE#AF-AF',
         levelDyn: 1
}</v>
      </c>
      <c r="Y188" s="1548"/>
      <c r="Z188" s="1548"/>
      <c r="AA188" s="1009"/>
      <c r="AB188" s="1607"/>
      <c r="AC188" s="1751"/>
      <c r="AD188" s="517"/>
      <c r="AE188" s="518" t="s">
        <v>191</v>
      </c>
      <c r="AF188" s="519"/>
      <c r="AG188" s="526"/>
      <c r="AH188" s="524"/>
      <c r="AI188" s="525"/>
      <c r="AJ188" s="525"/>
      <c r="AK188" s="525"/>
      <c r="AL188" s="525"/>
      <c r="AM188" s="525"/>
      <c r="AN188" s="525"/>
      <c r="AO188" s="525"/>
      <c r="AP188" s="525"/>
      <c r="AQ188" s="525"/>
      <c r="AR188" s="525"/>
      <c r="AS188" s="525"/>
      <c r="AT188" s="525"/>
      <c r="AU188" s="525"/>
      <c r="AV188" s="525"/>
      <c r="AW188" s="525"/>
      <c r="AX188" s="525"/>
      <c r="AY188" s="525"/>
      <c r="AZ188" s="525"/>
      <c r="BA188" s="525"/>
      <c r="BB188" s="525"/>
      <c r="BC188" s="525"/>
      <c r="BD188" s="525"/>
      <c r="BE188" s="525"/>
      <c r="BF188" s="525"/>
      <c r="BG188" s="525"/>
      <c r="BH188" s="525"/>
      <c r="BI188" s="525"/>
      <c r="BJ188" s="525"/>
      <c r="BK188" s="525"/>
      <c r="BL188" s="525"/>
      <c r="BM188" s="525"/>
      <c r="BN188" s="525"/>
      <c r="BO188" s="525"/>
      <c r="BP188" s="525"/>
      <c r="BQ188" s="525"/>
      <c r="BR188" s="525"/>
      <c r="BS188" s="525"/>
      <c r="BT188" s="525"/>
      <c r="BU188" s="525"/>
      <c r="BV188" s="525"/>
      <c r="BW188" s="525"/>
      <c r="BX188" s="525"/>
      <c r="BY188" s="525"/>
      <c r="BZ188" s="525"/>
      <c r="CA188" s="525"/>
      <c r="CB188" s="525"/>
      <c r="CC188" s="525"/>
      <c r="CD188" s="525"/>
      <c r="CE188" s="525"/>
      <c r="CF188" s="525"/>
      <c r="CG188" s="525"/>
      <c r="CH188" s="525"/>
      <c r="CI188" s="525"/>
      <c r="CJ188" s="525"/>
      <c r="CK188" s="525"/>
      <c r="CL188" s="525"/>
      <c r="CM188" s="525"/>
      <c r="CN188" s="525"/>
      <c r="CO188" s="525"/>
      <c r="CP188" s="525"/>
      <c r="CQ188" s="525"/>
      <c r="CR188" s="525"/>
      <c r="CS188" s="525"/>
      <c r="CT188" s="525"/>
      <c r="CU188" s="525"/>
      <c r="CV188" s="525"/>
      <c r="CW188" s="525"/>
      <c r="CX188" s="525"/>
      <c r="CY188" s="525"/>
      <c r="CZ188" s="525"/>
      <c r="DA188" s="525"/>
      <c r="DB188" s="525"/>
      <c r="DC188" s="525"/>
      <c r="DD188" s="525"/>
      <c r="DE188" s="525"/>
      <c r="DF188" s="525"/>
      <c r="DG188" s="525"/>
      <c r="DH188" s="525"/>
      <c r="DI188" s="525"/>
      <c r="DJ188" s="525"/>
      <c r="DK188" s="525"/>
      <c r="DL188" s="525"/>
      <c r="DM188" s="525"/>
      <c r="DN188" s="525"/>
      <c r="DO188" s="525"/>
      <c r="DP188" s="525"/>
      <c r="DQ188" s="525"/>
      <c r="DR188" s="525"/>
      <c r="DS188" s="525"/>
      <c r="DT188" s="525"/>
      <c r="DU188" s="525"/>
      <c r="DV188" s="525"/>
      <c r="DW188" s="525"/>
      <c r="DX188" s="525"/>
      <c r="DY188" s="525"/>
      <c r="DZ188" s="525"/>
      <c r="EA188" s="525"/>
      <c r="EB188" s="525"/>
      <c r="EC188" s="525"/>
      <c r="ED188" s="525"/>
      <c r="EE188" s="525"/>
      <c r="EF188" s="525"/>
      <c r="EG188" s="525"/>
      <c r="EH188" s="525"/>
      <c r="EI188" s="525"/>
      <c r="EJ188" s="525"/>
      <c r="EK188" s="525"/>
      <c r="EL188" s="525"/>
      <c r="EM188" s="525"/>
      <c r="EN188" s="525"/>
      <c r="EO188" s="525"/>
      <c r="EP188" s="525"/>
      <c r="EQ188" s="525"/>
      <c r="ER188" s="525"/>
      <c r="ES188" s="525"/>
      <c r="ET188" s="525"/>
      <c r="EU188" s="525"/>
      <c r="EV188" s="525"/>
      <c r="EW188" s="525"/>
      <c r="EX188" s="525"/>
      <c r="EY188" s="525"/>
      <c r="EZ188" s="525"/>
      <c r="FA188" s="525"/>
      <c r="FB188" s="93"/>
      <c r="FC188" s="1751"/>
      <c r="FD188" s="1506"/>
      <c r="FE188" s="489" t="str">
        <f>IF(AND(ISNUMBER(VALUE(TRIM(SUBSTITUTE(AD188,".","")))),TRIM(SUBSTITUTE(AD188,".",""))&lt;&gt;""),"P"&amp;SUBSTITUTE(AD188,".",""),"")</f>
        <v/>
      </c>
      <c r="FF188" s="648"/>
      <c r="FG188" s="648"/>
      <c r="FH188" s="648"/>
      <c r="FI188" s="649"/>
      <c r="FJ188" s="649"/>
      <c r="FK188" s="1157" cm="1" t="str">
        <f t="array" ref="FK188:FK188">OFFSET(FJ188,-1,1)</f>
        <v>ТЭ.42.31656254.0001</v>
      </c>
      <c r="FL188" s="1159"/>
      <c r="FM188" s="1159"/>
      <c r="FN188" s="1159"/>
      <c r="FO188" s="1159"/>
      <c r="FP188" s="1159"/>
      <c r="FQ188" s="1159"/>
      <c r="FR188" s="1159"/>
      <c r="FS188" s="1159"/>
      <c r="FT188" s="1159"/>
      <c r="FU188" s="1159"/>
      <c r="FV188" s="1159"/>
      <c r="FW188" s="1159"/>
      <c r="FX188" s="1159"/>
      <c r="FY188" s="1159"/>
      <c r="FZ188" s="1159"/>
    </row>
    <row s="1751" customFormat="1" customHeight="1" ht="16.5">
      <c r="A189" s="371"/>
      <c r="B189" s="1548"/>
      <c r="C189" s="1548"/>
      <c r="D189" s="1548"/>
      <c r="E189" s="180">
        <v>17</v>
      </c>
      <c r="F189" s="175" cm="1" t="str">
        <f t="array" ref="F189:F189">OFFSET(G189,-1,-1)</f>
        <v>1</v>
      </c>
      <c r="G189" s="1659"/>
      <c r="H189" s="1659"/>
      <c r="I189" s="1659"/>
      <c r="J189" s="1659"/>
      <c r="K189" s="1659"/>
      <c r="L189" s="175" cm="1" t="str">
        <f t="array" ref="L189:L189">OFFSET(M189,-1,-1)</f>
        <v>false</v>
      </c>
      <c r="M189" s="1659"/>
      <c r="N189" s="1659"/>
      <c r="O189" s="1659"/>
      <c r="P189" s="1659"/>
      <c r="Q189" s="1659"/>
      <c r="R189" s="1548"/>
      <c r="S189" s="175" cm="1" t="str">
        <f t="array" ref="S189:S189">OFFSET(T189,-1,-1)</f>
        <v>true</v>
      </c>
      <c r="T189" s="1548"/>
      <c r="U189" s="753">
        <f>AND(S189,IF(ISBLANK(T189),TRUE,T189))</f>
        <v>1</v>
      </c>
      <c r="V189" s="1548"/>
      <c r="W189" s="1548"/>
      <c r="X189" s="1548"/>
      <c r="Y189" s="1548"/>
      <c r="Z189" s="1548"/>
      <c r="AA189" s="1009"/>
      <c r="AB189" s="1607"/>
      <c r="AC189" s="1751"/>
      <c r="AD189" s="491">
        <v>24</v>
      </c>
      <c r="AE189" s="1619" t="s">
        <v>916</v>
      </c>
      <c r="AF189" s="496"/>
      <c r="AG189" s="526" t="s">
        <v>917</v>
      </c>
      <c r="AH189" s="500">
        <f>SUM(AH191:AH193)</f>
        <v>1888</v>
      </c>
      <c r="AI189" s="500">
        <f>SUM(AI191:AI193)</f>
        <v>3278.32</v>
      </c>
      <c r="AJ189" s="500">
        <f>SUM(AJ191:AJ193)</f>
        <v>2462.05535865287</v>
      </c>
      <c r="AK189" s="500">
        <f>SUM(AK191:AK193)</f>
        <v>2379</v>
      </c>
      <c r="AL189" s="500">
        <f>SUM(AL191:AL193)</f>
        <v>3795.15326788219</v>
      </c>
      <c r="AM189" s="500">
        <f>SUM(AM191:AM193)</f>
        <v>2162.62276297335</v>
      </c>
      <c r="AN189" s="500">
        <f>SUM(AN191:AN193)</f>
        <v>1632.53050490884</v>
      </c>
      <c r="AO189" s="500">
        <f>SUM(AO191:AO193)</f>
        <v>0</v>
      </c>
      <c r="AP189" s="500">
        <f>SUM(AP191:AP193)</f>
        <v>0</v>
      </c>
      <c r="AQ189" s="500">
        <f>SUM(AQ191:AQ193)</f>
        <v>0</v>
      </c>
      <c r="AR189" s="500">
        <f>SUM(AR191:AR193)</f>
        <v>0</v>
      </c>
      <c r="AS189" s="500">
        <f>SUM(AS191:AS193)</f>
        <v>0</v>
      </c>
      <c r="AT189" s="500">
        <f>SUM(AT191:AT193)</f>
        <v>0</v>
      </c>
      <c r="AU189" s="500">
        <f>SUM(AU191:AU193)</f>
        <v>0</v>
      </c>
      <c r="AV189" s="500">
        <f>SUM(AV191:AV193)</f>
        <v>0</v>
      </c>
      <c r="AW189" s="500">
        <f>SUM(AW191:AW193)</f>
        <v>0</v>
      </c>
      <c r="AX189" s="500">
        <f>SUM(AX191:AX193)</f>
        <v>0</v>
      </c>
      <c r="AY189" s="500">
        <f>SUM(AY191:AY193)</f>
        <v>0</v>
      </c>
      <c r="AZ189" s="500">
        <f>SUM(AZ191:AZ193)</f>
        <v>0</v>
      </c>
      <c r="BA189" s="500">
        <f>SUM(BA191:BA193)</f>
        <v>0</v>
      </c>
      <c r="BB189" s="500">
        <f>SUM(BB191:BB193)</f>
        <v>0</v>
      </c>
      <c r="BC189" s="500">
        <f>SUM(BC191:BC193)</f>
        <v>0</v>
      </c>
      <c r="BD189" s="500">
        <f>SUM(BD191:BD193)</f>
        <v>0</v>
      </c>
      <c r="BE189" s="500">
        <f>SUM(BE191:BE193)</f>
        <v>0</v>
      </c>
      <c r="BF189" s="500">
        <f>SUM(BF191:BF193)</f>
        <v>0</v>
      </c>
      <c r="BG189" s="500">
        <f>SUM(BG191:BG193)</f>
        <v>0</v>
      </c>
      <c r="BH189" s="500">
        <f>SUM(BH191:BH193)</f>
        <v>0</v>
      </c>
      <c r="BI189" s="500">
        <f>SUM(BI191:BI193)</f>
        <v>0</v>
      </c>
      <c r="BJ189" s="500">
        <f>SUM(BJ191:BJ193)</f>
        <v>0</v>
      </c>
      <c r="BK189" s="500">
        <f>SUM(BK191:BK193)</f>
        <v>0</v>
      </c>
      <c r="BL189" s="500">
        <f>SUM(BL191:BL193)</f>
        <v>0</v>
      </c>
      <c r="BM189" s="500">
        <f>SUM(BM191:BM193)</f>
        <v>0</v>
      </c>
      <c r="BN189" s="500">
        <f>SUM(BN191:BN193)</f>
        <v>0</v>
      </c>
      <c r="BO189" s="500">
        <f>SUM(BO191:BO193)</f>
        <v>0</v>
      </c>
      <c r="BP189" s="500">
        <f>SUM(BP191:BP193)</f>
        <v>0</v>
      </c>
      <c r="BQ189" s="500">
        <f>SUM(BQ191:BQ193)</f>
        <v>0</v>
      </c>
      <c r="BR189" s="500">
        <f>SUM(BR191:BR193)</f>
        <v>0</v>
      </c>
      <c r="BS189" s="500">
        <f>SUM(BS191:BS193)</f>
        <v>0</v>
      </c>
      <c r="BT189" s="500">
        <f>SUM(BT191:BT193)</f>
        <v>0</v>
      </c>
      <c r="BU189" s="500">
        <f>SUM(BU191:BU193)</f>
        <v>0</v>
      </c>
      <c r="BV189" s="500">
        <f>SUM(BV191:BV193)</f>
        <v>0</v>
      </c>
      <c r="BW189" s="500">
        <f>SUM(BW191:BW193)</f>
        <v>0</v>
      </c>
      <c r="BX189" s="500">
        <f>SUM(BX191:BX193)</f>
        <v>0</v>
      </c>
      <c r="BY189" s="500">
        <f>SUM(BY191:BY193)</f>
        <v>0</v>
      </c>
      <c r="BZ189" s="500">
        <f>SUM(BZ191:BZ193)</f>
        <v>0</v>
      </c>
      <c r="CA189" s="500">
        <f>SUM(CA191:CA193)</f>
        <v>0</v>
      </c>
      <c r="CB189" s="500">
        <f>SUM(CB191:CB193)</f>
        <v>0</v>
      </c>
      <c r="CC189" s="500">
        <f>SUM(CC191:CC193)</f>
        <v>0</v>
      </c>
      <c r="CD189" s="500">
        <f>SUM(CD191:CD193)</f>
        <v>0</v>
      </c>
      <c r="CE189" s="500">
        <f>SUM(CE191:CE193)</f>
        <v>0</v>
      </c>
      <c r="CF189" s="500">
        <f>SUM(CF191:CF193)</f>
        <v>0</v>
      </c>
      <c r="CG189" s="500">
        <f>SUM(CG191:CG193)</f>
        <v>0</v>
      </c>
      <c r="CH189" s="500">
        <f>SUM(CH191:CH193)</f>
        <v>0</v>
      </c>
      <c r="CI189" s="500">
        <f>SUM(CI191:CI193)</f>
        <v>0</v>
      </c>
      <c r="CJ189" s="500">
        <f>SUM(CJ191:CJ193)</f>
        <v>0</v>
      </c>
      <c r="CK189" s="500">
        <f>SUM(CK191:CK193)</f>
        <v>0</v>
      </c>
      <c r="CL189" s="500">
        <f>SUM(CL191:CL193)</f>
        <v>0</v>
      </c>
      <c r="CM189" s="500">
        <f>SUM(CM191:CM193)</f>
        <v>0</v>
      </c>
      <c r="CN189" s="500">
        <f>SUM(CN191:CN193)</f>
        <v>0</v>
      </c>
      <c r="CO189" s="500">
        <f>SUM(CO191:CO193)</f>
        <v>0</v>
      </c>
      <c r="CP189" s="500">
        <f>SUM(CP191:CP193)</f>
        <v>0</v>
      </c>
      <c r="CQ189" s="500">
        <f>SUM(CQ191:CQ193)</f>
        <v>0</v>
      </c>
      <c r="CR189" s="500">
        <f>SUM(CR191:CR193)</f>
        <v>0</v>
      </c>
      <c r="CS189" s="500">
        <f>SUM(CS191:CS193)</f>
        <v>0</v>
      </c>
      <c r="CT189" s="500">
        <f>SUM(CT191:CT193)</f>
        <v>2767.57904397241</v>
      </c>
      <c r="CU189" s="500">
        <f>SUM(CU191:CU193)</f>
        <v>1577.33127630345</v>
      </c>
      <c r="CV189" s="500">
        <f>SUM(CV191:CV193)</f>
        <v>1190.24776766896</v>
      </c>
      <c r="CW189" s="500">
        <f>SUM(CW191:CW193)</f>
        <v>0</v>
      </c>
      <c r="CX189" s="500">
        <f>SUM(CX191:CX193)</f>
        <v>0</v>
      </c>
      <c r="CY189" s="500">
        <f>SUM(CY191:CY193)</f>
        <v>0</v>
      </c>
      <c r="CZ189" s="500">
        <f>SUM(CZ191:CZ193)</f>
        <v>0</v>
      </c>
      <c r="DA189" s="500">
        <f>SUM(DA191:DA193)</f>
        <v>0</v>
      </c>
      <c r="DB189" s="500">
        <f>SUM(DB191:DB193)</f>
        <v>0</v>
      </c>
      <c r="DC189" s="500">
        <f>SUM(DC191:DC193)</f>
        <v>0</v>
      </c>
      <c r="DD189" s="500">
        <f>SUM(DD191:DD193)</f>
        <v>0</v>
      </c>
      <c r="DE189" s="500">
        <f>SUM(DE191:DE193)</f>
        <v>0</v>
      </c>
      <c r="DF189" s="500">
        <f>SUM(DF191:DF193)</f>
        <v>0</v>
      </c>
      <c r="DG189" s="500">
        <f>SUM(DG191:DG193)</f>
        <v>0</v>
      </c>
      <c r="DH189" s="500">
        <f>SUM(DH191:DH193)</f>
        <v>0</v>
      </c>
      <c r="DI189" s="500">
        <f>SUM(DI191:DI193)</f>
        <v>0</v>
      </c>
      <c r="DJ189" s="500">
        <f>SUM(DJ191:DJ193)</f>
        <v>0</v>
      </c>
      <c r="DK189" s="500">
        <f>SUM(DK191:DK193)</f>
        <v>0</v>
      </c>
      <c r="DL189" s="500">
        <f>SUM(DL191:DL193)</f>
        <v>0</v>
      </c>
      <c r="DM189" s="500">
        <f>SUM(DM191:DM193)</f>
        <v>0</v>
      </c>
      <c r="DN189" s="500">
        <f>SUM(DN191:DN193)</f>
        <v>0</v>
      </c>
      <c r="DO189" s="500">
        <f>SUM(DO191:DO193)</f>
        <v>0</v>
      </c>
      <c r="DP189" s="500">
        <f>SUM(DP191:DP193)</f>
        <v>0</v>
      </c>
      <c r="DQ189" s="500">
        <f>SUM(DQ191:DQ193)</f>
        <v>0</v>
      </c>
      <c r="DR189" s="500">
        <f>SUM(DR191:DR193)</f>
        <v>0</v>
      </c>
      <c r="DS189" s="500">
        <f>SUM(DS191:DS193)</f>
        <v>0</v>
      </c>
      <c r="DT189" s="500">
        <f>SUM(DT191:DT193)</f>
        <v>0</v>
      </c>
      <c r="DU189" s="500">
        <f>SUM(DU191:DU193)</f>
        <v>0</v>
      </c>
      <c r="DV189" s="500">
        <f>SUM(DV191:DV193)</f>
        <v>0</v>
      </c>
      <c r="DW189" s="500">
        <f>SUM(DW191:DW193)</f>
        <v>0</v>
      </c>
      <c r="DX189" s="500">
        <f>SUM(DX191:DX193)</f>
        <v>0</v>
      </c>
      <c r="DY189" s="500">
        <f>SUM(DY191:DY193)</f>
        <v>0</v>
      </c>
      <c r="DZ189" s="500">
        <f>SUM(DZ191:DZ193)</f>
        <v>0</v>
      </c>
      <c r="EA189" s="500">
        <f>SUM(EA191:EA193)</f>
        <v>0</v>
      </c>
      <c r="EB189" s="500">
        <f>SUM(EB191:EB193)</f>
        <v>0</v>
      </c>
      <c r="EC189" s="500">
        <f>SUM(EC191:EC193)</f>
        <v>0</v>
      </c>
      <c r="ED189" s="500">
        <f>SUM(ED191:ED193)</f>
        <v>0</v>
      </c>
      <c r="EE189" s="500">
        <f>SUM(EE191:EE193)</f>
        <v>0</v>
      </c>
      <c r="EF189" s="500">
        <f>SUM(EF191:EF193)</f>
        <v>0</v>
      </c>
      <c r="EG189" s="500">
        <f>SUM(EG191:EG193)</f>
        <v>0</v>
      </c>
      <c r="EH189" s="500">
        <f>SUM(EH191:EH193)</f>
        <v>0</v>
      </c>
      <c r="EI189" s="500">
        <f>SUM(EI191:EI193)</f>
        <v>0</v>
      </c>
      <c r="EJ189" s="500">
        <f>SUM(EJ191:EJ193)</f>
        <v>0</v>
      </c>
      <c r="EK189" s="500">
        <f>SUM(EK191:EK193)</f>
        <v>0</v>
      </c>
      <c r="EL189" s="500">
        <f>SUM(EL191:EL193)</f>
        <v>0</v>
      </c>
      <c r="EM189" s="500">
        <f>SUM(EM191:EM193)</f>
        <v>0</v>
      </c>
      <c r="EN189" s="500">
        <f>SUM(EN191:EN193)</f>
        <v>0</v>
      </c>
      <c r="EO189" s="500">
        <f>SUM(EO191:EO193)</f>
        <v>0</v>
      </c>
      <c r="EP189" s="500">
        <f>SUM(EP191:EP193)</f>
        <v>0</v>
      </c>
      <c r="EQ189" s="500">
        <f>SUM(EQ191:EQ193)</f>
        <v>0</v>
      </c>
      <c r="ER189" s="500">
        <f>SUM(ER191:ER193)</f>
        <v>0</v>
      </c>
      <c r="ES189" s="500">
        <f>SUM(ES191:ES193)</f>
        <v>0</v>
      </c>
      <c r="ET189" s="500">
        <f>SUM(ET191:ET193)</f>
        <v>0</v>
      </c>
      <c r="EU189" s="500">
        <f>SUM(EU191:EU193)</f>
        <v>0</v>
      </c>
      <c r="EV189" s="500">
        <f>SUM(EV191:EV193)</f>
        <v>0</v>
      </c>
      <c r="EW189" s="500">
        <f>SUM(EW191:EW193)</f>
        <v>0</v>
      </c>
      <c r="EX189" s="500">
        <f>SUM(EX191:EX193)</f>
        <v>0</v>
      </c>
      <c r="EY189" s="500">
        <f>SUM(EY191:EY193)</f>
        <v>0</v>
      </c>
      <c r="EZ189" s="500">
        <f>SUM(EZ191:EZ193)</f>
        <v>0</v>
      </c>
      <c r="FA189" s="500">
        <f>SUM(FA191:FA193)</f>
        <v>0</v>
      </c>
      <c r="FB189" s="1897"/>
      <c r="FC189" s="1751"/>
      <c r="FD189" s="1506"/>
      <c r="FE189" s="489" t="s">
        <v>918</v>
      </c>
      <c r="FF189" s="648"/>
      <c r="FG189" s="648"/>
      <c r="FH189" s="648"/>
      <c r="FI189" s="649"/>
      <c r="FJ189" s="649"/>
      <c r="FK189" s="1157" cm="1" t="str">
        <f t="array" ref="FK189:FK189">OFFSET(FJ189,-1,1)</f>
        <v>ТЭ.42.31656254.0001</v>
      </c>
      <c r="FL189" s="1078"/>
      <c r="FM189" s="1159"/>
      <c r="FN189" s="1159"/>
      <c r="FO189" s="1159"/>
      <c r="FP189" s="1159"/>
      <c r="FQ189" s="1159"/>
      <c r="FR189" s="1159"/>
      <c r="FS189" s="1078" t="s">
        <v>904</v>
      </c>
      <c r="FT189" s="1159"/>
      <c r="FU189" s="1159"/>
      <c r="FV189" s="1078" t="s">
        <v>449</v>
      </c>
      <c r="FW189" s="1159"/>
      <c r="FX189" s="1078" t="s">
        <v>303</v>
      </c>
      <c r="FY189" s="1078" t="s">
        <v>919</v>
      </c>
      <c r="FZ189" s="1078" t="s">
        <v>920</v>
      </c>
    </row>
    <row s="1751" customFormat="1" customHeight="1" ht="16.5" hidden="1">
      <c r="A190" s="371"/>
      <c r="B190" s="1548"/>
      <c r="C190" s="1548"/>
      <c r="D190" s="1548"/>
      <c r="E190" s="180">
        <v>17</v>
      </c>
      <c r="F190" s="175" cm="1" t="str">
        <f t="array" ref="F190:F190">OFFSET(G190,-1,-1)</f>
        <v>1</v>
      </c>
      <c r="G190" s="1659"/>
      <c r="H190" s="1659"/>
      <c r="I190" s="1659"/>
      <c r="J190" s="1659"/>
      <c r="K190" s="1659"/>
      <c r="L190" s="175" cm="1" t="str">
        <f t="array" ref="L190:L190">OFFSET(M190,-1,-1)</f>
        <v>false</v>
      </c>
      <c r="M190" s="1659"/>
      <c r="N190" s="1659"/>
      <c r="O190" s="1659"/>
      <c r="P190" s="1659"/>
      <c r="Q190" s="1659"/>
      <c r="R190" s="175" t="s">
        <v>804</v>
      </c>
      <c r="S190" s="175" cm="1" t="str">
        <f t="array" ref="S190:S190">OFFSET(T190,-1,-1)</f>
        <v>true</v>
      </c>
      <c r="T190" s="175" t="b">
        <v>0</v>
      </c>
      <c r="U190" s="753">
        <f>AND(S190,IF(ISBLANK(T190),TRUE,T190))</f>
        <v>0</v>
      </c>
      <c r="V190" s="1548"/>
      <c r="W190" s="1548"/>
      <c r="X190" s="1548"/>
      <c r="Y190" s="1548"/>
      <c r="Z190" s="1548"/>
      <c r="AA190" s="1009"/>
      <c r="AB190" s="1607"/>
      <c r="AC190" s="1751"/>
      <c r="AD190" s="491" t="str">
        <f>AD189&amp;".0"</f>
        <v>24.0</v>
      </c>
      <c r="AE190" s="1631" t="s">
        <v>822</v>
      </c>
      <c r="AF190" s="501"/>
      <c r="AG190" s="526" t="s">
        <v>917</v>
      </c>
      <c r="AH190" s="88">
        <f>AH$163*AH189/1000</f>
        <v>1.888</v>
      </c>
      <c r="AI190" s="88">
        <f>AI$163*AI189/1000</f>
        <v>3.27832</v>
      </c>
      <c r="AJ190" s="88">
        <f>AJ$163*AJ189/1000</f>
        <v>2.46205535865287</v>
      </c>
      <c r="AK190" s="88">
        <f>AK$163*AK189/1000</f>
        <v>2.379</v>
      </c>
      <c r="AL190" s="499">
        <f>AM190+AN190</f>
        <v>3795.15326788219</v>
      </c>
      <c r="AM190" s="89">
        <f>AM$163*AM189</f>
        <v>2162.62276297335</v>
      </c>
      <c r="AN190" s="89">
        <f>AN$163*AN189</f>
        <v>1632.53050490884</v>
      </c>
      <c r="AO190" s="499">
        <f>AP190+AQ190</f>
        <v>0</v>
      </c>
      <c r="AP190" s="89">
        <f>AP$163*AP189</f>
        <v>0</v>
      </c>
      <c r="AQ190" s="89">
        <f>AQ$163*AQ189</f>
        <v>0</v>
      </c>
      <c r="AR190" s="499">
        <f>AS190+AT190</f>
        <v>0</v>
      </c>
      <c r="AS190" s="89">
        <f>AS$163*AS189</f>
        <v>0</v>
      </c>
      <c r="AT190" s="89">
        <f>AT$163*AT189</f>
        <v>0</v>
      </c>
      <c r="AU190" s="499">
        <f>AV190+AW190</f>
        <v>0</v>
      </c>
      <c r="AV190" s="89">
        <f>AV$163*AV189</f>
        <v>0</v>
      </c>
      <c r="AW190" s="89">
        <f>AW$163*AW189</f>
        <v>0</v>
      </c>
      <c r="AX190" s="499">
        <f>AY190+AZ190</f>
        <v>0</v>
      </c>
      <c r="AY190" s="89">
        <f>AY$163*AY189</f>
        <v>0</v>
      </c>
      <c r="AZ190" s="89">
        <f>AZ$163*AZ189</f>
        <v>0</v>
      </c>
      <c r="BA190" s="499">
        <f>BB190+BC190</f>
        <v>0</v>
      </c>
      <c r="BB190" s="89">
        <f>BB$163*BB189</f>
        <v>0</v>
      </c>
      <c r="BC190" s="89">
        <f>BC$163*BC189</f>
        <v>0</v>
      </c>
      <c r="BD190" s="499">
        <f>BE190+BF190</f>
        <v>0</v>
      </c>
      <c r="BE190" s="89">
        <f>BE$163*BE189</f>
        <v>0</v>
      </c>
      <c r="BF190" s="89">
        <f>BF$163*BF189</f>
        <v>0</v>
      </c>
      <c r="BG190" s="499">
        <f>BH190+BI190</f>
        <v>0</v>
      </c>
      <c r="BH190" s="89">
        <f>BH$163*BH189</f>
        <v>0</v>
      </c>
      <c r="BI190" s="89">
        <f>BI$163*BI189</f>
        <v>0</v>
      </c>
      <c r="BJ190" s="499">
        <f>BK190+BL190</f>
        <v>0</v>
      </c>
      <c r="BK190" s="89">
        <f>BK$163*BK189</f>
        <v>0</v>
      </c>
      <c r="BL190" s="89">
        <f>BL$163*BL189</f>
        <v>0</v>
      </c>
      <c r="BM190" s="499">
        <f>BN190+BO190</f>
        <v>0</v>
      </c>
      <c r="BN190" s="89">
        <f>BN$163*BN189</f>
        <v>0</v>
      </c>
      <c r="BO190" s="89">
        <f>BO$163*BO189</f>
        <v>0</v>
      </c>
      <c r="BP190" s="499">
        <f>BQ190+BR190</f>
        <v>0</v>
      </c>
      <c r="BQ190" s="89">
        <f>BQ$163*BQ189</f>
        <v>0</v>
      </c>
      <c r="BR190" s="89">
        <f>BR$163*BR189</f>
        <v>0</v>
      </c>
      <c r="BS190" s="499">
        <f>BT190+BU190</f>
        <v>0</v>
      </c>
      <c r="BT190" s="89">
        <f>BT$163*BT189</f>
        <v>0</v>
      </c>
      <c r="BU190" s="89">
        <f>BU$163*BU189</f>
        <v>0</v>
      </c>
      <c r="BV190" s="499">
        <f>BW190+BX190</f>
        <v>0</v>
      </c>
      <c r="BW190" s="89">
        <f>BW$163*BW189</f>
        <v>0</v>
      </c>
      <c r="BX190" s="89">
        <f>BX$163*BX189</f>
        <v>0</v>
      </c>
      <c r="BY190" s="499">
        <f>BZ190+CA190</f>
        <v>0</v>
      </c>
      <c r="BZ190" s="89">
        <f>BZ$163*BZ189</f>
        <v>0</v>
      </c>
      <c r="CA190" s="89">
        <f>CA$163*CA189</f>
        <v>0</v>
      </c>
      <c r="CB190" s="499">
        <f>CC190+CD190</f>
        <v>0</v>
      </c>
      <c r="CC190" s="89">
        <f>CC$163*CC189</f>
        <v>0</v>
      </c>
      <c r="CD190" s="89">
        <f>CD$163*CD189</f>
        <v>0</v>
      </c>
      <c r="CE190" s="499">
        <f>CF190+CG190</f>
        <v>0</v>
      </c>
      <c r="CF190" s="89">
        <f>CF$163*CF189</f>
        <v>0</v>
      </c>
      <c r="CG190" s="89">
        <f>CG$163*CG189</f>
        <v>0</v>
      </c>
      <c r="CH190" s="499">
        <f>CI190+CJ190</f>
        <v>0</v>
      </c>
      <c r="CI190" s="89">
        <f>CI$163*CI189</f>
        <v>0</v>
      </c>
      <c r="CJ190" s="89">
        <f>CJ$163*CJ189</f>
        <v>0</v>
      </c>
      <c r="CK190" s="499">
        <f>CL190+CM190</f>
        <v>0</v>
      </c>
      <c r="CL190" s="89">
        <f>CL$163*CL189</f>
        <v>0</v>
      </c>
      <c r="CM190" s="89">
        <f>CM$163*CM189</f>
        <v>0</v>
      </c>
      <c r="CN190" s="499">
        <f>CO190+CP190</f>
        <v>0</v>
      </c>
      <c r="CO190" s="89">
        <f>CO$163*CO189</f>
        <v>0</v>
      </c>
      <c r="CP190" s="89">
        <f>CP$163*CP189</f>
        <v>0</v>
      </c>
      <c r="CQ190" s="499">
        <f>CR190+CS190</f>
        <v>0</v>
      </c>
      <c r="CR190" s="89">
        <f>CR$163*CR189</f>
        <v>0</v>
      </c>
      <c r="CS190" s="89">
        <f>CS$163*CS189</f>
        <v>0</v>
      </c>
      <c r="CT190" s="499">
        <f>CU190+CV190</f>
        <v>2767.57904397241</v>
      </c>
      <c r="CU190" s="498">
        <f>CU$163*CU189</f>
        <v>1577.33127630345</v>
      </c>
      <c r="CV190" s="498">
        <f>CV$163*CV189</f>
        <v>1190.24776766896</v>
      </c>
      <c r="CW190" s="499">
        <f>CX190+CY190</f>
        <v>0</v>
      </c>
      <c r="CX190" s="89">
        <f>CX$163*CX189</f>
        <v>0</v>
      </c>
      <c r="CY190" s="89">
        <f>CY$163*CY189</f>
        <v>0</v>
      </c>
      <c r="CZ190" s="499">
        <f>DA190+DB190</f>
        <v>0</v>
      </c>
      <c r="DA190" s="89">
        <f>DA$163*DA189</f>
        <v>0</v>
      </c>
      <c r="DB190" s="89">
        <f>DB$163*DB189</f>
        <v>0</v>
      </c>
      <c r="DC190" s="499">
        <f>DD190+DE190</f>
        <v>0</v>
      </c>
      <c r="DD190" s="89">
        <f>DD$163*DD189</f>
        <v>0</v>
      </c>
      <c r="DE190" s="89">
        <f>DE$163*DE189</f>
        <v>0</v>
      </c>
      <c r="DF190" s="499">
        <f>DG190+DH190</f>
        <v>0</v>
      </c>
      <c r="DG190" s="89">
        <f>DG$163*DG189</f>
        <v>0</v>
      </c>
      <c r="DH190" s="89">
        <f>DH$163*DH189</f>
        <v>0</v>
      </c>
      <c r="DI190" s="499">
        <f>DJ190+DK190</f>
        <v>0</v>
      </c>
      <c r="DJ190" s="89">
        <f>DJ$163*DJ189</f>
        <v>0</v>
      </c>
      <c r="DK190" s="89">
        <f>DK$163*DK189</f>
        <v>0</v>
      </c>
      <c r="DL190" s="499">
        <f>DM190+DN190</f>
        <v>0</v>
      </c>
      <c r="DM190" s="89">
        <f>DM$163*DM189</f>
        <v>0</v>
      </c>
      <c r="DN190" s="89">
        <f>DN$163*DN189</f>
        <v>0</v>
      </c>
      <c r="DO190" s="499">
        <f>DP190+DQ190</f>
        <v>0</v>
      </c>
      <c r="DP190" s="89">
        <f>DP$163*DP189</f>
        <v>0</v>
      </c>
      <c r="DQ190" s="89">
        <f>DQ$163*DQ189</f>
        <v>0</v>
      </c>
      <c r="DR190" s="499">
        <f>DS190+DT190</f>
        <v>0</v>
      </c>
      <c r="DS190" s="89">
        <f>DS$163*DS189</f>
        <v>0</v>
      </c>
      <c r="DT190" s="89">
        <f>DT$163*DT189</f>
        <v>0</v>
      </c>
      <c r="DU190" s="499">
        <f>DV190+DW190</f>
        <v>0</v>
      </c>
      <c r="DV190" s="89">
        <f>DV$163*DV189</f>
        <v>0</v>
      </c>
      <c r="DW190" s="89">
        <f>DW$163*DW189</f>
        <v>0</v>
      </c>
      <c r="DX190" s="499">
        <f>DY190+DZ190</f>
        <v>0</v>
      </c>
      <c r="DY190" s="89">
        <f>DY$163*DY189</f>
        <v>0</v>
      </c>
      <c r="DZ190" s="89">
        <f>DZ$163*DZ189</f>
        <v>0</v>
      </c>
      <c r="EA190" s="499">
        <f>EB190+EC190</f>
        <v>0</v>
      </c>
      <c r="EB190" s="89">
        <f>EB$163*EB189</f>
        <v>0</v>
      </c>
      <c r="EC190" s="89">
        <f>EC$163*EC189</f>
        <v>0</v>
      </c>
      <c r="ED190" s="499">
        <f>EE190+EF190</f>
        <v>0</v>
      </c>
      <c r="EE190" s="89">
        <f>EE$163*EE189</f>
        <v>0</v>
      </c>
      <c r="EF190" s="89">
        <f>EF$163*EF189</f>
        <v>0</v>
      </c>
      <c r="EG190" s="499">
        <f>EH190+EI190</f>
        <v>0</v>
      </c>
      <c r="EH190" s="89">
        <f>EH$163*EH189</f>
        <v>0</v>
      </c>
      <c r="EI190" s="89">
        <f>EI$163*EI189</f>
        <v>0</v>
      </c>
      <c r="EJ190" s="499">
        <f>EK190+EL190</f>
        <v>0</v>
      </c>
      <c r="EK190" s="89">
        <f>EK$163*EK189</f>
        <v>0</v>
      </c>
      <c r="EL190" s="89">
        <f>EL$163*EL189</f>
        <v>0</v>
      </c>
      <c r="EM190" s="499">
        <f>EN190+EO190</f>
        <v>0</v>
      </c>
      <c r="EN190" s="89">
        <f>EN$163*EN189</f>
        <v>0</v>
      </c>
      <c r="EO190" s="89">
        <f>EO$163*EO189</f>
        <v>0</v>
      </c>
      <c r="EP190" s="499">
        <f>EQ190+ER190</f>
        <v>0</v>
      </c>
      <c r="EQ190" s="89">
        <f>EQ$163*EQ189</f>
        <v>0</v>
      </c>
      <c r="ER190" s="89">
        <f>ER$163*ER189</f>
        <v>0</v>
      </c>
      <c r="ES190" s="499">
        <f>ET190+EU190</f>
        <v>0</v>
      </c>
      <c r="ET190" s="89">
        <f>ET$163*ET189</f>
        <v>0</v>
      </c>
      <c r="EU190" s="89">
        <f>EU$163*EU189</f>
        <v>0</v>
      </c>
      <c r="EV190" s="499">
        <f>EW190+EX190</f>
        <v>0</v>
      </c>
      <c r="EW190" s="89">
        <f>EW$163*EW189</f>
        <v>0</v>
      </c>
      <c r="EX190" s="89">
        <f>EX$163*EX189</f>
        <v>0</v>
      </c>
      <c r="EY190" s="499">
        <f>EZ190+FA190</f>
        <v>0</v>
      </c>
      <c r="EZ190" s="89">
        <f>EZ$163*EZ189</f>
        <v>0</v>
      </c>
      <c r="FA190" s="89">
        <f>FA$163*FA189</f>
        <v>0</v>
      </c>
      <c r="FB190" s="83"/>
      <c r="FC190" s="1751"/>
      <c r="FD190" s="1506"/>
      <c r="FE190" s="489" t="s">
        <v>921</v>
      </c>
      <c r="FF190" s="648"/>
      <c r="FG190" s="648"/>
      <c r="FH190" s="648"/>
      <c r="FI190" s="649"/>
      <c r="FJ190" s="649"/>
      <c r="FK190" s="1157" cm="1" t="str">
        <f t="array" ref="FK190:FK190">OFFSET(FJ190,-1,1)</f>
        <v>ТЭ.42.31656254.0001</v>
      </c>
      <c r="FL190" s="1159"/>
      <c r="FM190" s="1078" t="s">
        <v>824</v>
      </c>
      <c r="FN190" s="1159"/>
      <c r="FO190" s="1159"/>
      <c r="FP190" s="1159"/>
      <c r="FQ190" s="1159"/>
      <c r="FR190" s="1159"/>
      <c r="FS190" s="1078" t="s">
        <v>904</v>
      </c>
      <c r="FT190" s="1159"/>
      <c r="FU190" s="1159"/>
      <c r="FV190" s="1159"/>
      <c r="FW190" s="1159"/>
      <c r="FX190" s="1078" t="s">
        <v>303</v>
      </c>
      <c r="FY190" s="1078" t="s">
        <v>919</v>
      </c>
      <c r="FZ190" s="1078" t="s">
        <v>920</v>
      </c>
    </row>
    <row s="1751" customFormat="1" customHeight="1" ht="16.5" hidden="1">
      <c r="E191" s="180">
        <v>17</v>
      </c>
      <c r="F191" s="175" cm="1" t="str">
        <f t="array" ref="F191:F191">OFFSET(G191,-1,-1)</f>
        <v>1</v>
      </c>
      <c r="L191" s="175" cm="1" t="str">
        <f t="array" ref="L191:L191">OFFSET(M191,-1,-1)</f>
        <v>false</v>
      </c>
      <c r="S191" s="175" cm="1" t="str">
        <f t="array" ref="S191:S191">OFFSET(T191,-1,-1)</f>
        <v>true</v>
      </c>
      <c r="T191" s="175">
        <f>AD191&lt;&gt;"24.0"</f>
        <v>0</v>
      </c>
      <c r="U191" s="753">
        <f>AND(S191,IF(ISBLANK(T191),TRUE,T191))</f>
        <v>0</v>
      </c>
      <c r="X191" s="175" t="s">
        <v>189</v>
      </c>
      <c r="AB191" s="1607"/>
      <c r="AD191" s="491" t="s">
        <v>922</v>
      </c>
      <c r="AE191" s="514"/>
      <c r="AF191" s="515"/>
      <c r="AG191" s="526" t="s">
        <v>917</v>
      </c>
      <c r="AH191" s="88"/>
      <c r="AI191" s="89"/>
      <c r="AJ191" s="89"/>
      <c r="AK191" s="89"/>
      <c r="AL191" s="499">
        <f>AM191+AN191</f>
        <v>0</v>
      </c>
      <c r="AM191" s="89">
        <f>AM186*AM178/1000</f>
        <v>0</v>
      </c>
      <c r="AN191" s="89">
        <f>AN186*AN178/1000</f>
        <v>0</v>
      </c>
      <c r="AO191" s="499">
        <f>AP191+AQ191</f>
        <v>0</v>
      </c>
      <c r="AP191" s="89">
        <f>AP186*AP178/1000</f>
        <v>0</v>
      </c>
      <c r="AQ191" s="89">
        <f>AQ186*AQ178/1000</f>
        <v>0</v>
      </c>
      <c r="AR191" s="499">
        <f>AS191+AT191</f>
        <v>0</v>
      </c>
      <c r="AS191" s="89">
        <f>AS186*AS178/1000</f>
        <v>0</v>
      </c>
      <c r="AT191" s="89">
        <f>AT186*AT178/1000</f>
        <v>0</v>
      </c>
      <c r="AU191" s="499">
        <f>AV191+AW191</f>
        <v>0</v>
      </c>
      <c r="AV191" s="89">
        <f>AV186*AV178/1000</f>
        <v>0</v>
      </c>
      <c r="AW191" s="89">
        <f>AW186*AW178/1000</f>
        <v>0</v>
      </c>
      <c r="AX191" s="499">
        <f>AY191+AZ191</f>
        <v>0</v>
      </c>
      <c r="AY191" s="89">
        <f>AY186*AY178/1000</f>
        <v>0</v>
      </c>
      <c r="AZ191" s="89">
        <f>AZ186*AZ178/1000</f>
        <v>0</v>
      </c>
      <c r="BA191" s="499">
        <f>BB191+BC191</f>
        <v>0</v>
      </c>
      <c r="BB191" s="89">
        <f>BB186*BB178/1000</f>
        <v>0</v>
      </c>
      <c r="BC191" s="89">
        <f>BC186*BC178/1000</f>
        <v>0</v>
      </c>
      <c r="BD191" s="499">
        <f>BE191+BF191</f>
        <v>0</v>
      </c>
      <c r="BE191" s="89">
        <f>BE186*BE178/1000</f>
        <v>0</v>
      </c>
      <c r="BF191" s="89">
        <f>BF186*BF178/1000</f>
        <v>0</v>
      </c>
      <c r="BG191" s="499">
        <f>BH191+BI191</f>
        <v>0</v>
      </c>
      <c r="BH191" s="89">
        <f>BH186*BH178/1000</f>
        <v>0</v>
      </c>
      <c r="BI191" s="89">
        <f>BI186*BI178/1000</f>
        <v>0</v>
      </c>
      <c r="BJ191" s="499">
        <f>BK191+BL191</f>
        <v>0</v>
      </c>
      <c r="BK191" s="89">
        <f>BK186*BK178/1000</f>
        <v>0</v>
      </c>
      <c r="BL191" s="89">
        <f>BL186*BL178/1000</f>
        <v>0</v>
      </c>
      <c r="BM191" s="499">
        <f>BN191+BO191</f>
        <v>0</v>
      </c>
      <c r="BN191" s="89">
        <f>BN186*BN178/1000</f>
        <v>0</v>
      </c>
      <c r="BO191" s="89">
        <f>BO186*BO178/1000</f>
        <v>0</v>
      </c>
      <c r="BP191" s="499">
        <f>BQ191+BR191</f>
        <v>0</v>
      </c>
      <c r="BQ191" s="89">
        <f>BQ186*BQ178/1000</f>
        <v>0</v>
      </c>
      <c r="BR191" s="89">
        <f>BR186*BR178/1000</f>
        <v>0</v>
      </c>
      <c r="BS191" s="499">
        <f>BT191+BU191</f>
        <v>0</v>
      </c>
      <c r="BT191" s="89">
        <f>BT186*BT178/1000</f>
        <v>0</v>
      </c>
      <c r="BU191" s="89">
        <f>BU186*BU178/1000</f>
        <v>0</v>
      </c>
      <c r="BV191" s="499">
        <f>BW191+BX191</f>
        <v>0</v>
      </c>
      <c r="BW191" s="89">
        <f>BW186*BW178/1000</f>
        <v>0</v>
      </c>
      <c r="BX191" s="89">
        <f>BX186*BX178/1000</f>
        <v>0</v>
      </c>
      <c r="BY191" s="499">
        <f>BZ191+CA191</f>
        <v>0</v>
      </c>
      <c r="BZ191" s="89">
        <f>BZ186*BZ178/1000</f>
        <v>0</v>
      </c>
      <c r="CA191" s="89">
        <f>CA186*CA178/1000</f>
        <v>0</v>
      </c>
      <c r="CB191" s="499">
        <f>CC191+CD191</f>
        <v>0</v>
      </c>
      <c r="CC191" s="89">
        <f>CC186*CC178/1000</f>
        <v>0</v>
      </c>
      <c r="CD191" s="89">
        <f>CD186*CD178/1000</f>
        <v>0</v>
      </c>
      <c r="CE191" s="499">
        <f>CF191+CG191</f>
        <v>0</v>
      </c>
      <c r="CF191" s="89">
        <f>CF186*CF178/1000</f>
        <v>0</v>
      </c>
      <c r="CG191" s="89">
        <f>CG186*CG178/1000</f>
        <v>0</v>
      </c>
      <c r="CH191" s="499">
        <f>CI191+CJ191</f>
        <v>0</v>
      </c>
      <c r="CI191" s="89">
        <f>CI186*CI178/1000</f>
        <v>0</v>
      </c>
      <c r="CJ191" s="89">
        <f>CJ186*CJ178/1000</f>
        <v>0</v>
      </c>
      <c r="CK191" s="499">
        <f>CL191+CM191</f>
        <v>0</v>
      </c>
      <c r="CL191" s="89">
        <f>CL186*CL178/1000</f>
        <v>0</v>
      </c>
      <c r="CM191" s="89">
        <f>CM186*CM178/1000</f>
        <v>0</v>
      </c>
      <c r="CN191" s="499">
        <f>CO191+CP191</f>
        <v>0</v>
      </c>
      <c r="CO191" s="89">
        <f>CO186*CO178/1000</f>
        <v>0</v>
      </c>
      <c r="CP191" s="89">
        <f>CP186*CP178/1000</f>
        <v>0</v>
      </c>
      <c r="CQ191" s="499">
        <f>CR191+CS191</f>
        <v>0</v>
      </c>
      <c r="CR191" s="89">
        <f>CR186*CR178/1000</f>
        <v>0</v>
      </c>
      <c r="CS191" s="89">
        <f>CS186*CS178/1000</f>
        <v>0</v>
      </c>
      <c r="CT191" s="499">
        <f>CU191+CV191</f>
        <v>0</v>
      </c>
      <c r="CU191" s="498">
        <f>CU186*CU178/1000</f>
        <v>0</v>
      </c>
      <c r="CV191" s="498">
        <f>CV186*CV178/1000</f>
        <v>0</v>
      </c>
      <c r="CW191" s="499">
        <f>CX191+CY191</f>
        <v>0</v>
      </c>
      <c r="CX191" s="89">
        <f>CX186*CX178/1000</f>
        <v>0</v>
      </c>
      <c r="CY191" s="89">
        <f>CY186*CY178/1000</f>
        <v>0</v>
      </c>
      <c r="CZ191" s="499">
        <f>DA191+DB191</f>
        <v>0</v>
      </c>
      <c r="DA191" s="89">
        <f>DA186*DA178/1000</f>
        <v>0</v>
      </c>
      <c r="DB191" s="89">
        <f>DB186*DB178/1000</f>
        <v>0</v>
      </c>
      <c r="DC191" s="499">
        <f>DD191+DE191</f>
        <v>0</v>
      </c>
      <c r="DD191" s="89">
        <f>DD186*DD178/1000</f>
        <v>0</v>
      </c>
      <c r="DE191" s="89">
        <f>DE186*DE178/1000</f>
        <v>0</v>
      </c>
      <c r="DF191" s="499">
        <f>DG191+DH191</f>
        <v>0</v>
      </c>
      <c r="DG191" s="89">
        <f>DG186*DG178/1000</f>
        <v>0</v>
      </c>
      <c r="DH191" s="89">
        <f>DH186*DH178/1000</f>
        <v>0</v>
      </c>
      <c r="DI191" s="499">
        <f>DJ191+DK191</f>
        <v>0</v>
      </c>
      <c r="DJ191" s="89">
        <f>DJ186*DJ178/1000</f>
        <v>0</v>
      </c>
      <c r="DK191" s="89">
        <f>DK186*DK178/1000</f>
        <v>0</v>
      </c>
      <c r="DL191" s="499">
        <f>DM191+DN191</f>
        <v>0</v>
      </c>
      <c r="DM191" s="89">
        <f>DM186*DM178/1000</f>
        <v>0</v>
      </c>
      <c r="DN191" s="89">
        <f>DN186*DN178/1000</f>
        <v>0</v>
      </c>
      <c r="DO191" s="499">
        <f>DP191+DQ191</f>
        <v>0</v>
      </c>
      <c r="DP191" s="89">
        <f>DP186*DP178/1000</f>
        <v>0</v>
      </c>
      <c r="DQ191" s="89">
        <f>DQ186*DQ178/1000</f>
        <v>0</v>
      </c>
      <c r="DR191" s="499">
        <f>DS191+DT191</f>
        <v>0</v>
      </c>
      <c r="DS191" s="89">
        <f>DS186*DS178/1000</f>
        <v>0</v>
      </c>
      <c r="DT191" s="89">
        <f>DT186*DT178/1000</f>
        <v>0</v>
      </c>
      <c r="DU191" s="499">
        <f>DV191+DW191</f>
        <v>0</v>
      </c>
      <c r="DV191" s="89">
        <f>DV186*DV178/1000</f>
        <v>0</v>
      </c>
      <c r="DW191" s="89">
        <f>DW186*DW178/1000</f>
        <v>0</v>
      </c>
      <c r="DX191" s="499">
        <f>DY191+DZ191</f>
        <v>0</v>
      </c>
      <c r="DY191" s="89">
        <f>DY186*DY178/1000</f>
        <v>0</v>
      </c>
      <c r="DZ191" s="89">
        <f>DZ186*DZ178/1000</f>
        <v>0</v>
      </c>
      <c r="EA191" s="499">
        <f>EB191+EC191</f>
        <v>0</v>
      </c>
      <c r="EB191" s="89">
        <f>EB186*EB178/1000</f>
        <v>0</v>
      </c>
      <c r="EC191" s="89">
        <f>EC186*EC178/1000</f>
        <v>0</v>
      </c>
      <c r="ED191" s="499">
        <f>EE191+EF191</f>
        <v>0</v>
      </c>
      <c r="EE191" s="89">
        <f>EE186*EE178/1000</f>
        <v>0</v>
      </c>
      <c r="EF191" s="89">
        <f>EF186*EF178/1000</f>
        <v>0</v>
      </c>
      <c r="EG191" s="499">
        <f>EH191+EI191</f>
        <v>0</v>
      </c>
      <c r="EH191" s="89">
        <f>EH186*EH178/1000</f>
        <v>0</v>
      </c>
      <c r="EI191" s="89">
        <f>EI186*EI178/1000</f>
        <v>0</v>
      </c>
      <c r="EJ191" s="499">
        <f>EK191+EL191</f>
        <v>0</v>
      </c>
      <c r="EK191" s="89">
        <f>EK186*EK178/1000</f>
        <v>0</v>
      </c>
      <c r="EL191" s="89">
        <f>EL186*EL178/1000</f>
        <v>0</v>
      </c>
      <c r="EM191" s="499">
        <f>EN191+EO191</f>
        <v>0</v>
      </c>
      <c r="EN191" s="89">
        <f>EN186*EN178/1000</f>
        <v>0</v>
      </c>
      <c r="EO191" s="89">
        <f>EO186*EO178/1000</f>
        <v>0</v>
      </c>
      <c r="EP191" s="499">
        <f>EQ191+ER191</f>
        <v>0</v>
      </c>
      <c r="EQ191" s="89">
        <f>EQ186*EQ178/1000</f>
        <v>0</v>
      </c>
      <c r="ER191" s="89">
        <f>ER186*ER178/1000</f>
        <v>0</v>
      </c>
      <c r="ES191" s="499">
        <f>ET191+EU191</f>
        <v>0</v>
      </c>
      <c r="ET191" s="89">
        <f>ET186*ET178/1000</f>
        <v>0</v>
      </c>
      <c r="EU191" s="89">
        <f>EU186*EU178/1000</f>
        <v>0</v>
      </c>
      <c r="EV191" s="499">
        <f>EW191+EX191</f>
        <v>0</v>
      </c>
      <c r="EW191" s="89">
        <f>EW186*EW178/1000</f>
        <v>0</v>
      </c>
      <c r="EX191" s="89">
        <f>EX186*EX178/1000</f>
        <v>0</v>
      </c>
      <c r="EY191" s="499">
        <f>EZ191+FA191</f>
        <v>0</v>
      </c>
      <c r="EZ191" s="89">
        <f>EZ186*EZ178/1000</f>
        <v>0</v>
      </c>
      <c r="FA191" s="89">
        <f>FA186*FA178/1000</f>
        <v>0</v>
      </c>
      <c r="FB191" s="83"/>
      <c r="FE191" s="489" t="s">
        <v>921</v>
      </c>
      <c r="FF191" s="648" t="s">
        <v>890</v>
      </c>
      <c r="FG191" s="648" cm="1" t="str">
        <f t="array" ref="FG191:FG191">AE191</f>
        <v>0</v>
      </c>
      <c r="FH191" s="648" cm="1" t="str">
        <f t="array" ref="FH191:FH191">AF191</f>
        <v>0</v>
      </c>
      <c r="FI191" s="649"/>
      <c r="FJ191" s="649"/>
      <c r="FK191" s="1157" cm="1" t="str">
        <f t="array" ref="FK191:FK191">OFFSET(FJ191,-1,1)</f>
        <v>ТЭ.42.31656254.0001</v>
      </c>
      <c r="FL191" s="1159"/>
      <c r="FM191" s="1159"/>
      <c r="FN191" s="1159"/>
      <c r="FO191" s="1159"/>
      <c r="FP191" s="1159"/>
      <c r="FQ191" s="1159"/>
      <c r="FR191" s="1159"/>
      <c r="FS191" s="1159" t="s">
        <v>904</v>
      </c>
      <c r="FT191" s="1159"/>
      <c r="FU191" s="1159"/>
      <c r="FV191" s="1159" t="s">
        <v>883</v>
      </c>
      <c r="FW191" s="1078" t="str">
        <f>$AE191&amp;"|"&amp;$AF191</f>
        <v>|</v>
      </c>
      <c r="FX191" s="1159" t="s">
        <v>303</v>
      </c>
      <c r="FY191" s="1159" t="s">
        <v>919</v>
      </c>
      <c r="FZ191" s="1159" t="s">
        <v>920</v>
      </c>
    </row>
    <row s="1751" customFormat="1" customHeight="1" ht="16.5">
      <c r="A192" s="1751"/>
      <c r="B192" s="1751"/>
      <c r="C192" s="1751"/>
      <c r="D192" s="1751"/>
      <c r="E192" s="180">
        <v>17</v>
      </c>
      <c r="F192" s="175" cm="1" t="str">
        <f t="array" ref="F192:F192">OFFSET(G192,-1,-1)</f>
        <v>1</v>
      </c>
      <c r="G192" s="1751"/>
      <c r="H192" s="1751"/>
      <c r="I192" s="1751"/>
      <c r="J192" s="1751"/>
      <c r="K192" s="1751"/>
      <c r="L192" s="175" cm="1" t="str">
        <f t="array" ref="L192:L192">OFFSET(M192,-1,-1)</f>
        <v>false</v>
      </c>
      <c r="M192" s="1751"/>
      <c r="N192" s="1751"/>
      <c r="O192" s="1751"/>
      <c r="P192" s="1751"/>
      <c r="Q192" s="1751"/>
      <c r="R192" s="1751"/>
      <c r="S192" s="175" cm="1" t="str">
        <f t="array" ref="S192:S192">OFFSET(T192,-1,-1)</f>
        <v>true</v>
      </c>
      <c r="T192" s="175">
        <f>AD192&lt;&gt;"24.0"</f>
        <v>1</v>
      </c>
      <c r="U192" s="753">
        <f>AND(S192,IF(ISBLANK(T192),TRUE,T192))</f>
        <v>1</v>
      </c>
      <c r="V192" s="1751"/>
      <c r="W192" s="1751"/>
      <c r="X192" s="175" t="str">
        <f>'Топливо 4.4'!$AE$187&amp;'Топливо 4.4'!$AF$187</f>
        <v>Уголь длиннопламенный</v>
      </c>
      <c r="Y192" s="1751"/>
      <c r="Z192" s="1751"/>
      <c r="AA192" s="1751"/>
      <c r="AB192" s="1607"/>
      <c r="AC192" s="1751"/>
      <c r="AD192" s="491" t="s">
        <v>1016</v>
      </c>
      <c r="AE192" s="514" cm="1" t="str">
        <f t="array" ref="AE192:AE192">IF(ISBLANK('Топливо 4.4'!$AE$187),"",'Топливо 4.4'!$AE$187)</f>
        <v>Уголь длиннопламенный</v>
      </c>
      <c r="AF192" s="515" cm="1" t="str">
        <f t="array" ref="AF192:AF192">IF(ISBLANK('Топливо 4.4'!$AF$187),"",'Топливо 4.4'!$AF$187)</f>
        <v/>
      </c>
      <c r="AG192" s="526" t="s">
        <v>917</v>
      </c>
      <c r="AH192" s="2255">
        <v>1888</v>
      </c>
      <c r="AI192" s="2256">
        <v>3278.32</v>
      </c>
      <c r="AJ192" s="2256">
        <f>2166.67*AJ179/1000</f>
        <v>2462.05535865287</v>
      </c>
      <c r="AK192" s="2256">
        <v>2379</v>
      </c>
      <c r="AL192" s="499">
        <f>AM192+AN192</f>
        <v>3795.15326788219</v>
      </c>
      <c r="AM192" s="2256">
        <f>AM187*AM179/1000</f>
        <v>2162.62276297335</v>
      </c>
      <c r="AN192" s="2256">
        <f>AN187*AN179/1000</f>
        <v>1632.53050490884</v>
      </c>
      <c r="AO192" s="499">
        <f>AP192+AQ192</f>
        <v>0</v>
      </c>
      <c r="AP192" s="2256">
        <f>AP187*AP179/1000</f>
        <v>0</v>
      </c>
      <c r="AQ192" s="2256">
        <f>AQ187*AQ179/1000</f>
        <v>0</v>
      </c>
      <c r="AR192" s="499">
        <f>AS192+AT192</f>
        <v>0</v>
      </c>
      <c r="AS192" s="2256">
        <f>AS187*AS179/1000</f>
        <v>0</v>
      </c>
      <c r="AT192" s="2256">
        <f>AT187*AT179/1000</f>
        <v>0</v>
      </c>
      <c r="AU192" s="499">
        <f>AV192+AW192</f>
        <v>0</v>
      </c>
      <c r="AV192" s="2256">
        <f>AV187*AV179/1000</f>
        <v>0</v>
      </c>
      <c r="AW192" s="2256">
        <f>AW187*AW179/1000</f>
        <v>0</v>
      </c>
      <c r="AX192" s="499">
        <f>AY192+AZ192</f>
        <v>0</v>
      </c>
      <c r="AY192" s="2256">
        <f>AY187*AY179/1000</f>
        <v>0</v>
      </c>
      <c r="AZ192" s="2256">
        <f>AZ187*AZ179/1000</f>
        <v>0</v>
      </c>
      <c r="BA192" s="499">
        <f>BB192+BC192</f>
        <v>0</v>
      </c>
      <c r="BB192" s="2256">
        <f>BB187*BB179/1000</f>
        <v>0</v>
      </c>
      <c r="BC192" s="2256">
        <f>BC187*BC179/1000</f>
        <v>0</v>
      </c>
      <c r="BD192" s="499">
        <f>BE192+BF192</f>
        <v>0</v>
      </c>
      <c r="BE192" s="2256">
        <f>BE187*BE179/1000</f>
        <v>0</v>
      </c>
      <c r="BF192" s="2256">
        <f>BF187*BF179/1000</f>
        <v>0</v>
      </c>
      <c r="BG192" s="499">
        <f>BH192+BI192</f>
        <v>0</v>
      </c>
      <c r="BH192" s="2256">
        <f>BH187*BH179/1000</f>
        <v>0</v>
      </c>
      <c r="BI192" s="2256">
        <f>BI187*BI179/1000</f>
        <v>0</v>
      </c>
      <c r="BJ192" s="499">
        <f>BK192+BL192</f>
        <v>0</v>
      </c>
      <c r="BK192" s="2256">
        <f>BK187*BK179/1000</f>
        <v>0</v>
      </c>
      <c r="BL192" s="2256">
        <f>BL187*BL179/1000</f>
        <v>0</v>
      </c>
      <c r="BM192" s="499">
        <f>BN192+BO192</f>
        <v>0</v>
      </c>
      <c r="BN192" s="2256">
        <f>BN187*BN179/1000</f>
        <v>0</v>
      </c>
      <c r="BO192" s="2256">
        <f>BO187*BO179/1000</f>
        <v>0</v>
      </c>
      <c r="BP192" s="499">
        <f>BQ192+BR192</f>
        <v>0</v>
      </c>
      <c r="BQ192" s="2256">
        <f>BQ187*BQ179/1000</f>
        <v>0</v>
      </c>
      <c r="BR192" s="2256">
        <f>BR187*BR179/1000</f>
        <v>0</v>
      </c>
      <c r="BS192" s="499">
        <f>BT192+BU192</f>
        <v>0</v>
      </c>
      <c r="BT192" s="2256">
        <f>BT187*BT179/1000</f>
        <v>0</v>
      </c>
      <c r="BU192" s="2256">
        <f>BU187*BU179/1000</f>
        <v>0</v>
      </c>
      <c r="BV192" s="499">
        <f>BW192+BX192</f>
        <v>0</v>
      </c>
      <c r="BW192" s="2256">
        <f>BW187*BW179/1000</f>
        <v>0</v>
      </c>
      <c r="BX192" s="2256">
        <f>BX187*BX179/1000</f>
        <v>0</v>
      </c>
      <c r="BY192" s="499">
        <f>BZ192+CA192</f>
        <v>0</v>
      </c>
      <c r="BZ192" s="2256">
        <f>BZ187*BZ179/1000</f>
        <v>0</v>
      </c>
      <c r="CA192" s="2256">
        <f>CA187*CA179/1000</f>
        <v>0</v>
      </c>
      <c r="CB192" s="499">
        <f>CC192+CD192</f>
        <v>0</v>
      </c>
      <c r="CC192" s="2256">
        <f>CC187*CC179/1000</f>
        <v>0</v>
      </c>
      <c r="CD192" s="2256">
        <f>CD187*CD179/1000</f>
        <v>0</v>
      </c>
      <c r="CE192" s="499">
        <f>CF192+CG192</f>
        <v>0</v>
      </c>
      <c r="CF192" s="2256">
        <f>CF187*CF179/1000</f>
        <v>0</v>
      </c>
      <c r="CG192" s="2256">
        <f>CG187*CG179/1000</f>
        <v>0</v>
      </c>
      <c r="CH192" s="499">
        <f>CI192+CJ192</f>
        <v>0</v>
      </c>
      <c r="CI192" s="2256">
        <f>CI187*CI179/1000</f>
        <v>0</v>
      </c>
      <c r="CJ192" s="2256">
        <f>CJ187*CJ179/1000</f>
        <v>0</v>
      </c>
      <c r="CK192" s="499">
        <f>CL192+CM192</f>
        <v>0</v>
      </c>
      <c r="CL192" s="2256">
        <f>CL187*CL179/1000</f>
        <v>0</v>
      </c>
      <c r="CM192" s="2256">
        <f>CM187*CM179/1000</f>
        <v>0</v>
      </c>
      <c r="CN192" s="499">
        <f>CO192+CP192</f>
        <v>0</v>
      </c>
      <c r="CO192" s="2256">
        <f>CO187*CO179/1000</f>
        <v>0</v>
      </c>
      <c r="CP192" s="2256">
        <f>CP187*CP179/1000</f>
        <v>0</v>
      </c>
      <c r="CQ192" s="499">
        <f>CR192+CS192</f>
        <v>0</v>
      </c>
      <c r="CR192" s="2256">
        <f>CR187*CR179/1000</f>
        <v>0</v>
      </c>
      <c r="CS192" s="2256">
        <f>CS187*CS179/1000</f>
        <v>0</v>
      </c>
      <c r="CT192" s="499">
        <f>CU192+CV192</f>
        <v>2767.57904397241</v>
      </c>
      <c r="CU192" s="498">
        <f>CU187*CU179/1000+0.9+0.065</f>
        <v>1577.33127630345</v>
      </c>
      <c r="CV192" s="498">
        <f>CV187*CV179/1000+0.9+0.065</f>
        <v>1190.24776766896</v>
      </c>
      <c r="CW192" s="499">
        <f>CX192+CY192</f>
        <v>0</v>
      </c>
      <c r="CX192" s="2256">
        <f>CX187*CX179/1000</f>
        <v>0</v>
      </c>
      <c r="CY192" s="2256">
        <f>CY187*CY179/1000</f>
        <v>0</v>
      </c>
      <c r="CZ192" s="499">
        <f>DA192+DB192</f>
        <v>0</v>
      </c>
      <c r="DA192" s="2256">
        <f>DA187*DA179/1000</f>
        <v>0</v>
      </c>
      <c r="DB192" s="2256">
        <f>DB187*DB179/1000</f>
        <v>0</v>
      </c>
      <c r="DC192" s="499">
        <f>DD192+DE192</f>
        <v>0</v>
      </c>
      <c r="DD192" s="2256">
        <f>DD187*DD179/1000</f>
        <v>0</v>
      </c>
      <c r="DE192" s="2256">
        <f>DE187*DE179/1000</f>
        <v>0</v>
      </c>
      <c r="DF192" s="499">
        <f>DG192+DH192</f>
        <v>0</v>
      </c>
      <c r="DG192" s="2256">
        <f>DG187*DG179/1000</f>
        <v>0</v>
      </c>
      <c r="DH192" s="2256">
        <f>DH187*DH179/1000</f>
        <v>0</v>
      </c>
      <c r="DI192" s="499">
        <f>DJ192+DK192</f>
        <v>0</v>
      </c>
      <c r="DJ192" s="2256">
        <f>DJ187*DJ179/1000</f>
        <v>0</v>
      </c>
      <c r="DK192" s="2256">
        <f>DK187*DK179/1000</f>
        <v>0</v>
      </c>
      <c r="DL192" s="499">
        <f>DM192+DN192</f>
        <v>0</v>
      </c>
      <c r="DM192" s="2256">
        <f>DM187*DM179/1000</f>
        <v>0</v>
      </c>
      <c r="DN192" s="2256">
        <f>DN187*DN179/1000</f>
        <v>0</v>
      </c>
      <c r="DO192" s="499">
        <f>DP192+DQ192</f>
        <v>0</v>
      </c>
      <c r="DP192" s="2256">
        <f>DP187*DP179/1000</f>
        <v>0</v>
      </c>
      <c r="DQ192" s="2256">
        <f>DQ187*DQ179/1000</f>
        <v>0</v>
      </c>
      <c r="DR192" s="499">
        <f>DS192+DT192</f>
        <v>0</v>
      </c>
      <c r="DS192" s="2256">
        <f>DS187*DS179/1000</f>
        <v>0</v>
      </c>
      <c r="DT192" s="2256">
        <f>DT187*DT179/1000</f>
        <v>0</v>
      </c>
      <c r="DU192" s="499">
        <f>DV192+DW192</f>
        <v>0</v>
      </c>
      <c r="DV192" s="2256">
        <f>DV187*DV179/1000</f>
        <v>0</v>
      </c>
      <c r="DW192" s="2256">
        <f>DW187*DW179/1000</f>
        <v>0</v>
      </c>
      <c r="DX192" s="499">
        <f>DY192+DZ192</f>
        <v>0</v>
      </c>
      <c r="DY192" s="2256">
        <f>DY187*DY179/1000</f>
        <v>0</v>
      </c>
      <c r="DZ192" s="2256">
        <f>DZ187*DZ179/1000</f>
        <v>0</v>
      </c>
      <c r="EA192" s="499">
        <f>EB192+EC192</f>
        <v>0</v>
      </c>
      <c r="EB192" s="2256">
        <f>EB187*EB179/1000</f>
        <v>0</v>
      </c>
      <c r="EC192" s="2256">
        <f>EC187*EC179/1000</f>
        <v>0</v>
      </c>
      <c r="ED192" s="499">
        <f>EE192+EF192</f>
        <v>0</v>
      </c>
      <c r="EE192" s="2256">
        <f>EE187*EE179/1000</f>
        <v>0</v>
      </c>
      <c r="EF192" s="2256">
        <f>EF187*EF179/1000</f>
        <v>0</v>
      </c>
      <c r="EG192" s="499">
        <f>EH192+EI192</f>
        <v>0</v>
      </c>
      <c r="EH192" s="2256">
        <f>EH187*EH179/1000</f>
        <v>0</v>
      </c>
      <c r="EI192" s="2256">
        <f>EI187*EI179/1000</f>
        <v>0</v>
      </c>
      <c r="EJ192" s="499">
        <f>EK192+EL192</f>
        <v>0</v>
      </c>
      <c r="EK192" s="2256">
        <f>EK187*EK179/1000</f>
        <v>0</v>
      </c>
      <c r="EL192" s="2256">
        <f>EL187*EL179/1000</f>
        <v>0</v>
      </c>
      <c r="EM192" s="499">
        <f>EN192+EO192</f>
        <v>0</v>
      </c>
      <c r="EN192" s="2256">
        <f>EN187*EN179/1000</f>
        <v>0</v>
      </c>
      <c r="EO192" s="2256">
        <f>EO187*EO179/1000</f>
        <v>0</v>
      </c>
      <c r="EP192" s="499">
        <f>EQ192+ER192</f>
        <v>0</v>
      </c>
      <c r="EQ192" s="2256">
        <f>EQ187*EQ179/1000</f>
        <v>0</v>
      </c>
      <c r="ER192" s="2256">
        <f>ER187*ER179/1000</f>
        <v>0</v>
      </c>
      <c r="ES192" s="499">
        <f>ET192+EU192</f>
        <v>0</v>
      </c>
      <c r="ET192" s="2256">
        <f>ET187*ET179/1000</f>
        <v>0</v>
      </c>
      <c r="EU192" s="2256">
        <f>EU187*EU179/1000</f>
        <v>0</v>
      </c>
      <c r="EV192" s="499">
        <f>EW192+EX192</f>
        <v>0</v>
      </c>
      <c r="EW192" s="2256">
        <f>EW187*EW179/1000</f>
        <v>0</v>
      </c>
      <c r="EX192" s="2256">
        <f>EX187*EX179/1000</f>
        <v>0</v>
      </c>
      <c r="EY192" s="499">
        <f>EZ192+FA192</f>
        <v>0</v>
      </c>
      <c r="EZ192" s="2256">
        <f>EZ187*EZ179/1000</f>
        <v>0</v>
      </c>
      <c r="FA192" s="2256">
        <f>FA187*FA179/1000</f>
        <v>0</v>
      </c>
      <c r="FB192" s="1897"/>
      <c r="FC192" s="1751"/>
      <c r="FD192" s="1751"/>
      <c r="FE192" s="489" t="s">
        <v>921</v>
      </c>
      <c r="FF192" s="648" t="s">
        <v>890</v>
      </c>
      <c r="FG192" s="648" cm="1" t="str">
        <f t="array" ref="FG192:FG192">AE192</f>
        <v>Уголь длиннопламенный</v>
      </c>
      <c r="FH192" s="648" cm="1" t="str">
        <f t="array" ref="FH192:FH192">AF192</f>
        <v/>
      </c>
      <c r="FI192" s="649"/>
      <c r="FJ192" s="649"/>
      <c r="FK192" s="1157" cm="1" t="str">
        <f t="array" ref="FK192:FK192">OFFSET(FJ192,-1,1)</f>
        <v>ТЭ.42.31656254.0001</v>
      </c>
      <c r="FL192" s="1159"/>
      <c r="FM192" s="1159"/>
      <c r="FN192" s="1159"/>
      <c r="FO192" s="1159"/>
      <c r="FP192" s="1159"/>
      <c r="FQ192" s="1159"/>
      <c r="FR192" s="1159"/>
      <c r="FS192" s="1159" t="s">
        <v>904</v>
      </c>
      <c r="FT192" s="1159"/>
      <c r="FU192" s="1159"/>
      <c r="FV192" s="1159" t="s">
        <v>883</v>
      </c>
      <c r="FW192" s="1078" t="str">
        <f>$AE192&amp;"|"&amp;$AF192</f>
        <v>Уголь длиннопламенный|</v>
      </c>
      <c r="FX192" s="1159" t="s">
        <v>303</v>
      </c>
      <c r="FY192" s="1159" t="s">
        <v>919</v>
      </c>
      <c r="FZ192" s="1159" t="s">
        <v>920</v>
      </c>
    </row>
    <row s="1751" customFormat="1" customHeight="1" ht="17.25" hidden="1">
      <c r="A193" s="371"/>
      <c r="B193" s="1548"/>
      <c r="C193" s="1548"/>
      <c r="D193" s="1548"/>
      <c r="E193" s="965">
        <v>0</v>
      </c>
      <c r="F193" s="175" cm="1" t="str">
        <f t="array" ref="F193:F193">OFFSET(G193,-1,-1)</f>
        <v>1</v>
      </c>
      <c r="G193" s="1659"/>
      <c r="H193" s="1659"/>
      <c r="I193" s="1659"/>
      <c r="J193" s="1659"/>
      <c r="K193" s="1659"/>
      <c r="L193" s="175" cm="1" t="str">
        <f t="array" ref="L193:L193">OFFSET(M193,-1,-1)</f>
        <v>false</v>
      </c>
      <c r="M193" s="1659"/>
      <c r="N193" s="1659"/>
      <c r="O193" s="1659"/>
      <c r="P193" s="1659"/>
      <c r="Q193" s="1659"/>
      <c r="R193" s="1548"/>
      <c r="S193" s="175" cm="1" t="str">
        <f t="array" ref="S193:S193">OFFSET(T193,-1,-1)</f>
        <v>true</v>
      </c>
      <c r="T193" s="1548"/>
      <c r="U193" s="753">
        <f>AND(S193,IF(ISBLANK(T193),TRUE,T193))</f>
        <v>1</v>
      </c>
      <c r="V193" s="1548"/>
      <c r="W193" s="1548"/>
      <c r="X193" s="980" t="str">
        <f>"{                  
         funcDyn: 'msg1',
         blok: 'blok_2',
         wsCross: 'Топливо 4.4',
         linkFormula: 'AE-AE#AF-AF',
         levelDyn: "&amp;Y139&amp;"
}"</f>
        <v>{                  
         funcDyn: 'msg1',
         blok: 'blok_2',
         wsCross: 'Топливо 4.4',
         linkFormula: 'AE-AE#AF-AF',
         levelDyn: 1
}</v>
      </c>
      <c r="Y193" s="1548"/>
      <c r="Z193" s="1548"/>
      <c r="AA193" s="1009"/>
      <c r="AB193" s="1607"/>
      <c r="AC193" s="1751"/>
      <c r="AD193" s="517"/>
      <c r="AE193" s="518" t="s">
        <v>191</v>
      </c>
      <c r="AF193" s="519"/>
      <c r="AG193" s="470"/>
      <c r="AH193" s="524"/>
      <c r="AI193" s="525"/>
      <c r="AJ193" s="525"/>
      <c r="AK193" s="525"/>
      <c r="AL193" s="525"/>
      <c r="AM193" s="525"/>
      <c r="AN193" s="525"/>
      <c r="AO193" s="525"/>
      <c r="AP193" s="525"/>
      <c r="AQ193" s="525"/>
      <c r="AR193" s="525"/>
      <c r="AS193" s="525"/>
      <c r="AT193" s="525"/>
      <c r="AU193" s="525"/>
      <c r="AV193" s="525"/>
      <c r="AW193" s="525"/>
      <c r="AX193" s="525"/>
      <c r="AY193" s="525"/>
      <c r="AZ193" s="525"/>
      <c r="BA193" s="525"/>
      <c r="BB193" s="525"/>
      <c r="BC193" s="525"/>
      <c r="BD193" s="525"/>
      <c r="BE193" s="525"/>
      <c r="BF193" s="525"/>
      <c r="BG193" s="525"/>
      <c r="BH193" s="525"/>
      <c r="BI193" s="525"/>
      <c r="BJ193" s="525"/>
      <c r="BK193" s="525"/>
      <c r="BL193" s="525"/>
      <c r="BM193" s="525"/>
      <c r="BN193" s="525"/>
      <c r="BO193" s="525"/>
      <c r="BP193" s="525"/>
      <c r="BQ193" s="525"/>
      <c r="BR193" s="525"/>
      <c r="BS193" s="525"/>
      <c r="BT193" s="525"/>
      <c r="BU193" s="525"/>
      <c r="BV193" s="525"/>
      <c r="BW193" s="525"/>
      <c r="BX193" s="525"/>
      <c r="BY193" s="525"/>
      <c r="BZ193" s="525"/>
      <c r="CA193" s="525"/>
      <c r="CB193" s="525"/>
      <c r="CC193" s="525"/>
      <c r="CD193" s="525"/>
      <c r="CE193" s="525"/>
      <c r="CF193" s="525"/>
      <c r="CG193" s="525"/>
      <c r="CH193" s="525"/>
      <c r="CI193" s="525"/>
      <c r="CJ193" s="525"/>
      <c r="CK193" s="525"/>
      <c r="CL193" s="525"/>
      <c r="CM193" s="525"/>
      <c r="CN193" s="525"/>
      <c r="CO193" s="525"/>
      <c r="CP193" s="525"/>
      <c r="CQ193" s="525"/>
      <c r="CR193" s="525"/>
      <c r="CS193" s="525"/>
      <c r="CT193" s="525"/>
      <c r="CU193" s="525"/>
      <c r="CV193" s="525"/>
      <c r="CW193" s="525"/>
      <c r="CX193" s="525"/>
      <c r="CY193" s="525"/>
      <c r="CZ193" s="525"/>
      <c r="DA193" s="525"/>
      <c r="DB193" s="525"/>
      <c r="DC193" s="525"/>
      <c r="DD193" s="525"/>
      <c r="DE193" s="525"/>
      <c r="DF193" s="525"/>
      <c r="DG193" s="525"/>
      <c r="DH193" s="525"/>
      <c r="DI193" s="525"/>
      <c r="DJ193" s="525"/>
      <c r="DK193" s="525"/>
      <c r="DL193" s="525"/>
      <c r="DM193" s="525"/>
      <c r="DN193" s="525"/>
      <c r="DO193" s="525"/>
      <c r="DP193" s="525"/>
      <c r="DQ193" s="525"/>
      <c r="DR193" s="525"/>
      <c r="DS193" s="525"/>
      <c r="DT193" s="525"/>
      <c r="DU193" s="525"/>
      <c r="DV193" s="525"/>
      <c r="DW193" s="525"/>
      <c r="DX193" s="525"/>
      <c r="DY193" s="525"/>
      <c r="DZ193" s="525"/>
      <c r="EA193" s="525"/>
      <c r="EB193" s="525"/>
      <c r="EC193" s="525"/>
      <c r="ED193" s="525"/>
      <c r="EE193" s="525"/>
      <c r="EF193" s="525"/>
      <c r="EG193" s="525"/>
      <c r="EH193" s="525"/>
      <c r="EI193" s="525"/>
      <c r="EJ193" s="525"/>
      <c r="EK193" s="525"/>
      <c r="EL193" s="525"/>
      <c r="EM193" s="525"/>
      <c r="EN193" s="525"/>
      <c r="EO193" s="525"/>
      <c r="EP193" s="525"/>
      <c r="EQ193" s="525"/>
      <c r="ER193" s="525"/>
      <c r="ES193" s="525"/>
      <c r="ET193" s="525"/>
      <c r="EU193" s="525"/>
      <c r="EV193" s="525"/>
      <c r="EW193" s="525"/>
      <c r="EX193" s="525"/>
      <c r="EY193" s="525"/>
      <c r="EZ193" s="525"/>
      <c r="FA193" s="525"/>
      <c r="FB193" s="93"/>
      <c r="FC193" s="1751"/>
      <c r="FD193" s="1506"/>
      <c r="FE193" s="489" t="str">
        <f>IF(AND(ISNUMBER(VALUE(TRIM(SUBSTITUTE(AD193,".","")))),TRIM(SUBSTITUTE(AD193,".",""))&lt;&gt;""),"P"&amp;SUBSTITUTE(AD193,".",""),"")</f>
        <v/>
      </c>
      <c r="FF193" s="648"/>
      <c r="FG193" s="648"/>
      <c r="FH193" s="648"/>
      <c r="FI193" s="649"/>
      <c r="FJ193" s="649"/>
      <c r="FK193" s="1157" cm="1" t="str">
        <f t="array" ref="FK193:FK193">OFFSET(FJ193,-1,1)</f>
        <v>ТЭ.42.31656254.0001</v>
      </c>
      <c r="FL193" s="1159"/>
      <c r="FM193" s="1159"/>
      <c r="FN193" s="1159"/>
      <c r="FO193" s="1159"/>
      <c r="FP193" s="1159"/>
      <c r="FQ193" s="1159"/>
      <c r="FR193" s="1159"/>
      <c r="FS193" s="1159"/>
      <c r="FT193" s="1159"/>
      <c r="FU193" s="1159"/>
      <c r="FV193" s="1159"/>
      <c r="FW193" s="1159"/>
      <c r="FX193" s="1159"/>
      <c r="FY193" s="1159"/>
      <c r="FZ193" s="1159"/>
    </row>
    <row s="1751" customFormat="1" customHeight="1" ht="21" hidden="1">
      <c r="A194" s="371"/>
      <c r="B194" s="1548"/>
      <c r="C194" s="1548"/>
      <c r="D194" s="1548"/>
      <c r="E194" s="180">
        <v>22</v>
      </c>
      <c r="F194" s="175" cm="1" t="str">
        <f t="array" ref="F194:F194">OFFSET(G194,-1,-1)</f>
        <v>1</v>
      </c>
      <c r="G194" s="1659"/>
      <c r="H194" s="1659"/>
      <c r="I194" s="1659"/>
      <c r="J194" s="1659"/>
      <c r="K194" s="1659"/>
      <c r="L194" s="175" cm="1" t="str">
        <f t="array" ref="L194:L194">OFFSET(M194,-1,-1)</f>
        <v>false</v>
      </c>
      <c r="M194" s="1659"/>
      <c r="N194" s="1659"/>
      <c r="O194" s="1659"/>
      <c r="P194" s="1659"/>
      <c r="Q194" s="1659"/>
      <c r="R194" s="175" t="s">
        <v>804</v>
      </c>
      <c r="S194" s="175" cm="1" t="str">
        <f t="array" ref="S194:S194">OFFSET(T194,-1,-1)</f>
        <v>true</v>
      </c>
      <c r="T194" s="175" cm="1" t="str">
        <f t="array" ref="T194:T194">L194</f>
        <v>false</v>
      </c>
      <c r="U194" s="753">
        <f>AND(S194,IF(ISBLANK(T194),TRUE,T194))</f>
        <v>0</v>
      </c>
      <c r="V194" s="1548"/>
      <c r="W194" s="1548"/>
      <c r="X194" s="1548"/>
      <c r="Y194" s="1548"/>
      <c r="Z194" s="1548"/>
      <c r="AA194" s="1009"/>
      <c r="AB194" s="1607"/>
      <c r="AC194" s="1751"/>
      <c r="AD194" s="491">
        <v>25</v>
      </c>
      <c r="AE194" s="1629" t="s">
        <v>923</v>
      </c>
      <c r="AF194" s="529"/>
      <c r="AG194" s="526" t="s">
        <v>917</v>
      </c>
      <c r="AH194" s="500">
        <f>SUM(AH195:AH197)</f>
        <v>1888</v>
      </c>
      <c r="AI194" s="500">
        <f>SUM(AI195:AI197)</f>
        <v>3278.32</v>
      </c>
      <c r="AJ194" s="500">
        <f>SUM(AJ195:AJ197)</f>
        <v>2462.05535865287</v>
      </c>
      <c r="AK194" s="500">
        <f>SUM(AK195:AK197)</f>
        <v>2379</v>
      </c>
      <c r="AL194" s="500">
        <f>SUM(AL195:AL197)</f>
        <v>3795.15326788219</v>
      </c>
      <c r="AM194" s="500">
        <f>SUM(AM195:AM197)</f>
        <v>2162.62276297335</v>
      </c>
      <c r="AN194" s="500">
        <f>SUM(AN195:AN197)</f>
        <v>1632.53050490884</v>
      </c>
      <c r="AO194" s="500">
        <f>SUM(AO195:AO197)</f>
        <v>0</v>
      </c>
      <c r="AP194" s="500">
        <f>SUM(AP195:AP197)</f>
        <v>0</v>
      </c>
      <c r="AQ194" s="500">
        <f>SUM(AQ195:AQ197)</f>
        <v>0</v>
      </c>
      <c r="AR194" s="500">
        <f>SUM(AR195:AR197)</f>
        <v>0</v>
      </c>
      <c r="AS194" s="500">
        <f>SUM(AS195:AS197)</f>
        <v>0</v>
      </c>
      <c r="AT194" s="500">
        <f>SUM(AT195:AT197)</f>
        <v>0</v>
      </c>
      <c r="AU194" s="500">
        <f>SUM(AU195:AU197)</f>
        <v>0</v>
      </c>
      <c r="AV194" s="500">
        <f>SUM(AV195:AV197)</f>
        <v>0</v>
      </c>
      <c r="AW194" s="500">
        <f>SUM(AW195:AW197)</f>
        <v>0</v>
      </c>
      <c r="AX194" s="500">
        <f>SUM(AX195:AX197)</f>
        <v>0</v>
      </c>
      <c r="AY194" s="500">
        <f>SUM(AY195:AY197)</f>
        <v>0</v>
      </c>
      <c r="AZ194" s="500">
        <f>SUM(AZ195:AZ197)</f>
        <v>0</v>
      </c>
      <c r="BA194" s="500">
        <f>SUM(BA195:BA197)</f>
        <v>0</v>
      </c>
      <c r="BB194" s="500">
        <f>SUM(BB195:BB197)</f>
        <v>0</v>
      </c>
      <c r="BC194" s="500">
        <f>SUM(BC195:BC197)</f>
        <v>0</v>
      </c>
      <c r="BD194" s="500">
        <f>SUM(BD195:BD197)</f>
        <v>0</v>
      </c>
      <c r="BE194" s="500">
        <f>SUM(BE195:BE197)</f>
        <v>0</v>
      </c>
      <c r="BF194" s="500">
        <f>SUM(BF195:BF197)</f>
        <v>0</v>
      </c>
      <c r="BG194" s="500">
        <f>SUM(BG195:BG197)</f>
        <v>0</v>
      </c>
      <c r="BH194" s="500">
        <f>SUM(BH195:BH197)</f>
        <v>0</v>
      </c>
      <c r="BI194" s="500">
        <f>SUM(BI195:BI197)</f>
        <v>0</v>
      </c>
      <c r="BJ194" s="500">
        <f>SUM(BJ195:BJ197)</f>
        <v>0</v>
      </c>
      <c r="BK194" s="500">
        <f>SUM(BK195:BK197)</f>
        <v>0</v>
      </c>
      <c r="BL194" s="500">
        <f>SUM(BL195:BL197)</f>
        <v>0</v>
      </c>
      <c r="BM194" s="500">
        <f>SUM(BM195:BM197)</f>
        <v>0</v>
      </c>
      <c r="BN194" s="500">
        <f>SUM(BN195:BN197)</f>
        <v>0</v>
      </c>
      <c r="BO194" s="500">
        <f>SUM(BO195:BO197)</f>
        <v>0</v>
      </c>
      <c r="BP194" s="500">
        <f>SUM(BP195:BP197)</f>
        <v>0</v>
      </c>
      <c r="BQ194" s="500">
        <f>SUM(BQ195:BQ197)</f>
        <v>0</v>
      </c>
      <c r="BR194" s="500">
        <f>SUM(BR195:BR197)</f>
        <v>0</v>
      </c>
      <c r="BS194" s="500">
        <f>SUM(BS195:BS197)</f>
        <v>0</v>
      </c>
      <c r="BT194" s="500">
        <f>SUM(BT195:BT197)</f>
        <v>0</v>
      </c>
      <c r="BU194" s="500">
        <f>SUM(BU195:BU197)</f>
        <v>0</v>
      </c>
      <c r="BV194" s="500">
        <f>SUM(BV195:BV197)</f>
        <v>0</v>
      </c>
      <c r="BW194" s="500">
        <f>SUM(BW195:BW197)</f>
        <v>0</v>
      </c>
      <c r="BX194" s="500">
        <f>SUM(BX195:BX197)</f>
        <v>0</v>
      </c>
      <c r="BY194" s="500">
        <f>SUM(BY195:BY197)</f>
        <v>0</v>
      </c>
      <c r="BZ194" s="500">
        <f>SUM(BZ195:BZ197)</f>
        <v>0</v>
      </c>
      <c r="CA194" s="500">
        <f>SUM(CA195:CA197)</f>
        <v>0</v>
      </c>
      <c r="CB194" s="500">
        <f>SUM(CB195:CB197)</f>
        <v>0</v>
      </c>
      <c r="CC194" s="500">
        <f>SUM(CC195:CC197)</f>
        <v>0</v>
      </c>
      <c r="CD194" s="500">
        <f>SUM(CD195:CD197)</f>
        <v>0</v>
      </c>
      <c r="CE194" s="500">
        <f>SUM(CE195:CE197)</f>
        <v>0</v>
      </c>
      <c r="CF194" s="500">
        <f>SUM(CF195:CF197)</f>
        <v>0</v>
      </c>
      <c r="CG194" s="500">
        <f>SUM(CG195:CG197)</f>
        <v>0</v>
      </c>
      <c r="CH194" s="500">
        <f>SUM(CH195:CH197)</f>
        <v>0</v>
      </c>
      <c r="CI194" s="500">
        <f>SUM(CI195:CI197)</f>
        <v>0</v>
      </c>
      <c r="CJ194" s="500">
        <f>SUM(CJ195:CJ197)</f>
        <v>0</v>
      </c>
      <c r="CK194" s="500">
        <f>SUM(CK195:CK197)</f>
        <v>0</v>
      </c>
      <c r="CL194" s="500">
        <f>SUM(CL195:CL197)</f>
        <v>0</v>
      </c>
      <c r="CM194" s="500">
        <f>SUM(CM195:CM197)</f>
        <v>0</v>
      </c>
      <c r="CN194" s="500">
        <f>SUM(CN195:CN197)</f>
        <v>0</v>
      </c>
      <c r="CO194" s="500">
        <f>SUM(CO195:CO197)</f>
        <v>0</v>
      </c>
      <c r="CP194" s="500">
        <f>SUM(CP195:CP197)</f>
        <v>0</v>
      </c>
      <c r="CQ194" s="500">
        <f>SUM(CQ195:CQ197)</f>
        <v>0</v>
      </c>
      <c r="CR194" s="500">
        <f>SUM(CR195:CR197)</f>
        <v>0</v>
      </c>
      <c r="CS194" s="500">
        <f>SUM(CS195:CS197)</f>
        <v>0</v>
      </c>
      <c r="CT194" s="500">
        <f>SUM(CT195:CT197)</f>
        <v>2767.57904397241</v>
      </c>
      <c r="CU194" s="500">
        <f>SUM(CU195:CU197)</f>
        <v>1577.33127630345</v>
      </c>
      <c r="CV194" s="500">
        <f>SUM(CV195:CV197)</f>
        <v>1190.24776766896</v>
      </c>
      <c r="CW194" s="500">
        <f>SUM(CW195:CW197)</f>
        <v>0</v>
      </c>
      <c r="CX194" s="500">
        <f>SUM(CX195:CX197)</f>
        <v>0</v>
      </c>
      <c r="CY194" s="500">
        <f>SUM(CY195:CY197)</f>
        <v>0</v>
      </c>
      <c r="CZ194" s="500">
        <f>SUM(CZ195:CZ197)</f>
        <v>0</v>
      </c>
      <c r="DA194" s="500">
        <f>SUM(DA195:DA197)</f>
        <v>0</v>
      </c>
      <c r="DB194" s="500">
        <f>SUM(DB195:DB197)</f>
        <v>0</v>
      </c>
      <c r="DC194" s="500">
        <f>SUM(DC195:DC197)</f>
        <v>0</v>
      </c>
      <c r="DD194" s="500">
        <f>SUM(DD195:DD197)</f>
        <v>0</v>
      </c>
      <c r="DE194" s="500">
        <f>SUM(DE195:DE197)</f>
        <v>0</v>
      </c>
      <c r="DF194" s="500">
        <f>SUM(DF195:DF197)</f>
        <v>0</v>
      </c>
      <c r="DG194" s="500">
        <f>SUM(DG195:DG197)</f>
        <v>0</v>
      </c>
      <c r="DH194" s="500">
        <f>SUM(DH195:DH197)</f>
        <v>0</v>
      </c>
      <c r="DI194" s="500">
        <f>SUM(DI195:DI197)</f>
        <v>0</v>
      </c>
      <c r="DJ194" s="500">
        <f>SUM(DJ195:DJ197)</f>
        <v>0</v>
      </c>
      <c r="DK194" s="500">
        <f>SUM(DK195:DK197)</f>
        <v>0</v>
      </c>
      <c r="DL194" s="500">
        <f>SUM(DL195:DL197)</f>
        <v>0</v>
      </c>
      <c r="DM194" s="500">
        <f>SUM(DM195:DM197)</f>
        <v>0</v>
      </c>
      <c r="DN194" s="500">
        <f>SUM(DN195:DN197)</f>
        <v>0</v>
      </c>
      <c r="DO194" s="500">
        <f>SUM(DO195:DO197)</f>
        <v>0</v>
      </c>
      <c r="DP194" s="500">
        <f>SUM(DP195:DP197)</f>
        <v>0</v>
      </c>
      <c r="DQ194" s="500">
        <f>SUM(DQ195:DQ197)</f>
        <v>0</v>
      </c>
      <c r="DR194" s="500">
        <f>SUM(DR195:DR197)</f>
        <v>0</v>
      </c>
      <c r="DS194" s="500">
        <f>SUM(DS195:DS197)</f>
        <v>0</v>
      </c>
      <c r="DT194" s="500">
        <f>SUM(DT195:DT197)</f>
        <v>0</v>
      </c>
      <c r="DU194" s="500">
        <f>SUM(DU195:DU197)</f>
        <v>0</v>
      </c>
      <c r="DV194" s="500">
        <f>SUM(DV195:DV197)</f>
        <v>0</v>
      </c>
      <c r="DW194" s="500">
        <f>SUM(DW195:DW197)</f>
        <v>0</v>
      </c>
      <c r="DX194" s="500">
        <f>SUM(DX195:DX197)</f>
        <v>0</v>
      </c>
      <c r="DY194" s="500">
        <f>SUM(DY195:DY197)</f>
        <v>0</v>
      </c>
      <c r="DZ194" s="500">
        <f>SUM(DZ195:DZ197)</f>
        <v>0</v>
      </c>
      <c r="EA194" s="500">
        <f>SUM(EA195:EA197)</f>
        <v>0</v>
      </c>
      <c r="EB194" s="500">
        <f>SUM(EB195:EB197)</f>
        <v>0</v>
      </c>
      <c r="EC194" s="500">
        <f>SUM(EC195:EC197)</f>
        <v>0</v>
      </c>
      <c r="ED194" s="500">
        <f>SUM(ED195:ED197)</f>
        <v>0</v>
      </c>
      <c r="EE194" s="500">
        <f>SUM(EE195:EE197)</f>
        <v>0</v>
      </c>
      <c r="EF194" s="500">
        <f>SUM(EF195:EF197)</f>
        <v>0</v>
      </c>
      <c r="EG194" s="500">
        <f>SUM(EG195:EG197)</f>
        <v>0</v>
      </c>
      <c r="EH194" s="500">
        <f>SUM(EH195:EH197)</f>
        <v>0</v>
      </c>
      <c r="EI194" s="500">
        <f>SUM(EI195:EI197)</f>
        <v>0</v>
      </c>
      <c r="EJ194" s="500">
        <f>SUM(EJ195:EJ197)</f>
        <v>0</v>
      </c>
      <c r="EK194" s="500">
        <f>SUM(EK195:EK197)</f>
        <v>0</v>
      </c>
      <c r="EL194" s="500">
        <f>SUM(EL195:EL197)</f>
        <v>0</v>
      </c>
      <c r="EM194" s="500">
        <f>SUM(EM195:EM197)</f>
        <v>0</v>
      </c>
      <c r="EN194" s="500">
        <f>SUM(EN195:EN197)</f>
        <v>0</v>
      </c>
      <c r="EO194" s="500">
        <f>SUM(EO195:EO197)</f>
        <v>0</v>
      </c>
      <c r="EP194" s="500">
        <f>SUM(EP195:EP197)</f>
        <v>0</v>
      </c>
      <c r="EQ194" s="500">
        <f>SUM(EQ195:EQ197)</f>
        <v>0</v>
      </c>
      <c r="ER194" s="500">
        <f>SUM(ER195:ER197)</f>
        <v>0</v>
      </c>
      <c r="ES194" s="500">
        <f>SUM(ES195:ES197)</f>
        <v>0</v>
      </c>
      <c r="ET194" s="500">
        <f>SUM(ET195:ET197)</f>
        <v>0</v>
      </c>
      <c r="EU194" s="500">
        <f>SUM(EU195:EU197)</f>
        <v>0</v>
      </c>
      <c r="EV194" s="500">
        <f>SUM(EV195:EV197)</f>
        <v>0</v>
      </c>
      <c r="EW194" s="500">
        <f>SUM(EW195:EW197)</f>
        <v>0</v>
      </c>
      <c r="EX194" s="500">
        <f>SUM(EX195:EX197)</f>
        <v>0</v>
      </c>
      <c r="EY194" s="500">
        <f>SUM(EY195:EY197)</f>
        <v>0</v>
      </c>
      <c r="EZ194" s="500">
        <f>SUM(EZ195:EZ197)</f>
        <v>0</v>
      </c>
      <c r="FA194" s="500">
        <f>SUM(FA195:FA197)</f>
        <v>0</v>
      </c>
      <c r="FB194" s="83"/>
      <c r="FC194" s="1751"/>
      <c r="FD194" s="1506"/>
      <c r="FE194" s="489" t="s">
        <v>924</v>
      </c>
      <c r="FF194" s="648"/>
      <c r="FG194" s="648"/>
      <c r="FH194" s="648"/>
      <c r="FI194" s="649"/>
      <c r="FJ194" s="649"/>
      <c r="FK194" s="1157" cm="1" t="str">
        <f t="array" ref="FK194:FK194">OFFSET(FJ194,-1,1)</f>
        <v>ТЭ.42.31656254.0001</v>
      </c>
      <c r="FL194" s="1078"/>
      <c r="FM194" s="1159" t="s">
        <v>824</v>
      </c>
      <c r="FN194" s="1159"/>
      <c r="FO194" s="1159"/>
      <c r="FP194" s="1159"/>
      <c r="FQ194" s="1159"/>
      <c r="FR194" s="1159" t="s">
        <v>561</v>
      </c>
      <c r="FS194" s="1159" t="s">
        <v>904</v>
      </c>
      <c r="FT194" s="1159"/>
      <c r="FU194" s="1159"/>
      <c r="FV194" s="1159"/>
      <c r="FW194" s="1159"/>
      <c r="FX194" s="1159" t="s">
        <v>303</v>
      </c>
      <c r="FY194" s="1159" t="s">
        <v>919</v>
      </c>
      <c r="FZ194" s="1159" t="s">
        <v>920</v>
      </c>
    </row>
    <row s="1751" customFormat="1" customHeight="1" ht="16.5" hidden="1">
      <c r="E195" s="180">
        <v>17</v>
      </c>
      <c r="F195" s="175" cm="1" t="str">
        <f t="array" ref="F195:F195">OFFSET(G195,-1,-1)</f>
        <v>1</v>
      </c>
      <c r="L195" s="175" cm="1" t="str">
        <f t="array" ref="L195:L195">OFFSET(M195,-1,-1)</f>
        <v>false</v>
      </c>
      <c r="R195" s="175" t="s">
        <v>804</v>
      </c>
      <c r="S195" s="175" cm="1" t="str">
        <f t="array" ref="S195:S195">OFFSET(T195,-1,-1)</f>
        <v>true</v>
      </c>
      <c r="T195" s="175">
        <f>AND(L195,AD195&lt;&gt;"25.0")</f>
        <v>0</v>
      </c>
      <c r="U195" s="753">
        <f>AND(S195,IF(ISBLANK(T195),TRUE,T195))</f>
        <v>0</v>
      </c>
      <c r="X195" s="175" t="s">
        <v>189</v>
      </c>
      <c r="AB195" s="1607"/>
      <c r="AD195" s="491" t="s">
        <v>925</v>
      </c>
      <c r="AE195" s="514"/>
      <c r="AF195" s="515"/>
      <c r="AG195" s="526" t="s">
        <v>917</v>
      </c>
      <c r="AH195" s="88">
        <f>AH$163*AH191</f>
        <v>0</v>
      </c>
      <c r="AI195" s="89">
        <f>AI$163*AI191</f>
        <v>0</v>
      </c>
      <c r="AJ195" s="89">
        <f>AJ$163*AJ191</f>
        <v>0</v>
      </c>
      <c r="AK195" s="89">
        <f>AK$163*AK191</f>
        <v>0</v>
      </c>
      <c r="AL195" s="499">
        <f>AM195+AN195</f>
        <v>0</v>
      </c>
      <c r="AM195" s="89">
        <f>AM$163*AM191</f>
        <v>0</v>
      </c>
      <c r="AN195" s="89">
        <f>AN$163*AN191</f>
        <v>0</v>
      </c>
      <c r="AO195" s="499">
        <f>AP195+AQ195</f>
        <v>0</v>
      </c>
      <c r="AP195" s="89">
        <f>AP$163*AP191</f>
        <v>0</v>
      </c>
      <c r="AQ195" s="89">
        <f>AQ$163*AQ191</f>
        <v>0</v>
      </c>
      <c r="AR195" s="499">
        <f>AS195+AT195</f>
        <v>0</v>
      </c>
      <c r="AS195" s="89">
        <f>AS$163*AS191</f>
        <v>0</v>
      </c>
      <c r="AT195" s="89">
        <f>AT$163*AT191</f>
        <v>0</v>
      </c>
      <c r="AU195" s="499">
        <f>AV195+AW195</f>
        <v>0</v>
      </c>
      <c r="AV195" s="89">
        <f>AV$163*AV191</f>
        <v>0</v>
      </c>
      <c r="AW195" s="89">
        <f>AW$163*AW191</f>
        <v>0</v>
      </c>
      <c r="AX195" s="499">
        <f>AY195+AZ195</f>
        <v>0</v>
      </c>
      <c r="AY195" s="89">
        <f>AY$163*AY191</f>
        <v>0</v>
      </c>
      <c r="AZ195" s="89">
        <f>AZ$163*AZ191</f>
        <v>0</v>
      </c>
      <c r="BA195" s="499">
        <f>BB195+BC195</f>
        <v>0</v>
      </c>
      <c r="BB195" s="89">
        <f>BB$163*BB191</f>
        <v>0</v>
      </c>
      <c r="BC195" s="89">
        <f>BC$163*BC191</f>
        <v>0</v>
      </c>
      <c r="BD195" s="499">
        <f>BE195+BF195</f>
        <v>0</v>
      </c>
      <c r="BE195" s="89">
        <f>BE$163*BE191</f>
        <v>0</v>
      </c>
      <c r="BF195" s="89">
        <f>BF$163*BF191</f>
        <v>0</v>
      </c>
      <c r="BG195" s="499">
        <f>BH195+BI195</f>
        <v>0</v>
      </c>
      <c r="BH195" s="89">
        <f>BH$163*BH191</f>
        <v>0</v>
      </c>
      <c r="BI195" s="89">
        <f>BI$163*BI191</f>
        <v>0</v>
      </c>
      <c r="BJ195" s="499">
        <f>BK195+BL195</f>
        <v>0</v>
      </c>
      <c r="BK195" s="89">
        <f>BK$163*BK191</f>
        <v>0</v>
      </c>
      <c r="BL195" s="89">
        <f>BL$163*BL191</f>
        <v>0</v>
      </c>
      <c r="BM195" s="499">
        <f>BN195+BO195</f>
        <v>0</v>
      </c>
      <c r="BN195" s="89">
        <f>BN$163*BN191</f>
        <v>0</v>
      </c>
      <c r="BO195" s="89">
        <f>BO$163*BO191</f>
        <v>0</v>
      </c>
      <c r="BP195" s="499">
        <f>BQ195+BR195</f>
        <v>0</v>
      </c>
      <c r="BQ195" s="89">
        <f>BQ$163*BQ191</f>
        <v>0</v>
      </c>
      <c r="BR195" s="89">
        <f>BR$163*BR191</f>
        <v>0</v>
      </c>
      <c r="BS195" s="499">
        <f>BT195+BU195</f>
        <v>0</v>
      </c>
      <c r="BT195" s="89">
        <f>BT$163*BT191</f>
        <v>0</v>
      </c>
      <c r="BU195" s="89">
        <f>BU$163*BU191</f>
        <v>0</v>
      </c>
      <c r="BV195" s="499">
        <f>BW195+BX195</f>
        <v>0</v>
      </c>
      <c r="BW195" s="89">
        <f>BW$163*BW191</f>
        <v>0</v>
      </c>
      <c r="BX195" s="89">
        <f>BX$163*BX191</f>
        <v>0</v>
      </c>
      <c r="BY195" s="499">
        <f>BZ195+CA195</f>
        <v>0</v>
      </c>
      <c r="BZ195" s="89">
        <f>BZ$163*BZ191</f>
        <v>0</v>
      </c>
      <c r="CA195" s="89">
        <f>CA$163*CA191</f>
        <v>0</v>
      </c>
      <c r="CB195" s="499">
        <f>CC195+CD195</f>
        <v>0</v>
      </c>
      <c r="CC195" s="89">
        <f>CC$163*CC191</f>
        <v>0</v>
      </c>
      <c r="CD195" s="89">
        <f>CD$163*CD191</f>
        <v>0</v>
      </c>
      <c r="CE195" s="499">
        <f>CF195+CG195</f>
        <v>0</v>
      </c>
      <c r="CF195" s="89">
        <f>CF$163*CF191</f>
        <v>0</v>
      </c>
      <c r="CG195" s="89">
        <f>CG$163*CG191</f>
        <v>0</v>
      </c>
      <c r="CH195" s="499">
        <f>CI195+CJ195</f>
        <v>0</v>
      </c>
      <c r="CI195" s="89">
        <f>CI$163*CI191</f>
        <v>0</v>
      </c>
      <c r="CJ195" s="89">
        <f>CJ$163*CJ191</f>
        <v>0</v>
      </c>
      <c r="CK195" s="499">
        <f>CL195+CM195</f>
        <v>0</v>
      </c>
      <c r="CL195" s="89">
        <f>CL$163*CL191</f>
        <v>0</v>
      </c>
      <c r="CM195" s="89">
        <f>CM$163*CM191</f>
        <v>0</v>
      </c>
      <c r="CN195" s="499">
        <f>CO195+CP195</f>
        <v>0</v>
      </c>
      <c r="CO195" s="89">
        <f>CO$163*CO191</f>
        <v>0</v>
      </c>
      <c r="CP195" s="89">
        <f>CP$163*CP191</f>
        <v>0</v>
      </c>
      <c r="CQ195" s="499">
        <f>CR195+CS195</f>
        <v>0</v>
      </c>
      <c r="CR195" s="89">
        <f>CR$163*CR191</f>
        <v>0</v>
      </c>
      <c r="CS195" s="89">
        <f>CS$163*CS191</f>
        <v>0</v>
      </c>
      <c r="CT195" s="499">
        <f>CU195+CV195</f>
        <v>0</v>
      </c>
      <c r="CU195" s="498">
        <f>CU$163*CU191</f>
        <v>0</v>
      </c>
      <c r="CV195" s="498">
        <f>CV$163*CV191</f>
        <v>0</v>
      </c>
      <c r="CW195" s="499">
        <f>CX195+CY195</f>
        <v>0</v>
      </c>
      <c r="CX195" s="89">
        <f>CX$163*CX191</f>
        <v>0</v>
      </c>
      <c r="CY195" s="89">
        <f>CY$163*CY191</f>
        <v>0</v>
      </c>
      <c r="CZ195" s="499">
        <f>DA195+DB195</f>
        <v>0</v>
      </c>
      <c r="DA195" s="89">
        <f>DA$163*DA191</f>
        <v>0</v>
      </c>
      <c r="DB195" s="89">
        <f>DB$163*DB191</f>
        <v>0</v>
      </c>
      <c r="DC195" s="499">
        <f>DD195+DE195</f>
        <v>0</v>
      </c>
      <c r="DD195" s="89">
        <f>DD$163*DD191</f>
        <v>0</v>
      </c>
      <c r="DE195" s="89">
        <f>DE$163*DE191</f>
        <v>0</v>
      </c>
      <c r="DF195" s="499">
        <f>DG195+DH195</f>
        <v>0</v>
      </c>
      <c r="DG195" s="89">
        <f>DG$163*DG191</f>
        <v>0</v>
      </c>
      <c r="DH195" s="89">
        <f>DH$163*DH191</f>
        <v>0</v>
      </c>
      <c r="DI195" s="499">
        <f>DJ195+DK195</f>
        <v>0</v>
      </c>
      <c r="DJ195" s="89">
        <f>DJ$163*DJ191</f>
        <v>0</v>
      </c>
      <c r="DK195" s="89">
        <f>DK$163*DK191</f>
        <v>0</v>
      </c>
      <c r="DL195" s="499">
        <f>DM195+DN195</f>
        <v>0</v>
      </c>
      <c r="DM195" s="89">
        <f>DM$163*DM191</f>
        <v>0</v>
      </c>
      <c r="DN195" s="89">
        <f>DN$163*DN191</f>
        <v>0</v>
      </c>
      <c r="DO195" s="499">
        <f>DP195+DQ195</f>
        <v>0</v>
      </c>
      <c r="DP195" s="89">
        <f>DP$163*DP191</f>
        <v>0</v>
      </c>
      <c r="DQ195" s="89">
        <f>DQ$163*DQ191</f>
        <v>0</v>
      </c>
      <c r="DR195" s="499">
        <f>DS195+DT195</f>
        <v>0</v>
      </c>
      <c r="DS195" s="89">
        <f>DS$163*DS191</f>
        <v>0</v>
      </c>
      <c r="DT195" s="89">
        <f>DT$163*DT191</f>
        <v>0</v>
      </c>
      <c r="DU195" s="499">
        <f>DV195+DW195</f>
        <v>0</v>
      </c>
      <c r="DV195" s="89">
        <f>DV$163*DV191</f>
        <v>0</v>
      </c>
      <c r="DW195" s="89">
        <f>DW$163*DW191</f>
        <v>0</v>
      </c>
      <c r="DX195" s="499">
        <f>DY195+DZ195</f>
        <v>0</v>
      </c>
      <c r="DY195" s="89">
        <f>DY$163*DY191</f>
        <v>0</v>
      </c>
      <c r="DZ195" s="89">
        <f>DZ$163*DZ191</f>
        <v>0</v>
      </c>
      <c r="EA195" s="499">
        <f>EB195+EC195</f>
        <v>0</v>
      </c>
      <c r="EB195" s="89">
        <f>EB$163*EB191</f>
        <v>0</v>
      </c>
      <c r="EC195" s="89">
        <f>EC$163*EC191</f>
        <v>0</v>
      </c>
      <c r="ED195" s="499">
        <f>EE195+EF195</f>
        <v>0</v>
      </c>
      <c r="EE195" s="89">
        <f>EE$163*EE191</f>
        <v>0</v>
      </c>
      <c r="EF195" s="89">
        <f>EF$163*EF191</f>
        <v>0</v>
      </c>
      <c r="EG195" s="499">
        <f>EH195+EI195</f>
        <v>0</v>
      </c>
      <c r="EH195" s="89">
        <f>EH$163*EH191</f>
        <v>0</v>
      </c>
      <c r="EI195" s="89">
        <f>EI$163*EI191</f>
        <v>0</v>
      </c>
      <c r="EJ195" s="499">
        <f>EK195+EL195</f>
        <v>0</v>
      </c>
      <c r="EK195" s="89">
        <f>EK$163*EK191</f>
        <v>0</v>
      </c>
      <c r="EL195" s="89">
        <f>EL$163*EL191</f>
        <v>0</v>
      </c>
      <c r="EM195" s="499">
        <f>EN195+EO195</f>
        <v>0</v>
      </c>
      <c r="EN195" s="89">
        <f>EN$163*EN191</f>
        <v>0</v>
      </c>
      <c r="EO195" s="89">
        <f>EO$163*EO191</f>
        <v>0</v>
      </c>
      <c r="EP195" s="499">
        <f>EQ195+ER195</f>
        <v>0</v>
      </c>
      <c r="EQ195" s="89">
        <f>EQ$163*EQ191</f>
        <v>0</v>
      </c>
      <c r="ER195" s="89">
        <f>ER$163*ER191</f>
        <v>0</v>
      </c>
      <c r="ES195" s="499">
        <f>ET195+EU195</f>
        <v>0</v>
      </c>
      <c r="ET195" s="89">
        <f>ET$163*ET191</f>
        <v>0</v>
      </c>
      <c r="EU195" s="89">
        <f>EU$163*EU191</f>
        <v>0</v>
      </c>
      <c r="EV195" s="499">
        <f>EW195+EX195</f>
        <v>0</v>
      </c>
      <c r="EW195" s="89">
        <f>EW$163*EW191</f>
        <v>0</v>
      </c>
      <c r="EX195" s="89">
        <f>EX$163*EX191</f>
        <v>0</v>
      </c>
      <c r="EY195" s="499">
        <f>EZ195+FA195</f>
        <v>0</v>
      </c>
      <c r="EZ195" s="89">
        <f>EZ$163*EZ191</f>
        <v>0</v>
      </c>
      <c r="FA195" s="89">
        <f>FA$163*FA191</f>
        <v>0</v>
      </c>
      <c r="FB195" s="83"/>
      <c r="FE195" s="489" t="s">
        <v>924</v>
      </c>
      <c r="FF195" s="648" t="s">
        <v>890</v>
      </c>
      <c r="FG195" s="648" cm="1" t="str">
        <f t="array" ref="FG195:FG195">AE195</f>
        <v>0</v>
      </c>
      <c r="FH195" s="648" cm="1" t="str">
        <f t="array" ref="FH195:FH195">AF195</f>
        <v>0</v>
      </c>
      <c r="FI195" s="649"/>
      <c r="FJ195" s="649"/>
      <c r="FK195" s="1157" cm="1" t="str">
        <f t="array" ref="FK195:FK195">OFFSET(FJ195,-1,1)</f>
        <v>ТЭ.42.31656254.0001</v>
      </c>
      <c r="FL195" s="1159"/>
      <c r="FM195" s="1159" t="s">
        <v>824</v>
      </c>
      <c r="FN195" s="1159"/>
      <c r="FO195" s="1159"/>
      <c r="FP195" s="1159"/>
      <c r="FQ195" s="1159"/>
      <c r="FR195" s="1159" t="s">
        <v>561</v>
      </c>
      <c r="FS195" s="1159" t="s">
        <v>904</v>
      </c>
      <c r="FT195" s="1159"/>
      <c r="FU195" s="1159"/>
      <c r="FV195" s="1159"/>
      <c r="FW195" s="1078" t="str">
        <f>$AE195&amp;"|"&amp;$AF195</f>
        <v>|</v>
      </c>
      <c r="FX195" s="1159" t="s">
        <v>303</v>
      </c>
      <c r="FY195" s="1159" t="s">
        <v>919</v>
      </c>
      <c r="FZ195" s="1159" t="s">
        <v>920</v>
      </c>
    </row>
    <row s="1751" customFormat="1" customHeight="1" ht="16.5" hidden="1">
      <c r="A196" s="1751"/>
      <c r="B196" s="1751"/>
      <c r="C196" s="1751"/>
      <c r="D196" s="1751"/>
      <c r="E196" s="180">
        <v>17</v>
      </c>
      <c r="F196" s="175" cm="1" t="str">
        <f t="array" ref="F196:F196">OFFSET(G196,-1,-1)</f>
        <v>1</v>
      </c>
      <c r="G196" s="1751"/>
      <c r="H196" s="1751"/>
      <c r="I196" s="1751"/>
      <c r="J196" s="1751"/>
      <c r="K196" s="1751"/>
      <c r="L196" s="175" cm="1" t="str">
        <f t="array" ref="L196:L196">OFFSET(M196,-1,-1)</f>
        <v>false</v>
      </c>
      <c r="M196" s="1751"/>
      <c r="N196" s="1751"/>
      <c r="O196" s="1751"/>
      <c r="P196" s="1751"/>
      <c r="Q196" s="1751"/>
      <c r="R196" s="175" t="s">
        <v>804</v>
      </c>
      <c r="S196" s="175" cm="1" t="str">
        <f t="array" ref="S196:S196">OFFSET(T196,-1,-1)</f>
        <v>true</v>
      </c>
      <c r="T196" s="175">
        <f>AND(L196,AD196&lt;&gt;"25.0")</f>
        <v>0</v>
      </c>
      <c r="U196" s="753">
        <f>AND(S196,IF(ISBLANK(T196),TRUE,T196))</f>
        <v>0</v>
      </c>
      <c r="V196" s="1751"/>
      <c r="W196" s="1751"/>
      <c r="X196" s="175" t="str">
        <f>'Топливо 4.4'!$AE$192&amp;'Топливо 4.4'!$AF$192</f>
        <v>Уголь длиннопламенный</v>
      </c>
      <c r="Y196" s="1751"/>
      <c r="Z196" s="1751"/>
      <c r="AA196" s="1751"/>
      <c r="AB196" s="1607"/>
      <c r="AC196" s="1751"/>
      <c r="AD196" s="491" t="s">
        <v>1017</v>
      </c>
      <c r="AE196" s="514" cm="1" t="str">
        <f t="array" ref="AE196:AE196">IF(ISBLANK('Топливо 4.4'!$AE$192),"",'Топливо 4.4'!$AE$192)</f>
        <v>Уголь длиннопламенный</v>
      </c>
      <c r="AF196" s="515" cm="1" t="str">
        <f t="array" ref="AF196:AF196">IF(ISBLANK('Топливо 4.4'!$AF$192),"",'Топливо 4.4'!$AF$192)</f>
        <v/>
      </c>
      <c r="AG196" s="526" t="s">
        <v>917</v>
      </c>
      <c r="AH196" s="88">
        <f>AH$163*AH192</f>
        <v>1888</v>
      </c>
      <c r="AI196" s="89">
        <f>AI$163*AI192</f>
        <v>3278.32</v>
      </c>
      <c r="AJ196" s="89">
        <f>AJ$163*AJ192</f>
        <v>2462.05535865287</v>
      </c>
      <c r="AK196" s="89">
        <f>AK$163*AK192</f>
        <v>2379</v>
      </c>
      <c r="AL196" s="499">
        <f>AM196+AN196</f>
        <v>3795.15326788219</v>
      </c>
      <c r="AM196" s="89">
        <f>AM$163*AM192</f>
        <v>2162.62276297335</v>
      </c>
      <c r="AN196" s="89">
        <f>AN$163*AN192</f>
        <v>1632.53050490884</v>
      </c>
      <c r="AO196" s="499">
        <f>AP196+AQ196</f>
        <v>0</v>
      </c>
      <c r="AP196" s="89">
        <f>AP$163*AP192</f>
        <v>0</v>
      </c>
      <c r="AQ196" s="89">
        <f>AQ$163*AQ192</f>
        <v>0</v>
      </c>
      <c r="AR196" s="499">
        <f>AS196+AT196</f>
        <v>0</v>
      </c>
      <c r="AS196" s="89">
        <f>AS$163*AS192</f>
        <v>0</v>
      </c>
      <c r="AT196" s="89">
        <f>AT$163*AT192</f>
        <v>0</v>
      </c>
      <c r="AU196" s="499">
        <f>AV196+AW196</f>
        <v>0</v>
      </c>
      <c r="AV196" s="89">
        <f>AV$163*AV192</f>
        <v>0</v>
      </c>
      <c r="AW196" s="89">
        <f>AW$163*AW192</f>
        <v>0</v>
      </c>
      <c r="AX196" s="499">
        <f>AY196+AZ196</f>
        <v>0</v>
      </c>
      <c r="AY196" s="89">
        <f>AY$163*AY192</f>
        <v>0</v>
      </c>
      <c r="AZ196" s="89">
        <f>AZ$163*AZ192</f>
        <v>0</v>
      </c>
      <c r="BA196" s="499">
        <f>BB196+BC196</f>
        <v>0</v>
      </c>
      <c r="BB196" s="89">
        <f>BB$163*BB192</f>
        <v>0</v>
      </c>
      <c r="BC196" s="89">
        <f>BC$163*BC192</f>
        <v>0</v>
      </c>
      <c r="BD196" s="499">
        <f>BE196+BF196</f>
        <v>0</v>
      </c>
      <c r="BE196" s="89">
        <f>BE$163*BE192</f>
        <v>0</v>
      </c>
      <c r="BF196" s="89">
        <f>BF$163*BF192</f>
        <v>0</v>
      </c>
      <c r="BG196" s="499">
        <f>BH196+BI196</f>
        <v>0</v>
      </c>
      <c r="BH196" s="89">
        <f>BH$163*BH192</f>
        <v>0</v>
      </c>
      <c r="BI196" s="89">
        <f>BI$163*BI192</f>
        <v>0</v>
      </c>
      <c r="BJ196" s="499">
        <f>BK196+BL196</f>
        <v>0</v>
      </c>
      <c r="BK196" s="89">
        <f>BK$163*BK192</f>
        <v>0</v>
      </c>
      <c r="BL196" s="89">
        <f>BL$163*BL192</f>
        <v>0</v>
      </c>
      <c r="BM196" s="499">
        <f>BN196+BO196</f>
        <v>0</v>
      </c>
      <c r="BN196" s="89">
        <f>BN$163*BN192</f>
        <v>0</v>
      </c>
      <c r="BO196" s="89">
        <f>BO$163*BO192</f>
        <v>0</v>
      </c>
      <c r="BP196" s="499">
        <f>BQ196+BR196</f>
        <v>0</v>
      </c>
      <c r="BQ196" s="89">
        <f>BQ$163*BQ192</f>
        <v>0</v>
      </c>
      <c r="BR196" s="89">
        <f>BR$163*BR192</f>
        <v>0</v>
      </c>
      <c r="BS196" s="499">
        <f>BT196+BU196</f>
        <v>0</v>
      </c>
      <c r="BT196" s="89">
        <f>BT$163*BT192</f>
        <v>0</v>
      </c>
      <c r="BU196" s="89">
        <f>BU$163*BU192</f>
        <v>0</v>
      </c>
      <c r="BV196" s="499">
        <f>BW196+BX196</f>
        <v>0</v>
      </c>
      <c r="BW196" s="89">
        <f>BW$163*BW192</f>
        <v>0</v>
      </c>
      <c r="BX196" s="89">
        <f>BX$163*BX192</f>
        <v>0</v>
      </c>
      <c r="BY196" s="499">
        <f>BZ196+CA196</f>
        <v>0</v>
      </c>
      <c r="BZ196" s="89">
        <f>BZ$163*BZ192</f>
        <v>0</v>
      </c>
      <c r="CA196" s="89">
        <f>CA$163*CA192</f>
        <v>0</v>
      </c>
      <c r="CB196" s="499">
        <f>CC196+CD196</f>
        <v>0</v>
      </c>
      <c r="CC196" s="89">
        <f>CC$163*CC192</f>
        <v>0</v>
      </c>
      <c r="CD196" s="89">
        <f>CD$163*CD192</f>
        <v>0</v>
      </c>
      <c r="CE196" s="499">
        <f>CF196+CG196</f>
        <v>0</v>
      </c>
      <c r="CF196" s="89">
        <f>CF$163*CF192</f>
        <v>0</v>
      </c>
      <c r="CG196" s="89">
        <f>CG$163*CG192</f>
        <v>0</v>
      </c>
      <c r="CH196" s="499">
        <f>CI196+CJ196</f>
        <v>0</v>
      </c>
      <c r="CI196" s="89">
        <f>CI$163*CI192</f>
        <v>0</v>
      </c>
      <c r="CJ196" s="89">
        <f>CJ$163*CJ192</f>
        <v>0</v>
      </c>
      <c r="CK196" s="499">
        <f>CL196+CM196</f>
        <v>0</v>
      </c>
      <c r="CL196" s="89">
        <f>CL$163*CL192</f>
        <v>0</v>
      </c>
      <c r="CM196" s="89">
        <f>CM$163*CM192</f>
        <v>0</v>
      </c>
      <c r="CN196" s="499">
        <f>CO196+CP196</f>
        <v>0</v>
      </c>
      <c r="CO196" s="89">
        <f>CO$163*CO192</f>
        <v>0</v>
      </c>
      <c r="CP196" s="89">
        <f>CP$163*CP192</f>
        <v>0</v>
      </c>
      <c r="CQ196" s="499">
        <f>CR196+CS196</f>
        <v>0</v>
      </c>
      <c r="CR196" s="89">
        <f>CR$163*CR192</f>
        <v>0</v>
      </c>
      <c r="CS196" s="89">
        <f>CS$163*CS192</f>
        <v>0</v>
      </c>
      <c r="CT196" s="499">
        <f>CU196+CV196</f>
        <v>2767.57904397241</v>
      </c>
      <c r="CU196" s="498">
        <f>CU$163*CU192</f>
        <v>1577.33127630345</v>
      </c>
      <c r="CV196" s="498">
        <f>CV$163*CV192</f>
        <v>1190.24776766896</v>
      </c>
      <c r="CW196" s="499">
        <f>CX196+CY196</f>
        <v>0</v>
      </c>
      <c r="CX196" s="89">
        <f>CX$163*CX192</f>
        <v>0</v>
      </c>
      <c r="CY196" s="89">
        <f>CY$163*CY192</f>
        <v>0</v>
      </c>
      <c r="CZ196" s="499">
        <f>DA196+DB196</f>
        <v>0</v>
      </c>
      <c r="DA196" s="89">
        <f>DA$163*DA192</f>
        <v>0</v>
      </c>
      <c r="DB196" s="89">
        <f>DB$163*DB192</f>
        <v>0</v>
      </c>
      <c r="DC196" s="499">
        <f>DD196+DE196</f>
        <v>0</v>
      </c>
      <c r="DD196" s="89">
        <f>DD$163*DD192</f>
        <v>0</v>
      </c>
      <c r="DE196" s="89">
        <f>DE$163*DE192</f>
        <v>0</v>
      </c>
      <c r="DF196" s="499">
        <f>DG196+DH196</f>
        <v>0</v>
      </c>
      <c r="DG196" s="89">
        <f>DG$163*DG192</f>
        <v>0</v>
      </c>
      <c r="DH196" s="89">
        <f>DH$163*DH192</f>
        <v>0</v>
      </c>
      <c r="DI196" s="499">
        <f>DJ196+DK196</f>
        <v>0</v>
      </c>
      <c r="DJ196" s="89">
        <f>DJ$163*DJ192</f>
        <v>0</v>
      </c>
      <c r="DK196" s="89">
        <f>DK$163*DK192</f>
        <v>0</v>
      </c>
      <c r="DL196" s="499">
        <f>DM196+DN196</f>
        <v>0</v>
      </c>
      <c r="DM196" s="89">
        <f>DM$163*DM192</f>
        <v>0</v>
      </c>
      <c r="DN196" s="89">
        <f>DN$163*DN192</f>
        <v>0</v>
      </c>
      <c r="DO196" s="499">
        <f>DP196+DQ196</f>
        <v>0</v>
      </c>
      <c r="DP196" s="89">
        <f>DP$163*DP192</f>
        <v>0</v>
      </c>
      <c r="DQ196" s="89">
        <f>DQ$163*DQ192</f>
        <v>0</v>
      </c>
      <c r="DR196" s="499">
        <f>DS196+DT196</f>
        <v>0</v>
      </c>
      <c r="DS196" s="89">
        <f>DS$163*DS192</f>
        <v>0</v>
      </c>
      <c r="DT196" s="89">
        <f>DT$163*DT192</f>
        <v>0</v>
      </c>
      <c r="DU196" s="499">
        <f>DV196+DW196</f>
        <v>0</v>
      </c>
      <c r="DV196" s="89">
        <f>DV$163*DV192</f>
        <v>0</v>
      </c>
      <c r="DW196" s="89">
        <f>DW$163*DW192</f>
        <v>0</v>
      </c>
      <c r="DX196" s="499">
        <f>DY196+DZ196</f>
        <v>0</v>
      </c>
      <c r="DY196" s="89">
        <f>DY$163*DY192</f>
        <v>0</v>
      </c>
      <c r="DZ196" s="89">
        <f>DZ$163*DZ192</f>
        <v>0</v>
      </c>
      <c r="EA196" s="499">
        <f>EB196+EC196</f>
        <v>0</v>
      </c>
      <c r="EB196" s="89">
        <f>EB$163*EB192</f>
        <v>0</v>
      </c>
      <c r="EC196" s="89">
        <f>EC$163*EC192</f>
        <v>0</v>
      </c>
      <c r="ED196" s="499">
        <f>EE196+EF196</f>
        <v>0</v>
      </c>
      <c r="EE196" s="89">
        <f>EE$163*EE192</f>
        <v>0</v>
      </c>
      <c r="EF196" s="89">
        <f>EF$163*EF192</f>
        <v>0</v>
      </c>
      <c r="EG196" s="499">
        <f>EH196+EI196</f>
        <v>0</v>
      </c>
      <c r="EH196" s="89">
        <f>EH$163*EH192</f>
        <v>0</v>
      </c>
      <c r="EI196" s="89">
        <f>EI$163*EI192</f>
        <v>0</v>
      </c>
      <c r="EJ196" s="499">
        <f>EK196+EL196</f>
        <v>0</v>
      </c>
      <c r="EK196" s="89">
        <f>EK$163*EK192</f>
        <v>0</v>
      </c>
      <c r="EL196" s="89">
        <f>EL$163*EL192</f>
        <v>0</v>
      </c>
      <c r="EM196" s="499">
        <f>EN196+EO196</f>
        <v>0</v>
      </c>
      <c r="EN196" s="89">
        <f>EN$163*EN192</f>
        <v>0</v>
      </c>
      <c r="EO196" s="89">
        <f>EO$163*EO192</f>
        <v>0</v>
      </c>
      <c r="EP196" s="499">
        <f>EQ196+ER196</f>
        <v>0</v>
      </c>
      <c r="EQ196" s="89">
        <f>EQ$163*EQ192</f>
        <v>0</v>
      </c>
      <c r="ER196" s="89">
        <f>ER$163*ER192</f>
        <v>0</v>
      </c>
      <c r="ES196" s="499">
        <f>ET196+EU196</f>
        <v>0</v>
      </c>
      <c r="ET196" s="89">
        <f>ET$163*ET192</f>
        <v>0</v>
      </c>
      <c r="EU196" s="89">
        <f>EU$163*EU192</f>
        <v>0</v>
      </c>
      <c r="EV196" s="499">
        <f>EW196+EX196</f>
        <v>0</v>
      </c>
      <c r="EW196" s="89">
        <f>EW$163*EW192</f>
        <v>0</v>
      </c>
      <c r="EX196" s="89">
        <f>EX$163*EX192</f>
        <v>0</v>
      </c>
      <c r="EY196" s="499">
        <f>EZ196+FA196</f>
        <v>0</v>
      </c>
      <c r="EZ196" s="89">
        <f>EZ$163*EZ192</f>
        <v>0</v>
      </c>
      <c r="FA196" s="89">
        <f>FA$163*FA192</f>
        <v>0</v>
      </c>
      <c r="FB196" s="83"/>
      <c r="FC196" s="1751"/>
      <c r="FD196" s="1751"/>
      <c r="FE196" s="489" t="s">
        <v>924</v>
      </c>
      <c r="FF196" s="648" t="s">
        <v>890</v>
      </c>
      <c r="FG196" s="648" cm="1" t="str">
        <f t="array" ref="FG196:FG196">AE196</f>
        <v>Уголь длиннопламенный</v>
      </c>
      <c r="FH196" s="648" cm="1" t="str">
        <f t="array" ref="FH196:FH196">AF196</f>
        <v/>
      </c>
      <c r="FI196" s="649"/>
      <c r="FJ196" s="649"/>
      <c r="FK196" s="1157" cm="1" t="str">
        <f t="array" ref="FK196:FK196">OFFSET(FJ196,-1,1)</f>
        <v>ТЭ.42.31656254.0001</v>
      </c>
      <c r="FL196" s="1159"/>
      <c r="FM196" s="1159" t="s">
        <v>824</v>
      </c>
      <c r="FN196" s="1159"/>
      <c r="FO196" s="1159"/>
      <c r="FP196" s="1159"/>
      <c r="FQ196" s="1159"/>
      <c r="FR196" s="1159" t="s">
        <v>561</v>
      </c>
      <c r="FS196" s="1159" t="s">
        <v>904</v>
      </c>
      <c r="FT196" s="1159"/>
      <c r="FU196" s="1159"/>
      <c r="FV196" s="1159"/>
      <c r="FW196" s="1078" t="str">
        <f>$AE196&amp;"|"&amp;$AF196</f>
        <v>Уголь длиннопламенный|</v>
      </c>
      <c r="FX196" s="1159" t="s">
        <v>303</v>
      </c>
      <c r="FY196" s="1159" t="s">
        <v>919</v>
      </c>
      <c r="FZ196" s="1159" t="s">
        <v>920</v>
      </c>
    </row>
    <row s="1751" customFormat="1" customHeight="1" ht="15" hidden="1">
      <c r="A197" s="371"/>
      <c r="B197" s="1548"/>
      <c r="C197" s="1548"/>
      <c r="D197" s="1548"/>
      <c r="E197" s="965">
        <v>0</v>
      </c>
      <c r="F197" s="175" cm="1" t="str">
        <f t="array" ref="F197:F197">OFFSET(G197,-1,-1)</f>
        <v>1</v>
      </c>
      <c r="G197" s="1659"/>
      <c r="H197" s="1659"/>
      <c r="I197" s="1659"/>
      <c r="J197" s="1659"/>
      <c r="K197" s="1659"/>
      <c r="L197" s="175" cm="1" t="str">
        <f t="array" ref="L197:L197">OFFSET(M197,-1,-1)</f>
        <v>false</v>
      </c>
      <c r="M197" s="1659"/>
      <c r="N197" s="1659"/>
      <c r="O197" s="1659"/>
      <c r="P197" s="1659"/>
      <c r="Q197" s="1659"/>
      <c r="R197" s="1548"/>
      <c r="S197" s="175" cm="1" t="str">
        <f t="array" ref="S197:S197">OFFSET(T197,-1,-1)</f>
        <v>true</v>
      </c>
      <c r="T197" s="1548"/>
      <c r="U197" s="753">
        <f>AND(S197,IF(ISBLANK(T197),TRUE,T197))</f>
        <v>1</v>
      </c>
      <c r="V197" s="1548"/>
      <c r="W197" s="1548"/>
      <c r="X197" s="980" t="str">
        <f>"{                  
         funcDyn: 'msg1',
         blok: 'blok_2',
         wsCross: 'Топливо 4.4',
         linkFormula: 'AE-AE#AF-AF',
         levelDyn: "&amp;Y139&amp;"
}"</f>
        <v>{                  
         funcDyn: 'msg1',
         blok: 'blok_2',
         wsCross: 'Топливо 4.4',
         linkFormula: 'AE-AE#AF-AF',
         levelDyn: 1
}</v>
      </c>
      <c r="Y197" s="1548"/>
      <c r="Z197" s="1548"/>
      <c r="AA197" s="1009"/>
      <c r="AB197" s="1608"/>
      <c r="AC197" s="1751"/>
      <c r="AD197" s="517"/>
      <c r="AE197" s="518" t="s">
        <v>191</v>
      </c>
      <c r="AF197" s="519"/>
      <c r="AG197" s="526"/>
      <c r="AH197" s="524"/>
      <c r="AI197" s="525"/>
      <c r="AJ197" s="525"/>
      <c r="AK197" s="525"/>
      <c r="AL197" s="525"/>
      <c r="AM197" s="525"/>
      <c r="AN197" s="525"/>
      <c r="AO197" s="525"/>
      <c r="AP197" s="525"/>
      <c r="AQ197" s="525"/>
      <c r="AR197" s="525"/>
      <c r="AS197" s="525"/>
      <c r="AT197" s="525"/>
      <c r="AU197" s="525"/>
      <c r="AV197" s="525"/>
      <c r="AW197" s="525"/>
      <c r="AX197" s="525"/>
      <c r="AY197" s="525"/>
      <c r="AZ197" s="525"/>
      <c r="BA197" s="525"/>
      <c r="BB197" s="525"/>
      <c r="BC197" s="525"/>
      <c r="BD197" s="525"/>
      <c r="BE197" s="525"/>
      <c r="BF197" s="525"/>
      <c r="BG197" s="525"/>
      <c r="BH197" s="525"/>
      <c r="BI197" s="525"/>
      <c r="BJ197" s="525"/>
      <c r="BK197" s="525"/>
      <c r="BL197" s="525"/>
      <c r="BM197" s="525"/>
      <c r="BN197" s="525"/>
      <c r="BO197" s="525"/>
      <c r="BP197" s="525"/>
      <c r="BQ197" s="525"/>
      <c r="BR197" s="525"/>
      <c r="BS197" s="525"/>
      <c r="BT197" s="525"/>
      <c r="BU197" s="525"/>
      <c r="BV197" s="525"/>
      <c r="BW197" s="525"/>
      <c r="BX197" s="525"/>
      <c r="BY197" s="525"/>
      <c r="BZ197" s="525"/>
      <c r="CA197" s="525"/>
      <c r="CB197" s="525"/>
      <c r="CC197" s="525"/>
      <c r="CD197" s="525"/>
      <c r="CE197" s="525"/>
      <c r="CF197" s="525"/>
      <c r="CG197" s="525"/>
      <c r="CH197" s="525"/>
      <c r="CI197" s="525"/>
      <c r="CJ197" s="525"/>
      <c r="CK197" s="525"/>
      <c r="CL197" s="525"/>
      <c r="CM197" s="525"/>
      <c r="CN197" s="525"/>
      <c r="CO197" s="525"/>
      <c r="CP197" s="525"/>
      <c r="CQ197" s="525"/>
      <c r="CR197" s="525"/>
      <c r="CS197" s="525"/>
      <c r="CT197" s="525"/>
      <c r="CU197" s="525"/>
      <c r="CV197" s="525"/>
      <c r="CW197" s="525"/>
      <c r="CX197" s="525"/>
      <c r="CY197" s="525"/>
      <c r="CZ197" s="525"/>
      <c r="DA197" s="525"/>
      <c r="DB197" s="525"/>
      <c r="DC197" s="525"/>
      <c r="DD197" s="525"/>
      <c r="DE197" s="525"/>
      <c r="DF197" s="525"/>
      <c r="DG197" s="525"/>
      <c r="DH197" s="525"/>
      <c r="DI197" s="525"/>
      <c r="DJ197" s="525"/>
      <c r="DK197" s="525"/>
      <c r="DL197" s="525"/>
      <c r="DM197" s="525"/>
      <c r="DN197" s="525"/>
      <c r="DO197" s="525"/>
      <c r="DP197" s="525"/>
      <c r="DQ197" s="525"/>
      <c r="DR197" s="525"/>
      <c r="DS197" s="525"/>
      <c r="DT197" s="525"/>
      <c r="DU197" s="525"/>
      <c r="DV197" s="525"/>
      <c r="DW197" s="525"/>
      <c r="DX197" s="525"/>
      <c r="DY197" s="525"/>
      <c r="DZ197" s="525"/>
      <c r="EA197" s="525"/>
      <c r="EB197" s="525"/>
      <c r="EC197" s="525"/>
      <c r="ED197" s="525"/>
      <c r="EE197" s="525"/>
      <c r="EF197" s="525"/>
      <c r="EG197" s="525"/>
      <c r="EH197" s="525"/>
      <c r="EI197" s="525"/>
      <c r="EJ197" s="525"/>
      <c r="EK197" s="525"/>
      <c r="EL197" s="525"/>
      <c r="EM197" s="525"/>
      <c r="EN197" s="525"/>
      <c r="EO197" s="525"/>
      <c r="EP197" s="525"/>
      <c r="EQ197" s="525"/>
      <c r="ER197" s="525"/>
      <c r="ES197" s="525"/>
      <c r="ET197" s="525"/>
      <c r="EU197" s="525"/>
      <c r="EV197" s="525"/>
      <c r="EW197" s="525"/>
      <c r="EX197" s="525"/>
      <c r="EY197" s="525"/>
      <c r="EZ197" s="525"/>
      <c r="FA197" s="525"/>
      <c r="FB197" s="93"/>
      <c r="FC197" s="1751"/>
      <c r="FD197" s="1506"/>
      <c r="FE197" s="489" t="str">
        <f>IF(AND(ISNUMBER(VALUE(TRIM(SUBSTITUTE(AD197,".","")))),TRIM(SUBSTITUTE(AD197,".",""))&lt;&gt;""),"P"&amp;SUBSTITUTE(AD197,".",""),"")</f>
        <v/>
      </c>
      <c r="FF197" s="648"/>
      <c r="FG197" s="648"/>
      <c r="FH197" s="648"/>
      <c r="FI197" s="649"/>
      <c r="FJ197" s="649"/>
      <c r="FK197" s="1157" cm="1" t="str">
        <f t="array" ref="FK197:FK197">OFFSET(FJ197,-1,1)</f>
        <v>ТЭ.42.31656254.0001</v>
      </c>
      <c r="FL197" s="1159"/>
      <c r="FM197" s="1159"/>
      <c r="FN197" s="1159"/>
      <c r="FO197" s="1159"/>
      <c r="FP197" s="1159"/>
      <c r="FQ197" s="1159"/>
      <c r="FR197" s="1159"/>
      <c r="FS197" s="1159"/>
      <c r="FT197" s="1159"/>
      <c r="FU197" s="1159"/>
      <c r="FV197" s="1159"/>
      <c r="FW197" s="1159"/>
      <c r="FX197" s="1159"/>
      <c r="FY197" s="1159"/>
      <c r="FZ197" s="1159"/>
    </row>
    <row s="1751" customFormat="1" customHeight="1" ht="16.5">
      <c r="A198" s="371"/>
      <c r="B198" s="1548"/>
      <c r="C198" s="1548"/>
      <c r="D198" s="1548"/>
      <c r="E198" s="180">
        <v>17</v>
      </c>
      <c r="F198" s="175" cm="1" t="str">
        <f t="array" ref="F198:F198">OFFSET(G198,-1,-1)</f>
        <v>1</v>
      </c>
      <c r="G198" s="1659"/>
      <c r="H198" s="1659"/>
      <c r="I198" s="1659"/>
      <c r="J198" s="1659"/>
      <c r="K198" s="1659"/>
      <c r="L198" s="175" cm="1" t="str">
        <f t="array" ref="L198:L198">OFFSET(M198,-1,-1)</f>
        <v>false</v>
      </c>
      <c r="M198" s="1659"/>
      <c r="N198" s="1659"/>
      <c r="O198" s="1659"/>
      <c r="P198" s="1659"/>
      <c r="Q198" s="1659"/>
      <c r="R198" s="1548"/>
      <c r="S198" s="175" cm="1" t="str">
        <f t="array" ref="S198:S198">OFFSET(T198,-1,-1)</f>
        <v>true</v>
      </c>
      <c r="T198" s="1548"/>
      <c r="U198" s="753">
        <f>AND(S198,IF(ISBLANK(T198),TRUE,T198))</f>
        <v>1</v>
      </c>
      <c r="V198" s="1548"/>
      <c r="W198" s="1548"/>
      <c r="X198" s="1548"/>
      <c r="Y198" s="1548"/>
      <c r="Z198" s="1548"/>
      <c r="AA198" s="1009"/>
      <c r="AB198" s="1612" t="s">
        <v>926</v>
      </c>
      <c r="AC198" s="1751"/>
      <c r="AD198" s="327">
        <v>26</v>
      </c>
      <c r="AE198" s="1618" t="s">
        <v>927</v>
      </c>
      <c r="AF198" s="427"/>
      <c r="AG198" s="534"/>
      <c r="AH198" s="524"/>
      <c r="AI198" s="525"/>
      <c r="AJ198" s="525"/>
      <c r="AK198" s="525"/>
      <c r="AL198" s="525"/>
      <c r="AM198" s="525"/>
      <c r="AN198" s="525"/>
      <c r="AO198" s="525"/>
      <c r="AP198" s="525"/>
      <c r="AQ198" s="525"/>
      <c r="AR198" s="525"/>
      <c r="AS198" s="525"/>
      <c r="AT198" s="525"/>
      <c r="AU198" s="525"/>
      <c r="AV198" s="525"/>
      <c r="AW198" s="525"/>
      <c r="AX198" s="525"/>
      <c r="AY198" s="525"/>
      <c r="AZ198" s="525"/>
      <c r="BA198" s="525"/>
      <c r="BB198" s="525"/>
      <c r="BC198" s="525"/>
      <c r="BD198" s="525"/>
      <c r="BE198" s="525"/>
      <c r="BF198" s="525"/>
      <c r="BG198" s="525"/>
      <c r="BH198" s="525"/>
      <c r="BI198" s="525"/>
      <c r="BJ198" s="525"/>
      <c r="BK198" s="525"/>
      <c r="BL198" s="525"/>
      <c r="BM198" s="525"/>
      <c r="BN198" s="525"/>
      <c r="BO198" s="525"/>
      <c r="BP198" s="525"/>
      <c r="BQ198" s="525"/>
      <c r="BR198" s="525"/>
      <c r="BS198" s="525"/>
      <c r="BT198" s="525"/>
      <c r="BU198" s="525"/>
      <c r="BV198" s="525"/>
      <c r="BW198" s="525"/>
      <c r="BX198" s="525"/>
      <c r="BY198" s="525"/>
      <c r="BZ198" s="525"/>
      <c r="CA198" s="525"/>
      <c r="CB198" s="525"/>
      <c r="CC198" s="525"/>
      <c r="CD198" s="525"/>
      <c r="CE198" s="525"/>
      <c r="CF198" s="525"/>
      <c r="CG198" s="525"/>
      <c r="CH198" s="525"/>
      <c r="CI198" s="525"/>
      <c r="CJ198" s="525"/>
      <c r="CK198" s="525"/>
      <c r="CL198" s="525"/>
      <c r="CM198" s="525"/>
      <c r="CN198" s="525"/>
      <c r="CO198" s="525"/>
      <c r="CP198" s="525"/>
      <c r="CQ198" s="525"/>
      <c r="CR198" s="525"/>
      <c r="CS198" s="525"/>
      <c r="CT198" s="525"/>
      <c r="CU198" s="525"/>
      <c r="CV198" s="525"/>
      <c r="CW198" s="525"/>
      <c r="CX198" s="525"/>
      <c r="CY198" s="525"/>
      <c r="CZ198" s="525"/>
      <c r="DA198" s="525"/>
      <c r="DB198" s="525"/>
      <c r="DC198" s="525"/>
      <c r="DD198" s="525"/>
      <c r="DE198" s="525"/>
      <c r="DF198" s="525"/>
      <c r="DG198" s="525"/>
      <c r="DH198" s="525"/>
      <c r="DI198" s="525"/>
      <c r="DJ198" s="525"/>
      <c r="DK198" s="525"/>
      <c r="DL198" s="525"/>
      <c r="DM198" s="525"/>
      <c r="DN198" s="525"/>
      <c r="DO198" s="525"/>
      <c r="DP198" s="525"/>
      <c r="DQ198" s="525"/>
      <c r="DR198" s="525"/>
      <c r="DS198" s="525"/>
      <c r="DT198" s="525"/>
      <c r="DU198" s="525"/>
      <c r="DV198" s="525"/>
      <c r="DW198" s="525"/>
      <c r="DX198" s="525"/>
      <c r="DY198" s="525"/>
      <c r="DZ198" s="525"/>
      <c r="EA198" s="525"/>
      <c r="EB198" s="525"/>
      <c r="EC198" s="525"/>
      <c r="ED198" s="525"/>
      <c r="EE198" s="525"/>
      <c r="EF198" s="525"/>
      <c r="EG198" s="525"/>
      <c r="EH198" s="525"/>
      <c r="EI198" s="525"/>
      <c r="EJ198" s="525"/>
      <c r="EK198" s="525"/>
      <c r="EL198" s="525"/>
      <c r="EM198" s="525"/>
      <c r="EN198" s="525"/>
      <c r="EO198" s="525"/>
      <c r="EP198" s="525"/>
      <c r="EQ198" s="525"/>
      <c r="ER198" s="525"/>
      <c r="ES198" s="525"/>
      <c r="ET198" s="525"/>
      <c r="EU198" s="525"/>
      <c r="EV198" s="525"/>
      <c r="EW198" s="525"/>
      <c r="EX198" s="525"/>
      <c r="EY198" s="525"/>
      <c r="EZ198" s="525"/>
      <c r="FA198" s="525"/>
      <c r="FB198" s="1897"/>
      <c r="FC198" s="1751"/>
      <c r="FD198" s="1506"/>
      <c r="FE198" s="489" t="s">
        <v>928</v>
      </c>
      <c r="FF198" s="648"/>
      <c r="FG198" s="648"/>
      <c r="FH198" s="648"/>
      <c r="FI198" s="649"/>
      <c r="FJ198" s="649"/>
      <c r="FK198" s="1157" cm="1" t="str">
        <f t="array" ref="FK198:FK198">OFFSET(FJ198,-1,1)</f>
        <v>ТЭ.42.31656254.0001</v>
      </c>
      <c r="FL198" s="1078"/>
      <c r="FM198" s="1159"/>
      <c r="FN198" s="1159"/>
      <c r="FO198" s="1159"/>
      <c r="FP198" s="1159"/>
      <c r="FQ198" s="1159"/>
      <c r="FR198" s="1159"/>
      <c r="FS198" s="1159"/>
      <c r="FT198" s="1159" t="s">
        <v>929</v>
      </c>
      <c r="FU198" s="1159"/>
      <c r="FV198" s="1159" t="s">
        <v>219</v>
      </c>
      <c r="FW198" s="1159"/>
      <c r="FX198" s="1159"/>
      <c r="FY198" s="1159"/>
      <c r="FZ198" s="1159"/>
    </row>
    <row s="1751" customFormat="1" customHeight="1" ht="16.5" hidden="1">
      <c r="E199" s="180">
        <v>17</v>
      </c>
      <c r="F199" s="175" cm="1" t="str">
        <f t="array" ref="F199:F199">OFFSET(G199,-1,-1)</f>
        <v>1</v>
      </c>
      <c r="L199" s="175" cm="1" t="str">
        <f t="array" ref="L199:L199">OFFSET(M199,-1,-1)</f>
        <v>false</v>
      </c>
      <c r="S199" s="175" cm="1" t="str">
        <f t="array" ref="S199:S199">OFFSET(T199,-1,-1)</f>
        <v>true</v>
      </c>
      <c r="T199" s="175">
        <f>AD199&lt;&gt;"26.0"</f>
        <v>0</v>
      </c>
      <c r="U199" s="753">
        <f>AND(S199,IF(ISBLANK(T199),TRUE,T199))</f>
        <v>0</v>
      </c>
      <c r="X199" s="175" t="s">
        <v>189</v>
      </c>
      <c r="AB199" s="1613"/>
      <c r="AD199" s="491" t="s">
        <v>930</v>
      </c>
      <c r="AE199" s="514"/>
      <c r="AF199" s="515"/>
      <c r="AG199" s="470" t="s">
        <v>495</v>
      </c>
      <c r="AH199" s="92"/>
      <c r="AI199" s="96"/>
      <c r="AJ199" s="96"/>
      <c r="AK199" s="96"/>
      <c r="AL199" s="525"/>
      <c r="AM199" s="89"/>
      <c r="AN199" s="89"/>
      <c r="AO199" s="525"/>
      <c r="AP199" s="96"/>
      <c r="AQ199" s="96"/>
      <c r="AR199" s="525"/>
      <c r="AS199" s="96"/>
      <c r="AT199" s="96"/>
      <c r="AU199" s="525"/>
      <c r="AV199" s="96"/>
      <c r="AW199" s="96"/>
      <c r="AX199" s="525"/>
      <c r="AY199" s="96"/>
      <c r="AZ199" s="96"/>
      <c r="BA199" s="525"/>
      <c r="BB199" s="96"/>
      <c r="BC199" s="96"/>
      <c r="BD199" s="525"/>
      <c r="BE199" s="96"/>
      <c r="BF199" s="96"/>
      <c r="BG199" s="525"/>
      <c r="BH199" s="96"/>
      <c r="BI199" s="96"/>
      <c r="BJ199" s="525"/>
      <c r="BK199" s="96"/>
      <c r="BL199" s="96"/>
      <c r="BM199" s="525"/>
      <c r="BN199" s="96"/>
      <c r="BO199" s="96"/>
      <c r="BP199" s="525"/>
      <c r="BQ199" s="96"/>
      <c r="BR199" s="96"/>
      <c r="BS199" s="525"/>
      <c r="BT199" s="96"/>
      <c r="BU199" s="96"/>
      <c r="BV199" s="525"/>
      <c r="BW199" s="96"/>
      <c r="BX199" s="96"/>
      <c r="BY199" s="525"/>
      <c r="BZ199" s="96"/>
      <c r="CA199" s="96"/>
      <c r="CB199" s="525"/>
      <c r="CC199" s="96"/>
      <c r="CD199" s="96"/>
      <c r="CE199" s="525"/>
      <c r="CF199" s="96"/>
      <c r="CG199" s="96"/>
      <c r="CH199" s="525"/>
      <c r="CI199" s="96"/>
      <c r="CJ199" s="96"/>
      <c r="CK199" s="525"/>
      <c r="CL199" s="96"/>
      <c r="CM199" s="96"/>
      <c r="CN199" s="525"/>
      <c r="CO199" s="96"/>
      <c r="CP199" s="96"/>
      <c r="CQ199" s="525"/>
      <c r="CR199" s="96"/>
      <c r="CS199" s="96"/>
      <c r="CT199" s="525"/>
      <c r="CU199" s="535"/>
      <c r="CV199" s="535"/>
      <c r="CW199" s="525"/>
      <c r="CX199" s="96"/>
      <c r="CY199" s="96"/>
      <c r="CZ199" s="525"/>
      <c r="DA199" s="96"/>
      <c r="DB199" s="96"/>
      <c r="DC199" s="525"/>
      <c r="DD199" s="96"/>
      <c r="DE199" s="96"/>
      <c r="DF199" s="525"/>
      <c r="DG199" s="96"/>
      <c r="DH199" s="96"/>
      <c r="DI199" s="525"/>
      <c r="DJ199" s="96"/>
      <c r="DK199" s="96"/>
      <c r="DL199" s="525"/>
      <c r="DM199" s="96"/>
      <c r="DN199" s="96"/>
      <c r="DO199" s="525"/>
      <c r="DP199" s="96"/>
      <c r="DQ199" s="96"/>
      <c r="DR199" s="525"/>
      <c r="DS199" s="96"/>
      <c r="DT199" s="96"/>
      <c r="DU199" s="525"/>
      <c r="DV199" s="96"/>
      <c r="DW199" s="96"/>
      <c r="DX199" s="525"/>
      <c r="DY199" s="96"/>
      <c r="DZ199" s="96"/>
      <c r="EA199" s="525"/>
      <c r="EB199" s="96"/>
      <c r="EC199" s="96"/>
      <c r="ED199" s="525"/>
      <c r="EE199" s="96"/>
      <c r="EF199" s="96"/>
      <c r="EG199" s="525"/>
      <c r="EH199" s="96"/>
      <c r="EI199" s="96"/>
      <c r="EJ199" s="525"/>
      <c r="EK199" s="96"/>
      <c r="EL199" s="96"/>
      <c r="EM199" s="525"/>
      <c r="EN199" s="96"/>
      <c r="EO199" s="96"/>
      <c r="EP199" s="525"/>
      <c r="EQ199" s="96"/>
      <c r="ER199" s="96"/>
      <c r="ES199" s="525"/>
      <c r="ET199" s="96"/>
      <c r="EU199" s="96"/>
      <c r="EV199" s="525"/>
      <c r="EW199" s="96"/>
      <c r="EX199" s="96"/>
      <c r="EY199" s="525"/>
      <c r="EZ199" s="96"/>
      <c r="FA199" s="96"/>
      <c r="FB199" s="83"/>
      <c r="FE199" s="489" t="s">
        <v>928</v>
      </c>
      <c r="FF199" s="648" t="s">
        <v>890</v>
      </c>
      <c r="FG199" s="648" cm="1" t="str">
        <f t="array" ref="FG199:FG199">AE199</f>
        <v>0</v>
      </c>
      <c r="FH199" s="648" cm="1" t="str">
        <f t="array" ref="FH199:FH199">AF199</f>
        <v>0</v>
      </c>
      <c r="FI199" s="649"/>
      <c r="FJ199" s="649"/>
      <c r="FK199" s="1157" cm="1" t="str">
        <f t="array" ref="FK199:FK199">OFFSET(FJ199,-1,1)</f>
        <v>ТЭ.42.31656254.0001</v>
      </c>
      <c r="FL199" s="1159"/>
      <c r="FM199" s="1159"/>
      <c r="FN199" s="1159"/>
      <c r="FO199" s="1159"/>
      <c r="FP199" s="1159"/>
      <c r="FQ199" s="1159"/>
      <c r="FR199" s="1159"/>
      <c r="FS199" s="1159"/>
      <c r="FT199" s="1159" t="s">
        <v>929</v>
      </c>
      <c r="FU199" s="1159"/>
      <c r="FV199" s="1159" t="s">
        <v>219</v>
      </c>
      <c r="FW199" s="1078" t="str">
        <f>$AE199&amp;"|"&amp;$AF199</f>
        <v>|</v>
      </c>
      <c r="FX199" s="1159" t="s">
        <v>303</v>
      </c>
      <c r="FY199" s="1159" t="s">
        <v>931</v>
      </c>
      <c r="FZ199" s="1159" t="s">
        <v>932</v>
      </c>
    </row>
    <row s="1751" customFormat="1" customHeight="1" ht="16.5">
      <c r="A200" s="1751"/>
      <c r="B200" s="1751"/>
      <c r="C200" s="1751"/>
      <c r="D200" s="1751"/>
      <c r="E200" s="180">
        <v>17</v>
      </c>
      <c r="F200" s="175" cm="1" t="str">
        <f t="array" ref="F200:F200">OFFSET(G200,-1,-1)</f>
        <v>1</v>
      </c>
      <c r="G200" s="1751"/>
      <c r="H200" s="1751"/>
      <c r="I200" s="1751"/>
      <c r="J200" s="1751"/>
      <c r="K200" s="1751"/>
      <c r="L200" s="175" cm="1" t="str">
        <f t="array" ref="L200:L200">OFFSET(M200,-1,-1)</f>
        <v>false</v>
      </c>
      <c r="M200" s="1751"/>
      <c r="N200" s="1751"/>
      <c r="O200" s="1751"/>
      <c r="P200" s="1751"/>
      <c r="Q200" s="1751"/>
      <c r="R200" s="1751"/>
      <c r="S200" s="175" cm="1" t="str">
        <f t="array" ref="S200:S200">OFFSET(T200,-1,-1)</f>
        <v>true</v>
      </c>
      <c r="T200" s="175">
        <f>AD200&lt;&gt;"26.0"</f>
        <v>1</v>
      </c>
      <c r="U200" s="753">
        <f>AND(S200,IF(ISBLANK(T200),TRUE,T200))</f>
        <v>1</v>
      </c>
      <c r="V200" s="1751"/>
      <c r="W200" s="1751"/>
      <c r="X200" s="175" t="str">
        <f>'Топливо 4.4'!$AE$196&amp;'Топливо 4.4'!$AF$196</f>
        <v>Уголь длиннопламенный</v>
      </c>
      <c r="Y200" s="1751"/>
      <c r="Z200" s="1751"/>
      <c r="AA200" s="1751"/>
      <c r="AB200" s="1613"/>
      <c r="AC200" s="1751"/>
      <c r="AD200" s="491" t="s">
        <v>1018</v>
      </c>
      <c r="AE200" s="514" cm="1" t="str">
        <f t="array" ref="AE200:AE200">IF(ISBLANK('Топливо 4.4'!$AE$196),"",'Топливо 4.4'!$AE$196)</f>
        <v>Уголь длиннопламенный</v>
      </c>
      <c r="AF200" s="515" cm="1" t="str">
        <f t="array" ref="AF200:AF200">IF(ISBLANK('Топливо 4.4'!$AF$196),"",'Топливо 4.4'!$AF$196)</f>
        <v/>
      </c>
      <c r="AG200" s="470" t="s">
        <v>495</v>
      </c>
      <c r="AH200" s="2261"/>
      <c r="AI200" s="2266"/>
      <c r="AJ200" s="2266"/>
      <c r="AK200" s="2266"/>
      <c r="AL200" s="525"/>
      <c r="AM200" s="2256"/>
      <c r="AN200" s="2256"/>
      <c r="AO200" s="525"/>
      <c r="AP200" s="2266"/>
      <c r="AQ200" s="2266"/>
      <c r="AR200" s="525"/>
      <c r="AS200" s="2266"/>
      <c r="AT200" s="2266"/>
      <c r="AU200" s="525"/>
      <c r="AV200" s="2266"/>
      <c r="AW200" s="2266"/>
      <c r="AX200" s="525"/>
      <c r="AY200" s="2266"/>
      <c r="AZ200" s="2266"/>
      <c r="BA200" s="525"/>
      <c r="BB200" s="2266"/>
      <c r="BC200" s="2266"/>
      <c r="BD200" s="525"/>
      <c r="BE200" s="2266"/>
      <c r="BF200" s="2266"/>
      <c r="BG200" s="525"/>
      <c r="BH200" s="2266"/>
      <c r="BI200" s="2266"/>
      <c r="BJ200" s="525"/>
      <c r="BK200" s="2266"/>
      <c r="BL200" s="2266"/>
      <c r="BM200" s="525"/>
      <c r="BN200" s="2266"/>
      <c r="BO200" s="2266"/>
      <c r="BP200" s="525"/>
      <c r="BQ200" s="2266"/>
      <c r="BR200" s="2266"/>
      <c r="BS200" s="525"/>
      <c r="BT200" s="2266"/>
      <c r="BU200" s="2266"/>
      <c r="BV200" s="525"/>
      <c r="BW200" s="2266"/>
      <c r="BX200" s="2266"/>
      <c r="BY200" s="525"/>
      <c r="BZ200" s="2266"/>
      <c r="CA200" s="2266"/>
      <c r="CB200" s="525"/>
      <c r="CC200" s="2266"/>
      <c r="CD200" s="2266"/>
      <c r="CE200" s="525"/>
      <c r="CF200" s="2266"/>
      <c r="CG200" s="2266"/>
      <c r="CH200" s="525"/>
      <c r="CI200" s="2266"/>
      <c r="CJ200" s="2266"/>
      <c r="CK200" s="525"/>
      <c r="CL200" s="2266"/>
      <c r="CM200" s="2266"/>
      <c r="CN200" s="525"/>
      <c r="CO200" s="2266"/>
      <c r="CP200" s="2266"/>
      <c r="CQ200" s="525"/>
      <c r="CR200" s="2266"/>
      <c r="CS200" s="2266"/>
      <c r="CT200" s="525"/>
      <c r="CU200" s="535"/>
      <c r="CV200" s="535"/>
      <c r="CW200" s="525"/>
      <c r="CX200" s="2266"/>
      <c r="CY200" s="2266"/>
      <c r="CZ200" s="525"/>
      <c r="DA200" s="2266"/>
      <c r="DB200" s="2266"/>
      <c r="DC200" s="525"/>
      <c r="DD200" s="2266"/>
      <c r="DE200" s="2266"/>
      <c r="DF200" s="525"/>
      <c r="DG200" s="2266"/>
      <c r="DH200" s="2266"/>
      <c r="DI200" s="525"/>
      <c r="DJ200" s="2266"/>
      <c r="DK200" s="2266"/>
      <c r="DL200" s="525"/>
      <c r="DM200" s="2266"/>
      <c r="DN200" s="2266"/>
      <c r="DO200" s="525"/>
      <c r="DP200" s="2266"/>
      <c r="DQ200" s="2266"/>
      <c r="DR200" s="525"/>
      <c r="DS200" s="2266"/>
      <c r="DT200" s="2266"/>
      <c r="DU200" s="525"/>
      <c r="DV200" s="2266"/>
      <c r="DW200" s="2266"/>
      <c r="DX200" s="525"/>
      <c r="DY200" s="2266"/>
      <c r="DZ200" s="2266"/>
      <c r="EA200" s="525"/>
      <c r="EB200" s="2266"/>
      <c r="EC200" s="2266"/>
      <c r="ED200" s="525"/>
      <c r="EE200" s="2266"/>
      <c r="EF200" s="2266"/>
      <c r="EG200" s="525"/>
      <c r="EH200" s="2266"/>
      <c r="EI200" s="2266"/>
      <c r="EJ200" s="525"/>
      <c r="EK200" s="2266"/>
      <c r="EL200" s="2266"/>
      <c r="EM200" s="525"/>
      <c r="EN200" s="2266"/>
      <c r="EO200" s="2266"/>
      <c r="EP200" s="525"/>
      <c r="EQ200" s="2266"/>
      <c r="ER200" s="2266"/>
      <c r="ES200" s="525"/>
      <c r="ET200" s="2266"/>
      <c r="EU200" s="2266"/>
      <c r="EV200" s="525"/>
      <c r="EW200" s="2266"/>
      <c r="EX200" s="2266"/>
      <c r="EY200" s="525"/>
      <c r="EZ200" s="2266"/>
      <c r="FA200" s="2266"/>
      <c r="FB200" s="1897"/>
      <c r="FC200" s="1751"/>
      <c r="FD200" s="1751"/>
      <c r="FE200" s="489" t="s">
        <v>928</v>
      </c>
      <c r="FF200" s="648" t="s">
        <v>890</v>
      </c>
      <c r="FG200" s="648" cm="1" t="str">
        <f t="array" ref="FG200:FG200">AE200</f>
        <v>Уголь длиннопламенный</v>
      </c>
      <c r="FH200" s="648" cm="1" t="str">
        <f t="array" ref="FH200:FH200">AF200</f>
        <v/>
      </c>
      <c r="FI200" s="649"/>
      <c r="FJ200" s="649"/>
      <c r="FK200" s="1157" cm="1" t="str">
        <f t="array" ref="FK200:FK200">OFFSET(FJ200,-1,1)</f>
        <v>ТЭ.42.31656254.0001</v>
      </c>
      <c r="FL200" s="1159"/>
      <c r="FM200" s="1159"/>
      <c r="FN200" s="1159"/>
      <c r="FO200" s="1159"/>
      <c r="FP200" s="1159"/>
      <c r="FQ200" s="1159"/>
      <c r="FR200" s="1159"/>
      <c r="FS200" s="1159"/>
      <c r="FT200" s="1159" t="s">
        <v>929</v>
      </c>
      <c r="FU200" s="1159"/>
      <c r="FV200" s="1159" t="s">
        <v>219</v>
      </c>
      <c r="FW200" s="1078" t="str">
        <f>$AE200&amp;"|"&amp;$AF200</f>
        <v>Уголь длиннопламенный|</v>
      </c>
      <c r="FX200" s="1159" t="s">
        <v>303</v>
      </c>
      <c r="FY200" s="1159" t="s">
        <v>931</v>
      </c>
      <c r="FZ200" s="1159" t="s">
        <v>932</v>
      </c>
    </row>
    <row s="1751" customFormat="1" customHeight="1" ht="15" hidden="1">
      <c r="A201" s="371"/>
      <c r="B201" s="1548"/>
      <c r="C201" s="1548"/>
      <c r="D201" s="1548"/>
      <c r="E201" s="965">
        <v>0</v>
      </c>
      <c r="F201" s="175" cm="1" t="str">
        <f t="array" ref="F201:F201">OFFSET(G201,-1,-1)</f>
        <v>1</v>
      </c>
      <c r="G201" s="1659"/>
      <c r="H201" s="1659"/>
      <c r="I201" s="1659"/>
      <c r="J201" s="1659"/>
      <c r="K201" s="1659"/>
      <c r="L201" s="175" cm="1" t="str">
        <f t="array" ref="L201:L201">OFFSET(M201,-1,-1)</f>
        <v>false</v>
      </c>
      <c r="M201" s="1659"/>
      <c r="N201" s="1659"/>
      <c r="O201" s="1659"/>
      <c r="P201" s="1659"/>
      <c r="Q201" s="1659"/>
      <c r="R201" s="1548"/>
      <c r="S201" s="175" cm="1" t="str">
        <f t="array" ref="S201:S201">OFFSET(T201,-1,-1)</f>
        <v>true</v>
      </c>
      <c r="T201" s="1548"/>
      <c r="U201" s="753">
        <f>AND(S201,IF(ISBLANK(T201),TRUE,T201))</f>
        <v>1</v>
      </c>
      <c r="V201" s="1548"/>
      <c r="W201" s="1548"/>
      <c r="X201" s="980" t="str">
        <f>"{                  
         funcDyn: 'msg1',
         blok: 'blok_2',
         wsCross: 'Топливо 4.4',
         linkFormula: 'AE-AE#AF-AF',
         levelDyn: "&amp;Y139&amp;"
}"</f>
        <v>{                  
         funcDyn: 'msg1',
         blok: 'blok_2',
         wsCross: 'Топливо 4.4',
         linkFormula: 'AE-AE#AF-AF',
         levelDyn: 1
}</v>
      </c>
      <c r="Y201" s="1548"/>
      <c r="Z201" s="1548"/>
      <c r="AA201" s="1009"/>
      <c r="AB201" s="1613"/>
      <c r="AC201" s="1751"/>
      <c r="AD201" s="517"/>
      <c r="AE201" s="518" t="s">
        <v>191</v>
      </c>
      <c r="AF201" s="519"/>
      <c r="AG201" s="470"/>
      <c r="AH201" s="521"/>
      <c r="AI201" s="97"/>
      <c r="AJ201" s="97"/>
      <c r="AK201" s="97"/>
      <c r="AL201" s="525"/>
      <c r="AM201" s="97"/>
      <c r="AN201" s="97"/>
      <c r="AO201" s="525"/>
      <c r="AP201" s="97"/>
      <c r="AQ201" s="97"/>
      <c r="AR201" s="525"/>
      <c r="AS201" s="97"/>
      <c r="AT201" s="97"/>
      <c r="AU201" s="525"/>
      <c r="AV201" s="97"/>
      <c r="AW201" s="97"/>
      <c r="AX201" s="525"/>
      <c r="AY201" s="97"/>
      <c r="AZ201" s="97"/>
      <c r="BA201" s="525"/>
      <c r="BB201" s="97"/>
      <c r="BC201" s="97"/>
      <c r="BD201" s="525"/>
      <c r="BE201" s="97"/>
      <c r="BF201" s="97"/>
      <c r="BG201" s="525"/>
      <c r="BH201" s="97"/>
      <c r="BI201" s="97"/>
      <c r="BJ201" s="525"/>
      <c r="BK201" s="97"/>
      <c r="BL201" s="97"/>
      <c r="BM201" s="525"/>
      <c r="BN201" s="97"/>
      <c r="BO201" s="97"/>
      <c r="BP201" s="525"/>
      <c r="BQ201" s="97"/>
      <c r="BR201" s="97"/>
      <c r="BS201" s="525"/>
      <c r="BT201" s="97"/>
      <c r="BU201" s="97"/>
      <c r="BV201" s="525"/>
      <c r="BW201" s="97"/>
      <c r="BX201" s="97"/>
      <c r="BY201" s="525"/>
      <c r="BZ201" s="97"/>
      <c r="CA201" s="97"/>
      <c r="CB201" s="525"/>
      <c r="CC201" s="97"/>
      <c r="CD201" s="97"/>
      <c r="CE201" s="525"/>
      <c r="CF201" s="97"/>
      <c r="CG201" s="97"/>
      <c r="CH201" s="525"/>
      <c r="CI201" s="97"/>
      <c r="CJ201" s="97"/>
      <c r="CK201" s="525"/>
      <c r="CL201" s="97"/>
      <c r="CM201" s="97"/>
      <c r="CN201" s="525"/>
      <c r="CO201" s="97"/>
      <c r="CP201" s="97"/>
      <c r="CQ201" s="525"/>
      <c r="CR201" s="97"/>
      <c r="CS201" s="97"/>
      <c r="CT201" s="525"/>
      <c r="CU201" s="97"/>
      <c r="CV201" s="97"/>
      <c r="CW201" s="525"/>
      <c r="CX201" s="97"/>
      <c r="CY201" s="97"/>
      <c r="CZ201" s="525"/>
      <c r="DA201" s="97"/>
      <c r="DB201" s="97"/>
      <c r="DC201" s="525"/>
      <c r="DD201" s="97"/>
      <c r="DE201" s="97"/>
      <c r="DF201" s="525"/>
      <c r="DG201" s="97"/>
      <c r="DH201" s="97"/>
      <c r="DI201" s="525"/>
      <c r="DJ201" s="97"/>
      <c r="DK201" s="97"/>
      <c r="DL201" s="525"/>
      <c r="DM201" s="97"/>
      <c r="DN201" s="97"/>
      <c r="DO201" s="525"/>
      <c r="DP201" s="97"/>
      <c r="DQ201" s="97"/>
      <c r="DR201" s="525"/>
      <c r="DS201" s="97"/>
      <c r="DT201" s="97"/>
      <c r="DU201" s="525"/>
      <c r="DV201" s="97"/>
      <c r="DW201" s="97"/>
      <c r="DX201" s="525"/>
      <c r="DY201" s="97"/>
      <c r="DZ201" s="97"/>
      <c r="EA201" s="525"/>
      <c r="EB201" s="97"/>
      <c r="EC201" s="97"/>
      <c r="ED201" s="525"/>
      <c r="EE201" s="97"/>
      <c r="EF201" s="97"/>
      <c r="EG201" s="525"/>
      <c r="EH201" s="97"/>
      <c r="EI201" s="97"/>
      <c r="EJ201" s="525"/>
      <c r="EK201" s="97"/>
      <c r="EL201" s="97"/>
      <c r="EM201" s="525"/>
      <c r="EN201" s="97"/>
      <c r="EO201" s="97"/>
      <c r="EP201" s="525"/>
      <c r="EQ201" s="97"/>
      <c r="ER201" s="97"/>
      <c r="ES201" s="525"/>
      <c r="ET201" s="97"/>
      <c r="EU201" s="97"/>
      <c r="EV201" s="525"/>
      <c r="EW201" s="97"/>
      <c r="EX201" s="97"/>
      <c r="EY201" s="525"/>
      <c r="EZ201" s="97"/>
      <c r="FA201" s="97"/>
      <c r="FB201" s="93"/>
      <c r="FC201" s="1751"/>
      <c r="FD201" s="1506"/>
      <c r="FE201" s="489" t="str">
        <f>IF(AND(ISNUMBER(VALUE(TRIM(SUBSTITUTE(AD201,".","")))),TRIM(SUBSTITUTE(AD201,".",""))&lt;&gt;""),"P"&amp;SUBSTITUTE(AD201,".",""),"")</f>
        <v/>
      </c>
      <c r="FF201" s="648"/>
      <c r="FG201" s="648"/>
      <c r="FH201" s="648"/>
      <c r="FI201" s="649"/>
      <c r="FJ201" s="649"/>
      <c r="FK201" s="1157" cm="1" t="str">
        <f t="array" ref="FK201:FK201">OFFSET(FJ201,-1,1)</f>
        <v>ТЭ.42.31656254.0001</v>
      </c>
      <c r="FL201" s="1159"/>
      <c r="FM201" s="1159"/>
      <c r="FN201" s="1159"/>
      <c r="FO201" s="1159"/>
      <c r="FP201" s="1159"/>
      <c r="FQ201" s="1159"/>
      <c r="FR201" s="1159"/>
      <c r="FS201" s="1159"/>
      <c r="FT201" s="1159"/>
      <c r="FU201" s="1159"/>
      <c r="FV201" s="1159"/>
      <c r="FW201" s="1159"/>
      <c r="FX201" s="1159"/>
      <c r="FY201" s="1159"/>
      <c r="FZ201" s="1159"/>
    </row>
    <row s="1751" customFormat="1" customHeight="1" ht="16.5">
      <c r="A202" s="371"/>
      <c r="B202" s="1548"/>
      <c r="C202" s="1548"/>
      <c r="D202" s="1548"/>
      <c r="E202" s="180">
        <v>17</v>
      </c>
      <c r="F202" s="175" cm="1" t="str">
        <f t="array" ref="F202:F202">OFFSET(G202,-1,-1)</f>
        <v>1</v>
      </c>
      <c r="G202" s="1659"/>
      <c r="H202" s="1659"/>
      <c r="I202" s="1659"/>
      <c r="J202" s="1659"/>
      <c r="K202" s="1659"/>
      <c r="L202" s="175" cm="1" t="str">
        <f t="array" ref="L202:L202">OFFSET(M202,-1,-1)</f>
        <v>false</v>
      </c>
      <c r="M202" s="1659"/>
      <c r="N202" s="1659"/>
      <c r="O202" s="1659"/>
      <c r="P202" s="1659"/>
      <c r="Q202" s="1659"/>
      <c r="R202" s="1548"/>
      <c r="S202" s="175" cm="1" t="str">
        <f t="array" ref="S202:S202">OFFSET(T202,-1,-1)</f>
        <v>true</v>
      </c>
      <c r="T202" s="1548"/>
      <c r="U202" s="753">
        <f>AND(S202,IF(ISBLANK(T202),TRUE,T202))</f>
        <v>1</v>
      </c>
      <c r="V202" s="1548"/>
      <c r="W202" s="1548"/>
      <c r="X202" s="1548"/>
      <c r="Y202" s="1548"/>
      <c r="Z202" s="1548"/>
      <c r="AA202" s="1009"/>
      <c r="AB202" s="1613"/>
      <c r="AC202" s="1751"/>
      <c r="AD202" s="327">
        <v>27</v>
      </c>
      <c r="AE202" s="1618" t="s">
        <v>933</v>
      </c>
      <c r="AF202" s="427"/>
      <c r="AG202" s="534"/>
      <c r="AH202" s="524"/>
      <c r="AI202" s="525"/>
      <c r="AJ202" s="525"/>
      <c r="AK202" s="525"/>
      <c r="AL202" s="525"/>
      <c r="AM202" s="525"/>
      <c r="AN202" s="525"/>
      <c r="AO202" s="525"/>
      <c r="AP202" s="525"/>
      <c r="AQ202" s="525"/>
      <c r="AR202" s="525"/>
      <c r="AS202" s="525"/>
      <c r="AT202" s="525"/>
      <c r="AU202" s="525"/>
      <c r="AV202" s="525"/>
      <c r="AW202" s="525"/>
      <c r="AX202" s="525"/>
      <c r="AY202" s="525"/>
      <c r="AZ202" s="525"/>
      <c r="BA202" s="525"/>
      <c r="BB202" s="525"/>
      <c r="BC202" s="525"/>
      <c r="BD202" s="525"/>
      <c r="BE202" s="525"/>
      <c r="BF202" s="525"/>
      <c r="BG202" s="525"/>
      <c r="BH202" s="525"/>
      <c r="BI202" s="525"/>
      <c r="BJ202" s="525"/>
      <c r="BK202" s="525"/>
      <c r="BL202" s="525"/>
      <c r="BM202" s="525"/>
      <c r="BN202" s="525"/>
      <c r="BO202" s="525"/>
      <c r="BP202" s="525"/>
      <c r="BQ202" s="525"/>
      <c r="BR202" s="525"/>
      <c r="BS202" s="525"/>
      <c r="BT202" s="525"/>
      <c r="BU202" s="525"/>
      <c r="BV202" s="525"/>
      <c r="BW202" s="525"/>
      <c r="BX202" s="525"/>
      <c r="BY202" s="525"/>
      <c r="BZ202" s="525"/>
      <c r="CA202" s="525"/>
      <c r="CB202" s="525"/>
      <c r="CC202" s="525"/>
      <c r="CD202" s="525"/>
      <c r="CE202" s="525"/>
      <c r="CF202" s="525"/>
      <c r="CG202" s="525"/>
      <c r="CH202" s="525"/>
      <c r="CI202" s="525"/>
      <c r="CJ202" s="525"/>
      <c r="CK202" s="525"/>
      <c r="CL202" s="525"/>
      <c r="CM202" s="525"/>
      <c r="CN202" s="525"/>
      <c r="CO202" s="525"/>
      <c r="CP202" s="525"/>
      <c r="CQ202" s="525"/>
      <c r="CR202" s="525"/>
      <c r="CS202" s="525"/>
      <c r="CT202" s="525"/>
      <c r="CU202" s="525"/>
      <c r="CV202" s="525"/>
      <c r="CW202" s="525"/>
      <c r="CX202" s="525"/>
      <c r="CY202" s="525"/>
      <c r="CZ202" s="525"/>
      <c r="DA202" s="525"/>
      <c r="DB202" s="525"/>
      <c r="DC202" s="525"/>
      <c r="DD202" s="525"/>
      <c r="DE202" s="525"/>
      <c r="DF202" s="525"/>
      <c r="DG202" s="525"/>
      <c r="DH202" s="525"/>
      <c r="DI202" s="525"/>
      <c r="DJ202" s="525"/>
      <c r="DK202" s="525"/>
      <c r="DL202" s="525"/>
      <c r="DM202" s="525"/>
      <c r="DN202" s="525"/>
      <c r="DO202" s="525"/>
      <c r="DP202" s="525"/>
      <c r="DQ202" s="525"/>
      <c r="DR202" s="525"/>
      <c r="DS202" s="525"/>
      <c r="DT202" s="525"/>
      <c r="DU202" s="525"/>
      <c r="DV202" s="525"/>
      <c r="DW202" s="525"/>
      <c r="DX202" s="525"/>
      <c r="DY202" s="525"/>
      <c r="DZ202" s="525"/>
      <c r="EA202" s="525"/>
      <c r="EB202" s="525"/>
      <c r="EC202" s="525"/>
      <c r="ED202" s="525"/>
      <c r="EE202" s="525"/>
      <c r="EF202" s="525"/>
      <c r="EG202" s="525"/>
      <c r="EH202" s="525"/>
      <c r="EI202" s="525"/>
      <c r="EJ202" s="525"/>
      <c r="EK202" s="525"/>
      <c r="EL202" s="525"/>
      <c r="EM202" s="525"/>
      <c r="EN202" s="525"/>
      <c r="EO202" s="525"/>
      <c r="EP202" s="525"/>
      <c r="EQ202" s="525"/>
      <c r="ER202" s="525"/>
      <c r="ES202" s="525"/>
      <c r="ET202" s="525"/>
      <c r="EU202" s="525"/>
      <c r="EV202" s="525"/>
      <c r="EW202" s="525"/>
      <c r="EX202" s="525"/>
      <c r="EY202" s="525"/>
      <c r="EZ202" s="525"/>
      <c r="FA202" s="525"/>
      <c r="FB202" s="1897"/>
      <c r="FC202" s="1751"/>
      <c r="FD202" s="1506"/>
      <c r="FE202" s="489" t="s">
        <v>934</v>
      </c>
      <c r="FF202" s="648"/>
      <c r="FG202" s="648"/>
      <c r="FH202" s="648"/>
      <c r="FI202" s="649"/>
      <c r="FJ202" s="649"/>
      <c r="FK202" s="1157" cm="1" t="str">
        <f t="array" ref="FK202:FK202">OFFSET(FJ202,-1,1)</f>
        <v>ТЭ.42.31656254.0001</v>
      </c>
      <c r="FL202" s="1078"/>
      <c r="FM202" s="1159"/>
      <c r="FN202" s="1159"/>
      <c r="FO202" s="1159"/>
      <c r="FP202" s="1159"/>
      <c r="FQ202" s="1159"/>
      <c r="FR202" s="1159"/>
      <c r="FS202" s="1159"/>
      <c r="FT202" s="1078" t="s">
        <v>929</v>
      </c>
      <c r="FU202" s="1159"/>
      <c r="FV202" s="1078" t="s">
        <v>255</v>
      </c>
      <c r="FW202" s="1159"/>
      <c r="FX202" s="1159"/>
      <c r="FY202" s="1159"/>
      <c r="FZ202" s="1159"/>
    </row>
    <row s="1751" customFormat="1" customHeight="1" ht="16.5" hidden="1">
      <c r="E203" s="180">
        <v>17</v>
      </c>
      <c r="F203" s="175" cm="1" t="str">
        <f t="array" ref="F203:F203">OFFSET(G203,-1,-1)</f>
        <v>1</v>
      </c>
      <c r="L203" s="175" cm="1" t="str">
        <f t="array" ref="L203:L203">OFFSET(M203,-1,-1)</f>
        <v>false</v>
      </c>
      <c r="S203" s="175" cm="1" t="str">
        <f t="array" ref="S203:S203">OFFSET(T203,-1,-1)</f>
        <v>true</v>
      </c>
      <c r="T203" s="175">
        <f>AD203&lt;&gt;"27.0"</f>
        <v>0</v>
      </c>
      <c r="U203" s="753">
        <f>AND(S203,IF(ISBLANK(T203),TRUE,T203))</f>
        <v>0</v>
      </c>
      <c r="X203" s="175" t="s">
        <v>189</v>
      </c>
      <c r="AB203" s="1613"/>
      <c r="AD203" s="491" t="s">
        <v>935</v>
      </c>
      <c r="AE203" s="514"/>
      <c r="AF203" s="515"/>
      <c r="AG203" s="530" t="str">
        <f>"руб./"&amp;_xlfn.IFERROR(INDEX(fuel_ed_izm_list,MATCH(AE203,fuel_list,0)),"")</f>
        <v>руб./</v>
      </c>
      <c r="AH203" s="88">
        <f>_xlfn.IFERROR(AH208/AH178,0)*1000</f>
        <v>0</v>
      </c>
      <c r="AI203" s="88">
        <f>_xlfn.IFERROR(AI208/AI178,0)*1000</f>
        <v>0</v>
      </c>
      <c r="AJ203" s="88">
        <f>_xlfn.IFERROR(AJ208/AJ178,0)*1000</f>
        <v>0</v>
      </c>
      <c r="AK203" s="88">
        <f>_xlfn.IFERROR(AK208/AK178,0)*1000</f>
        <v>0</v>
      </c>
      <c r="AL203" s="499">
        <f>_xlfn.IFERROR(AL208/AL178,0)*1000</f>
        <v>0</v>
      </c>
      <c r="AM203" s="89"/>
      <c r="AN203" s="89"/>
      <c r="AO203" s="499">
        <f>_xlfn.IFERROR(AO208/AO178,0)*1000</f>
        <v>0</v>
      </c>
      <c r="AP203" s="89"/>
      <c r="AQ203" s="89"/>
      <c r="AR203" s="499">
        <f>_xlfn.IFERROR(AR208/AR178,0)*1000</f>
        <v>0</v>
      </c>
      <c r="AS203" s="89"/>
      <c r="AT203" s="89"/>
      <c r="AU203" s="499">
        <f>_xlfn.IFERROR(AU208/AU178,0)*1000</f>
        <v>0</v>
      </c>
      <c r="AV203" s="89"/>
      <c r="AW203" s="89"/>
      <c r="AX203" s="499">
        <f>_xlfn.IFERROR(AX208/AX178,0)*1000</f>
        <v>0</v>
      </c>
      <c r="AY203" s="89"/>
      <c r="AZ203" s="89"/>
      <c r="BA203" s="499">
        <f>_xlfn.IFERROR(BA208/BA178,0)*1000</f>
        <v>0</v>
      </c>
      <c r="BB203" s="89"/>
      <c r="BC203" s="89"/>
      <c r="BD203" s="499">
        <f>_xlfn.IFERROR(BD208/BD178,0)*1000</f>
        <v>0</v>
      </c>
      <c r="BE203" s="89"/>
      <c r="BF203" s="89"/>
      <c r="BG203" s="499">
        <f>_xlfn.IFERROR(BG208/BG178,0)*1000</f>
        <v>0</v>
      </c>
      <c r="BH203" s="89"/>
      <c r="BI203" s="89"/>
      <c r="BJ203" s="499">
        <f>_xlfn.IFERROR(BJ208/BJ178,0)*1000</f>
        <v>0</v>
      </c>
      <c r="BK203" s="89"/>
      <c r="BL203" s="89"/>
      <c r="BM203" s="499">
        <f>_xlfn.IFERROR(BM208/BM178,0)*1000</f>
        <v>0</v>
      </c>
      <c r="BN203" s="89"/>
      <c r="BO203" s="89"/>
      <c r="BP203" s="499">
        <f>_xlfn.IFERROR(BP208/BP178,0)*1000</f>
        <v>0</v>
      </c>
      <c r="BQ203" s="89"/>
      <c r="BR203" s="89"/>
      <c r="BS203" s="499">
        <f>_xlfn.IFERROR(BS208/BS178,0)*1000</f>
        <v>0</v>
      </c>
      <c r="BT203" s="89"/>
      <c r="BU203" s="89"/>
      <c r="BV203" s="499">
        <f>_xlfn.IFERROR(BV208/BV178,0)*1000</f>
        <v>0</v>
      </c>
      <c r="BW203" s="89"/>
      <c r="BX203" s="89"/>
      <c r="BY203" s="499">
        <f>_xlfn.IFERROR(BY208/BY178,0)*1000</f>
        <v>0</v>
      </c>
      <c r="BZ203" s="89"/>
      <c r="CA203" s="89"/>
      <c r="CB203" s="499">
        <f>_xlfn.IFERROR(CB208/CB178,0)*1000</f>
        <v>0</v>
      </c>
      <c r="CC203" s="89"/>
      <c r="CD203" s="89"/>
      <c r="CE203" s="499">
        <f>_xlfn.IFERROR(CE208/CE178,0)*1000</f>
        <v>0</v>
      </c>
      <c r="CF203" s="89"/>
      <c r="CG203" s="89"/>
      <c r="CH203" s="499">
        <f>_xlfn.IFERROR(CH208/CH178,0)*1000</f>
        <v>0</v>
      </c>
      <c r="CI203" s="89"/>
      <c r="CJ203" s="89"/>
      <c r="CK203" s="499">
        <f>_xlfn.IFERROR(CK208/CK178,0)*1000</f>
        <v>0</v>
      </c>
      <c r="CL203" s="89"/>
      <c r="CM203" s="89"/>
      <c r="CN203" s="499">
        <f>_xlfn.IFERROR(CN208/CN178,0)*1000</f>
        <v>0</v>
      </c>
      <c r="CO203" s="89"/>
      <c r="CP203" s="89"/>
      <c r="CQ203" s="499">
        <f>_xlfn.IFERROR(CQ208/CQ178,0)*1000</f>
        <v>0</v>
      </c>
      <c r="CR203" s="89"/>
      <c r="CS203" s="89"/>
      <c r="CT203" s="499">
        <f>_xlfn.IFERROR(CT208/CT178,0)*1000</f>
        <v>0</v>
      </c>
      <c r="CU203" s="498"/>
      <c r="CV203" s="498"/>
      <c r="CW203" s="499">
        <f>_xlfn.IFERROR(CW208/CW178,0)*1000</f>
        <v>0</v>
      </c>
      <c r="CX203" s="89"/>
      <c r="CY203" s="89"/>
      <c r="CZ203" s="499">
        <f>_xlfn.IFERROR(CZ208/CZ178,0)*1000</f>
        <v>0</v>
      </c>
      <c r="DA203" s="89"/>
      <c r="DB203" s="89"/>
      <c r="DC203" s="499">
        <f>_xlfn.IFERROR(DC208/DC178,0)*1000</f>
        <v>0</v>
      </c>
      <c r="DD203" s="89"/>
      <c r="DE203" s="89"/>
      <c r="DF203" s="499">
        <f>_xlfn.IFERROR(DF208/DF178,0)*1000</f>
        <v>0</v>
      </c>
      <c r="DG203" s="89"/>
      <c r="DH203" s="89"/>
      <c r="DI203" s="499">
        <f>_xlfn.IFERROR(DI208/DI178,0)*1000</f>
        <v>0</v>
      </c>
      <c r="DJ203" s="89"/>
      <c r="DK203" s="89"/>
      <c r="DL203" s="499">
        <f>_xlfn.IFERROR(DL208/DL178,0)*1000</f>
        <v>0</v>
      </c>
      <c r="DM203" s="89"/>
      <c r="DN203" s="89"/>
      <c r="DO203" s="499">
        <f>_xlfn.IFERROR(DO208/DO178,0)*1000</f>
        <v>0</v>
      </c>
      <c r="DP203" s="89"/>
      <c r="DQ203" s="89"/>
      <c r="DR203" s="499">
        <f>_xlfn.IFERROR(DR208/DR178,0)*1000</f>
        <v>0</v>
      </c>
      <c r="DS203" s="89"/>
      <c r="DT203" s="89"/>
      <c r="DU203" s="499">
        <f>_xlfn.IFERROR(DU208/DU178,0)*1000</f>
        <v>0</v>
      </c>
      <c r="DV203" s="89"/>
      <c r="DW203" s="89"/>
      <c r="DX203" s="499">
        <f>_xlfn.IFERROR(DX208/DX178,0)*1000</f>
        <v>0</v>
      </c>
      <c r="DY203" s="89"/>
      <c r="DZ203" s="89"/>
      <c r="EA203" s="499">
        <f>_xlfn.IFERROR(EA208/EA178,0)*1000</f>
        <v>0</v>
      </c>
      <c r="EB203" s="89"/>
      <c r="EC203" s="89"/>
      <c r="ED203" s="499">
        <f>_xlfn.IFERROR(ED208/ED178,0)*1000</f>
        <v>0</v>
      </c>
      <c r="EE203" s="89"/>
      <c r="EF203" s="89"/>
      <c r="EG203" s="499">
        <f>_xlfn.IFERROR(EG208/EG178,0)*1000</f>
        <v>0</v>
      </c>
      <c r="EH203" s="89"/>
      <c r="EI203" s="89"/>
      <c r="EJ203" s="499">
        <f>_xlfn.IFERROR(EJ208/EJ178,0)*1000</f>
        <v>0</v>
      </c>
      <c r="EK203" s="89"/>
      <c r="EL203" s="89"/>
      <c r="EM203" s="499">
        <f>_xlfn.IFERROR(EM208/EM178,0)*1000</f>
        <v>0</v>
      </c>
      <c r="EN203" s="89"/>
      <c r="EO203" s="89"/>
      <c r="EP203" s="499">
        <f>_xlfn.IFERROR(EP208/EP178,0)*1000</f>
        <v>0</v>
      </c>
      <c r="EQ203" s="89"/>
      <c r="ER203" s="89"/>
      <c r="ES203" s="499">
        <f>_xlfn.IFERROR(ES208/ES178,0)*1000</f>
        <v>0</v>
      </c>
      <c r="ET203" s="89"/>
      <c r="EU203" s="89"/>
      <c r="EV203" s="499">
        <f>_xlfn.IFERROR(EV208/EV178,0)*1000</f>
        <v>0</v>
      </c>
      <c r="EW203" s="89"/>
      <c r="EX203" s="89"/>
      <c r="EY203" s="499">
        <f>_xlfn.IFERROR(EY208/EY178,0)*1000</f>
        <v>0</v>
      </c>
      <c r="EZ203" s="89"/>
      <c r="FA203" s="89"/>
      <c r="FB203" s="83"/>
      <c r="FE203" s="489" t="s">
        <v>934</v>
      </c>
      <c r="FF203" s="648" t="s">
        <v>890</v>
      </c>
      <c r="FG203" s="648" cm="1" t="str">
        <f t="array" ref="FG203:FG203">AE203</f>
        <v>0</v>
      </c>
      <c r="FH203" s="648" cm="1" t="str">
        <f t="array" ref="FH203:FH203">AF203</f>
        <v>0</v>
      </c>
      <c r="FI203" s="649"/>
      <c r="FJ203" s="649"/>
      <c r="FK203" s="1157" cm="1" t="str">
        <f t="array" ref="FK203:FK203">OFFSET(FJ203,-1,1)</f>
        <v>ТЭ.42.31656254.0001</v>
      </c>
      <c r="FL203" s="1159"/>
      <c r="FM203" s="1159"/>
      <c r="FN203" s="1159"/>
      <c r="FO203" s="1159"/>
      <c r="FP203" s="1159"/>
      <c r="FQ203" s="1159"/>
      <c r="FR203" s="1159"/>
      <c r="FS203" s="1159"/>
      <c r="FT203" s="1159" t="s">
        <v>929</v>
      </c>
      <c r="FU203" s="1159"/>
      <c r="FV203" s="1159" t="s">
        <v>255</v>
      </c>
      <c r="FW203" s="1078" t="str">
        <f>$AE203&amp;"|"&amp;$AF203</f>
        <v>|</v>
      </c>
      <c r="FX203" s="1159" t="s">
        <v>303</v>
      </c>
      <c r="FY203" s="1159" t="s">
        <v>936</v>
      </c>
      <c r="FZ203" s="1159" t="s">
        <v>937</v>
      </c>
    </row>
    <row s="1751" customFormat="1" customHeight="1" ht="16.5">
      <c r="A204" s="1751"/>
      <c r="B204" s="1751"/>
      <c r="C204" s="1751"/>
      <c r="D204" s="1751"/>
      <c r="E204" s="180">
        <v>17</v>
      </c>
      <c r="F204" s="175" cm="1" t="str">
        <f t="array" ref="F204:F204">OFFSET(G204,-1,-1)</f>
        <v>1</v>
      </c>
      <c r="G204" s="1751"/>
      <c r="H204" s="1751"/>
      <c r="I204" s="1751"/>
      <c r="J204" s="1751"/>
      <c r="K204" s="1751"/>
      <c r="L204" s="175" cm="1" t="str">
        <f t="array" ref="L204:L204">OFFSET(M204,-1,-1)</f>
        <v>false</v>
      </c>
      <c r="M204" s="1751"/>
      <c r="N204" s="1751"/>
      <c r="O204" s="1751"/>
      <c r="P204" s="1751"/>
      <c r="Q204" s="1751"/>
      <c r="R204" s="1751"/>
      <c r="S204" s="175" cm="1" t="str">
        <f t="array" ref="S204:S204">OFFSET(T204,-1,-1)</f>
        <v>true</v>
      </c>
      <c r="T204" s="175">
        <f>AD204&lt;&gt;"27.0"</f>
        <v>1</v>
      </c>
      <c r="U204" s="753">
        <f>AND(S204,IF(ISBLANK(T204),TRUE,T204))</f>
        <v>1</v>
      </c>
      <c r="V204" s="1751"/>
      <c r="W204" s="1751"/>
      <c r="X204" s="175" t="str">
        <f>'Топливо 4.4'!$AE$200&amp;'Топливо 4.4'!$AF$200</f>
        <v>Уголь длиннопламенный</v>
      </c>
      <c r="Y204" s="1751"/>
      <c r="Z204" s="1751"/>
      <c r="AA204" s="1751"/>
      <c r="AB204" s="1613"/>
      <c r="AC204" s="1751"/>
      <c r="AD204" s="491" t="s">
        <v>1019</v>
      </c>
      <c r="AE204" s="514" cm="1" t="str">
        <f t="array" ref="AE204:AE204">IF(ISBLANK('Топливо 4.4'!$AE$200),"",'Топливо 4.4'!$AE$200)</f>
        <v>Уголь длиннопламенный</v>
      </c>
      <c r="AF204" s="515" cm="1" t="str">
        <f t="array" ref="AF204:AF204">IF(ISBLANK('Топливо 4.4'!$AF$200),"",'Топливо 4.4'!$AF$200)</f>
        <v/>
      </c>
      <c r="AG204" s="530" t="str">
        <f>"руб./"&amp;_xlfn.IFERROR(INDEX(fuel_ed_izm_list,MATCH(AE204,fuel_list,0)),"")</f>
        <v>руб./тнт</v>
      </c>
      <c r="AH204" s="2255">
        <f>_xlfn.IFERROR(AH209/AH179,0)*1000</f>
        <v>0</v>
      </c>
      <c r="AI204" s="2255">
        <f>_xlfn.IFERROR(AI209/AI179,0)*1000</f>
        <v>0</v>
      </c>
      <c r="AJ204" s="2255">
        <f>_xlfn.IFERROR(AJ209/AJ179,0)*1000</f>
        <v>0</v>
      </c>
      <c r="AK204" s="2255">
        <f>_xlfn.IFERROR(AK209/AK179,0)*1000</f>
        <v>0</v>
      </c>
      <c r="AL204" s="499">
        <f>_xlfn.IFERROR(AL209/AL179,0)*1000</f>
        <v>0</v>
      </c>
      <c r="AM204" s="2256"/>
      <c r="AN204" s="2256"/>
      <c r="AO204" s="499">
        <f>_xlfn.IFERROR(AO209/AO179,0)*1000</f>
        <v>0</v>
      </c>
      <c r="AP204" s="2256"/>
      <c r="AQ204" s="2256"/>
      <c r="AR204" s="499">
        <f>_xlfn.IFERROR(AR209/AR179,0)*1000</f>
        <v>0</v>
      </c>
      <c r="AS204" s="2256"/>
      <c r="AT204" s="2256"/>
      <c r="AU204" s="499">
        <f>_xlfn.IFERROR(AU209/AU179,0)*1000</f>
        <v>0</v>
      </c>
      <c r="AV204" s="2256"/>
      <c r="AW204" s="2256"/>
      <c r="AX204" s="499">
        <f>_xlfn.IFERROR(AX209/AX179,0)*1000</f>
        <v>0</v>
      </c>
      <c r="AY204" s="2256"/>
      <c r="AZ204" s="2256"/>
      <c r="BA204" s="499">
        <f>_xlfn.IFERROR(BA209/BA179,0)*1000</f>
        <v>0</v>
      </c>
      <c r="BB204" s="2256"/>
      <c r="BC204" s="2256"/>
      <c r="BD204" s="499">
        <f>_xlfn.IFERROR(BD209/BD179,0)*1000</f>
        <v>0</v>
      </c>
      <c r="BE204" s="2256"/>
      <c r="BF204" s="2256"/>
      <c r="BG204" s="499">
        <f>_xlfn.IFERROR(BG209/BG179,0)*1000</f>
        <v>0</v>
      </c>
      <c r="BH204" s="2256"/>
      <c r="BI204" s="2256"/>
      <c r="BJ204" s="499">
        <f>_xlfn.IFERROR(BJ209/BJ179,0)*1000</f>
        <v>0</v>
      </c>
      <c r="BK204" s="2256"/>
      <c r="BL204" s="2256"/>
      <c r="BM204" s="499">
        <f>_xlfn.IFERROR(BM209/BM179,0)*1000</f>
        <v>0</v>
      </c>
      <c r="BN204" s="2256"/>
      <c r="BO204" s="2256"/>
      <c r="BP204" s="499">
        <f>_xlfn.IFERROR(BP209/BP179,0)*1000</f>
        <v>0</v>
      </c>
      <c r="BQ204" s="2256"/>
      <c r="BR204" s="2256"/>
      <c r="BS204" s="499">
        <f>_xlfn.IFERROR(BS209/BS179,0)*1000</f>
        <v>0</v>
      </c>
      <c r="BT204" s="2256"/>
      <c r="BU204" s="2256"/>
      <c r="BV204" s="499">
        <f>_xlfn.IFERROR(BV209/BV179,0)*1000</f>
        <v>0</v>
      </c>
      <c r="BW204" s="2256"/>
      <c r="BX204" s="2256"/>
      <c r="BY204" s="499">
        <f>_xlfn.IFERROR(BY209/BY179,0)*1000</f>
        <v>0</v>
      </c>
      <c r="BZ204" s="2256"/>
      <c r="CA204" s="2256"/>
      <c r="CB204" s="499">
        <f>_xlfn.IFERROR(CB209/CB179,0)*1000</f>
        <v>0</v>
      </c>
      <c r="CC204" s="2256"/>
      <c r="CD204" s="2256"/>
      <c r="CE204" s="499">
        <f>_xlfn.IFERROR(CE209/CE179,0)*1000</f>
        <v>0</v>
      </c>
      <c r="CF204" s="2256"/>
      <c r="CG204" s="2256"/>
      <c r="CH204" s="499">
        <f>_xlfn.IFERROR(CH209/CH179,0)*1000</f>
        <v>0</v>
      </c>
      <c r="CI204" s="2256"/>
      <c r="CJ204" s="2256"/>
      <c r="CK204" s="499">
        <f>_xlfn.IFERROR(CK209/CK179,0)*1000</f>
        <v>0</v>
      </c>
      <c r="CL204" s="2256"/>
      <c r="CM204" s="2256"/>
      <c r="CN204" s="499">
        <f>_xlfn.IFERROR(CN209/CN179,0)*1000</f>
        <v>0</v>
      </c>
      <c r="CO204" s="2256"/>
      <c r="CP204" s="2256"/>
      <c r="CQ204" s="499">
        <f>_xlfn.IFERROR(CQ209/CQ179,0)*1000</f>
        <v>0</v>
      </c>
      <c r="CR204" s="2256"/>
      <c r="CS204" s="2256"/>
      <c r="CT204" s="499">
        <f>_xlfn.IFERROR(CT209/CT179,0)*1000</f>
        <v>0</v>
      </c>
      <c r="CU204" s="498"/>
      <c r="CV204" s="498"/>
      <c r="CW204" s="499">
        <f>_xlfn.IFERROR(CW209/CW179,0)*1000</f>
        <v>0</v>
      </c>
      <c r="CX204" s="2256"/>
      <c r="CY204" s="2256"/>
      <c r="CZ204" s="499">
        <f>_xlfn.IFERROR(CZ209/CZ179,0)*1000</f>
        <v>0</v>
      </c>
      <c r="DA204" s="2256"/>
      <c r="DB204" s="2256"/>
      <c r="DC204" s="499">
        <f>_xlfn.IFERROR(DC209/DC179,0)*1000</f>
        <v>0</v>
      </c>
      <c r="DD204" s="2256"/>
      <c r="DE204" s="2256"/>
      <c r="DF204" s="499">
        <f>_xlfn.IFERROR(DF209/DF179,0)*1000</f>
        <v>0</v>
      </c>
      <c r="DG204" s="2256"/>
      <c r="DH204" s="2256"/>
      <c r="DI204" s="499">
        <f>_xlfn.IFERROR(DI209/DI179,0)*1000</f>
        <v>0</v>
      </c>
      <c r="DJ204" s="2256"/>
      <c r="DK204" s="2256"/>
      <c r="DL204" s="499">
        <f>_xlfn.IFERROR(DL209/DL179,0)*1000</f>
        <v>0</v>
      </c>
      <c r="DM204" s="2256"/>
      <c r="DN204" s="2256"/>
      <c r="DO204" s="499">
        <f>_xlfn.IFERROR(DO209/DO179,0)*1000</f>
        <v>0</v>
      </c>
      <c r="DP204" s="2256"/>
      <c r="DQ204" s="2256"/>
      <c r="DR204" s="499">
        <f>_xlfn.IFERROR(DR209/DR179,0)*1000</f>
        <v>0</v>
      </c>
      <c r="DS204" s="2256"/>
      <c r="DT204" s="2256"/>
      <c r="DU204" s="499">
        <f>_xlfn.IFERROR(DU209/DU179,0)*1000</f>
        <v>0</v>
      </c>
      <c r="DV204" s="2256"/>
      <c r="DW204" s="2256"/>
      <c r="DX204" s="499">
        <f>_xlfn.IFERROR(DX209/DX179,0)*1000</f>
        <v>0</v>
      </c>
      <c r="DY204" s="2256"/>
      <c r="DZ204" s="2256"/>
      <c r="EA204" s="499">
        <f>_xlfn.IFERROR(EA209/EA179,0)*1000</f>
        <v>0</v>
      </c>
      <c r="EB204" s="2256"/>
      <c r="EC204" s="2256"/>
      <c r="ED204" s="499">
        <f>_xlfn.IFERROR(ED209/ED179,0)*1000</f>
        <v>0</v>
      </c>
      <c r="EE204" s="2256"/>
      <c r="EF204" s="2256"/>
      <c r="EG204" s="499">
        <f>_xlfn.IFERROR(EG209/EG179,0)*1000</f>
        <v>0</v>
      </c>
      <c r="EH204" s="2256"/>
      <c r="EI204" s="2256"/>
      <c r="EJ204" s="499">
        <f>_xlfn.IFERROR(EJ209/EJ179,0)*1000</f>
        <v>0</v>
      </c>
      <c r="EK204" s="2256"/>
      <c r="EL204" s="2256"/>
      <c r="EM204" s="499">
        <f>_xlfn.IFERROR(EM209/EM179,0)*1000</f>
        <v>0</v>
      </c>
      <c r="EN204" s="2256"/>
      <c r="EO204" s="2256"/>
      <c r="EP204" s="499">
        <f>_xlfn.IFERROR(EP209/EP179,0)*1000</f>
        <v>0</v>
      </c>
      <c r="EQ204" s="2256"/>
      <c r="ER204" s="2256"/>
      <c r="ES204" s="499">
        <f>_xlfn.IFERROR(ES209/ES179,0)*1000</f>
        <v>0</v>
      </c>
      <c r="ET204" s="2256"/>
      <c r="EU204" s="2256"/>
      <c r="EV204" s="499">
        <f>_xlfn.IFERROR(EV209/EV179,0)*1000</f>
        <v>0</v>
      </c>
      <c r="EW204" s="2256"/>
      <c r="EX204" s="2256"/>
      <c r="EY204" s="499">
        <f>_xlfn.IFERROR(EY209/EY179,0)*1000</f>
        <v>0</v>
      </c>
      <c r="EZ204" s="2256"/>
      <c r="FA204" s="2256"/>
      <c r="FB204" s="1897"/>
      <c r="FC204" s="1751"/>
      <c r="FD204" s="1751"/>
      <c r="FE204" s="489" t="s">
        <v>934</v>
      </c>
      <c r="FF204" s="648" t="s">
        <v>890</v>
      </c>
      <c r="FG204" s="648" cm="1" t="str">
        <f t="array" ref="FG204:FG204">AE204</f>
        <v>Уголь длиннопламенный</v>
      </c>
      <c r="FH204" s="648" cm="1" t="str">
        <f t="array" ref="FH204:FH204">AF204</f>
        <v/>
      </c>
      <c r="FI204" s="649"/>
      <c r="FJ204" s="649"/>
      <c r="FK204" s="1157" cm="1" t="str">
        <f t="array" ref="FK204:FK204">OFFSET(FJ204,-1,1)</f>
        <v>ТЭ.42.31656254.0001</v>
      </c>
      <c r="FL204" s="1159"/>
      <c r="FM204" s="1159"/>
      <c r="FN204" s="1159"/>
      <c r="FO204" s="1159"/>
      <c r="FP204" s="1159"/>
      <c r="FQ204" s="1159"/>
      <c r="FR204" s="1159"/>
      <c r="FS204" s="1159"/>
      <c r="FT204" s="1159" t="s">
        <v>929</v>
      </c>
      <c r="FU204" s="1159"/>
      <c r="FV204" s="1159" t="s">
        <v>255</v>
      </c>
      <c r="FW204" s="1078" t="str">
        <f>$AE204&amp;"|"&amp;$AF204</f>
        <v>Уголь длиннопламенный|</v>
      </c>
      <c r="FX204" s="1159" t="s">
        <v>303</v>
      </c>
      <c r="FY204" s="1159" t="s">
        <v>936</v>
      </c>
      <c r="FZ204" s="1159" t="s">
        <v>937</v>
      </c>
    </row>
    <row s="1751" customFormat="1" customHeight="1" ht="15" hidden="1">
      <c r="A205" s="371"/>
      <c r="B205" s="1548"/>
      <c r="C205" s="1548"/>
      <c r="D205" s="1548"/>
      <c r="E205" s="965">
        <v>0</v>
      </c>
      <c r="F205" s="175" cm="1" t="str">
        <f t="array" ref="F205:F205">OFFSET(G205,-1,-1)</f>
        <v>1</v>
      </c>
      <c r="G205" s="1659"/>
      <c r="H205" s="1659"/>
      <c r="I205" s="1659"/>
      <c r="J205" s="1659"/>
      <c r="K205" s="1659"/>
      <c r="L205" s="175" cm="1" t="str">
        <f t="array" ref="L205:L205">OFFSET(M205,-1,-1)</f>
        <v>false</v>
      </c>
      <c r="M205" s="1659"/>
      <c r="N205" s="1659"/>
      <c r="O205" s="1659"/>
      <c r="P205" s="1659"/>
      <c r="Q205" s="1659"/>
      <c r="R205" s="1548"/>
      <c r="S205" s="175" cm="1" t="str">
        <f t="array" ref="S205:S205">OFFSET(T205,-1,-1)</f>
        <v>true</v>
      </c>
      <c r="T205" s="1548"/>
      <c r="U205" s="753">
        <f>AND(S205,IF(ISBLANK(T205),TRUE,T205))</f>
        <v>1</v>
      </c>
      <c r="V205" s="1548"/>
      <c r="W205" s="1548"/>
      <c r="X205" s="980" t="str">
        <f>"{                  
         funcDyn: 'msg1',
         blok: 'blok_2',
         wsCross: 'Топливо 4.4',
         linkFormula: 'AE-AE#AF-AF',
         levelDyn: "&amp;Y139&amp;"
}"</f>
        <v>{                  
         funcDyn: 'msg1',
         blok: 'blok_2',
         wsCross: 'Топливо 4.4',
         linkFormula: 'AE-AE#AF-AF',
         levelDyn: 1
}</v>
      </c>
      <c r="Y205" s="1548"/>
      <c r="Z205" s="1548"/>
      <c r="AA205" s="1009"/>
      <c r="AB205" s="1613"/>
      <c r="AC205" s="1751"/>
      <c r="AD205" s="517"/>
      <c r="AE205" s="518" t="s">
        <v>191</v>
      </c>
      <c r="AF205" s="519"/>
      <c r="AG205" s="470"/>
      <c r="AH205" s="524"/>
      <c r="AI205" s="525"/>
      <c r="AJ205" s="525"/>
      <c r="AK205" s="525"/>
      <c r="AL205" s="525"/>
      <c r="AM205" s="525"/>
      <c r="AN205" s="525"/>
      <c r="AO205" s="525"/>
      <c r="AP205" s="525"/>
      <c r="AQ205" s="525"/>
      <c r="AR205" s="525"/>
      <c r="AS205" s="525"/>
      <c r="AT205" s="525"/>
      <c r="AU205" s="525"/>
      <c r="AV205" s="525"/>
      <c r="AW205" s="525"/>
      <c r="AX205" s="525"/>
      <c r="AY205" s="525"/>
      <c r="AZ205" s="525"/>
      <c r="BA205" s="525"/>
      <c r="BB205" s="525"/>
      <c r="BC205" s="525"/>
      <c r="BD205" s="525"/>
      <c r="BE205" s="525"/>
      <c r="BF205" s="525"/>
      <c r="BG205" s="525"/>
      <c r="BH205" s="525"/>
      <c r="BI205" s="525"/>
      <c r="BJ205" s="525"/>
      <c r="BK205" s="525"/>
      <c r="BL205" s="525"/>
      <c r="BM205" s="525"/>
      <c r="BN205" s="525"/>
      <c r="BO205" s="525"/>
      <c r="BP205" s="525"/>
      <c r="BQ205" s="525"/>
      <c r="BR205" s="525"/>
      <c r="BS205" s="525"/>
      <c r="BT205" s="525"/>
      <c r="BU205" s="525"/>
      <c r="BV205" s="525"/>
      <c r="BW205" s="525"/>
      <c r="BX205" s="525"/>
      <c r="BY205" s="525"/>
      <c r="BZ205" s="525"/>
      <c r="CA205" s="525"/>
      <c r="CB205" s="525"/>
      <c r="CC205" s="525"/>
      <c r="CD205" s="525"/>
      <c r="CE205" s="525"/>
      <c r="CF205" s="525"/>
      <c r="CG205" s="525"/>
      <c r="CH205" s="525"/>
      <c r="CI205" s="525"/>
      <c r="CJ205" s="525"/>
      <c r="CK205" s="525"/>
      <c r="CL205" s="525"/>
      <c r="CM205" s="525"/>
      <c r="CN205" s="525"/>
      <c r="CO205" s="525"/>
      <c r="CP205" s="525"/>
      <c r="CQ205" s="525"/>
      <c r="CR205" s="525"/>
      <c r="CS205" s="525"/>
      <c r="CT205" s="525"/>
      <c r="CU205" s="525"/>
      <c r="CV205" s="525"/>
      <c r="CW205" s="525"/>
      <c r="CX205" s="525"/>
      <c r="CY205" s="525"/>
      <c r="CZ205" s="525"/>
      <c r="DA205" s="525"/>
      <c r="DB205" s="525"/>
      <c r="DC205" s="525"/>
      <c r="DD205" s="525"/>
      <c r="DE205" s="525"/>
      <c r="DF205" s="525"/>
      <c r="DG205" s="525"/>
      <c r="DH205" s="525"/>
      <c r="DI205" s="525"/>
      <c r="DJ205" s="525"/>
      <c r="DK205" s="525"/>
      <c r="DL205" s="525"/>
      <c r="DM205" s="525"/>
      <c r="DN205" s="525"/>
      <c r="DO205" s="525"/>
      <c r="DP205" s="525"/>
      <c r="DQ205" s="525"/>
      <c r="DR205" s="525"/>
      <c r="DS205" s="525"/>
      <c r="DT205" s="525"/>
      <c r="DU205" s="525"/>
      <c r="DV205" s="525"/>
      <c r="DW205" s="525"/>
      <c r="DX205" s="525"/>
      <c r="DY205" s="525"/>
      <c r="DZ205" s="525"/>
      <c r="EA205" s="525"/>
      <c r="EB205" s="525"/>
      <c r="EC205" s="525"/>
      <c r="ED205" s="525"/>
      <c r="EE205" s="525"/>
      <c r="EF205" s="525"/>
      <c r="EG205" s="525"/>
      <c r="EH205" s="525"/>
      <c r="EI205" s="525"/>
      <c r="EJ205" s="525"/>
      <c r="EK205" s="525"/>
      <c r="EL205" s="525"/>
      <c r="EM205" s="525"/>
      <c r="EN205" s="525"/>
      <c r="EO205" s="525"/>
      <c r="EP205" s="525"/>
      <c r="EQ205" s="525"/>
      <c r="ER205" s="525"/>
      <c r="ES205" s="525"/>
      <c r="ET205" s="525"/>
      <c r="EU205" s="525"/>
      <c r="EV205" s="525"/>
      <c r="EW205" s="525"/>
      <c r="EX205" s="525"/>
      <c r="EY205" s="525"/>
      <c r="EZ205" s="525"/>
      <c r="FA205" s="525"/>
      <c r="FB205" s="93"/>
      <c r="FC205" s="1751"/>
      <c r="FD205" s="1506"/>
      <c r="FE205" s="489" t="str">
        <f>IF(AND(ISNUMBER(VALUE(TRIM(SUBSTITUTE(AD205,".","")))),TRIM(SUBSTITUTE(AD205,".",""))&lt;&gt;""),"P"&amp;SUBSTITUTE(AD205,".",""),"")</f>
        <v/>
      </c>
      <c r="FF205" s="648"/>
      <c r="FG205" s="648"/>
      <c r="FH205" s="648"/>
      <c r="FI205" s="649"/>
      <c r="FJ205" s="649"/>
      <c r="FK205" s="1157" cm="1" t="str">
        <f t="array" ref="FK205:FK205">OFFSET(FJ205,-1,1)</f>
        <v>ТЭ.42.31656254.0001</v>
      </c>
      <c r="FL205" s="1159"/>
      <c r="FM205" s="1159"/>
      <c r="FN205" s="1159"/>
      <c r="FO205" s="1159"/>
      <c r="FP205" s="1159"/>
      <c r="FQ205" s="1159"/>
      <c r="FR205" s="1159"/>
      <c r="FS205" s="1159"/>
      <c r="FT205" s="1159"/>
      <c r="FU205" s="1159"/>
      <c r="FV205" s="1159"/>
      <c r="FW205" s="1159"/>
      <c r="FX205" s="1159"/>
      <c r="FY205" s="1159"/>
      <c r="FZ205" s="1159"/>
    </row>
    <row s="1751" customFormat="1" customHeight="1" ht="16.5">
      <c r="A206" s="371"/>
      <c r="B206" s="1548"/>
      <c r="C206" s="1548"/>
      <c r="D206" s="1548"/>
      <c r="E206" s="180">
        <v>17</v>
      </c>
      <c r="F206" s="175" cm="1" t="str">
        <f t="array" ref="F206:F206">OFFSET(G206,-1,-1)</f>
        <v>1</v>
      </c>
      <c r="G206" s="1659"/>
      <c r="H206" s="1659"/>
      <c r="I206" s="1659"/>
      <c r="J206" s="1659"/>
      <c r="K206" s="1659"/>
      <c r="L206" s="175" cm="1" t="str">
        <f t="array" ref="L206:L206">OFFSET(M206,-1,-1)</f>
        <v>false</v>
      </c>
      <c r="M206" s="1659"/>
      <c r="N206" s="1659"/>
      <c r="O206" s="1659"/>
      <c r="P206" s="1659"/>
      <c r="Q206" s="1659"/>
      <c r="R206" s="1548"/>
      <c r="S206" s="175" cm="1" t="str">
        <f t="array" ref="S206:S206">OFFSET(T206,-1,-1)</f>
        <v>true</v>
      </c>
      <c r="T206" s="1548"/>
      <c r="U206" s="753">
        <f>AND(S206,IF(ISBLANK(T206),TRUE,T206))</f>
        <v>1</v>
      </c>
      <c r="V206" s="1548"/>
      <c r="W206" s="1548"/>
      <c r="X206" s="1548"/>
      <c r="Y206" s="1548"/>
      <c r="Z206" s="1548"/>
      <c r="AA206" s="1009"/>
      <c r="AB206" s="1613"/>
      <c r="AC206" s="1751"/>
      <c r="AD206" s="327">
        <v>28</v>
      </c>
      <c r="AE206" s="1618" t="s">
        <v>938</v>
      </c>
      <c r="AF206" s="427"/>
      <c r="AG206" s="470" t="s">
        <v>917</v>
      </c>
      <c r="AH206" s="500">
        <f>SUM(AH208:AH210)</f>
        <v>0</v>
      </c>
      <c r="AI206" s="500">
        <f>SUM(AI208:AI210)</f>
        <v>0</v>
      </c>
      <c r="AJ206" s="500">
        <f>SUM(AJ208:AJ210)</f>
        <v>0</v>
      </c>
      <c r="AK206" s="500">
        <f>SUM(AK208:AK210)</f>
        <v>0</v>
      </c>
      <c r="AL206" s="500">
        <f>SUM(AL208:AL210)</f>
        <v>0</v>
      </c>
      <c r="AM206" s="500">
        <f>SUM(AM208:AM210)</f>
        <v>0</v>
      </c>
      <c r="AN206" s="500">
        <f>SUM(AN208:AN210)</f>
        <v>0</v>
      </c>
      <c r="AO206" s="500">
        <f>SUM(AO208:AO210)</f>
        <v>0</v>
      </c>
      <c r="AP206" s="500">
        <f>SUM(AP208:AP210)</f>
        <v>0</v>
      </c>
      <c r="AQ206" s="500">
        <f>SUM(AQ208:AQ210)</f>
        <v>0</v>
      </c>
      <c r="AR206" s="500">
        <f>SUM(AR208:AR210)</f>
        <v>0</v>
      </c>
      <c r="AS206" s="500">
        <f>SUM(AS208:AS210)</f>
        <v>0</v>
      </c>
      <c r="AT206" s="500">
        <f>SUM(AT208:AT210)</f>
        <v>0</v>
      </c>
      <c r="AU206" s="500">
        <f>SUM(AU208:AU210)</f>
        <v>0</v>
      </c>
      <c r="AV206" s="500">
        <f>SUM(AV208:AV210)</f>
        <v>0</v>
      </c>
      <c r="AW206" s="500">
        <f>SUM(AW208:AW210)</f>
        <v>0</v>
      </c>
      <c r="AX206" s="500">
        <f>SUM(AX208:AX210)</f>
        <v>0</v>
      </c>
      <c r="AY206" s="500">
        <f>SUM(AY208:AY210)</f>
        <v>0</v>
      </c>
      <c r="AZ206" s="500">
        <f>SUM(AZ208:AZ210)</f>
        <v>0</v>
      </c>
      <c r="BA206" s="500">
        <f>SUM(BA208:BA210)</f>
        <v>0</v>
      </c>
      <c r="BB206" s="500">
        <f>SUM(BB208:BB210)</f>
        <v>0</v>
      </c>
      <c r="BC206" s="500">
        <f>SUM(BC208:BC210)</f>
        <v>0</v>
      </c>
      <c r="BD206" s="500">
        <f>SUM(BD208:BD210)</f>
        <v>0</v>
      </c>
      <c r="BE206" s="500">
        <f>SUM(BE208:BE210)</f>
        <v>0</v>
      </c>
      <c r="BF206" s="500">
        <f>SUM(BF208:BF210)</f>
        <v>0</v>
      </c>
      <c r="BG206" s="500">
        <f>SUM(BG208:BG210)</f>
        <v>0</v>
      </c>
      <c r="BH206" s="500">
        <f>SUM(BH208:BH210)</f>
        <v>0</v>
      </c>
      <c r="BI206" s="500">
        <f>SUM(BI208:BI210)</f>
        <v>0</v>
      </c>
      <c r="BJ206" s="500">
        <f>SUM(BJ208:BJ210)</f>
        <v>0</v>
      </c>
      <c r="BK206" s="500">
        <f>SUM(BK208:BK210)</f>
        <v>0</v>
      </c>
      <c r="BL206" s="500">
        <f>SUM(BL208:BL210)</f>
        <v>0</v>
      </c>
      <c r="BM206" s="500">
        <f>SUM(BM208:BM210)</f>
        <v>0</v>
      </c>
      <c r="BN206" s="500">
        <f>SUM(BN208:BN210)</f>
        <v>0</v>
      </c>
      <c r="BO206" s="500">
        <f>SUM(BO208:BO210)</f>
        <v>0</v>
      </c>
      <c r="BP206" s="500">
        <f>SUM(BP208:BP210)</f>
        <v>0</v>
      </c>
      <c r="BQ206" s="500">
        <f>SUM(BQ208:BQ210)</f>
        <v>0</v>
      </c>
      <c r="BR206" s="500">
        <f>SUM(BR208:BR210)</f>
        <v>0</v>
      </c>
      <c r="BS206" s="500">
        <f>SUM(BS208:BS210)</f>
        <v>0</v>
      </c>
      <c r="BT206" s="500">
        <f>SUM(BT208:BT210)</f>
        <v>0</v>
      </c>
      <c r="BU206" s="500">
        <f>SUM(BU208:BU210)</f>
        <v>0</v>
      </c>
      <c r="BV206" s="500">
        <f>SUM(BV208:BV210)</f>
        <v>0</v>
      </c>
      <c r="BW206" s="500">
        <f>SUM(BW208:BW210)</f>
        <v>0</v>
      </c>
      <c r="BX206" s="500">
        <f>SUM(BX208:BX210)</f>
        <v>0</v>
      </c>
      <c r="BY206" s="500">
        <f>SUM(BY208:BY210)</f>
        <v>0</v>
      </c>
      <c r="BZ206" s="500">
        <f>SUM(BZ208:BZ210)</f>
        <v>0</v>
      </c>
      <c r="CA206" s="500">
        <f>SUM(CA208:CA210)</f>
        <v>0</v>
      </c>
      <c r="CB206" s="500">
        <f>SUM(CB208:CB210)</f>
        <v>0</v>
      </c>
      <c r="CC206" s="500">
        <f>SUM(CC208:CC210)</f>
        <v>0</v>
      </c>
      <c r="CD206" s="500">
        <f>SUM(CD208:CD210)</f>
        <v>0</v>
      </c>
      <c r="CE206" s="500">
        <f>SUM(CE208:CE210)</f>
        <v>0</v>
      </c>
      <c r="CF206" s="500">
        <f>SUM(CF208:CF210)</f>
        <v>0</v>
      </c>
      <c r="CG206" s="500">
        <f>SUM(CG208:CG210)</f>
        <v>0</v>
      </c>
      <c r="CH206" s="500">
        <f>SUM(CH208:CH210)</f>
        <v>0</v>
      </c>
      <c r="CI206" s="500">
        <f>SUM(CI208:CI210)</f>
        <v>0</v>
      </c>
      <c r="CJ206" s="500">
        <f>SUM(CJ208:CJ210)</f>
        <v>0</v>
      </c>
      <c r="CK206" s="500">
        <f>SUM(CK208:CK210)</f>
        <v>0</v>
      </c>
      <c r="CL206" s="500">
        <f>SUM(CL208:CL210)</f>
        <v>0</v>
      </c>
      <c r="CM206" s="500">
        <f>SUM(CM208:CM210)</f>
        <v>0</v>
      </c>
      <c r="CN206" s="500">
        <f>SUM(CN208:CN210)</f>
        <v>0</v>
      </c>
      <c r="CO206" s="500">
        <f>SUM(CO208:CO210)</f>
        <v>0</v>
      </c>
      <c r="CP206" s="500">
        <f>SUM(CP208:CP210)</f>
        <v>0</v>
      </c>
      <c r="CQ206" s="500">
        <f>SUM(CQ208:CQ210)</f>
        <v>0</v>
      </c>
      <c r="CR206" s="500">
        <f>SUM(CR208:CR210)</f>
        <v>0</v>
      </c>
      <c r="CS206" s="500">
        <f>SUM(CS208:CS210)</f>
        <v>0</v>
      </c>
      <c r="CT206" s="500">
        <f>SUM(CT208:CT210)</f>
        <v>0</v>
      </c>
      <c r="CU206" s="500">
        <f>SUM(CU208:CU210)</f>
        <v>0</v>
      </c>
      <c r="CV206" s="500">
        <f>SUM(CV208:CV210)</f>
        <v>0</v>
      </c>
      <c r="CW206" s="500">
        <f>SUM(CW208:CW210)</f>
        <v>0</v>
      </c>
      <c r="CX206" s="500">
        <f>SUM(CX208:CX210)</f>
        <v>0</v>
      </c>
      <c r="CY206" s="500">
        <f>SUM(CY208:CY210)</f>
        <v>0</v>
      </c>
      <c r="CZ206" s="500">
        <f>SUM(CZ208:CZ210)</f>
        <v>0</v>
      </c>
      <c r="DA206" s="500">
        <f>SUM(DA208:DA210)</f>
        <v>0</v>
      </c>
      <c r="DB206" s="500">
        <f>SUM(DB208:DB210)</f>
        <v>0</v>
      </c>
      <c r="DC206" s="500">
        <f>SUM(DC208:DC210)</f>
        <v>0</v>
      </c>
      <c r="DD206" s="500">
        <f>SUM(DD208:DD210)</f>
        <v>0</v>
      </c>
      <c r="DE206" s="500">
        <f>SUM(DE208:DE210)</f>
        <v>0</v>
      </c>
      <c r="DF206" s="500">
        <f>SUM(DF208:DF210)</f>
        <v>0</v>
      </c>
      <c r="DG206" s="500">
        <f>SUM(DG208:DG210)</f>
        <v>0</v>
      </c>
      <c r="DH206" s="500">
        <f>SUM(DH208:DH210)</f>
        <v>0</v>
      </c>
      <c r="DI206" s="500">
        <f>SUM(DI208:DI210)</f>
        <v>0</v>
      </c>
      <c r="DJ206" s="500">
        <f>SUM(DJ208:DJ210)</f>
        <v>0</v>
      </c>
      <c r="DK206" s="500">
        <f>SUM(DK208:DK210)</f>
        <v>0</v>
      </c>
      <c r="DL206" s="500">
        <f>SUM(DL208:DL210)</f>
        <v>0</v>
      </c>
      <c r="DM206" s="500">
        <f>SUM(DM208:DM210)</f>
        <v>0</v>
      </c>
      <c r="DN206" s="500">
        <f>SUM(DN208:DN210)</f>
        <v>0</v>
      </c>
      <c r="DO206" s="500">
        <f>SUM(DO208:DO210)</f>
        <v>0</v>
      </c>
      <c r="DP206" s="500">
        <f>SUM(DP208:DP210)</f>
        <v>0</v>
      </c>
      <c r="DQ206" s="500">
        <f>SUM(DQ208:DQ210)</f>
        <v>0</v>
      </c>
      <c r="DR206" s="500">
        <f>SUM(DR208:DR210)</f>
        <v>0</v>
      </c>
      <c r="DS206" s="500">
        <f>SUM(DS208:DS210)</f>
        <v>0</v>
      </c>
      <c r="DT206" s="500">
        <f>SUM(DT208:DT210)</f>
        <v>0</v>
      </c>
      <c r="DU206" s="500">
        <f>SUM(DU208:DU210)</f>
        <v>0</v>
      </c>
      <c r="DV206" s="500">
        <f>SUM(DV208:DV210)</f>
        <v>0</v>
      </c>
      <c r="DW206" s="500">
        <f>SUM(DW208:DW210)</f>
        <v>0</v>
      </c>
      <c r="DX206" s="500">
        <f>SUM(DX208:DX210)</f>
        <v>0</v>
      </c>
      <c r="DY206" s="500">
        <f>SUM(DY208:DY210)</f>
        <v>0</v>
      </c>
      <c r="DZ206" s="500">
        <f>SUM(DZ208:DZ210)</f>
        <v>0</v>
      </c>
      <c r="EA206" s="500">
        <f>SUM(EA208:EA210)</f>
        <v>0</v>
      </c>
      <c r="EB206" s="500">
        <f>SUM(EB208:EB210)</f>
        <v>0</v>
      </c>
      <c r="EC206" s="500">
        <f>SUM(EC208:EC210)</f>
        <v>0</v>
      </c>
      <c r="ED206" s="500">
        <f>SUM(ED208:ED210)</f>
        <v>0</v>
      </c>
      <c r="EE206" s="500">
        <f>SUM(EE208:EE210)</f>
        <v>0</v>
      </c>
      <c r="EF206" s="500">
        <f>SUM(EF208:EF210)</f>
        <v>0</v>
      </c>
      <c r="EG206" s="500">
        <f>SUM(EG208:EG210)</f>
        <v>0</v>
      </c>
      <c r="EH206" s="500">
        <f>SUM(EH208:EH210)</f>
        <v>0</v>
      </c>
      <c r="EI206" s="500">
        <f>SUM(EI208:EI210)</f>
        <v>0</v>
      </c>
      <c r="EJ206" s="500">
        <f>SUM(EJ208:EJ210)</f>
        <v>0</v>
      </c>
      <c r="EK206" s="500">
        <f>SUM(EK208:EK210)</f>
        <v>0</v>
      </c>
      <c r="EL206" s="500">
        <f>SUM(EL208:EL210)</f>
        <v>0</v>
      </c>
      <c r="EM206" s="500">
        <f>SUM(EM208:EM210)</f>
        <v>0</v>
      </c>
      <c r="EN206" s="500">
        <f>SUM(EN208:EN210)</f>
        <v>0</v>
      </c>
      <c r="EO206" s="500">
        <f>SUM(EO208:EO210)</f>
        <v>0</v>
      </c>
      <c r="EP206" s="500">
        <f>SUM(EP208:EP210)</f>
        <v>0</v>
      </c>
      <c r="EQ206" s="500">
        <f>SUM(EQ208:EQ210)</f>
        <v>0</v>
      </c>
      <c r="ER206" s="500">
        <f>SUM(ER208:ER210)</f>
        <v>0</v>
      </c>
      <c r="ES206" s="500">
        <f>SUM(ES208:ES210)</f>
        <v>0</v>
      </c>
      <c r="ET206" s="500">
        <f>SUM(ET208:ET210)</f>
        <v>0</v>
      </c>
      <c r="EU206" s="500">
        <f>SUM(EU208:EU210)</f>
        <v>0</v>
      </c>
      <c r="EV206" s="500">
        <f>SUM(EV208:EV210)</f>
        <v>0</v>
      </c>
      <c r="EW206" s="500">
        <f>SUM(EW208:EW210)</f>
        <v>0</v>
      </c>
      <c r="EX206" s="500">
        <f>SUM(EX208:EX210)</f>
        <v>0</v>
      </c>
      <c r="EY206" s="500">
        <f>SUM(EY208:EY210)</f>
        <v>0</v>
      </c>
      <c r="EZ206" s="500">
        <f>SUM(EZ208:EZ210)</f>
        <v>0</v>
      </c>
      <c r="FA206" s="500">
        <f>SUM(FA208:FA210)</f>
        <v>0</v>
      </c>
      <c r="FB206" s="1897"/>
      <c r="FC206" s="1751"/>
      <c r="FD206" s="1506"/>
      <c r="FE206" s="489" t="s">
        <v>939</v>
      </c>
      <c r="FF206" s="648"/>
      <c r="FG206" s="648"/>
      <c r="FH206" s="648"/>
      <c r="FI206" s="649"/>
      <c r="FJ206" s="649"/>
      <c r="FK206" s="1157" cm="1" t="str">
        <f t="array" ref="FK206:FK206">OFFSET(FJ206,-1,1)</f>
        <v>ТЭ.42.31656254.0001</v>
      </c>
      <c r="FL206" s="1078"/>
      <c r="FM206" s="1159"/>
      <c r="FN206" s="1159"/>
      <c r="FO206" s="1159"/>
      <c r="FP206" s="1159"/>
      <c r="FQ206" s="1159"/>
      <c r="FR206" s="1159"/>
      <c r="FS206" s="1159"/>
      <c r="FT206" s="1078" t="s">
        <v>929</v>
      </c>
      <c r="FU206" s="1159"/>
      <c r="FV206" s="1078" t="s">
        <v>449</v>
      </c>
      <c r="FW206" s="1159"/>
      <c r="FX206" s="1078" t="s">
        <v>303</v>
      </c>
      <c r="FY206" s="1078" t="s">
        <v>919</v>
      </c>
      <c r="FZ206" s="1078" t="s">
        <v>920</v>
      </c>
    </row>
    <row s="1751" customFormat="1" customHeight="1" ht="16.5" hidden="1">
      <c r="A207" s="371"/>
      <c r="B207" s="1548"/>
      <c r="C207" s="1548"/>
      <c r="D207" s="1548"/>
      <c r="E207" s="180">
        <v>17</v>
      </c>
      <c r="F207" s="175" cm="1" t="str">
        <f t="array" ref="F207:F207">OFFSET(G207,-1,-1)</f>
        <v>1</v>
      </c>
      <c r="G207" s="1659"/>
      <c r="H207" s="1659"/>
      <c r="I207" s="1659"/>
      <c r="J207" s="1659"/>
      <c r="K207" s="1659"/>
      <c r="L207" s="175" cm="1" t="str">
        <f t="array" ref="L207:L207">OFFSET(M207,-1,-1)</f>
        <v>false</v>
      </c>
      <c r="M207" s="1659"/>
      <c r="N207" s="1659"/>
      <c r="O207" s="1659"/>
      <c r="P207" s="1659"/>
      <c r="Q207" s="1659"/>
      <c r="R207" s="175" t="s">
        <v>804</v>
      </c>
      <c r="S207" s="175" cm="1" t="str">
        <f t="array" ref="S207:S207">OFFSET(T207,-1,-1)</f>
        <v>true</v>
      </c>
      <c r="T207" s="175" t="b">
        <v>0</v>
      </c>
      <c r="U207" s="753">
        <f>AND(S207,IF(ISBLANK(T207),TRUE,T207))</f>
        <v>0</v>
      </c>
      <c r="V207" s="1548"/>
      <c r="W207" s="1548"/>
      <c r="X207" s="1548"/>
      <c r="Y207" s="1548"/>
      <c r="Z207" s="1548"/>
      <c r="AA207" s="1009"/>
      <c r="AB207" s="1613"/>
      <c r="AC207" s="1751"/>
      <c r="AD207" s="491" t="str">
        <f>AD206&amp;".0"</f>
        <v>28.0</v>
      </c>
      <c r="AE207" s="537" t="s">
        <v>822</v>
      </c>
      <c r="AF207" s="368"/>
      <c r="AG207" s="470" t="s">
        <v>917</v>
      </c>
      <c r="AH207" s="88">
        <f>AH$163*AH206</f>
        <v>0</v>
      </c>
      <c r="AI207" s="89">
        <f>AI$163*AI206</f>
        <v>0</v>
      </c>
      <c r="AJ207" s="89">
        <f>AJ$163*AJ206</f>
        <v>0</v>
      </c>
      <c r="AK207" s="89">
        <f>AK$163*AK206</f>
        <v>0</v>
      </c>
      <c r="AL207" s="499">
        <f>AM207+AN207</f>
        <v>0</v>
      </c>
      <c r="AM207" s="89">
        <f>AM$163*AM206</f>
        <v>0</v>
      </c>
      <c r="AN207" s="89">
        <f>AN$163*AN206</f>
        <v>0</v>
      </c>
      <c r="AO207" s="499">
        <f>AP207+AQ207</f>
        <v>0</v>
      </c>
      <c r="AP207" s="89">
        <f>AP$163*AP206</f>
        <v>0</v>
      </c>
      <c r="AQ207" s="89">
        <f>AQ$163*AQ206</f>
        <v>0</v>
      </c>
      <c r="AR207" s="499">
        <f>AS207+AT207</f>
        <v>0</v>
      </c>
      <c r="AS207" s="89">
        <f>AS$163*AS206</f>
        <v>0</v>
      </c>
      <c r="AT207" s="89">
        <f>AT$163*AT206</f>
        <v>0</v>
      </c>
      <c r="AU207" s="499">
        <f>AV207+AW207</f>
        <v>0</v>
      </c>
      <c r="AV207" s="89">
        <f>AV$163*AV206</f>
        <v>0</v>
      </c>
      <c r="AW207" s="89">
        <f>AW$163*AW206</f>
        <v>0</v>
      </c>
      <c r="AX207" s="499">
        <f>AY207+AZ207</f>
        <v>0</v>
      </c>
      <c r="AY207" s="89">
        <f>AY$163*AY206</f>
        <v>0</v>
      </c>
      <c r="AZ207" s="89">
        <f>AZ$163*AZ206</f>
        <v>0</v>
      </c>
      <c r="BA207" s="499">
        <f>BB207+BC207</f>
        <v>0</v>
      </c>
      <c r="BB207" s="89">
        <f>BB$163*BB206</f>
        <v>0</v>
      </c>
      <c r="BC207" s="89">
        <f>BC$163*BC206</f>
        <v>0</v>
      </c>
      <c r="BD207" s="499">
        <f>BE207+BF207</f>
        <v>0</v>
      </c>
      <c r="BE207" s="89">
        <f>BE$163*BE206</f>
        <v>0</v>
      </c>
      <c r="BF207" s="89">
        <f>BF$163*BF206</f>
        <v>0</v>
      </c>
      <c r="BG207" s="499">
        <f>BH207+BI207</f>
        <v>0</v>
      </c>
      <c r="BH207" s="89">
        <f>BH$163*BH206</f>
        <v>0</v>
      </c>
      <c r="BI207" s="89">
        <f>BI$163*BI206</f>
        <v>0</v>
      </c>
      <c r="BJ207" s="499">
        <f>BK207+BL207</f>
        <v>0</v>
      </c>
      <c r="BK207" s="89">
        <f>BK$163*BK206</f>
        <v>0</v>
      </c>
      <c r="BL207" s="89">
        <f>BL$163*BL206</f>
        <v>0</v>
      </c>
      <c r="BM207" s="499">
        <f>BN207+BO207</f>
        <v>0</v>
      </c>
      <c r="BN207" s="89">
        <f>BN$163*BN206</f>
        <v>0</v>
      </c>
      <c r="BO207" s="89">
        <f>BO$163*BO206</f>
        <v>0</v>
      </c>
      <c r="BP207" s="499">
        <f>BQ207+BR207</f>
        <v>0</v>
      </c>
      <c r="BQ207" s="89">
        <f>BQ$163*BQ206</f>
        <v>0</v>
      </c>
      <c r="BR207" s="89">
        <f>BR$163*BR206</f>
        <v>0</v>
      </c>
      <c r="BS207" s="499">
        <f>BT207+BU207</f>
        <v>0</v>
      </c>
      <c r="BT207" s="89">
        <f>BT$163*BT206</f>
        <v>0</v>
      </c>
      <c r="BU207" s="89">
        <f>BU$163*BU206</f>
        <v>0</v>
      </c>
      <c r="BV207" s="499">
        <f>BW207+BX207</f>
        <v>0</v>
      </c>
      <c r="BW207" s="89">
        <f>BW$163*BW206</f>
        <v>0</v>
      </c>
      <c r="BX207" s="89">
        <f>BX$163*BX206</f>
        <v>0</v>
      </c>
      <c r="BY207" s="499">
        <f>BZ207+CA207</f>
        <v>0</v>
      </c>
      <c r="BZ207" s="89">
        <f>BZ$163*BZ206</f>
        <v>0</v>
      </c>
      <c r="CA207" s="89">
        <f>CA$163*CA206</f>
        <v>0</v>
      </c>
      <c r="CB207" s="499">
        <f>CC207+CD207</f>
        <v>0</v>
      </c>
      <c r="CC207" s="89">
        <f>CC$163*CC206</f>
        <v>0</v>
      </c>
      <c r="CD207" s="89">
        <f>CD$163*CD206</f>
        <v>0</v>
      </c>
      <c r="CE207" s="499">
        <f>CF207+CG207</f>
        <v>0</v>
      </c>
      <c r="CF207" s="89">
        <f>CF$163*CF206</f>
        <v>0</v>
      </c>
      <c r="CG207" s="89">
        <f>CG$163*CG206</f>
        <v>0</v>
      </c>
      <c r="CH207" s="499">
        <f>CI207+CJ207</f>
        <v>0</v>
      </c>
      <c r="CI207" s="89">
        <f>CI$163*CI206</f>
        <v>0</v>
      </c>
      <c r="CJ207" s="89">
        <f>CJ$163*CJ206</f>
        <v>0</v>
      </c>
      <c r="CK207" s="499">
        <f>CL207+CM207</f>
        <v>0</v>
      </c>
      <c r="CL207" s="89">
        <f>CL$163*CL206</f>
        <v>0</v>
      </c>
      <c r="CM207" s="89">
        <f>CM$163*CM206</f>
        <v>0</v>
      </c>
      <c r="CN207" s="499">
        <f>CO207+CP207</f>
        <v>0</v>
      </c>
      <c r="CO207" s="89">
        <f>CO$163*CO206</f>
        <v>0</v>
      </c>
      <c r="CP207" s="89">
        <f>CP$163*CP206</f>
        <v>0</v>
      </c>
      <c r="CQ207" s="499">
        <f>CR207+CS207</f>
        <v>0</v>
      </c>
      <c r="CR207" s="89">
        <f>CR$163*CR206</f>
        <v>0</v>
      </c>
      <c r="CS207" s="89">
        <f>CS$163*CS206</f>
        <v>0</v>
      </c>
      <c r="CT207" s="499">
        <f>CU207+CV207</f>
        <v>0</v>
      </c>
      <c r="CU207" s="498">
        <f>CU$163*CU206</f>
        <v>0</v>
      </c>
      <c r="CV207" s="498">
        <f>CV$163*CV206</f>
        <v>0</v>
      </c>
      <c r="CW207" s="499">
        <f>CX207+CY207</f>
        <v>0</v>
      </c>
      <c r="CX207" s="89">
        <f>CX$163*CX206</f>
        <v>0</v>
      </c>
      <c r="CY207" s="89">
        <f>CY$163*CY206</f>
        <v>0</v>
      </c>
      <c r="CZ207" s="499">
        <f>DA207+DB207</f>
        <v>0</v>
      </c>
      <c r="DA207" s="89">
        <f>DA$163*DA206</f>
        <v>0</v>
      </c>
      <c r="DB207" s="89">
        <f>DB$163*DB206</f>
        <v>0</v>
      </c>
      <c r="DC207" s="499">
        <f>DD207+DE207</f>
        <v>0</v>
      </c>
      <c r="DD207" s="89">
        <f>DD$163*DD206</f>
        <v>0</v>
      </c>
      <c r="DE207" s="89">
        <f>DE$163*DE206</f>
        <v>0</v>
      </c>
      <c r="DF207" s="499">
        <f>DG207+DH207</f>
        <v>0</v>
      </c>
      <c r="DG207" s="89">
        <f>DG$163*DG206</f>
        <v>0</v>
      </c>
      <c r="DH207" s="89">
        <f>DH$163*DH206</f>
        <v>0</v>
      </c>
      <c r="DI207" s="499">
        <f>DJ207+DK207</f>
        <v>0</v>
      </c>
      <c r="DJ207" s="89">
        <f>DJ$163*DJ206</f>
        <v>0</v>
      </c>
      <c r="DK207" s="89">
        <f>DK$163*DK206</f>
        <v>0</v>
      </c>
      <c r="DL207" s="499">
        <f>DM207+DN207</f>
        <v>0</v>
      </c>
      <c r="DM207" s="89">
        <f>DM$163*DM206</f>
        <v>0</v>
      </c>
      <c r="DN207" s="89">
        <f>DN$163*DN206</f>
        <v>0</v>
      </c>
      <c r="DO207" s="499">
        <f>DP207+DQ207</f>
        <v>0</v>
      </c>
      <c r="DP207" s="89">
        <f>DP$163*DP206</f>
        <v>0</v>
      </c>
      <c r="DQ207" s="89">
        <f>DQ$163*DQ206</f>
        <v>0</v>
      </c>
      <c r="DR207" s="499">
        <f>DS207+DT207</f>
        <v>0</v>
      </c>
      <c r="DS207" s="89">
        <f>DS$163*DS206</f>
        <v>0</v>
      </c>
      <c r="DT207" s="89">
        <f>DT$163*DT206</f>
        <v>0</v>
      </c>
      <c r="DU207" s="499">
        <f>DV207+DW207</f>
        <v>0</v>
      </c>
      <c r="DV207" s="89">
        <f>DV$163*DV206</f>
        <v>0</v>
      </c>
      <c r="DW207" s="89">
        <f>DW$163*DW206</f>
        <v>0</v>
      </c>
      <c r="DX207" s="499">
        <f>DY207+DZ207</f>
        <v>0</v>
      </c>
      <c r="DY207" s="89">
        <f>DY$163*DY206</f>
        <v>0</v>
      </c>
      <c r="DZ207" s="89">
        <f>DZ$163*DZ206</f>
        <v>0</v>
      </c>
      <c r="EA207" s="499">
        <f>EB207+EC207</f>
        <v>0</v>
      </c>
      <c r="EB207" s="89">
        <f>EB$163*EB206</f>
        <v>0</v>
      </c>
      <c r="EC207" s="89">
        <f>EC$163*EC206</f>
        <v>0</v>
      </c>
      <c r="ED207" s="499">
        <f>EE207+EF207</f>
        <v>0</v>
      </c>
      <c r="EE207" s="89">
        <f>EE$163*EE206</f>
        <v>0</v>
      </c>
      <c r="EF207" s="89">
        <f>EF$163*EF206</f>
        <v>0</v>
      </c>
      <c r="EG207" s="499">
        <f>EH207+EI207</f>
        <v>0</v>
      </c>
      <c r="EH207" s="89">
        <f>EH$163*EH206</f>
        <v>0</v>
      </c>
      <c r="EI207" s="89">
        <f>EI$163*EI206</f>
        <v>0</v>
      </c>
      <c r="EJ207" s="499">
        <f>EK207+EL207</f>
        <v>0</v>
      </c>
      <c r="EK207" s="89">
        <f>EK$163*EK206</f>
        <v>0</v>
      </c>
      <c r="EL207" s="89">
        <f>EL$163*EL206</f>
        <v>0</v>
      </c>
      <c r="EM207" s="499">
        <f>EN207+EO207</f>
        <v>0</v>
      </c>
      <c r="EN207" s="89">
        <f>EN$163*EN206</f>
        <v>0</v>
      </c>
      <c r="EO207" s="89">
        <f>EO$163*EO206</f>
        <v>0</v>
      </c>
      <c r="EP207" s="499">
        <f>EQ207+ER207</f>
        <v>0</v>
      </c>
      <c r="EQ207" s="89">
        <f>EQ$163*EQ206</f>
        <v>0</v>
      </c>
      <c r="ER207" s="89">
        <f>ER$163*ER206</f>
        <v>0</v>
      </c>
      <c r="ES207" s="499">
        <f>ET207+EU207</f>
        <v>0</v>
      </c>
      <c r="ET207" s="89">
        <f>ET$163*ET206</f>
        <v>0</v>
      </c>
      <c r="EU207" s="89">
        <f>EU$163*EU206</f>
        <v>0</v>
      </c>
      <c r="EV207" s="499">
        <f>EW207+EX207</f>
        <v>0</v>
      </c>
      <c r="EW207" s="89">
        <f>EW$163*EW206</f>
        <v>0</v>
      </c>
      <c r="EX207" s="89">
        <f>EX$163*EX206</f>
        <v>0</v>
      </c>
      <c r="EY207" s="499">
        <f>EZ207+FA207</f>
        <v>0</v>
      </c>
      <c r="EZ207" s="89">
        <f>EZ$163*EZ206</f>
        <v>0</v>
      </c>
      <c r="FA207" s="89">
        <f>FA$163*FA206</f>
        <v>0</v>
      </c>
      <c r="FB207" s="83"/>
      <c r="FC207" s="1751"/>
      <c r="FD207" s="1506"/>
      <c r="FE207" s="489" t="s">
        <v>940</v>
      </c>
      <c r="FF207" s="648"/>
      <c r="FG207" s="648"/>
      <c r="FH207" s="648"/>
      <c r="FI207" s="649"/>
      <c r="FJ207" s="649"/>
      <c r="FK207" s="1157" cm="1" t="str">
        <f t="array" ref="FK207:FK207">OFFSET(FJ207,-1,1)</f>
        <v>ТЭ.42.31656254.0001</v>
      </c>
      <c r="FL207" s="1159"/>
      <c r="FM207" s="1078" t="s">
        <v>824</v>
      </c>
      <c r="FN207" s="1159"/>
      <c r="FO207" s="1159"/>
      <c r="FP207" s="1159"/>
      <c r="FQ207" s="1159"/>
      <c r="FR207" s="1159"/>
      <c r="FS207" s="1159"/>
      <c r="FT207" s="1078" t="s">
        <v>929</v>
      </c>
      <c r="FU207" s="1159"/>
      <c r="FV207" s="1159"/>
      <c r="FW207" s="1159"/>
      <c r="FX207" s="1078" t="s">
        <v>303</v>
      </c>
      <c r="FY207" s="1078" t="s">
        <v>919</v>
      </c>
      <c r="FZ207" s="1078" t="s">
        <v>920</v>
      </c>
    </row>
    <row s="1751" customFormat="1" customHeight="1" ht="16.5" hidden="1">
      <c r="E208" s="180">
        <v>17</v>
      </c>
      <c r="F208" s="175" cm="1" t="str">
        <f t="array" ref="F208:F208">OFFSET(G208,-1,-1)</f>
        <v>1</v>
      </c>
      <c r="L208" s="175" cm="1" t="str">
        <f t="array" ref="L208:L208">OFFSET(M208,-1,-1)</f>
        <v>false</v>
      </c>
      <c r="S208" s="175" cm="1" t="str">
        <f t="array" ref="S208:S208">OFFSET(T208,-1,-1)</f>
        <v>true</v>
      </c>
      <c r="T208" s="175">
        <f>AD208&lt;&gt;"28.0"</f>
        <v>0</v>
      </c>
      <c r="U208" s="753">
        <f>AND(S208,IF(ISBLANK(T208),TRUE,T208))</f>
        <v>0</v>
      </c>
      <c r="X208" s="175" t="s">
        <v>189</v>
      </c>
      <c r="AB208" s="1613"/>
      <c r="AD208" s="491" t="s">
        <v>941</v>
      </c>
      <c r="AE208" s="514"/>
      <c r="AF208" s="515"/>
      <c r="AG208" s="470" t="s">
        <v>917</v>
      </c>
      <c r="AH208" s="88"/>
      <c r="AI208" s="89"/>
      <c r="AJ208" s="89"/>
      <c r="AK208" s="89"/>
      <c r="AL208" s="499">
        <f>AM208+AN208</f>
        <v>0</v>
      </c>
      <c r="AM208" s="89">
        <f>AM203*AM178/1000</f>
        <v>0</v>
      </c>
      <c r="AN208" s="89">
        <f>AN203*AN178/1000</f>
        <v>0</v>
      </c>
      <c r="AO208" s="499">
        <f>AP208+AQ208</f>
        <v>0</v>
      </c>
      <c r="AP208" s="89">
        <f>AP203*AP178/1000</f>
        <v>0</v>
      </c>
      <c r="AQ208" s="89">
        <f>AQ203*AQ178/1000</f>
        <v>0</v>
      </c>
      <c r="AR208" s="499">
        <f>AS208+AT208</f>
        <v>0</v>
      </c>
      <c r="AS208" s="89">
        <f>AS203*AS178/1000</f>
        <v>0</v>
      </c>
      <c r="AT208" s="89">
        <f>AT203*AT178/1000</f>
        <v>0</v>
      </c>
      <c r="AU208" s="499">
        <f>AV208+AW208</f>
        <v>0</v>
      </c>
      <c r="AV208" s="89">
        <f>AV203*AV178/1000</f>
        <v>0</v>
      </c>
      <c r="AW208" s="89">
        <f>AW203*AW178/1000</f>
        <v>0</v>
      </c>
      <c r="AX208" s="499">
        <f>AY208+AZ208</f>
        <v>0</v>
      </c>
      <c r="AY208" s="89">
        <f>AY203*AY178/1000</f>
        <v>0</v>
      </c>
      <c r="AZ208" s="89">
        <f>AZ203*AZ178/1000</f>
        <v>0</v>
      </c>
      <c r="BA208" s="499">
        <f>BB208+BC208</f>
        <v>0</v>
      </c>
      <c r="BB208" s="89">
        <f>BB203*BB178/1000</f>
        <v>0</v>
      </c>
      <c r="BC208" s="89">
        <f>BC203*BC178/1000</f>
        <v>0</v>
      </c>
      <c r="BD208" s="499">
        <f>BE208+BF208</f>
        <v>0</v>
      </c>
      <c r="BE208" s="89">
        <f>BE203*BE178/1000</f>
        <v>0</v>
      </c>
      <c r="BF208" s="89">
        <f>BF203*BF178/1000</f>
        <v>0</v>
      </c>
      <c r="BG208" s="499">
        <f>BH208+BI208</f>
        <v>0</v>
      </c>
      <c r="BH208" s="89">
        <f>BH203*BH178/1000</f>
        <v>0</v>
      </c>
      <c r="BI208" s="89">
        <f>BI203*BI178/1000</f>
        <v>0</v>
      </c>
      <c r="BJ208" s="499">
        <f>BK208+BL208</f>
        <v>0</v>
      </c>
      <c r="BK208" s="89">
        <f>BK203*BK178/1000</f>
        <v>0</v>
      </c>
      <c r="BL208" s="89">
        <f>BL203*BL178/1000</f>
        <v>0</v>
      </c>
      <c r="BM208" s="499">
        <f>BN208+BO208</f>
        <v>0</v>
      </c>
      <c r="BN208" s="89">
        <f>BN203*BN178/1000</f>
        <v>0</v>
      </c>
      <c r="BO208" s="89">
        <f>BO203*BO178/1000</f>
        <v>0</v>
      </c>
      <c r="BP208" s="499">
        <f>BQ208+BR208</f>
        <v>0</v>
      </c>
      <c r="BQ208" s="89">
        <f>BQ203*BQ178/1000</f>
        <v>0</v>
      </c>
      <c r="BR208" s="89">
        <f>BR203*BR178/1000</f>
        <v>0</v>
      </c>
      <c r="BS208" s="499">
        <f>BT208+BU208</f>
        <v>0</v>
      </c>
      <c r="BT208" s="89">
        <f>BT203*BT178/1000</f>
        <v>0</v>
      </c>
      <c r="BU208" s="89">
        <f>BU203*BU178/1000</f>
        <v>0</v>
      </c>
      <c r="BV208" s="499">
        <f>BW208+BX208</f>
        <v>0</v>
      </c>
      <c r="BW208" s="89">
        <f>BW203*BW178/1000</f>
        <v>0</v>
      </c>
      <c r="BX208" s="89">
        <f>BX203*BX178/1000</f>
        <v>0</v>
      </c>
      <c r="BY208" s="499">
        <f>BZ208+CA208</f>
        <v>0</v>
      </c>
      <c r="BZ208" s="89">
        <f>BZ203*BZ178/1000</f>
        <v>0</v>
      </c>
      <c r="CA208" s="89">
        <f>CA203*CA178/1000</f>
        <v>0</v>
      </c>
      <c r="CB208" s="499">
        <f>CC208+CD208</f>
        <v>0</v>
      </c>
      <c r="CC208" s="89">
        <f>CC203*CC178/1000</f>
        <v>0</v>
      </c>
      <c r="CD208" s="89">
        <f>CD203*CD178/1000</f>
        <v>0</v>
      </c>
      <c r="CE208" s="499">
        <f>CF208+CG208</f>
        <v>0</v>
      </c>
      <c r="CF208" s="89">
        <f>CF203*CF178/1000</f>
        <v>0</v>
      </c>
      <c r="CG208" s="89">
        <f>CG203*CG178/1000</f>
        <v>0</v>
      </c>
      <c r="CH208" s="499">
        <f>CI208+CJ208</f>
        <v>0</v>
      </c>
      <c r="CI208" s="89">
        <f>CI203*CI178/1000</f>
        <v>0</v>
      </c>
      <c r="CJ208" s="89">
        <f>CJ203*CJ178/1000</f>
        <v>0</v>
      </c>
      <c r="CK208" s="499">
        <f>CL208+CM208</f>
        <v>0</v>
      </c>
      <c r="CL208" s="89">
        <f>CL203*CL178/1000</f>
        <v>0</v>
      </c>
      <c r="CM208" s="89">
        <f>CM203*CM178/1000</f>
        <v>0</v>
      </c>
      <c r="CN208" s="499">
        <f>CO208+CP208</f>
        <v>0</v>
      </c>
      <c r="CO208" s="89">
        <f>CO203*CO178/1000</f>
        <v>0</v>
      </c>
      <c r="CP208" s="89">
        <f>CP203*CP178/1000</f>
        <v>0</v>
      </c>
      <c r="CQ208" s="499">
        <f>CR208+CS208</f>
        <v>0</v>
      </c>
      <c r="CR208" s="89">
        <f>CR203*CR178/1000</f>
        <v>0</v>
      </c>
      <c r="CS208" s="89">
        <f>CS203*CS178/1000</f>
        <v>0</v>
      </c>
      <c r="CT208" s="499">
        <f>CU208+CV208</f>
        <v>0</v>
      </c>
      <c r="CU208" s="498">
        <f>CU203*CU178/1000</f>
        <v>0</v>
      </c>
      <c r="CV208" s="498">
        <f>CV203*CV178/1000</f>
        <v>0</v>
      </c>
      <c r="CW208" s="499">
        <f>CX208+CY208</f>
        <v>0</v>
      </c>
      <c r="CX208" s="89">
        <f>CX203*CX178/1000</f>
        <v>0</v>
      </c>
      <c r="CY208" s="89">
        <f>CY203*CY178/1000</f>
        <v>0</v>
      </c>
      <c r="CZ208" s="499">
        <f>DA208+DB208</f>
        <v>0</v>
      </c>
      <c r="DA208" s="89">
        <f>DA203*DA178/1000</f>
        <v>0</v>
      </c>
      <c r="DB208" s="89">
        <f>DB203*DB178/1000</f>
        <v>0</v>
      </c>
      <c r="DC208" s="499">
        <f>DD208+DE208</f>
        <v>0</v>
      </c>
      <c r="DD208" s="89">
        <f>DD203*DD178/1000</f>
        <v>0</v>
      </c>
      <c r="DE208" s="89">
        <f>DE203*DE178/1000</f>
        <v>0</v>
      </c>
      <c r="DF208" s="499">
        <f>DG208+DH208</f>
        <v>0</v>
      </c>
      <c r="DG208" s="89">
        <f>DG203*DG178/1000</f>
        <v>0</v>
      </c>
      <c r="DH208" s="89">
        <f>DH203*DH178/1000</f>
        <v>0</v>
      </c>
      <c r="DI208" s="499">
        <f>DJ208+DK208</f>
        <v>0</v>
      </c>
      <c r="DJ208" s="89">
        <f>DJ203*DJ178/1000</f>
        <v>0</v>
      </c>
      <c r="DK208" s="89">
        <f>DK203*DK178/1000</f>
        <v>0</v>
      </c>
      <c r="DL208" s="499">
        <f>DM208+DN208</f>
        <v>0</v>
      </c>
      <c r="DM208" s="89">
        <f>DM203*DM178/1000</f>
        <v>0</v>
      </c>
      <c r="DN208" s="89">
        <f>DN203*DN178/1000</f>
        <v>0</v>
      </c>
      <c r="DO208" s="499">
        <f>DP208+DQ208</f>
        <v>0</v>
      </c>
      <c r="DP208" s="89">
        <f>DP203*DP178/1000</f>
        <v>0</v>
      </c>
      <c r="DQ208" s="89">
        <f>DQ203*DQ178/1000</f>
        <v>0</v>
      </c>
      <c r="DR208" s="499">
        <f>DS208+DT208</f>
        <v>0</v>
      </c>
      <c r="DS208" s="89">
        <f>DS203*DS178/1000</f>
        <v>0</v>
      </c>
      <c r="DT208" s="89">
        <f>DT203*DT178/1000</f>
        <v>0</v>
      </c>
      <c r="DU208" s="499">
        <f>DV208+DW208</f>
        <v>0</v>
      </c>
      <c r="DV208" s="89">
        <f>DV203*DV178/1000</f>
        <v>0</v>
      </c>
      <c r="DW208" s="89">
        <f>DW203*DW178/1000</f>
        <v>0</v>
      </c>
      <c r="DX208" s="499">
        <f>DY208+DZ208</f>
        <v>0</v>
      </c>
      <c r="DY208" s="89">
        <f>DY203*DY178/1000</f>
        <v>0</v>
      </c>
      <c r="DZ208" s="89">
        <f>DZ203*DZ178/1000</f>
        <v>0</v>
      </c>
      <c r="EA208" s="499">
        <f>EB208+EC208</f>
        <v>0</v>
      </c>
      <c r="EB208" s="89">
        <f>EB203*EB178/1000</f>
        <v>0</v>
      </c>
      <c r="EC208" s="89">
        <f>EC203*EC178/1000</f>
        <v>0</v>
      </c>
      <c r="ED208" s="499">
        <f>EE208+EF208</f>
        <v>0</v>
      </c>
      <c r="EE208" s="89">
        <f>EE203*EE178/1000</f>
        <v>0</v>
      </c>
      <c r="EF208" s="89">
        <f>EF203*EF178/1000</f>
        <v>0</v>
      </c>
      <c r="EG208" s="499">
        <f>EH208+EI208</f>
        <v>0</v>
      </c>
      <c r="EH208" s="89">
        <f>EH203*EH178/1000</f>
        <v>0</v>
      </c>
      <c r="EI208" s="89">
        <f>EI203*EI178/1000</f>
        <v>0</v>
      </c>
      <c r="EJ208" s="499">
        <f>EK208+EL208</f>
        <v>0</v>
      </c>
      <c r="EK208" s="89">
        <f>EK203*EK178/1000</f>
        <v>0</v>
      </c>
      <c r="EL208" s="89">
        <f>EL203*EL178/1000</f>
        <v>0</v>
      </c>
      <c r="EM208" s="499">
        <f>EN208+EO208</f>
        <v>0</v>
      </c>
      <c r="EN208" s="89">
        <f>EN203*EN178/1000</f>
        <v>0</v>
      </c>
      <c r="EO208" s="89">
        <f>EO203*EO178/1000</f>
        <v>0</v>
      </c>
      <c r="EP208" s="499">
        <f>EQ208+ER208</f>
        <v>0</v>
      </c>
      <c r="EQ208" s="89">
        <f>EQ203*EQ178/1000</f>
        <v>0</v>
      </c>
      <c r="ER208" s="89">
        <f>ER203*ER178/1000</f>
        <v>0</v>
      </c>
      <c r="ES208" s="499">
        <f>ET208+EU208</f>
        <v>0</v>
      </c>
      <c r="ET208" s="89">
        <f>ET203*ET178/1000</f>
        <v>0</v>
      </c>
      <c r="EU208" s="89">
        <f>EU203*EU178/1000</f>
        <v>0</v>
      </c>
      <c r="EV208" s="499">
        <f>EW208+EX208</f>
        <v>0</v>
      </c>
      <c r="EW208" s="89">
        <f>EW203*EW178/1000</f>
        <v>0</v>
      </c>
      <c r="EX208" s="89">
        <f>EX203*EX178/1000</f>
        <v>0</v>
      </c>
      <c r="EY208" s="499">
        <f>EZ208+FA208</f>
        <v>0</v>
      </c>
      <c r="EZ208" s="89">
        <f>EZ203*EZ178/1000</f>
        <v>0</v>
      </c>
      <c r="FA208" s="89">
        <f>FA203*FA178/1000</f>
        <v>0</v>
      </c>
      <c r="FB208" s="83"/>
      <c r="FE208" s="489" t="s">
        <v>940</v>
      </c>
      <c r="FF208" s="648" t="s">
        <v>890</v>
      </c>
      <c r="FG208" s="648" cm="1" t="str">
        <f t="array" ref="FG208:FG208">AE208</f>
        <v>0</v>
      </c>
      <c r="FH208" s="648" cm="1" t="str">
        <f t="array" ref="FH208:FH208">AF208</f>
        <v>0</v>
      </c>
      <c r="FI208" s="649"/>
      <c r="FJ208" s="649"/>
      <c r="FK208" s="1157" cm="1" t="str">
        <f t="array" ref="FK208:FK208">OFFSET(FJ208,-1,1)</f>
        <v>ТЭ.42.31656254.0001</v>
      </c>
      <c r="FL208" s="1159"/>
      <c r="FM208" s="1159"/>
      <c r="FN208" s="1159"/>
      <c r="FO208" s="1159"/>
      <c r="FP208" s="1159"/>
      <c r="FQ208" s="1159"/>
      <c r="FR208" s="1159"/>
      <c r="FS208" s="1159"/>
      <c r="FT208" s="1159" t="s">
        <v>929</v>
      </c>
      <c r="FU208" s="1159"/>
      <c r="FV208" s="1159" t="s">
        <v>449</v>
      </c>
      <c r="FW208" s="1078" t="str">
        <f>$AE208&amp;"|"&amp;$AF208</f>
        <v>|</v>
      </c>
      <c r="FX208" s="1159" t="s">
        <v>303</v>
      </c>
      <c r="FY208" s="1159" t="s">
        <v>919</v>
      </c>
      <c r="FZ208" s="1159" t="s">
        <v>920</v>
      </c>
    </row>
    <row s="1751" customFormat="1" customHeight="1" ht="16.5">
      <c r="A209" s="1751"/>
      <c r="B209" s="1751"/>
      <c r="C209" s="1751"/>
      <c r="D209" s="1751"/>
      <c r="E209" s="180">
        <v>17</v>
      </c>
      <c r="F209" s="175" cm="1" t="str">
        <f t="array" ref="F209:F209">OFFSET(G209,-1,-1)</f>
        <v>1</v>
      </c>
      <c r="G209" s="1751"/>
      <c r="H209" s="1751"/>
      <c r="I209" s="1751"/>
      <c r="J209" s="1751"/>
      <c r="K209" s="1751"/>
      <c r="L209" s="175" cm="1" t="str">
        <f t="array" ref="L209:L209">OFFSET(M209,-1,-1)</f>
        <v>false</v>
      </c>
      <c r="M209" s="1751"/>
      <c r="N209" s="1751"/>
      <c r="O209" s="1751"/>
      <c r="P209" s="1751"/>
      <c r="Q209" s="1751"/>
      <c r="R209" s="1751"/>
      <c r="S209" s="175" cm="1" t="str">
        <f t="array" ref="S209:S209">OFFSET(T209,-1,-1)</f>
        <v>true</v>
      </c>
      <c r="T209" s="175">
        <f>AD209&lt;&gt;"28.0"</f>
        <v>1</v>
      </c>
      <c r="U209" s="753">
        <f>AND(S209,IF(ISBLANK(T209),TRUE,T209))</f>
        <v>1</v>
      </c>
      <c r="V209" s="1751"/>
      <c r="W209" s="1751"/>
      <c r="X209" s="175" t="str">
        <f>'Топливо 4.4'!$AE$204&amp;'Топливо 4.4'!$AF$204</f>
        <v>Уголь длиннопламенный</v>
      </c>
      <c r="Y209" s="1751"/>
      <c r="Z209" s="1751"/>
      <c r="AA209" s="1751"/>
      <c r="AB209" s="1613"/>
      <c r="AC209" s="1751"/>
      <c r="AD209" s="491" t="s">
        <v>1020</v>
      </c>
      <c r="AE209" s="514" cm="1" t="str">
        <f t="array" ref="AE209:AE209">IF(ISBLANK('Топливо 4.4'!$AE$204),"",'Топливо 4.4'!$AE$204)</f>
        <v>Уголь длиннопламенный</v>
      </c>
      <c r="AF209" s="515" cm="1" t="str">
        <f t="array" ref="AF209:AF209">IF(ISBLANK('Топливо 4.4'!$AF$204),"",'Топливо 4.4'!$AF$204)</f>
        <v/>
      </c>
      <c r="AG209" s="470" t="s">
        <v>917</v>
      </c>
      <c r="AH209" s="2255"/>
      <c r="AI209" s="2256"/>
      <c r="AJ209" s="2256"/>
      <c r="AK209" s="2256"/>
      <c r="AL209" s="499">
        <f>AM209+AN209</f>
        <v>0</v>
      </c>
      <c r="AM209" s="2256">
        <f>AM204*AM179/1000</f>
        <v>0</v>
      </c>
      <c r="AN209" s="2256">
        <f>AN204*AN179/1000</f>
        <v>0</v>
      </c>
      <c r="AO209" s="499">
        <f>AP209+AQ209</f>
        <v>0</v>
      </c>
      <c r="AP209" s="2256">
        <f>AP204*AP179/1000</f>
        <v>0</v>
      </c>
      <c r="AQ209" s="2256">
        <f>AQ204*AQ179/1000</f>
        <v>0</v>
      </c>
      <c r="AR209" s="499">
        <f>AS209+AT209</f>
        <v>0</v>
      </c>
      <c r="AS209" s="2256">
        <f>AS204*AS179/1000</f>
        <v>0</v>
      </c>
      <c r="AT209" s="2256">
        <f>AT204*AT179/1000</f>
        <v>0</v>
      </c>
      <c r="AU209" s="499">
        <f>AV209+AW209</f>
        <v>0</v>
      </c>
      <c r="AV209" s="2256">
        <f>AV204*AV179/1000</f>
        <v>0</v>
      </c>
      <c r="AW209" s="2256">
        <f>AW204*AW179/1000</f>
        <v>0</v>
      </c>
      <c r="AX209" s="499">
        <f>AY209+AZ209</f>
        <v>0</v>
      </c>
      <c r="AY209" s="2256">
        <f>AY204*AY179/1000</f>
        <v>0</v>
      </c>
      <c r="AZ209" s="2256">
        <f>AZ204*AZ179/1000</f>
        <v>0</v>
      </c>
      <c r="BA209" s="499">
        <f>BB209+BC209</f>
        <v>0</v>
      </c>
      <c r="BB209" s="2256">
        <f>BB204*BB179/1000</f>
        <v>0</v>
      </c>
      <c r="BC209" s="2256">
        <f>BC204*BC179/1000</f>
        <v>0</v>
      </c>
      <c r="BD209" s="499">
        <f>BE209+BF209</f>
        <v>0</v>
      </c>
      <c r="BE209" s="2256">
        <f>BE204*BE179/1000</f>
        <v>0</v>
      </c>
      <c r="BF209" s="2256">
        <f>BF204*BF179/1000</f>
        <v>0</v>
      </c>
      <c r="BG209" s="499">
        <f>BH209+BI209</f>
        <v>0</v>
      </c>
      <c r="BH209" s="2256">
        <f>BH204*BH179/1000</f>
        <v>0</v>
      </c>
      <c r="BI209" s="2256">
        <f>BI204*BI179/1000</f>
        <v>0</v>
      </c>
      <c r="BJ209" s="499">
        <f>BK209+BL209</f>
        <v>0</v>
      </c>
      <c r="BK209" s="2256">
        <f>BK204*BK179/1000</f>
        <v>0</v>
      </c>
      <c r="BL209" s="2256">
        <f>BL204*BL179/1000</f>
        <v>0</v>
      </c>
      <c r="BM209" s="499">
        <f>BN209+BO209</f>
        <v>0</v>
      </c>
      <c r="BN209" s="2256">
        <f>BN204*BN179/1000</f>
        <v>0</v>
      </c>
      <c r="BO209" s="2256">
        <f>BO204*BO179/1000</f>
        <v>0</v>
      </c>
      <c r="BP209" s="499">
        <f>BQ209+BR209</f>
        <v>0</v>
      </c>
      <c r="BQ209" s="2256">
        <f>BQ204*BQ179/1000</f>
        <v>0</v>
      </c>
      <c r="BR209" s="2256">
        <f>BR204*BR179/1000</f>
        <v>0</v>
      </c>
      <c r="BS209" s="499">
        <f>BT209+BU209</f>
        <v>0</v>
      </c>
      <c r="BT209" s="2256">
        <f>BT204*BT179/1000</f>
        <v>0</v>
      </c>
      <c r="BU209" s="2256">
        <f>BU204*BU179/1000</f>
        <v>0</v>
      </c>
      <c r="BV209" s="499">
        <f>BW209+BX209</f>
        <v>0</v>
      </c>
      <c r="BW209" s="2256">
        <f>BW204*BW179/1000</f>
        <v>0</v>
      </c>
      <c r="BX209" s="2256">
        <f>BX204*BX179/1000</f>
        <v>0</v>
      </c>
      <c r="BY209" s="499">
        <f>BZ209+CA209</f>
        <v>0</v>
      </c>
      <c r="BZ209" s="2256">
        <f>BZ204*BZ179/1000</f>
        <v>0</v>
      </c>
      <c r="CA209" s="2256">
        <f>CA204*CA179/1000</f>
        <v>0</v>
      </c>
      <c r="CB209" s="499">
        <f>CC209+CD209</f>
        <v>0</v>
      </c>
      <c r="CC209" s="2256">
        <f>CC204*CC179/1000</f>
        <v>0</v>
      </c>
      <c r="CD209" s="2256">
        <f>CD204*CD179/1000</f>
        <v>0</v>
      </c>
      <c r="CE209" s="499">
        <f>CF209+CG209</f>
        <v>0</v>
      </c>
      <c r="CF209" s="2256">
        <f>CF204*CF179/1000</f>
        <v>0</v>
      </c>
      <c r="CG209" s="2256">
        <f>CG204*CG179/1000</f>
        <v>0</v>
      </c>
      <c r="CH209" s="499">
        <f>CI209+CJ209</f>
        <v>0</v>
      </c>
      <c r="CI209" s="2256">
        <f>CI204*CI179/1000</f>
        <v>0</v>
      </c>
      <c r="CJ209" s="2256">
        <f>CJ204*CJ179/1000</f>
        <v>0</v>
      </c>
      <c r="CK209" s="499">
        <f>CL209+CM209</f>
        <v>0</v>
      </c>
      <c r="CL209" s="2256">
        <f>CL204*CL179/1000</f>
        <v>0</v>
      </c>
      <c r="CM209" s="2256">
        <f>CM204*CM179/1000</f>
        <v>0</v>
      </c>
      <c r="CN209" s="499">
        <f>CO209+CP209</f>
        <v>0</v>
      </c>
      <c r="CO209" s="2256">
        <f>CO204*CO179/1000</f>
        <v>0</v>
      </c>
      <c r="CP209" s="2256">
        <f>CP204*CP179/1000</f>
        <v>0</v>
      </c>
      <c r="CQ209" s="499">
        <f>CR209+CS209</f>
        <v>0</v>
      </c>
      <c r="CR209" s="2256">
        <f>CR204*CR179/1000</f>
        <v>0</v>
      </c>
      <c r="CS209" s="2256">
        <f>CS204*CS179/1000</f>
        <v>0</v>
      </c>
      <c r="CT209" s="499">
        <f>CU209+CV209</f>
        <v>0</v>
      </c>
      <c r="CU209" s="498">
        <f>CU204*CU179/1000</f>
        <v>0</v>
      </c>
      <c r="CV209" s="498">
        <f>CV204*CV179/1000</f>
        <v>0</v>
      </c>
      <c r="CW209" s="499">
        <f>CX209+CY209</f>
        <v>0</v>
      </c>
      <c r="CX209" s="2256">
        <f>CX204*CX179/1000</f>
        <v>0</v>
      </c>
      <c r="CY209" s="2256">
        <f>CY204*CY179/1000</f>
        <v>0</v>
      </c>
      <c r="CZ209" s="499">
        <f>DA209+DB209</f>
        <v>0</v>
      </c>
      <c r="DA209" s="2256">
        <f>DA204*DA179/1000</f>
        <v>0</v>
      </c>
      <c r="DB209" s="2256">
        <f>DB204*DB179/1000</f>
        <v>0</v>
      </c>
      <c r="DC209" s="499">
        <f>DD209+DE209</f>
        <v>0</v>
      </c>
      <c r="DD209" s="2256">
        <f>DD204*DD179/1000</f>
        <v>0</v>
      </c>
      <c r="DE209" s="2256">
        <f>DE204*DE179/1000</f>
        <v>0</v>
      </c>
      <c r="DF209" s="499">
        <f>DG209+DH209</f>
        <v>0</v>
      </c>
      <c r="DG209" s="2256">
        <f>DG204*DG179/1000</f>
        <v>0</v>
      </c>
      <c r="DH209" s="2256">
        <f>DH204*DH179/1000</f>
        <v>0</v>
      </c>
      <c r="DI209" s="499">
        <f>DJ209+DK209</f>
        <v>0</v>
      </c>
      <c r="DJ209" s="2256">
        <f>DJ204*DJ179/1000</f>
        <v>0</v>
      </c>
      <c r="DK209" s="2256">
        <f>DK204*DK179/1000</f>
        <v>0</v>
      </c>
      <c r="DL209" s="499">
        <f>DM209+DN209</f>
        <v>0</v>
      </c>
      <c r="DM209" s="2256">
        <f>DM204*DM179/1000</f>
        <v>0</v>
      </c>
      <c r="DN209" s="2256">
        <f>DN204*DN179/1000</f>
        <v>0</v>
      </c>
      <c r="DO209" s="499">
        <f>DP209+DQ209</f>
        <v>0</v>
      </c>
      <c r="DP209" s="2256">
        <f>DP204*DP179/1000</f>
        <v>0</v>
      </c>
      <c r="DQ209" s="2256">
        <f>DQ204*DQ179/1000</f>
        <v>0</v>
      </c>
      <c r="DR209" s="499">
        <f>DS209+DT209</f>
        <v>0</v>
      </c>
      <c r="DS209" s="2256">
        <f>DS204*DS179/1000</f>
        <v>0</v>
      </c>
      <c r="DT209" s="2256">
        <f>DT204*DT179/1000</f>
        <v>0</v>
      </c>
      <c r="DU209" s="499">
        <f>DV209+DW209</f>
        <v>0</v>
      </c>
      <c r="DV209" s="2256">
        <f>DV204*DV179/1000</f>
        <v>0</v>
      </c>
      <c r="DW209" s="2256">
        <f>DW204*DW179/1000</f>
        <v>0</v>
      </c>
      <c r="DX209" s="499">
        <f>DY209+DZ209</f>
        <v>0</v>
      </c>
      <c r="DY209" s="2256">
        <f>DY204*DY179/1000</f>
        <v>0</v>
      </c>
      <c r="DZ209" s="2256">
        <f>DZ204*DZ179/1000</f>
        <v>0</v>
      </c>
      <c r="EA209" s="499">
        <f>EB209+EC209</f>
        <v>0</v>
      </c>
      <c r="EB209" s="2256">
        <f>EB204*EB179/1000</f>
        <v>0</v>
      </c>
      <c r="EC209" s="2256">
        <f>EC204*EC179/1000</f>
        <v>0</v>
      </c>
      <c r="ED209" s="499">
        <f>EE209+EF209</f>
        <v>0</v>
      </c>
      <c r="EE209" s="2256">
        <f>EE204*EE179/1000</f>
        <v>0</v>
      </c>
      <c r="EF209" s="2256">
        <f>EF204*EF179/1000</f>
        <v>0</v>
      </c>
      <c r="EG209" s="499">
        <f>EH209+EI209</f>
        <v>0</v>
      </c>
      <c r="EH209" s="2256">
        <f>EH204*EH179/1000</f>
        <v>0</v>
      </c>
      <c r="EI209" s="2256">
        <f>EI204*EI179/1000</f>
        <v>0</v>
      </c>
      <c r="EJ209" s="499">
        <f>EK209+EL209</f>
        <v>0</v>
      </c>
      <c r="EK209" s="2256">
        <f>EK204*EK179/1000</f>
        <v>0</v>
      </c>
      <c r="EL209" s="2256">
        <f>EL204*EL179/1000</f>
        <v>0</v>
      </c>
      <c r="EM209" s="499">
        <f>EN209+EO209</f>
        <v>0</v>
      </c>
      <c r="EN209" s="2256">
        <f>EN204*EN179/1000</f>
        <v>0</v>
      </c>
      <c r="EO209" s="2256">
        <f>EO204*EO179/1000</f>
        <v>0</v>
      </c>
      <c r="EP209" s="499">
        <f>EQ209+ER209</f>
        <v>0</v>
      </c>
      <c r="EQ209" s="2256">
        <f>EQ204*EQ179/1000</f>
        <v>0</v>
      </c>
      <c r="ER209" s="2256">
        <f>ER204*ER179/1000</f>
        <v>0</v>
      </c>
      <c r="ES209" s="499">
        <f>ET209+EU209</f>
        <v>0</v>
      </c>
      <c r="ET209" s="2256">
        <f>ET204*ET179/1000</f>
        <v>0</v>
      </c>
      <c r="EU209" s="2256">
        <f>EU204*EU179/1000</f>
        <v>0</v>
      </c>
      <c r="EV209" s="499">
        <f>EW209+EX209</f>
        <v>0</v>
      </c>
      <c r="EW209" s="2256">
        <f>EW204*EW179/1000</f>
        <v>0</v>
      </c>
      <c r="EX209" s="2256">
        <f>EX204*EX179/1000</f>
        <v>0</v>
      </c>
      <c r="EY209" s="499">
        <f>EZ209+FA209</f>
        <v>0</v>
      </c>
      <c r="EZ209" s="2256">
        <f>EZ204*EZ179/1000</f>
        <v>0</v>
      </c>
      <c r="FA209" s="2256">
        <f>FA204*FA179/1000</f>
        <v>0</v>
      </c>
      <c r="FB209" s="1897"/>
      <c r="FC209" s="1751"/>
      <c r="FD209" s="1751"/>
      <c r="FE209" s="489" t="s">
        <v>940</v>
      </c>
      <c r="FF209" s="648" t="s">
        <v>890</v>
      </c>
      <c r="FG209" s="648" cm="1" t="str">
        <f t="array" ref="FG209:FG209">AE209</f>
        <v>Уголь длиннопламенный</v>
      </c>
      <c r="FH209" s="648" cm="1" t="str">
        <f t="array" ref="FH209:FH209">AF209</f>
        <v/>
      </c>
      <c r="FI209" s="649"/>
      <c r="FJ209" s="649"/>
      <c r="FK209" s="1157" cm="1" t="str">
        <f t="array" ref="FK209:FK209">OFFSET(FJ209,-1,1)</f>
        <v>ТЭ.42.31656254.0001</v>
      </c>
      <c r="FL209" s="1159"/>
      <c r="FM209" s="1159"/>
      <c r="FN209" s="1159"/>
      <c r="FO209" s="1159"/>
      <c r="FP209" s="1159"/>
      <c r="FQ209" s="1159"/>
      <c r="FR209" s="1159"/>
      <c r="FS209" s="1159"/>
      <c r="FT209" s="1159" t="s">
        <v>929</v>
      </c>
      <c r="FU209" s="1159"/>
      <c r="FV209" s="1159" t="s">
        <v>449</v>
      </c>
      <c r="FW209" s="1078" t="str">
        <f>$AE209&amp;"|"&amp;$AF209</f>
        <v>Уголь длиннопламенный|</v>
      </c>
      <c r="FX209" s="1159" t="s">
        <v>303</v>
      </c>
      <c r="FY209" s="1159" t="s">
        <v>919</v>
      </c>
      <c r="FZ209" s="1159" t="s">
        <v>920</v>
      </c>
    </row>
    <row s="1751" customFormat="1" customHeight="1" ht="15" hidden="1">
      <c r="A210" s="371"/>
      <c r="B210" s="1548"/>
      <c r="C210" s="1548"/>
      <c r="D210" s="1548"/>
      <c r="E210" s="965">
        <v>0</v>
      </c>
      <c r="F210" s="175" cm="1" t="str">
        <f t="array" ref="F210:F210">OFFSET(G210,-1,-1)</f>
        <v>1</v>
      </c>
      <c r="G210" s="1659"/>
      <c r="H210" s="1659"/>
      <c r="I210" s="1659"/>
      <c r="J210" s="1659"/>
      <c r="K210" s="1659"/>
      <c r="L210" s="175" cm="1" t="str">
        <f t="array" ref="L210:L210">OFFSET(M210,-1,-1)</f>
        <v>false</v>
      </c>
      <c r="M210" s="1659"/>
      <c r="N210" s="1659"/>
      <c r="O210" s="1659"/>
      <c r="P210" s="1659"/>
      <c r="Q210" s="1659"/>
      <c r="R210" s="1548"/>
      <c r="S210" s="175" cm="1" t="str">
        <f t="array" ref="S210:S210">OFFSET(T210,-1,-1)</f>
        <v>true</v>
      </c>
      <c r="T210" s="1548"/>
      <c r="U210" s="753">
        <f>AND(S210,IF(ISBLANK(T210),TRUE,T210))</f>
        <v>1</v>
      </c>
      <c r="V210" s="1548"/>
      <c r="W210" s="1548"/>
      <c r="X210" s="980" t="str">
        <f>"{                  
         funcDyn: 'msg1',
         blok: 'blok_2',
         wsCross: 'Топливо 4.4',
         linkFormula: 'AE-AE#AF-AF',
         levelDyn: "&amp;Y139&amp;"
}"</f>
        <v>{                  
         funcDyn: 'msg1',
         blok: 'blok_2',
         wsCross: 'Топливо 4.4',
         linkFormula: 'AE-AE#AF-AF',
         levelDyn: 1
}</v>
      </c>
      <c r="Y210" s="1548"/>
      <c r="Z210" s="1548"/>
      <c r="AA210" s="1009"/>
      <c r="AB210" s="1613"/>
      <c r="AC210" s="1751"/>
      <c r="AD210" s="517"/>
      <c r="AE210" s="518" t="s">
        <v>191</v>
      </c>
      <c r="AF210" s="519"/>
      <c r="AG210" s="470"/>
      <c r="AH210" s="524"/>
      <c r="AI210" s="525"/>
      <c r="AJ210" s="525"/>
      <c r="AK210" s="525"/>
      <c r="AL210" s="525"/>
      <c r="AM210" s="525"/>
      <c r="AN210" s="525"/>
      <c r="AO210" s="525"/>
      <c r="AP210" s="525"/>
      <c r="AQ210" s="525"/>
      <c r="AR210" s="525"/>
      <c r="AS210" s="525"/>
      <c r="AT210" s="525"/>
      <c r="AU210" s="525"/>
      <c r="AV210" s="525"/>
      <c r="AW210" s="525"/>
      <c r="AX210" s="525"/>
      <c r="AY210" s="525"/>
      <c r="AZ210" s="525"/>
      <c r="BA210" s="525"/>
      <c r="BB210" s="525"/>
      <c r="BC210" s="525"/>
      <c r="BD210" s="525"/>
      <c r="BE210" s="525"/>
      <c r="BF210" s="525"/>
      <c r="BG210" s="525"/>
      <c r="BH210" s="525"/>
      <c r="BI210" s="525"/>
      <c r="BJ210" s="525"/>
      <c r="BK210" s="525"/>
      <c r="BL210" s="525"/>
      <c r="BM210" s="525"/>
      <c r="BN210" s="525"/>
      <c r="BO210" s="525"/>
      <c r="BP210" s="525"/>
      <c r="BQ210" s="525"/>
      <c r="BR210" s="525"/>
      <c r="BS210" s="525"/>
      <c r="BT210" s="525"/>
      <c r="BU210" s="525"/>
      <c r="BV210" s="525"/>
      <c r="BW210" s="525"/>
      <c r="BX210" s="525"/>
      <c r="BY210" s="525"/>
      <c r="BZ210" s="525"/>
      <c r="CA210" s="525"/>
      <c r="CB210" s="525"/>
      <c r="CC210" s="525"/>
      <c r="CD210" s="525"/>
      <c r="CE210" s="525"/>
      <c r="CF210" s="525"/>
      <c r="CG210" s="525"/>
      <c r="CH210" s="525"/>
      <c r="CI210" s="525"/>
      <c r="CJ210" s="525"/>
      <c r="CK210" s="525"/>
      <c r="CL210" s="525"/>
      <c r="CM210" s="525"/>
      <c r="CN210" s="525"/>
      <c r="CO210" s="525"/>
      <c r="CP210" s="525"/>
      <c r="CQ210" s="525"/>
      <c r="CR210" s="525"/>
      <c r="CS210" s="525"/>
      <c r="CT210" s="525"/>
      <c r="CU210" s="525"/>
      <c r="CV210" s="525"/>
      <c r="CW210" s="525"/>
      <c r="CX210" s="525"/>
      <c r="CY210" s="525"/>
      <c r="CZ210" s="525"/>
      <c r="DA210" s="525"/>
      <c r="DB210" s="525"/>
      <c r="DC210" s="525"/>
      <c r="DD210" s="525"/>
      <c r="DE210" s="525"/>
      <c r="DF210" s="525"/>
      <c r="DG210" s="525"/>
      <c r="DH210" s="525"/>
      <c r="DI210" s="525"/>
      <c r="DJ210" s="525"/>
      <c r="DK210" s="525"/>
      <c r="DL210" s="525"/>
      <c r="DM210" s="525"/>
      <c r="DN210" s="525"/>
      <c r="DO210" s="525"/>
      <c r="DP210" s="525"/>
      <c r="DQ210" s="525"/>
      <c r="DR210" s="525"/>
      <c r="DS210" s="525"/>
      <c r="DT210" s="525"/>
      <c r="DU210" s="525"/>
      <c r="DV210" s="525"/>
      <c r="DW210" s="525"/>
      <c r="DX210" s="525"/>
      <c r="DY210" s="525"/>
      <c r="DZ210" s="525"/>
      <c r="EA210" s="525"/>
      <c r="EB210" s="525"/>
      <c r="EC210" s="525"/>
      <c r="ED210" s="525"/>
      <c r="EE210" s="525"/>
      <c r="EF210" s="525"/>
      <c r="EG210" s="525"/>
      <c r="EH210" s="525"/>
      <c r="EI210" s="525"/>
      <c r="EJ210" s="525"/>
      <c r="EK210" s="525"/>
      <c r="EL210" s="525"/>
      <c r="EM210" s="525"/>
      <c r="EN210" s="525"/>
      <c r="EO210" s="525"/>
      <c r="EP210" s="525"/>
      <c r="EQ210" s="525"/>
      <c r="ER210" s="525"/>
      <c r="ES210" s="525"/>
      <c r="ET210" s="525"/>
      <c r="EU210" s="525"/>
      <c r="EV210" s="525"/>
      <c r="EW210" s="525"/>
      <c r="EX210" s="525"/>
      <c r="EY210" s="525"/>
      <c r="EZ210" s="525"/>
      <c r="FA210" s="525"/>
      <c r="FB210" s="93"/>
      <c r="FC210" s="1751"/>
      <c r="FD210" s="1506"/>
      <c r="FE210" s="489" t="str">
        <f>IF(AND(ISNUMBER(VALUE(TRIM(SUBSTITUTE(AD210,".","")))),TRIM(SUBSTITUTE(AD210,".",""))&lt;&gt;""),"P"&amp;SUBSTITUTE(AD210,".",""),"")</f>
        <v/>
      </c>
      <c r="FF210" s="648"/>
      <c r="FG210" s="648"/>
      <c r="FH210" s="648"/>
      <c r="FI210" s="649"/>
      <c r="FJ210" s="649"/>
      <c r="FK210" s="1157" cm="1" t="str">
        <f t="array" ref="FK210:FK210">OFFSET(FJ210,-1,1)</f>
        <v>ТЭ.42.31656254.0001</v>
      </c>
      <c r="FL210" s="1159"/>
      <c r="FM210" s="1159"/>
      <c r="FN210" s="1159"/>
      <c r="FO210" s="1159"/>
      <c r="FP210" s="1159"/>
      <c r="FQ210" s="1159"/>
      <c r="FR210" s="1159"/>
      <c r="FS210" s="1159"/>
      <c r="FT210" s="1159"/>
      <c r="FU210" s="1159"/>
      <c r="FV210" s="1159"/>
      <c r="FW210" s="1159"/>
      <c r="FX210" s="1159"/>
      <c r="FY210" s="1159"/>
      <c r="FZ210" s="1159"/>
    </row>
    <row s="1751" customFormat="1" customHeight="1" ht="29.25" hidden="1">
      <c r="A211" s="371"/>
      <c r="B211" s="1548"/>
      <c r="C211" s="1548"/>
      <c r="D211" s="1548"/>
      <c r="E211" s="180">
        <v>30</v>
      </c>
      <c r="F211" s="175" cm="1" t="str">
        <f t="array" ref="F211:F211">OFFSET(G211,-1,-1)</f>
        <v>1</v>
      </c>
      <c r="G211" s="1659"/>
      <c r="H211" s="1659"/>
      <c r="I211" s="1659"/>
      <c r="J211" s="1659"/>
      <c r="K211" s="1659"/>
      <c r="L211" s="175" cm="1" t="str">
        <f t="array" ref="L211:L211">OFFSET(M211,-1,-1)</f>
        <v>false</v>
      </c>
      <c r="M211" s="1659"/>
      <c r="N211" s="1659"/>
      <c r="O211" s="1659"/>
      <c r="P211" s="1659"/>
      <c r="Q211" s="1659"/>
      <c r="R211" s="175" t="s">
        <v>804</v>
      </c>
      <c r="S211" s="175" cm="1" t="str">
        <f t="array" ref="S211:S211">OFFSET(T211,-1,-1)</f>
        <v>true</v>
      </c>
      <c r="T211" s="175" cm="1" t="str">
        <f t="array" ref="T211:T211">L211</f>
        <v>false</v>
      </c>
      <c r="U211" s="753">
        <f>AND(S211,IF(ISBLANK(T211),TRUE,T211))</f>
        <v>0</v>
      </c>
      <c r="V211" s="1548"/>
      <c r="W211" s="1548"/>
      <c r="X211" s="1548"/>
      <c r="Y211" s="1548"/>
      <c r="Z211" s="1548"/>
      <c r="AA211" s="1009"/>
      <c r="AB211" s="1613"/>
      <c r="AC211" s="1751"/>
      <c r="AD211" s="327">
        <v>29</v>
      </c>
      <c r="AE211" s="1623" t="s">
        <v>942</v>
      </c>
      <c r="AF211" s="437"/>
      <c r="AG211" s="470" t="s">
        <v>917</v>
      </c>
      <c r="AH211" s="500">
        <f>SUM(AH212:AH214)</f>
        <v>0</v>
      </c>
      <c r="AI211" s="500">
        <f>SUM(AI212:AI214)</f>
        <v>0</v>
      </c>
      <c r="AJ211" s="500">
        <f>SUM(AJ212:AJ214)</f>
        <v>0</v>
      </c>
      <c r="AK211" s="500">
        <f>SUM(AK212:AK214)</f>
        <v>0</v>
      </c>
      <c r="AL211" s="500">
        <f>SUM(AL212:AL214)</f>
        <v>0</v>
      </c>
      <c r="AM211" s="500">
        <f>SUM(AM212:AM214)</f>
        <v>0</v>
      </c>
      <c r="AN211" s="500">
        <f>SUM(AN212:AN214)</f>
        <v>0</v>
      </c>
      <c r="AO211" s="500">
        <f>SUM(AO212:AO214)</f>
        <v>0</v>
      </c>
      <c r="AP211" s="500">
        <f>SUM(AP212:AP214)</f>
        <v>0</v>
      </c>
      <c r="AQ211" s="500">
        <f>SUM(AQ212:AQ214)</f>
        <v>0</v>
      </c>
      <c r="AR211" s="500">
        <f>SUM(AR212:AR214)</f>
        <v>0</v>
      </c>
      <c r="AS211" s="500">
        <f>SUM(AS212:AS214)</f>
        <v>0</v>
      </c>
      <c r="AT211" s="500">
        <f>SUM(AT212:AT214)</f>
        <v>0</v>
      </c>
      <c r="AU211" s="500">
        <f>SUM(AU212:AU214)</f>
        <v>0</v>
      </c>
      <c r="AV211" s="500">
        <f>SUM(AV212:AV214)</f>
        <v>0</v>
      </c>
      <c r="AW211" s="500">
        <f>SUM(AW212:AW214)</f>
        <v>0</v>
      </c>
      <c r="AX211" s="500">
        <f>SUM(AX212:AX214)</f>
        <v>0</v>
      </c>
      <c r="AY211" s="500">
        <f>SUM(AY212:AY214)</f>
        <v>0</v>
      </c>
      <c r="AZ211" s="500">
        <f>SUM(AZ212:AZ214)</f>
        <v>0</v>
      </c>
      <c r="BA211" s="500">
        <f>SUM(BA212:BA214)</f>
        <v>0</v>
      </c>
      <c r="BB211" s="500">
        <f>SUM(BB212:BB214)</f>
        <v>0</v>
      </c>
      <c r="BC211" s="500">
        <f>SUM(BC212:BC214)</f>
        <v>0</v>
      </c>
      <c r="BD211" s="500">
        <f>SUM(BD212:BD214)</f>
        <v>0</v>
      </c>
      <c r="BE211" s="500">
        <f>SUM(BE212:BE214)</f>
        <v>0</v>
      </c>
      <c r="BF211" s="500">
        <f>SUM(BF212:BF214)</f>
        <v>0</v>
      </c>
      <c r="BG211" s="500">
        <f>SUM(BG212:BG214)</f>
        <v>0</v>
      </c>
      <c r="BH211" s="500">
        <f>SUM(BH212:BH214)</f>
        <v>0</v>
      </c>
      <c r="BI211" s="500">
        <f>SUM(BI212:BI214)</f>
        <v>0</v>
      </c>
      <c r="BJ211" s="500">
        <f>SUM(BJ212:BJ214)</f>
        <v>0</v>
      </c>
      <c r="BK211" s="500">
        <f>SUM(BK212:BK214)</f>
        <v>0</v>
      </c>
      <c r="BL211" s="500">
        <f>SUM(BL212:BL214)</f>
        <v>0</v>
      </c>
      <c r="BM211" s="500">
        <f>SUM(BM212:BM214)</f>
        <v>0</v>
      </c>
      <c r="BN211" s="500">
        <f>SUM(BN212:BN214)</f>
        <v>0</v>
      </c>
      <c r="BO211" s="500">
        <f>SUM(BO212:BO214)</f>
        <v>0</v>
      </c>
      <c r="BP211" s="500">
        <f>SUM(BP212:BP214)</f>
        <v>0</v>
      </c>
      <c r="BQ211" s="500">
        <f>SUM(BQ212:BQ214)</f>
        <v>0</v>
      </c>
      <c r="BR211" s="500">
        <f>SUM(BR212:BR214)</f>
        <v>0</v>
      </c>
      <c r="BS211" s="500">
        <f>SUM(BS212:BS214)</f>
        <v>0</v>
      </c>
      <c r="BT211" s="500">
        <f>SUM(BT212:BT214)</f>
        <v>0</v>
      </c>
      <c r="BU211" s="500">
        <f>SUM(BU212:BU214)</f>
        <v>0</v>
      </c>
      <c r="BV211" s="500">
        <f>SUM(BV212:BV214)</f>
        <v>0</v>
      </c>
      <c r="BW211" s="500">
        <f>SUM(BW212:BW214)</f>
        <v>0</v>
      </c>
      <c r="BX211" s="500">
        <f>SUM(BX212:BX214)</f>
        <v>0</v>
      </c>
      <c r="BY211" s="500">
        <f>SUM(BY212:BY214)</f>
        <v>0</v>
      </c>
      <c r="BZ211" s="500">
        <f>SUM(BZ212:BZ214)</f>
        <v>0</v>
      </c>
      <c r="CA211" s="500">
        <f>SUM(CA212:CA214)</f>
        <v>0</v>
      </c>
      <c r="CB211" s="500">
        <f>SUM(CB212:CB214)</f>
        <v>0</v>
      </c>
      <c r="CC211" s="500">
        <f>SUM(CC212:CC214)</f>
        <v>0</v>
      </c>
      <c r="CD211" s="500">
        <f>SUM(CD212:CD214)</f>
        <v>0</v>
      </c>
      <c r="CE211" s="500">
        <f>SUM(CE212:CE214)</f>
        <v>0</v>
      </c>
      <c r="CF211" s="500">
        <f>SUM(CF212:CF214)</f>
        <v>0</v>
      </c>
      <c r="CG211" s="500">
        <f>SUM(CG212:CG214)</f>
        <v>0</v>
      </c>
      <c r="CH211" s="500">
        <f>SUM(CH212:CH214)</f>
        <v>0</v>
      </c>
      <c r="CI211" s="500">
        <f>SUM(CI212:CI214)</f>
        <v>0</v>
      </c>
      <c r="CJ211" s="500">
        <f>SUM(CJ212:CJ214)</f>
        <v>0</v>
      </c>
      <c r="CK211" s="500">
        <f>SUM(CK212:CK214)</f>
        <v>0</v>
      </c>
      <c r="CL211" s="500">
        <f>SUM(CL212:CL214)</f>
        <v>0</v>
      </c>
      <c r="CM211" s="500">
        <f>SUM(CM212:CM214)</f>
        <v>0</v>
      </c>
      <c r="CN211" s="500">
        <f>SUM(CN212:CN214)</f>
        <v>0</v>
      </c>
      <c r="CO211" s="500">
        <f>SUM(CO212:CO214)</f>
        <v>0</v>
      </c>
      <c r="CP211" s="500">
        <f>SUM(CP212:CP214)</f>
        <v>0</v>
      </c>
      <c r="CQ211" s="500">
        <f>SUM(CQ212:CQ214)</f>
        <v>0</v>
      </c>
      <c r="CR211" s="500">
        <f>SUM(CR212:CR214)</f>
        <v>0</v>
      </c>
      <c r="CS211" s="500">
        <f>SUM(CS212:CS214)</f>
        <v>0</v>
      </c>
      <c r="CT211" s="500">
        <f>SUM(CT212:CT214)</f>
        <v>0</v>
      </c>
      <c r="CU211" s="500">
        <f>SUM(CU212:CU214)</f>
        <v>0</v>
      </c>
      <c r="CV211" s="500">
        <f>SUM(CV212:CV214)</f>
        <v>0</v>
      </c>
      <c r="CW211" s="500">
        <f>SUM(CW212:CW214)</f>
        <v>0</v>
      </c>
      <c r="CX211" s="500">
        <f>SUM(CX212:CX214)</f>
        <v>0</v>
      </c>
      <c r="CY211" s="500">
        <f>SUM(CY212:CY214)</f>
        <v>0</v>
      </c>
      <c r="CZ211" s="500">
        <f>SUM(CZ212:CZ214)</f>
        <v>0</v>
      </c>
      <c r="DA211" s="500">
        <f>SUM(DA212:DA214)</f>
        <v>0</v>
      </c>
      <c r="DB211" s="500">
        <f>SUM(DB212:DB214)</f>
        <v>0</v>
      </c>
      <c r="DC211" s="500">
        <f>SUM(DC212:DC214)</f>
        <v>0</v>
      </c>
      <c r="DD211" s="500">
        <f>SUM(DD212:DD214)</f>
        <v>0</v>
      </c>
      <c r="DE211" s="500">
        <f>SUM(DE212:DE214)</f>
        <v>0</v>
      </c>
      <c r="DF211" s="500">
        <f>SUM(DF212:DF214)</f>
        <v>0</v>
      </c>
      <c r="DG211" s="500">
        <f>SUM(DG212:DG214)</f>
        <v>0</v>
      </c>
      <c r="DH211" s="500">
        <f>SUM(DH212:DH214)</f>
        <v>0</v>
      </c>
      <c r="DI211" s="500">
        <f>SUM(DI212:DI214)</f>
        <v>0</v>
      </c>
      <c r="DJ211" s="500">
        <f>SUM(DJ212:DJ214)</f>
        <v>0</v>
      </c>
      <c r="DK211" s="500">
        <f>SUM(DK212:DK214)</f>
        <v>0</v>
      </c>
      <c r="DL211" s="500">
        <f>SUM(DL212:DL214)</f>
        <v>0</v>
      </c>
      <c r="DM211" s="500">
        <f>SUM(DM212:DM214)</f>
        <v>0</v>
      </c>
      <c r="DN211" s="500">
        <f>SUM(DN212:DN214)</f>
        <v>0</v>
      </c>
      <c r="DO211" s="500">
        <f>SUM(DO212:DO214)</f>
        <v>0</v>
      </c>
      <c r="DP211" s="500">
        <f>SUM(DP212:DP214)</f>
        <v>0</v>
      </c>
      <c r="DQ211" s="500">
        <f>SUM(DQ212:DQ214)</f>
        <v>0</v>
      </c>
      <c r="DR211" s="500">
        <f>SUM(DR212:DR214)</f>
        <v>0</v>
      </c>
      <c r="DS211" s="500">
        <f>SUM(DS212:DS214)</f>
        <v>0</v>
      </c>
      <c r="DT211" s="500">
        <f>SUM(DT212:DT214)</f>
        <v>0</v>
      </c>
      <c r="DU211" s="500">
        <f>SUM(DU212:DU214)</f>
        <v>0</v>
      </c>
      <c r="DV211" s="500">
        <f>SUM(DV212:DV214)</f>
        <v>0</v>
      </c>
      <c r="DW211" s="500">
        <f>SUM(DW212:DW214)</f>
        <v>0</v>
      </c>
      <c r="DX211" s="500">
        <f>SUM(DX212:DX214)</f>
        <v>0</v>
      </c>
      <c r="DY211" s="500">
        <f>SUM(DY212:DY214)</f>
        <v>0</v>
      </c>
      <c r="DZ211" s="500">
        <f>SUM(DZ212:DZ214)</f>
        <v>0</v>
      </c>
      <c r="EA211" s="500">
        <f>SUM(EA212:EA214)</f>
        <v>0</v>
      </c>
      <c r="EB211" s="500">
        <f>SUM(EB212:EB214)</f>
        <v>0</v>
      </c>
      <c r="EC211" s="500">
        <f>SUM(EC212:EC214)</f>
        <v>0</v>
      </c>
      <c r="ED211" s="500">
        <f>SUM(ED212:ED214)</f>
        <v>0</v>
      </c>
      <c r="EE211" s="500">
        <f>SUM(EE212:EE214)</f>
        <v>0</v>
      </c>
      <c r="EF211" s="500">
        <f>SUM(EF212:EF214)</f>
        <v>0</v>
      </c>
      <c r="EG211" s="500">
        <f>SUM(EG212:EG214)</f>
        <v>0</v>
      </c>
      <c r="EH211" s="500">
        <f>SUM(EH212:EH214)</f>
        <v>0</v>
      </c>
      <c r="EI211" s="500">
        <f>SUM(EI212:EI214)</f>
        <v>0</v>
      </c>
      <c r="EJ211" s="500">
        <f>SUM(EJ212:EJ214)</f>
        <v>0</v>
      </c>
      <c r="EK211" s="500">
        <f>SUM(EK212:EK214)</f>
        <v>0</v>
      </c>
      <c r="EL211" s="500">
        <f>SUM(EL212:EL214)</f>
        <v>0</v>
      </c>
      <c r="EM211" s="500">
        <f>SUM(EM212:EM214)</f>
        <v>0</v>
      </c>
      <c r="EN211" s="500">
        <f>SUM(EN212:EN214)</f>
        <v>0</v>
      </c>
      <c r="EO211" s="500">
        <f>SUM(EO212:EO214)</f>
        <v>0</v>
      </c>
      <c r="EP211" s="500">
        <f>SUM(EP212:EP214)</f>
        <v>0</v>
      </c>
      <c r="EQ211" s="500">
        <f>SUM(EQ212:EQ214)</f>
        <v>0</v>
      </c>
      <c r="ER211" s="500">
        <f>SUM(ER212:ER214)</f>
        <v>0</v>
      </c>
      <c r="ES211" s="500">
        <f>SUM(ES212:ES214)</f>
        <v>0</v>
      </c>
      <c r="ET211" s="500">
        <f>SUM(ET212:ET214)</f>
        <v>0</v>
      </c>
      <c r="EU211" s="500">
        <f>SUM(EU212:EU214)</f>
        <v>0</v>
      </c>
      <c r="EV211" s="500">
        <f>SUM(EV212:EV214)</f>
        <v>0</v>
      </c>
      <c r="EW211" s="500">
        <f>SUM(EW212:EW214)</f>
        <v>0</v>
      </c>
      <c r="EX211" s="500">
        <f>SUM(EX212:EX214)</f>
        <v>0</v>
      </c>
      <c r="EY211" s="500">
        <f>SUM(EY212:EY214)</f>
        <v>0</v>
      </c>
      <c r="EZ211" s="500">
        <f>SUM(EZ212:EZ214)</f>
        <v>0</v>
      </c>
      <c r="FA211" s="500">
        <f>SUM(FA212:FA214)</f>
        <v>0</v>
      </c>
      <c r="FB211" s="83"/>
      <c r="FC211" s="1751"/>
      <c r="FD211" s="1506"/>
      <c r="FE211" s="489" t="s">
        <v>943</v>
      </c>
      <c r="FF211" s="648"/>
      <c r="FG211" s="648"/>
      <c r="FH211" s="648"/>
      <c r="FI211" s="649"/>
      <c r="FJ211" s="649"/>
      <c r="FK211" s="1157" cm="1" t="str">
        <f t="array" ref="FK211:FK211">OFFSET(FJ211,-1,1)</f>
        <v>ТЭ.42.31656254.0001</v>
      </c>
      <c r="FL211" s="1078"/>
      <c r="FM211" s="1078" t="s">
        <v>824</v>
      </c>
      <c r="FN211" s="1159"/>
      <c r="FO211" s="1159"/>
      <c r="FP211" s="1159"/>
      <c r="FQ211" s="1159"/>
      <c r="FR211" s="1078" t="s">
        <v>561</v>
      </c>
      <c r="FS211" s="1159"/>
      <c r="FT211" s="1078" t="s">
        <v>929</v>
      </c>
      <c r="FU211" s="1159"/>
      <c r="FV211" s="1159"/>
      <c r="FW211" s="1159"/>
      <c r="FX211" s="1078" t="s">
        <v>303</v>
      </c>
      <c r="FY211" s="1078" t="s">
        <v>919</v>
      </c>
      <c r="FZ211" s="1078" t="s">
        <v>920</v>
      </c>
    </row>
    <row s="1751" customFormat="1" customHeight="1" ht="16.5" hidden="1">
      <c r="E212" s="180">
        <v>17</v>
      </c>
      <c r="F212" s="175" cm="1" t="str">
        <f t="array" ref="F212:F212">OFFSET(G212,-1,-1)</f>
        <v>1</v>
      </c>
      <c r="L212" s="175" cm="1" t="str">
        <f t="array" ref="L212:L212">OFFSET(M212,-1,-1)</f>
        <v>false</v>
      </c>
      <c r="R212" s="175" t="s">
        <v>804</v>
      </c>
      <c r="S212" s="175" cm="1" t="str">
        <f t="array" ref="S212:S212">OFFSET(T212,-1,-1)</f>
        <v>true</v>
      </c>
      <c r="T212" s="175">
        <f>AND(L212,AD212&lt;&gt;"29.0")</f>
        <v>0</v>
      </c>
      <c r="U212" s="753">
        <f>AND(S212,IF(ISBLANK(T212),TRUE,T212))</f>
        <v>0</v>
      </c>
      <c r="X212" s="175" t="s">
        <v>189</v>
      </c>
      <c r="AB212" s="1613"/>
      <c r="AD212" s="491" t="s">
        <v>944</v>
      </c>
      <c r="AE212" s="514"/>
      <c r="AF212" s="515"/>
      <c r="AG212" s="470" t="s">
        <v>917</v>
      </c>
      <c r="AH212" s="88">
        <f>AH$163*AH208</f>
        <v>0</v>
      </c>
      <c r="AI212" s="89">
        <f>AI$163*AI208</f>
        <v>0</v>
      </c>
      <c r="AJ212" s="89">
        <f>AJ$163*AJ208</f>
        <v>0</v>
      </c>
      <c r="AK212" s="89">
        <f>AK$163*AK208</f>
        <v>0</v>
      </c>
      <c r="AL212" s="499">
        <f>AM212+AN212</f>
        <v>0</v>
      </c>
      <c r="AM212" s="89">
        <f>AM$163*AM208</f>
        <v>0</v>
      </c>
      <c r="AN212" s="89">
        <f>AN$163*AN208</f>
        <v>0</v>
      </c>
      <c r="AO212" s="499">
        <f>AP212+AQ212</f>
        <v>0</v>
      </c>
      <c r="AP212" s="89">
        <f>AP$163*AP208</f>
        <v>0</v>
      </c>
      <c r="AQ212" s="89">
        <f>AQ$163*AQ208</f>
        <v>0</v>
      </c>
      <c r="AR212" s="499">
        <f>AS212+AT212</f>
        <v>0</v>
      </c>
      <c r="AS212" s="89">
        <f>AS$163*AS208</f>
        <v>0</v>
      </c>
      <c r="AT212" s="89">
        <f>AT$163*AT208</f>
        <v>0</v>
      </c>
      <c r="AU212" s="499">
        <f>AV212+AW212</f>
        <v>0</v>
      </c>
      <c r="AV212" s="89">
        <f>AV$163*AV208</f>
        <v>0</v>
      </c>
      <c r="AW212" s="89">
        <f>AW$163*AW208</f>
        <v>0</v>
      </c>
      <c r="AX212" s="499">
        <f>AY212+AZ212</f>
        <v>0</v>
      </c>
      <c r="AY212" s="89">
        <f>AY$163*AY208</f>
        <v>0</v>
      </c>
      <c r="AZ212" s="89">
        <f>AZ$163*AZ208</f>
        <v>0</v>
      </c>
      <c r="BA212" s="499">
        <f>BB212+BC212</f>
        <v>0</v>
      </c>
      <c r="BB212" s="89">
        <f>BB$163*BB208</f>
        <v>0</v>
      </c>
      <c r="BC212" s="89">
        <f>BC$163*BC208</f>
        <v>0</v>
      </c>
      <c r="BD212" s="499">
        <f>BE212+BF212</f>
        <v>0</v>
      </c>
      <c r="BE212" s="89">
        <f>BE$163*BE208</f>
        <v>0</v>
      </c>
      <c r="BF212" s="89">
        <f>BF$163*BF208</f>
        <v>0</v>
      </c>
      <c r="BG212" s="499">
        <f>BH212+BI212</f>
        <v>0</v>
      </c>
      <c r="BH212" s="89">
        <f>BH$163*BH208</f>
        <v>0</v>
      </c>
      <c r="BI212" s="89">
        <f>BI$163*BI208</f>
        <v>0</v>
      </c>
      <c r="BJ212" s="499">
        <f>BK212+BL212</f>
        <v>0</v>
      </c>
      <c r="BK212" s="89">
        <f>BK$163*BK208</f>
        <v>0</v>
      </c>
      <c r="BL212" s="89">
        <f>BL$163*BL208</f>
        <v>0</v>
      </c>
      <c r="BM212" s="499">
        <f>BN212+BO212</f>
        <v>0</v>
      </c>
      <c r="BN212" s="89">
        <f>BN$163*BN208</f>
        <v>0</v>
      </c>
      <c r="BO212" s="89">
        <f>BO$163*BO208</f>
        <v>0</v>
      </c>
      <c r="BP212" s="499">
        <f>BQ212+BR212</f>
        <v>0</v>
      </c>
      <c r="BQ212" s="89">
        <f>BQ$163*BQ208</f>
        <v>0</v>
      </c>
      <c r="BR212" s="89">
        <f>BR$163*BR208</f>
        <v>0</v>
      </c>
      <c r="BS212" s="499">
        <f>BT212+BU212</f>
        <v>0</v>
      </c>
      <c r="BT212" s="89">
        <f>BT$163*BT208</f>
        <v>0</v>
      </c>
      <c r="BU212" s="89">
        <f>BU$163*BU208</f>
        <v>0</v>
      </c>
      <c r="BV212" s="499">
        <f>BW212+BX212</f>
        <v>0</v>
      </c>
      <c r="BW212" s="89">
        <f>BW$163*BW208</f>
        <v>0</v>
      </c>
      <c r="BX212" s="89">
        <f>BX$163*BX208</f>
        <v>0</v>
      </c>
      <c r="BY212" s="499">
        <f>BZ212+CA212</f>
        <v>0</v>
      </c>
      <c r="BZ212" s="89">
        <f>BZ$163*BZ208</f>
        <v>0</v>
      </c>
      <c r="CA212" s="89">
        <f>CA$163*CA208</f>
        <v>0</v>
      </c>
      <c r="CB212" s="499">
        <f>CC212+CD212</f>
        <v>0</v>
      </c>
      <c r="CC212" s="89">
        <f>CC$163*CC208</f>
        <v>0</v>
      </c>
      <c r="CD212" s="89">
        <f>CD$163*CD208</f>
        <v>0</v>
      </c>
      <c r="CE212" s="499">
        <f>CF212+CG212</f>
        <v>0</v>
      </c>
      <c r="CF212" s="89">
        <f>CF$163*CF208</f>
        <v>0</v>
      </c>
      <c r="CG212" s="89">
        <f>CG$163*CG208</f>
        <v>0</v>
      </c>
      <c r="CH212" s="499">
        <f>CI212+CJ212</f>
        <v>0</v>
      </c>
      <c r="CI212" s="89">
        <f>CI$163*CI208</f>
        <v>0</v>
      </c>
      <c r="CJ212" s="89">
        <f>CJ$163*CJ208</f>
        <v>0</v>
      </c>
      <c r="CK212" s="499">
        <f>CL212+CM212</f>
        <v>0</v>
      </c>
      <c r="CL212" s="89">
        <f>CL$163*CL208</f>
        <v>0</v>
      </c>
      <c r="CM212" s="89">
        <f>CM$163*CM208</f>
        <v>0</v>
      </c>
      <c r="CN212" s="499">
        <f>CO212+CP212</f>
        <v>0</v>
      </c>
      <c r="CO212" s="89">
        <f>CO$163*CO208</f>
        <v>0</v>
      </c>
      <c r="CP212" s="89">
        <f>CP$163*CP208</f>
        <v>0</v>
      </c>
      <c r="CQ212" s="499">
        <f>CR212+CS212</f>
        <v>0</v>
      </c>
      <c r="CR212" s="89">
        <f>CR$163*CR208</f>
        <v>0</v>
      </c>
      <c r="CS212" s="89">
        <f>CS$163*CS208</f>
        <v>0</v>
      </c>
      <c r="CT212" s="499">
        <f>CU212+CV212</f>
        <v>0</v>
      </c>
      <c r="CU212" s="498">
        <f>CU$163*CU208</f>
        <v>0</v>
      </c>
      <c r="CV212" s="498">
        <f>CV$163*CV208</f>
        <v>0</v>
      </c>
      <c r="CW212" s="499">
        <f>CX212+CY212</f>
        <v>0</v>
      </c>
      <c r="CX212" s="89">
        <f>CX$163*CX208</f>
        <v>0</v>
      </c>
      <c r="CY212" s="89">
        <f>CY$163*CY208</f>
        <v>0</v>
      </c>
      <c r="CZ212" s="499">
        <f>DA212+DB212</f>
        <v>0</v>
      </c>
      <c r="DA212" s="89">
        <f>DA$163*DA208</f>
        <v>0</v>
      </c>
      <c r="DB212" s="89">
        <f>DB$163*DB208</f>
        <v>0</v>
      </c>
      <c r="DC212" s="499">
        <f>DD212+DE212</f>
        <v>0</v>
      </c>
      <c r="DD212" s="89">
        <f>DD$163*DD208</f>
        <v>0</v>
      </c>
      <c r="DE212" s="89">
        <f>DE$163*DE208</f>
        <v>0</v>
      </c>
      <c r="DF212" s="499">
        <f>DG212+DH212</f>
        <v>0</v>
      </c>
      <c r="DG212" s="89">
        <f>DG$163*DG208</f>
        <v>0</v>
      </c>
      <c r="DH212" s="89">
        <f>DH$163*DH208</f>
        <v>0</v>
      </c>
      <c r="DI212" s="499">
        <f>DJ212+DK212</f>
        <v>0</v>
      </c>
      <c r="DJ212" s="89">
        <f>DJ$163*DJ208</f>
        <v>0</v>
      </c>
      <c r="DK212" s="89">
        <f>DK$163*DK208</f>
        <v>0</v>
      </c>
      <c r="DL212" s="499">
        <f>DM212+DN212</f>
        <v>0</v>
      </c>
      <c r="DM212" s="89">
        <f>DM$163*DM208</f>
        <v>0</v>
      </c>
      <c r="DN212" s="89">
        <f>DN$163*DN208</f>
        <v>0</v>
      </c>
      <c r="DO212" s="499">
        <f>DP212+DQ212</f>
        <v>0</v>
      </c>
      <c r="DP212" s="89">
        <f>DP$163*DP208</f>
        <v>0</v>
      </c>
      <c r="DQ212" s="89">
        <f>DQ$163*DQ208</f>
        <v>0</v>
      </c>
      <c r="DR212" s="499">
        <f>DS212+DT212</f>
        <v>0</v>
      </c>
      <c r="DS212" s="89">
        <f>DS$163*DS208</f>
        <v>0</v>
      </c>
      <c r="DT212" s="89">
        <f>DT$163*DT208</f>
        <v>0</v>
      </c>
      <c r="DU212" s="499">
        <f>DV212+DW212</f>
        <v>0</v>
      </c>
      <c r="DV212" s="89">
        <f>DV$163*DV208</f>
        <v>0</v>
      </c>
      <c r="DW212" s="89">
        <f>DW$163*DW208</f>
        <v>0</v>
      </c>
      <c r="DX212" s="499">
        <f>DY212+DZ212</f>
        <v>0</v>
      </c>
      <c r="DY212" s="89">
        <f>DY$163*DY208</f>
        <v>0</v>
      </c>
      <c r="DZ212" s="89">
        <f>DZ$163*DZ208</f>
        <v>0</v>
      </c>
      <c r="EA212" s="499">
        <f>EB212+EC212</f>
        <v>0</v>
      </c>
      <c r="EB212" s="89">
        <f>EB$163*EB208</f>
        <v>0</v>
      </c>
      <c r="EC212" s="89">
        <f>EC$163*EC208</f>
        <v>0</v>
      </c>
      <c r="ED212" s="499">
        <f>EE212+EF212</f>
        <v>0</v>
      </c>
      <c r="EE212" s="89">
        <f>EE$163*EE208</f>
        <v>0</v>
      </c>
      <c r="EF212" s="89">
        <f>EF$163*EF208</f>
        <v>0</v>
      </c>
      <c r="EG212" s="499">
        <f>EH212+EI212</f>
        <v>0</v>
      </c>
      <c r="EH212" s="89">
        <f>EH$163*EH208</f>
        <v>0</v>
      </c>
      <c r="EI212" s="89">
        <f>EI$163*EI208</f>
        <v>0</v>
      </c>
      <c r="EJ212" s="499">
        <f>EK212+EL212</f>
        <v>0</v>
      </c>
      <c r="EK212" s="89">
        <f>EK$163*EK208</f>
        <v>0</v>
      </c>
      <c r="EL212" s="89">
        <f>EL$163*EL208</f>
        <v>0</v>
      </c>
      <c r="EM212" s="499">
        <f>EN212+EO212</f>
        <v>0</v>
      </c>
      <c r="EN212" s="89">
        <f>EN$163*EN208</f>
        <v>0</v>
      </c>
      <c r="EO212" s="89">
        <f>EO$163*EO208</f>
        <v>0</v>
      </c>
      <c r="EP212" s="499">
        <f>EQ212+ER212</f>
        <v>0</v>
      </c>
      <c r="EQ212" s="89">
        <f>EQ$163*EQ208</f>
        <v>0</v>
      </c>
      <c r="ER212" s="89">
        <f>ER$163*ER208</f>
        <v>0</v>
      </c>
      <c r="ES212" s="499">
        <f>ET212+EU212</f>
        <v>0</v>
      </c>
      <c r="ET212" s="89">
        <f>ET$163*ET208</f>
        <v>0</v>
      </c>
      <c r="EU212" s="89">
        <f>EU$163*EU208</f>
        <v>0</v>
      </c>
      <c r="EV212" s="499">
        <f>EW212+EX212</f>
        <v>0</v>
      </c>
      <c r="EW212" s="89">
        <f>EW$163*EW208</f>
        <v>0</v>
      </c>
      <c r="EX212" s="89">
        <f>EX$163*EX208</f>
        <v>0</v>
      </c>
      <c r="EY212" s="499">
        <f>EZ212+FA212</f>
        <v>0</v>
      </c>
      <c r="EZ212" s="89">
        <f>EZ$163*EZ208</f>
        <v>0</v>
      </c>
      <c r="FA212" s="89">
        <f>FA$163*FA208</f>
        <v>0</v>
      </c>
      <c r="FB212" s="83"/>
      <c r="FE212" s="489" t="s">
        <v>943</v>
      </c>
      <c r="FF212" s="648" t="s">
        <v>890</v>
      </c>
      <c r="FG212" s="648" cm="1" t="str">
        <f t="array" ref="FG212:FG212">AE212</f>
        <v>0</v>
      </c>
      <c r="FH212" s="648" cm="1" t="str">
        <f t="array" ref="FH212:FH212">AF212</f>
        <v>0</v>
      </c>
      <c r="FI212" s="649"/>
      <c r="FJ212" s="649"/>
      <c r="FK212" s="1157" cm="1" t="str">
        <f t="array" ref="FK212:FK212">OFFSET(FJ212,-1,1)</f>
        <v>ТЭ.42.31656254.0001</v>
      </c>
      <c r="FL212" s="1159"/>
      <c r="FM212" s="1159" t="s">
        <v>824</v>
      </c>
      <c r="FN212" s="1159"/>
      <c r="FO212" s="1159"/>
      <c r="FP212" s="1159"/>
      <c r="FQ212" s="1159"/>
      <c r="FR212" s="1159" t="s">
        <v>561</v>
      </c>
      <c r="FS212" s="1159"/>
      <c r="FT212" s="1159" t="s">
        <v>929</v>
      </c>
      <c r="FU212" s="1159"/>
      <c r="FV212" s="1159"/>
      <c r="FW212" s="1078" t="str">
        <f>$AE212&amp;"|"&amp;$AF212</f>
        <v>|</v>
      </c>
      <c r="FX212" s="1159" t="s">
        <v>303</v>
      </c>
      <c r="FY212" s="1159" t="s">
        <v>919</v>
      </c>
      <c r="FZ212" s="1159" t="s">
        <v>920</v>
      </c>
    </row>
    <row s="1751" customFormat="1" customHeight="1" ht="16.5" hidden="1">
      <c r="A213" s="1751"/>
      <c r="B213" s="1751"/>
      <c r="C213" s="1751"/>
      <c r="D213" s="1751"/>
      <c r="E213" s="180">
        <v>17</v>
      </c>
      <c r="F213" s="175" cm="1" t="str">
        <f t="array" ref="F213:F213">OFFSET(G213,-1,-1)</f>
        <v>1</v>
      </c>
      <c r="G213" s="1751"/>
      <c r="H213" s="1751"/>
      <c r="I213" s="1751"/>
      <c r="J213" s="1751"/>
      <c r="K213" s="1751"/>
      <c r="L213" s="175" cm="1" t="str">
        <f t="array" ref="L213:L213">OFFSET(M213,-1,-1)</f>
        <v>false</v>
      </c>
      <c r="M213" s="1751"/>
      <c r="N213" s="1751"/>
      <c r="O213" s="1751"/>
      <c r="P213" s="1751"/>
      <c r="Q213" s="1751"/>
      <c r="R213" s="175" t="s">
        <v>804</v>
      </c>
      <c r="S213" s="175" cm="1" t="str">
        <f t="array" ref="S213:S213">OFFSET(T213,-1,-1)</f>
        <v>true</v>
      </c>
      <c r="T213" s="175">
        <f>AND(L213,AD213&lt;&gt;"29.0")</f>
        <v>0</v>
      </c>
      <c r="U213" s="753">
        <f>AND(S213,IF(ISBLANK(T213),TRUE,T213))</f>
        <v>0</v>
      </c>
      <c r="V213" s="1751"/>
      <c r="W213" s="1751"/>
      <c r="X213" s="175" t="str">
        <f>'Топливо 4.4'!$AE$209&amp;'Топливо 4.4'!$AF$209</f>
        <v>Уголь длиннопламенный</v>
      </c>
      <c r="Y213" s="1751"/>
      <c r="Z213" s="1751"/>
      <c r="AA213" s="1751"/>
      <c r="AB213" s="1613"/>
      <c r="AC213" s="1751"/>
      <c r="AD213" s="491" t="s">
        <v>1021</v>
      </c>
      <c r="AE213" s="514" cm="1" t="str">
        <f t="array" ref="AE213:AE213">IF(ISBLANK('Топливо 4.4'!$AE$209),"",'Топливо 4.4'!$AE$209)</f>
        <v>Уголь длиннопламенный</v>
      </c>
      <c r="AF213" s="515" cm="1" t="str">
        <f t="array" ref="AF213:AF213">IF(ISBLANK('Топливо 4.4'!$AF$209),"",'Топливо 4.4'!$AF$209)</f>
        <v/>
      </c>
      <c r="AG213" s="470" t="s">
        <v>917</v>
      </c>
      <c r="AH213" s="88">
        <f>AH$163*AH209</f>
        <v>0</v>
      </c>
      <c r="AI213" s="89">
        <f>AI$163*AI209</f>
        <v>0</v>
      </c>
      <c r="AJ213" s="89">
        <f>AJ$163*AJ209</f>
        <v>0</v>
      </c>
      <c r="AK213" s="89">
        <f>AK$163*AK209</f>
        <v>0</v>
      </c>
      <c r="AL213" s="499">
        <f>AM213+AN213</f>
        <v>0</v>
      </c>
      <c r="AM213" s="89">
        <f>AM$163*AM209</f>
        <v>0</v>
      </c>
      <c r="AN213" s="89">
        <f>AN$163*AN209</f>
        <v>0</v>
      </c>
      <c r="AO213" s="499">
        <f>AP213+AQ213</f>
        <v>0</v>
      </c>
      <c r="AP213" s="89">
        <f>AP$163*AP209</f>
        <v>0</v>
      </c>
      <c r="AQ213" s="89">
        <f>AQ$163*AQ209</f>
        <v>0</v>
      </c>
      <c r="AR213" s="499">
        <f>AS213+AT213</f>
        <v>0</v>
      </c>
      <c r="AS213" s="89">
        <f>AS$163*AS209</f>
        <v>0</v>
      </c>
      <c r="AT213" s="89">
        <f>AT$163*AT209</f>
        <v>0</v>
      </c>
      <c r="AU213" s="499">
        <f>AV213+AW213</f>
        <v>0</v>
      </c>
      <c r="AV213" s="89">
        <f>AV$163*AV209</f>
        <v>0</v>
      </c>
      <c r="AW213" s="89">
        <f>AW$163*AW209</f>
        <v>0</v>
      </c>
      <c r="AX213" s="499">
        <f>AY213+AZ213</f>
        <v>0</v>
      </c>
      <c r="AY213" s="89">
        <f>AY$163*AY209</f>
        <v>0</v>
      </c>
      <c r="AZ213" s="89">
        <f>AZ$163*AZ209</f>
        <v>0</v>
      </c>
      <c r="BA213" s="499">
        <f>BB213+BC213</f>
        <v>0</v>
      </c>
      <c r="BB213" s="89">
        <f>BB$163*BB209</f>
        <v>0</v>
      </c>
      <c r="BC213" s="89">
        <f>BC$163*BC209</f>
        <v>0</v>
      </c>
      <c r="BD213" s="499">
        <f>BE213+BF213</f>
        <v>0</v>
      </c>
      <c r="BE213" s="89">
        <f>BE$163*BE209</f>
        <v>0</v>
      </c>
      <c r="BF213" s="89">
        <f>BF$163*BF209</f>
        <v>0</v>
      </c>
      <c r="BG213" s="499">
        <f>BH213+BI213</f>
        <v>0</v>
      </c>
      <c r="BH213" s="89">
        <f>BH$163*BH209</f>
        <v>0</v>
      </c>
      <c r="BI213" s="89">
        <f>BI$163*BI209</f>
        <v>0</v>
      </c>
      <c r="BJ213" s="499">
        <f>BK213+BL213</f>
        <v>0</v>
      </c>
      <c r="BK213" s="89">
        <f>BK$163*BK209</f>
        <v>0</v>
      </c>
      <c r="BL213" s="89">
        <f>BL$163*BL209</f>
        <v>0</v>
      </c>
      <c r="BM213" s="499">
        <f>BN213+BO213</f>
        <v>0</v>
      </c>
      <c r="BN213" s="89">
        <f>BN$163*BN209</f>
        <v>0</v>
      </c>
      <c r="BO213" s="89">
        <f>BO$163*BO209</f>
        <v>0</v>
      </c>
      <c r="BP213" s="499">
        <f>BQ213+BR213</f>
        <v>0</v>
      </c>
      <c r="BQ213" s="89">
        <f>BQ$163*BQ209</f>
        <v>0</v>
      </c>
      <c r="BR213" s="89">
        <f>BR$163*BR209</f>
        <v>0</v>
      </c>
      <c r="BS213" s="499">
        <f>BT213+BU213</f>
        <v>0</v>
      </c>
      <c r="BT213" s="89">
        <f>BT$163*BT209</f>
        <v>0</v>
      </c>
      <c r="BU213" s="89">
        <f>BU$163*BU209</f>
        <v>0</v>
      </c>
      <c r="BV213" s="499">
        <f>BW213+BX213</f>
        <v>0</v>
      </c>
      <c r="BW213" s="89">
        <f>BW$163*BW209</f>
        <v>0</v>
      </c>
      <c r="BX213" s="89">
        <f>BX$163*BX209</f>
        <v>0</v>
      </c>
      <c r="BY213" s="499">
        <f>BZ213+CA213</f>
        <v>0</v>
      </c>
      <c r="BZ213" s="89">
        <f>BZ$163*BZ209</f>
        <v>0</v>
      </c>
      <c r="CA213" s="89">
        <f>CA$163*CA209</f>
        <v>0</v>
      </c>
      <c r="CB213" s="499">
        <f>CC213+CD213</f>
        <v>0</v>
      </c>
      <c r="CC213" s="89">
        <f>CC$163*CC209</f>
        <v>0</v>
      </c>
      <c r="CD213" s="89">
        <f>CD$163*CD209</f>
        <v>0</v>
      </c>
      <c r="CE213" s="499">
        <f>CF213+CG213</f>
        <v>0</v>
      </c>
      <c r="CF213" s="89">
        <f>CF$163*CF209</f>
        <v>0</v>
      </c>
      <c r="CG213" s="89">
        <f>CG$163*CG209</f>
        <v>0</v>
      </c>
      <c r="CH213" s="499">
        <f>CI213+CJ213</f>
        <v>0</v>
      </c>
      <c r="CI213" s="89">
        <f>CI$163*CI209</f>
        <v>0</v>
      </c>
      <c r="CJ213" s="89">
        <f>CJ$163*CJ209</f>
        <v>0</v>
      </c>
      <c r="CK213" s="499">
        <f>CL213+CM213</f>
        <v>0</v>
      </c>
      <c r="CL213" s="89">
        <f>CL$163*CL209</f>
        <v>0</v>
      </c>
      <c r="CM213" s="89">
        <f>CM$163*CM209</f>
        <v>0</v>
      </c>
      <c r="CN213" s="499">
        <f>CO213+CP213</f>
        <v>0</v>
      </c>
      <c r="CO213" s="89">
        <f>CO$163*CO209</f>
        <v>0</v>
      </c>
      <c r="CP213" s="89">
        <f>CP$163*CP209</f>
        <v>0</v>
      </c>
      <c r="CQ213" s="499">
        <f>CR213+CS213</f>
        <v>0</v>
      </c>
      <c r="CR213" s="89">
        <f>CR$163*CR209</f>
        <v>0</v>
      </c>
      <c r="CS213" s="89">
        <f>CS$163*CS209</f>
        <v>0</v>
      </c>
      <c r="CT213" s="499">
        <f>CU213+CV213</f>
        <v>0</v>
      </c>
      <c r="CU213" s="498">
        <f>CU$163*CU209</f>
        <v>0</v>
      </c>
      <c r="CV213" s="498">
        <f>CV$163*CV209</f>
        <v>0</v>
      </c>
      <c r="CW213" s="499">
        <f>CX213+CY213</f>
        <v>0</v>
      </c>
      <c r="CX213" s="89">
        <f>CX$163*CX209</f>
        <v>0</v>
      </c>
      <c r="CY213" s="89">
        <f>CY$163*CY209</f>
        <v>0</v>
      </c>
      <c r="CZ213" s="499">
        <f>DA213+DB213</f>
        <v>0</v>
      </c>
      <c r="DA213" s="89">
        <f>DA$163*DA209</f>
        <v>0</v>
      </c>
      <c r="DB213" s="89">
        <f>DB$163*DB209</f>
        <v>0</v>
      </c>
      <c r="DC213" s="499">
        <f>DD213+DE213</f>
        <v>0</v>
      </c>
      <c r="DD213" s="89">
        <f>DD$163*DD209</f>
        <v>0</v>
      </c>
      <c r="DE213" s="89">
        <f>DE$163*DE209</f>
        <v>0</v>
      </c>
      <c r="DF213" s="499">
        <f>DG213+DH213</f>
        <v>0</v>
      </c>
      <c r="DG213" s="89">
        <f>DG$163*DG209</f>
        <v>0</v>
      </c>
      <c r="DH213" s="89">
        <f>DH$163*DH209</f>
        <v>0</v>
      </c>
      <c r="DI213" s="499">
        <f>DJ213+DK213</f>
        <v>0</v>
      </c>
      <c r="DJ213" s="89">
        <f>DJ$163*DJ209</f>
        <v>0</v>
      </c>
      <c r="DK213" s="89">
        <f>DK$163*DK209</f>
        <v>0</v>
      </c>
      <c r="DL213" s="499">
        <f>DM213+DN213</f>
        <v>0</v>
      </c>
      <c r="DM213" s="89">
        <f>DM$163*DM209</f>
        <v>0</v>
      </c>
      <c r="DN213" s="89">
        <f>DN$163*DN209</f>
        <v>0</v>
      </c>
      <c r="DO213" s="499">
        <f>DP213+DQ213</f>
        <v>0</v>
      </c>
      <c r="DP213" s="89">
        <f>DP$163*DP209</f>
        <v>0</v>
      </c>
      <c r="DQ213" s="89">
        <f>DQ$163*DQ209</f>
        <v>0</v>
      </c>
      <c r="DR213" s="499">
        <f>DS213+DT213</f>
        <v>0</v>
      </c>
      <c r="DS213" s="89">
        <f>DS$163*DS209</f>
        <v>0</v>
      </c>
      <c r="DT213" s="89">
        <f>DT$163*DT209</f>
        <v>0</v>
      </c>
      <c r="DU213" s="499">
        <f>DV213+DW213</f>
        <v>0</v>
      </c>
      <c r="DV213" s="89">
        <f>DV$163*DV209</f>
        <v>0</v>
      </c>
      <c r="DW213" s="89">
        <f>DW$163*DW209</f>
        <v>0</v>
      </c>
      <c r="DX213" s="499">
        <f>DY213+DZ213</f>
        <v>0</v>
      </c>
      <c r="DY213" s="89">
        <f>DY$163*DY209</f>
        <v>0</v>
      </c>
      <c r="DZ213" s="89">
        <f>DZ$163*DZ209</f>
        <v>0</v>
      </c>
      <c r="EA213" s="499">
        <f>EB213+EC213</f>
        <v>0</v>
      </c>
      <c r="EB213" s="89">
        <f>EB$163*EB209</f>
        <v>0</v>
      </c>
      <c r="EC213" s="89">
        <f>EC$163*EC209</f>
        <v>0</v>
      </c>
      <c r="ED213" s="499">
        <f>EE213+EF213</f>
        <v>0</v>
      </c>
      <c r="EE213" s="89">
        <f>EE$163*EE209</f>
        <v>0</v>
      </c>
      <c r="EF213" s="89">
        <f>EF$163*EF209</f>
        <v>0</v>
      </c>
      <c r="EG213" s="499">
        <f>EH213+EI213</f>
        <v>0</v>
      </c>
      <c r="EH213" s="89">
        <f>EH$163*EH209</f>
        <v>0</v>
      </c>
      <c r="EI213" s="89">
        <f>EI$163*EI209</f>
        <v>0</v>
      </c>
      <c r="EJ213" s="499">
        <f>EK213+EL213</f>
        <v>0</v>
      </c>
      <c r="EK213" s="89">
        <f>EK$163*EK209</f>
        <v>0</v>
      </c>
      <c r="EL213" s="89">
        <f>EL$163*EL209</f>
        <v>0</v>
      </c>
      <c r="EM213" s="499">
        <f>EN213+EO213</f>
        <v>0</v>
      </c>
      <c r="EN213" s="89">
        <f>EN$163*EN209</f>
        <v>0</v>
      </c>
      <c r="EO213" s="89">
        <f>EO$163*EO209</f>
        <v>0</v>
      </c>
      <c r="EP213" s="499">
        <f>EQ213+ER213</f>
        <v>0</v>
      </c>
      <c r="EQ213" s="89">
        <f>EQ$163*EQ209</f>
        <v>0</v>
      </c>
      <c r="ER213" s="89">
        <f>ER$163*ER209</f>
        <v>0</v>
      </c>
      <c r="ES213" s="499">
        <f>ET213+EU213</f>
        <v>0</v>
      </c>
      <c r="ET213" s="89">
        <f>ET$163*ET209</f>
        <v>0</v>
      </c>
      <c r="EU213" s="89">
        <f>EU$163*EU209</f>
        <v>0</v>
      </c>
      <c r="EV213" s="499">
        <f>EW213+EX213</f>
        <v>0</v>
      </c>
      <c r="EW213" s="89">
        <f>EW$163*EW209</f>
        <v>0</v>
      </c>
      <c r="EX213" s="89">
        <f>EX$163*EX209</f>
        <v>0</v>
      </c>
      <c r="EY213" s="499">
        <f>EZ213+FA213</f>
        <v>0</v>
      </c>
      <c r="EZ213" s="89">
        <f>EZ$163*EZ209</f>
        <v>0</v>
      </c>
      <c r="FA213" s="89">
        <f>FA$163*FA209</f>
        <v>0</v>
      </c>
      <c r="FB213" s="83"/>
      <c r="FC213" s="1751"/>
      <c r="FD213" s="1751"/>
      <c r="FE213" s="489" t="s">
        <v>943</v>
      </c>
      <c r="FF213" s="648" t="s">
        <v>890</v>
      </c>
      <c r="FG213" s="648" cm="1" t="str">
        <f t="array" ref="FG213:FG213">AE213</f>
        <v>Уголь длиннопламенный</v>
      </c>
      <c r="FH213" s="648" cm="1" t="str">
        <f t="array" ref="FH213:FH213">AF213</f>
        <v/>
      </c>
      <c r="FI213" s="649"/>
      <c r="FJ213" s="649"/>
      <c r="FK213" s="1157" cm="1" t="str">
        <f t="array" ref="FK213:FK213">OFFSET(FJ213,-1,1)</f>
        <v>ТЭ.42.31656254.0001</v>
      </c>
      <c r="FL213" s="1159"/>
      <c r="FM213" s="1159" t="s">
        <v>824</v>
      </c>
      <c r="FN213" s="1159"/>
      <c r="FO213" s="1159"/>
      <c r="FP213" s="1159"/>
      <c r="FQ213" s="1159"/>
      <c r="FR213" s="1159" t="s">
        <v>561</v>
      </c>
      <c r="FS213" s="1159"/>
      <c r="FT213" s="1159" t="s">
        <v>929</v>
      </c>
      <c r="FU213" s="1159"/>
      <c r="FV213" s="1159"/>
      <c r="FW213" s="1078" t="str">
        <f>$AE213&amp;"|"&amp;$AF213</f>
        <v>Уголь длиннопламенный|</v>
      </c>
      <c r="FX213" s="1159" t="s">
        <v>303</v>
      </c>
      <c r="FY213" s="1159" t="s">
        <v>919</v>
      </c>
      <c r="FZ213" s="1159" t="s">
        <v>920</v>
      </c>
    </row>
    <row s="1751" customFormat="1" customHeight="1" ht="15" hidden="1">
      <c r="A214" s="371"/>
      <c r="B214" s="1548"/>
      <c r="C214" s="1548"/>
      <c r="D214" s="1548"/>
      <c r="E214" s="965">
        <v>0</v>
      </c>
      <c r="F214" s="175" cm="1" t="str">
        <f t="array" ref="F214:F214">OFFSET(G214,-1,-1)</f>
        <v>1</v>
      </c>
      <c r="G214" s="1659"/>
      <c r="H214" s="1659"/>
      <c r="I214" s="1659"/>
      <c r="J214" s="1659"/>
      <c r="K214" s="1659"/>
      <c r="L214" s="175" cm="1" t="str">
        <f t="array" ref="L214:L214">OFFSET(M214,-1,-1)</f>
        <v>false</v>
      </c>
      <c r="M214" s="1659"/>
      <c r="N214" s="1659"/>
      <c r="O214" s="1659"/>
      <c r="P214" s="1659"/>
      <c r="Q214" s="1659"/>
      <c r="R214" s="1548"/>
      <c r="S214" s="175" cm="1" t="str">
        <f t="array" ref="S214:S214">OFFSET(T214,-1,-1)</f>
        <v>true</v>
      </c>
      <c r="T214" s="1548"/>
      <c r="U214" s="753">
        <f>AND(S214,IF(ISBLANK(T214),TRUE,T214))</f>
        <v>1</v>
      </c>
      <c r="V214" s="1548"/>
      <c r="W214" s="1548"/>
      <c r="X214" s="980" t="str">
        <f>"{                  
         funcDyn: 'msg1',
         blok: 'blok_2',
         wsCross: 'Топливо 4.4',
         linkFormula: 'AE-AE#AF-AF',
         levelDyn: "&amp;Y139&amp;"
}"</f>
        <v>{                  
         funcDyn: 'msg1',
         blok: 'blok_2',
         wsCross: 'Топливо 4.4',
         linkFormula: 'AE-AE#AF-AF',
         levelDyn: 1
}</v>
      </c>
      <c r="Y214" s="1548"/>
      <c r="Z214" s="1548"/>
      <c r="AA214" s="1009"/>
      <c r="AB214" s="1614"/>
      <c r="AC214" s="1751"/>
      <c r="AD214" s="517"/>
      <c r="AE214" s="518" t="s">
        <v>191</v>
      </c>
      <c r="AF214" s="519"/>
      <c r="AG214" s="470"/>
      <c r="AH214" s="524"/>
      <c r="AI214" s="525"/>
      <c r="AJ214" s="525"/>
      <c r="AK214" s="525"/>
      <c r="AL214" s="525"/>
      <c r="AM214" s="525"/>
      <c r="AN214" s="525"/>
      <c r="AO214" s="525"/>
      <c r="AP214" s="525"/>
      <c r="AQ214" s="525"/>
      <c r="AR214" s="525"/>
      <c r="AS214" s="525"/>
      <c r="AT214" s="525"/>
      <c r="AU214" s="525"/>
      <c r="AV214" s="525"/>
      <c r="AW214" s="525"/>
      <c r="AX214" s="525"/>
      <c r="AY214" s="525"/>
      <c r="AZ214" s="525"/>
      <c r="BA214" s="525"/>
      <c r="BB214" s="525"/>
      <c r="BC214" s="525"/>
      <c r="BD214" s="525"/>
      <c r="BE214" s="525"/>
      <c r="BF214" s="525"/>
      <c r="BG214" s="525"/>
      <c r="BH214" s="525"/>
      <c r="BI214" s="525"/>
      <c r="BJ214" s="525"/>
      <c r="BK214" s="525"/>
      <c r="BL214" s="525"/>
      <c r="BM214" s="525"/>
      <c r="BN214" s="525"/>
      <c r="BO214" s="525"/>
      <c r="BP214" s="525"/>
      <c r="BQ214" s="525"/>
      <c r="BR214" s="525"/>
      <c r="BS214" s="525"/>
      <c r="BT214" s="525"/>
      <c r="BU214" s="525"/>
      <c r="BV214" s="525"/>
      <c r="BW214" s="525"/>
      <c r="BX214" s="525"/>
      <c r="BY214" s="525"/>
      <c r="BZ214" s="525"/>
      <c r="CA214" s="525"/>
      <c r="CB214" s="525"/>
      <c r="CC214" s="525"/>
      <c r="CD214" s="525"/>
      <c r="CE214" s="525"/>
      <c r="CF214" s="525"/>
      <c r="CG214" s="525"/>
      <c r="CH214" s="525"/>
      <c r="CI214" s="525"/>
      <c r="CJ214" s="525"/>
      <c r="CK214" s="525"/>
      <c r="CL214" s="525"/>
      <c r="CM214" s="525"/>
      <c r="CN214" s="525"/>
      <c r="CO214" s="525"/>
      <c r="CP214" s="525"/>
      <c r="CQ214" s="525"/>
      <c r="CR214" s="525"/>
      <c r="CS214" s="525"/>
      <c r="CT214" s="525"/>
      <c r="CU214" s="525"/>
      <c r="CV214" s="525"/>
      <c r="CW214" s="525"/>
      <c r="CX214" s="525"/>
      <c r="CY214" s="525"/>
      <c r="CZ214" s="525"/>
      <c r="DA214" s="525"/>
      <c r="DB214" s="525"/>
      <c r="DC214" s="525"/>
      <c r="DD214" s="525"/>
      <c r="DE214" s="525"/>
      <c r="DF214" s="525"/>
      <c r="DG214" s="525"/>
      <c r="DH214" s="525"/>
      <c r="DI214" s="525"/>
      <c r="DJ214" s="525"/>
      <c r="DK214" s="525"/>
      <c r="DL214" s="525"/>
      <c r="DM214" s="525"/>
      <c r="DN214" s="525"/>
      <c r="DO214" s="525"/>
      <c r="DP214" s="525"/>
      <c r="DQ214" s="525"/>
      <c r="DR214" s="525"/>
      <c r="DS214" s="525"/>
      <c r="DT214" s="525"/>
      <c r="DU214" s="525"/>
      <c r="DV214" s="525"/>
      <c r="DW214" s="525"/>
      <c r="DX214" s="525"/>
      <c r="DY214" s="525"/>
      <c r="DZ214" s="525"/>
      <c r="EA214" s="525"/>
      <c r="EB214" s="525"/>
      <c r="EC214" s="525"/>
      <c r="ED214" s="525"/>
      <c r="EE214" s="525"/>
      <c r="EF214" s="525"/>
      <c r="EG214" s="525"/>
      <c r="EH214" s="525"/>
      <c r="EI214" s="525"/>
      <c r="EJ214" s="525"/>
      <c r="EK214" s="525"/>
      <c r="EL214" s="525"/>
      <c r="EM214" s="525"/>
      <c r="EN214" s="525"/>
      <c r="EO214" s="525"/>
      <c r="EP214" s="525"/>
      <c r="EQ214" s="525"/>
      <c r="ER214" s="525"/>
      <c r="ES214" s="525"/>
      <c r="ET214" s="525"/>
      <c r="EU214" s="525"/>
      <c r="EV214" s="525"/>
      <c r="EW214" s="525"/>
      <c r="EX214" s="525"/>
      <c r="EY214" s="525"/>
      <c r="EZ214" s="525"/>
      <c r="FA214" s="525"/>
      <c r="FB214" s="93"/>
      <c r="FC214" s="1751"/>
      <c r="FD214" s="1506"/>
      <c r="FE214" s="489" t="str">
        <f>IF(AND(ISNUMBER(VALUE(TRIM(SUBSTITUTE(AD214,".","")))),TRIM(SUBSTITUTE(AD214,".",""))&lt;&gt;""),"P"&amp;SUBSTITUTE(AD214,".",""),"")</f>
        <v/>
      </c>
      <c r="FF214" s="648"/>
      <c r="FG214" s="648"/>
      <c r="FH214" s="648"/>
      <c r="FI214" s="649"/>
      <c r="FJ214" s="649"/>
      <c r="FK214" s="1157" cm="1" t="str">
        <f t="array" ref="FK214:FK214">OFFSET(FJ214,-1,1)</f>
        <v>ТЭ.42.31656254.0001</v>
      </c>
      <c r="FL214" s="1159"/>
      <c r="FM214" s="1159"/>
      <c r="FN214" s="1159"/>
      <c r="FO214" s="1159"/>
      <c r="FP214" s="1159"/>
      <c r="FQ214" s="1159"/>
      <c r="FR214" s="1159"/>
      <c r="FS214" s="1159"/>
      <c r="FT214" s="1159"/>
      <c r="FU214" s="1159"/>
      <c r="FV214" s="1159"/>
      <c r="FW214" s="1159"/>
      <c r="FX214" s="1159"/>
      <c r="FY214" s="1159"/>
      <c r="FZ214" s="1159"/>
    </row>
    <row s="1751" customFormat="1" customHeight="1" ht="16.5">
      <c r="A215" s="371"/>
      <c r="B215" s="1548"/>
      <c r="C215" s="1548"/>
      <c r="D215" s="1548"/>
      <c r="E215" s="180">
        <v>17</v>
      </c>
      <c r="F215" s="175" cm="1" t="str">
        <f t="array" ref="F215:F215">OFFSET(G215,-1,-1)</f>
        <v>1</v>
      </c>
      <c r="G215" s="1659"/>
      <c r="H215" s="1659"/>
      <c r="I215" s="1659"/>
      <c r="J215" s="1659"/>
      <c r="K215" s="1659"/>
      <c r="L215" s="175" cm="1" t="str">
        <f t="array" ref="L215:L215">OFFSET(M215,-1,-1)</f>
        <v>false</v>
      </c>
      <c r="M215" s="1659"/>
      <c r="N215" s="1659"/>
      <c r="O215" s="1659"/>
      <c r="P215" s="1659"/>
      <c r="Q215" s="1659"/>
      <c r="R215" s="1548"/>
      <c r="S215" s="175" cm="1" t="str">
        <f t="array" ref="S215:S215">OFFSET(T215,-1,-1)</f>
        <v>true</v>
      </c>
      <c r="T215" s="1548"/>
      <c r="U215" s="753">
        <f>AND(S215,IF(ISBLANK(T215),TRUE,T215))</f>
        <v>1</v>
      </c>
      <c r="V215" s="1548"/>
      <c r="W215" s="1548"/>
      <c r="X215" s="1548"/>
      <c r="Y215" s="1548"/>
      <c r="Z215" s="1548"/>
      <c r="AA215" s="1009"/>
      <c r="AB215" s="1615" t="s">
        <v>945</v>
      </c>
      <c r="AC215" s="1751"/>
      <c r="AD215" s="327">
        <v>30</v>
      </c>
      <c r="AE215" s="1618" t="s">
        <v>946</v>
      </c>
      <c r="AF215" s="427"/>
      <c r="AG215" s="534"/>
      <c r="AH215" s="524"/>
      <c r="AI215" s="525"/>
      <c r="AJ215" s="525"/>
      <c r="AK215" s="525"/>
      <c r="AL215" s="525"/>
      <c r="AM215" s="525"/>
      <c r="AN215" s="525"/>
      <c r="AO215" s="525"/>
      <c r="AP215" s="525"/>
      <c r="AQ215" s="525"/>
      <c r="AR215" s="525"/>
      <c r="AS215" s="525"/>
      <c r="AT215" s="525"/>
      <c r="AU215" s="525"/>
      <c r="AV215" s="525"/>
      <c r="AW215" s="525"/>
      <c r="AX215" s="525"/>
      <c r="AY215" s="525"/>
      <c r="AZ215" s="525"/>
      <c r="BA215" s="525"/>
      <c r="BB215" s="525"/>
      <c r="BC215" s="525"/>
      <c r="BD215" s="525"/>
      <c r="BE215" s="525"/>
      <c r="BF215" s="525"/>
      <c r="BG215" s="525"/>
      <c r="BH215" s="525"/>
      <c r="BI215" s="525"/>
      <c r="BJ215" s="525"/>
      <c r="BK215" s="525"/>
      <c r="BL215" s="525"/>
      <c r="BM215" s="525"/>
      <c r="BN215" s="525"/>
      <c r="BO215" s="525"/>
      <c r="BP215" s="525"/>
      <c r="BQ215" s="525"/>
      <c r="BR215" s="525"/>
      <c r="BS215" s="525"/>
      <c r="BT215" s="525"/>
      <c r="BU215" s="525"/>
      <c r="BV215" s="525"/>
      <c r="BW215" s="525"/>
      <c r="BX215" s="525"/>
      <c r="BY215" s="525"/>
      <c r="BZ215" s="525"/>
      <c r="CA215" s="525"/>
      <c r="CB215" s="525"/>
      <c r="CC215" s="525"/>
      <c r="CD215" s="525"/>
      <c r="CE215" s="525"/>
      <c r="CF215" s="525"/>
      <c r="CG215" s="525"/>
      <c r="CH215" s="525"/>
      <c r="CI215" s="525"/>
      <c r="CJ215" s="525"/>
      <c r="CK215" s="525"/>
      <c r="CL215" s="525"/>
      <c r="CM215" s="525"/>
      <c r="CN215" s="525"/>
      <c r="CO215" s="525"/>
      <c r="CP215" s="525"/>
      <c r="CQ215" s="525"/>
      <c r="CR215" s="525"/>
      <c r="CS215" s="525"/>
      <c r="CT215" s="525"/>
      <c r="CU215" s="525"/>
      <c r="CV215" s="525"/>
      <c r="CW215" s="525"/>
      <c r="CX215" s="525"/>
      <c r="CY215" s="525"/>
      <c r="CZ215" s="525"/>
      <c r="DA215" s="525"/>
      <c r="DB215" s="525"/>
      <c r="DC215" s="525"/>
      <c r="DD215" s="525"/>
      <c r="DE215" s="525"/>
      <c r="DF215" s="525"/>
      <c r="DG215" s="525"/>
      <c r="DH215" s="525"/>
      <c r="DI215" s="525"/>
      <c r="DJ215" s="525"/>
      <c r="DK215" s="525"/>
      <c r="DL215" s="525"/>
      <c r="DM215" s="525"/>
      <c r="DN215" s="525"/>
      <c r="DO215" s="525"/>
      <c r="DP215" s="525"/>
      <c r="DQ215" s="525"/>
      <c r="DR215" s="525"/>
      <c r="DS215" s="525"/>
      <c r="DT215" s="525"/>
      <c r="DU215" s="525"/>
      <c r="DV215" s="525"/>
      <c r="DW215" s="525"/>
      <c r="DX215" s="525"/>
      <c r="DY215" s="525"/>
      <c r="DZ215" s="525"/>
      <c r="EA215" s="525"/>
      <c r="EB215" s="525"/>
      <c r="EC215" s="525"/>
      <c r="ED215" s="525"/>
      <c r="EE215" s="525"/>
      <c r="EF215" s="525"/>
      <c r="EG215" s="525"/>
      <c r="EH215" s="525"/>
      <c r="EI215" s="525"/>
      <c r="EJ215" s="525"/>
      <c r="EK215" s="525"/>
      <c r="EL215" s="525"/>
      <c r="EM215" s="525"/>
      <c r="EN215" s="525"/>
      <c r="EO215" s="525"/>
      <c r="EP215" s="525"/>
      <c r="EQ215" s="525"/>
      <c r="ER215" s="525"/>
      <c r="ES215" s="525"/>
      <c r="ET215" s="525"/>
      <c r="EU215" s="525"/>
      <c r="EV215" s="525"/>
      <c r="EW215" s="525"/>
      <c r="EX215" s="525"/>
      <c r="EY215" s="525"/>
      <c r="EZ215" s="525"/>
      <c r="FA215" s="525"/>
      <c r="FB215" s="1897"/>
      <c r="FC215" s="1751"/>
      <c r="FD215" s="1506"/>
      <c r="FE215" s="489" t="s">
        <v>947</v>
      </c>
      <c r="FF215" s="648"/>
      <c r="FG215" s="648"/>
      <c r="FH215" s="648"/>
      <c r="FI215" s="649"/>
      <c r="FJ215" s="649"/>
      <c r="FK215" s="1157" cm="1" t="str">
        <f t="array" ref="FK215:FK215">OFFSET(FJ215,-1,1)</f>
        <v>ТЭ.42.31656254.0001</v>
      </c>
      <c r="FL215" s="1078"/>
      <c r="FM215" s="1159"/>
      <c r="FN215" s="1159"/>
      <c r="FO215" s="1159"/>
      <c r="FP215" s="1159"/>
      <c r="FQ215" s="1159"/>
      <c r="FR215" s="1159"/>
      <c r="FS215" s="1159"/>
      <c r="FT215" s="1078" t="s">
        <v>948</v>
      </c>
      <c r="FU215" s="1159"/>
      <c r="FV215" s="1078" t="s">
        <v>219</v>
      </c>
      <c r="FW215" s="1159"/>
      <c r="FX215" s="1078"/>
      <c r="FY215" s="1078"/>
      <c r="FZ215" s="1078"/>
    </row>
    <row s="1751" customFormat="1" customHeight="1" ht="16.5" hidden="1">
      <c r="E216" s="180">
        <v>17</v>
      </c>
      <c r="F216" s="175" cm="1" t="str">
        <f t="array" ref="F216:F216">OFFSET(G216,-1,-1)</f>
        <v>1</v>
      </c>
      <c r="L216" s="175" cm="1" t="str">
        <f t="array" ref="L216:L216">OFFSET(M216,-1,-1)</f>
        <v>false</v>
      </c>
      <c r="S216" s="175" cm="1" t="str">
        <f t="array" ref="S216:S216">OFFSET(T216,-1,-1)</f>
        <v>true</v>
      </c>
      <c r="T216" s="175">
        <f>AD216&lt;&gt;"30.0"</f>
        <v>0</v>
      </c>
      <c r="U216" s="753">
        <f>AND(S216,IF(ISBLANK(T216),TRUE,T216))</f>
        <v>0</v>
      </c>
      <c r="X216" s="175" t="s">
        <v>189</v>
      </c>
      <c r="AB216" s="1616"/>
      <c r="AD216" s="491" t="s">
        <v>949</v>
      </c>
      <c r="AE216" s="514"/>
      <c r="AF216" s="515"/>
      <c r="AG216" s="470" t="s">
        <v>495</v>
      </c>
      <c r="AH216" s="92"/>
      <c r="AI216" s="96"/>
      <c r="AJ216" s="96"/>
      <c r="AK216" s="96"/>
      <c r="AL216" s="525"/>
      <c r="AM216" s="96"/>
      <c r="AN216" s="96"/>
      <c r="AO216" s="525"/>
      <c r="AP216" s="96"/>
      <c r="AQ216" s="96"/>
      <c r="AR216" s="525"/>
      <c r="AS216" s="96"/>
      <c r="AT216" s="96"/>
      <c r="AU216" s="525"/>
      <c r="AV216" s="96"/>
      <c r="AW216" s="96"/>
      <c r="AX216" s="525"/>
      <c r="AY216" s="96"/>
      <c r="AZ216" s="96"/>
      <c r="BA216" s="525"/>
      <c r="BB216" s="96"/>
      <c r="BC216" s="96"/>
      <c r="BD216" s="525"/>
      <c r="BE216" s="96"/>
      <c r="BF216" s="96"/>
      <c r="BG216" s="525"/>
      <c r="BH216" s="96"/>
      <c r="BI216" s="96"/>
      <c r="BJ216" s="525"/>
      <c r="BK216" s="96"/>
      <c r="BL216" s="96"/>
      <c r="BM216" s="525"/>
      <c r="BN216" s="96"/>
      <c r="BO216" s="96"/>
      <c r="BP216" s="525"/>
      <c r="BQ216" s="96"/>
      <c r="BR216" s="96"/>
      <c r="BS216" s="525"/>
      <c r="BT216" s="96"/>
      <c r="BU216" s="96"/>
      <c r="BV216" s="525"/>
      <c r="BW216" s="96"/>
      <c r="BX216" s="96"/>
      <c r="BY216" s="525"/>
      <c r="BZ216" s="96"/>
      <c r="CA216" s="96"/>
      <c r="CB216" s="525"/>
      <c r="CC216" s="96"/>
      <c r="CD216" s="96"/>
      <c r="CE216" s="525"/>
      <c r="CF216" s="96"/>
      <c r="CG216" s="96"/>
      <c r="CH216" s="525"/>
      <c r="CI216" s="96"/>
      <c r="CJ216" s="96"/>
      <c r="CK216" s="525"/>
      <c r="CL216" s="96"/>
      <c r="CM216" s="96"/>
      <c r="CN216" s="525"/>
      <c r="CO216" s="96"/>
      <c r="CP216" s="96"/>
      <c r="CQ216" s="525"/>
      <c r="CR216" s="96"/>
      <c r="CS216" s="96"/>
      <c r="CT216" s="525"/>
      <c r="CU216" s="535"/>
      <c r="CV216" s="535"/>
      <c r="CW216" s="525"/>
      <c r="CX216" s="96"/>
      <c r="CY216" s="96"/>
      <c r="CZ216" s="525"/>
      <c r="DA216" s="96"/>
      <c r="DB216" s="96"/>
      <c r="DC216" s="525"/>
      <c r="DD216" s="96"/>
      <c r="DE216" s="96"/>
      <c r="DF216" s="525"/>
      <c r="DG216" s="96"/>
      <c r="DH216" s="96"/>
      <c r="DI216" s="525"/>
      <c r="DJ216" s="96"/>
      <c r="DK216" s="96"/>
      <c r="DL216" s="525"/>
      <c r="DM216" s="96"/>
      <c r="DN216" s="96"/>
      <c r="DO216" s="525"/>
      <c r="DP216" s="96"/>
      <c r="DQ216" s="96"/>
      <c r="DR216" s="525"/>
      <c r="DS216" s="96"/>
      <c r="DT216" s="96"/>
      <c r="DU216" s="525"/>
      <c r="DV216" s="96"/>
      <c r="DW216" s="96"/>
      <c r="DX216" s="525"/>
      <c r="DY216" s="96"/>
      <c r="DZ216" s="96"/>
      <c r="EA216" s="525"/>
      <c r="EB216" s="96"/>
      <c r="EC216" s="96"/>
      <c r="ED216" s="525"/>
      <c r="EE216" s="96"/>
      <c r="EF216" s="96"/>
      <c r="EG216" s="525"/>
      <c r="EH216" s="96"/>
      <c r="EI216" s="96"/>
      <c r="EJ216" s="525"/>
      <c r="EK216" s="96"/>
      <c r="EL216" s="96"/>
      <c r="EM216" s="525"/>
      <c r="EN216" s="96"/>
      <c r="EO216" s="96"/>
      <c r="EP216" s="525"/>
      <c r="EQ216" s="96"/>
      <c r="ER216" s="96"/>
      <c r="ES216" s="525"/>
      <c r="ET216" s="96"/>
      <c r="EU216" s="96"/>
      <c r="EV216" s="525"/>
      <c r="EW216" s="96"/>
      <c r="EX216" s="96"/>
      <c r="EY216" s="525"/>
      <c r="EZ216" s="96"/>
      <c r="FA216" s="96"/>
      <c r="FB216" s="83"/>
      <c r="FE216" s="489" t="s">
        <v>947</v>
      </c>
      <c r="FF216" s="648" t="s">
        <v>890</v>
      </c>
      <c r="FG216" s="648" cm="1" t="str">
        <f t="array" ref="FG216:FG216">AE216</f>
        <v>0</v>
      </c>
      <c r="FH216" s="648" cm="1" t="str">
        <f t="array" ref="FH216:FH216">AF216</f>
        <v>0</v>
      </c>
      <c r="FI216" s="649"/>
      <c r="FJ216" s="649"/>
      <c r="FK216" s="1157" cm="1" t="str">
        <f t="array" ref="FK216:FK216">OFFSET(FJ216,-1,1)</f>
        <v>ТЭ.42.31656254.0001</v>
      </c>
      <c r="FL216" s="1159"/>
      <c r="FM216" s="1159"/>
      <c r="FN216" s="1159"/>
      <c r="FO216" s="1159"/>
      <c r="FP216" s="1159"/>
      <c r="FQ216" s="1159"/>
      <c r="FR216" s="1159"/>
      <c r="FS216" s="1159"/>
      <c r="FT216" s="1159" t="s">
        <v>948</v>
      </c>
      <c r="FU216" s="1159"/>
      <c r="FV216" s="1159" t="s">
        <v>219</v>
      </c>
      <c r="FW216" s="1078" t="str">
        <f>$AE216&amp;"|"&amp;$AF216</f>
        <v>|</v>
      </c>
      <c r="FX216" s="1159" t="s">
        <v>303</v>
      </c>
      <c r="FY216" s="1159" t="s">
        <v>931</v>
      </c>
      <c r="FZ216" s="1159" t="s">
        <v>932</v>
      </c>
    </row>
    <row s="1751" customFormat="1" customHeight="1" ht="16.5">
      <c r="A217" s="1751"/>
      <c r="B217" s="1751"/>
      <c r="C217" s="1751"/>
      <c r="D217" s="1751"/>
      <c r="E217" s="180">
        <v>17</v>
      </c>
      <c r="F217" s="175" cm="1" t="str">
        <f t="array" ref="F217:F217">OFFSET(G217,-1,-1)</f>
        <v>1</v>
      </c>
      <c r="G217" s="1751"/>
      <c r="H217" s="1751"/>
      <c r="I217" s="1751"/>
      <c r="J217" s="1751"/>
      <c r="K217" s="1751"/>
      <c r="L217" s="175" cm="1" t="str">
        <f t="array" ref="L217:L217">OFFSET(M217,-1,-1)</f>
        <v>false</v>
      </c>
      <c r="M217" s="1751"/>
      <c r="N217" s="1751"/>
      <c r="O217" s="1751"/>
      <c r="P217" s="1751"/>
      <c r="Q217" s="1751"/>
      <c r="R217" s="1751"/>
      <c r="S217" s="175" cm="1" t="str">
        <f t="array" ref="S217:S217">OFFSET(T217,-1,-1)</f>
        <v>true</v>
      </c>
      <c r="T217" s="175">
        <f>AD217&lt;&gt;"30.0"</f>
        <v>1</v>
      </c>
      <c r="U217" s="753">
        <f>AND(S217,IF(ISBLANK(T217),TRUE,T217))</f>
        <v>1</v>
      </c>
      <c r="V217" s="1751"/>
      <c r="W217" s="1751"/>
      <c r="X217" s="175" t="str">
        <f>'Топливо 4.4'!$AE$213&amp;'Топливо 4.4'!$AF$213</f>
        <v>Уголь длиннопламенный</v>
      </c>
      <c r="Y217" s="1751"/>
      <c r="Z217" s="1751"/>
      <c r="AA217" s="1751"/>
      <c r="AB217" s="1616"/>
      <c r="AC217" s="1751"/>
      <c r="AD217" s="491" t="s">
        <v>1022</v>
      </c>
      <c r="AE217" s="514" cm="1" t="str">
        <f t="array" ref="AE217:AE217">IF(ISBLANK('Топливо 4.4'!$AE$213),"",'Топливо 4.4'!$AE$213)</f>
        <v>Уголь длиннопламенный</v>
      </c>
      <c r="AF217" s="515" cm="1" t="str">
        <f t="array" ref="AF217:AF217">IF(ISBLANK('Топливо 4.4'!$AF$213),"",'Топливо 4.4'!$AF$213)</f>
        <v/>
      </c>
      <c r="AG217" s="470" t="s">
        <v>495</v>
      </c>
      <c r="AH217" s="2261"/>
      <c r="AI217" s="2266"/>
      <c r="AJ217" s="2266"/>
      <c r="AK217" s="2266"/>
      <c r="AL217" s="525"/>
      <c r="AM217" s="2266"/>
      <c r="AN217" s="2266"/>
      <c r="AO217" s="525"/>
      <c r="AP217" s="2266"/>
      <c r="AQ217" s="2266"/>
      <c r="AR217" s="525"/>
      <c r="AS217" s="2266"/>
      <c r="AT217" s="2266"/>
      <c r="AU217" s="525"/>
      <c r="AV217" s="2266"/>
      <c r="AW217" s="2266"/>
      <c r="AX217" s="525"/>
      <c r="AY217" s="2266"/>
      <c r="AZ217" s="2266"/>
      <c r="BA217" s="525"/>
      <c r="BB217" s="2266"/>
      <c r="BC217" s="2266"/>
      <c r="BD217" s="525"/>
      <c r="BE217" s="2266"/>
      <c r="BF217" s="2266"/>
      <c r="BG217" s="525"/>
      <c r="BH217" s="2266"/>
      <c r="BI217" s="2266"/>
      <c r="BJ217" s="525"/>
      <c r="BK217" s="2266"/>
      <c r="BL217" s="2266"/>
      <c r="BM217" s="525"/>
      <c r="BN217" s="2266"/>
      <c r="BO217" s="2266"/>
      <c r="BP217" s="525"/>
      <c r="BQ217" s="2266"/>
      <c r="BR217" s="2266"/>
      <c r="BS217" s="525"/>
      <c r="BT217" s="2266"/>
      <c r="BU217" s="2266"/>
      <c r="BV217" s="525"/>
      <c r="BW217" s="2266"/>
      <c r="BX217" s="2266"/>
      <c r="BY217" s="525"/>
      <c r="BZ217" s="2266"/>
      <c r="CA217" s="2266"/>
      <c r="CB217" s="525"/>
      <c r="CC217" s="2266"/>
      <c r="CD217" s="2266"/>
      <c r="CE217" s="525"/>
      <c r="CF217" s="2266"/>
      <c r="CG217" s="2266"/>
      <c r="CH217" s="525"/>
      <c r="CI217" s="2266"/>
      <c r="CJ217" s="2266"/>
      <c r="CK217" s="525"/>
      <c r="CL217" s="2266"/>
      <c r="CM217" s="2266"/>
      <c r="CN217" s="525"/>
      <c r="CO217" s="2266"/>
      <c r="CP217" s="2266"/>
      <c r="CQ217" s="525"/>
      <c r="CR217" s="2266"/>
      <c r="CS217" s="2266"/>
      <c r="CT217" s="525"/>
      <c r="CU217" s="535"/>
      <c r="CV217" s="535"/>
      <c r="CW217" s="525"/>
      <c r="CX217" s="2266"/>
      <c r="CY217" s="2266"/>
      <c r="CZ217" s="525"/>
      <c r="DA217" s="2266"/>
      <c r="DB217" s="2266"/>
      <c r="DC217" s="525"/>
      <c r="DD217" s="2266"/>
      <c r="DE217" s="2266"/>
      <c r="DF217" s="525"/>
      <c r="DG217" s="2266"/>
      <c r="DH217" s="2266"/>
      <c r="DI217" s="525"/>
      <c r="DJ217" s="2266"/>
      <c r="DK217" s="2266"/>
      <c r="DL217" s="525"/>
      <c r="DM217" s="2266"/>
      <c r="DN217" s="2266"/>
      <c r="DO217" s="525"/>
      <c r="DP217" s="2266"/>
      <c r="DQ217" s="2266"/>
      <c r="DR217" s="525"/>
      <c r="DS217" s="2266"/>
      <c r="DT217" s="2266"/>
      <c r="DU217" s="525"/>
      <c r="DV217" s="2266"/>
      <c r="DW217" s="2266"/>
      <c r="DX217" s="525"/>
      <c r="DY217" s="2266"/>
      <c r="DZ217" s="2266"/>
      <c r="EA217" s="525"/>
      <c r="EB217" s="2266"/>
      <c r="EC217" s="2266"/>
      <c r="ED217" s="525"/>
      <c r="EE217" s="2266"/>
      <c r="EF217" s="2266"/>
      <c r="EG217" s="525"/>
      <c r="EH217" s="2266"/>
      <c r="EI217" s="2266"/>
      <c r="EJ217" s="525"/>
      <c r="EK217" s="2266"/>
      <c r="EL217" s="2266"/>
      <c r="EM217" s="525"/>
      <c r="EN217" s="2266"/>
      <c r="EO217" s="2266"/>
      <c r="EP217" s="525"/>
      <c r="EQ217" s="2266"/>
      <c r="ER217" s="2266"/>
      <c r="ES217" s="525"/>
      <c r="ET217" s="2266"/>
      <c r="EU217" s="2266"/>
      <c r="EV217" s="525"/>
      <c r="EW217" s="2266"/>
      <c r="EX217" s="2266"/>
      <c r="EY217" s="525"/>
      <c r="EZ217" s="2266"/>
      <c r="FA217" s="2266"/>
      <c r="FB217" s="1897"/>
      <c r="FC217" s="1751"/>
      <c r="FD217" s="1751"/>
      <c r="FE217" s="489" t="s">
        <v>947</v>
      </c>
      <c r="FF217" s="648" t="s">
        <v>890</v>
      </c>
      <c r="FG217" s="648" cm="1" t="str">
        <f t="array" ref="FG217:FG217">AE217</f>
        <v>Уголь длиннопламенный</v>
      </c>
      <c r="FH217" s="648" cm="1" t="str">
        <f t="array" ref="FH217:FH217">AF217</f>
        <v/>
      </c>
      <c r="FI217" s="649"/>
      <c r="FJ217" s="649"/>
      <c r="FK217" s="1157" cm="1" t="str">
        <f t="array" ref="FK217:FK217">OFFSET(FJ217,-1,1)</f>
        <v>ТЭ.42.31656254.0001</v>
      </c>
      <c r="FL217" s="1159"/>
      <c r="FM217" s="1159"/>
      <c r="FN217" s="1159"/>
      <c r="FO217" s="1159"/>
      <c r="FP217" s="1159"/>
      <c r="FQ217" s="1159"/>
      <c r="FR217" s="1159"/>
      <c r="FS217" s="1159"/>
      <c r="FT217" s="1159" t="s">
        <v>948</v>
      </c>
      <c r="FU217" s="1159"/>
      <c r="FV217" s="1159" t="s">
        <v>219</v>
      </c>
      <c r="FW217" s="1078" t="str">
        <f>$AE217&amp;"|"&amp;$AF217</f>
        <v>Уголь длиннопламенный|</v>
      </c>
      <c r="FX217" s="1159" t="s">
        <v>303</v>
      </c>
      <c r="FY217" s="1159" t="s">
        <v>931</v>
      </c>
      <c r="FZ217" s="1159" t="s">
        <v>932</v>
      </c>
    </row>
    <row s="1751" customFormat="1" customHeight="1" ht="15" hidden="1">
      <c r="A218" s="371"/>
      <c r="B218" s="1548"/>
      <c r="C218" s="1548"/>
      <c r="D218" s="1548"/>
      <c r="E218" s="965">
        <v>0</v>
      </c>
      <c r="F218" s="175" cm="1" t="str">
        <f t="array" ref="F218:F218">OFFSET(G218,-1,-1)</f>
        <v>1</v>
      </c>
      <c r="G218" s="1659"/>
      <c r="H218" s="1659"/>
      <c r="I218" s="1659"/>
      <c r="J218" s="1659"/>
      <c r="K218" s="1659"/>
      <c r="L218" s="175" cm="1" t="str">
        <f t="array" ref="L218:L218">OFFSET(M218,-1,-1)</f>
        <v>false</v>
      </c>
      <c r="M218" s="1659"/>
      <c r="N218" s="1659"/>
      <c r="O218" s="1659"/>
      <c r="P218" s="1659"/>
      <c r="Q218" s="1659"/>
      <c r="R218" s="1548"/>
      <c r="S218" s="175" cm="1" t="str">
        <f t="array" ref="S218:S218">OFFSET(T218,-1,-1)</f>
        <v>true</v>
      </c>
      <c r="T218" s="1548"/>
      <c r="U218" s="753">
        <f>AND(S218,IF(ISBLANK(T218),TRUE,T218))</f>
        <v>1</v>
      </c>
      <c r="V218" s="1548"/>
      <c r="W218" s="1548"/>
      <c r="X218" s="980" t="str">
        <f>"{                  
         funcDyn: 'msg1',
         blok: 'blok_2',
         wsCross: 'Топливо 4.4',
         linkFormula: 'AE-AE#AF-AF',
         levelDyn: "&amp;Y139&amp;"
}"</f>
        <v>{                  
         funcDyn: 'msg1',
         blok: 'blok_2',
         wsCross: 'Топливо 4.4',
         linkFormula: 'AE-AE#AF-AF',
         levelDyn: 1
}</v>
      </c>
      <c r="Y218" s="1548"/>
      <c r="Z218" s="1548"/>
      <c r="AA218" s="1009"/>
      <c r="AB218" s="1616"/>
      <c r="AC218" s="1751"/>
      <c r="AD218" s="517"/>
      <c r="AE218" s="518" t="s">
        <v>191</v>
      </c>
      <c r="AF218" s="519"/>
      <c r="AG218" s="470"/>
      <c r="AH218" s="521"/>
      <c r="AI218" s="97"/>
      <c r="AJ218" s="97"/>
      <c r="AK218" s="97"/>
      <c r="AL218" s="525"/>
      <c r="AM218" s="97"/>
      <c r="AN218" s="97"/>
      <c r="AO218" s="525"/>
      <c r="AP218" s="97"/>
      <c r="AQ218" s="97"/>
      <c r="AR218" s="525"/>
      <c r="AS218" s="97"/>
      <c r="AT218" s="97"/>
      <c r="AU218" s="525"/>
      <c r="AV218" s="97"/>
      <c r="AW218" s="97"/>
      <c r="AX218" s="525"/>
      <c r="AY218" s="97"/>
      <c r="AZ218" s="97"/>
      <c r="BA218" s="525"/>
      <c r="BB218" s="97"/>
      <c r="BC218" s="97"/>
      <c r="BD218" s="525"/>
      <c r="BE218" s="97"/>
      <c r="BF218" s="97"/>
      <c r="BG218" s="525"/>
      <c r="BH218" s="97"/>
      <c r="BI218" s="97"/>
      <c r="BJ218" s="525"/>
      <c r="BK218" s="97"/>
      <c r="BL218" s="97"/>
      <c r="BM218" s="525"/>
      <c r="BN218" s="97"/>
      <c r="BO218" s="97"/>
      <c r="BP218" s="525"/>
      <c r="BQ218" s="97"/>
      <c r="BR218" s="97"/>
      <c r="BS218" s="525"/>
      <c r="BT218" s="97"/>
      <c r="BU218" s="97"/>
      <c r="BV218" s="525"/>
      <c r="BW218" s="97"/>
      <c r="BX218" s="97"/>
      <c r="BY218" s="525"/>
      <c r="BZ218" s="97"/>
      <c r="CA218" s="97"/>
      <c r="CB218" s="525"/>
      <c r="CC218" s="97"/>
      <c r="CD218" s="97"/>
      <c r="CE218" s="525"/>
      <c r="CF218" s="97"/>
      <c r="CG218" s="97"/>
      <c r="CH218" s="525"/>
      <c r="CI218" s="97"/>
      <c r="CJ218" s="97"/>
      <c r="CK218" s="525"/>
      <c r="CL218" s="97"/>
      <c r="CM218" s="97"/>
      <c r="CN218" s="525"/>
      <c r="CO218" s="97"/>
      <c r="CP218" s="97"/>
      <c r="CQ218" s="525"/>
      <c r="CR218" s="97"/>
      <c r="CS218" s="97"/>
      <c r="CT218" s="525"/>
      <c r="CU218" s="97"/>
      <c r="CV218" s="97"/>
      <c r="CW218" s="525"/>
      <c r="CX218" s="97"/>
      <c r="CY218" s="97"/>
      <c r="CZ218" s="525"/>
      <c r="DA218" s="97"/>
      <c r="DB218" s="97"/>
      <c r="DC218" s="525"/>
      <c r="DD218" s="97"/>
      <c r="DE218" s="97"/>
      <c r="DF218" s="525"/>
      <c r="DG218" s="97"/>
      <c r="DH218" s="97"/>
      <c r="DI218" s="525"/>
      <c r="DJ218" s="97"/>
      <c r="DK218" s="97"/>
      <c r="DL218" s="525"/>
      <c r="DM218" s="97"/>
      <c r="DN218" s="97"/>
      <c r="DO218" s="525"/>
      <c r="DP218" s="97"/>
      <c r="DQ218" s="97"/>
      <c r="DR218" s="525"/>
      <c r="DS218" s="97"/>
      <c r="DT218" s="97"/>
      <c r="DU218" s="525"/>
      <c r="DV218" s="97"/>
      <c r="DW218" s="97"/>
      <c r="DX218" s="525"/>
      <c r="DY218" s="97"/>
      <c r="DZ218" s="97"/>
      <c r="EA218" s="525"/>
      <c r="EB218" s="97"/>
      <c r="EC218" s="97"/>
      <c r="ED218" s="525"/>
      <c r="EE218" s="97"/>
      <c r="EF218" s="97"/>
      <c r="EG218" s="525"/>
      <c r="EH218" s="97"/>
      <c r="EI218" s="97"/>
      <c r="EJ218" s="525"/>
      <c r="EK218" s="97"/>
      <c r="EL218" s="97"/>
      <c r="EM218" s="525"/>
      <c r="EN218" s="97"/>
      <c r="EO218" s="97"/>
      <c r="EP218" s="525"/>
      <c r="EQ218" s="97"/>
      <c r="ER218" s="97"/>
      <c r="ES218" s="525"/>
      <c r="ET218" s="97"/>
      <c r="EU218" s="97"/>
      <c r="EV218" s="525"/>
      <c r="EW218" s="97"/>
      <c r="EX218" s="97"/>
      <c r="EY218" s="525"/>
      <c r="EZ218" s="97"/>
      <c r="FA218" s="97"/>
      <c r="FB218" s="93"/>
      <c r="FC218" s="1751"/>
      <c r="FD218" s="1506"/>
      <c r="FE218" s="489" t="str">
        <f>IF(AND(ISNUMBER(VALUE(TRIM(SUBSTITUTE(AD218,".","")))),TRIM(SUBSTITUTE(AD218,".",""))&lt;&gt;""),"P"&amp;SUBSTITUTE(AD218,".",""),"")</f>
        <v/>
      </c>
      <c r="FF218" s="648"/>
      <c r="FG218" s="648"/>
      <c r="FH218" s="648"/>
      <c r="FI218" s="649"/>
      <c r="FJ218" s="649"/>
      <c r="FK218" s="1157" cm="1" t="str">
        <f t="array" ref="FK218:FK218">OFFSET(FJ218,-1,1)</f>
        <v>ТЭ.42.31656254.0001</v>
      </c>
      <c r="FL218" s="1159"/>
      <c r="FM218" s="1159"/>
      <c r="FN218" s="1159"/>
      <c r="FO218" s="1159"/>
      <c r="FP218" s="1159"/>
      <c r="FQ218" s="1159"/>
      <c r="FR218" s="1159"/>
      <c r="FS218" s="1159"/>
      <c r="FT218" s="1159"/>
      <c r="FU218" s="1159"/>
      <c r="FV218" s="1159"/>
      <c r="FW218" s="1159"/>
      <c r="FX218" s="1159"/>
      <c r="FY218" s="1159"/>
      <c r="FZ218" s="1159"/>
    </row>
    <row s="1751" customFormat="1" customHeight="1" ht="16.5">
      <c r="A219" s="371"/>
      <c r="B219" s="1548"/>
      <c r="C219" s="1548"/>
      <c r="D219" s="1548"/>
      <c r="E219" s="180">
        <v>17</v>
      </c>
      <c r="F219" s="175" cm="1" t="str">
        <f t="array" ref="F219:F219">OFFSET(G219,-1,-1)</f>
        <v>1</v>
      </c>
      <c r="G219" s="1659"/>
      <c r="H219" s="1659"/>
      <c r="I219" s="1659"/>
      <c r="J219" s="1659"/>
      <c r="K219" s="1659"/>
      <c r="L219" s="175" cm="1" t="str">
        <f t="array" ref="L219:L219">OFFSET(M219,-1,-1)</f>
        <v>false</v>
      </c>
      <c r="M219" s="1659"/>
      <c r="N219" s="1659"/>
      <c r="O219" s="1659"/>
      <c r="P219" s="1659"/>
      <c r="Q219" s="1659"/>
      <c r="R219" s="1548"/>
      <c r="S219" s="175" cm="1" t="str">
        <f t="array" ref="S219:S219">OFFSET(T219,-1,-1)</f>
        <v>true</v>
      </c>
      <c r="T219" s="1548"/>
      <c r="U219" s="753">
        <f>AND(S219,IF(ISBLANK(T219),TRUE,T219))</f>
        <v>1</v>
      </c>
      <c r="V219" s="1548"/>
      <c r="W219" s="1548"/>
      <c r="X219" s="1548"/>
      <c r="Y219" s="1548"/>
      <c r="Z219" s="1548"/>
      <c r="AA219" s="1009"/>
      <c r="AB219" s="1616"/>
      <c r="AC219" s="1751"/>
      <c r="AD219" s="327">
        <v>31</v>
      </c>
      <c r="AE219" s="1618" t="s">
        <v>950</v>
      </c>
      <c r="AF219" s="427"/>
      <c r="AG219" s="534"/>
      <c r="AH219" s="524"/>
      <c r="AI219" s="525"/>
      <c r="AJ219" s="525"/>
      <c r="AK219" s="525"/>
      <c r="AL219" s="525"/>
      <c r="AM219" s="525"/>
      <c r="AN219" s="525"/>
      <c r="AO219" s="525"/>
      <c r="AP219" s="525"/>
      <c r="AQ219" s="525"/>
      <c r="AR219" s="525"/>
      <c r="AS219" s="525"/>
      <c r="AT219" s="525"/>
      <c r="AU219" s="525"/>
      <c r="AV219" s="525"/>
      <c r="AW219" s="525"/>
      <c r="AX219" s="525"/>
      <c r="AY219" s="525"/>
      <c r="AZ219" s="525"/>
      <c r="BA219" s="525"/>
      <c r="BB219" s="525"/>
      <c r="BC219" s="525"/>
      <c r="BD219" s="525"/>
      <c r="BE219" s="525"/>
      <c r="BF219" s="525"/>
      <c r="BG219" s="525"/>
      <c r="BH219" s="525"/>
      <c r="BI219" s="525"/>
      <c r="BJ219" s="525"/>
      <c r="BK219" s="525"/>
      <c r="BL219" s="525"/>
      <c r="BM219" s="525"/>
      <c r="BN219" s="525"/>
      <c r="BO219" s="525"/>
      <c r="BP219" s="525"/>
      <c r="BQ219" s="525"/>
      <c r="BR219" s="525"/>
      <c r="BS219" s="525"/>
      <c r="BT219" s="525"/>
      <c r="BU219" s="525"/>
      <c r="BV219" s="525"/>
      <c r="BW219" s="525"/>
      <c r="BX219" s="525"/>
      <c r="BY219" s="525"/>
      <c r="BZ219" s="525"/>
      <c r="CA219" s="525"/>
      <c r="CB219" s="525"/>
      <c r="CC219" s="525"/>
      <c r="CD219" s="525"/>
      <c r="CE219" s="525"/>
      <c r="CF219" s="525"/>
      <c r="CG219" s="525"/>
      <c r="CH219" s="525"/>
      <c r="CI219" s="525"/>
      <c r="CJ219" s="525"/>
      <c r="CK219" s="525"/>
      <c r="CL219" s="525"/>
      <c r="CM219" s="525"/>
      <c r="CN219" s="525"/>
      <c r="CO219" s="525"/>
      <c r="CP219" s="525"/>
      <c r="CQ219" s="525"/>
      <c r="CR219" s="525"/>
      <c r="CS219" s="525"/>
      <c r="CT219" s="525"/>
      <c r="CU219" s="525"/>
      <c r="CV219" s="525"/>
      <c r="CW219" s="525"/>
      <c r="CX219" s="525"/>
      <c r="CY219" s="525"/>
      <c r="CZ219" s="525"/>
      <c r="DA219" s="525"/>
      <c r="DB219" s="525"/>
      <c r="DC219" s="525"/>
      <c r="DD219" s="525"/>
      <c r="DE219" s="525"/>
      <c r="DF219" s="525"/>
      <c r="DG219" s="525"/>
      <c r="DH219" s="525"/>
      <c r="DI219" s="525"/>
      <c r="DJ219" s="525"/>
      <c r="DK219" s="525"/>
      <c r="DL219" s="525"/>
      <c r="DM219" s="525"/>
      <c r="DN219" s="525"/>
      <c r="DO219" s="525"/>
      <c r="DP219" s="525"/>
      <c r="DQ219" s="525"/>
      <c r="DR219" s="525"/>
      <c r="DS219" s="525"/>
      <c r="DT219" s="525"/>
      <c r="DU219" s="525"/>
      <c r="DV219" s="525"/>
      <c r="DW219" s="525"/>
      <c r="DX219" s="525"/>
      <c r="DY219" s="525"/>
      <c r="DZ219" s="525"/>
      <c r="EA219" s="525"/>
      <c r="EB219" s="525"/>
      <c r="EC219" s="525"/>
      <c r="ED219" s="525"/>
      <c r="EE219" s="525"/>
      <c r="EF219" s="525"/>
      <c r="EG219" s="525"/>
      <c r="EH219" s="525"/>
      <c r="EI219" s="525"/>
      <c r="EJ219" s="525"/>
      <c r="EK219" s="525"/>
      <c r="EL219" s="525"/>
      <c r="EM219" s="525"/>
      <c r="EN219" s="525"/>
      <c r="EO219" s="525"/>
      <c r="EP219" s="525"/>
      <c r="EQ219" s="525"/>
      <c r="ER219" s="525"/>
      <c r="ES219" s="525"/>
      <c r="ET219" s="525"/>
      <c r="EU219" s="525"/>
      <c r="EV219" s="525"/>
      <c r="EW219" s="525"/>
      <c r="EX219" s="525"/>
      <c r="EY219" s="525"/>
      <c r="EZ219" s="525"/>
      <c r="FA219" s="525"/>
      <c r="FB219" s="1897"/>
      <c r="FC219" s="1751"/>
      <c r="FD219" s="1506"/>
      <c r="FE219" s="489" t="s">
        <v>951</v>
      </c>
      <c r="FF219" s="648"/>
      <c r="FG219" s="648"/>
      <c r="FH219" s="648"/>
      <c r="FI219" s="649"/>
      <c r="FJ219" s="649"/>
      <c r="FK219" s="1157" cm="1" t="str">
        <f t="array" ref="FK219:FK219">OFFSET(FJ219,-1,1)</f>
        <v>ТЭ.42.31656254.0001</v>
      </c>
      <c r="FL219" s="1078"/>
      <c r="FM219" s="1159"/>
      <c r="FN219" s="1159"/>
      <c r="FO219" s="1159"/>
      <c r="FP219" s="1159"/>
      <c r="FQ219" s="1159"/>
      <c r="FR219" s="1159"/>
      <c r="FS219" s="1159"/>
      <c r="FT219" s="1078" t="s">
        <v>948</v>
      </c>
      <c r="FU219" s="1159"/>
      <c r="FV219" s="1078" t="s">
        <v>255</v>
      </c>
      <c r="FW219" s="1159"/>
      <c r="FX219" s="1078"/>
      <c r="FY219" s="1078"/>
      <c r="FZ219" s="1078"/>
    </row>
    <row s="1751" customFormat="1" customHeight="1" ht="16.5" hidden="1">
      <c r="E220" s="180">
        <v>17</v>
      </c>
      <c r="F220" s="175" cm="1" t="str">
        <f t="array" ref="F220:F220">OFFSET(G220,-1,-1)</f>
        <v>1</v>
      </c>
      <c r="L220" s="175" cm="1" t="str">
        <f t="array" ref="L220:L220">OFFSET(M220,-1,-1)</f>
        <v>false</v>
      </c>
      <c r="S220" s="175" cm="1" t="str">
        <f t="array" ref="S220:S220">OFFSET(T220,-1,-1)</f>
        <v>true</v>
      </c>
      <c r="T220" s="175">
        <f>AD220&lt;&gt;"31.0"</f>
        <v>0</v>
      </c>
      <c r="U220" s="753">
        <f>AND(S220,IF(ISBLANK(T220),TRUE,T220))</f>
        <v>0</v>
      </c>
      <c r="X220" s="175" t="s">
        <v>189</v>
      </c>
      <c r="AB220" s="1616"/>
      <c r="AD220" s="491" t="s">
        <v>952</v>
      </c>
      <c r="AE220" s="514"/>
      <c r="AF220" s="515"/>
      <c r="AG220" s="530" t="str">
        <f>"руб./"&amp;_xlfn.IFERROR(INDEX(fuel_ed_izm_list,MATCH(AE220,fuel_list,0)),"")</f>
        <v>руб./</v>
      </c>
      <c r="AH220" s="88">
        <f>_xlfn.IFERROR(AH225/AH178,0)*1000</f>
        <v>0</v>
      </c>
      <c r="AI220" s="88">
        <f>_xlfn.IFERROR(AI225/AI178,0)*1000</f>
        <v>0</v>
      </c>
      <c r="AJ220" s="88">
        <f>_xlfn.IFERROR(AJ225/AJ178,0)*1000</f>
        <v>0</v>
      </c>
      <c r="AK220" s="88">
        <f>_xlfn.IFERROR(AK225/AK178,0)*1000</f>
        <v>0</v>
      </c>
      <c r="AL220" s="499">
        <f>_xlfn.IFERROR(AL225/AL178,0)*1000</f>
        <v>0</v>
      </c>
      <c r="AM220" s="89"/>
      <c r="AN220" s="89"/>
      <c r="AO220" s="499">
        <f>_xlfn.IFERROR(AO225/AO178,0)*1000</f>
        <v>0</v>
      </c>
      <c r="AP220" s="89"/>
      <c r="AQ220" s="89"/>
      <c r="AR220" s="499">
        <f>_xlfn.IFERROR(AR225/AR178,0)*1000</f>
        <v>0</v>
      </c>
      <c r="AS220" s="89"/>
      <c r="AT220" s="89"/>
      <c r="AU220" s="499">
        <f>_xlfn.IFERROR(AU225/AU178,0)*1000</f>
        <v>0</v>
      </c>
      <c r="AV220" s="89"/>
      <c r="AW220" s="89"/>
      <c r="AX220" s="499">
        <f>_xlfn.IFERROR(AX225/AX178,0)*1000</f>
        <v>0</v>
      </c>
      <c r="AY220" s="89"/>
      <c r="AZ220" s="89"/>
      <c r="BA220" s="499">
        <f>_xlfn.IFERROR(BA225/BA178,0)*1000</f>
        <v>0</v>
      </c>
      <c r="BB220" s="89"/>
      <c r="BC220" s="89"/>
      <c r="BD220" s="499">
        <f>_xlfn.IFERROR(BD225/BD178,0)*1000</f>
        <v>0</v>
      </c>
      <c r="BE220" s="89"/>
      <c r="BF220" s="89"/>
      <c r="BG220" s="499">
        <f>_xlfn.IFERROR(BG225/BG178,0)*1000</f>
        <v>0</v>
      </c>
      <c r="BH220" s="89"/>
      <c r="BI220" s="89"/>
      <c r="BJ220" s="499">
        <f>_xlfn.IFERROR(BJ225/BJ178,0)*1000</f>
        <v>0</v>
      </c>
      <c r="BK220" s="89"/>
      <c r="BL220" s="89"/>
      <c r="BM220" s="499">
        <f>_xlfn.IFERROR(BM225/BM178,0)*1000</f>
        <v>0</v>
      </c>
      <c r="BN220" s="89"/>
      <c r="BO220" s="89"/>
      <c r="BP220" s="499">
        <f>_xlfn.IFERROR(BP225/BP178,0)*1000</f>
        <v>0</v>
      </c>
      <c r="BQ220" s="89"/>
      <c r="BR220" s="89"/>
      <c r="BS220" s="499">
        <f>_xlfn.IFERROR(BS225/BS178,0)*1000</f>
        <v>0</v>
      </c>
      <c r="BT220" s="89"/>
      <c r="BU220" s="89"/>
      <c r="BV220" s="499">
        <f>_xlfn.IFERROR(BV225/BV178,0)*1000</f>
        <v>0</v>
      </c>
      <c r="BW220" s="89"/>
      <c r="BX220" s="89"/>
      <c r="BY220" s="499">
        <f>_xlfn.IFERROR(BY225/BY178,0)*1000</f>
        <v>0</v>
      </c>
      <c r="BZ220" s="89"/>
      <c r="CA220" s="89"/>
      <c r="CB220" s="499">
        <f>_xlfn.IFERROR(CB225/CB178,0)*1000</f>
        <v>0</v>
      </c>
      <c r="CC220" s="89"/>
      <c r="CD220" s="89"/>
      <c r="CE220" s="499">
        <f>_xlfn.IFERROR(CE225/CE178,0)*1000</f>
        <v>0</v>
      </c>
      <c r="CF220" s="89"/>
      <c r="CG220" s="89"/>
      <c r="CH220" s="499">
        <f>_xlfn.IFERROR(CH225/CH178,0)*1000</f>
        <v>0</v>
      </c>
      <c r="CI220" s="89"/>
      <c r="CJ220" s="89"/>
      <c r="CK220" s="499">
        <f>_xlfn.IFERROR(CK225/CK178,0)*1000</f>
        <v>0</v>
      </c>
      <c r="CL220" s="89"/>
      <c r="CM220" s="89"/>
      <c r="CN220" s="499">
        <f>_xlfn.IFERROR(CN225/CN178,0)*1000</f>
        <v>0</v>
      </c>
      <c r="CO220" s="89"/>
      <c r="CP220" s="89"/>
      <c r="CQ220" s="499">
        <f>_xlfn.IFERROR(CQ225/CQ178,0)*1000</f>
        <v>0</v>
      </c>
      <c r="CR220" s="89"/>
      <c r="CS220" s="89"/>
      <c r="CT220" s="499">
        <f>_xlfn.IFERROR(CT225/CT178,0)*1000</f>
        <v>0</v>
      </c>
      <c r="CU220" s="498"/>
      <c r="CV220" s="498"/>
      <c r="CW220" s="499">
        <f>_xlfn.IFERROR(CW225/CW178,0)*1000</f>
        <v>0</v>
      </c>
      <c r="CX220" s="89"/>
      <c r="CY220" s="89"/>
      <c r="CZ220" s="499">
        <f>_xlfn.IFERROR(CZ225/CZ178,0)*1000</f>
        <v>0</v>
      </c>
      <c r="DA220" s="89"/>
      <c r="DB220" s="89"/>
      <c r="DC220" s="499">
        <f>_xlfn.IFERROR(DC225/DC178,0)*1000</f>
        <v>0</v>
      </c>
      <c r="DD220" s="89"/>
      <c r="DE220" s="89"/>
      <c r="DF220" s="499">
        <f>_xlfn.IFERROR(DF225/DF178,0)*1000</f>
        <v>0</v>
      </c>
      <c r="DG220" s="89"/>
      <c r="DH220" s="89"/>
      <c r="DI220" s="499">
        <f>_xlfn.IFERROR(DI225/DI178,0)*1000</f>
        <v>0</v>
      </c>
      <c r="DJ220" s="89"/>
      <c r="DK220" s="89"/>
      <c r="DL220" s="499">
        <f>_xlfn.IFERROR(DL225/DL178,0)*1000</f>
        <v>0</v>
      </c>
      <c r="DM220" s="89"/>
      <c r="DN220" s="89"/>
      <c r="DO220" s="499">
        <f>_xlfn.IFERROR(DO225/DO178,0)*1000</f>
        <v>0</v>
      </c>
      <c r="DP220" s="89"/>
      <c r="DQ220" s="89"/>
      <c r="DR220" s="499">
        <f>_xlfn.IFERROR(DR225/DR178,0)*1000</f>
        <v>0</v>
      </c>
      <c r="DS220" s="89"/>
      <c r="DT220" s="89"/>
      <c r="DU220" s="499">
        <f>_xlfn.IFERROR(DU225/DU178,0)*1000</f>
        <v>0</v>
      </c>
      <c r="DV220" s="89"/>
      <c r="DW220" s="89"/>
      <c r="DX220" s="499">
        <f>_xlfn.IFERROR(DX225/DX178,0)*1000</f>
        <v>0</v>
      </c>
      <c r="DY220" s="89"/>
      <c r="DZ220" s="89"/>
      <c r="EA220" s="499">
        <f>_xlfn.IFERROR(EA225/EA178,0)*1000</f>
        <v>0</v>
      </c>
      <c r="EB220" s="89"/>
      <c r="EC220" s="89"/>
      <c r="ED220" s="499">
        <f>_xlfn.IFERROR(ED225/ED178,0)*1000</f>
        <v>0</v>
      </c>
      <c r="EE220" s="89"/>
      <c r="EF220" s="89"/>
      <c r="EG220" s="499">
        <f>_xlfn.IFERROR(EG225/EG178,0)*1000</f>
        <v>0</v>
      </c>
      <c r="EH220" s="89"/>
      <c r="EI220" s="89"/>
      <c r="EJ220" s="499">
        <f>_xlfn.IFERROR(EJ225/EJ178,0)*1000</f>
        <v>0</v>
      </c>
      <c r="EK220" s="89"/>
      <c r="EL220" s="89"/>
      <c r="EM220" s="499">
        <f>_xlfn.IFERROR(EM225/EM178,0)*1000</f>
        <v>0</v>
      </c>
      <c r="EN220" s="89"/>
      <c r="EO220" s="89"/>
      <c r="EP220" s="499">
        <f>_xlfn.IFERROR(EP225/EP178,0)*1000</f>
        <v>0</v>
      </c>
      <c r="EQ220" s="89"/>
      <c r="ER220" s="89"/>
      <c r="ES220" s="499">
        <f>_xlfn.IFERROR(ES225/ES178,0)*1000</f>
        <v>0</v>
      </c>
      <c r="ET220" s="89"/>
      <c r="EU220" s="89"/>
      <c r="EV220" s="499">
        <f>_xlfn.IFERROR(EV225/EV178,0)*1000</f>
        <v>0</v>
      </c>
      <c r="EW220" s="89"/>
      <c r="EX220" s="89"/>
      <c r="EY220" s="499">
        <f>_xlfn.IFERROR(EY225/EY178,0)*1000</f>
        <v>0</v>
      </c>
      <c r="EZ220" s="89"/>
      <c r="FA220" s="89"/>
      <c r="FB220" s="83"/>
      <c r="FE220" s="489" t="s">
        <v>951</v>
      </c>
      <c r="FF220" s="648" t="s">
        <v>890</v>
      </c>
      <c r="FG220" s="648" cm="1" t="str">
        <f t="array" ref="FG220:FG220">AE220</f>
        <v>0</v>
      </c>
      <c r="FH220" s="648" cm="1" t="str">
        <f t="array" ref="FH220:FH220">AF220</f>
        <v>0</v>
      </c>
      <c r="FI220" s="649"/>
      <c r="FJ220" s="649"/>
      <c r="FK220" s="1157" cm="1" t="str">
        <f t="array" ref="FK220:FK220">OFFSET(FJ220,-1,1)</f>
        <v>ТЭ.42.31656254.0001</v>
      </c>
      <c r="FL220" s="1159"/>
      <c r="FM220" s="1159"/>
      <c r="FN220" s="1159"/>
      <c r="FO220" s="1159"/>
      <c r="FP220" s="1159"/>
      <c r="FQ220" s="1159"/>
      <c r="FR220" s="1159"/>
      <c r="FS220" s="1159"/>
      <c r="FT220" s="1159" t="s">
        <v>948</v>
      </c>
      <c r="FU220" s="1159"/>
      <c r="FV220" s="1159" t="s">
        <v>255</v>
      </c>
      <c r="FW220" s="1078" t="str">
        <f>$AE220&amp;"|"&amp;$AF220</f>
        <v>|</v>
      </c>
      <c r="FX220" s="1159" t="s">
        <v>303</v>
      </c>
      <c r="FY220" s="1159" t="s">
        <v>936</v>
      </c>
      <c r="FZ220" s="1159" t="s">
        <v>937</v>
      </c>
    </row>
    <row s="1751" customFormat="1" customHeight="1" ht="16.5">
      <c r="A221" s="1751"/>
      <c r="B221" s="1751"/>
      <c r="C221" s="1751"/>
      <c r="D221" s="1751"/>
      <c r="E221" s="180">
        <v>17</v>
      </c>
      <c r="F221" s="175" cm="1" t="str">
        <f t="array" ref="F221:F221">OFFSET(G221,-1,-1)</f>
        <v>1</v>
      </c>
      <c r="G221" s="1751"/>
      <c r="H221" s="1751"/>
      <c r="I221" s="1751"/>
      <c r="J221" s="1751"/>
      <c r="K221" s="1751"/>
      <c r="L221" s="175" cm="1" t="str">
        <f t="array" ref="L221:L221">OFFSET(M221,-1,-1)</f>
        <v>false</v>
      </c>
      <c r="M221" s="1751"/>
      <c r="N221" s="1751"/>
      <c r="O221" s="1751"/>
      <c r="P221" s="1751"/>
      <c r="Q221" s="1751"/>
      <c r="R221" s="1751"/>
      <c r="S221" s="175" cm="1" t="str">
        <f t="array" ref="S221:S221">OFFSET(T221,-1,-1)</f>
        <v>true</v>
      </c>
      <c r="T221" s="175">
        <f>AD221&lt;&gt;"31.0"</f>
        <v>1</v>
      </c>
      <c r="U221" s="753">
        <f>AND(S221,IF(ISBLANK(T221),TRUE,T221))</f>
        <v>1</v>
      </c>
      <c r="V221" s="1751"/>
      <c r="W221" s="1751"/>
      <c r="X221" s="175" t="str">
        <f>'Топливо 4.4'!$AE$217&amp;'Топливо 4.4'!$AF$217</f>
        <v>Уголь длиннопламенный</v>
      </c>
      <c r="Y221" s="1751"/>
      <c r="Z221" s="1751"/>
      <c r="AA221" s="1751"/>
      <c r="AB221" s="1616"/>
      <c r="AC221" s="1751"/>
      <c r="AD221" s="491" t="s">
        <v>1023</v>
      </c>
      <c r="AE221" s="514" cm="1" t="str">
        <f t="array" ref="AE221:AE221">IF(ISBLANK('Топливо 4.4'!$AE$217),"",'Топливо 4.4'!$AE$217)</f>
        <v>Уголь длиннопламенный</v>
      </c>
      <c r="AF221" s="515" cm="1" t="str">
        <f t="array" ref="AF221:AF221">IF(ISBLANK('Топливо 4.4'!$AF$217),"",'Топливо 4.4'!$AF$217)</f>
        <v/>
      </c>
      <c r="AG221" s="530" t="str">
        <f>"руб./"&amp;_xlfn.IFERROR(INDEX(fuel_ed_izm_list,MATCH(AE221,fuel_list,0)),"")</f>
        <v>руб./тнт</v>
      </c>
      <c r="AH221" s="2255">
        <f>_xlfn.IFERROR(AH226/AH179,0)*1000</f>
        <v>508.755265357625</v>
      </c>
      <c r="AI221" s="2255">
        <f>_xlfn.IFERROR(AI226/AI179,0)*1000</f>
        <v>499.877344877345</v>
      </c>
      <c r="AJ221" s="2255">
        <f>_xlfn.IFERROR(AJ226/AJ179,0)*1000</f>
        <v>344.910605583931</v>
      </c>
      <c r="AK221" s="2255">
        <f>_xlfn.IFERROR(AK226/AK179,0)*1000</f>
        <v>431.157628394341</v>
      </c>
      <c r="AL221" s="499">
        <f>_xlfn.IFERROR(AL226/AL179,0)*1000</f>
        <v>551.25</v>
      </c>
      <c r="AM221" s="2256">
        <v>551.25</v>
      </c>
      <c r="AN221" s="2256">
        <v>551.25</v>
      </c>
      <c r="AO221" s="499">
        <f>_xlfn.IFERROR(AO226/AO179,0)*1000</f>
        <v>0</v>
      </c>
      <c r="AP221" s="2256"/>
      <c r="AQ221" s="2256"/>
      <c r="AR221" s="499">
        <f>_xlfn.IFERROR(AR226/AR179,0)*1000</f>
        <v>0</v>
      </c>
      <c r="AS221" s="2256"/>
      <c r="AT221" s="2256"/>
      <c r="AU221" s="499">
        <f>_xlfn.IFERROR(AU226/AU179,0)*1000</f>
        <v>0</v>
      </c>
      <c r="AV221" s="2256"/>
      <c r="AW221" s="2256"/>
      <c r="AX221" s="499">
        <f>_xlfn.IFERROR(AX226/AX179,0)*1000</f>
        <v>0</v>
      </c>
      <c r="AY221" s="2256"/>
      <c r="AZ221" s="2256"/>
      <c r="BA221" s="499">
        <f>_xlfn.IFERROR(BA226/BA179,0)*1000</f>
        <v>0</v>
      </c>
      <c r="BB221" s="2256"/>
      <c r="BC221" s="2256"/>
      <c r="BD221" s="499">
        <f>_xlfn.IFERROR(BD226/BD179,0)*1000</f>
        <v>0</v>
      </c>
      <c r="BE221" s="2256"/>
      <c r="BF221" s="2256"/>
      <c r="BG221" s="499">
        <f>_xlfn.IFERROR(BG226/BG179,0)*1000</f>
        <v>0</v>
      </c>
      <c r="BH221" s="2256"/>
      <c r="BI221" s="2256"/>
      <c r="BJ221" s="499">
        <f>_xlfn.IFERROR(BJ226/BJ179,0)*1000</f>
        <v>0</v>
      </c>
      <c r="BK221" s="2256"/>
      <c r="BL221" s="2256"/>
      <c r="BM221" s="499">
        <f>_xlfn.IFERROR(BM226/BM179,0)*1000</f>
        <v>0</v>
      </c>
      <c r="BN221" s="2256"/>
      <c r="BO221" s="2256"/>
      <c r="BP221" s="499">
        <f>_xlfn.IFERROR(BP226/BP179,0)*1000</f>
        <v>0</v>
      </c>
      <c r="BQ221" s="2256"/>
      <c r="BR221" s="2256"/>
      <c r="BS221" s="499">
        <f>_xlfn.IFERROR(BS226/BS179,0)*1000</f>
        <v>0</v>
      </c>
      <c r="BT221" s="2256"/>
      <c r="BU221" s="2256"/>
      <c r="BV221" s="499">
        <f>_xlfn.IFERROR(BV226/BV179,0)*1000</f>
        <v>0</v>
      </c>
      <c r="BW221" s="2256"/>
      <c r="BX221" s="2256"/>
      <c r="BY221" s="499">
        <f>_xlfn.IFERROR(BY226/BY179,0)*1000</f>
        <v>0</v>
      </c>
      <c r="BZ221" s="2256"/>
      <c r="CA221" s="2256"/>
      <c r="CB221" s="499">
        <f>_xlfn.IFERROR(CB226/CB179,0)*1000</f>
        <v>0</v>
      </c>
      <c r="CC221" s="2256"/>
      <c r="CD221" s="2256"/>
      <c r="CE221" s="499">
        <f>_xlfn.IFERROR(CE226/CE179,0)*1000</f>
        <v>0</v>
      </c>
      <c r="CF221" s="2256"/>
      <c r="CG221" s="2256"/>
      <c r="CH221" s="499">
        <f>_xlfn.IFERROR(CH226/CH179,0)*1000</f>
        <v>0</v>
      </c>
      <c r="CI221" s="2256"/>
      <c r="CJ221" s="2256"/>
      <c r="CK221" s="499">
        <f>_xlfn.IFERROR(CK226/CK179,0)*1000</f>
        <v>0</v>
      </c>
      <c r="CL221" s="2256"/>
      <c r="CM221" s="2256"/>
      <c r="CN221" s="499">
        <f>_xlfn.IFERROR(CN226/CN179,0)*1000</f>
        <v>0</v>
      </c>
      <c r="CO221" s="2256"/>
      <c r="CP221" s="2256"/>
      <c r="CQ221" s="499">
        <f>_xlfn.IFERROR(CQ226/CQ179,0)*1000</f>
        <v>0</v>
      </c>
      <c r="CR221" s="2256"/>
      <c r="CS221" s="2256"/>
      <c r="CT221" s="499">
        <f>_xlfn.IFERROR(CT226/CT179,0)*1000</f>
        <v>462.010000000001</v>
      </c>
      <c r="CU221" s="498">
        <v>462.01</v>
      </c>
      <c r="CV221" s="498">
        <v>462.01</v>
      </c>
      <c r="CW221" s="499">
        <f>_xlfn.IFERROR(CW226/CW179,0)*1000</f>
        <v>0</v>
      </c>
      <c r="CX221" s="2256"/>
      <c r="CY221" s="2256"/>
      <c r="CZ221" s="499">
        <f>_xlfn.IFERROR(CZ226/CZ179,0)*1000</f>
        <v>0</v>
      </c>
      <c r="DA221" s="2256"/>
      <c r="DB221" s="2256"/>
      <c r="DC221" s="499">
        <f>_xlfn.IFERROR(DC226/DC179,0)*1000</f>
        <v>0</v>
      </c>
      <c r="DD221" s="2256"/>
      <c r="DE221" s="2256"/>
      <c r="DF221" s="499">
        <f>_xlfn.IFERROR(DF226/DF179,0)*1000</f>
        <v>0</v>
      </c>
      <c r="DG221" s="2256"/>
      <c r="DH221" s="2256"/>
      <c r="DI221" s="499">
        <f>_xlfn.IFERROR(DI226/DI179,0)*1000</f>
        <v>0</v>
      </c>
      <c r="DJ221" s="2256"/>
      <c r="DK221" s="2256"/>
      <c r="DL221" s="499">
        <f>_xlfn.IFERROR(DL226/DL179,0)*1000</f>
        <v>0</v>
      </c>
      <c r="DM221" s="2256"/>
      <c r="DN221" s="2256"/>
      <c r="DO221" s="499">
        <f>_xlfn.IFERROR(DO226/DO179,0)*1000</f>
        <v>0</v>
      </c>
      <c r="DP221" s="2256"/>
      <c r="DQ221" s="2256"/>
      <c r="DR221" s="499">
        <f>_xlfn.IFERROR(DR226/DR179,0)*1000</f>
        <v>0</v>
      </c>
      <c r="DS221" s="2256"/>
      <c r="DT221" s="2256"/>
      <c r="DU221" s="499">
        <f>_xlfn.IFERROR(DU226/DU179,0)*1000</f>
        <v>0</v>
      </c>
      <c r="DV221" s="2256"/>
      <c r="DW221" s="2256"/>
      <c r="DX221" s="499">
        <f>_xlfn.IFERROR(DX226/DX179,0)*1000</f>
        <v>0</v>
      </c>
      <c r="DY221" s="2256"/>
      <c r="DZ221" s="2256"/>
      <c r="EA221" s="499">
        <f>_xlfn.IFERROR(EA226/EA179,0)*1000</f>
        <v>0</v>
      </c>
      <c r="EB221" s="2256"/>
      <c r="EC221" s="2256"/>
      <c r="ED221" s="499">
        <f>_xlfn.IFERROR(ED226/ED179,0)*1000</f>
        <v>0</v>
      </c>
      <c r="EE221" s="2256"/>
      <c r="EF221" s="2256"/>
      <c r="EG221" s="499">
        <f>_xlfn.IFERROR(EG226/EG179,0)*1000</f>
        <v>0</v>
      </c>
      <c r="EH221" s="2256"/>
      <c r="EI221" s="2256"/>
      <c r="EJ221" s="499">
        <f>_xlfn.IFERROR(EJ226/EJ179,0)*1000</f>
        <v>0</v>
      </c>
      <c r="EK221" s="2256"/>
      <c r="EL221" s="2256"/>
      <c r="EM221" s="499">
        <f>_xlfn.IFERROR(EM226/EM179,0)*1000</f>
        <v>0</v>
      </c>
      <c r="EN221" s="2256"/>
      <c r="EO221" s="2256"/>
      <c r="EP221" s="499">
        <f>_xlfn.IFERROR(EP226/EP179,0)*1000</f>
        <v>0</v>
      </c>
      <c r="EQ221" s="2256"/>
      <c r="ER221" s="2256"/>
      <c r="ES221" s="499">
        <f>_xlfn.IFERROR(ES226/ES179,0)*1000</f>
        <v>0</v>
      </c>
      <c r="ET221" s="2256"/>
      <c r="EU221" s="2256"/>
      <c r="EV221" s="499">
        <f>_xlfn.IFERROR(EV226/EV179,0)*1000</f>
        <v>0</v>
      </c>
      <c r="EW221" s="2256"/>
      <c r="EX221" s="2256"/>
      <c r="EY221" s="499">
        <f>_xlfn.IFERROR(EY226/EY179,0)*1000</f>
        <v>0</v>
      </c>
      <c r="EZ221" s="2256"/>
      <c r="FA221" s="2256"/>
      <c r="FB221" s="1897"/>
      <c r="FC221" s="1751"/>
      <c r="FD221" s="1751"/>
      <c r="FE221" s="489" t="s">
        <v>951</v>
      </c>
      <c r="FF221" s="648" t="s">
        <v>890</v>
      </c>
      <c r="FG221" s="648" cm="1" t="str">
        <f t="array" ref="FG221:FG221">AE221</f>
        <v>Уголь длиннопламенный</v>
      </c>
      <c r="FH221" s="648" cm="1" t="str">
        <f t="array" ref="FH221:FH221">AF221</f>
        <v/>
      </c>
      <c r="FI221" s="649"/>
      <c r="FJ221" s="649"/>
      <c r="FK221" s="1157" cm="1" t="str">
        <f t="array" ref="FK221:FK221">OFFSET(FJ221,-1,1)</f>
        <v>ТЭ.42.31656254.0001</v>
      </c>
      <c r="FL221" s="1159"/>
      <c r="FM221" s="1159"/>
      <c r="FN221" s="1159"/>
      <c r="FO221" s="1159"/>
      <c r="FP221" s="1159"/>
      <c r="FQ221" s="1159"/>
      <c r="FR221" s="1159"/>
      <c r="FS221" s="1159"/>
      <c r="FT221" s="1159" t="s">
        <v>948</v>
      </c>
      <c r="FU221" s="1159"/>
      <c r="FV221" s="1159" t="s">
        <v>255</v>
      </c>
      <c r="FW221" s="1078" t="str">
        <f>$AE221&amp;"|"&amp;$AF221</f>
        <v>Уголь длиннопламенный|</v>
      </c>
      <c r="FX221" s="1159" t="s">
        <v>303</v>
      </c>
      <c r="FY221" s="1159" t="s">
        <v>936</v>
      </c>
      <c r="FZ221" s="1159" t="s">
        <v>937</v>
      </c>
    </row>
    <row s="1751" customFormat="1" customHeight="1" ht="15" hidden="1">
      <c r="A222" s="371"/>
      <c r="B222" s="1548"/>
      <c r="C222" s="1548"/>
      <c r="D222" s="1548"/>
      <c r="E222" s="965">
        <v>0</v>
      </c>
      <c r="F222" s="175" cm="1" t="str">
        <f t="array" ref="F222:F222">OFFSET(G222,-1,-1)</f>
        <v>1</v>
      </c>
      <c r="G222" s="1659"/>
      <c r="H222" s="1659"/>
      <c r="I222" s="1659"/>
      <c r="J222" s="1659"/>
      <c r="K222" s="1659"/>
      <c r="L222" s="175" cm="1" t="str">
        <f t="array" ref="L222:L222">OFFSET(M222,-1,-1)</f>
        <v>false</v>
      </c>
      <c r="M222" s="1659"/>
      <c r="N222" s="1659"/>
      <c r="O222" s="1659"/>
      <c r="P222" s="1659"/>
      <c r="Q222" s="1659"/>
      <c r="R222" s="1548"/>
      <c r="S222" s="175" cm="1" t="str">
        <f t="array" ref="S222:S222">OFFSET(T222,-1,-1)</f>
        <v>true</v>
      </c>
      <c r="T222" s="1548"/>
      <c r="U222" s="753">
        <f>AND(S222,IF(ISBLANK(T222),TRUE,T222))</f>
        <v>1</v>
      </c>
      <c r="V222" s="1548"/>
      <c r="W222" s="1548"/>
      <c r="X222" s="980" t="str">
        <f>"{                  
         funcDyn: 'msg1',
         blok: 'blok_2',
         wsCross: 'Топливо 4.4',
         linkFormula: 'AE-AE#AF-AF',
         levelDyn: "&amp;Y139&amp;"
}"</f>
        <v>{                  
         funcDyn: 'msg1',
         blok: 'blok_2',
         wsCross: 'Топливо 4.4',
         linkFormula: 'AE-AE#AF-AF',
         levelDyn: 1
}</v>
      </c>
      <c r="Y222" s="1548"/>
      <c r="Z222" s="1548"/>
      <c r="AA222" s="1009"/>
      <c r="AB222" s="1616"/>
      <c r="AC222" s="1751"/>
      <c r="AD222" s="517"/>
      <c r="AE222" s="518" t="s">
        <v>191</v>
      </c>
      <c r="AF222" s="519"/>
      <c r="AG222" s="470"/>
      <c r="AH222" s="525"/>
      <c r="AI222" s="525"/>
      <c r="AJ222" s="525"/>
      <c r="AK222" s="525"/>
      <c r="AL222" s="525"/>
      <c r="AM222" s="525"/>
      <c r="AN222" s="525"/>
      <c r="AO222" s="525"/>
      <c r="AP222" s="525"/>
      <c r="AQ222" s="525"/>
      <c r="AR222" s="525"/>
      <c r="AS222" s="525"/>
      <c r="AT222" s="525"/>
      <c r="AU222" s="525"/>
      <c r="AV222" s="525"/>
      <c r="AW222" s="525"/>
      <c r="AX222" s="525"/>
      <c r="AY222" s="525"/>
      <c r="AZ222" s="525"/>
      <c r="BA222" s="525"/>
      <c r="BB222" s="525"/>
      <c r="BC222" s="525"/>
      <c r="BD222" s="525"/>
      <c r="BE222" s="525"/>
      <c r="BF222" s="525"/>
      <c r="BG222" s="525"/>
      <c r="BH222" s="525"/>
      <c r="BI222" s="525"/>
      <c r="BJ222" s="525"/>
      <c r="BK222" s="525"/>
      <c r="BL222" s="525"/>
      <c r="BM222" s="525"/>
      <c r="BN222" s="525"/>
      <c r="BO222" s="525"/>
      <c r="BP222" s="525"/>
      <c r="BQ222" s="525"/>
      <c r="BR222" s="525"/>
      <c r="BS222" s="525"/>
      <c r="BT222" s="525"/>
      <c r="BU222" s="525"/>
      <c r="BV222" s="525"/>
      <c r="BW222" s="525"/>
      <c r="BX222" s="525"/>
      <c r="BY222" s="525"/>
      <c r="BZ222" s="525"/>
      <c r="CA222" s="525"/>
      <c r="CB222" s="525"/>
      <c r="CC222" s="525"/>
      <c r="CD222" s="525"/>
      <c r="CE222" s="525"/>
      <c r="CF222" s="525"/>
      <c r="CG222" s="525"/>
      <c r="CH222" s="525"/>
      <c r="CI222" s="525"/>
      <c r="CJ222" s="525"/>
      <c r="CK222" s="525"/>
      <c r="CL222" s="525"/>
      <c r="CM222" s="525"/>
      <c r="CN222" s="525"/>
      <c r="CO222" s="525"/>
      <c r="CP222" s="525"/>
      <c r="CQ222" s="525"/>
      <c r="CR222" s="525"/>
      <c r="CS222" s="525"/>
      <c r="CT222" s="525"/>
      <c r="CU222" s="525"/>
      <c r="CV222" s="525"/>
      <c r="CW222" s="525"/>
      <c r="CX222" s="525"/>
      <c r="CY222" s="525"/>
      <c r="CZ222" s="525"/>
      <c r="DA222" s="525"/>
      <c r="DB222" s="525"/>
      <c r="DC222" s="525"/>
      <c r="DD222" s="525"/>
      <c r="DE222" s="525"/>
      <c r="DF222" s="525"/>
      <c r="DG222" s="525"/>
      <c r="DH222" s="525"/>
      <c r="DI222" s="525"/>
      <c r="DJ222" s="525"/>
      <c r="DK222" s="525"/>
      <c r="DL222" s="525"/>
      <c r="DM222" s="525"/>
      <c r="DN222" s="525"/>
      <c r="DO222" s="525"/>
      <c r="DP222" s="525"/>
      <c r="DQ222" s="525"/>
      <c r="DR222" s="525"/>
      <c r="DS222" s="525"/>
      <c r="DT222" s="525"/>
      <c r="DU222" s="525"/>
      <c r="DV222" s="525"/>
      <c r="DW222" s="525"/>
      <c r="DX222" s="525"/>
      <c r="DY222" s="525"/>
      <c r="DZ222" s="525"/>
      <c r="EA222" s="525"/>
      <c r="EB222" s="525"/>
      <c r="EC222" s="525"/>
      <c r="ED222" s="525"/>
      <c r="EE222" s="525"/>
      <c r="EF222" s="525"/>
      <c r="EG222" s="525"/>
      <c r="EH222" s="525"/>
      <c r="EI222" s="525"/>
      <c r="EJ222" s="525"/>
      <c r="EK222" s="525"/>
      <c r="EL222" s="525"/>
      <c r="EM222" s="525"/>
      <c r="EN222" s="525"/>
      <c r="EO222" s="525"/>
      <c r="EP222" s="525"/>
      <c r="EQ222" s="525"/>
      <c r="ER222" s="525"/>
      <c r="ES222" s="525"/>
      <c r="ET222" s="525"/>
      <c r="EU222" s="525"/>
      <c r="EV222" s="525"/>
      <c r="EW222" s="525"/>
      <c r="EX222" s="525"/>
      <c r="EY222" s="525"/>
      <c r="EZ222" s="525"/>
      <c r="FA222" s="525"/>
      <c r="FB222" s="93"/>
      <c r="FC222" s="1751"/>
      <c r="FD222" s="1506"/>
      <c r="FE222" s="489" t="str">
        <f>IF(AND(ISNUMBER(VALUE(TRIM(SUBSTITUTE(AD222,".","")))),TRIM(SUBSTITUTE(AD222,".",""))&lt;&gt;""),"P"&amp;SUBSTITUTE(AD222,".",""),"")</f>
        <v/>
      </c>
      <c r="FF222" s="648"/>
      <c r="FG222" s="648"/>
      <c r="FH222" s="648"/>
      <c r="FI222" s="649"/>
      <c r="FJ222" s="649"/>
      <c r="FK222" s="1157" cm="1" t="str">
        <f t="array" ref="FK222:FK222">OFFSET(FJ222,-1,1)</f>
        <v>ТЭ.42.31656254.0001</v>
      </c>
      <c r="FL222" s="1159"/>
      <c r="FM222" s="1159"/>
      <c r="FN222" s="1159"/>
      <c r="FO222" s="1159"/>
      <c r="FP222" s="1159"/>
      <c r="FQ222" s="1159"/>
      <c r="FR222" s="1159"/>
      <c r="FS222" s="1159"/>
      <c r="FT222" s="1159"/>
      <c r="FU222" s="1159"/>
      <c r="FV222" s="1159"/>
      <c r="FW222" s="1159"/>
      <c r="FX222" s="1159"/>
      <c r="FY222" s="1159"/>
      <c r="FZ222" s="1159"/>
    </row>
    <row s="1751" customFormat="1" customHeight="1" ht="16.5">
      <c r="A223" s="371"/>
      <c r="B223" s="1548"/>
      <c r="C223" s="1548"/>
      <c r="D223" s="1548"/>
      <c r="E223" s="180">
        <v>17</v>
      </c>
      <c r="F223" s="175" cm="1" t="str">
        <f t="array" ref="F223:F223">OFFSET(G223,-1,-1)</f>
        <v>1</v>
      </c>
      <c r="G223" s="1659"/>
      <c r="H223" s="1659"/>
      <c r="I223" s="1659"/>
      <c r="J223" s="1659"/>
      <c r="K223" s="1659"/>
      <c r="L223" s="175" cm="1" t="str">
        <f t="array" ref="L223:L223">OFFSET(M223,-1,-1)</f>
        <v>false</v>
      </c>
      <c r="M223" s="1659"/>
      <c r="N223" s="1659"/>
      <c r="O223" s="1659"/>
      <c r="P223" s="1659"/>
      <c r="Q223" s="1659"/>
      <c r="R223" s="1548"/>
      <c r="S223" s="175" cm="1" t="str">
        <f t="array" ref="S223:S223">OFFSET(T223,-1,-1)</f>
        <v>true</v>
      </c>
      <c r="T223" s="1548"/>
      <c r="U223" s="753">
        <f>AND(S223,IF(ISBLANK(T223),TRUE,T223))</f>
        <v>1</v>
      </c>
      <c r="V223" s="1548"/>
      <c r="W223" s="1548"/>
      <c r="X223" s="1548"/>
      <c r="Y223" s="1548"/>
      <c r="Z223" s="1548"/>
      <c r="AA223" s="1009"/>
      <c r="AB223" s="1616"/>
      <c r="AC223" s="1751"/>
      <c r="AD223" s="327">
        <v>32</v>
      </c>
      <c r="AE223" s="1618" t="s">
        <v>953</v>
      </c>
      <c r="AF223" s="427"/>
      <c r="AG223" s="470" t="s">
        <v>917</v>
      </c>
      <c r="AH223" s="500">
        <f>SUM(AH225:AH227)</f>
        <v>638</v>
      </c>
      <c r="AI223" s="500">
        <f>SUM(AI225:AI227)</f>
        <v>692.83</v>
      </c>
      <c r="AJ223" s="500">
        <f>SUM(AJ225:AJ227)</f>
        <v>391.932783826851</v>
      </c>
      <c r="AK223" s="500">
        <f>SUM(AK225:AK227)</f>
        <v>578</v>
      </c>
      <c r="AL223" s="500">
        <f>SUM(AL225:AL227)</f>
        <v>763.863955119215</v>
      </c>
      <c r="AM223" s="500">
        <f>SUM(AM225:AM227)</f>
        <v>435.278751753156</v>
      </c>
      <c r="AN223" s="500">
        <f>SUM(AN225:AN227)</f>
        <v>328.585203366059</v>
      </c>
      <c r="AO223" s="500">
        <f>SUM(AO225:AO227)</f>
        <v>0</v>
      </c>
      <c r="AP223" s="500">
        <f>SUM(AP225:AP227)</f>
        <v>0</v>
      </c>
      <c r="AQ223" s="500">
        <f>SUM(AQ225:AQ227)</f>
        <v>0</v>
      </c>
      <c r="AR223" s="500">
        <f>SUM(AR225:AR227)</f>
        <v>0</v>
      </c>
      <c r="AS223" s="500">
        <f>SUM(AS225:AS227)</f>
        <v>0</v>
      </c>
      <c r="AT223" s="500">
        <f>SUM(AT225:AT227)</f>
        <v>0</v>
      </c>
      <c r="AU223" s="500">
        <f>SUM(AU225:AU227)</f>
        <v>0</v>
      </c>
      <c r="AV223" s="500">
        <f>SUM(AV225:AV227)</f>
        <v>0</v>
      </c>
      <c r="AW223" s="500">
        <f>SUM(AW225:AW227)</f>
        <v>0</v>
      </c>
      <c r="AX223" s="500">
        <f>SUM(AX225:AX227)</f>
        <v>0</v>
      </c>
      <c r="AY223" s="500">
        <f>SUM(AY225:AY227)</f>
        <v>0</v>
      </c>
      <c r="AZ223" s="500">
        <f>SUM(AZ225:AZ227)</f>
        <v>0</v>
      </c>
      <c r="BA223" s="500">
        <f>SUM(BA225:BA227)</f>
        <v>0</v>
      </c>
      <c r="BB223" s="500">
        <f>SUM(BB225:BB227)</f>
        <v>0</v>
      </c>
      <c r="BC223" s="500">
        <f>SUM(BC225:BC227)</f>
        <v>0</v>
      </c>
      <c r="BD223" s="500">
        <f>SUM(BD225:BD227)</f>
        <v>0</v>
      </c>
      <c r="BE223" s="500">
        <f>SUM(BE225:BE227)</f>
        <v>0</v>
      </c>
      <c r="BF223" s="500">
        <f>SUM(BF225:BF227)</f>
        <v>0</v>
      </c>
      <c r="BG223" s="500">
        <f>SUM(BG225:BG227)</f>
        <v>0</v>
      </c>
      <c r="BH223" s="500">
        <f>SUM(BH225:BH227)</f>
        <v>0</v>
      </c>
      <c r="BI223" s="500">
        <f>SUM(BI225:BI227)</f>
        <v>0</v>
      </c>
      <c r="BJ223" s="500">
        <f>SUM(BJ225:BJ227)</f>
        <v>0</v>
      </c>
      <c r="BK223" s="500">
        <f>SUM(BK225:BK227)</f>
        <v>0</v>
      </c>
      <c r="BL223" s="500">
        <f>SUM(BL225:BL227)</f>
        <v>0</v>
      </c>
      <c r="BM223" s="500">
        <f>SUM(BM225:BM227)</f>
        <v>0</v>
      </c>
      <c r="BN223" s="500">
        <f>SUM(BN225:BN227)</f>
        <v>0</v>
      </c>
      <c r="BO223" s="500">
        <f>SUM(BO225:BO227)</f>
        <v>0</v>
      </c>
      <c r="BP223" s="500">
        <f>SUM(BP225:BP227)</f>
        <v>0</v>
      </c>
      <c r="BQ223" s="500">
        <f>SUM(BQ225:BQ227)</f>
        <v>0</v>
      </c>
      <c r="BR223" s="500">
        <f>SUM(BR225:BR227)</f>
        <v>0</v>
      </c>
      <c r="BS223" s="500">
        <f>SUM(BS225:BS227)</f>
        <v>0</v>
      </c>
      <c r="BT223" s="500">
        <f>SUM(BT225:BT227)</f>
        <v>0</v>
      </c>
      <c r="BU223" s="500">
        <f>SUM(BU225:BU227)</f>
        <v>0</v>
      </c>
      <c r="BV223" s="500">
        <f>SUM(BV225:BV227)</f>
        <v>0</v>
      </c>
      <c r="BW223" s="500">
        <f>SUM(BW225:BW227)</f>
        <v>0</v>
      </c>
      <c r="BX223" s="500">
        <f>SUM(BX225:BX227)</f>
        <v>0</v>
      </c>
      <c r="BY223" s="500">
        <f>SUM(BY225:BY227)</f>
        <v>0</v>
      </c>
      <c r="BZ223" s="500">
        <f>SUM(BZ225:BZ227)</f>
        <v>0</v>
      </c>
      <c r="CA223" s="500">
        <f>SUM(CA225:CA227)</f>
        <v>0</v>
      </c>
      <c r="CB223" s="500">
        <f>SUM(CB225:CB227)</f>
        <v>0</v>
      </c>
      <c r="CC223" s="500">
        <f>SUM(CC225:CC227)</f>
        <v>0</v>
      </c>
      <c r="CD223" s="500">
        <f>SUM(CD225:CD227)</f>
        <v>0</v>
      </c>
      <c r="CE223" s="500">
        <f>SUM(CE225:CE227)</f>
        <v>0</v>
      </c>
      <c r="CF223" s="500">
        <f>SUM(CF225:CF227)</f>
        <v>0</v>
      </c>
      <c r="CG223" s="500">
        <f>SUM(CG225:CG227)</f>
        <v>0</v>
      </c>
      <c r="CH223" s="500">
        <f>SUM(CH225:CH227)</f>
        <v>0</v>
      </c>
      <c r="CI223" s="500">
        <f>SUM(CI225:CI227)</f>
        <v>0</v>
      </c>
      <c r="CJ223" s="500">
        <f>SUM(CJ225:CJ227)</f>
        <v>0</v>
      </c>
      <c r="CK223" s="500">
        <f>SUM(CK225:CK227)</f>
        <v>0</v>
      </c>
      <c r="CL223" s="500">
        <f>SUM(CL225:CL227)</f>
        <v>0</v>
      </c>
      <c r="CM223" s="500">
        <f>SUM(CM225:CM227)</f>
        <v>0</v>
      </c>
      <c r="CN223" s="500">
        <f>SUM(CN225:CN227)</f>
        <v>0</v>
      </c>
      <c r="CO223" s="500">
        <f>SUM(CO225:CO227)</f>
        <v>0</v>
      </c>
      <c r="CP223" s="500">
        <f>SUM(CP225:CP227)</f>
        <v>0</v>
      </c>
      <c r="CQ223" s="500">
        <f>SUM(CQ225:CQ227)</f>
        <v>0</v>
      </c>
      <c r="CR223" s="500">
        <f>SUM(CR225:CR227)</f>
        <v>0</v>
      </c>
      <c r="CS223" s="500">
        <f>SUM(CS225:CS227)</f>
        <v>0</v>
      </c>
      <c r="CT223" s="500">
        <f>SUM(CT225:CT227)</f>
        <v>524.99651365977</v>
      </c>
      <c r="CU223" s="500">
        <f>SUM(CU225:CU227)</f>
        <v>299.237823075862</v>
      </c>
      <c r="CV223" s="500">
        <f>SUM(CV225:CV227)</f>
        <v>225.758690583908</v>
      </c>
      <c r="CW223" s="500">
        <f>SUM(CW225:CW227)</f>
        <v>0</v>
      </c>
      <c r="CX223" s="500">
        <f>SUM(CX225:CX227)</f>
        <v>0</v>
      </c>
      <c r="CY223" s="500">
        <f>SUM(CY225:CY227)</f>
        <v>0</v>
      </c>
      <c r="CZ223" s="500">
        <f>SUM(CZ225:CZ227)</f>
        <v>0</v>
      </c>
      <c r="DA223" s="500">
        <f>SUM(DA225:DA227)</f>
        <v>0</v>
      </c>
      <c r="DB223" s="500">
        <f>SUM(DB225:DB227)</f>
        <v>0</v>
      </c>
      <c r="DC223" s="500">
        <f>SUM(DC225:DC227)</f>
        <v>0</v>
      </c>
      <c r="DD223" s="500">
        <f>SUM(DD225:DD227)</f>
        <v>0</v>
      </c>
      <c r="DE223" s="500">
        <f>SUM(DE225:DE227)</f>
        <v>0</v>
      </c>
      <c r="DF223" s="500">
        <f>SUM(DF225:DF227)</f>
        <v>0</v>
      </c>
      <c r="DG223" s="500">
        <f>SUM(DG225:DG227)</f>
        <v>0</v>
      </c>
      <c r="DH223" s="500">
        <f>SUM(DH225:DH227)</f>
        <v>0</v>
      </c>
      <c r="DI223" s="500">
        <f>SUM(DI225:DI227)</f>
        <v>0</v>
      </c>
      <c r="DJ223" s="500">
        <f>SUM(DJ225:DJ227)</f>
        <v>0</v>
      </c>
      <c r="DK223" s="500">
        <f>SUM(DK225:DK227)</f>
        <v>0</v>
      </c>
      <c r="DL223" s="500">
        <f>SUM(DL225:DL227)</f>
        <v>0</v>
      </c>
      <c r="DM223" s="500">
        <f>SUM(DM225:DM227)</f>
        <v>0</v>
      </c>
      <c r="DN223" s="500">
        <f>SUM(DN225:DN227)</f>
        <v>0</v>
      </c>
      <c r="DO223" s="500">
        <f>SUM(DO225:DO227)</f>
        <v>0</v>
      </c>
      <c r="DP223" s="500">
        <f>SUM(DP225:DP227)</f>
        <v>0</v>
      </c>
      <c r="DQ223" s="500">
        <f>SUM(DQ225:DQ227)</f>
        <v>0</v>
      </c>
      <c r="DR223" s="500">
        <f>SUM(DR225:DR227)</f>
        <v>0</v>
      </c>
      <c r="DS223" s="500">
        <f>SUM(DS225:DS227)</f>
        <v>0</v>
      </c>
      <c r="DT223" s="500">
        <f>SUM(DT225:DT227)</f>
        <v>0</v>
      </c>
      <c r="DU223" s="500">
        <f>SUM(DU225:DU227)</f>
        <v>0</v>
      </c>
      <c r="DV223" s="500">
        <f>SUM(DV225:DV227)</f>
        <v>0</v>
      </c>
      <c r="DW223" s="500">
        <f>SUM(DW225:DW227)</f>
        <v>0</v>
      </c>
      <c r="DX223" s="500">
        <f>SUM(DX225:DX227)</f>
        <v>0</v>
      </c>
      <c r="DY223" s="500">
        <f>SUM(DY225:DY227)</f>
        <v>0</v>
      </c>
      <c r="DZ223" s="500">
        <f>SUM(DZ225:DZ227)</f>
        <v>0</v>
      </c>
      <c r="EA223" s="500">
        <f>SUM(EA225:EA227)</f>
        <v>0</v>
      </c>
      <c r="EB223" s="500">
        <f>SUM(EB225:EB227)</f>
        <v>0</v>
      </c>
      <c r="EC223" s="500">
        <f>SUM(EC225:EC227)</f>
        <v>0</v>
      </c>
      <c r="ED223" s="500">
        <f>SUM(ED225:ED227)</f>
        <v>0</v>
      </c>
      <c r="EE223" s="500">
        <f>SUM(EE225:EE227)</f>
        <v>0</v>
      </c>
      <c r="EF223" s="500">
        <f>SUM(EF225:EF227)</f>
        <v>0</v>
      </c>
      <c r="EG223" s="500">
        <f>SUM(EG225:EG227)</f>
        <v>0</v>
      </c>
      <c r="EH223" s="500">
        <f>SUM(EH225:EH227)</f>
        <v>0</v>
      </c>
      <c r="EI223" s="500">
        <f>SUM(EI225:EI227)</f>
        <v>0</v>
      </c>
      <c r="EJ223" s="500">
        <f>SUM(EJ225:EJ227)</f>
        <v>0</v>
      </c>
      <c r="EK223" s="500">
        <f>SUM(EK225:EK227)</f>
        <v>0</v>
      </c>
      <c r="EL223" s="500">
        <f>SUM(EL225:EL227)</f>
        <v>0</v>
      </c>
      <c r="EM223" s="500">
        <f>SUM(EM225:EM227)</f>
        <v>0</v>
      </c>
      <c r="EN223" s="500">
        <f>SUM(EN225:EN227)</f>
        <v>0</v>
      </c>
      <c r="EO223" s="500">
        <f>SUM(EO225:EO227)</f>
        <v>0</v>
      </c>
      <c r="EP223" s="500">
        <f>SUM(EP225:EP227)</f>
        <v>0</v>
      </c>
      <c r="EQ223" s="500">
        <f>SUM(EQ225:EQ227)</f>
        <v>0</v>
      </c>
      <c r="ER223" s="500">
        <f>SUM(ER225:ER227)</f>
        <v>0</v>
      </c>
      <c r="ES223" s="500">
        <f>SUM(ES225:ES227)</f>
        <v>0</v>
      </c>
      <c r="ET223" s="500">
        <f>SUM(ET225:ET227)</f>
        <v>0</v>
      </c>
      <c r="EU223" s="500">
        <f>SUM(EU225:EU227)</f>
        <v>0</v>
      </c>
      <c r="EV223" s="500">
        <f>SUM(EV225:EV227)</f>
        <v>0</v>
      </c>
      <c r="EW223" s="500">
        <f>SUM(EW225:EW227)</f>
        <v>0</v>
      </c>
      <c r="EX223" s="500">
        <f>SUM(EX225:EX227)</f>
        <v>0</v>
      </c>
      <c r="EY223" s="500">
        <f>SUM(EY225:EY227)</f>
        <v>0</v>
      </c>
      <c r="EZ223" s="500">
        <f>SUM(EZ225:EZ227)</f>
        <v>0</v>
      </c>
      <c r="FA223" s="500">
        <f>SUM(FA225:FA227)</f>
        <v>0</v>
      </c>
      <c r="FB223" s="1897"/>
      <c r="FC223" s="1751"/>
      <c r="FD223" s="1506"/>
      <c r="FE223" s="489" t="s">
        <v>954</v>
      </c>
      <c r="FF223" s="648"/>
      <c r="FG223" s="648"/>
      <c r="FH223" s="648"/>
      <c r="FI223" s="649"/>
      <c r="FJ223" s="649"/>
      <c r="FK223" s="1157" cm="1" t="str">
        <f t="array" ref="FK223:FK223">OFFSET(FJ223,-1,1)</f>
        <v>ТЭ.42.31656254.0001</v>
      </c>
      <c r="FL223" s="1078"/>
      <c r="FM223" s="1159"/>
      <c r="FN223" s="1159"/>
      <c r="FO223" s="1159"/>
      <c r="FP223" s="1159"/>
      <c r="FQ223" s="1159"/>
      <c r="FR223" s="1159"/>
      <c r="FS223" s="1159"/>
      <c r="FT223" s="1078" t="s">
        <v>948</v>
      </c>
      <c r="FU223" s="1159"/>
      <c r="FV223" s="1078" t="s">
        <v>449</v>
      </c>
      <c r="FW223" s="1159"/>
      <c r="FX223" s="1078" t="s">
        <v>303</v>
      </c>
      <c r="FY223" s="1078" t="s">
        <v>919</v>
      </c>
      <c r="FZ223" s="1078" t="s">
        <v>920</v>
      </c>
    </row>
    <row s="1751" customFormat="1" customHeight="1" ht="16.5" hidden="1">
      <c r="A224" s="371"/>
      <c r="B224" s="1548"/>
      <c r="C224" s="1548"/>
      <c r="D224" s="1548"/>
      <c r="E224" s="180">
        <v>17</v>
      </c>
      <c r="F224" s="175" cm="1" t="str">
        <f t="array" ref="F224:F224">OFFSET(G224,-1,-1)</f>
        <v>1</v>
      </c>
      <c r="G224" s="1659"/>
      <c r="H224" s="1659"/>
      <c r="I224" s="1659"/>
      <c r="J224" s="1659"/>
      <c r="K224" s="1659"/>
      <c r="L224" s="175" cm="1" t="str">
        <f t="array" ref="L224:L224">OFFSET(M224,-1,-1)</f>
        <v>false</v>
      </c>
      <c r="M224" s="1659"/>
      <c r="N224" s="1659"/>
      <c r="O224" s="1659"/>
      <c r="P224" s="1659"/>
      <c r="Q224" s="1659"/>
      <c r="R224" s="175" t="s">
        <v>804</v>
      </c>
      <c r="S224" s="175" cm="1" t="str">
        <f t="array" ref="S224:S224">OFFSET(T224,-1,-1)</f>
        <v>true</v>
      </c>
      <c r="T224" s="175" t="b">
        <v>0</v>
      </c>
      <c r="U224" s="753">
        <f>AND(S224,IF(ISBLANK(T224),TRUE,T224))</f>
        <v>0</v>
      </c>
      <c r="V224" s="1548"/>
      <c r="W224" s="1548"/>
      <c r="X224" s="1548"/>
      <c r="Y224" s="1548"/>
      <c r="Z224" s="1548"/>
      <c r="AA224" s="1009"/>
      <c r="AB224" s="1616"/>
      <c r="AC224" s="1751"/>
      <c r="AD224" s="491" t="str">
        <f>AD223&amp;".0"</f>
        <v>32.0</v>
      </c>
      <c r="AE224" s="537" t="s">
        <v>822</v>
      </c>
      <c r="AF224" s="368"/>
      <c r="AG224" s="470" t="s">
        <v>917</v>
      </c>
      <c r="AH224" s="88">
        <f>AH163*AH223</f>
        <v>638</v>
      </c>
      <c r="AI224" s="89">
        <f>AI$163*AI223</f>
        <v>692.83</v>
      </c>
      <c r="AJ224" s="89">
        <f>AJ$163*AJ223</f>
        <v>391.932783826851</v>
      </c>
      <c r="AK224" s="89">
        <f>AK$163*AK223</f>
        <v>578</v>
      </c>
      <c r="AL224" s="499">
        <f>AM224+AN224</f>
        <v>763.863955119215</v>
      </c>
      <c r="AM224" s="89">
        <f>AM$163*AM223</f>
        <v>435.278751753156</v>
      </c>
      <c r="AN224" s="89">
        <f>AN$163*AN223</f>
        <v>328.585203366059</v>
      </c>
      <c r="AO224" s="499">
        <f>AP224+AQ224</f>
        <v>0</v>
      </c>
      <c r="AP224" s="89">
        <f>AP$163*AP223</f>
        <v>0</v>
      </c>
      <c r="AQ224" s="89">
        <f>AQ$163*AQ223</f>
        <v>0</v>
      </c>
      <c r="AR224" s="499">
        <f>AS224+AT224</f>
        <v>0</v>
      </c>
      <c r="AS224" s="89">
        <f>AS$163*AS223</f>
        <v>0</v>
      </c>
      <c r="AT224" s="89">
        <f>AT$163*AT223</f>
        <v>0</v>
      </c>
      <c r="AU224" s="499">
        <f>AV224+AW224</f>
        <v>0</v>
      </c>
      <c r="AV224" s="89">
        <f>AV$163*AV223</f>
        <v>0</v>
      </c>
      <c r="AW224" s="89">
        <f>AW$163*AW223</f>
        <v>0</v>
      </c>
      <c r="AX224" s="499">
        <f>AY224+AZ224</f>
        <v>0</v>
      </c>
      <c r="AY224" s="89">
        <f>AY$163*AY223</f>
        <v>0</v>
      </c>
      <c r="AZ224" s="89">
        <f>AZ$163*AZ223</f>
        <v>0</v>
      </c>
      <c r="BA224" s="499">
        <f>BB224+BC224</f>
        <v>0</v>
      </c>
      <c r="BB224" s="89">
        <f>BB$163*BB223</f>
        <v>0</v>
      </c>
      <c r="BC224" s="89">
        <f>BC$163*BC223</f>
        <v>0</v>
      </c>
      <c r="BD224" s="499">
        <f>BE224+BF224</f>
        <v>0</v>
      </c>
      <c r="BE224" s="89">
        <f>BE$163*BE223</f>
        <v>0</v>
      </c>
      <c r="BF224" s="89">
        <f>BF$163*BF223</f>
        <v>0</v>
      </c>
      <c r="BG224" s="499">
        <f>BH224+BI224</f>
        <v>0</v>
      </c>
      <c r="BH224" s="89">
        <f>BH$163*BH223</f>
        <v>0</v>
      </c>
      <c r="BI224" s="89">
        <f>BI$163*BI223</f>
        <v>0</v>
      </c>
      <c r="BJ224" s="499">
        <f>BK224+BL224</f>
        <v>0</v>
      </c>
      <c r="BK224" s="89">
        <f>BK$163*BK223</f>
        <v>0</v>
      </c>
      <c r="BL224" s="89">
        <f>BL$163*BL223</f>
        <v>0</v>
      </c>
      <c r="BM224" s="499">
        <f>BN224+BO224</f>
        <v>0</v>
      </c>
      <c r="BN224" s="89">
        <f>BN$163*BN223</f>
        <v>0</v>
      </c>
      <c r="BO224" s="89">
        <f>BO$163*BO223</f>
        <v>0</v>
      </c>
      <c r="BP224" s="499">
        <f>BQ224+BR224</f>
        <v>0</v>
      </c>
      <c r="BQ224" s="89">
        <f>BQ$163*BQ223</f>
        <v>0</v>
      </c>
      <c r="BR224" s="89">
        <f>BR$163*BR223</f>
        <v>0</v>
      </c>
      <c r="BS224" s="499">
        <f>BT224+BU224</f>
        <v>0</v>
      </c>
      <c r="BT224" s="89">
        <f>BT$163*BT223</f>
        <v>0</v>
      </c>
      <c r="BU224" s="89">
        <f>BU$163*BU223</f>
        <v>0</v>
      </c>
      <c r="BV224" s="499">
        <f>BW224+BX224</f>
        <v>0</v>
      </c>
      <c r="BW224" s="89">
        <f>BW$163*BW223</f>
        <v>0</v>
      </c>
      <c r="BX224" s="89">
        <f>BX$163*BX223</f>
        <v>0</v>
      </c>
      <c r="BY224" s="499">
        <f>BZ224+CA224</f>
        <v>0</v>
      </c>
      <c r="BZ224" s="89">
        <f>BZ$163*BZ223</f>
        <v>0</v>
      </c>
      <c r="CA224" s="89">
        <f>CA$163*CA223</f>
        <v>0</v>
      </c>
      <c r="CB224" s="499">
        <f>CC224+CD224</f>
        <v>0</v>
      </c>
      <c r="CC224" s="89">
        <f>CC$163*CC223</f>
        <v>0</v>
      </c>
      <c r="CD224" s="89">
        <f>CD$163*CD223</f>
        <v>0</v>
      </c>
      <c r="CE224" s="499">
        <f>CF224+CG224</f>
        <v>0</v>
      </c>
      <c r="CF224" s="89">
        <f>CF$163*CF223</f>
        <v>0</v>
      </c>
      <c r="CG224" s="89">
        <f>CG$163*CG223</f>
        <v>0</v>
      </c>
      <c r="CH224" s="499">
        <f>CI224+CJ224</f>
        <v>0</v>
      </c>
      <c r="CI224" s="89">
        <f>CI$163*CI223</f>
        <v>0</v>
      </c>
      <c r="CJ224" s="89">
        <f>CJ$163*CJ223</f>
        <v>0</v>
      </c>
      <c r="CK224" s="499">
        <f>CL224+CM224</f>
        <v>0</v>
      </c>
      <c r="CL224" s="89">
        <f>CL$163*CL223</f>
        <v>0</v>
      </c>
      <c r="CM224" s="89">
        <f>CM$163*CM223</f>
        <v>0</v>
      </c>
      <c r="CN224" s="499">
        <f>CO224+CP224</f>
        <v>0</v>
      </c>
      <c r="CO224" s="89">
        <f>CO$163*CO223</f>
        <v>0</v>
      </c>
      <c r="CP224" s="89">
        <f>CP$163*CP223</f>
        <v>0</v>
      </c>
      <c r="CQ224" s="499">
        <f>CR224+CS224</f>
        <v>0</v>
      </c>
      <c r="CR224" s="89">
        <f>CR$163*CR223</f>
        <v>0</v>
      </c>
      <c r="CS224" s="89">
        <f>CS$163*CS223</f>
        <v>0</v>
      </c>
      <c r="CT224" s="499">
        <f>CU224+CV224</f>
        <v>524.99651365977</v>
      </c>
      <c r="CU224" s="498">
        <f>CU$163*CU223</f>
        <v>299.237823075862</v>
      </c>
      <c r="CV224" s="498">
        <f>CV$163*CV223</f>
        <v>225.758690583908</v>
      </c>
      <c r="CW224" s="499">
        <f>CX224+CY224</f>
        <v>0</v>
      </c>
      <c r="CX224" s="89">
        <f>CX$163*CX223</f>
        <v>0</v>
      </c>
      <c r="CY224" s="89">
        <f>CY$163*CY223</f>
        <v>0</v>
      </c>
      <c r="CZ224" s="499">
        <f>DA224+DB224</f>
        <v>0</v>
      </c>
      <c r="DA224" s="89">
        <f>DA$163*DA223</f>
        <v>0</v>
      </c>
      <c r="DB224" s="89">
        <f>DB$163*DB223</f>
        <v>0</v>
      </c>
      <c r="DC224" s="499">
        <f>DD224+DE224</f>
        <v>0</v>
      </c>
      <c r="DD224" s="89">
        <f>DD$163*DD223</f>
        <v>0</v>
      </c>
      <c r="DE224" s="89">
        <f>DE$163*DE223</f>
        <v>0</v>
      </c>
      <c r="DF224" s="499">
        <f>DG224+DH224</f>
        <v>0</v>
      </c>
      <c r="DG224" s="89">
        <f>DG$163*DG223</f>
        <v>0</v>
      </c>
      <c r="DH224" s="89">
        <f>DH$163*DH223</f>
        <v>0</v>
      </c>
      <c r="DI224" s="499">
        <f>DJ224+DK224</f>
        <v>0</v>
      </c>
      <c r="DJ224" s="89">
        <f>DJ$163*DJ223</f>
        <v>0</v>
      </c>
      <c r="DK224" s="89">
        <f>DK$163*DK223</f>
        <v>0</v>
      </c>
      <c r="DL224" s="499">
        <f>DM224+DN224</f>
        <v>0</v>
      </c>
      <c r="DM224" s="89">
        <f>DM$163*DM223</f>
        <v>0</v>
      </c>
      <c r="DN224" s="89">
        <f>DN$163*DN223</f>
        <v>0</v>
      </c>
      <c r="DO224" s="499">
        <f>DP224+DQ224</f>
        <v>0</v>
      </c>
      <c r="DP224" s="89">
        <f>DP$163*DP223</f>
        <v>0</v>
      </c>
      <c r="DQ224" s="89">
        <f>DQ$163*DQ223</f>
        <v>0</v>
      </c>
      <c r="DR224" s="499">
        <f>DS224+DT224</f>
        <v>0</v>
      </c>
      <c r="DS224" s="89">
        <f>DS$163*DS223</f>
        <v>0</v>
      </c>
      <c r="DT224" s="89">
        <f>DT$163*DT223</f>
        <v>0</v>
      </c>
      <c r="DU224" s="499">
        <f>DV224+DW224</f>
        <v>0</v>
      </c>
      <c r="DV224" s="89">
        <f>DV$163*DV223</f>
        <v>0</v>
      </c>
      <c r="DW224" s="89">
        <f>DW$163*DW223</f>
        <v>0</v>
      </c>
      <c r="DX224" s="499">
        <f>DY224+DZ224</f>
        <v>0</v>
      </c>
      <c r="DY224" s="89">
        <f>DY$163*DY223</f>
        <v>0</v>
      </c>
      <c r="DZ224" s="89">
        <f>DZ$163*DZ223</f>
        <v>0</v>
      </c>
      <c r="EA224" s="499">
        <f>EB224+EC224</f>
        <v>0</v>
      </c>
      <c r="EB224" s="89">
        <f>EB$163*EB223</f>
        <v>0</v>
      </c>
      <c r="EC224" s="89">
        <f>EC$163*EC223</f>
        <v>0</v>
      </c>
      <c r="ED224" s="499">
        <f>EE224+EF224</f>
        <v>0</v>
      </c>
      <c r="EE224" s="89">
        <f>EE$163*EE223</f>
        <v>0</v>
      </c>
      <c r="EF224" s="89">
        <f>EF$163*EF223</f>
        <v>0</v>
      </c>
      <c r="EG224" s="499">
        <f>EH224+EI224</f>
        <v>0</v>
      </c>
      <c r="EH224" s="89">
        <f>EH$163*EH223</f>
        <v>0</v>
      </c>
      <c r="EI224" s="89">
        <f>EI$163*EI223</f>
        <v>0</v>
      </c>
      <c r="EJ224" s="499">
        <f>EK224+EL224</f>
        <v>0</v>
      </c>
      <c r="EK224" s="89">
        <f>EK$163*EK223</f>
        <v>0</v>
      </c>
      <c r="EL224" s="89">
        <f>EL$163*EL223</f>
        <v>0</v>
      </c>
      <c r="EM224" s="499">
        <f>EN224+EO224</f>
        <v>0</v>
      </c>
      <c r="EN224" s="89">
        <f>EN$163*EN223</f>
        <v>0</v>
      </c>
      <c r="EO224" s="89">
        <f>EO$163*EO223</f>
        <v>0</v>
      </c>
      <c r="EP224" s="499">
        <f>EQ224+ER224</f>
        <v>0</v>
      </c>
      <c r="EQ224" s="89">
        <f>EQ$163*EQ223</f>
        <v>0</v>
      </c>
      <c r="ER224" s="89">
        <f>ER$163*ER223</f>
        <v>0</v>
      </c>
      <c r="ES224" s="499">
        <f>ET224+EU224</f>
        <v>0</v>
      </c>
      <c r="ET224" s="89">
        <f>ET$163*ET223</f>
        <v>0</v>
      </c>
      <c r="EU224" s="89">
        <f>EU$163*EU223</f>
        <v>0</v>
      </c>
      <c r="EV224" s="499">
        <f>EW224+EX224</f>
        <v>0</v>
      </c>
      <c r="EW224" s="89">
        <f>EW$163*EW223</f>
        <v>0</v>
      </c>
      <c r="EX224" s="89">
        <f>EX$163*EX223</f>
        <v>0</v>
      </c>
      <c r="EY224" s="499">
        <f>EZ224+FA224</f>
        <v>0</v>
      </c>
      <c r="EZ224" s="89">
        <f>EZ$163*EZ223</f>
        <v>0</v>
      </c>
      <c r="FA224" s="89">
        <f>FA$163*FA223</f>
        <v>0</v>
      </c>
      <c r="FB224" s="83"/>
      <c r="FC224" s="1751"/>
      <c r="FD224" s="1506"/>
      <c r="FE224" s="489" t="s">
        <v>955</v>
      </c>
      <c r="FF224" s="648"/>
      <c r="FG224" s="648"/>
      <c r="FH224" s="648"/>
      <c r="FI224" s="649"/>
      <c r="FJ224" s="649"/>
      <c r="FK224" s="1157" cm="1" t="str">
        <f t="array" ref="FK224:FK224">OFFSET(FJ224,-1,1)</f>
        <v>ТЭ.42.31656254.0001</v>
      </c>
      <c r="FL224" s="1159"/>
      <c r="FM224" s="1078" t="s">
        <v>824</v>
      </c>
      <c r="FN224" s="1159"/>
      <c r="FO224" s="1159"/>
      <c r="FP224" s="1159"/>
      <c r="FQ224" s="1159"/>
      <c r="FR224" s="1159"/>
      <c r="FS224" s="1159"/>
      <c r="FT224" s="1159"/>
      <c r="FU224" s="1159"/>
      <c r="FV224" s="1078" t="s">
        <v>219</v>
      </c>
      <c r="FW224" s="1159"/>
      <c r="FX224" s="1078" t="s">
        <v>303</v>
      </c>
      <c r="FY224" s="1078" t="s">
        <v>919</v>
      </c>
      <c r="FZ224" s="1078" t="s">
        <v>920</v>
      </c>
    </row>
    <row s="1751" customFormat="1" customHeight="1" ht="16.5" hidden="1">
      <c r="E225" s="180">
        <v>17</v>
      </c>
      <c r="F225" s="175" cm="1" t="str">
        <f t="array" ref="F225:F225">OFFSET(G225,-1,-1)</f>
        <v>1</v>
      </c>
      <c r="L225" s="175" cm="1" t="str">
        <f t="array" ref="L225:L225">OFFSET(M225,-1,-1)</f>
        <v>false</v>
      </c>
      <c r="S225" s="175" cm="1" t="str">
        <f t="array" ref="S225:S225">OFFSET(T225,-1,-1)</f>
        <v>true</v>
      </c>
      <c r="T225" s="175">
        <f>AD225&lt;&gt;"32.0"</f>
        <v>0</v>
      </c>
      <c r="U225" s="753">
        <f>AND(S225,IF(ISBLANK(T225),TRUE,T225))</f>
        <v>0</v>
      </c>
      <c r="X225" s="175" t="s">
        <v>189</v>
      </c>
      <c r="AB225" s="1616"/>
      <c r="AD225" s="491" t="s">
        <v>956</v>
      </c>
      <c r="AE225" s="514"/>
      <c r="AF225" s="515"/>
      <c r="AG225" s="470" t="s">
        <v>917</v>
      </c>
      <c r="AH225" s="88"/>
      <c r="AI225" s="89"/>
      <c r="AJ225" s="89"/>
      <c r="AK225" s="89"/>
      <c r="AL225" s="499">
        <f>AM225+AN225</f>
        <v>0</v>
      </c>
      <c r="AM225" s="89">
        <f>AM220*AM178/1000</f>
        <v>0</v>
      </c>
      <c r="AN225" s="89">
        <f>AN220*AN178/1000</f>
        <v>0</v>
      </c>
      <c r="AO225" s="499">
        <f>AP225+AQ225</f>
        <v>0</v>
      </c>
      <c r="AP225" s="89">
        <f>AP220*AP178/1000</f>
        <v>0</v>
      </c>
      <c r="AQ225" s="89">
        <f>AQ220*AQ178/1000</f>
        <v>0</v>
      </c>
      <c r="AR225" s="499">
        <f>AS225+AT225</f>
        <v>0</v>
      </c>
      <c r="AS225" s="89">
        <f>AS220*AS178/1000</f>
        <v>0</v>
      </c>
      <c r="AT225" s="89">
        <f>AT220*AT178/1000</f>
        <v>0</v>
      </c>
      <c r="AU225" s="499">
        <f>AV225+AW225</f>
        <v>0</v>
      </c>
      <c r="AV225" s="89">
        <f>AV220*AV178/1000</f>
        <v>0</v>
      </c>
      <c r="AW225" s="89">
        <f>AW220*AW178/1000</f>
        <v>0</v>
      </c>
      <c r="AX225" s="499">
        <f>AY225+AZ225</f>
        <v>0</v>
      </c>
      <c r="AY225" s="89">
        <f>AY220*AY178/1000</f>
        <v>0</v>
      </c>
      <c r="AZ225" s="89">
        <f>AZ220*AZ178/1000</f>
        <v>0</v>
      </c>
      <c r="BA225" s="499">
        <f>BB225+BC225</f>
        <v>0</v>
      </c>
      <c r="BB225" s="89">
        <f>BB220*BB178/1000</f>
        <v>0</v>
      </c>
      <c r="BC225" s="89">
        <f>BC220*BC178/1000</f>
        <v>0</v>
      </c>
      <c r="BD225" s="499">
        <f>BE225+BF225</f>
        <v>0</v>
      </c>
      <c r="BE225" s="89">
        <f>BE220*BE178/1000</f>
        <v>0</v>
      </c>
      <c r="BF225" s="89">
        <f>BF220*BF178/1000</f>
        <v>0</v>
      </c>
      <c r="BG225" s="499">
        <f>BH225+BI225</f>
        <v>0</v>
      </c>
      <c r="BH225" s="89">
        <f>BH220*BH178/1000</f>
        <v>0</v>
      </c>
      <c r="BI225" s="89">
        <f>BI220*BI178/1000</f>
        <v>0</v>
      </c>
      <c r="BJ225" s="499">
        <f>BK225+BL225</f>
        <v>0</v>
      </c>
      <c r="BK225" s="89">
        <f>BK220*BK178/1000</f>
        <v>0</v>
      </c>
      <c r="BL225" s="89">
        <f>BL220*BL178/1000</f>
        <v>0</v>
      </c>
      <c r="BM225" s="499">
        <f>BN225+BO225</f>
        <v>0</v>
      </c>
      <c r="BN225" s="89">
        <f>BN220*BN178/1000</f>
        <v>0</v>
      </c>
      <c r="BO225" s="89">
        <f>BO220*BO178/1000</f>
        <v>0</v>
      </c>
      <c r="BP225" s="499">
        <f>BQ225+BR225</f>
        <v>0</v>
      </c>
      <c r="BQ225" s="89">
        <f>BQ220*BQ178/1000</f>
        <v>0</v>
      </c>
      <c r="BR225" s="89">
        <f>BR220*BR178/1000</f>
        <v>0</v>
      </c>
      <c r="BS225" s="499">
        <f>BT225+BU225</f>
        <v>0</v>
      </c>
      <c r="BT225" s="89">
        <f>BT220*BT178/1000</f>
        <v>0</v>
      </c>
      <c r="BU225" s="89">
        <f>BU220*BU178/1000</f>
        <v>0</v>
      </c>
      <c r="BV225" s="499">
        <f>BW225+BX225</f>
        <v>0</v>
      </c>
      <c r="BW225" s="89">
        <f>BW220*BW178/1000</f>
        <v>0</v>
      </c>
      <c r="BX225" s="89">
        <f>BX220*BX178/1000</f>
        <v>0</v>
      </c>
      <c r="BY225" s="499">
        <f>BZ225+CA225</f>
        <v>0</v>
      </c>
      <c r="BZ225" s="89">
        <f>BZ220*BZ178/1000</f>
        <v>0</v>
      </c>
      <c r="CA225" s="89">
        <f>CA220*CA178/1000</f>
        <v>0</v>
      </c>
      <c r="CB225" s="499">
        <f>CC225+CD225</f>
        <v>0</v>
      </c>
      <c r="CC225" s="89">
        <f>CC220*CC178/1000</f>
        <v>0</v>
      </c>
      <c r="CD225" s="89">
        <f>CD220*CD178/1000</f>
        <v>0</v>
      </c>
      <c r="CE225" s="499">
        <f>CF225+CG225</f>
        <v>0</v>
      </c>
      <c r="CF225" s="89">
        <f>CF220*CF178/1000</f>
        <v>0</v>
      </c>
      <c r="CG225" s="89">
        <f>CG220*CG178/1000</f>
        <v>0</v>
      </c>
      <c r="CH225" s="499">
        <f>CI225+CJ225</f>
        <v>0</v>
      </c>
      <c r="CI225" s="89">
        <f>CI220*CI178/1000</f>
        <v>0</v>
      </c>
      <c r="CJ225" s="89">
        <f>CJ220*CJ178/1000</f>
        <v>0</v>
      </c>
      <c r="CK225" s="499">
        <f>CL225+CM225</f>
        <v>0</v>
      </c>
      <c r="CL225" s="89">
        <f>CL220*CL178/1000</f>
        <v>0</v>
      </c>
      <c r="CM225" s="89">
        <f>CM220*CM178/1000</f>
        <v>0</v>
      </c>
      <c r="CN225" s="499">
        <f>CO225+CP225</f>
        <v>0</v>
      </c>
      <c r="CO225" s="89">
        <f>CO220*CO178/1000</f>
        <v>0</v>
      </c>
      <c r="CP225" s="89">
        <f>CP220*CP178/1000</f>
        <v>0</v>
      </c>
      <c r="CQ225" s="499">
        <f>CR225+CS225</f>
        <v>0</v>
      </c>
      <c r="CR225" s="89">
        <f>CR220*CR178/1000</f>
        <v>0</v>
      </c>
      <c r="CS225" s="89">
        <f>CS220*CS178/1000</f>
        <v>0</v>
      </c>
      <c r="CT225" s="499">
        <f>CU225+CV225</f>
        <v>0</v>
      </c>
      <c r="CU225" s="498">
        <f>CU220*CU178/1000</f>
        <v>0</v>
      </c>
      <c r="CV225" s="498">
        <f>CV220*CV178/1000</f>
        <v>0</v>
      </c>
      <c r="CW225" s="499">
        <f>CX225+CY225</f>
        <v>0</v>
      </c>
      <c r="CX225" s="89">
        <f>CX220*CX178/1000</f>
        <v>0</v>
      </c>
      <c r="CY225" s="89">
        <f>CY220*CY178/1000</f>
        <v>0</v>
      </c>
      <c r="CZ225" s="499">
        <f>DA225+DB225</f>
        <v>0</v>
      </c>
      <c r="DA225" s="89">
        <f>DA220*DA178/1000</f>
        <v>0</v>
      </c>
      <c r="DB225" s="89">
        <f>DB220*DB178/1000</f>
        <v>0</v>
      </c>
      <c r="DC225" s="499">
        <f>DD225+DE225</f>
        <v>0</v>
      </c>
      <c r="DD225" s="89">
        <f>DD220*DD178/1000</f>
        <v>0</v>
      </c>
      <c r="DE225" s="89">
        <f>DE220*DE178/1000</f>
        <v>0</v>
      </c>
      <c r="DF225" s="499">
        <f>DG225+DH225</f>
        <v>0</v>
      </c>
      <c r="DG225" s="89">
        <f>DG220*DG178/1000</f>
        <v>0</v>
      </c>
      <c r="DH225" s="89">
        <f>DH220*DH178/1000</f>
        <v>0</v>
      </c>
      <c r="DI225" s="499">
        <f>DJ225+DK225</f>
        <v>0</v>
      </c>
      <c r="DJ225" s="89">
        <f>DJ220*DJ178/1000</f>
        <v>0</v>
      </c>
      <c r="DK225" s="89">
        <f>DK220*DK178/1000</f>
        <v>0</v>
      </c>
      <c r="DL225" s="499">
        <f>DM225+DN225</f>
        <v>0</v>
      </c>
      <c r="DM225" s="89">
        <f>DM220*DM178/1000</f>
        <v>0</v>
      </c>
      <c r="DN225" s="89">
        <f>DN220*DN178/1000</f>
        <v>0</v>
      </c>
      <c r="DO225" s="499">
        <f>DP225+DQ225</f>
        <v>0</v>
      </c>
      <c r="DP225" s="89">
        <f>DP220*DP178/1000</f>
        <v>0</v>
      </c>
      <c r="DQ225" s="89">
        <f>DQ220*DQ178/1000</f>
        <v>0</v>
      </c>
      <c r="DR225" s="499">
        <f>DS225+DT225</f>
        <v>0</v>
      </c>
      <c r="DS225" s="89">
        <f>DS220*DS178/1000</f>
        <v>0</v>
      </c>
      <c r="DT225" s="89">
        <f>DT220*DT178/1000</f>
        <v>0</v>
      </c>
      <c r="DU225" s="499">
        <f>DV225+DW225</f>
        <v>0</v>
      </c>
      <c r="DV225" s="89">
        <f>DV220*DV178/1000</f>
        <v>0</v>
      </c>
      <c r="DW225" s="89">
        <f>DW220*DW178/1000</f>
        <v>0</v>
      </c>
      <c r="DX225" s="499">
        <f>DY225+DZ225</f>
        <v>0</v>
      </c>
      <c r="DY225" s="89">
        <f>DY220*DY178/1000</f>
        <v>0</v>
      </c>
      <c r="DZ225" s="89">
        <f>DZ220*DZ178/1000</f>
        <v>0</v>
      </c>
      <c r="EA225" s="499">
        <f>EB225+EC225</f>
        <v>0</v>
      </c>
      <c r="EB225" s="89">
        <f>EB220*EB178/1000</f>
        <v>0</v>
      </c>
      <c r="EC225" s="89">
        <f>EC220*EC178/1000</f>
        <v>0</v>
      </c>
      <c r="ED225" s="499">
        <f>EE225+EF225</f>
        <v>0</v>
      </c>
      <c r="EE225" s="89">
        <f>EE220*EE178/1000</f>
        <v>0</v>
      </c>
      <c r="EF225" s="89">
        <f>EF220*EF178/1000</f>
        <v>0</v>
      </c>
      <c r="EG225" s="499">
        <f>EH225+EI225</f>
        <v>0</v>
      </c>
      <c r="EH225" s="89">
        <f>EH220*EH178/1000</f>
        <v>0</v>
      </c>
      <c r="EI225" s="89">
        <f>EI220*EI178/1000</f>
        <v>0</v>
      </c>
      <c r="EJ225" s="499">
        <f>EK225+EL225</f>
        <v>0</v>
      </c>
      <c r="EK225" s="89">
        <f>EK220*EK178/1000</f>
        <v>0</v>
      </c>
      <c r="EL225" s="89">
        <f>EL220*EL178/1000</f>
        <v>0</v>
      </c>
      <c r="EM225" s="499">
        <f>EN225+EO225</f>
        <v>0</v>
      </c>
      <c r="EN225" s="89">
        <f>EN220*EN178/1000</f>
        <v>0</v>
      </c>
      <c r="EO225" s="89">
        <f>EO220*EO178/1000</f>
        <v>0</v>
      </c>
      <c r="EP225" s="499">
        <f>EQ225+ER225</f>
        <v>0</v>
      </c>
      <c r="EQ225" s="89">
        <f>EQ220*EQ178/1000</f>
        <v>0</v>
      </c>
      <c r="ER225" s="89">
        <f>ER220*ER178/1000</f>
        <v>0</v>
      </c>
      <c r="ES225" s="499">
        <f>ET225+EU225</f>
        <v>0</v>
      </c>
      <c r="ET225" s="89">
        <f>ET220*ET178/1000</f>
        <v>0</v>
      </c>
      <c r="EU225" s="89">
        <f>EU220*EU178/1000</f>
        <v>0</v>
      </c>
      <c r="EV225" s="499">
        <f>EW225+EX225</f>
        <v>0</v>
      </c>
      <c r="EW225" s="89">
        <f>EW220*EW178/1000</f>
        <v>0</v>
      </c>
      <c r="EX225" s="89">
        <f>EX220*EX178/1000</f>
        <v>0</v>
      </c>
      <c r="EY225" s="499">
        <f>EZ225+FA225</f>
        <v>0</v>
      </c>
      <c r="EZ225" s="89">
        <f>EZ220*EZ178/1000</f>
        <v>0</v>
      </c>
      <c r="FA225" s="89">
        <f>FA220*FA178/1000</f>
        <v>0</v>
      </c>
      <c r="FB225" s="83"/>
      <c r="FE225" s="489" t="s">
        <v>955</v>
      </c>
      <c r="FF225" s="648" t="s">
        <v>890</v>
      </c>
      <c r="FG225" s="648" cm="1" t="str">
        <f t="array" ref="FG225:FG225">AE225</f>
        <v>0</v>
      </c>
      <c r="FH225" s="648" cm="1" t="str">
        <f t="array" ref="FH225:FH225">AF225</f>
        <v>0</v>
      </c>
      <c r="FI225" s="649"/>
      <c r="FJ225" s="649"/>
      <c r="FK225" s="1157" cm="1" t="str">
        <f t="array" ref="FK225:FK225">OFFSET(FJ225,-1,1)</f>
        <v>ТЭ.42.31656254.0001</v>
      </c>
      <c r="FL225" s="1159"/>
      <c r="FM225" s="1159"/>
      <c r="FN225" s="1159"/>
      <c r="FO225" s="1159"/>
      <c r="FP225" s="1159"/>
      <c r="FQ225" s="1159"/>
      <c r="FR225" s="1159"/>
      <c r="FS225" s="1159"/>
      <c r="FT225" s="1159" t="s">
        <v>948</v>
      </c>
      <c r="FU225" s="1159"/>
      <c r="FV225" s="1159" t="s">
        <v>449</v>
      </c>
      <c r="FW225" s="1078" t="str">
        <f>$AE225&amp;"|"&amp;$AF225</f>
        <v>|</v>
      </c>
      <c r="FX225" s="1159" t="s">
        <v>303</v>
      </c>
      <c r="FY225" s="1159" t="s">
        <v>919</v>
      </c>
      <c r="FZ225" s="1159" t="s">
        <v>920</v>
      </c>
    </row>
    <row s="1751" customFormat="1" customHeight="1" ht="16.5">
      <c r="A226" s="1751"/>
      <c r="B226" s="1751"/>
      <c r="C226" s="1751"/>
      <c r="D226" s="1751"/>
      <c r="E226" s="180">
        <v>17</v>
      </c>
      <c r="F226" s="175" cm="1" t="str">
        <f t="array" ref="F226:F226">OFFSET(G226,-1,-1)</f>
        <v>1</v>
      </c>
      <c r="G226" s="1751"/>
      <c r="H226" s="1751"/>
      <c r="I226" s="1751"/>
      <c r="J226" s="1751"/>
      <c r="K226" s="1751"/>
      <c r="L226" s="175" cm="1" t="str">
        <f t="array" ref="L226:L226">OFFSET(M226,-1,-1)</f>
        <v>false</v>
      </c>
      <c r="M226" s="1751"/>
      <c r="N226" s="1751"/>
      <c r="O226" s="1751"/>
      <c r="P226" s="1751"/>
      <c r="Q226" s="1751"/>
      <c r="R226" s="1751"/>
      <c r="S226" s="175" cm="1" t="str">
        <f t="array" ref="S226:S226">OFFSET(T226,-1,-1)</f>
        <v>true</v>
      </c>
      <c r="T226" s="175">
        <f>AD226&lt;&gt;"32.0"</f>
        <v>1</v>
      </c>
      <c r="U226" s="753">
        <f>AND(S226,IF(ISBLANK(T226),TRUE,T226))</f>
        <v>1</v>
      </c>
      <c r="V226" s="1751"/>
      <c r="W226" s="1751"/>
      <c r="X226" s="175" t="str">
        <f>'Топливо 4.4'!$AE$221&amp;'Топливо 4.4'!$AF$221</f>
        <v>Уголь длиннопламенный</v>
      </c>
      <c r="Y226" s="1751"/>
      <c r="Z226" s="1751"/>
      <c r="AA226" s="1751"/>
      <c r="AB226" s="1616"/>
      <c r="AC226" s="1751"/>
      <c r="AD226" s="491" t="s">
        <v>1024</v>
      </c>
      <c r="AE226" s="514" cm="1" t="str">
        <f t="array" ref="AE226:AE226">IF(ISBLANK('Топливо 4.4'!$AE$221),"",'Топливо 4.4'!$AE$221)</f>
        <v>Уголь длиннопламенный</v>
      </c>
      <c r="AF226" s="515" cm="1" t="str">
        <f t="array" ref="AF226:AF226">IF(ISBLANK('Топливо 4.4'!$AF$221),"",'Топливо 4.4'!$AF$221)</f>
        <v/>
      </c>
      <c r="AG226" s="470" t="s">
        <v>917</v>
      </c>
      <c r="AH226" s="2255">
        <v>638</v>
      </c>
      <c r="AI226" s="2256">
        <f>3971.15-AI192</f>
        <v>692.83</v>
      </c>
      <c r="AJ226" s="2256">
        <f>391.902783826851+0.03</f>
        <v>391.932783826851</v>
      </c>
      <c r="AK226" s="2256">
        <v>578</v>
      </c>
      <c r="AL226" s="499">
        <f>AM226+AN226</f>
        <v>763.863955119215</v>
      </c>
      <c r="AM226" s="2256">
        <f>AM221*AM179/1000</f>
        <v>435.278751753156</v>
      </c>
      <c r="AN226" s="2256">
        <f>AN221*AN179/1000</f>
        <v>328.585203366059</v>
      </c>
      <c r="AO226" s="499">
        <f>AP226+AQ226</f>
        <v>0</v>
      </c>
      <c r="AP226" s="2256">
        <f>AP221*AP179/1000</f>
        <v>0</v>
      </c>
      <c r="AQ226" s="2256">
        <f>AQ221*AQ179/1000</f>
        <v>0</v>
      </c>
      <c r="AR226" s="499">
        <f>AS226+AT226</f>
        <v>0</v>
      </c>
      <c r="AS226" s="2256">
        <f>AS221*AS179/1000</f>
        <v>0</v>
      </c>
      <c r="AT226" s="2256">
        <f>AT221*AT179/1000</f>
        <v>0</v>
      </c>
      <c r="AU226" s="499">
        <f>AV226+AW226</f>
        <v>0</v>
      </c>
      <c r="AV226" s="2256">
        <f>AV221*AV179/1000</f>
        <v>0</v>
      </c>
      <c r="AW226" s="2256">
        <f>AW221*AW179/1000</f>
        <v>0</v>
      </c>
      <c r="AX226" s="499">
        <f>AY226+AZ226</f>
        <v>0</v>
      </c>
      <c r="AY226" s="2256">
        <f>AY221*AY179/1000</f>
        <v>0</v>
      </c>
      <c r="AZ226" s="2256">
        <f>AZ221*AZ179/1000</f>
        <v>0</v>
      </c>
      <c r="BA226" s="499">
        <f>BB226+BC226</f>
        <v>0</v>
      </c>
      <c r="BB226" s="2256">
        <f>BB221*BB179/1000</f>
        <v>0</v>
      </c>
      <c r="BC226" s="2256">
        <f>BC221*BC179/1000</f>
        <v>0</v>
      </c>
      <c r="BD226" s="499">
        <f>BE226+BF226</f>
        <v>0</v>
      </c>
      <c r="BE226" s="2256">
        <f>BE221*BE179/1000</f>
        <v>0</v>
      </c>
      <c r="BF226" s="2256">
        <f>BF221*BF179/1000</f>
        <v>0</v>
      </c>
      <c r="BG226" s="499">
        <f>BH226+BI226</f>
        <v>0</v>
      </c>
      <c r="BH226" s="2256">
        <f>BH221*BH179/1000</f>
        <v>0</v>
      </c>
      <c r="BI226" s="2256">
        <f>BI221*BI179/1000</f>
        <v>0</v>
      </c>
      <c r="BJ226" s="499">
        <f>BK226+BL226</f>
        <v>0</v>
      </c>
      <c r="BK226" s="2256">
        <f>BK221*BK179/1000</f>
        <v>0</v>
      </c>
      <c r="BL226" s="2256">
        <f>BL221*BL179/1000</f>
        <v>0</v>
      </c>
      <c r="BM226" s="499">
        <f>BN226+BO226</f>
        <v>0</v>
      </c>
      <c r="BN226" s="2256">
        <f>BN221*BN179/1000</f>
        <v>0</v>
      </c>
      <c r="BO226" s="2256">
        <f>BO221*BO179/1000</f>
        <v>0</v>
      </c>
      <c r="BP226" s="499">
        <f>BQ226+BR226</f>
        <v>0</v>
      </c>
      <c r="BQ226" s="2256">
        <f>BQ221*BQ179/1000</f>
        <v>0</v>
      </c>
      <c r="BR226" s="2256">
        <f>BR221*BR179/1000</f>
        <v>0</v>
      </c>
      <c r="BS226" s="499">
        <f>BT226+BU226</f>
        <v>0</v>
      </c>
      <c r="BT226" s="2256">
        <f>BT221*BT179/1000</f>
        <v>0</v>
      </c>
      <c r="BU226" s="2256">
        <f>BU221*BU179/1000</f>
        <v>0</v>
      </c>
      <c r="BV226" s="499">
        <f>BW226+BX226</f>
        <v>0</v>
      </c>
      <c r="BW226" s="2256">
        <f>BW221*BW179/1000</f>
        <v>0</v>
      </c>
      <c r="BX226" s="2256">
        <f>BX221*BX179/1000</f>
        <v>0</v>
      </c>
      <c r="BY226" s="499">
        <f>BZ226+CA226</f>
        <v>0</v>
      </c>
      <c r="BZ226" s="2256">
        <f>BZ221*BZ179/1000</f>
        <v>0</v>
      </c>
      <c r="CA226" s="2256">
        <f>CA221*CA179/1000</f>
        <v>0</v>
      </c>
      <c r="CB226" s="499">
        <f>CC226+CD226</f>
        <v>0</v>
      </c>
      <c r="CC226" s="2256">
        <f>CC221*CC179/1000</f>
        <v>0</v>
      </c>
      <c r="CD226" s="2256">
        <f>CD221*CD179/1000</f>
        <v>0</v>
      </c>
      <c r="CE226" s="499">
        <f>CF226+CG226</f>
        <v>0</v>
      </c>
      <c r="CF226" s="2256">
        <f>CF221*CF179/1000</f>
        <v>0</v>
      </c>
      <c r="CG226" s="2256">
        <f>CG221*CG179/1000</f>
        <v>0</v>
      </c>
      <c r="CH226" s="499">
        <f>CI226+CJ226</f>
        <v>0</v>
      </c>
      <c r="CI226" s="2256">
        <f>CI221*CI179/1000</f>
        <v>0</v>
      </c>
      <c r="CJ226" s="2256">
        <f>CJ221*CJ179/1000</f>
        <v>0</v>
      </c>
      <c r="CK226" s="499">
        <f>CL226+CM226</f>
        <v>0</v>
      </c>
      <c r="CL226" s="2256">
        <f>CL221*CL179/1000</f>
        <v>0</v>
      </c>
      <c r="CM226" s="2256">
        <f>CM221*CM179/1000</f>
        <v>0</v>
      </c>
      <c r="CN226" s="499">
        <f>CO226+CP226</f>
        <v>0</v>
      </c>
      <c r="CO226" s="2256">
        <f>CO221*CO179/1000</f>
        <v>0</v>
      </c>
      <c r="CP226" s="2256">
        <f>CP221*CP179/1000</f>
        <v>0</v>
      </c>
      <c r="CQ226" s="499">
        <f>CR226+CS226</f>
        <v>0</v>
      </c>
      <c r="CR226" s="2256">
        <f>CR221*CR179/1000</f>
        <v>0</v>
      </c>
      <c r="CS226" s="2256">
        <f>CS221*CS179/1000</f>
        <v>0</v>
      </c>
      <c r="CT226" s="499">
        <f>CU226+CV226</f>
        <v>524.99651365977</v>
      </c>
      <c r="CU226" s="498">
        <f>CU221*CU179/1000</f>
        <v>299.237823075862</v>
      </c>
      <c r="CV226" s="498">
        <f>CV221*CV179/1000</f>
        <v>225.758690583908</v>
      </c>
      <c r="CW226" s="499">
        <f>CX226+CY226</f>
        <v>0</v>
      </c>
      <c r="CX226" s="2256">
        <f>CX221*CX179/1000</f>
        <v>0</v>
      </c>
      <c r="CY226" s="2256">
        <f>CY221*CY179/1000</f>
        <v>0</v>
      </c>
      <c r="CZ226" s="499">
        <f>DA226+DB226</f>
        <v>0</v>
      </c>
      <c r="DA226" s="2256">
        <f>DA221*DA179/1000</f>
        <v>0</v>
      </c>
      <c r="DB226" s="2256">
        <f>DB221*DB179/1000</f>
        <v>0</v>
      </c>
      <c r="DC226" s="499">
        <f>DD226+DE226</f>
        <v>0</v>
      </c>
      <c r="DD226" s="2256">
        <f>DD221*DD179/1000</f>
        <v>0</v>
      </c>
      <c r="DE226" s="2256">
        <f>DE221*DE179/1000</f>
        <v>0</v>
      </c>
      <c r="DF226" s="499">
        <f>DG226+DH226</f>
        <v>0</v>
      </c>
      <c r="DG226" s="2256">
        <f>DG221*DG179/1000</f>
        <v>0</v>
      </c>
      <c r="DH226" s="2256">
        <f>DH221*DH179/1000</f>
        <v>0</v>
      </c>
      <c r="DI226" s="499">
        <f>DJ226+DK226</f>
        <v>0</v>
      </c>
      <c r="DJ226" s="2256">
        <f>DJ221*DJ179/1000</f>
        <v>0</v>
      </c>
      <c r="DK226" s="2256">
        <f>DK221*DK179/1000</f>
        <v>0</v>
      </c>
      <c r="DL226" s="499">
        <f>DM226+DN226</f>
        <v>0</v>
      </c>
      <c r="DM226" s="2256">
        <f>DM221*DM179/1000</f>
        <v>0</v>
      </c>
      <c r="DN226" s="2256">
        <f>DN221*DN179/1000</f>
        <v>0</v>
      </c>
      <c r="DO226" s="499">
        <f>DP226+DQ226</f>
        <v>0</v>
      </c>
      <c r="DP226" s="2256">
        <f>DP221*DP179/1000</f>
        <v>0</v>
      </c>
      <c r="DQ226" s="2256">
        <f>DQ221*DQ179/1000</f>
        <v>0</v>
      </c>
      <c r="DR226" s="499">
        <f>DS226+DT226</f>
        <v>0</v>
      </c>
      <c r="DS226" s="2256">
        <f>DS221*DS179/1000</f>
        <v>0</v>
      </c>
      <c r="DT226" s="2256">
        <f>DT221*DT179/1000</f>
        <v>0</v>
      </c>
      <c r="DU226" s="499">
        <f>DV226+DW226</f>
        <v>0</v>
      </c>
      <c r="DV226" s="2256">
        <f>DV221*DV179/1000</f>
        <v>0</v>
      </c>
      <c r="DW226" s="2256">
        <f>DW221*DW179/1000</f>
        <v>0</v>
      </c>
      <c r="DX226" s="499">
        <f>DY226+DZ226</f>
        <v>0</v>
      </c>
      <c r="DY226" s="2256">
        <f>DY221*DY179/1000</f>
        <v>0</v>
      </c>
      <c r="DZ226" s="2256">
        <f>DZ221*DZ179/1000</f>
        <v>0</v>
      </c>
      <c r="EA226" s="499">
        <f>EB226+EC226</f>
        <v>0</v>
      </c>
      <c r="EB226" s="2256">
        <f>EB221*EB179/1000</f>
        <v>0</v>
      </c>
      <c r="EC226" s="2256">
        <f>EC221*EC179/1000</f>
        <v>0</v>
      </c>
      <c r="ED226" s="499">
        <f>EE226+EF226</f>
        <v>0</v>
      </c>
      <c r="EE226" s="2256">
        <f>EE221*EE179/1000</f>
        <v>0</v>
      </c>
      <c r="EF226" s="2256">
        <f>EF221*EF179/1000</f>
        <v>0</v>
      </c>
      <c r="EG226" s="499">
        <f>EH226+EI226</f>
        <v>0</v>
      </c>
      <c r="EH226" s="2256">
        <f>EH221*EH179/1000</f>
        <v>0</v>
      </c>
      <c r="EI226" s="2256">
        <f>EI221*EI179/1000</f>
        <v>0</v>
      </c>
      <c r="EJ226" s="499">
        <f>EK226+EL226</f>
        <v>0</v>
      </c>
      <c r="EK226" s="2256">
        <f>EK221*EK179/1000</f>
        <v>0</v>
      </c>
      <c r="EL226" s="2256">
        <f>EL221*EL179/1000</f>
        <v>0</v>
      </c>
      <c r="EM226" s="499">
        <f>EN226+EO226</f>
        <v>0</v>
      </c>
      <c r="EN226" s="2256">
        <f>EN221*EN179/1000</f>
        <v>0</v>
      </c>
      <c r="EO226" s="2256">
        <f>EO221*EO179/1000</f>
        <v>0</v>
      </c>
      <c r="EP226" s="499">
        <f>EQ226+ER226</f>
        <v>0</v>
      </c>
      <c r="EQ226" s="2256">
        <f>EQ221*EQ179/1000</f>
        <v>0</v>
      </c>
      <c r="ER226" s="2256">
        <f>ER221*ER179/1000</f>
        <v>0</v>
      </c>
      <c r="ES226" s="499">
        <f>ET226+EU226</f>
        <v>0</v>
      </c>
      <c r="ET226" s="2256">
        <f>ET221*ET179/1000</f>
        <v>0</v>
      </c>
      <c r="EU226" s="2256">
        <f>EU221*EU179/1000</f>
        <v>0</v>
      </c>
      <c r="EV226" s="499">
        <f>EW226+EX226</f>
        <v>0</v>
      </c>
      <c r="EW226" s="2256">
        <f>EW221*EW179/1000</f>
        <v>0</v>
      </c>
      <c r="EX226" s="2256">
        <f>EX221*EX179/1000</f>
        <v>0</v>
      </c>
      <c r="EY226" s="499">
        <f>EZ226+FA226</f>
        <v>0</v>
      </c>
      <c r="EZ226" s="2256">
        <f>EZ221*EZ179/1000</f>
        <v>0</v>
      </c>
      <c r="FA226" s="2256">
        <f>FA221*FA179/1000</f>
        <v>0</v>
      </c>
      <c r="FB226" s="1897"/>
      <c r="FC226" s="1751"/>
      <c r="FD226" s="1751"/>
      <c r="FE226" s="489" t="s">
        <v>955</v>
      </c>
      <c r="FF226" s="648" t="s">
        <v>890</v>
      </c>
      <c r="FG226" s="648" cm="1" t="str">
        <f t="array" ref="FG226:FG226">AE226</f>
        <v>Уголь длиннопламенный</v>
      </c>
      <c r="FH226" s="648" cm="1" t="str">
        <f t="array" ref="FH226:FH226">AF226</f>
        <v/>
      </c>
      <c r="FI226" s="649"/>
      <c r="FJ226" s="649"/>
      <c r="FK226" s="1157" cm="1" t="str">
        <f t="array" ref="FK226:FK226">OFFSET(FJ226,-1,1)</f>
        <v>ТЭ.42.31656254.0001</v>
      </c>
      <c r="FL226" s="1159"/>
      <c r="FM226" s="1159"/>
      <c r="FN226" s="1159"/>
      <c r="FO226" s="1159"/>
      <c r="FP226" s="1159"/>
      <c r="FQ226" s="1159"/>
      <c r="FR226" s="1159"/>
      <c r="FS226" s="1159"/>
      <c r="FT226" s="1159" t="s">
        <v>948</v>
      </c>
      <c r="FU226" s="1159"/>
      <c r="FV226" s="1159" t="s">
        <v>449</v>
      </c>
      <c r="FW226" s="1078" t="str">
        <f>$AE226&amp;"|"&amp;$AF226</f>
        <v>Уголь длиннопламенный|</v>
      </c>
      <c r="FX226" s="1159" t="s">
        <v>303</v>
      </c>
      <c r="FY226" s="1159" t="s">
        <v>919</v>
      </c>
      <c r="FZ226" s="1159" t="s">
        <v>920</v>
      </c>
    </row>
    <row s="1751" customFormat="1" customHeight="1" ht="15" hidden="1">
      <c r="A227" s="371"/>
      <c r="B227" s="1548"/>
      <c r="C227" s="1548"/>
      <c r="D227" s="1548"/>
      <c r="E227" s="965">
        <v>0</v>
      </c>
      <c r="F227" s="175" cm="1" t="str">
        <f t="array" ref="F227:F227">OFFSET(G227,-1,-1)</f>
        <v>1</v>
      </c>
      <c r="G227" s="1659"/>
      <c r="H227" s="1659"/>
      <c r="I227" s="1659"/>
      <c r="J227" s="1659"/>
      <c r="K227" s="1659"/>
      <c r="L227" s="175" cm="1" t="str">
        <f t="array" ref="L227:L227">OFFSET(M227,-1,-1)</f>
        <v>false</v>
      </c>
      <c r="M227" s="1659"/>
      <c r="N227" s="1659"/>
      <c r="O227" s="1659"/>
      <c r="P227" s="1659"/>
      <c r="Q227" s="1659"/>
      <c r="R227" s="1548"/>
      <c r="S227" s="175" cm="1" t="str">
        <f t="array" ref="S227:S227">OFFSET(T227,-1,-1)</f>
        <v>true</v>
      </c>
      <c r="T227" s="1548"/>
      <c r="U227" s="753">
        <f>AND(S227,IF(ISBLANK(T227),TRUE,T227))</f>
        <v>1</v>
      </c>
      <c r="V227" s="1548"/>
      <c r="W227" s="1548"/>
      <c r="X227" s="980" t="str">
        <f>"{                  
         funcDyn: 'msg1',
         blok: 'blok_2',
         wsCross: 'Топливо 4.4',
         linkFormula: 'AE-AE#AF-AF',
         levelDyn: "&amp;Y139&amp;"
}"</f>
        <v>{                  
         funcDyn: 'msg1',
         blok: 'blok_2',
         wsCross: 'Топливо 4.4',
         linkFormula: 'AE-AE#AF-AF',
         levelDyn: 1
}</v>
      </c>
      <c r="Y227" s="1548"/>
      <c r="Z227" s="1548"/>
      <c r="AA227" s="1009"/>
      <c r="AB227" s="1616"/>
      <c r="AC227" s="1751"/>
      <c r="AD227" s="517"/>
      <c r="AE227" s="518" t="s">
        <v>191</v>
      </c>
      <c r="AF227" s="519"/>
      <c r="AG227" s="470"/>
      <c r="AH227" s="524"/>
      <c r="AI227" s="525"/>
      <c r="AJ227" s="525"/>
      <c r="AK227" s="525"/>
      <c r="AL227" s="525"/>
      <c r="AM227" s="525"/>
      <c r="AN227" s="525"/>
      <c r="AO227" s="525"/>
      <c r="AP227" s="525"/>
      <c r="AQ227" s="525"/>
      <c r="AR227" s="525"/>
      <c r="AS227" s="525"/>
      <c r="AT227" s="525"/>
      <c r="AU227" s="525"/>
      <c r="AV227" s="525"/>
      <c r="AW227" s="525"/>
      <c r="AX227" s="525"/>
      <c r="AY227" s="525"/>
      <c r="AZ227" s="525"/>
      <c r="BA227" s="525"/>
      <c r="BB227" s="525"/>
      <c r="BC227" s="525"/>
      <c r="BD227" s="525"/>
      <c r="BE227" s="525"/>
      <c r="BF227" s="525"/>
      <c r="BG227" s="525"/>
      <c r="BH227" s="525"/>
      <c r="BI227" s="525"/>
      <c r="BJ227" s="525"/>
      <c r="BK227" s="525"/>
      <c r="BL227" s="525"/>
      <c r="BM227" s="525"/>
      <c r="BN227" s="525"/>
      <c r="BO227" s="525"/>
      <c r="BP227" s="525"/>
      <c r="BQ227" s="525"/>
      <c r="BR227" s="525"/>
      <c r="BS227" s="525"/>
      <c r="BT227" s="525"/>
      <c r="BU227" s="525"/>
      <c r="BV227" s="525"/>
      <c r="BW227" s="525"/>
      <c r="BX227" s="525"/>
      <c r="BY227" s="525"/>
      <c r="BZ227" s="525"/>
      <c r="CA227" s="525"/>
      <c r="CB227" s="525"/>
      <c r="CC227" s="525"/>
      <c r="CD227" s="525"/>
      <c r="CE227" s="525"/>
      <c r="CF227" s="525"/>
      <c r="CG227" s="525"/>
      <c r="CH227" s="525"/>
      <c r="CI227" s="525"/>
      <c r="CJ227" s="525"/>
      <c r="CK227" s="525"/>
      <c r="CL227" s="525"/>
      <c r="CM227" s="525"/>
      <c r="CN227" s="525"/>
      <c r="CO227" s="525"/>
      <c r="CP227" s="525"/>
      <c r="CQ227" s="525"/>
      <c r="CR227" s="525"/>
      <c r="CS227" s="525"/>
      <c r="CT227" s="525"/>
      <c r="CU227" s="525"/>
      <c r="CV227" s="525"/>
      <c r="CW227" s="525"/>
      <c r="CX227" s="525"/>
      <c r="CY227" s="525"/>
      <c r="CZ227" s="525"/>
      <c r="DA227" s="525"/>
      <c r="DB227" s="525"/>
      <c r="DC227" s="525"/>
      <c r="DD227" s="525"/>
      <c r="DE227" s="525"/>
      <c r="DF227" s="525"/>
      <c r="DG227" s="525"/>
      <c r="DH227" s="525"/>
      <c r="DI227" s="525"/>
      <c r="DJ227" s="525"/>
      <c r="DK227" s="525"/>
      <c r="DL227" s="525"/>
      <c r="DM227" s="525"/>
      <c r="DN227" s="525"/>
      <c r="DO227" s="525"/>
      <c r="DP227" s="525"/>
      <c r="DQ227" s="525"/>
      <c r="DR227" s="525"/>
      <c r="DS227" s="525"/>
      <c r="DT227" s="525"/>
      <c r="DU227" s="525"/>
      <c r="DV227" s="525"/>
      <c r="DW227" s="525"/>
      <c r="DX227" s="525"/>
      <c r="DY227" s="525"/>
      <c r="DZ227" s="525"/>
      <c r="EA227" s="525"/>
      <c r="EB227" s="525"/>
      <c r="EC227" s="525"/>
      <c r="ED227" s="525"/>
      <c r="EE227" s="525"/>
      <c r="EF227" s="525"/>
      <c r="EG227" s="525"/>
      <c r="EH227" s="525"/>
      <c r="EI227" s="525"/>
      <c r="EJ227" s="525"/>
      <c r="EK227" s="525"/>
      <c r="EL227" s="525"/>
      <c r="EM227" s="525"/>
      <c r="EN227" s="525"/>
      <c r="EO227" s="525"/>
      <c r="EP227" s="525"/>
      <c r="EQ227" s="525"/>
      <c r="ER227" s="525"/>
      <c r="ES227" s="525"/>
      <c r="ET227" s="525"/>
      <c r="EU227" s="525"/>
      <c r="EV227" s="525"/>
      <c r="EW227" s="525"/>
      <c r="EX227" s="525"/>
      <c r="EY227" s="525"/>
      <c r="EZ227" s="525"/>
      <c r="FA227" s="525"/>
      <c r="FB227" s="93"/>
      <c r="FC227" s="1751"/>
      <c r="FD227" s="1506"/>
      <c r="FE227" s="489" t="str">
        <f>IF(AND(ISNUMBER(VALUE(TRIM(SUBSTITUTE(AD227,".","")))),TRIM(SUBSTITUTE(AD227,".",""))&lt;&gt;""),"P"&amp;SUBSTITUTE(AD227,".",""),"")</f>
        <v/>
      </c>
      <c r="FF227" s="648"/>
      <c r="FG227" s="648"/>
      <c r="FH227" s="648"/>
      <c r="FI227" s="649"/>
      <c r="FJ227" s="649"/>
      <c r="FK227" s="1157" cm="1" t="str">
        <f t="array" ref="FK227:FK227">OFFSET(FJ227,-1,1)</f>
        <v>ТЭ.42.31656254.0001</v>
      </c>
      <c r="FL227" s="1159"/>
      <c r="FM227" s="1159"/>
      <c r="FN227" s="1159"/>
      <c r="FO227" s="1159"/>
      <c r="FP227" s="1159"/>
      <c r="FQ227" s="1159"/>
      <c r="FR227" s="1159"/>
      <c r="FS227" s="1159"/>
      <c r="FT227" s="1159"/>
      <c r="FU227" s="1159"/>
      <c r="FV227" s="1159"/>
      <c r="FW227" s="1159"/>
      <c r="FX227" s="1159"/>
      <c r="FY227" s="1159"/>
      <c r="FZ227" s="1159"/>
    </row>
    <row s="1751" customFormat="1" customHeight="1" ht="29.25" hidden="1">
      <c r="A228" s="371"/>
      <c r="B228" s="1548"/>
      <c r="C228" s="1548"/>
      <c r="D228" s="1548"/>
      <c r="E228" s="180">
        <v>30</v>
      </c>
      <c r="F228" s="175" cm="1" t="str">
        <f t="array" ref="F228:F228">OFFSET(G228,-1,-1)</f>
        <v>1</v>
      </c>
      <c r="G228" s="1659"/>
      <c r="H228" s="1659"/>
      <c r="I228" s="1659"/>
      <c r="J228" s="1659"/>
      <c r="K228" s="1659"/>
      <c r="L228" s="175" cm="1" t="str">
        <f t="array" ref="L228:L228">OFFSET(M228,-1,-1)</f>
        <v>false</v>
      </c>
      <c r="M228" s="1659"/>
      <c r="N228" s="1659"/>
      <c r="O228" s="1659"/>
      <c r="P228" s="1659"/>
      <c r="Q228" s="1659"/>
      <c r="R228" s="175" t="s">
        <v>804</v>
      </c>
      <c r="S228" s="175" cm="1" t="str">
        <f t="array" ref="S228:S228">OFFSET(T228,-1,-1)</f>
        <v>true</v>
      </c>
      <c r="T228" s="175" cm="1" t="str">
        <f t="array" ref="T228:T228">L228</f>
        <v>false</v>
      </c>
      <c r="U228" s="753">
        <f>AND(S228,IF(ISBLANK(T228),TRUE,T228))</f>
        <v>0</v>
      </c>
      <c r="V228" s="1548"/>
      <c r="W228" s="1548"/>
      <c r="X228" s="1548"/>
      <c r="Y228" s="1548"/>
      <c r="Z228" s="1548"/>
      <c r="AA228" s="1009"/>
      <c r="AB228" s="1616"/>
      <c r="AC228" s="1751"/>
      <c r="AD228" s="327">
        <v>33</v>
      </c>
      <c r="AE228" s="1623" t="s">
        <v>957</v>
      </c>
      <c r="AF228" s="437"/>
      <c r="AG228" s="470" t="s">
        <v>917</v>
      </c>
      <c r="AH228" s="500">
        <f>SUM(AH229:AH231)</f>
        <v>638</v>
      </c>
      <c r="AI228" s="500">
        <f>SUM(AI229:AI231)</f>
        <v>692.83</v>
      </c>
      <c r="AJ228" s="500">
        <f>SUM(AJ229:AJ231)</f>
        <v>391.932783826851</v>
      </c>
      <c r="AK228" s="500">
        <f>SUM(AK229:AK231)</f>
        <v>578</v>
      </c>
      <c r="AL228" s="500">
        <f>SUM(AL229:AL231)</f>
        <v>763.863955119215</v>
      </c>
      <c r="AM228" s="500">
        <f>SUM(AM229:AM231)</f>
        <v>435.278751753156</v>
      </c>
      <c r="AN228" s="500">
        <f>SUM(AN229:AN231)</f>
        <v>328.585203366059</v>
      </c>
      <c r="AO228" s="500">
        <f>SUM(AO229:AO231)</f>
        <v>0</v>
      </c>
      <c r="AP228" s="500">
        <f>SUM(AP229:AP231)</f>
        <v>0</v>
      </c>
      <c r="AQ228" s="500">
        <f>SUM(AQ229:AQ231)</f>
        <v>0</v>
      </c>
      <c r="AR228" s="500">
        <f>SUM(AR229:AR231)</f>
        <v>0</v>
      </c>
      <c r="AS228" s="500">
        <f>SUM(AS229:AS231)</f>
        <v>0</v>
      </c>
      <c r="AT228" s="500">
        <f>SUM(AT229:AT231)</f>
        <v>0</v>
      </c>
      <c r="AU228" s="500">
        <f>SUM(AU229:AU231)</f>
        <v>0</v>
      </c>
      <c r="AV228" s="500">
        <f>SUM(AV229:AV231)</f>
        <v>0</v>
      </c>
      <c r="AW228" s="500">
        <f>SUM(AW229:AW231)</f>
        <v>0</v>
      </c>
      <c r="AX228" s="500">
        <f>SUM(AX229:AX231)</f>
        <v>0</v>
      </c>
      <c r="AY228" s="500">
        <f>SUM(AY229:AY231)</f>
        <v>0</v>
      </c>
      <c r="AZ228" s="500">
        <f>SUM(AZ229:AZ231)</f>
        <v>0</v>
      </c>
      <c r="BA228" s="500">
        <f>SUM(BA229:BA231)</f>
        <v>0</v>
      </c>
      <c r="BB228" s="500">
        <f>SUM(BB229:BB231)</f>
        <v>0</v>
      </c>
      <c r="BC228" s="500">
        <f>SUM(BC229:BC231)</f>
        <v>0</v>
      </c>
      <c r="BD228" s="500">
        <f>SUM(BD229:BD231)</f>
        <v>0</v>
      </c>
      <c r="BE228" s="500">
        <f>SUM(BE229:BE231)</f>
        <v>0</v>
      </c>
      <c r="BF228" s="500">
        <f>SUM(BF229:BF231)</f>
        <v>0</v>
      </c>
      <c r="BG228" s="500">
        <f>SUM(BG229:BG231)</f>
        <v>0</v>
      </c>
      <c r="BH228" s="500">
        <f>SUM(BH229:BH231)</f>
        <v>0</v>
      </c>
      <c r="BI228" s="500">
        <f>SUM(BI229:BI231)</f>
        <v>0</v>
      </c>
      <c r="BJ228" s="500">
        <f>SUM(BJ229:BJ231)</f>
        <v>0</v>
      </c>
      <c r="BK228" s="500">
        <f>SUM(BK229:BK231)</f>
        <v>0</v>
      </c>
      <c r="BL228" s="500">
        <f>SUM(BL229:BL231)</f>
        <v>0</v>
      </c>
      <c r="BM228" s="500">
        <f>SUM(BM229:BM231)</f>
        <v>0</v>
      </c>
      <c r="BN228" s="500">
        <f>SUM(BN229:BN231)</f>
        <v>0</v>
      </c>
      <c r="BO228" s="500">
        <f>SUM(BO229:BO231)</f>
        <v>0</v>
      </c>
      <c r="BP228" s="500">
        <f>SUM(BP229:BP231)</f>
        <v>0</v>
      </c>
      <c r="BQ228" s="500">
        <f>SUM(BQ229:BQ231)</f>
        <v>0</v>
      </c>
      <c r="BR228" s="500">
        <f>SUM(BR229:BR231)</f>
        <v>0</v>
      </c>
      <c r="BS228" s="500">
        <f>SUM(BS229:BS231)</f>
        <v>0</v>
      </c>
      <c r="BT228" s="500">
        <f>SUM(BT229:BT231)</f>
        <v>0</v>
      </c>
      <c r="BU228" s="500">
        <f>SUM(BU229:BU231)</f>
        <v>0</v>
      </c>
      <c r="BV228" s="500">
        <f>SUM(BV229:BV231)</f>
        <v>0</v>
      </c>
      <c r="BW228" s="500">
        <f>SUM(BW229:BW231)</f>
        <v>0</v>
      </c>
      <c r="BX228" s="500">
        <f>SUM(BX229:BX231)</f>
        <v>0</v>
      </c>
      <c r="BY228" s="500">
        <f>SUM(BY229:BY231)</f>
        <v>0</v>
      </c>
      <c r="BZ228" s="500">
        <f>SUM(BZ229:BZ231)</f>
        <v>0</v>
      </c>
      <c r="CA228" s="500">
        <f>SUM(CA229:CA231)</f>
        <v>0</v>
      </c>
      <c r="CB228" s="500">
        <f>SUM(CB229:CB231)</f>
        <v>0</v>
      </c>
      <c r="CC228" s="500">
        <f>SUM(CC229:CC231)</f>
        <v>0</v>
      </c>
      <c r="CD228" s="500">
        <f>SUM(CD229:CD231)</f>
        <v>0</v>
      </c>
      <c r="CE228" s="500">
        <f>SUM(CE229:CE231)</f>
        <v>0</v>
      </c>
      <c r="CF228" s="500">
        <f>SUM(CF229:CF231)</f>
        <v>0</v>
      </c>
      <c r="CG228" s="500">
        <f>SUM(CG229:CG231)</f>
        <v>0</v>
      </c>
      <c r="CH228" s="500">
        <f>SUM(CH229:CH231)</f>
        <v>0</v>
      </c>
      <c r="CI228" s="500">
        <f>SUM(CI229:CI231)</f>
        <v>0</v>
      </c>
      <c r="CJ228" s="500">
        <f>SUM(CJ229:CJ231)</f>
        <v>0</v>
      </c>
      <c r="CK228" s="500">
        <f>SUM(CK229:CK231)</f>
        <v>0</v>
      </c>
      <c r="CL228" s="500">
        <f>SUM(CL229:CL231)</f>
        <v>0</v>
      </c>
      <c r="CM228" s="500">
        <f>SUM(CM229:CM231)</f>
        <v>0</v>
      </c>
      <c r="CN228" s="500">
        <f>SUM(CN229:CN231)</f>
        <v>0</v>
      </c>
      <c r="CO228" s="500">
        <f>SUM(CO229:CO231)</f>
        <v>0</v>
      </c>
      <c r="CP228" s="500">
        <f>SUM(CP229:CP231)</f>
        <v>0</v>
      </c>
      <c r="CQ228" s="500">
        <f>SUM(CQ229:CQ231)</f>
        <v>0</v>
      </c>
      <c r="CR228" s="500">
        <f>SUM(CR229:CR231)</f>
        <v>0</v>
      </c>
      <c r="CS228" s="500">
        <f>SUM(CS229:CS231)</f>
        <v>0</v>
      </c>
      <c r="CT228" s="500">
        <f>SUM(CT229:CT231)</f>
        <v>524.99651365977</v>
      </c>
      <c r="CU228" s="500">
        <f>SUM(CU229:CU231)</f>
        <v>299.237823075862</v>
      </c>
      <c r="CV228" s="500">
        <f>SUM(CV229:CV231)</f>
        <v>225.758690583908</v>
      </c>
      <c r="CW228" s="500">
        <f>SUM(CW229:CW231)</f>
        <v>0</v>
      </c>
      <c r="CX228" s="500">
        <f>SUM(CX229:CX231)</f>
        <v>0</v>
      </c>
      <c r="CY228" s="500">
        <f>SUM(CY229:CY231)</f>
        <v>0</v>
      </c>
      <c r="CZ228" s="500">
        <f>SUM(CZ229:CZ231)</f>
        <v>0</v>
      </c>
      <c r="DA228" s="500">
        <f>SUM(DA229:DA231)</f>
        <v>0</v>
      </c>
      <c r="DB228" s="500">
        <f>SUM(DB229:DB231)</f>
        <v>0</v>
      </c>
      <c r="DC228" s="500">
        <f>SUM(DC229:DC231)</f>
        <v>0</v>
      </c>
      <c r="DD228" s="500">
        <f>SUM(DD229:DD231)</f>
        <v>0</v>
      </c>
      <c r="DE228" s="500">
        <f>SUM(DE229:DE231)</f>
        <v>0</v>
      </c>
      <c r="DF228" s="500">
        <f>SUM(DF229:DF231)</f>
        <v>0</v>
      </c>
      <c r="DG228" s="500">
        <f>SUM(DG229:DG231)</f>
        <v>0</v>
      </c>
      <c r="DH228" s="500">
        <f>SUM(DH229:DH231)</f>
        <v>0</v>
      </c>
      <c r="DI228" s="500">
        <f>SUM(DI229:DI231)</f>
        <v>0</v>
      </c>
      <c r="DJ228" s="500">
        <f>SUM(DJ229:DJ231)</f>
        <v>0</v>
      </c>
      <c r="DK228" s="500">
        <f>SUM(DK229:DK231)</f>
        <v>0</v>
      </c>
      <c r="DL228" s="500">
        <f>SUM(DL229:DL231)</f>
        <v>0</v>
      </c>
      <c r="DM228" s="500">
        <f>SUM(DM229:DM231)</f>
        <v>0</v>
      </c>
      <c r="DN228" s="500">
        <f>SUM(DN229:DN231)</f>
        <v>0</v>
      </c>
      <c r="DO228" s="500">
        <f>SUM(DO229:DO231)</f>
        <v>0</v>
      </c>
      <c r="DP228" s="500">
        <f>SUM(DP229:DP231)</f>
        <v>0</v>
      </c>
      <c r="DQ228" s="500">
        <f>SUM(DQ229:DQ231)</f>
        <v>0</v>
      </c>
      <c r="DR228" s="500">
        <f>SUM(DR229:DR231)</f>
        <v>0</v>
      </c>
      <c r="DS228" s="500">
        <f>SUM(DS229:DS231)</f>
        <v>0</v>
      </c>
      <c r="DT228" s="500">
        <f>SUM(DT229:DT231)</f>
        <v>0</v>
      </c>
      <c r="DU228" s="500">
        <f>SUM(DU229:DU231)</f>
        <v>0</v>
      </c>
      <c r="DV228" s="500">
        <f>SUM(DV229:DV231)</f>
        <v>0</v>
      </c>
      <c r="DW228" s="500">
        <f>SUM(DW229:DW231)</f>
        <v>0</v>
      </c>
      <c r="DX228" s="500">
        <f>SUM(DX229:DX231)</f>
        <v>0</v>
      </c>
      <c r="DY228" s="500">
        <f>SUM(DY229:DY231)</f>
        <v>0</v>
      </c>
      <c r="DZ228" s="500">
        <f>SUM(DZ229:DZ231)</f>
        <v>0</v>
      </c>
      <c r="EA228" s="500">
        <f>SUM(EA229:EA231)</f>
        <v>0</v>
      </c>
      <c r="EB228" s="500">
        <f>SUM(EB229:EB231)</f>
        <v>0</v>
      </c>
      <c r="EC228" s="500">
        <f>SUM(EC229:EC231)</f>
        <v>0</v>
      </c>
      <c r="ED228" s="500">
        <f>SUM(ED229:ED231)</f>
        <v>0</v>
      </c>
      <c r="EE228" s="500">
        <f>SUM(EE229:EE231)</f>
        <v>0</v>
      </c>
      <c r="EF228" s="500">
        <f>SUM(EF229:EF231)</f>
        <v>0</v>
      </c>
      <c r="EG228" s="500">
        <f>SUM(EG229:EG231)</f>
        <v>0</v>
      </c>
      <c r="EH228" s="500">
        <f>SUM(EH229:EH231)</f>
        <v>0</v>
      </c>
      <c r="EI228" s="500">
        <f>SUM(EI229:EI231)</f>
        <v>0</v>
      </c>
      <c r="EJ228" s="500">
        <f>SUM(EJ229:EJ231)</f>
        <v>0</v>
      </c>
      <c r="EK228" s="500">
        <f>SUM(EK229:EK231)</f>
        <v>0</v>
      </c>
      <c r="EL228" s="500">
        <f>SUM(EL229:EL231)</f>
        <v>0</v>
      </c>
      <c r="EM228" s="500">
        <f>SUM(EM229:EM231)</f>
        <v>0</v>
      </c>
      <c r="EN228" s="500">
        <f>SUM(EN229:EN231)</f>
        <v>0</v>
      </c>
      <c r="EO228" s="500">
        <f>SUM(EO229:EO231)</f>
        <v>0</v>
      </c>
      <c r="EP228" s="500">
        <f>SUM(EP229:EP231)</f>
        <v>0</v>
      </c>
      <c r="EQ228" s="500">
        <f>SUM(EQ229:EQ231)</f>
        <v>0</v>
      </c>
      <c r="ER228" s="500">
        <f>SUM(ER229:ER231)</f>
        <v>0</v>
      </c>
      <c r="ES228" s="500">
        <f>SUM(ES229:ES231)</f>
        <v>0</v>
      </c>
      <c r="ET228" s="500">
        <f>SUM(ET229:ET231)</f>
        <v>0</v>
      </c>
      <c r="EU228" s="500">
        <f>SUM(EU229:EU231)</f>
        <v>0</v>
      </c>
      <c r="EV228" s="500">
        <f>SUM(EV229:EV231)</f>
        <v>0</v>
      </c>
      <c r="EW228" s="500">
        <f>SUM(EW229:EW231)</f>
        <v>0</v>
      </c>
      <c r="EX228" s="500">
        <f>SUM(EX229:EX231)</f>
        <v>0</v>
      </c>
      <c r="EY228" s="500">
        <f>SUM(EY229:EY231)</f>
        <v>0</v>
      </c>
      <c r="EZ228" s="500">
        <f>SUM(EZ229:EZ231)</f>
        <v>0</v>
      </c>
      <c r="FA228" s="500">
        <f>SUM(FA229:FA231)</f>
        <v>0</v>
      </c>
      <c r="FB228" s="83"/>
      <c r="FC228" s="1751"/>
      <c r="FD228" s="1506"/>
      <c r="FE228" s="489" t="s">
        <v>958</v>
      </c>
      <c r="FF228" s="648"/>
      <c r="FG228" s="648"/>
      <c r="FH228" s="648"/>
      <c r="FI228" s="649"/>
      <c r="FJ228" s="649"/>
      <c r="FK228" s="1157" cm="1" t="str">
        <f t="array" ref="FK228:FK228">OFFSET(FJ228,-1,1)</f>
        <v>ТЭ.42.31656254.0001</v>
      </c>
      <c r="FL228" s="1078"/>
      <c r="FM228" s="1078" t="s">
        <v>824</v>
      </c>
      <c r="FN228" s="1159"/>
      <c r="FO228" s="1159"/>
      <c r="FP228" s="1159"/>
      <c r="FQ228" s="1159"/>
      <c r="FR228" s="1078" t="s">
        <v>561</v>
      </c>
      <c r="FS228" s="1159"/>
      <c r="FT228" s="1078" t="s">
        <v>948</v>
      </c>
      <c r="FU228" s="1159"/>
      <c r="FV228" s="1159"/>
      <c r="FW228" s="1159"/>
      <c r="FX228" s="1078" t="s">
        <v>303</v>
      </c>
      <c r="FY228" s="1078" t="s">
        <v>919</v>
      </c>
      <c r="FZ228" s="1078" t="s">
        <v>920</v>
      </c>
    </row>
    <row s="1751" customFormat="1" customHeight="1" ht="16.5" hidden="1">
      <c r="E229" s="180">
        <v>17</v>
      </c>
      <c r="F229" s="175" cm="1" t="str">
        <f t="array" ref="F229:F229">OFFSET(G229,-1,-1)</f>
        <v>1</v>
      </c>
      <c r="L229" s="175" cm="1" t="str">
        <f t="array" ref="L229:L229">OFFSET(M229,-1,-1)</f>
        <v>false</v>
      </c>
      <c r="R229" s="175" t="s">
        <v>804</v>
      </c>
      <c r="S229" s="175" cm="1" t="str">
        <f t="array" ref="S229:S229">OFFSET(T229,-1,-1)</f>
        <v>true</v>
      </c>
      <c r="T229" s="175">
        <f>AND(L229,AD229&lt;&gt;"33.0")</f>
        <v>0</v>
      </c>
      <c r="U229" s="753">
        <f>AND(S229,IF(ISBLANK(T229),TRUE,T229))</f>
        <v>0</v>
      </c>
      <c r="X229" s="175" t="s">
        <v>189</v>
      </c>
      <c r="AB229" s="1616"/>
      <c r="AD229" s="491" t="s">
        <v>959</v>
      </c>
      <c r="AE229" s="514"/>
      <c r="AF229" s="515"/>
      <c r="AG229" s="470" t="s">
        <v>917</v>
      </c>
      <c r="AH229" s="88">
        <f>AH$163*AH225</f>
        <v>0</v>
      </c>
      <c r="AI229" s="89">
        <f>AI$163*AI225</f>
        <v>0</v>
      </c>
      <c r="AJ229" s="89">
        <f>AJ$163*AJ225</f>
        <v>0</v>
      </c>
      <c r="AK229" s="89">
        <f>AK$163*AK225</f>
        <v>0</v>
      </c>
      <c r="AL229" s="499">
        <f>AM229+AN229</f>
        <v>0</v>
      </c>
      <c r="AM229" s="89">
        <f>AM$163*AM225</f>
        <v>0</v>
      </c>
      <c r="AN229" s="89">
        <f>AN$163*AN225</f>
        <v>0</v>
      </c>
      <c r="AO229" s="499">
        <f>AP229+AQ229</f>
        <v>0</v>
      </c>
      <c r="AP229" s="89">
        <f>AP$163*AP225</f>
        <v>0</v>
      </c>
      <c r="AQ229" s="89">
        <f>AQ$163*AQ225</f>
        <v>0</v>
      </c>
      <c r="AR229" s="499">
        <f>AS229+AT229</f>
        <v>0</v>
      </c>
      <c r="AS229" s="89">
        <f>AS$163*AS225</f>
        <v>0</v>
      </c>
      <c r="AT229" s="89">
        <f>AT$163*AT225</f>
        <v>0</v>
      </c>
      <c r="AU229" s="499">
        <f>AV229+AW229</f>
        <v>0</v>
      </c>
      <c r="AV229" s="89">
        <f>AV$163*AV225</f>
        <v>0</v>
      </c>
      <c r="AW229" s="89">
        <f>AW$163*AW225</f>
        <v>0</v>
      </c>
      <c r="AX229" s="499">
        <f>AY229+AZ229</f>
        <v>0</v>
      </c>
      <c r="AY229" s="89">
        <f>AY$163*AY225</f>
        <v>0</v>
      </c>
      <c r="AZ229" s="89">
        <f>AZ$163*AZ225</f>
        <v>0</v>
      </c>
      <c r="BA229" s="499">
        <f>BB229+BC229</f>
        <v>0</v>
      </c>
      <c r="BB229" s="89">
        <f>BB$163*BB225</f>
        <v>0</v>
      </c>
      <c r="BC229" s="89">
        <f>BC$163*BC225</f>
        <v>0</v>
      </c>
      <c r="BD229" s="499">
        <f>BE229+BF229</f>
        <v>0</v>
      </c>
      <c r="BE229" s="89">
        <f>BE$163*BE225</f>
        <v>0</v>
      </c>
      <c r="BF229" s="89">
        <f>BF$163*BF225</f>
        <v>0</v>
      </c>
      <c r="BG229" s="499">
        <f>BH229+BI229</f>
        <v>0</v>
      </c>
      <c r="BH229" s="89">
        <f>BH$163*BH225</f>
        <v>0</v>
      </c>
      <c r="BI229" s="89">
        <f>BI$163*BI225</f>
        <v>0</v>
      </c>
      <c r="BJ229" s="499">
        <f>BK229+BL229</f>
        <v>0</v>
      </c>
      <c r="BK229" s="89">
        <f>BK$163*BK225</f>
        <v>0</v>
      </c>
      <c r="BL229" s="89">
        <f>BL$163*BL225</f>
        <v>0</v>
      </c>
      <c r="BM229" s="499">
        <f>BN229+BO229</f>
        <v>0</v>
      </c>
      <c r="BN229" s="89">
        <f>BN$163*BN225</f>
        <v>0</v>
      </c>
      <c r="BO229" s="89">
        <f>BO$163*BO225</f>
        <v>0</v>
      </c>
      <c r="BP229" s="499">
        <f>BQ229+BR229</f>
        <v>0</v>
      </c>
      <c r="BQ229" s="89">
        <f>BQ$163*BQ225</f>
        <v>0</v>
      </c>
      <c r="BR229" s="89">
        <f>BR$163*BR225</f>
        <v>0</v>
      </c>
      <c r="BS229" s="499">
        <f>BT229+BU229</f>
        <v>0</v>
      </c>
      <c r="BT229" s="89">
        <f>BT$163*BT225</f>
        <v>0</v>
      </c>
      <c r="BU229" s="89">
        <f>BU$163*BU225</f>
        <v>0</v>
      </c>
      <c r="BV229" s="499">
        <f>BW229+BX229</f>
        <v>0</v>
      </c>
      <c r="BW229" s="89">
        <f>BW$163*BW225</f>
        <v>0</v>
      </c>
      <c r="BX229" s="89">
        <f>BX$163*BX225</f>
        <v>0</v>
      </c>
      <c r="BY229" s="499">
        <f>BZ229+CA229</f>
        <v>0</v>
      </c>
      <c r="BZ229" s="89">
        <f>BZ$163*BZ225</f>
        <v>0</v>
      </c>
      <c r="CA229" s="89">
        <f>CA$163*CA225</f>
        <v>0</v>
      </c>
      <c r="CB229" s="499">
        <f>CC229+CD229</f>
        <v>0</v>
      </c>
      <c r="CC229" s="89">
        <f>CC$163*CC225</f>
        <v>0</v>
      </c>
      <c r="CD229" s="89">
        <f>CD$163*CD225</f>
        <v>0</v>
      </c>
      <c r="CE229" s="499">
        <f>CF229+CG229</f>
        <v>0</v>
      </c>
      <c r="CF229" s="89">
        <f>CF$163*CF225</f>
        <v>0</v>
      </c>
      <c r="CG229" s="89">
        <f>CG$163*CG225</f>
        <v>0</v>
      </c>
      <c r="CH229" s="499">
        <f>CI229+CJ229</f>
        <v>0</v>
      </c>
      <c r="CI229" s="89">
        <f>CI$163*CI225</f>
        <v>0</v>
      </c>
      <c r="CJ229" s="89">
        <f>CJ$163*CJ225</f>
        <v>0</v>
      </c>
      <c r="CK229" s="499">
        <f>CL229+CM229</f>
        <v>0</v>
      </c>
      <c r="CL229" s="89">
        <f>CL$163*CL225</f>
        <v>0</v>
      </c>
      <c r="CM229" s="89">
        <f>CM$163*CM225</f>
        <v>0</v>
      </c>
      <c r="CN229" s="499">
        <f>CO229+CP229</f>
        <v>0</v>
      </c>
      <c r="CO229" s="89">
        <f>CO$163*CO225</f>
        <v>0</v>
      </c>
      <c r="CP229" s="89">
        <f>CP$163*CP225</f>
        <v>0</v>
      </c>
      <c r="CQ229" s="499">
        <f>CR229+CS229</f>
        <v>0</v>
      </c>
      <c r="CR229" s="89">
        <f>CR$163*CR225</f>
        <v>0</v>
      </c>
      <c r="CS229" s="89">
        <f>CS$163*CS225</f>
        <v>0</v>
      </c>
      <c r="CT229" s="499">
        <f>CU229+CV229</f>
        <v>0</v>
      </c>
      <c r="CU229" s="498">
        <f>CU$163*CU225</f>
        <v>0</v>
      </c>
      <c r="CV229" s="498">
        <f>CV$163*CV225</f>
        <v>0</v>
      </c>
      <c r="CW229" s="499">
        <f>CX229+CY229</f>
        <v>0</v>
      </c>
      <c r="CX229" s="89">
        <f>CX$163*CX225</f>
        <v>0</v>
      </c>
      <c r="CY229" s="89">
        <f>CY$163*CY225</f>
        <v>0</v>
      </c>
      <c r="CZ229" s="499">
        <f>DA229+DB229</f>
        <v>0</v>
      </c>
      <c r="DA229" s="89">
        <f>DA$163*DA225</f>
        <v>0</v>
      </c>
      <c r="DB229" s="89">
        <f>DB$163*DB225</f>
        <v>0</v>
      </c>
      <c r="DC229" s="499">
        <f>DD229+DE229</f>
        <v>0</v>
      </c>
      <c r="DD229" s="89">
        <f>DD$163*DD225</f>
        <v>0</v>
      </c>
      <c r="DE229" s="89">
        <f>DE$163*DE225</f>
        <v>0</v>
      </c>
      <c r="DF229" s="499">
        <f>DG229+DH229</f>
        <v>0</v>
      </c>
      <c r="DG229" s="89">
        <f>DG$163*DG225</f>
        <v>0</v>
      </c>
      <c r="DH229" s="89">
        <f>DH$163*DH225</f>
        <v>0</v>
      </c>
      <c r="DI229" s="499">
        <f>DJ229+DK229</f>
        <v>0</v>
      </c>
      <c r="DJ229" s="89">
        <f>DJ$163*DJ225</f>
        <v>0</v>
      </c>
      <c r="DK229" s="89">
        <f>DK$163*DK225</f>
        <v>0</v>
      </c>
      <c r="DL229" s="499">
        <f>DM229+DN229</f>
        <v>0</v>
      </c>
      <c r="DM229" s="89">
        <f>DM$163*DM225</f>
        <v>0</v>
      </c>
      <c r="DN229" s="89">
        <f>DN$163*DN225</f>
        <v>0</v>
      </c>
      <c r="DO229" s="499">
        <f>DP229+DQ229</f>
        <v>0</v>
      </c>
      <c r="DP229" s="89">
        <f>DP$163*DP225</f>
        <v>0</v>
      </c>
      <c r="DQ229" s="89">
        <f>DQ$163*DQ225</f>
        <v>0</v>
      </c>
      <c r="DR229" s="499">
        <f>DS229+DT229</f>
        <v>0</v>
      </c>
      <c r="DS229" s="89">
        <f>DS$163*DS225</f>
        <v>0</v>
      </c>
      <c r="DT229" s="89">
        <f>DT$163*DT225</f>
        <v>0</v>
      </c>
      <c r="DU229" s="499">
        <f>DV229+DW229</f>
        <v>0</v>
      </c>
      <c r="DV229" s="89">
        <f>DV$163*DV225</f>
        <v>0</v>
      </c>
      <c r="DW229" s="89">
        <f>DW$163*DW225</f>
        <v>0</v>
      </c>
      <c r="DX229" s="499">
        <f>DY229+DZ229</f>
        <v>0</v>
      </c>
      <c r="DY229" s="89">
        <f>DY$163*DY225</f>
        <v>0</v>
      </c>
      <c r="DZ229" s="89">
        <f>DZ$163*DZ225</f>
        <v>0</v>
      </c>
      <c r="EA229" s="499">
        <f>EB229+EC229</f>
        <v>0</v>
      </c>
      <c r="EB229" s="89">
        <f>EB$163*EB225</f>
        <v>0</v>
      </c>
      <c r="EC229" s="89">
        <f>EC$163*EC225</f>
        <v>0</v>
      </c>
      <c r="ED229" s="499">
        <f>EE229+EF229</f>
        <v>0</v>
      </c>
      <c r="EE229" s="89">
        <f>EE$163*EE225</f>
        <v>0</v>
      </c>
      <c r="EF229" s="89">
        <f>EF$163*EF225</f>
        <v>0</v>
      </c>
      <c r="EG229" s="499">
        <f>EH229+EI229</f>
        <v>0</v>
      </c>
      <c r="EH229" s="89">
        <f>EH$163*EH225</f>
        <v>0</v>
      </c>
      <c r="EI229" s="89">
        <f>EI$163*EI225</f>
        <v>0</v>
      </c>
      <c r="EJ229" s="499">
        <f>EK229+EL229</f>
        <v>0</v>
      </c>
      <c r="EK229" s="89">
        <f>EK$163*EK225</f>
        <v>0</v>
      </c>
      <c r="EL229" s="89">
        <f>EL$163*EL225</f>
        <v>0</v>
      </c>
      <c r="EM229" s="499">
        <f>EN229+EO229</f>
        <v>0</v>
      </c>
      <c r="EN229" s="89">
        <f>EN$163*EN225</f>
        <v>0</v>
      </c>
      <c r="EO229" s="89">
        <f>EO$163*EO225</f>
        <v>0</v>
      </c>
      <c r="EP229" s="499">
        <f>EQ229+ER229</f>
        <v>0</v>
      </c>
      <c r="EQ229" s="89">
        <f>EQ$163*EQ225</f>
        <v>0</v>
      </c>
      <c r="ER229" s="89">
        <f>ER$163*ER225</f>
        <v>0</v>
      </c>
      <c r="ES229" s="499">
        <f>ET229+EU229</f>
        <v>0</v>
      </c>
      <c r="ET229" s="89">
        <f>ET$163*ET225</f>
        <v>0</v>
      </c>
      <c r="EU229" s="89">
        <f>EU$163*EU225</f>
        <v>0</v>
      </c>
      <c r="EV229" s="499">
        <f>EW229+EX229</f>
        <v>0</v>
      </c>
      <c r="EW229" s="89">
        <f>EW$163*EW225</f>
        <v>0</v>
      </c>
      <c r="EX229" s="89">
        <f>EX$163*EX225</f>
        <v>0</v>
      </c>
      <c r="EY229" s="499">
        <f>EZ229+FA229</f>
        <v>0</v>
      </c>
      <c r="EZ229" s="89">
        <f>EZ$163*EZ225</f>
        <v>0</v>
      </c>
      <c r="FA229" s="89">
        <f>FA$163*FA225</f>
        <v>0</v>
      </c>
      <c r="FB229" s="83"/>
      <c r="FE229" s="489" t="s">
        <v>958</v>
      </c>
      <c r="FF229" s="648" t="s">
        <v>890</v>
      </c>
      <c r="FG229" s="648" cm="1" t="str">
        <f t="array" ref="FG229:FG229">AE229</f>
        <v>0</v>
      </c>
      <c r="FH229" s="648" cm="1" t="str">
        <f t="array" ref="FH229:FH229">AF229</f>
        <v>0</v>
      </c>
      <c r="FI229" s="649"/>
      <c r="FJ229" s="649"/>
      <c r="FK229" s="1157" cm="1" t="str">
        <f t="array" ref="FK229:FK229">OFFSET(FJ229,-1,1)</f>
        <v>ТЭ.42.31656254.0001</v>
      </c>
      <c r="FL229" s="1159"/>
      <c r="FM229" s="1159" t="s">
        <v>824</v>
      </c>
      <c r="FN229" s="1159"/>
      <c r="FO229" s="1159"/>
      <c r="FP229" s="1159"/>
      <c r="FQ229" s="1159"/>
      <c r="FR229" s="1159" t="s">
        <v>561</v>
      </c>
      <c r="FS229" s="1159"/>
      <c r="FT229" s="1159" t="s">
        <v>948</v>
      </c>
      <c r="FU229" s="1159"/>
      <c r="FV229" s="1159"/>
      <c r="FW229" s="1078" t="str">
        <f>$AE229&amp;"|"&amp;$AF229</f>
        <v>|</v>
      </c>
      <c r="FX229" s="1159" t="s">
        <v>303</v>
      </c>
      <c r="FY229" s="1159" t="s">
        <v>919</v>
      </c>
      <c r="FZ229" s="1159" t="s">
        <v>920</v>
      </c>
    </row>
    <row s="1751" customFormat="1" customHeight="1" ht="16.5" hidden="1">
      <c r="A230" s="1751"/>
      <c r="B230" s="1751"/>
      <c r="C230" s="1751"/>
      <c r="D230" s="1751"/>
      <c r="E230" s="180">
        <v>17</v>
      </c>
      <c r="F230" s="175" cm="1" t="str">
        <f t="array" ref="F230:F230">OFFSET(G230,-1,-1)</f>
        <v>1</v>
      </c>
      <c r="G230" s="1751"/>
      <c r="H230" s="1751"/>
      <c r="I230" s="1751"/>
      <c r="J230" s="1751"/>
      <c r="K230" s="1751"/>
      <c r="L230" s="175" cm="1" t="str">
        <f t="array" ref="L230:L230">OFFSET(M230,-1,-1)</f>
        <v>false</v>
      </c>
      <c r="M230" s="1751"/>
      <c r="N230" s="1751"/>
      <c r="O230" s="1751"/>
      <c r="P230" s="1751"/>
      <c r="Q230" s="1751"/>
      <c r="R230" s="175" t="s">
        <v>804</v>
      </c>
      <c r="S230" s="175" cm="1" t="str">
        <f t="array" ref="S230:S230">OFFSET(T230,-1,-1)</f>
        <v>true</v>
      </c>
      <c r="T230" s="175">
        <f>AND(L230,AD230&lt;&gt;"33.0")</f>
        <v>0</v>
      </c>
      <c r="U230" s="753">
        <f>AND(S230,IF(ISBLANK(T230),TRUE,T230))</f>
        <v>0</v>
      </c>
      <c r="V230" s="1751"/>
      <c r="W230" s="1751"/>
      <c r="X230" s="175" t="str">
        <f>'Топливо 4.4'!$AE$226&amp;'Топливо 4.4'!$AF$226</f>
        <v>Уголь длиннопламенный</v>
      </c>
      <c r="Y230" s="1751"/>
      <c r="Z230" s="1751"/>
      <c r="AA230" s="1751"/>
      <c r="AB230" s="1616"/>
      <c r="AC230" s="1751"/>
      <c r="AD230" s="491" t="s">
        <v>1025</v>
      </c>
      <c r="AE230" s="514" cm="1" t="str">
        <f t="array" ref="AE230:AE230">IF(ISBLANK('Топливо 4.4'!$AE$226),"",'Топливо 4.4'!$AE$226)</f>
        <v>Уголь длиннопламенный</v>
      </c>
      <c r="AF230" s="515" cm="1" t="str">
        <f t="array" ref="AF230:AF230">IF(ISBLANK('Топливо 4.4'!$AF$226),"",'Топливо 4.4'!$AF$226)</f>
        <v/>
      </c>
      <c r="AG230" s="470" t="s">
        <v>917</v>
      </c>
      <c r="AH230" s="88">
        <f>AH$163*AH226</f>
        <v>638</v>
      </c>
      <c r="AI230" s="89">
        <f>AI$163*AI226</f>
        <v>692.83</v>
      </c>
      <c r="AJ230" s="89">
        <f>AJ$163*AJ226</f>
        <v>391.932783826851</v>
      </c>
      <c r="AK230" s="89">
        <f>AK$163*AK226</f>
        <v>578</v>
      </c>
      <c r="AL230" s="499">
        <f>AM230+AN230</f>
        <v>763.863955119215</v>
      </c>
      <c r="AM230" s="89">
        <f>AM$163*AM226</f>
        <v>435.278751753156</v>
      </c>
      <c r="AN230" s="89">
        <f>AN$163*AN226</f>
        <v>328.585203366059</v>
      </c>
      <c r="AO230" s="499">
        <f>AP230+AQ230</f>
        <v>0</v>
      </c>
      <c r="AP230" s="89">
        <f>AP$163*AP226</f>
        <v>0</v>
      </c>
      <c r="AQ230" s="89">
        <f>AQ$163*AQ226</f>
        <v>0</v>
      </c>
      <c r="AR230" s="499">
        <f>AS230+AT230</f>
        <v>0</v>
      </c>
      <c r="AS230" s="89">
        <f>AS$163*AS226</f>
        <v>0</v>
      </c>
      <c r="AT230" s="89">
        <f>AT$163*AT226</f>
        <v>0</v>
      </c>
      <c r="AU230" s="499">
        <f>AV230+AW230</f>
        <v>0</v>
      </c>
      <c r="AV230" s="89">
        <f>AV$163*AV226</f>
        <v>0</v>
      </c>
      <c r="AW230" s="89">
        <f>AW$163*AW226</f>
        <v>0</v>
      </c>
      <c r="AX230" s="499">
        <f>AY230+AZ230</f>
        <v>0</v>
      </c>
      <c r="AY230" s="89">
        <f>AY$163*AY226</f>
        <v>0</v>
      </c>
      <c r="AZ230" s="89">
        <f>AZ$163*AZ226</f>
        <v>0</v>
      </c>
      <c r="BA230" s="499">
        <f>BB230+BC230</f>
        <v>0</v>
      </c>
      <c r="BB230" s="89">
        <f>BB$163*BB226</f>
        <v>0</v>
      </c>
      <c r="BC230" s="89">
        <f>BC$163*BC226</f>
        <v>0</v>
      </c>
      <c r="BD230" s="499">
        <f>BE230+BF230</f>
        <v>0</v>
      </c>
      <c r="BE230" s="89">
        <f>BE$163*BE226</f>
        <v>0</v>
      </c>
      <c r="BF230" s="89">
        <f>BF$163*BF226</f>
        <v>0</v>
      </c>
      <c r="BG230" s="499">
        <f>BH230+BI230</f>
        <v>0</v>
      </c>
      <c r="BH230" s="89">
        <f>BH$163*BH226</f>
        <v>0</v>
      </c>
      <c r="BI230" s="89">
        <f>BI$163*BI226</f>
        <v>0</v>
      </c>
      <c r="BJ230" s="499">
        <f>BK230+BL230</f>
        <v>0</v>
      </c>
      <c r="BK230" s="89">
        <f>BK$163*BK226</f>
        <v>0</v>
      </c>
      <c r="BL230" s="89">
        <f>BL$163*BL226</f>
        <v>0</v>
      </c>
      <c r="BM230" s="499">
        <f>BN230+BO230</f>
        <v>0</v>
      </c>
      <c r="BN230" s="89">
        <f>BN$163*BN226</f>
        <v>0</v>
      </c>
      <c r="BO230" s="89">
        <f>BO$163*BO226</f>
        <v>0</v>
      </c>
      <c r="BP230" s="499">
        <f>BQ230+BR230</f>
        <v>0</v>
      </c>
      <c r="BQ230" s="89">
        <f>BQ$163*BQ226</f>
        <v>0</v>
      </c>
      <c r="BR230" s="89">
        <f>BR$163*BR226</f>
        <v>0</v>
      </c>
      <c r="BS230" s="499">
        <f>BT230+BU230</f>
        <v>0</v>
      </c>
      <c r="BT230" s="89">
        <f>BT$163*BT226</f>
        <v>0</v>
      </c>
      <c r="BU230" s="89">
        <f>BU$163*BU226</f>
        <v>0</v>
      </c>
      <c r="BV230" s="499">
        <f>BW230+BX230</f>
        <v>0</v>
      </c>
      <c r="BW230" s="89">
        <f>BW$163*BW226</f>
        <v>0</v>
      </c>
      <c r="BX230" s="89">
        <f>BX$163*BX226</f>
        <v>0</v>
      </c>
      <c r="BY230" s="499">
        <f>BZ230+CA230</f>
        <v>0</v>
      </c>
      <c r="BZ230" s="89">
        <f>BZ$163*BZ226</f>
        <v>0</v>
      </c>
      <c r="CA230" s="89">
        <f>CA$163*CA226</f>
        <v>0</v>
      </c>
      <c r="CB230" s="499">
        <f>CC230+CD230</f>
        <v>0</v>
      </c>
      <c r="CC230" s="89">
        <f>CC$163*CC226</f>
        <v>0</v>
      </c>
      <c r="CD230" s="89">
        <f>CD$163*CD226</f>
        <v>0</v>
      </c>
      <c r="CE230" s="499">
        <f>CF230+CG230</f>
        <v>0</v>
      </c>
      <c r="CF230" s="89">
        <f>CF$163*CF226</f>
        <v>0</v>
      </c>
      <c r="CG230" s="89">
        <f>CG$163*CG226</f>
        <v>0</v>
      </c>
      <c r="CH230" s="499">
        <f>CI230+CJ230</f>
        <v>0</v>
      </c>
      <c r="CI230" s="89">
        <f>CI$163*CI226</f>
        <v>0</v>
      </c>
      <c r="CJ230" s="89">
        <f>CJ$163*CJ226</f>
        <v>0</v>
      </c>
      <c r="CK230" s="499">
        <f>CL230+CM230</f>
        <v>0</v>
      </c>
      <c r="CL230" s="89">
        <f>CL$163*CL226</f>
        <v>0</v>
      </c>
      <c r="CM230" s="89">
        <f>CM$163*CM226</f>
        <v>0</v>
      </c>
      <c r="CN230" s="499">
        <f>CO230+CP230</f>
        <v>0</v>
      </c>
      <c r="CO230" s="89">
        <f>CO$163*CO226</f>
        <v>0</v>
      </c>
      <c r="CP230" s="89">
        <f>CP$163*CP226</f>
        <v>0</v>
      </c>
      <c r="CQ230" s="499">
        <f>CR230+CS230</f>
        <v>0</v>
      </c>
      <c r="CR230" s="89">
        <f>CR$163*CR226</f>
        <v>0</v>
      </c>
      <c r="CS230" s="89">
        <f>CS$163*CS226</f>
        <v>0</v>
      </c>
      <c r="CT230" s="499">
        <f>CU230+CV230</f>
        <v>524.99651365977</v>
      </c>
      <c r="CU230" s="498">
        <f>CU$163*CU226</f>
        <v>299.237823075862</v>
      </c>
      <c r="CV230" s="498">
        <f>CV$163*CV226</f>
        <v>225.758690583908</v>
      </c>
      <c r="CW230" s="499">
        <f>CX230+CY230</f>
        <v>0</v>
      </c>
      <c r="CX230" s="89">
        <f>CX$163*CX226</f>
        <v>0</v>
      </c>
      <c r="CY230" s="89">
        <f>CY$163*CY226</f>
        <v>0</v>
      </c>
      <c r="CZ230" s="499">
        <f>DA230+DB230</f>
        <v>0</v>
      </c>
      <c r="DA230" s="89">
        <f>DA$163*DA226</f>
        <v>0</v>
      </c>
      <c r="DB230" s="89">
        <f>DB$163*DB226</f>
        <v>0</v>
      </c>
      <c r="DC230" s="499">
        <f>DD230+DE230</f>
        <v>0</v>
      </c>
      <c r="DD230" s="89">
        <f>DD$163*DD226</f>
        <v>0</v>
      </c>
      <c r="DE230" s="89">
        <f>DE$163*DE226</f>
        <v>0</v>
      </c>
      <c r="DF230" s="499">
        <f>DG230+DH230</f>
        <v>0</v>
      </c>
      <c r="DG230" s="89">
        <f>DG$163*DG226</f>
        <v>0</v>
      </c>
      <c r="DH230" s="89">
        <f>DH$163*DH226</f>
        <v>0</v>
      </c>
      <c r="DI230" s="499">
        <f>DJ230+DK230</f>
        <v>0</v>
      </c>
      <c r="DJ230" s="89">
        <f>DJ$163*DJ226</f>
        <v>0</v>
      </c>
      <c r="DK230" s="89">
        <f>DK$163*DK226</f>
        <v>0</v>
      </c>
      <c r="DL230" s="499">
        <f>DM230+DN230</f>
        <v>0</v>
      </c>
      <c r="DM230" s="89">
        <f>DM$163*DM226</f>
        <v>0</v>
      </c>
      <c r="DN230" s="89">
        <f>DN$163*DN226</f>
        <v>0</v>
      </c>
      <c r="DO230" s="499">
        <f>DP230+DQ230</f>
        <v>0</v>
      </c>
      <c r="DP230" s="89">
        <f>DP$163*DP226</f>
        <v>0</v>
      </c>
      <c r="DQ230" s="89">
        <f>DQ$163*DQ226</f>
        <v>0</v>
      </c>
      <c r="DR230" s="499">
        <f>DS230+DT230</f>
        <v>0</v>
      </c>
      <c r="DS230" s="89">
        <f>DS$163*DS226</f>
        <v>0</v>
      </c>
      <c r="DT230" s="89">
        <f>DT$163*DT226</f>
        <v>0</v>
      </c>
      <c r="DU230" s="499">
        <f>DV230+DW230</f>
        <v>0</v>
      </c>
      <c r="DV230" s="89">
        <f>DV$163*DV226</f>
        <v>0</v>
      </c>
      <c r="DW230" s="89">
        <f>DW$163*DW226</f>
        <v>0</v>
      </c>
      <c r="DX230" s="499">
        <f>DY230+DZ230</f>
        <v>0</v>
      </c>
      <c r="DY230" s="89">
        <f>DY$163*DY226</f>
        <v>0</v>
      </c>
      <c r="DZ230" s="89">
        <f>DZ$163*DZ226</f>
        <v>0</v>
      </c>
      <c r="EA230" s="499">
        <f>EB230+EC230</f>
        <v>0</v>
      </c>
      <c r="EB230" s="89">
        <f>EB$163*EB226</f>
        <v>0</v>
      </c>
      <c r="EC230" s="89">
        <f>EC$163*EC226</f>
        <v>0</v>
      </c>
      <c r="ED230" s="499">
        <f>EE230+EF230</f>
        <v>0</v>
      </c>
      <c r="EE230" s="89">
        <f>EE$163*EE226</f>
        <v>0</v>
      </c>
      <c r="EF230" s="89">
        <f>EF$163*EF226</f>
        <v>0</v>
      </c>
      <c r="EG230" s="499">
        <f>EH230+EI230</f>
        <v>0</v>
      </c>
      <c r="EH230" s="89">
        <f>EH$163*EH226</f>
        <v>0</v>
      </c>
      <c r="EI230" s="89">
        <f>EI$163*EI226</f>
        <v>0</v>
      </c>
      <c r="EJ230" s="499">
        <f>EK230+EL230</f>
        <v>0</v>
      </c>
      <c r="EK230" s="89">
        <f>EK$163*EK226</f>
        <v>0</v>
      </c>
      <c r="EL230" s="89">
        <f>EL$163*EL226</f>
        <v>0</v>
      </c>
      <c r="EM230" s="499">
        <f>EN230+EO230</f>
        <v>0</v>
      </c>
      <c r="EN230" s="89">
        <f>EN$163*EN226</f>
        <v>0</v>
      </c>
      <c r="EO230" s="89">
        <f>EO$163*EO226</f>
        <v>0</v>
      </c>
      <c r="EP230" s="499">
        <f>EQ230+ER230</f>
        <v>0</v>
      </c>
      <c r="EQ230" s="89">
        <f>EQ$163*EQ226</f>
        <v>0</v>
      </c>
      <c r="ER230" s="89">
        <f>ER$163*ER226</f>
        <v>0</v>
      </c>
      <c r="ES230" s="499">
        <f>ET230+EU230</f>
        <v>0</v>
      </c>
      <c r="ET230" s="89">
        <f>ET$163*ET226</f>
        <v>0</v>
      </c>
      <c r="EU230" s="89">
        <f>EU$163*EU226</f>
        <v>0</v>
      </c>
      <c r="EV230" s="499">
        <f>EW230+EX230</f>
        <v>0</v>
      </c>
      <c r="EW230" s="89">
        <f>EW$163*EW226</f>
        <v>0</v>
      </c>
      <c r="EX230" s="89">
        <f>EX$163*EX226</f>
        <v>0</v>
      </c>
      <c r="EY230" s="499">
        <f>EZ230+FA230</f>
        <v>0</v>
      </c>
      <c r="EZ230" s="89">
        <f>EZ$163*EZ226</f>
        <v>0</v>
      </c>
      <c r="FA230" s="89">
        <f>FA$163*FA226</f>
        <v>0</v>
      </c>
      <c r="FB230" s="83"/>
      <c r="FC230" s="1751"/>
      <c r="FD230" s="1751"/>
      <c r="FE230" s="489" t="s">
        <v>958</v>
      </c>
      <c r="FF230" s="648" t="s">
        <v>890</v>
      </c>
      <c r="FG230" s="648" cm="1" t="str">
        <f t="array" ref="FG230:FG230">AE230</f>
        <v>Уголь длиннопламенный</v>
      </c>
      <c r="FH230" s="648" cm="1" t="str">
        <f t="array" ref="FH230:FH230">AF230</f>
        <v/>
      </c>
      <c r="FI230" s="649"/>
      <c r="FJ230" s="649"/>
      <c r="FK230" s="1157" cm="1" t="str">
        <f t="array" ref="FK230:FK230">OFFSET(FJ230,-1,1)</f>
        <v>ТЭ.42.31656254.0001</v>
      </c>
      <c r="FL230" s="1159"/>
      <c r="FM230" s="1159" t="s">
        <v>824</v>
      </c>
      <c r="FN230" s="1159"/>
      <c r="FO230" s="1159"/>
      <c r="FP230" s="1159"/>
      <c r="FQ230" s="1159"/>
      <c r="FR230" s="1159" t="s">
        <v>561</v>
      </c>
      <c r="FS230" s="1159"/>
      <c r="FT230" s="1159" t="s">
        <v>948</v>
      </c>
      <c r="FU230" s="1159"/>
      <c r="FV230" s="1159"/>
      <c r="FW230" s="1078" t="str">
        <f>$AE230&amp;"|"&amp;$AF230</f>
        <v>Уголь длиннопламенный|</v>
      </c>
      <c r="FX230" s="1159" t="s">
        <v>303</v>
      </c>
      <c r="FY230" s="1159" t="s">
        <v>919</v>
      </c>
      <c r="FZ230" s="1159" t="s">
        <v>920</v>
      </c>
    </row>
    <row s="1751" customFormat="1" customHeight="1" ht="15" hidden="1">
      <c r="A231" s="371"/>
      <c r="B231" s="1548"/>
      <c r="C231" s="1548"/>
      <c r="D231" s="1548"/>
      <c r="E231" s="965">
        <v>0</v>
      </c>
      <c r="F231" s="175" cm="1" t="str">
        <f t="array" ref="F231:F231">OFFSET(G231,-1,-1)</f>
        <v>1</v>
      </c>
      <c r="G231" s="1659"/>
      <c r="H231" s="1659"/>
      <c r="I231" s="1659"/>
      <c r="J231" s="1659"/>
      <c r="K231" s="1659"/>
      <c r="L231" s="175" cm="1" t="str">
        <f t="array" ref="L231:L231">OFFSET(M231,-1,-1)</f>
        <v>false</v>
      </c>
      <c r="M231" s="1659"/>
      <c r="N231" s="1659"/>
      <c r="O231" s="1659"/>
      <c r="P231" s="1659"/>
      <c r="Q231" s="1659"/>
      <c r="R231" s="1548"/>
      <c r="S231" s="175" cm="1" t="str">
        <f t="array" ref="S231:S231">OFFSET(T231,-1,-1)</f>
        <v>true</v>
      </c>
      <c r="T231" s="1548"/>
      <c r="U231" s="753">
        <f>AND(S231,IF(ISBLANK(T231),TRUE,T231))</f>
        <v>1</v>
      </c>
      <c r="V231" s="1548"/>
      <c r="W231" s="1548"/>
      <c r="X231" s="980" t="str">
        <f>"{                  
         funcDyn: 'msg1',
         blok: 'blok_2',
         wsCross: 'Топливо 4.4',
         linkFormula: 'AE-AE#AF-AF',
         levelDyn: "&amp;Y139&amp;"
}"</f>
        <v>{                  
         funcDyn: 'msg1',
         blok: 'blok_2',
         wsCross: 'Топливо 4.4',
         linkFormula: 'AE-AE#AF-AF',
         levelDyn: 1
}</v>
      </c>
      <c r="Y231" s="1548"/>
      <c r="Z231" s="1548"/>
      <c r="AA231" s="1009"/>
      <c r="AB231" s="1617"/>
      <c r="AC231" s="1751"/>
      <c r="AD231" s="517"/>
      <c r="AE231" s="518" t="s">
        <v>191</v>
      </c>
      <c r="AF231" s="519"/>
      <c r="AG231" s="470"/>
      <c r="AH231" s="524"/>
      <c r="AI231" s="525"/>
      <c r="AJ231" s="525"/>
      <c r="AK231" s="525"/>
      <c r="AL231" s="525"/>
      <c r="AM231" s="525"/>
      <c r="AN231" s="525"/>
      <c r="AO231" s="525"/>
      <c r="AP231" s="525"/>
      <c r="AQ231" s="525"/>
      <c r="AR231" s="525"/>
      <c r="AS231" s="525"/>
      <c r="AT231" s="525"/>
      <c r="AU231" s="525"/>
      <c r="AV231" s="525"/>
      <c r="AW231" s="525"/>
      <c r="AX231" s="525"/>
      <c r="AY231" s="525"/>
      <c r="AZ231" s="525"/>
      <c r="BA231" s="525"/>
      <c r="BB231" s="525"/>
      <c r="BC231" s="525"/>
      <c r="BD231" s="525"/>
      <c r="BE231" s="525"/>
      <c r="BF231" s="525"/>
      <c r="BG231" s="525"/>
      <c r="BH231" s="525"/>
      <c r="BI231" s="525"/>
      <c r="BJ231" s="525"/>
      <c r="BK231" s="525"/>
      <c r="BL231" s="525"/>
      <c r="BM231" s="525"/>
      <c r="BN231" s="525"/>
      <c r="BO231" s="525"/>
      <c r="BP231" s="525"/>
      <c r="BQ231" s="525"/>
      <c r="BR231" s="525"/>
      <c r="BS231" s="525"/>
      <c r="BT231" s="525"/>
      <c r="BU231" s="525"/>
      <c r="BV231" s="525"/>
      <c r="BW231" s="525"/>
      <c r="BX231" s="525"/>
      <c r="BY231" s="525"/>
      <c r="BZ231" s="525"/>
      <c r="CA231" s="525"/>
      <c r="CB231" s="525"/>
      <c r="CC231" s="525"/>
      <c r="CD231" s="525"/>
      <c r="CE231" s="525"/>
      <c r="CF231" s="525"/>
      <c r="CG231" s="525"/>
      <c r="CH231" s="525"/>
      <c r="CI231" s="525"/>
      <c r="CJ231" s="525"/>
      <c r="CK231" s="525"/>
      <c r="CL231" s="525"/>
      <c r="CM231" s="525"/>
      <c r="CN231" s="525"/>
      <c r="CO231" s="525"/>
      <c r="CP231" s="525"/>
      <c r="CQ231" s="525"/>
      <c r="CR231" s="525"/>
      <c r="CS231" s="525"/>
      <c r="CT231" s="525"/>
      <c r="CU231" s="525"/>
      <c r="CV231" s="525"/>
      <c r="CW231" s="525"/>
      <c r="CX231" s="525"/>
      <c r="CY231" s="525"/>
      <c r="CZ231" s="525"/>
      <c r="DA231" s="525"/>
      <c r="DB231" s="525"/>
      <c r="DC231" s="525"/>
      <c r="DD231" s="525"/>
      <c r="DE231" s="525"/>
      <c r="DF231" s="525"/>
      <c r="DG231" s="525"/>
      <c r="DH231" s="525"/>
      <c r="DI231" s="525"/>
      <c r="DJ231" s="525"/>
      <c r="DK231" s="525"/>
      <c r="DL231" s="525"/>
      <c r="DM231" s="525"/>
      <c r="DN231" s="525"/>
      <c r="DO231" s="525"/>
      <c r="DP231" s="525"/>
      <c r="DQ231" s="525"/>
      <c r="DR231" s="525"/>
      <c r="DS231" s="525"/>
      <c r="DT231" s="525"/>
      <c r="DU231" s="525"/>
      <c r="DV231" s="525"/>
      <c r="DW231" s="525"/>
      <c r="DX231" s="525"/>
      <c r="DY231" s="525"/>
      <c r="DZ231" s="525"/>
      <c r="EA231" s="525"/>
      <c r="EB231" s="525"/>
      <c r="EC231" s="525"/>
      <c r="ED231" s="525"/>
      <c r="EE231" s="525"/>
      <c r="EF231" s="525"/>
      <c r="EG231" s="525"/>
      <c r="EH231" s="525"/>
      <c r="EI231" s="525"/>
      <c r="EJ231" s="525"/>
      <c r="EK231" s="525"/>
      <c r="EL231" s="525"/>
      <c r="EM231" s="525"/>
      <c r="EN231" s="525"/>
      <c r="EO231" s="525"/>
      <c r="EP231" s="525"/>
      <c r="EQ231" s="525"/>
      <c r="ER231" s="525"/>
      <c r="ES231" s="525"/>
      <c r="ET231" s="525"/>
      <c r="EU231" s="525"/>
      <c r="EV231" s="525"/>
      <c r="EW231" s="525"/>
      <c r="EX231" s="525"/>
      <c r="EY231" s="525"/>
      <c r="EZ231" s="525"/>
      <c r="FA231" s="525"/>
      <c r="FB231" s="93"/>
      <c r="FC231" s="1751"/>
      <c r="FD231" s="1506"/>
      <c r="FE231" s="489" t="str">
        <f>IF(AND(ISNUMBER(VALUE(TRIM(SUBSTITUTE(AD231,".","")))),TRIM(SUBSTITUTE(AD231,".",""))&lt;&gt;""),"P"&amp;SUBSTITUTE(AD231,".",""),"")</f>
        <v/>
      </c>
      <c r="FF231" s="648"/>
      <c r="FG231" s="648"/>
      <c r="FH231" s="648"/>
      <c r="FI231" s="649"/>
      <c r="FJ231" s="649"/>
      <c r="FK231" s="1157" cm="1" t="str">
        <f t="array" ref="FK231:FK231">OFFSET(FJ231,-1,1)</f>
        <v>ТЭ.42.31656254.0001</v>
      </c>
      <c r="FL231" s="1159"/>
      <c r="FM231" s="1159"/>
      <c r="FN231" s="1159"/>
      <c r="FO231" s="1159"/>
      <c r="FP231" s="1159"/>
      <c r="FQ231" s="1159"/>
      <c r="FR231" s="1159"/>
      <c r="FS231" s="1159"/>
      <c r="FT231" s="1159"/>
      <c r="FU231" s="1159"/>
      <c r="FV231" s="1159"/>
      <c r="FW231" s="1159"/>
      <c r="FX231" s="1159"/>
      <c r="FY231" s="1159"/>
      <c r="FZ231" s="1159"/>
    </row>
    <row s="1751" customFormat="1" customHeight="1" ht="16.5">
      <c r="A232" s="371"/>
      <c r="B232" s="1548"/>
      <c r="C232" s="1548"/>
      <c r="D232" s="1548"/>
      <c r="E232" s="180">
        <v>17</v>
      </c>
      <c r="F232" s="175" cm="1" t="str">
        <f t="array" ref="F232:F232">OFFSET(G232,-1,-1)</f>
        <v>1</v>
      </c>
      <c r="G232" s="1659"/>
      <c r="H232" s="1659"/>
      <c r="I232" s="1659"/>
      <c r="J232" s="1659"/>
      <c r="K232" s="1659"/>
      <c r="L232" s="175" cm="1" t="str">
        <f t="array" ref="L232:L232">OFFSET(M232,-1,-1)</f>
        <v>false</v>
      </c>
      <c r="M232" s="1659"/>
      <c r="N232" s="1659"/>
      <c r="O232" s="1659"/>
      <c r="P232" s="1659"/>
      <c r="Q232" s="1659"/>
      <c r="R232" s="1548"/>
      <c r="S232" s="175" cm="1" t="str">
        <f t="array" ref="S232:S232">OFFSET(T232,-1,-1)</f>
        <v>true</v>
      </c>
      <c r="T232" s="1548"/>
      <c r="U232" s="753">
        <f>AND(S232,IF(ISBLANK(T232),TRUE,T232))</f>
        <v>1</v>
      </c>
      <c r="V232" s="1548"/>
      <c r="W232" s="1548"/>
      <c r="X232" s="1548"/>
      <c r="Y232" s="1548"/>
      <c r="Z232" s="1548"/>
      <c r="AA232" s="1009"/>
      <c r="AB232" s="1606" t="s">
        <v>960</v>
      </c>
      <c r="AC232" s="1751"/>
      <c r="AD232" s="327">
        <v>34</v>
      </c>
      <c r="AE232" s="1618" t="s">
        <v>961</v>
      </c>
      <c r="AF232" s="427"/>
      <c r="AG232" s="534"/>
      <c r="AH232" s="524"/>
      <c r="AI232" s="525"/>
      <c r="AJ232" s="525"/>
      <c r="AK232" s="525"/>
      <c r="AL232" s="525"/>
      <c r="AM232" s="525"/>
      <c r="AN232" s="525"/>
      <c r="AO232" s="525"/>
      <c r="AP232" s="525"/>
      <c r="AQ232" s="525"/>
      <c r="AR232" s="525"/>
      <c r="AS232" s="525"/>
      <c r="AT232" s="525"/>
      <c r="AU232" s="525"/>
      <c r="AV232" s="525"/>
      <c r="AW232" s="525"/>
      <c r="AX232" s="525"/>
      <c r="AY232" s="525"/>
      <c r="AZ232" s="525"/>
      <c r="BA232" s="525"/>
      <c r="BB232" s="525"/>
      <c r="BC232" s="525"/>
      <c r="BD232" s="525"/>
      <c r="BE232" s="525"/>
      <c r="BF232" s="525"/>
      <c r="BG232" s="525"/>
      <c r="BH232" s="525"/>
      <c r="BI232" s="525"/>
      <c r="BJ232" s="525"/>
      <c r="BK232" s="525"/>
      <c r="BL232" s="525"/>
      <c r="BM232" s="525"/>
      <c r="BN232" s="525"/>
      <c r="BO232" s="525"/>
      <c r="BP232" s="525"/>
      <c r="BQ232" s="525"/>
      <c r="BR232" s="525"/>
      <c r="BS232" s="525"/>
      <c r="BT232" s="525"/>
      <c r="BU232" s="525"/>
      <c r="BV232" s="525"/>
      <c r="BW232" s="525"/>
      <c r="BX232" s="525"/>
      <c r="BY232" s="525"/>
      <c r="BZ232" s="525"/>
      <c r="CA232" s="525"/>
      <c r="CB232" s="525"/>
      <c r="CC232" s="525"/>
      <c r="CD232" s="525"/>
      <c r="CE232" s="525"/>
      <c r="CF232" s="525"/>
      <c r="CG232" s="525"/>
      <c r="CH232" s="525"/>
      <c r="CI232" s="525"/>
      <c r="CJ232" s="525"/>
      <c r="CK232" s="525"/>
      <c r="CL232" s="525"/>
      <c r="CM232" s="525"/>
      <c r="CN232" s="525"/>
      <c r="CO232" s="525"/>
      <c r="CP232" s="525"/>
      <c r="CQ232" s="525"/>
      <c r="CR232" s="525"/>
      <c r="CS232" s="525"/>
      <c r="CT232" s="525"/>
      <c r="CU232" s="525"/>
      <c r="CV232" s="525"/>
      <c r="CW232" s="525"/>
      <c r="CX232" s="525"/>
      <c r="CY232" s="525"/>
      <c r="CZ232" s="525"/>
      <c r="DA232" s="525"/>
      <c r="DB232" s="525"/>
      <c r="DC232" s="525"/>
      <c r="DD232" s="525"/>
      <c r="DE232" s="525"/>
      <c r="DF232" s="525"/>
      <c r="DG232" s="525"/>
      <c r="DH232" s="525"/>
      <c r="DI232" s="525"/>
      <c r="DJ232" s="525"/>
      <c r="DK232" s="525"/>
      <c r="DL232" s="525"/>
      <c r="DM232" s="525"/>
      <c r="DN232" s="525"/>
      <c r="DO232" s="525"/>
      <c r="DP232" s="525"/>
      <c r="DQ232" s="525"/>
      <c r="DR232" s="525"/>
      <c r="DS232" s="525"/>
      <c r="DT232" s="525"/>
      <c r="DU232" s="525"/>
      <c r="DV232" s="525"/>
      <c r="DW232" s="525"/>
      <c r="DX232" s="525"/>
      <c r="DY232" s="525"/>
      <c r="DZ232" s="525"/>
      <c r="EA232" s="525"/>
      <c r="EB232" s="525"/>
      <c r="EC232" s="525"/>
      <c r="ED232" s="525"/>
      <c r="EE232" s="525"/>
      <c r="EF232" s="525"/>
      <c r="EG232" s="525"/>
      <c r="EH232" s="525"/>
      <c r="EI232" s="525"/>
      <c r="EJ232" s="525"/>
      <c r="EK232" s="525"/>
      <c r="EL232" s="525"/>
      <c r="EM232" s="525"/>
      <c r="EN232" s="525"/>
      <c r="EO232" s="525"/>
      <c r="EP232" s="525"/>
      <c r="EQ232" s="525"/>
      <c r="ER232" s="525"/>
      <c r="ES232" s="525"/>
      <c r="ET232" s="525"/>
      <c r="EU232" s="525"/>
      <c r="EV232" s="525"/>
      <c r="EW232" s="525"/>
      <c r="EX232" s="525"/>
      <c r="EY232" s="525"/>
      <c r="EZ232" s="525"/>
      <c r="FA232" s="525"/>
      <c r="FB232" s="1897"/>
      <c r="FC232" s="1751"/>
      <c r="FD232" s="1506"/>
      <c r="FE232" s="489" t="s">
        <v>962</v>
      </c>
      <c r="FF232" s="648"/>
      <c r="FG232" s="648"/>
      <c r="FH232" s="648"/>
      <c r="FI232" s="649"/>
      <c r="FJ232" s="649"/>
      <c r="FK232" s="1157" cm="1" t="str">
        <f t="array" ref="FK232:FK232">OFFSET(FJ232,-1,1)</f>
        <v>ТЭ.42.31656254.0001</v>
      </c>
      <c r="FL232" s="1078"/>
      <c r="FM232" s="1159"/>
      <c r="FN232" s="1159"/>
      <c r="FO232" s="1159"/>
      <c r="FP232" s="1159"/>
      <c r="FQ232" s="1159"/>
      <c r="FR232" s="1159"/>
      <c r="FS232" s="1159"/>
      <c r="FT232" s="1078" t="s">
        <v>963</v>
      </c>
      <c r="FU232" s="1159"/>
      <c r="FV232" s="1078" t="s">
        <v>219</v>
      </c>
      <c r="FW232" s="1159"/>
      <c r="FX232" s="1078"/>
      <c r="FY232" s="1078"/>
      <c r="FZ232" s="1078"/>
    </row>
    <row s="1751" customFormat="1" customHeight="1" ht="16.5" hidden="1">
      <c r="E233" s="180">
        <v>17</v>
      </c>
      <c r="F233" s="175" cm="1" t="str">
        <f t="array" ref="F233:F233">OFFSET(G233,-1,-1)</f>
        <v>1</v>
      </c>
      <c r="L233" s="175" cm="1" t="str">
        <f t="array" ref="L233:L233">OFFSET(M233,-1,-1)</f>
        <v>false</v>
      </c>
      <c r="S233" s="175" cm="1" t="str">
        <f t="array" ref="S233:S233">OFFSET(T233,-1,-1)</f>
        <v>true</v>
      </c>
      <c r="T233" s="175">
        <f>AD233&lt;&gt;"34.0"</f>
        <v>0</v>
      </c>
      <c r="U233" s="753">
        <f>AND(S233,IF(ISBLANK(T233),TRUE,T233))</f>
        <v>0</v>
      </c>
      <c r="X233" s="175" t="s">
        <v>189</v>
      </c>
      <c r="AB233" s="1607"/>
      <c r="AD233" s="491" t="s">
        <v>964</v>
      </c>
      <c r="AE233" s="514"/>
      <c r="AF233" s="515"/>
      <c r="AG233" s="470" t="s">
        <v>495</v>
      </c>
      <c r="AH233" s="92"/>
      <c r="AI233" s="96"/>
      <c r="AJ233" s="96"/>
      <c r="AK233" s="96"/>
      <c r="AL233" s="525"/>
      <c r="AM233" s="96"/>
      <c r="AN233" s="96"/>
      <c r="AO233" s="525"/>
      <c r="AP233" s="96"/>
      <c r="AQ233" s="96"/>
      <c r="AR233" s="525"/>
      <c r="AS233" s="96"/>
      <c r="AT233" s="96"/>
      <c r="AU233" s="525"/>
      <c r="AV233" s="96"/>
      <c r="AW233" s="96"/>
      <c r="AX233" s="525"/>
      <c r="AY233" s="96"/>
      <c r="AZ233" s="96"/>
      <c r="BA233" s="525"/>
      <c r="BB233" s="96"/>
      <c r="BC233" s="96"/>
      <c r="BD233" s="525"/>
      <c r="BE233" s="96"/>
      <c r="BF233" s="96"/>
      <c r="BG233" s="525"/>
      <c r="BH233" s="96"/>
      <c r="BI233" s="96"/>
      <c r="BJ233" s="525"/>
      <c r="BK233" s="96"/>
      <c r="BL233" s="96"/>
      <c r="BM233" s="525"/>
      <c r="BN233" s="96"/>
      <c r="BO233" s="96"/>
      <c r="BP233" s="525"/>
      <c r="BQ233" s="96"/>
      <c r="BR233" s="96"/>
      <c r="BS233" s="525"/>
      <c r="BT233" s="96"/>
      <c r="BU233" s="96"/>
      <c r="BV233" s="525"/>
      <c r="BW233" s="96"/>
      <c r="BX233" s="96"/>
      <c r="BY233" s="525"/>
      <c r="BZ233" s="96"/>
      <c r="CA233" s="96"/>
      <c r="CB233" s="525"/>
      <c r="CC233" s="96"/>
      <c r="CD233" s="96"/>
      <c r="CE233" s="525"/>
      <c r="CF233" s="96"/>
      <c r="CG233" s="96"/>
      <c r="CH233" s="525"/>
      <c r="CI233" s="96"/>
      <c r="CJ233" s="96"/>
      <c r="CK233" s="525"/>
      <c r="CL233" s="96"/>
      <c r="CM233" s="96"/>
      <c r="CN233" s="525"/>
      <c r="CO233" s="96"/>
      <c r="CP233" s="96"/>
      <c r="CQ233" s="525"/>
      <c r="CR233" s="96"/>
      <c r="CS233" s="96"/>
      <c r="CT233" s="525"/>
      <c r="CU233" s="535"/>
      <c r="CV233" s="535"/>
      <c r="CW233" s="525"/>
      <c r="CX233" s="96"/>
      <c r="CY233" s="96"/>
      <c r="CZ233" s="525"/>
      <c r="DA233" s="96"/>
      <c r="DB233" s="96"/>
      <c r="DC233" s="525"/>
      <c r="DD233" s="96"/>
      <c r="DE233" s="96"/>
      <c r="DF233" s="525"/>
      <c r="DG233" s="96"/>
      <c r="DH233" s="96"/>
      <c r="DI233" s="525"/>
      <c r="DJ233" s="96"/>
      <c r="DK233" s="96"/>
      <c r="DL233" s="525"/>
      <c r="DM233" s="96"/>
      <c r="DN233" s="96"/>
      <c r="DO233" s="525"/>
      <c r="DP233" s="96"/>
      <c r="DQ233" s="96"/>
      <c r="DR233" s="525"/>
      <c r="DS233" s="96"/>
      <c r="DT233" s="96"/>
      <c r="DU233" s="525"/>
      <c r="DV233" s="96"/>
      <c r="DW233" s="96"/>
      <c r="DX233" s="525"/>
      <c r="DY233" s="96"/>
      <c r="DZ233" s="96"/>
      <c r="EA233" s="525"/>
      <c r="EB233" s="96"/>
      <c r="EC233" s="96"/>
      <c r="ED233" s="525"/>
      <c r="EE233" s="96"/>
      <c r="EF233" s="96"/>
      <c r="EG233" s="525"/>
      <c r="EH233" s="96"/>
      <c r="EI233" s="96"/>
      <c r="EJ233" s="525"/>
      <c r="EK233" s="96"/>
      <c r="EL233" s="96"/>
      <c r="EM233" s="525"/>
      <c r="EN233" s="96"/>
      <c r="EO233" s="96"/>
      <c r="EP233" s="525"/>
      <c r="EQ233" s="96"/>
      <c r="ER233" s="96"/>
      <c r="ES233" s="525"/>
      <c r="ET233" s="96"/>
      <c r="EU233" s="96"/>
      <c r="EV233" s="525"/>
      <c r="EW233" s="96"/>
      <c r="EX233" s="96"/>
      <c r="EY233" s="525"/>
      <c r="EZ233" s="96"/>
      <c r="FA233" s="96"/>
      <c r="FB233" s="83"/>
      <c r="FE233" s="489" t="s">
        <v>962</v>
      </c>
      <c r="FF233" s="648" t="s">
        <v>890</v>
      </c>
      <c r="FG233" s="648" cm="1" t="str">
        <f t="array" ref="FG233:FG233">AE233</f>
        <v>0</v>
      </c>
      <c r="FH233" s="648" cm="1" t="str">
        <f t="array" ref="FH233:FH233">AF233</f>
        <v>0</v>
      </c>
      <c r="FI233" s="649"/>
      <c r="FJ233" s="649"/>
      <c r="FK233" s="1157" cm="1" t="str">
        <f t="array" ref="FK233:FK233">OFFSET(FJ233,-1,1)</f>
        <v>ТЭ.42.31656254.0001</v>
      </c>
      <c r="FL233" s="1159"/>
      <c r="FM233" s="1159"/>
      <c r="FN233" s="1159"/>
      <c r="FO233" s="1159"/>
      <c r="FP233" s="1159"/>
      <c r="FQ233" s="1159"/>
      <c r="FR233" s="1159"/>
      <c r="FS233" s="1159"/>
      <c r="FT233" s="1159" t="s">
        <v>963</v>
      </c>
      <c r="FU233" s="1159"/>
      <c r="FV233" s="1159" t="s">
        <v>219</v>
      </c>
      <c r="FW233" s="1078" t="str">
        <f>$AE233&amp;"|"&amp;$AF233</f>
        <v>|</v>
      </c>
      <c r="FX233" s="1159" t="s">
        <v>303</v>
      </c>
      <c r="FY233" s="1159" t="s">
        <v>931</v>
      </c>
      <c r="FZ233" s="1159" t="s">
        <v>932</v>
      </c>
    </row>
    <row s="1751" customFormat="1" customHeight="1" ht="16.5">
      <c r="A234" s="1751"/>
      <c r="B234" s="1751"/>
      <c r="C234" s="1751"/>
      <c r="D234" s="1751"/>
      <c r="E234" s="180">
        <v>17</v>
      </c>
      <c r="F234" s="175" cm="1" t="str">
        <f t="array" ref="F234:F234">OFFSET(G234,-1,-1)</f>
        <v>1</v>
      </c>
      <c r="G234" s="1751"/>
      <c r="H234" s="1751"/>
      <c r="I234" s="1751"/>
      <c r="J234" s="1751"/>
      <c r="K234" s="1751"/>
      <c r="L234" s="175" cm="1" t="str">
        <f t="array" ref="L234:L234">OFFSET(M234,-1,-1)</f>
        <v>false</v>
      </c>
      <c r="M234" s="1751"/>
      <c r="N234" s="1751"/>
      <c r="O234" s="1751"/>
      <c r="P234" s="1751"/>
      <c r="Q234" s="1751"/>
      <c r="R234" s="1751"/>
      <c r="S234" s="175" cm="1" t="str">
        <f t="array" ref="S234:S234">OFFSET(T234,-1,-1)</f>
        <v>true</v>
      </c>
      <c r="T234" s="175">
        <f>AD234&lt;&gt;"34.0"</f>
        <v>1</v>
      </c>
      <c r="U234" s="753">
        <f>AND(S234,IF(ISBLANK(T234),TRUE,T234))</f>
        <v>1</v>
      </c>
      <c r="V234" s="1751"/>
      <c r="W234" s="1751"/>
      <c r="X234" s="175" t="str">
        <f>'Топливо 4.4'!$AE$230&amp;'Топливо 4.4'!$AF$230</f>
        <v>Уголь длиннопламенный</v>
      </c>
      <c r="Y234" s="1751"/>
      <c r="Z234" s="1751"/>
      <c r="AA234" s="1751"/>
      <c r="AB234" s="1607"/>
      <c r="AC234" s="1751"/>
      <c r="AD234" s="491" t="s">
        <v>1026</v>
      </c>
      <c r="AE234" s="514" cm="1" t="str">
        <f t="array" ref="AE234:AE234">IF(ISBLANK('Топливо 4.4'!$AE$230),"",'Топливо 4.4'!$AE$230)</f>
        <v>Уголь длиннопламенный</v>
      </c>
      <c r="AF234" s="515" cm="1" t="str">
        <f t="array" ref="AF234:AF234">IF(ISBLANK('Топливо 4.4'!$AF$230),"",'Топливо 4.4'!$AF$230)</f>
        <v/>
      </c>
      <c r="AG234" s="470" t="s">
        <v>495</v>
      </c>
      <c r="AH234" s="2261"/>
      <c r="AI234" s="2266"/>
      <c r="AJ234" s="2266"/>
      <c r="AK234" s="2266"/>
      <c r="AL234" s="525"/>
      <c r="AM234" s="2266"/>
      <c r="AN234" s="2266"/>
      <c r="AO234" s="525"/>
      <c r="AP234" s="2266"/>
      <c r="AQ234" s="2266"/>
      <c r="AR234" s="525"/>
      <c r="AS234" s="2266"/>
      <c r="AT234" s="2266"/>
      <c r="AU234" s="525"/>
      <c r="AV234" s="2266"/>
      <c r="AW234" s="2266"/>
      <c r="AX234" s="525"/>
      <c r="AY234" s="2266"/>
      <c r="AZ234" s="2266"/>
      <c r="BA234" s="525"/>
      <c r="BB234" s="2266"/>
      <c r="BC234" s="2266"/>
      <c r="BD234" s="525"/>
      <c r="BE234" s="2266"/>
      <c r="BF234" s="2266"/>
      <c r="BG234" s="525"/>
      <c r="BH234" s="2266"/>
      <c r="BI234" s="2266"/>
      <c r="BJ234" s="525"/>
      <c r="BK234" s="2266"/>
      <c r="BL234" s="2266"/>
      <c r="BM234" s="525"/>
      <c r="BN234" s="2266"/>
      <c r="BO234" s="2266"/>
      <c r="BP234" s="525"/>
      <c r="BQ234" s="2266"/>
      <c r="BR234" s="2266"/>
      <c r="BS234" s="525"/>
      <c r="BT234" s="2266"/>
      <c r="BU234" s="2266"/>
      <c r="BV234" s="525"/>
      <c r="BW234" s="2266"/>
      <c r="BX234" s="2266"/>
      <c r="BY234" s="525"/>
      <c r="BZ234" s="2266"/>
      <c r="CA234" s="2266"/>
      <c r="CB234" s="525"/>
      <c r="CC234" s="2266"/>
      <c r="CD234" s="2266"/>
      <c r="CE234" s="525"/>
      <c r="CF234" s="2266"/>
      <c r="CG234" s="2266"/>
      <c r="CH234" s="525"/>
      <c r="CI234" s="2266"/>
      <c r="CJ234" s="2266"/>
      <c r="CK234" s="525"/>
      <c r="CL234" s="2266"/>
      <c r="CM234" s="2266"/>
      <c r="CN234" s="525"/>
      <c r="CO234" s="2266"/>
      <c r="CP234" s="2266"/>
      <c r="CQ234" s="525"/>
      <c r="CR234" s="2266"/>
      <c r="CS234" s="2266"/>
      <c r="CT234" s="525"/>
      <c r="CU234" s="535"/>
      <c r="CV234" s="535"/>
      <c r="CW234" s="525"/>
      <c r="CX234" s="2266"/>
      <c r="CY234" s="2266"/>
      <c r="CZ234" s="525"/>
      <c r="DA234" s="2266"/>
      <c r="DB234" s="2266"/>
      <c r="DC234" s="525"/>
      <c r="DD234" s="2266"/>
      <c r="DE234" s="2266"/>
      <c r="DF234" s="525"/>
      <c r="DG234" s="2266"/>
      <c r="DH234" s="2266"/>
      <c r="DI234" s="525"/>
      <c r="DJ234" s="2266"/>
      <c r="DK234" s="2266"/>
      <c r="DL234" s="525"/>
      <c r="DM234" s="2266"/>
      <c r="DN234" s="2266"/>
      <c r="DO234" s="525"/>
      <c r="DP234" s="2266"/>
      <c r="DQ234" s="2266"/>
      <c r="DR234" s="525"/>
      <c r="DS234" s="2266"/>
      <c r="DT234" s="2266"/>
      <c r="DU234" s="525"/>
      <c r="DV234" s="2266"/>
      <c r="DW234" s="2266"/>
      <c r="DX234" s="525"/>
      <c r="DY234" s="2266"/>
      <c r="DZ234" s="2266"/>
      <c r="EA234" s="525"/>
      <c r="EB234" s="2266"/>
      <c r="EC234" s="2266"/>
      <c r="ED234" s="525"/>
      <c r="EE234" s="2266"/>
      <c r="EF234" s="2266"/>
      <c r="EG234" s="525"/>
      <c r="EH234" s="2266"/>
      <c r="EI234" s="2266"/>
      <c r="EJ234" s="525"/>
      <c r="EK234" s="2266"/>
      <c r="EL234" s="2266"/>
      <c r="EM234" s="525"/>
      <c r="EN234" s="2266"/>
      <c r="EO234" s="2266"/>
      <c r="EP234" s="525"/>
      <c r="EQ234" s="2266"/>
      <c r="ER234" s="2266"/>
      <c r="ES234" s="525"/>
      <c r="ET234" s="2266"/>
      <c r="EU234" s="2266"/>
      <c r="EV234" s="525"/>
      <c r="EW234" s="2266"/>
      <c r="EX234" s="2266"/>
      <c r="EY234" s="525"/>
      <c r="EZ234" s="2266"/>
      <c r="FA234" s="2266"/>
      <c r="FB234" s="1897"/>
      <c r="FC234" s="1751"/>
      <c r="FD234" s="1751"/>
      <c r="FE234" s="489" t="s">
        <v>962</v>
      </c>
      <c r="FF234" s="648" t="s">
        <v>890</v>
      </c>
      <c r="FG234" s="648" cm="1" t="str">
        <f t="array" ref="FG234:FG234">AE234</f>
        <v>Уголь длиннопламенный</v>
      </c>
      <c r="FH234" s="648" cm="1" t="str">
        <f t="array" ref="FH234:FH234">AF234</f>
        <v/>
      </c>
      <c r="FI234" s="649"/>
      <c r="FJ234" s="649"/>
      <c r="FK234" s="1157" cm="1" t="str">
        <f t="array" ref="FK234:FK234">OFFSET(FJ234,-1,1)</f>
        <v>ТЭ.42.31656254.0001</v>
      </c>
      <c r="FL234" s="1159"/>
      <c r="FM234" s="1159"/>
      <c r="FN234" s="1159"/>
      <c r="FO234" s="1159"/>
      <c r="FP234" s="1159"/>
      <c r="FQ234" s="1159"/>
      <c r="FR234" s="1159"/>
      <c r="FS234" s="1159"/>
      <c r="FT234" s="1159" t="s">
        <v>963</v>
      </c>
      <c r="FU234" s="1159"/>
      <c r="FV234" s="1159" t="s">
        <v>219</v>
      </c>
      <c r="FW234" s="1078" t="str">
        <f>$AE234&amp;"|"&amp;$AF234</f>
        <v>Уголь длиннопламенный|</v>
      </c>
      <c r="FX234" s="1159" t="s">
        <v>303</v>
      </c>
      <c r="FY234" s="1159" t="s">
        <v>931</v>
      </c>
      <c r="FZ234" s="1159" t="s">
        <v>932</v>
      </c>
    </row>
    <row s="1751" customFormat="1" customHeight="1" ht="15" hidden="1">
      <c r="A235" s="371"/>
      <c r="B235" s="1548"/>
      <c r="C235" s="1548"/>
      <c r="D235" s="1548"/>
      <c r="E235" s="965">
        <v>0</v>
      </c>
      <c r="F235" s="175" cm="1" t="str">
        <f t="array" ref="F235:F235">OFFSET(G235,-1,-1)</f>
        <v>1</v>
      </c>
      <c r="G235" s="1659"/>
      <c r="H235" s="1659"/>
      <c r="I235" s="1659"/>
      <c r="J235" s="1659"/>
      <c r="K235" s="1659"/>
      <c r="L235" s="175" cm="1" t="str">
        <f t="array" ref="L235:L235">OFFSET(M235,-1,-1)</f>
        <v>false</v>
      </c>
      <c r="M235" s="1659"/>
      <c r="N235" s="1659"/>
      <c r="O235" s="1659"/>
      <c r="P235" s="1659"/>
      <c r="Q235" s="1659"/>
      <c r="R235" s="1548"/>
      <c r="S235" s="175" cm="1" t="str">
        <f t="array" ref="S235:S235">OFFSET(T235,-1,-1)</f>
        <v>true</v>
      </c>
      <c r="T235" s="1548"/>
      <c r="U235" s="753">
        <f>AND(S235,IF(ISBLANK(T235),TRUE,T235))</f>
        <v>1</v>
      </c>
      <c r="V235" s="1548"/>
      <c r="W235" s="1548"/>
      <c r="X235" s="980" t="str">
        <f>"{                  
         funcDyn: 'msg1',
         blok: 'blok_2',
         wsCross: 'Топливо 4.4',
         linkFormula: 'AE-AE#AF-AF',
         levelDyn: "&amp;Y139&amp;"
}"</f>
        <v>{                  
         funcDyn: 'msg1',
         blok: 'blok_2',
         wsCross: 'Топливо 4.4',
         linkFormula: 'AE-AE#AF-AF',
         levelDyn: 1
}</v>
      </c>
      <c r="Y235" s="1548"/>
      <c r="Z235" s="1548"/>
      <c r="AA235" s="1009"/>
      <c r="AB235" s="1607"/>
      <c r="AC235" s="1751"/>
      <c r="AD235" s="517"/>
      <c r="AE235" s="518" t="s">
        <v>191</v>
      </c>
      <c r="AF235" s="519"/>
      <c r="AG235" s="470"/>
      <c r="AH235" s="521"/>
      <c r="AI235" s="97"/>
      <c r="AJ235" s="97"/>
      <c r="AK235" s="97"/>
      <c r="AL235" s="525"/>
      <c r="AM235" s="97"/>
      <c r="AN235" s="97"/>
      <c r="AO235" s="525"/>
      <c r="AP235" s="97"/>
      <c r="AQ235" s="97"/>
      <c r="AR235" s="525"/>
      <c r="AS235" s="97"/>
      <c r="AT235" s="97"/>
      <c r="AU235" s="525"/>
      <c r="AV235" s="97"/>
      <c r="AW235" s="97"/>
      <c r="AX235" s="525"/>
      <c r="AY235" s="97"/>
      <c r="AZ235" s="97"/>
      <c r="BA235" s="525"/>
      <c r="BB235" s="97"/>
      <c r="BC235" s="97"/>
      <c r="BD235" s="525"/>
      <c r="BE235" s="97"/>
      <c r="BF235" s="97"/>
      <c r="BG235" s="525"/>
      <c r="BH235" s="97"/>
      <c r="BI235" s="97"/>
      <c r="BJ235" s="525"/>
      <c r="BK235" s="97"/>
      <c r="BL235" s="97"/>
      <c r="BM235" s="525"/>
      <c r="BN235" s="97"/>
      <c r="BO235" s="97"/>
      <c r="BP235" s="525"/>
      <c r="BQ235" s="97"/>
      <c r="BR235" s="97"/>
      <c r="BS235" s="525"/>
      <c r="BT235" s="97"/>
      <c r="BU235" s="97"/>
      <c r="BV235" s="525"/>
      <c r="BW235" s="97"/>
      <c r="BX235" s="97"/>
      <c r="BY235" s="525"/>
      <c r="BZ235" s="97"/>
      <c r="CA235" s="97"/>
      <c r="CB235" s="525"/>
      <c r="CC235" s="97"/>
      <c r="CD235" s="97"/>
      <c r="CE235" s="525"/>
      <c r="CF235" s="97"/>
      <c r="CG235" s="97"/>
      <c r="CH235" s="525"/>
      <c r="CI235" s="97"/>
      <c r="CJ235" s="97"/>
      <c r="CK235" s="525"/>
      <c r="CL235" s="97"/>
      <c r="CM235" s="97"/>
      <c r="CN235" s="525"/>
      <c r="CO235" s="97"/>
      <c r="CP235" s="97"/>
      <c r="CQ235" s="525"/>
      <c r="CR235" s="97"/>
      <c r="CS235" s="97"/>
      <c r="CT235" s="525"/>
      <c r="CU235" s="97"/>
      <c r="CV235" s="97"/>
      <c r="CW235" s="525"/>
      <c r="CX235" s="97"/>
      <c r="CY235" s="97"/>
      <c r="CZ235" s="525"/>
      <c r="DA235" s="97"/>
      <c r="DB235" s="97"/>
      <c r="DC235" s="525"/>
      <c r="DD235" s="97"/>
      <c r="DE235" s="97"/>
      <c r="DF235" s="525"/>
      <c r="DG235" s="97"/>
      <c r="DH235" s="97"/>
      <c r="DI235" s="525"/>
      <c r="DJ235" s="97"/>
      <c r="DK235" s="97"/>
      <c r="DL235" s="525"/>
      <c r="DM235" s="97"/>
      <c r="DN235" s="97"/>
      <c r="DO235" s="525"/>
      <c r="DP235" s="97"/>
      <c r="DQ235" s="97"/>
      <c r="DR235" s="525"/>
      <c r="DS235" s="97"/>
      <c r="DT235" s="97"/>
      <c r="DU235" s="525"/>
      <c r="DV235" s="97"/>
      <c r="DW235" s="97"/>
      <c r="DX235" s="525"/>
      <c r="DY235" s="97"/>
      <c r="DZ235" s="97"/>
      <c r="EA235" s="525"/>
      <c r="EB235" s="97"/>
      <c r="EC235" s="97"/>
      <c r="ED235" s="525"/>
      <c r="EE235" s="97"/>
      <c r="EF235" s="97"/>
      <c r="EG235" s="525"/>
      <c r="EH235" s="97"/>
      <c r="EI235" s="97"/>
      <c r="EJ235" s="525"/>
      <c r="EK235" s="97"/>
      <c r="EL235" s="97"/>
      <c r="EM235" s="525"/>
      <c r="EN235" s="97"/>
      <c r="EO235" s="97"/>
      <c r="EP235" s="525"/>
      <c r="EQ235" s="97"/>
      <c r="ER235" s="97"/>
      <c r="ES235" s="525"/>
      <c r="ET235" s="97"/>
      <c r="EU235" s="97"/>
      <c r="EV235" s="525"/>
      <c r="EW235" s="97"/>
      <c r="EX235" s="97"/>
      <c r="EY235" s="525"/>
      <c r="EZ235" s="97"/>
      <c r="FA235" s="97"/>
      <c r="FB235" s="93"/>
      <c r="FC235" s="1751"/>
      <c r="FD235" s="1506"/>
      <c r="FE235" s="489" t="str">
        <f>IF(AND(ISNUMBER(VALUE(TRIM(SUBSTITUTE(AD235,".","")))),TRIM(SUBSTITUTE(AD235,".",""))&lt;&gt;""),"P"&amp;SUBSTITUTE(AD235,".",""),"")</f>
        <v/>
      </c>
      <c r="FF235" s="648"/>
      <c r="FG235" s="648"/>
      <c r="FH235" s="648"/>
      <c r="FI235" s="649"/>
      <c r="FJ235" s="649"/>
      <c r="FK235" s="1157" cm="1" t="str">
        <f t="array" ref="FK235:FK235">OFFSET(FJ235,-1,1)</f>
        <v>ТЭ.42.31656254.0001</v>
      </c>
      <c r="FL235" s="1159"/>
      <c r="FM235" s="1159"/>
      <c r="FN235" s="1159"/>
      <c r="FO235" s="1159"/>
      <c r="FP235" s="1159"/>
      <c r="FQ235" s="1159"/>
      <c r="FR235" s="1159"/>
      <c r="FS235" s="1159"/>
      <c r="FT235" s="1159"/>
      <c r="FU235" s="1159"/>
      <c r="FV235" s="1159"/>
      <c r="FW235" s="1159"/>
      <c r="FX235" s="1159"/>
      <c r="FY235" s="1159"/>
      <c r="FZ235" s="1159"/>
    </row>
    <row s="1751" customFormat="1" customHeight="1" ht="16.5">
      <c r="A236" s="371"/>
      <c r="B236" s="1548"/>
      <c r="C236" s="1548"/>
      <c r="D236" s="1548"/>
      <c r="E236" s="180">
        <v>17</v>
      </c>
      <c r="F236" s="175" cm="1" t="str">
        <f t="array" ref="F236:F236">OFFSET(G236,-1,-1)</f>
        <v>1</v>
      </c>
      <c r="G236" s="1659"/>
      <c r="H236" s="1659"/>
      <c r="I236" s="1659"/>
      <c r="J236" s="1659"/>
      <c r="K236" s="1659"/>
      <c r="L236" s="175" cm="1" t="str">
        <f t="array" ref="L236:L236">OFFSET(M236,-1,-1)</f>
        <v>false</v>
      </c>
      <c r="M236" s="1659"/>
      <c r="N236" s="1659"/>
      <c r="O236" s="1659"/>
      <c r="P236" s="1659"/>
      <c r="Q236" s="1659"/>
      <c r="R236" s="1548"/>
      <c r="S236" s="175" cm="1" t="str">
        <f t="array" ref="S236:S236">OFFSET(T236,-1,-1)</f>
        <v>true</v>
      </c>
      <c r="T236" s="1548"/>
      <c r="U236" s="753">
        <f>AND(S236,IF(ISBLANK(T236),TRUE,T236))</f>
        <v>1</v>
      </c>
      <c r="V236" s="1548"/>
      <c r="W236" s="1548"/>
      <c r="X236" s="1548"/>
      <c r="Y236" s="1548"/>
      <c r="Z236" s="1548"/>
      <c r="AA236" s="1009"/>
      <c r="AB236" s="1607"/>
      <c r="AC236" s="1751"/>
      <c r="AD236" s="327">
        <v>35</v>
      </c>
      <c r="AE236" s="1618" t="s">
        <v>965</v>
      </c>
      <c r="AF236" s="427"/>
      <c r="AG236" s="534"/>
      <c r="AH236" s="524"/>
      <c r="AI236" s="525"/>
      <c r="AJ236" s="525"/>
      <c r="AK236" s="525"/>
      <c r="AL236" s="525"/>
      <c r="AM236" s="525"/>
      <c r="AN236" s="525"/>
      <c r="AO236" s="525"/>
      <c r="AP236" s="525"/>
      <c r="AQ236" s="525"/>
      <c r="AR236" s="525"/>
      <c r="AS236" s="525"/>
      <c r="AT236" s="525"/>
      <c r="AU236" s="525"/>
      <c r="AV236" s="525"/>
      <c r="AW236" s="525"/>
      <c r="AX236" s="525"/>
      <c r="AY236" s="525"/>
      <c r="AZ236" s="525"/>
      <c r="BA236" s="525"/>
      <c r="BB236" s="525"/>
      <c r="BC236" s="525"/>
      <c r="BD236" s="525"/>
      <c r="BE236" s="525"/>
      <c r="BF236" s="525"/>
      <c r="BG236" s="525"/>
      <c r="BH236" s="525"/>
      <c r="BI236" s="525"/>
      <c r="BJ236" s="525"/>
      <c r="BK236" s="525"/>
      <c r="BL236" s="525"/>
      <c r="BM236" s="525"/>
      <c r="BN236" s="525"/>
      <c r="BO236" s="525"/>
      <c r="BP236" s="525"/>
      <c r="BQ236" s="525"/>
      <c r="BR236" s="525"/>
      <c r="BS236" s="525"/>
      <c r="BT236" s="525"/>
      <c r="BU236" s="525"/>
      <c r="BV236" s="525"/>
      <c r="BW236" s="525"/>
      <c r="BX236" s="525"/>
      <c r="BY236" s="525"/>
      <c r="BZ236" s="525"/>
      <c r="CA236" s="525"/>
      <c r="CB236" s="525"/>
      <c r="CC236" s="525"/>
      <c r="CD236" s="525"/>
      <c r="CE236" s="525"/>
      <c r="CF236" s="525"/>
      <c r="CG236" s="525"/>
      <c r="CH236" s="525"/>
      <c r="CI236" s="525"/>
      <c r="CJ236" s="525"/>
      <c r="CK236" s="525"/>
      <c r="CL236" s="525"/>
      <c r="CM236" s="525"/>
      <c r="CN236" s="525"/>
      <c r="CO236" s="525"/>
      <c r="CP236" s="525"/>
      <c r="CQ236" s="525"/>
      <c r="CR236" s="525"/>
      <c r="CS236" s="525"/>
      <c r="CT236" s="525"/>
      <c r="CU236" s="525"/>
      <c r="CV236" s="525"/>
      <c r="CW236" s="525"/>
      <c r="CX236" s="525"/>
      <c r="CY236" s="525"/>
      <c r="CZ236" s="525"/>
      <c r="DA236" s="525"/>
      <c r="DB236" s="525"/>
      <c r="DC236" s="525"/>
      <c r="DD236" s="525"/>
      <c r="DE236" s="525"/>
      <c r="DF236" s="525"/>
      <c r="DG236" s="525"/>
      <c r="DH236" s="525"/>
      <c r="DI236" s="525"/>
      <c r="DJ236" s="525"/>
      <c r="DK236" s="525"/>
      <c r="DL236" s="525"/>
      <c r="DM236" s="525"/>
      <c r="DN236" s="525"/>
      <c r="DO236" s="525"/>
      <c r="DP236" s="525"/>
      <c r="DQ236" s="525"/>
      <c r="DR236" s="525"/>
      <c r="DS236" s="525"/>
      <c r="DT236" s="525"/>
      <c r="DU236" s="525"/>
      <c r="DV236" s="525"/>
      <c r="DW236" s="525"/>
      <c r="DX236" s="525"/>
      <c r="DY236" s="525"/>
      <c r="DZ236" s="525"/>
      <c r="EA236" s="525"/>
      <c r="EB236" s="525"/>
      <c r="EC236" s="525"/>
      <c r="ED236" s="525"/>
      <c r="EE236" s="525"/>
      <c r="EF236" s="525"/>
      <c r="EG236" s="525"/>
      <c r="EH236" s="525"/>
      <c r="EI236" s="525"/>
      <c r="EJ236" s="525"/>
      <c r="EK236" s="525"/>
      <c r="EL236" s="525"/>
      <c r="EM236" s="525"/>
      <c r="EN236" s="525"/>
      <c r="EO236" s="525"/>
      <c r="EP236" s="525"/>
      <c r="EQ236" s="525"/>
      <c r="ER236" s="525"/>
      <c r="ES236" s="525"/>
      <c r="ET236" s="525"/>
      <c r="EU236" s="525"/>
      <c r="EV236" s="525"/>
      <c r="EW236" s="525"/>
      <c r="EX236" s="525"/>
      <c r="EY236" s="525"/>
      <c r="EZ236" s="525"/>
      <c r="FA236" s="525"/>
      <c r="FB236" s="1897"/>
      <c r="FC236" s="1751"/>
      <c r="FD236" s="1506"/>
      <c r="FE236" s="489" t="s">
        <v>966</v>
      </c>
      <c r="FF236" s="648"/>
      <c r="FG236" s="648"/>
      <c r="FH236" s="648"/>
      <c r="FI236" s="649"/>
      <c r="FJ236" s="649"/>
      <c r="FK236" s="1157" cm="1" t="str">
        <f t="array" ref="FK236:FK236">OFFSET(FJ236,-1,1)</f>
        <v>ТЭ.42.31656254.0001</v>
      </c>
      <c r="FL236" s="1078"/>
      <c r="FM236" s="1159"/>
      <c r="FN236" s="1159"/>
      <c r="FO236" s="1159"/>
      <c r="FP236" s="1159"/>
      <c r="FQ236" s="1159"/>
      <c r="FR236" s="1159"/>
      <c r="FS236" s="1159"/>
      <c r="FT236" s="1078" t="s">
        <v>963</v>
      </c>
      <c r="FU236" s="1159"/>
      <c r="FV236" s="1078" t="s">
        <v>255</v>
      </c>
      <c r="FW236" s="1159"/>
      <c r="FX236" s="1078"/>
      <c r="FY236" s="1078"/>
      <c r="FZ236" s="1078"/>
    </row>
    <row s="1751" customFormat="1" customHeight="1" ht="16.5" hidden="1">
      <c r="E237" s="180">
        <v>17</v>
      </c>
      <c r="F237" s="175" cm="1" t="str">
        <f t="array" ref="F237:F237">OFFSET(G237,-1,-1)</f>
        <v>1</v>
      </c>
      <c r="L237" s="175" cm="1" t="str">
        <f t="array" ref="L237:L237">OFFSET(M237,-1,-1)</f>
        <v>false</v>
      </c>
      <c r="S237" s="175" cm="1" t="str">
        <f t="array" ref="S237:S237">OFFSET(T237,-1,-1)</f>
        <v>true</v>
      </c>
      <c r="T237" s="175">
        <f>AD237&lt;&gt;"35.0"</f>
        <v>0</v>
      </c>
      <c r="U237" s="753">
        <f>AND(S237,IF(ISBLANK(T237),TRUE,T237))</f>
        <v>0</v>
      </c>
      <c r="X237" s="175" t="s">
        <v>189</v>
      </c>
      <c r="AB237" s="1607"/>
      <c r="AD237" s="491" t="s">
        <v>967</v>
      </c>
      <c r="AE237" s="514"/>
      <c r="AF237" s="515"/>
      <c r="AG237" s="530" t="str">
        <f>"руб./"&amp;_xlfn.IFERROR(INDEX(fuel_ed_izm_list,MATCH(AE237,fuel_list,0)),"")</f>
        <v>руб./</v>
      </c>
      <c r="AH237" s="88">
        <f>_xlfn.IFERROR(AH242/AH178,0)*1000</f>
        <v>0</v>
      </c>
      <c r="AI237" s="88">
        <f>_xlfn.IFERROR(AI242/AI178,0)*1000</f>
        <v>0</v>
      </c>
      <c r="AJ237" s="88">
        <f>_xlfn.IFERROR(AJ242/AJ178,0)*1000</f>
        <v>0</v>
      </c>
      <c r="AK237" s="88">
        <f>_xlfn.IFERROR(AK242/AK178,0)*1000</f>
        <v>0</v>
      </c>
      <c r="AL237" s="499">
        <f>_xlfn.IFERROR(AL242/AL178,0)*1000</f>
        <v>0</v>
      </c>
      <c r="AM237" s="89"/>
      <c r="AN237" s="89"/>
      <c r="AO237" s="499">
        <f>_xlfn.IFERROR(AO242/AO178,0)*1000</f>
        <v>0</v>
      </c>
      <c r="AP237" s="89"/>
      <c r="AQ237" s="89"/>
      <c r="AR237" s="499">
        <f>_xlfn.IFERROR(AR242/AR178,0)*1000</f>
        <v>0</v>
      </c>
      <c r="AS237" s="89"/>
      <c r="AT237" s="89"/>
      <c r="AU237" s="499">
        <f>_xlfn.IFERROR(AU242/AU178,0)*1000</f>
        <v>0</v>
      </c>
      <c r="AV237" s="89"/>
      <c r="AW237" s="89"/>
      <c r="AX237" s="499">
        <f>_xlfn.IFERROR(AX242/AX178,0)*1000</f>
        <v>0</v>
      </c>
      <c r="AY237" s="89"/>
      <c r="AZ237" s="89"/>
      <c r="BA237" s="499">
        <f>_xlfn.IFERROR(BA242/BA178,0)*1000</f>
        <v>0</v>
      </c>
      <c r="BB237" s="89"/>
      <c r="BC237" s="89"/>
      <c r="BD237" s="499">
        <f>_xlfn.IFERROR(BD242/BD178,0)*1000</f>
        <v>0</v>
      </c>
      <c r="BE237" s="89"/>
      <c r="BF237" s="89"/>
      <c r="BG237" s="499">
        <f>_xlfn.IFERROR(BG242/BG178,0)*1000</f>
        <v>0</v>
      </c>
      <c r="BH237" s="89"/>
      <c r="BI237" s="89"/>
      <c r="BJ237" s="499">
        <f>_xlfn.IFERROR(BJ242/BJ178,0)*1000</f>
        <v>0</v>
      </c>
      <c r="BK237" s="89"/>
      <c r="BL237" s="89"/>
      <c r="BM237" s="499">
        <f>_xlfn.IFERROR(BM242/BM178,0)*1000</f>
        <v>0</v>
      </c>
      <c r="BN237" s="89"/>
      <c r="BO237" s="89"/>
      <c r="BP237" s="499">
        <f>_xlfn.IFERROR(BP242/BP178,0)*1000</f>
        <v>0</v>
      </c>
      <c r="BQ237" s="89"/>
      <c r="BR237" s="89"/>
      <c r="BS237" s="499">
        <f>_xlfn.IFERROR(BS242/BS178,0)*1000</f>
        <v>0</v>
      </c>
      <c r="BT237" s="89"/>
      <c r="BU237" s="89"/>
      <c r="BV237" s="499">
        <f>_xlfn.IFERROR(BV242/BV178,0)*1000</f>
        <v>0</v>
      </c>
      <c r="BW237" s="89"/>
      <c r="BX237" s="89"/>
      <c r="BY237" s="499">
        <f>_xlfn.IFERROR(BY242/BY178,0)*1000</f>
        <v>0</v>
      </c>
      <c r="BZ237" s="89"/>
      <c r="CA237" s="89"/>
      <c r="CB237" s="499">
        <f>_xlfn.IFERROR(CB242/CB178,0)*1000</f>
        <v>0</v>
      </c>
      <c r="CC237" s="89"/>
      <c r="CD237" s="89"/>
      <c r="CE237" s="499">
        <f>_xlfn.IFERROR(CE242/CE178,0)*1000</f>
        <v>0</v>
      </c>
      <c r="CF237" s="89"/>
      <c r="CG237" s="89"/>
      <c r="CH237" s="499">
        <f>_xlfn.IFERROR(CH242/CH178,0)*1000</f>
        <v>0</v>
      </c>
      <c r="CI237" s="89"/>
      <c r="CJ237" s="89"/>
      <c r="CK237" s="499">
        <f>_xlfn.IFERROR(CK242/CK178,0)*1000</f>
        <v>0</v>
      </c>
      <c r="CL237" s="89"/>
      <c r="CM237" s="89"/>
      <c r="CN237" s="499">
        <f>_xlfn.IFERROR(CN242/CN178,0)*1000</f>
        <v>0</v>
      </c>
      <c r="CO237" s="89"/>
      <c r="CP237" s="89"/>
      <c r="CQ237" s="499">
        <f>_xlfn.IFERROR(CQ242/CQ178,0)*1000</f>
        <v>0</v>
      </c>
      <c r="CR237" s="89"/>
      <c r="CS237" s="89"/>
      <c r="CT237" s="499">
        <f>_xlfn.IFERROR(CT242/CT178,0)*1000</f>
        <v>0</v>
      </c>
      <c r="CU237" s="498"/>
      <c r="CV237" s="498"/>
      <c r="CW237" s="499">
        <f>_xlfn.IFERROR(CW242/CW178,0)*1000</f>
        <v>0</v>
      </c>
      <c r="CX237" s="89"/>
      <c r="CY237" s="89"/>
      <c r="CZ237" s="499">
        <f>_xlfn.IFERROR(CZ242/CZ178,0)*1000</f>
        <v>0</v>
      </c>
      <c r="DA237" s="89"/>
      <c r="DB237" s="89"/>
      <c r="DC237" s="499">
        <f>_xlfn.IFERROR(DC242/DC178,0)*1000</f>
        <v>0</v>
      </c>
      <c r="DD237" s="89"/>
      <c r="DE237" s="89"/>
      <c r="DF237" s="499">
        <f>_xlfn.IFERROR(DF242/DF178,0)*1000</f>
        <v>0</v>
      </c>
      <c r="DG237" s="89"/>
      <c r="DH237" s="89"/>
      <c r="DI237" s="499">
        <f>_xlfn.IFERROR(DI242/DI178,0)*1000</f>
        <v>0</v>
      </c>
      <c r="DJ237" s="89"/>
      <c r="DK237" s="89"/>
      <c r="DL237" s="499">
        <f>_xlfn.IFERROR(DL242/DL178,0)*1000</f>
        <v>0</v>
      </c>
      <c r="DM237" s="89"/>
      <c r="DN237" s="89"/>
      <c r="DO237" s="499">
        <f>_xlfn.IFERROR(DO242/DO178,0)*1000</f>
        <v>0</v>
      </c>
      <c r="DP237" s="89"/>
      <c r="DQ237" s="89"/>
      <c r="DR237" s="499">
        <f>_xlfn.IFERROR(DR242/DR178,0)*1000</f>
        <v>0</v>
      </c>
      <c r="DS237" s="89"/>
      <c r="DT237" s="89"/>
      <c r="DU237" s="499">
        <f>_xlfn.IFERROR(DU242/DU178,0)*1000</f>
        <v>0</v>
      </c>
      <c r="DV237" s="89"/>
      <c r="DW237" s="89"/>
      <c r="DX237" s="499">
        <f>_xlfn.IFERROR(DX242/DX178,0)*1000</f>
        <v>0</v>
      </c>
      <c r="DY237" s="89"/>
      <c r="DZ237" s="89"/>
      <c r="EA237" s="499">
        <f>_xlfn.IFERROR(EA242/EA178,0)*1000</f>
        <v>0</v>
      </c>
      <c r="EB237" s="89"/>
      <c r="EC237" s="89"/>
      <c r="ED237" s="499">
        <f>_xlfn.IFERROR(ED242/ED178,0)*1000</f>
        <v>0</v>
      </c>
      <c r="EE237" s="89"/>
      <c r="EF237" s="89"/>
      <c r="EG237" s="499">
        <f>_xlfn.IFERROR(EG242/EG178,0)*1000</f>
        <v>0</v>
      </c>
      <c r="EH237" s="89"/>
      <c r="EI237" s="89"/>
      <c r="EJ237" s="499">
        <f>_xlfn.IFERROR(EJ242/EJ178,0)*1000</f>
        <v>0</v>
      </c>
      <c r="EK237" s="89"/>
      <c r="EL237" s="89"/>
      <c r="EM237" s="499">
        <f>_xlfn.IFERROR(EM242/EM178,0)*1000</f>
        <v>0</v>
      </c>
      <c r="EN237" s="89"/>
      <c r="EO237" s="89"/>
      <c r="EP237" s="499">
        <f>_xlfn.IFERROR(EP242/EP178,0)*1000</f>
        <v>0</v>
      </c>
      <c r="EQ237" s="89"/>
      <c r="ER237" s="89"/>
      <c r="ES237" s="499">
        <f>_xlfn.IFERROR(ES242/ES178,0)*1000</f>
        <v>0</v>
      </c>
      <c r="ET237" s="89"/>
      <c r="EU237" s="89"/>
      <c r="EV237" s="499">
        <f>_xlfn.IFERROR(EV242/EV178,0)*1000</f>
        <v>0</v>
      </c>
      <c r="EW237" s="89"/>
      <c r="EX237" s="89"/>
      <c r="EY237" s="499">
        <f>_xlfn.IFERROR(EY242/EY178,0)*1000</f>
        <v>0</v>
      </c>
      <c r="EZ237" s="89"/>
      <c r="FA237" s="89"/>
      <c r="FB237" s="83"/>
      <c r="FE237" s="489" t="s">
        <v>966</v>
      </c>
      <c r="FF237" s="648" t="s">
        <v>890</v>
      </c>
      <c r="FG237" s="648" cm="1" t="str">
        <f t="array" ref="FG237:FG237">AE237</f>
        <v>0</v>
      </c>
      <c r="FH237" s="648" cm="1" t="str">
        <f t="array" ref="FH237:FH237">AF237</f>
        <v>0</v>
      </c>
      <c r="FI237" s="649"/>
      <c r="FJ237" s="649"/>
      <c r="FK237" s="1157" cm="1" t="str">
        <f t="array" ref="FK237:FK237">OFFSET(FJ237,-1,1)</f>
        <v>ТЭ.42.31656254.0001</v>
      </c>
      <c r="FL237" s="1159"/>
      <c r="FM237" s="1159"/>
      <c r="FN237" s="1159"/>
      <c r="FO237" s="1159"/>
      <c r="FP237" s="1159"/>
      <c r="FQ237" s="1159"/>
      <c r="FR237" s="1159"/>
      <c r="FS237" s="1159"/>
      <c r="FT237" s="1159" t="s">
        <v>963</v>
      </c>
      <c r="FU237" s="1159"/>
      <c r="FV237" s="1159" t="s">
        <v>255</v>
      </c>
      <c r="FW237" s="1078" t="str">
        <f>$AE237&amp;"|"&amp;$AF237</f>
        <v>|</v>
      </c>
      <c r="FX237" s="1159" t="s">
        <v>303</v>
      </c>
      <c r="FY237" s="1159" t="s">
        <v>936</v>
      </c>
      <c r="FZ237" s="1159" t="s">
        <v>937</v>
      </c>
    </row>
    <row s="1751" customFormat="1" customHeight="1" ht="16.5">
      <c r="A238" s="1751"/>
      <c r="B238" s="1751"/>
      <c r="C238" s="1751"/>
      <c r="D238" s="1751"/>
      <c r="E238" s="180">
        <v>17</v>
      </c>
      <c r="F238" s="175" cm="1" t="str">
        <f t="array" ref="F238:F238">OFFSET(G238,-1,-1)</f>
        <v>1</v>
      </c>
      <c r="G238" s="1751"/>
      <c r="H238" s="1751"/>
      <c r="I238" s="1751"/>
      <c r="J238" s="1751"/>
      <c r="K238" s="1751"/>
      <c r="L238" s="175" cm="1" t="str">
        <f t="array" ref="L238:L238">OFFSET(M238,-1,-1)</f>
        <v>false</v>
      </c>
      <c r="M238" s="1751"/>
      <c r="N238" s="1751"/>
      <c r="O238" s="1751"/>
      <c r="P238" s="1751"/>
      <c r="Q238" s="1751"/>
      <c r="R238" s="1751"/>
      <c r="S238" s="175" cm="1" t="str">
        <f t="array" ref="S238:S238">OFFSET(T238,-1,-1)</f>
        <v>true</v>
      </c>
      <c r="T238" s="175">
        <f>AD238&lt;&gt;"35.0"</f>
        <v>1</v>
      </c>
      <c r="U238" s="753">
        <f>AND(S238,IF(ISBLANK(T238),TRUE,T238))</f>
        <v>1</v>
      </c>
      <c r="V238" s="1751"/>
      <c r="W238" s="1751"/>
      <c r="X238" s="175" t="str">
        <f>'Топливо 4.4'!$AE$234&amp;'Топливо 4.4'!$AF$234</f>
        <v>Уголь длиннопламенный</v>
      </c>
      <c r="Y238" s="1751"/>
      <c r="Z238" s="1751"/>
      <c r="AA238" s="1751"/>
      <c r="AB238" s="1607"/>
      <c r="AC238" s="1751"/>
      <c r="AD238" s="491" t="s">
        <v>1027</v>
      </c>
      <c r="AE238" s="514" cm="1" t="str">
        <f t="array" ref="AE238:AE238">IF(ISBLANK('Топливо 4.4'!$AE$234),"",'Топливо 4.4'!$AE$234)</f>
        <v>Уголь длиннопламенный</v>
      </c>
      <c r="AF238" s="515" cm="1" t="str">
        <f t="array" ref="AF238:AF238">IF(ISBLANK('Топливо 4.4'!$AF$234),"",'Топливо 4.4'!$AF$234)</f>
        <v/>
      </c>
      <c r="AG238" s="530" t="str">
        <f>"руб./"&amp;_xlfn.IFERROR(INDEX(fuel_ed_izm_list,MATCH(AE238,fuel_list,0)),"")</f>
        <v>руб./тнт</v>
      </c>
      <c r="AH238" s="2255">
        <f>_xlfn.IFERROR(AH243/AH179,0)*1000</f>
        <v>0</v>
      </c>
      <c r="AI238" s="2255">
        <f>_xlfn.IFERROR(AI243/AI179,0)*1000</f>
        <v>0</v>
      </c>
      <c r="AJ238" s="2255">
        <f>_xlfn.IFERROR(AJ243/AJ179,0)*1000</f>
        <v>0</v>
      </c>
      <c r="AK238" s="2255">
        <f>_xlfn.IFERROR(AK243/AK179,0)*1000</f>
        <v>0</v>
      </c>
      <c r="AL238" s="499">
        <f>_xlfn.IFERROR(AL243/AL179,0)*1000</f>
        <v>0</v>
      </c>
      <c r="AM238" s="2256"/>
      <c r="AN238" s="2256"/>
      <c r="AO238" s="499">
        <f>_xlfn.IFERROR(AO243/AO179,0)*1000</f>
        <v>0</v>
      </c>
      <c r="AP238" s="2256"/>
      <c r="AQ238" s="2256"/>
      <c r="AR238" s="499">
        <f>_xlfn.IFERROR(AR243/AR179,0)*1000</f>
        <v>0</v>
      </c>
      <c r="AS238" s="2256"/>
      <c r="AT238" s="2256"/>
      <c r="AU238" s="499">
        <f>_xlfn.IFERROR(AU243/AU179,0)*1000</f>
        <v>0</v>
      </c>
      <c r="AV238" s="2256"/>
      <c r="AW238" s="2256"/>
      <c r="AX238" s="499">
        <f>_xlfn.IFERROR(AX243/AX179,0)*1000</f>
        <v>0</v>
      </c>
      <c r="AY238" s="2256"/>
      <c r="AZ238" s="2256"/>
      <c r="BA238" s="499">
        <f>_xlfn.IFERROR(BA243/BA179,0)*1000</f>
        <v>0</v>
      </c>
      <c r="BB238" s="2256"/>
      <c r="BC238" s="2256"/>
      <c r="BD238" s="499">
        <f>_xlfn.IFERROR(BD243/BD179,0)*1000</f>
        <v>0</v>
      </c>
      <c r="BE238" s="2256"/>
      <c r="BF238" s="2256"/>
      <c r="BG238" s="499">
        <f>_xlfn.IFERROR(BG243/BG179,0)*1000</f>
        <v>0</v>
      </c>
      <c r="BH238" s="2256"/>
      <c r="BI238" s="2256"/>
      <c r="BJ238" s="499">
        <f>_xlfn.IFERROR(BJ243/BJ179,0)*1000</f>
        <v>0</v>
      </c>
      <c r="BK238" s="2256"/>
      <c r="BL238" s="2256"/>
      <c r="BM238" s="499">
        <f>_xlfn.IFERROR(BM243/BM179,0)*1000</f>
        <v>0</v>
      </c>
      <c r="BN238" s="2256"/>
      <c r="BO238" s="2256"/>
      <c r="BP238" s="499">
        <f>_xlfn.IFERROR(BP243/BP179,0)*1000</f>
        <v>0</v>
      </c>
      <c r="BQ238" s="2256"/>
      <c r="BR238" s="2256"/>
      <c r="BS238" s="499">
        <f>_xlfn.IFERROR(BS243/BS179,0)*1000</f>
        <v>0</v>
      </c>
      <c r="BT238" s="2256"/>
      <c r="BU238" s="2256"/>
      <c r="BV238" s="499">
        <f>_xlfn.IFERROR(BV243/BV179,0)*1000</f>
        <v>0</v>
      </c>
      <c r="BW238" s="2256"/>
      <c r="BX238" s="2256"/>
      <c r="BY238" s="499">
        <f>_xlfn.IFERROR(BY243/BY179,0)*1000</f>
        <v>0</v>
      </c>
      <c r="BZ238" s="2256"/>
      <c r="CA238" s="2256"/>
      <c r="CB238" s="499">
        <f>_xlfn.IFERROR(CB243/CB179,0)*1000</f>
        <v>0</v>
      </c>
      <c r="CC238" s="2256"/>
      <c r="CD238" s="2256"/>
      <c r="CE238" s="499">
        <f>_xlfn.IFERROR(CE243/CE179,0)*1000</f>
        <v>0</v>
      </c>
      <c r="CF238" s="2256"/>
      <c r="CG238" s="2256"/>
      <c r="CH238" s="499">
        <f>_xlfn.IFERROR(CH243/CH179,0)*1000</f>
        <v>0</v>
      </c>
      <c r="CI238" s="2256"/>
      <c r="CJ238" s="2256"/>
      <c r="CK238" s="499">
        <f>_xlfn.IFERROR(CK243/CK179,0)*1000</f>
        <v>0</v>
      </c>
      <c r="CL238" s="2256"/>
      <c r="CM238" s="2256"/>
      <c r="CN238" s="499">
        <f>_xlfn.IFERROR(CN243/CN179,0)*1000</f>
        <v>0</v>
      </c>
      <c r="CO238" s="2256"/>
      <c r="CP238" s="2256"/>
      <c r="CQ238" s="499">
        <f>_xlfn.IFERROR(CQ243/CQ179,0)*1000</f>
        <v>0</v>
      </c>
      <c r="CR238" s="2256"/>
      <c r="CS238" s="2256"/>
      <c r="CT238" s="499">
        <f>_xlfn.IFERROR(CT243/CT179,0)*1000</f>
        <v>0</v>
      </c>
      <c r="CU238" s="498"/>
      <c r="CV238" s="498"/>
      <c r="CW238" s="499">
        <f>_xlfn.IFERROR(CW243/CW179,0)*1000</f>
        <v>0</v>
      </c>
      <c r="CX238" s="2256"/>
      <c r="CY238" s="2256"/>
      <c r="CZ238" s="499">
        <f>_xlfn.IFERROR(CZ243/CZ179,0)*1000</f>
        <v>0</v>
      </c>
      <c r="DA238" s="2256"/>
      <c r="DB238" s="2256"/>
      <c r="DC238" s="499">
        <f>_xlfn.IFERROR(DC243/DC179,0)*1000</f>
        <v>0</v>
      </c>
      <c r="DD238" s="2256"/>
      <c r="DE238" s="2256"/>
      <c r="DF238" s="499">
        <f>_xlfn.IFERROR(DF243/DF179,0)*1000</f>
        <v>0</v>
      </c>
      <c r="DG238" s="2256"/>
      <c r="DH238" s="2256"/>
      <c r="DI238" s="499">
        <f>_xlfn.IFERROR(DI243/DI179,0)*1000</f>
        <v>0</v>
      </c>
      <c r="DJ238" s="2256"/>
      <c r="DK238" s="2256"/>
      <c r="DL238" s="499">
        <f>_xlfn.IFERROR(DL243/DL179,0)*1000</f>
        <v>0</v>
      </c>
      <c r="DM238" s="2256"/>
      <c r="DN238" s="2256"/>
      <c r="DO238" s="499">
        <f>_xlfn.IFERROR(DO243/DO179,0)*1000</f>
        <v>0</v>
      </c>
      <c r="DP238" s="2256"/>
      <c r="DQ238" s="2256"/>
      <c r="DR238" s="499">
        <f>_xlfn.IFERROR(DR243/DR179,0)*1000</f>
        <v>0</v>
      </c>
      <c r="DS238" s="2256"/>
      <c r="DT238" s="2256"/>
      <c r="DU238" s="499">
        <f>_xlfn.IFERROR(DU243/DU179,0)*1000</f>
        <v>0</v>
      </c>
      <c r="DV238" s="2256"/>
      <c r="DW238" s="2256"/>
      <c r="DX238" s="499">
        <f>_xlfn.IFERROR(DX243/DX179,0)*1000</f>
        <v>0</v>
      </c>
      <c r="DY238" s="2256"/>
      <c r="DZ238" s="2256"/>
      <c r="EA238" s="499">
        <f>_xlfn.IFERROR(EA243/EA179,0)*1000</f>
        <v>0</v>
      </c>
      <c r="EB238" s="2256"/>
      <c r="EC238" s="2256"/>
      <c r="ED238" s="499">
        <f>_xlfn.IFERROR(ED243/ED179,0)*1000</f>
        <v>0</v>
      </c>
      <c r="EE238" s="2256"/>
      <c r="EF238" s="2256"/>
      <c r="EG238" s="499">
        <f>_xlfn.IFERROR(EG243/EG179,0)*1000</f>
        <v>0</v>
      </c>
      <c r="EH238" s="2256"/>
      <c r="EI238" s="2256"/>
      <c r="EJ238" s="499">
        <f>_xlfn.IFERROR(EJ243/EJ179,0)*1000</f>
        <v>0</v>
      </c>
      <c r="EK238" s="2256"/>
      <c r="EL238" s="2256"/>
      <c r="EM238" s="499">
        <f>_xlfn.IFERROR(EM243/EM179,0)*1000</f>
        <v>0</v>
      </c>
      <c r="EN238" s="2256"/>
      <c r="EO238" s="2256"/>
      <c r="EP238" s="499">
        <f>_xlfn.IFERROR(EP243/EP179,0)*1000</f>
        <v>0</v>
      </c>
      <c r="EQ238" s="2256"/>
      <c r="ER238" s="2256"/>
      <c r="ES238" s="499">
        <f>_xlfn.IFERROR(ES243/ES179,0)*1000</f>
        <v>0</v>
      </c>
      <c r="ET238" s="2256"/>
      <c r="EU238" s="2256"/>
      <c r="EV238" s="499">
        <f>_xlfn.IFERROR(EV243/EV179,0)*1000</f>
        <v>0</v>
      </c>
      <c r="EW238" s="2256"/>
      <c r="EX238" s="2256"/>
      <c r="EY238" s="499">
        <f>_xlfn.IFERROR(EY243/EY179,0)*1000</f>
        <v>0</v>
      </c>
      <c r="EZ238" s="2256"/>
      <c r="FA238" s="2256"/>
      <c r="FB238" s="1897"/>
      <c r="FC238" s="1751"/>
      <c r="FD238" s="1751"/>
      <c r="FE238" s="489" t="s">
        <v>966</v>
      </c>
      <c r="FF238" s="648" t="s">
        <v>890</v>
      </c>
      <c r="FG238" s="648" cm="1" t="str">
        <f t="array" ref="FG238:FG238">AE238</f>
        <v>Уголь длиннопламенный</v>
      </c>
      <c r="FH238" s="648" cm="1" t="str">
        <f t="array" ref="FH238:FH238">AF238</f>
        <v/>
      </c>
      <c r="FI238" s="649"/>
      <c r="FJ238" s="649"/>
      <c r="FK238" s="1157" cm="1" t="str">
        <f t="array" ref="FK238:FK238">OFFSET(FJ238,-1,1)</f>
        <v>ТЭ.42.31656254.0001</v>
      </c>
      <c r="FL238" s="1159"/>
      <c r="FM238" s="1159"/>
      <c r="FN238" s="1159"/>
      <c r="FO238" s="1159"/>
      <c r="FP238" s="1159"/>
      <c r="FQ238" s="1159"/>
      <c r="FR238" s="1159"/>
      <c r="FS238" s="1159"/>
      <c r="FT238" s="1159" t="s">
        <v>963</v>
      </c>
      <c r="FU238" s="1159"/>
      <c r="FV238" s="1159" t="s">
        <v>255</v>
      </c>
      <c r="FW238" s="1078" t="str">
        <f>$AE238&amp;"|"&amp;$AF238</f>
        <v>Уголь длиннопламенный|</v>
      </c>
      <c r="FX238" s="1159" t="s">
        <v>303</v>
      </c>
      <c r="FY238" s="1159" t="s">
        <v>936</v>
      </c>
      <c r="FZ238" s="1159" t="s">
        <v>937</v>
      </c>
    </row>
    <row s="1751" customFormat="1" customHeight="1" ht="15" hidden="1">
      <c r="A239" s="371"/>
      <c r="B239" s="1548"/>
      <c r="C239" s="1548"/>
      <c r="D239" s="1548"/>
      <c r="E239" s="965">
        <v>0</v>
      </c>
      <c r="F239" s="175" cm="1" t="str">
        <f t="array" ref="F239:F239">OFFSET(G239,-1,-1)</f>
        <v>1</v>
      </c>
      <c r="G239" s="1659"/>
      <c r="H239" s="1659"/>
      <c r="I239" s="1659"/>
      <c r="J239" s="1659"/>
      <c r="K239" s="1659"/>
      <c r="L239" s="175" cm="1" t="str">
        <f t="array" ref="L239:L239">OFFSET(M239,-1,-1)</f>
        <v>false</v>
      </c>
      <c r="M239" s="1659"/>
      <c r="N239" s="1659"/>
      <c r="O239" s="1659"/>
      <c r="P239" s="1659"/>
      <c r="Q239" s="1659"/>
      <c r="R239" s="1548"/>
      <c r="S239" s="175" cm="1" t="str">
        <f t="array" ref="S239:S239">OFFSET(T239,-1,-1)</f>
        <v>true</v>
      </c>
      <c r="T239" s="1548"/>
      <c r="U239" s="753">
        <f>AND(S239,IF(ISBLANK(T239),TRUE,T239))</f>
        <v>1</v>
      </c>
      <c r="V239" s="1548"/>
      <c r="W239" s="1548"/>
      <c r="X239" s="980" t="str">
        <f>"{                  
         funcDyn: 'msg1',
         blok: 'blok_2',
         wsCross: 'Топливо 4.4',
         linkFormula: 'AE-AE#AF-AF',
         levelDyn: "&amp;Y139&amp;"
}"</f>
        <v>{                  
         funcDyn: 'msg1',
         blok: 'blok_2',
         wsCross: 'Топливо 4.4',
         linkFormula: 'AE-AE#AF-AF',
         levelDyn: 1
}</v>
      </c>
      <c r="Y239" s="1548"/>
      <c r="Z239" s="1548"/>
      <c r="AA239" s="1009"/>
      <c r="AB239" s="1607"/>
      <c r="AC239" s="1751"/>
      <c r="AD239" s="517"/>
      <c r="AE239" s="518" t="s">
        <v>191</v>
      </c>
      <c r="AF239" s="519"/>
      <c r="AG239" s="470"/>
      <c r="AH239" s="524"/>
      <c r="AI239" s="525"/>
      <c r="AJ239" s="525"/>
      <c r="AK239" s="525"/>
      <c r="AL239" s="525"/>
      <c r="AM239" s="525"/>
      <c r="AN239" s="525"/>
      <c r="AO239" s="525"/>
      <c r="AP239" s="525"/>
      <c r="AQ239" s="525"/>
      <c r="AR239" s="525"/>
      <c r="AS239" s="525"/>
      <c r="AT239" s="525"/>
      <c r="AU239" s="525"/>
      <c r="AV239" s="525"/>
      <c r="AW239" s="525"/>
      <c r="AX239" s="525"/>
      <c r="AY239" s="525"/>
      <c r="AZ239" s="525"/>
      <c r="BA239" s="525"/>
      <c r="BB239" s="525"/>
      <c r="BC239" s="525"/>
      <c r="BD239" s="525"/>
      <c r="BE239" s="525"/>
      <c r="BF239" s="525"/>
      <c r="BG239" s="525"/>
      <c r="BH239" s="525"/>
      <c r="BI239" s="525"/>
      <c r="BJ239" s="525"/>
      <c r="BK239" s="525"/>
      <c r="BL239" s="525"/>
      <c r="BM239" s="525"/>
      <c r="BN239" s="525"/>
      <c r="BO239" s="525"/>
      <c r="BP239" s="525"/>
      <c r="BQ239" s="525"/>
      <c r="BR239" s="525"/>
      <c r="BS239" s="525"/>
      <c r="BT239" s="525"/>
      <c r="BU239" s="525"/>
      <c r="BV239" s="525"/>
      <c r="BW239" s="525"/>
      <c r="BX239" s="525"/>
      <c r="BY239" s="525"/>
      <c r="BZ239" s="525"/>
      <c r="CA239" s="525"/>
      <c r="CB239" s="525"/>
      <c r="CC239" s="525"/>
      <c r="CD239" s="525"/>
      <c r="CE239" s="525"/>
      <c r="CF239" s="525"/>
      <c r="CG239" s="525"/>
      <c r="CH239" s="525"/>
      <c r="CI239" s="525"/>
      <c r="CJ239" s="525"/>
      <c r="CK239" s="525"/>
      <c r="CL239" s="525"/>
      <c r="CM239" s="525"/>
      <c r="CN239" s="525"/>
      <c r="CO239" s="525"/>
      <c r="CP239" s="525"/>
      <c r="CQ239" s="525"/>
      <c r="CR239" s="525"/>
      <c r="CS239" s="525"/>
      <c r="CT239" s="525"/>
      <c r="CU239" s="525"/>
      <c r="CV239" s="525"/>
      <c r="CW239" s="525"/>
      <c r="CX239" s="525"/>
      <c r="CY239" s="525"/>
      <c r="CZ239" s="525"/>
      <c r="DA239" s="525"/>
      <c r="DB239" s="525"/>
      <c r="DC239" s="525"/>
      <c r="DD239" s="525"/>
      <c r="DE239" s="525"/>
      <c r="DF239" s="525"/>
      <c r="DG239" s="525"/>
      <c r="DH239" s="525"/>
      <c r="DI239" s="525"/>
      <c r="DJ239" s="525"/>
      <c r="DK239" s="525"/>
      <c r="DL239" s="525"/>
      <c r="DM239" s="525"/>
      <c r="DN239" s="525"/>
      <c r="DO239" s="525"/>
      <c r="DP239" s="525"/>
      <c r="DQ239" s="525"/>
      <c r="DR239" s="525"/>
      <c r="DS239" s="525"/>
      <c r="DT239" s="525"/>
      <c r="DU239" s="525"/>
      <c r="DV239" s="525"/>
      <c r="DW239" s="525"/>
      <c r="DX239" s="525"/>
      <c r="DY239" s="525"/>
      <c r="DZ239" s="525"/>
      <c r="EA239" s="525"/>
      <c r="EB239" s="525"/>
      <c r="EC239" s="525"/>
      <c r="ED239" s="525"/>
      <c r="EE239" s="525"/>
      <c r="EF239" s="525"/>
      <c r="EG239" s="525"/>
      <c r="EH239" s="525"/>
      <c r="EI239" s="525"/>
      <c r="EJ239" s="525"/>
      <c r="EK239" s="525"/>
      <c r="EL239" s="525"/>
      <c r="EM239" s="525"/>
      <c r="EN239" s="525"/>
      <c r="EO239" s="525"/>
      <c r="EP239" s="525"/>
      <c r="EQ239" s="525"/>
      <c r="ER239" s="525"/>
      <c r="ES239" s="525"/>
      <c r="ET239" s="525"/>
      <c r="EU239" s="525"/>
      <c r="EV239" s="525"/>
      <c r="EW239" s="525"/>
      <c r="EX239" s="525"/>
      <c r="EY239" s="525"/>
      <c r="EZ239" s="525"/>
      <c r="FA239" s="525"/>
      <c r="FB239" s="93"/>
      <c r="FC239" s="1751"/>
      <c r="FD239" s="1506"/>
      <c r="FE239" s="489" t="str">
        <f>IF(AND(ISNUMBER(VALUE(TRIM(SUBSTITUTE(AD239,".","")))),TRIM(SUBSTITUTE(AD239,".",""))&lt;&gt;""),"P"&amp;SUBSTITUTE(AD239,".",""),"")</f>
        <v/>
      </c>
      <c r="FF239" s="648"/>
      <c r="FG239" s="648"/>
      <c r="FH239" s="648"/>
      <c r="FI239" s="649"/>
      <c r="FJ239" s="649"/>
      <c r="FK239" s="1157" cm="1" t="str">
        <f t="array" ref="FK239:FK239">OFFSET(FJ239,-1,1)</f>
        <v>ТЭ.42.31656254.0001</v>
      </c>
      <c r="FL239" s="1159"/>
      <c r="FM239" s="1159"/>
      <c r="FN239" s="1159"/>
      <c r="FO239" s="1159"/>
      <c r="FP239" s="1159"/>
      <c r="FQ239" s="1159"/>
      <c r="FR239" s="1159"/>
      <c r="FS239" s="1159"/>
      <c r="FT239" s="1159"/>
      <c r="FU239" s="1159"/>
      <c r="FV239" s="1159"/>
      <c r="FW239" s="1159"/>
      <c r="FX239" s="1159"/>
      <c r="FY239" s="1159"/>
      <c r="FZ239" s="1159"/>
    </row>
    <row s="1751" customFormat="1" customHeight="1" ht="16.5">
      <c r="A240" s="371"/>
      <c r="B240" s="1548"/>
      <c r="C240" s="1548"/>
      <c r="D240" s="1548"/>
      <c r="E240" s="180">
        <v>17</v>
      </c>
      <c r="F240" s="175" cm="1" t="str">
        <f t="array" ref="F240:F240">OFFSET(G240,-1,-1)</f>
        <v>1</v>
      </c>
      <c r="G240" s="1659"/>
      <c r="H240" s="1659"/>
      <c r="I240" s="1659"/>
      <c r="J240" s="1659"/>
      <c r="K240" s="1659"/>
      <c r="L240" s="175" cm="1" t="str">
        <f t="array" ref="L240:L240">OFFSET(M240,-1,-1)</f>
        <v>false</v>
      </c>
      <c r="M240" s="1659"/>
      <c r="N240" s="1659"/>
      <c r="O240" s="1659"/>
      <c r="P240" s="1659"/>
      <c r="Q240" s="1659"/>
      <c r="R240" s="1548"/>
      <c r="S240" s="175" cm="1" t="str">
        <f t="array" ref="S240:S240">OFFSET(T240,-1,-1)</f>
        <v>true</v>
      </c>
      <c r="T240" s="1548"/>
      <c r="U240" s="753">
        <f>AND(S240,IF(ISBLANK(T240),TRUE,T240))</f>
        <v>1</v>
      </c>
      <c r="V240" s="1548"/>
      <c r="W240" s="1548"/>
      <c r="X240" s="1548"/>
      <c r="Y240" s="1548"/>
      <c r="Z240" s="1548"/>
      <c r="AA240" s="1009"/>
      <c r="AB240" s="1607"/>
      <c r="AC240" s="1751"/>
      <c r="AD240" s="327">
        <v>36</v>
      </c>
      <c r="AE240" s="1618" t="s">
        <v>968</v>
      </c>
      <c r="AF240" s="427"/>
      <c r="AG240" s="470" t="s">
        <v>917</v>
      </c>
      <c r="AH240" s="500">
        <f>SUM(AH242:AH244)</f>
        <v>0</v>
      </c>
      <c r="AI240" s="500">
        <f>SUM(AI242:AI244)</f>
        <v>0</v>
      </c>
      <c r="AJ240" s="500">
        <f>SUM(AJ242:AJ244)</f>
        <v>0</v>
      </c>
      <c r="AK240" s="500">
        <f>SUM(AK242:AK244)</f>
        <v>0</v>
      </c>
      <c r="AL240" s="500">
        <f>SUM(AL242:AL244)</f>
        <v>0</v>
      </c>
      <c r="AM240" s="500">
        <f>SUM(AM242:AM244)</f>
        <v>0</v>
      </c>
      <c r="AN240" s="500">
        <f>SUM(AN242:AN244)</f>
        <v>0</v>
      </c>
      <c r="AO240" s="500">
        <f>SUM(AO242:AO244)</f>
        <v>0</v>
      </c>
      <c r="AP240" s="500">
        <f>SUM(AP242:AP244)</f>
        <v>0</v>
      </c>
      <c r="AQ240" s="500">
        <f>SUM(AQ242:AQ244)</f>
        <v>0</v>
      </c>
      <c r="AR240" s="500">
        <f>SUM(AR242:AR244)</f>
        <v>0</v>
      </c>
      <c r="AS240" s="500">
        <f>SUM(AS242:AS244)</f>
        <v>0</v>
      </c>
      <c r="AT240" s="500">
        <f>SUM(AT242:AT244)</f>
        <v>0</v>
      </c>
      <c r="AU240" s="500">
        <f>SUM(AU242:AU244)</f>
        <v>0</v>
      </c>
      <c r="AV240" s="500">
        <f>SUM(AV242:AV244)</f>
        <v>0</v>
      </c>
      <c r="AW240" s="500">
        <f>SUM(AW242:AW244)</f>
        <v>0</v>
      </c>
      <c r="AX240" s="500">
        <f>SUM(AX242:AX244)</f>
        <v>0</v>
      </c>
      <c r="AY240" s="500">
        <f>SUM(AY242:AY244)</f>
        <v>0</v>
      </c>
      <c r="AZ240" s="500">
        <f>SUM(AZ242:AZ244)</f>
        <v>0</v>
      </c>
      <c r="BA240" s="500">
        <f>SUM(BA242:BA244)</f>
        <v>0</v>
      </c>
      <c r="BB240" s="500">
        <f>SUM(BB242:BB244)</f>
        <v>0</v>
      </c>
      <c r="BC240" s="500">
        <f>SUM(BC242:BC244)</f>
        <v>0</v>
      </c>
      <c r="BD240" s="500">
        <f>SUM(BD242:BD244)</f>
        <v>0</v>
      </c>
      <c r="BE240" s="500">
        <f>SUM(BE242:BE244)</f>
        <v>0</v>
      </c>
      <c r="BF240" s="500">
        <f>SUM(BF242:BF244)</f>
        <v>0</v>
      </c>
      <c r="BG240" s="500">
        <f>SUM(BG242:BG244)</f>
        <v>0</v>
      </c>
      <c r="BH240" s="500">
        <f>SUM(BH242:BH244)</f>
        <v>0</v>
      </c>
      <c r="BI240" s="500">
        <f>SUM(BI242:BI244)</f>
        <v>0</v>
      </c>
      <c r="BJ240" s="500">
        <f>SUM(BJ242:BJ244)</f>
        <v>0</v>
      </c>
      <c r="BK240" s="500">
        <f>SUM(BK242:BK244)</f>
        <v>0</v>
      </c>
      <c r="BL240" s="500">
        <f>SUM(BL242:BL244)</f>
        <v>0</v>
      </c>
      <c r="BM240" s="500">
        <f>SUM(BM242:BM244)</f>
        <v>0</v>
      </c>
      <c r="BN240" s="500">
        <f>SUM(BN242:BN244)</f>
        <v>0</v>
      </c>
      <c r="BO240" s="500">
        <f>SUM(BO242:BO244)</f>
        <v>0</v>
      </c>
      <c r="BP240" s="500">
        <f>SUM(BP242:BP244)</f>
        <v>0</v>
      </c>
      <c r="BQ240" s="500">
        <f>SUM(BQ242:BQ244)</f>
        <v>0</v>
      </c>
      <c r="BR240" s="500">
        <f>SUM(BR242:BR244)</f>
        <v>0</v>
      </c>
      <c r="BS240" s="500">
        <f>SUM(BS242:BS244)</f>
        <v>0</v>
      </c>
      <c r="BT240" s="500">
        <f>SUM(BT242:BT244)</f>
        <v>0</v>
      </c>
      <c r="BU240" s="500">
        <f>SUM(BU242:BU244)</f>
        <v>0</v>
      </c>
      <c r="BV240" s="500">
        <f>SUM(BV242:BV244)</f>
        <v>0</v>
      </c>
      <c r="BW240" s="500">
        <f>SUM(BW242:BW244)</f>
        <v>0</v>
      </c>
      <c r="BX240" s="500">
        <f>SUM(BX242:BX244)</f>
        <v>0</v>
      </c>
      <c r="BY240" s="500">
        <f>SUM(BY242:BY244)</f>
        <v>0</v>
      </c>
      <c r="BZ240" s="500">
        <f>SUM(BZ242:BZ244)</f>
        <v>0</v>
      </c>
      <c r="CA240" s="500">
        <f>SUM(CA242:CA244)</f>
        <v>0</v>
      </c>
      <c r="CB240" s="500">
        <f>SUM(CB242:CB244)</f>
        <v>0</v>
      </c>
      <c r="CC240" s="500">
        <f>SUM(CC242:CC244)</f>
        <v>0</v>
      </c>
      <c r="CD240" s="500">
        <f>SUM(CD242:CD244)</f>
        <v>0</v>
      </c>
      <c r="CE240" s="500">
        <f>SUM(CE242:CE244)</f>
        <v>0</v>
      </c>
      <c r="CF240" s="500">
        <f>SUM(CF242:CF244)</f>
        <v>0</v>
      </c>
      <c r="CG240" s="500">
        <f>SUM(CG242:CG244)</f>
        <v>0</v>
      </c>
      <c r="CH240" s="500">
        <f>SUM(CH242:CH244)</f>
        <v>0</v>
      </c>
      <c r="CI240" s="500">
        <f>SUM(CI242:CI244)</f>
        <v>0</v>
      </c>
      <c r="CJ240" s="500">
        <f>SUM(CJ242:CJ244)</f>
        <v>0</v>
      </c>
      <c r="CK240" s="500">
        <f>SUM(CK242:CK244)</f>
        <v>0</v>
      </c>
      <c r="CL240" s="500">
        <f>SUM(CL242:CL244)</f>
        <v>0</v>
      </c>
      <c r="CM240" s="500">
        <f>SUM(CM242:CM244)</f>
        <v>0</v>
      </c>
      <c r="CN240" s="500">
        <f>SUM(CN242:CN244)</f>
        <v>0</v>
      </c>
      <c r="CO240" s="500">
        <f>SUM(CO242:CO244)</f>
        <v>0</v>
      </c>
      <c r="CP240" s="500">
        <f>SUM(CP242:CP244)</f>
        <v>0</v>
      </c>
      <c r="CQ240" s="500">
        <f>SUM(CQ242:CQ244)</f>
        <v>0</v>
      </c>
      <c r="CR240" s="500">
        <f>SUM(CR242:CR244)</f>
        <v>0</v>
      </c>
      <c r="CS240" s="500">
        <f>SUM(CS242:CS244)</f>
        <v>0</v>
      </c>
      <c r="CT240" s="500">
        <f>SUM(CT242:CT244)</f>
        <v>0</v>
      </c>
      <c r="CU240" s="500">
        <f>SUM(CU242:CU244)</f>
        <v>0</v>
      </c>
      <c r="CV240" s="500">
        <f>SUM(CV242:CV244)</f>
        <v>0</v>
      </c>
      <c r="CW240" s="500">
        <f>SUM(CW242:CW244)</f>
        <v>0</v>
      </c>
      <c r="CX240" s="500">
        <f>SUM(CX242:CX244)</f>
        <v>0</v>
      </c>
      <c r="CY240" s="500">
        <f>SUM(CY242:CY244)</f>
        <v>0</v>
      </c>
      <c r="CZ240" s="500">
        <f>SUM(CZ242:CZ244)</f>
        <v>0</v>
      </c>
      <c r="DA240" s="500">
        <f>SUM(DA242:DA244)</f>
        <v>0</v>
      </c>
      <c r="DB240" s="500">
        <f>SUM(DB242:DB244)</f>
        <v>0</v>
      </c>
      <c r="DC240" s="500">
        <f>SUM(DC242:DC244)</f>
        <v>0</v>
      </c>
      <c r="DD240" s="500">
        <f>SUM(DD242:DD244)</f>
        <v>0</v>
      </c>
      <c r="DE240" s="500">
        <f>SUM(DE242:DE244)</f>
        <v>0</v>
      </c>
      <c r="DF240" s="500">
        <f>SUM(DF242:DF244)</f>
        <v>0</v>
      </c>
      <c r="DG240" s="500">
        <f>SUM(DG242:DG244)</f>
        <v>0</v>
      </c>
      <c r="DH240" s="500">
        <f>SUM(DH242:DH244)</f>
        <v>0</v>
      </c>
      <c r="DI240" s="500">
        <f>SUM(DI242:DI244)</f>
        <v>0</v>
      </c>
      <c r="DJ240" s="500">
        <f>SUM(DJ242:DJ244)</f>
        <v>0</v>
      </c>
      <c r="DK240" s="500">
        <f>SUM(DK242:DK244)</f>
        <v>0</v>
      </c>
      <c r="DL240" s="500">
        <f>SUM(DL242:DL244)</f>
        <v>0</v>
      </c>
      <c r="DM240" s="500">
        <f>SUM(DM242:DM244)</f>
        <v>0</v>
      </c>
      <c r="DN240" s="500">
        <f>SUM(DN242:DN244)</f>
        <v>0</v>
      </c>
      <c r="DO240" s="500">
        <f>SUM(DO242:DO244)</f>
        <v>0</v>
      </c>
      <c r="DP240" s="500">
        <f>SUM(DP242:DP244)</f>
        <v>0</v>
      </c>
      <c r="DQ240" s="500">
        <f>SUM(DQ242:DQ244)</f>
        <v>0</v>
      </c>
      <c r="DR240" s="500">
        <f>SUM(DR242:DR244)</f>
        <v>0</v>
      </c>
      <c r="DS240" s="500">
        <f>SUM(DS242:DS244)</f>
        <v>0</v>
      </c>
      <c r="DT240" s="500">
        <f>SUM(DT242:DT244)</f>
        <v>0</v>
      </c>
      <c r="DU240" s="500">
        <f>SUM(DU242:DU244)</f>
        <v>0</v>
      </c>
      <c r="DV240" s="500">
        <f>SUM(DV242:DV244)</f>
        <v>0</v>
      </c>
      <c r="DW240" s="500">
        <f>SUM(DW242:DW244)</f>
        <v>0</v>
      </c>
      <c r="DX240" s="500">
        <f>SUM(DX242:DX244)</f>
        <v>0</v>
      </c>
      <c r="DY240" s="500">
        <f>SUM(DY242:DY244)</f>
        <v>0</v>
      </c>
      <c r="DZ240" s="500">
        <f>SUM(DZ242:DZ244)</f>
        <v>0</v>
      </c>
      <c r="EA240" s="500">
        <f>SUM(EA242:EA244)</f>
        <v>0</v>
      </c>
      <c r="EB240" s="500">
        <f>SUM(EB242:EB244)</f>
        <v>0</v>
      </c>
      <c r="EC240" s="500">
        <f>SUM(EC242:EC244)</f>
        <v>0</v>
      </c>
      <c r="ED240" s="500">
        <f>SUM(ED242:ED244)</f>
        <v>0</v>
      </c>
      <c r="EE240" s="500">
        <f>SUM(EE242:EE244)</f>
        <v>0</v>
      </c>
      <c r="EF240" s="500">
        <f>SUM(EF242:EF244)</f>
        <v>0</v>
      </c>
      <c r="EG240" s="500">
        <f>SUM(EG242:EG244)</f>
        <v>0</v>
      </c>
      <c r="EH240" s="500">
        <f>SUM(EH242:EH244)</f>
        <v>0</v>
      </c>
      <c r="EI240" s="500">
        <f>SUM(EI242:EI244)</f>
        <v>0</v>
      </c>
      <c r="EJ240" s="500">
        <f>SUM(EJ242:EJ244)</f>
        <v>0</v>
      </c>
      <c r="EK240" s="500">
        <f>SUM(EK242:EK244)</f>
        <v>0</v>
      </c>
      <c r="EL240" s="500">
        <f>SUM(EL242:EL244)</f>
        <v>0</v>
      </c>
      <c r="EM240" s="500">
        <f>SUM(EM242:EM244)</f>
        <v>0</v>
      </c>
      <c r="EN240" s="500">
        <f>SUM(EN242:EN244)</f>
        <v>0</v>
      </c>
      <c r="EO240" s="500">
        <f>SUM(EO242:EO244)</f>
        <v>0</v>
      </c>
      <c r="EP240" s="500">
        <f>SUM(EP242:EP244)</f>
        <v>0</v>
      </c>
      <c r="EQ240" s="500">
        <f>SUM(EQ242:EQ244)</f>
        <v>0</v>
      </c>
      <c r="ER240" s="500">
        <f>SUM(ER242:ER244)</f>
        <v>0</v>
      </c>
      <c r="ES240" s="500">
        <f>SUM(ES242:ES244)</f>
        <v>0</v>
      </c>
      <c r="ET240" s="500">
        <f>SUM(ET242:ET244)</f>
        <v>0</v>
      </c>
      <c r="EU240" s="500">
        <f>SUM(EU242:EU244)</f>
        <v>0</v>
      </c>
      <c r="EV240" s="500">
        <f>SUM(EV242:EV244)</f>
        <v>0</v>
      </c>
      <c r="EW240" s="500">
        <f>SUM(EW242:EW244)</f>
        <v>0</v>
      </c>
      <c r="EX240" s="500">
        <f>SUM(EX242:EX244)</f>
        <v>0</v>
      </c>
      <c r="EY240" s="500">
        <f>SUM(EY242:EY244)</f>
        <v>0</v>
      </c>
      <c r="EZ240" s="500">
        <f>SUM(EZ242:EZ244)</f>
        <v>0</v>
      </c>
      <c r="FA240" s="500">
        <f>SUM(FA242:FA244)</f>
        <v>0</v>
      </c>
      <c r="FB240" s="1897"/>
      <c r="FC240" s="1751"/>
      <c r="FD240" s="1506"/>
      <c r="FE240" s="489" t="s">
        <v>969</v>
      </c>
      <c r="FF240" s="648"/>
      <c r="FG240" s="648"/>
      <c r="FH240" s="648"/>
      <c r="FI240" s="649"/>
      <c r="FJ240" s="649"/>
      <c r="FK240" s="1157" cm="1" t="str">
        <f t="array" ref="FK240:FK240">OFFSET(FJ240,-1,1)</f>
        <v>ТЭ.42.31656254.0001</v>
      </c>
      <c r="FL240" s="1078"/>
      <c r="FM240" s="1159"/>
      <c r="FN240" s="1159"/>
      <c r="FO240" s="1159"/>
      <c r="FP240" s="1159"/>
      <c r="FQ240" s="1159"/>
      <c r="FR240" s="1159"/>
      <c r="FS240" s="1159"/>
      <c r="FT240" s="1078" t="s">
        <v>963</v>
      </c>
      <c r="FU240" s="1159"/>
      <c r="FV240" s="1078" t="s">
        <v>449</v>
      </c>
      <c r="FW240" s="1159"/>
      <c r="FX240" s="1078" t="s">
        <v>303</v>
      </c>
      <c r="FY240" s="1078" t="s">
        <v>919</v>
      </c>
      <c r="FZ240" s="1078" t="s">
        <v>920</v>
      </c>
    </row>
    <row s="1751" customFormat="1" customHeight="1" ht="16.5" hidden="1">
      <c r="A241" s="371"/>
      <c r="B241" s="1548"/>
      <c r="C241" s="1548"/>
      <c r="D241" s="1548"/>
      <c r="E241" s="180">
        <v>17</v>
      </c>
      <c r="F241" s="175" cm="1" t="str">
        <f t="array" ref="F241:F241">OFFSET(G241,-1,-1)</f>
        <v>1</v>
      </c>
      <c r="G241" s="1659"/>
      <c r="H241" s="1659"/>
      <c r="I241" s="1659"/>
      <c r="J241" s="1659"/>
      <c r="K241" s="1659"/>
      <c r="L241" s="175" cm="1" t="str">
        <f t="array" ref="L241:L241">OFFSET(M241,-1,-1)</f>
        <v>false</v>
      </c>
      <c r="M241" s="1659"/>
      <c r="N241" s="1659"/>
      <c r="O241" s="1659"/>
      <c r="P241" s="1659"/>
      <c r="Q241" s="1659"/>
      <c r="R241" s="175" t="s">
        <v>804</v>
      </c>
      <c r="S241" s="175" cm="1" t="str">
        <f t="array" ref="S241:S241">OFFSET(T241,-1,-1)</f>
        <v>true</v>
      </c>
      <c r="T241" s="175" t="b">
        <v>0</v>
      </c>
      <c r="U241" s="753">
        <f>AND(S241,IF(ISBLANK(T241),TRUE,T241))</f>
        <v>0</v>
      </c>
      <c r="V241" s="1548"/>
      <c r="W241" s="1548"/>
      <c r="X241" s="1548"/>
      <c r="Y241" s="1548"/>
      <c r="Z241" s="1548"/>
      <c r="AA241" s="1009"/>
      <c r="AB241" s="1607"/>
      <c r="AC241" s="1751"/>
      <c r="AD241" s="491" t="str">
        <f>AD240&amp;".0"</f>
        <v>36.0</v>
      </c>
      <c r="AE241" s="537" t="s">
        <v>822</v>
      </c>
      <c r="AF241" s="368"/>
      <c r="AG241" s="470" t="s">
        <v>917</v>
      </c>
      <c r="AH241" s="88">
        <f>AH$163*AH240</f>
        <v>0</v>
      </c>
      <c r="AI241" s="89">
        <f>AI$163*AI240</f>
        <v>0</v>
      </c>
      <c r="AJ241" s="89">
        <f>AJ$163*AJ240</f>
        <v>0</v>
      </c>
      <c r="AK241" s="89">
        <f>AK$163*AK240</f>
        <v>0</v>
      </c>
      <c r="AL241" s="499">
        <f>AM241+AN241</f>
        <v>0</v>
      </c>
      <c r="AM241" s="89">
        <f>AM$163*AM240</f>
        <v>0</v>
      </c>
      <c r="AN241" s="89">
        <f>AN$163*AN240</f>
        <v>0</v>
      </c>
      <c r="AO241" s="499">
        <f>AP241+AQ241</f>
        <v>0</v>
      </c>
      <c r="AP241" s="89">
        <f>AP$163*AP240</f>
        <v>0</v>
      </c>
      <c r="AQ241" s="89">
        <f>AQ$163*AQ240</f>
        <v>0</v>
      </c>
      <c r="AR241" s="499">
        <f>AS241+AT241</f>
        <v>0</v>
      </c>
      <c r="AS241" s="89">
        <f>AS$163*AS240</f>
        <v>0</v>
      </c>
      <c r="AT241" s="89">
        <f>AT$163*AT240</f>
        <v>0</v>
      </c>
      <c r="AU241" s="499">
        <f>AV241+AW241</f>
        <v>0</v>
      </c>
      <c r="AV241" s="89">
        <f>AV$163*AV240</f>
        <v>0</v>
      </c>
      <c r="AW241" s="89">
        <f>AW$163*AW240</f>
        <v>0</v>
      </c>
      <c r="AX241" s="499">
        <f>AY241+AZ241</f>
        <v>0</v>
      </c>
      <c r="AY241" s="89">
        <f>AY$163*AY240</f>
        <v>0</v>
      </c>
      <c r="AZ241" s="89">
        <f>AZ$163*AZ240</f>
        <v>0</v>
      </c>
      <c r="BA241" s="499">
        <f>BB241+BC241</f>
        <v>0</v>
      </c>
      <c r="BB241" s="89">
        <f>BB$163*BB240</f>
        <v>0</v>
      </c>
      <c r="BC241" s="89">
        <f>BC$163*BC240</f>
        <v>0</v>
      </c>
      <c r="BD241" s="499">
        <f>BE241+BF241</f>
        <v>0</v>
      </c>
      <c r="BE241" s="89">
        <f>BE$163*BE240</f>
        <v>0</v>
      </c>
      <c r="BF241" s="89">
        <f>BF$163*BF240</f>
        <v>0</v>
      </c>
      <c r="BG241" s="499">
        <f>BH241+BI241</f>
        <v>0</v>
      </c>
      <c r="BH241" s="89">
        <f>BH$163*BH240</f>
        <v>0</v>
      </c>
      <c r="BI241" s="89">
        <f>BI$163*BI240</f>
        <v>0</v>
      </c>
      <c r="BJ241" s="499">
        <f>BK241+BL241</f>
        <v>0</v>
      </c>
      <c r="BK241" s="89">
        <f>BK$163*BK240</f>
        <v>0</v>
      </c>
      <c r="BL241" s="89">
        <f>BL$163*BL240</f>
        <v>0</v>
      </c>
      <c r="BM241" s="499">
        <f>BN241+BO241</f>
        <v>0</v>
      </c>
      <c r="BN241" s="89">
        <f>BN$163*BN240</f>
        <v>0</v>
      </c>
      <c r="BO241" s="89">
        <f>BO$163*BO240</f>
        <v>0</v>
      </c>
      <c r="BP241" s="499">
        <f>BQ241+BR241</f>
        <v>0</v>
      </c>
      <c r="BQ241" s="89">
        <f>BQ$163*BQ240</f>
        <v>0</v>
      </c>
      <c r="BR241" s="89">
        <f>BR$163*BR240</f>
        <v>0</v>
      </c>
      <c r="BS241" s="499">
        <f>BT241+BU241</f>
        <v>0</v>
      </c>
      <c r="BT241" s="89">
        <f>BT$163*BT240</f>
        <v>0</v>
      </c>
      <c r="BU241" s="89">
        <f>BU$163*BU240</f>
        <v>0</v>
      </c>
      <c r="BV241" s="499">
        <f>BW241+BX241</f>
        <v>0</v>
      </c>
      <c r="BW241" s="89">
        <f>BW$163*BW240</f>
        <v>0</v>
      </c>
      <c r="BX241" s="89">
        <f>BX$163*BX240</f>
        <v>0</v>
      </c>
      <c r="BY241" s="499">
        <f>BZ241+CA241</f>
        <v>0</v>
      </c>
      <c r="BZ241" s="89">
        <f>BZ$163*BZ240</f>
        <v>0</v>
      </c>
      <c r="CA241" s="89">
        <f>CA$163*CA240</f>
        <v>0</v>
      </c>
      <c r="CB241" s="499">
        <f>CC241+CD241</f>
        <v>0</v>
      </c>
      <c r="CC241" s="89">
        <f>CC$163*CC240</f>
        <v>0</v>
      </c>
      <c r="CD241" s="89">
        <f>CD$163*CD240</f>
        <v>0</v>
      </c>
      <c r="CE241" s="499">
        <f>CF241+CG241</f>
        <v>0</v>
      </c>
      <c r="CF241" s="89">
        <f>CF$163*CF240</f>
        <v>0</v>
      </c>
      <c r="CG241" s="89">
        <f>CG$163*CG240</f>
        <v>0</v>
      </c>
      <c r="CH241" s="499">
        <f>CI241+CJ241</f>
        <v>0</v>
      </c>
      <c r="CI241" s="89">
        <f>CI$163*CI240</f>
        <v>0</v>
      </c>
      <c r="CJ241" s="89">
        <f>CJ$163*CJ240</f>
        <v>0</v>
      </c>
      <c r="CK241" s="499">
        <f>CL241+CM241</f>
        <v>0</v>
      </c>
      <c r="CL241" s="89">
        <f>CL$163*CL240</f>
        <v>0</v>
      </c>
      <c r="CM241" s="89">
        <f>CM$163*CM240</f>
        <v>0</v>
      </c>
      <c r="CN241" s="499">
        <f>CO241+CP241</f>
        <v>0</v>
      </c>
      <c r="CO241" s="89">
        <f>CO$163*CO240</f>
        <v>0</v>
      </c>
      <c r="CP241" s="89">
        <f>CP$163*CP240</f>
        <v>0</v>
      </c>
      <c r="CQ241" s="499">
        <f>CR241+CS241</f>
        <v>0</v>
      </c>
      <c r="CR241" s="89">
        <f>CR$163*CR240</f>
        <v>0</v>
      </c>
      <c r="CS241" s="89">
        <f>CS$163*CS240</f>
        <v>0</v>
      </c>
      <c r="CT241" s="499">
        <f>CU241+CV241</f>
        <v>0</v>
      </c>
      <c r="CU241" s="498">
        <f>CU$163*CU240</f>
        <v>0</v>
      </c>
      <c r="CV241" s="498">
        <f>CV$163*CV240</f>
        <v>0</v>
      </c>
      <c r="CW241" s="499">
        <f>CX241+CY241</f>
        <v>0</v>
      </c>
      <c r="CX241" s="89">
        <f>CX$163*CX240</f>
        <v>0</v>
      </c>
      <c r="CY241" s="89">
        <f>CY$163*CY240</f>
        <v>0</v>
      </c>
      <c r="CZ241" s="499">
        <f>DA241+DB241</f>
        <v>0</v>
      </c>
      <c r="DA241" s="89">
        <f>DA$163*DA240</f>
        <v>0</v>
      </c>
      <c r="DB241" s="89">
        <f>DB$163*DB240</f>
        <v>0</v>
      </c>
      <c r="DC241" s="499">
        <f>DD241+DE241</f>
        <v>0</v>
      </c>
      <c r="DD241" s="89">
        <f>DD$163*DD240</f>
        <v>0</v>
      </c>
      <c r="DE241" s="89">
        <f>DE$163*DE240</f>
        <v>0</v>
      </c>
      <c r="DF241" s="499">
        <f>DG241+DH241</f>
        <v>0</v>
      </c>
      <c r="DG241" s="89">
        <f>DG$163*DG240</f>
        <v>0</v>
      </c>
      <c r="DH241" s="89">
        <f>DH$163*DH240</f>
        <v>0</v>
      </c>
      <c r="DI241" s="499">
        <f>DJ241+DK241</f>
        <v>0</v>
      </c>
      <c r="DJ241" s="89">
        <f>DJ$163*DJ240</f>
        <v>0</v>
      </c>
      <c r="DK241" s="89">
        <f>DK$163*DK240</f>
        <v>0</v>
      </c>
      <c r="DL241" s="499">
        <f>DM241+DN241</f>
        <v>0</v>
      </c>
      <c r="DM241" s="89">
        <f>DM$163*DM240</f>
        <v>0</v>
      </c>
      <c r="DN241" s="89">
        <f>DN$163*DN240</f>
        <v>0</v>
      </c>
      <c r="DO241" s="499">
        <f>DP241+DQ241</f>
        <v>0</v>
      </c>
      <c r="DP241" s="89">
        <f>DP$163*DP240</f>
        <v>0</v>
      </c>
      <c r="DQ241" s="89">
        <f>DQ$163*DQ240</f>
        <v>0</v>
      </c>
      <c r="DR241" s="499">
        <f>DS241+DT241</f>
        <v>0</v>
      </c>
      <c r="DS241" s="89">
        <f>DS$163*DS240</f>
        <v>0</v>
      </c>
      <c r="DT241" s="89">
        <f>DT$163*DT240</f>
        <v>0</v>
      </c>
      <c r="DU241" s="499">
        <f>DV241+DW241</f>
        <v>0</v>
      </c>
      <c r="DV241" s="89">
        <f>DV$163*DV240</f>
        <v>0</v>
      </c>
      <c r="DW241" s="89">
        <f>DW$163*DW240</f>
        <v>0</v>
      </c>
      <c r="DX241" s="499">
        <f>DY241+DZ241</f>
        <v>0</v>
      </c>
      <c r="DY241" s="89">
        <f>DY$163*DY240</f>
        <v>0</v>
      </c>
      <c r="DZ241" s="89">
        <f>DZ$163*DZ240</f>
        <v>0</v>
      </c>
      <c r="EA241" s="499">
        <f>EB241+EC241</f>
        <v>0</v>
      </c>
      <c r="EB241" s="89">
        <f>EB$163*EB240</f>
        <v>0</v>
      </c>
      <c r="EC241" s="89">
        <f>EC$163*EC240</f>
        <v>0</v>
      </c>
      <c r="ED241" s="499">
        <f>EE241+EF241</f>
        <v>0</v>
      </c>
      <c r="EE241" s="89">
        <f>EE$163*EE240</f>
        <v>0</v>
      </c>
      <c r="EF241" s="89">
        <f>EF$163*EF240</f>
        <v>0</v>
      </c>
      <c r="EG241" s="499">
        <f>EH241+EI241</f>
        <v>0</v>
      </c>
      <c r="EH241" s="89">
        <f>EH$163*EH240</f>
        <v>0</v>
      </c>
      <c r="EI241" s="89">
        <f>EI$163*EI240</f>
        <v>0</v>
      </c>
      <c r="EJ241" s="499">
        <f>EK241+EL241</f>
        <v>0</v>
      </c>
      <c r="EK241" s="89">
        <f>EK$163*EK240</f>
        <v>0</v>
      </c>
      <c r="EL241" s="89">
        <f>EL$163*EL240</f>
        <v>0</v>
      </c>
      <c r="EM241" s="499">
        <f>EN241+EO241</f>
        <v>0</v>
      </c>
      <c r="EN241" s="89">
        <f>EN$163*EN240</f>
        <v>0</v>
      </c>
      <c r="EO241" s="89">
        <f>EO$163*EO240</f>
        <v>0</v>
      </c>
      <c r="EP241" s="499">
        <f>EQ241+ER241</f>
        <v>0</v>
      </c>
      <c r="EQ241" s="89">
        <f>EQ$163*EQ240</f>
        <v>0</v>
      </c>
      <c r="ER241" s="89">
        <f>ER$163*ER240</f>
        <v>0</v>
      </c>
      <c r="ES241" s="499">
        <f>ET241+EU241</f>
        <v>0</v>
      </c>
      <c r="ET241" s="89">
        <f>ET$163*ET240</f>
        <v>0</v>
      </c>
      <c r="EU241" s="89">
        <f>EU$163*EU240</f>
        <v>0</v>
      </c>
      <c r="EV241" s="499">
        <f>EW241+EX241</f>
        <v>0</v>
      </c>
      <c r="EW241" s="89">
        <f>EW$163*EW240</f>
        <v>0</v>
      </c>
      <c r="EX241" s="89">
        <f>EX$163*EX240</f>
        <v>0</v>
      </c>
      <c r="EY241" s="499">
        <f>EZ241+FA241</f>
        <v>0</v>
      </c>
      <c r="EZ241" s="89">
        <f>EZ$163*EZ240</f>
        <v>0</v>
      </c>
      <c r="FA241" s="89">
        <f>FA$163*FA240</f>
        <v>0</v>
      </c>
      <c r="FB241" s="83"/>
      <c r="FC241" s="1751"/>
      <c r="FD241" s="1506"/>
      <c r="FE241" s="489" t="s">
        <v>970</v>
      </c>
      <c r="FF241" s="648"/>
      <c r="FG241" s="648"/>
      <c r="FH241" s="648"/>
      <c r="FI241" s="649"/>
      <c r="FJ241" s="649"/>
      <c r="FK241" s="1157" cm="1" t="str">
        <f t="array" ref="FK241:FK241">OFFSET(FJ241,-1,1)</f>
        <v>ТЭ.42.31656254.0001</v>
      </c>
      <c r="FL241" s="1159"/>
      <c r="FM241" s="1078" t="s">
        <v>824</v>
      </c>
      <c r="FN241" s="1159"/>
      <c r="FO241" s="1159"/>
      <c r="FP241" s="1159"/>
      <c r="FQ241" s="1159"/>
      <c r="FR241" s="1159"/>
      <c r="FS241" s="1159"/>
      <c r="FT241" s="1078" t="s">
        <v>963</v>
      </c>
      <c r="FU241" s="1159"/>
      <c r="FV241" s="1159"/>
      <c r="FW241" s="1159"/>
      <c r="FX241" s="1078" t="s">
        <v>303</v>
      </c>
      <c r="FY241" s="1078" t="s">
        <v>919</v>
      </c>
      <c r="FZ241" s="1078" t="s">
        <v>920</v>
      </c>
    </row>
    <row s="1751" customFormat="1" customHeight="1" ht="16.5" hidden="1">
      <c r="E242" s="180">
        <v>17</v>
      </c>
      <c r="F242" s="175" cm="1" t="str">
        <f t="array" ref="F242:F242">OFFSET(G242,-1,-1)</f>
        <v>1</v>
      </c>
      <c r="L242" s="175" cm="1" t="str">
        <f t="array" ref="L242:L242">OFFSET(M242,-1,-1)</f>
        <v>false</v>
      </c>
      <c r="S242" s="175" cm="1" t="str">
        <f t="array" ref="S242:S242">OFFSET(T242,-1,-1)</f>
        <v>true</v>
      </c>
      <c r="T242" s="175">
        <f>AD242&lt;&gt;"36.0"</f>
        <v>0</v>
      </c>
      <c r="U242" s="753">
        <f>AND(S242,IF(ISBLANK(T242),TRUE,T242))</f>
        <v>0</v>
      </c>
      <c r="X242" s="175" t="s">
        <v>189</v>
      </c>
      <c r="AB242" s="1607"/>
      <c r="AD242" s="491" t="s">
        <v>971</v>
      </c>
      <c r="AE242" s="514"/>
      <c r="AF242" s="515"/>
      <c r="AG242" s="470" t="s">
        <v>917</v>
      </c>
      <c r="AH242" s="88"/>
      <c r="AI242" s="89"/>
      <c r="AJ242" s="89"/>
      <c r="AK242" s="89"/>
      <c r="AL242" s="499">
        <f>AM242+AN242</f>
        <v>0</v>
      </c>
      <c r="AM242" s="89">
        <f>AM237*AM178/1000</f>
        <v>0</v>
      </c>
      <c r="AN242" s="89">
        <f>AN237*AN178/1000</f>
        <v>0</v>
      </c>
      <c r="AO242" s="499">
        <f>AP242+AQ242</f>
        <v>0</v>
      </c>
      <c r="AP242" s="89">
        <f>AP237*AP178/1000</f>
        <v>0</v>
      </c>
      <c r="AQ242" s="89">
        <f>AQ237*AQ178/1000</f>
        <v>0</v>
      </c>
      <c r="AR242" s="499">
        <f>AS242+AT242</f>
        <v>0</v>
      </c>
      <c r="AS242" s="89">
        <f>AS237*AS178/1000</f>
        <v>0</v>
      </c>
      <c r="AT242" s="89">
        <f>AT237*AT178/1000</f>
        <v>0</v>
      </c>
      <c r="AU242" s="499">
        <f>AV242+AW242</f>
        <v>0</v>
      </c>
      <c r="AV242" s="89">
        <f>AV237*AV178/1000</f>
        <v>0</v>
      </c>
      <c r="AW242" s="89">
        <f>AW237*AW178/1000</f>
        <v>0</v>
      </c>
      <c r="AX242" s="499">
        <f>AY242+AZ242</f>
        <v>0</v>
      </c>
      <c r="AY242" s="89">
        <f>AY237*AY178/1000</f>
        <v>0</v>
      </c>
      <c r="AZ242" s="89">
        <f>AZ237*AZ178/1000</f>
        <v>0</v>
      </c>
      <c r="BA242" s="499">
        <f>BB242+BC242</f>
        <v>0</v>
      </c>
      <c r="BB242" s="89">
        <f>BB237*BB178/1000</f>
        <v>0</v>
      </c>
      <c r="BC242" s="89">
        <f>BC237*BC178/1000</f>
        <v>0</v>
      </c>
      <c r="BD242" s="499">
        <f>BE242+BF242</f>
        <v>0</v>
      </c>
      <c r="BE242" s="89">
        <f>BE237*BE178/1000</f>
        <v>0</v>
      </c>
      <c r="BF242" s="89">
        <f>BF237*BF178/1000</f>
        <v>0</v>
      </c>
      <c r="BG242" s="499">
        <f>BH242+BI242</f>
        <v>0</v>
      </c>
      <c r="BH242" s="89">
        <f>BH237*BH178/1000</f>
        <v>0</v>
      </c>
      <c r="BI242" s="89">
        <f>BI237*BI178/1000</f>
        <v>0</v>
      </c>
      <c r="BJ242" s="499">
        <f>BK242+BL242</f>
        <v>0</v>
      </c>
      <c r="BK242" s="89">
        <f>BK237*BK178/1000</f>
        <v>0</v>
      </c>
      <c r="BL242" s="89">
        <f>BL237*BL178/1000</f>
        <v>0</v>
      </c>
      <c r="BM242" s="499">
        <f>BN242+BO242</f>
        <v>0</v>
      </c>
      <c r="BN242" s="89">
        <f>BN237*BN178/1000</f>
        <v>0</v>
      </c>
      <c r="BO242" s="89">
        <f>BO237*BO178/1000</f>
        <v>0</v>
      </c>
      <c r="BP242" s="499">
        <f>BQ242+BR242</f>
        <v>0</v>
      </c>
      <c r="BQ242" s="89">
        <f>BQ237*BQ178/1000</f>
        <v>0</v>
      </c>
      <c r="BR242" s="89">
        <f>BR237*BR178/1000</f>
        <v>0</v>
      </c>
      <c r="BS242" s="499">
        <f>BT242+BU242</f>
        <v>0</v>
      </c>
      <c r="BT242" s="89">
        <f>BT237*BT178/1000</f>
        <v>0</v>
      </c>
      <c r="BU242" s="89">
        <f>BU237*BU178/1000</f>
        <v>0</v>
      </c>
      <c r="BV242" s="499">
        <f>BW242+BX242</f>
        <v>0</v>
      </c>
      <c r="BW242" s="89">
        <f>BW237*BW178/1000</f>
        <v>0</v>
      </c>
      <c r="BX242" s="89">
        <f>BX237*BX178/1000</f>
        <v>0</v>
      </c>
      <c r="BY242" s="499">
        <f>BZ242+CA242</f>
        <v>0</v>
      </c>
      <c r="BZ242" s="89">
        <f>BZ237*BZ178/1000</f>
        <v>0</v>
      </c>
      <c r="CA242" s="89">
        <f>CA237*CA178/1000</f>
        <v>0</v>
      </c>
      <c r="CB242" s="499">
        <f>CC242+CD242</f>
        <v>0</v>
      </c>
      <c r="CC242" s="89">
        <f>CC237*CC178/1000</f>
        <v>0</v>
      </c>
      <c r="CD242" s="89">
        <f>CD237*CD178/1000</f>
        <v>0</v>
      </c>
      <c r="CE242" s="499">
        <f>CF242+CG242</f>
        <v>0</v>
      </c>
      <c r="CF242" s="89">
        <f>CF237*CF178/1000</f>
        <v>0</v>
      </c>
      <c r="CG242" s="89">
        <f>CG237*CG178/1000</f>
        <v>0</v>
      </c>
      <c r="CH242" s="499">
        <f>CI242+CJ242</f>
        <v>0</v>
      </c>
      <c r="CI242" s="89">
        <f>CI237*CI178/1000</f>
        <v>0</v>
      </c>
      <c r="CJ242" s="89">
        <f>CJ237*CJ178/1000</f>
        <v>0</v>
      </c>
      <c r="CK242" s="499">
        <f>CL242+CM242</f>
        <v>0</v>
      </c>
      <c r="CL242" s="89">
        <f>CL237*CL178/1000</f>
        <v>0</v>
      </c>
      <c r="CM242" s="89">
        <f>CM237*CM178/1000</f>
        <v>0</v>
      </c>
      <c r="CN242" s="499">
        <f>CO242+CP242</f>
        <v>0</v>
      </c>
      <c r="CO242" s="89">
        <f>CO237*CO178/1000</f>
        <v>0</v>
      </c>
      <c r="CP242" s="89">
        <f>CP237*CP178/1000</f>
        <v>0</v>
      </c>
      <c r="CQ242" s="499">
        <f>CR242+CS242</f>
        <v>0</v>
      </c>
      <c r="CR242" s="89">
        <f>CR237*CR178/1000</f>
        <v>0</v>
      </c>
      <c r="CS242" s="89">
        <f>CS237*CS178/1000</f>
        <v>0</v>
      </c>
      <c r="CT242" s="499">
        <f>CU242+CV242</f>
        <v>0</v>
      </c>
      <c r="CU242" s="498">
        <f>CU237*CU178/1000</f>
        <v>0</v>
      </c>
      <c r="CV242" s="498">
        <f>CV237*CV178/1000</f>
        <v>0</v>
      </c>
      <c r="CW242" s="499">
        <f>CX242+CY242</f>
        <v>0</v>
      </c>
      <c r="CX242" s="89">
        <f>CX237*CX178/1000</f>
        <v>0</v>
      </c>
      <c r="CY242" s="89">
        <f>CY237*CY178/1000</f>
        <v>0</v>
      </c>
      <c r="CZ242" s="499">
        <f>DA242+DB242</f>
        <v>0</v>
      </c>
      <c r="DA242" s="89">
        <f>DA237*DA178/1000</f>
        <v>0</v>
      </c>
      <c r="DB242" s="89">
        <f>DB237*DB178/1000</f>
        <v>0</v>
      </c>
      <c r="DC242" s="499">
        <f>DD242+DE242</f>
        <v>0</v>
      </c>
      <c r="DD242" s="89">
        <f>DD237*DD178/1000</f>
        <v>0</v>
      </c>
      <c r="DE242" s="89">
        <f>DE237*DE178/1000</f>
        <v>0</v>
      </c>
      <c r="DF242" s="499">
        <f>DG242+DH242</f>
        <v>0</v>
      </c>
      <c r="DG242" s="89">
        <f>DG237*DG178/1000</f>
        <v>0</v>
      </c>
      <c r="DH242" s="89">
        <f>DH237*DH178/1000</f>
        <v>0</v>
      </c>
      <c r="DI242" s="499">
        <f>DJ242+DK242</f>
        <v>0</v>
      </c>
      <c r="DJ242" s="89">
        <f>DJ237*DJ178/1000</f>
        <v>0</v>
      </c>
      <c r="DK242" s="89">
        <f>DK237*DK178/1000</f>
        <v>0</v>
      </c>
      <c r="DL242" s="499">
        <f>DM242+DN242</f>
        <v>0</v>
      </c>
      <c r="DM242" s="89">
        <f>DM237*DM178/1000</f>
        <v>0</v>
      </c>
      <c r="DN242" s="89">
        <f>DN237*DN178/1000</f>
        <v>0</v>
      </c>
      <c r="DO242" s="499">
        <f>DP242+DQ242</f>
        <v>0</v>
      </c>
      <c r="DP242" s="89">
        <f>DP237*DP178/1000</f>
        <v>0</v>
      </c>
      <c r="DQ242" s="89">
        <f>DQ237*DQ178/1000</f>
        <v>0</v>
      </c>
      <c r="DR242" s="499">
        <f>DS242+DT242</f>
        <v>0</v>
      </c>
      <c r="DS242" s="89">
        <f>DS237*DS178/1000</f>
        <v>0</v>
      </c>
      <c r="DT242" s="89">
        <f>DT237*DT178/1000</f>
        <v>0</v>
      </c>
      <c r="DU242" s="499">
        <f>DV242+DW242</f>
        <v>0</v>
      </c>
      <c r="DV242" s="89">
        <f>DV237*DV178/1000</f>
        <v>0</v>
      </c>
      <c r="DW242" s="89">
        <f>DW237*DW178/1000</f>
        <v>0</v>
      </c>
      <c r="DX242" s="499">
        <f>DY242+DZ242</f>
        <v>0</v>
      </c>
      <c r="DY242" s="89">
        <f>DY237*DY178/1000</f>
        <v>0</v>
      </c>
      <c r="DZ242" s="89">
        <f>DZ237*DZ178/1000</f>
        <v>0</v>
      </c>
      <c r="EA242" s="499">
        <f>EB242+EC242</f>
        <v>0</v>
      </c>
      <c r="EB242" s="89">
        <f>EB237*EB178/1000</f>
        <v>0</v>
      </c>
      <c r="EC242" s="89">
        <f>EC237*EC178/1000</f>
        <v>0</v>
      </c>
      <c r="ED242" s="499">
        <f>EE242+EF242</f>
        <v>0</v>
      </c>
      <c r="EE242" s="89">
        <f>EE237*EE178/1000</f>
        <v>0</v>
      </c>
      <c r="EF242" s="89">
        <f>EF237*EF178/1000</f>
        <v>0</v>
      </c>
      <c r="EG242" s="499">
        <f>EH242+EI242</f>
        <v>0</v>
      </c>
      <c r="EH242" s="89">
        <f>EH237*EH178/1000</f>
        <v>0</v>
      </c>
      <c r="EI242" s="89">
        <f>EI237*EI178/1000</f>
        <v>0</v>
      </c>
      <c r="EJ242" s="499">
        <f>EK242+EL242</f>
        <v>0</v>
      </c>
      <c r="EK242" s="89">
        <f>EK237*EK178/1000</f>
        <v>0</v>
      </c>
      <c r="EL242" s="89">
        <f>EL237*EL178/1000</f>
        <v>0</v>
      </c>
      <c r="EM242" s="499">
        <f>EN242+EO242</f>
        <v>0</v>
      </c>
      <c r="EN242" s="89">
        <f>EN237*EN178/1000</f>
        <v>0</v>
      </c>
      <c r="EO242" s="89">
        <f>EO237*EO178/1000</f>
        <v>0</v>
      </c>
      <c r="EP242" s="499">
        <f>EQ242+ER242</f>
        <v>0</v>
      </c>
      <c r="EQ242" s="89">
        <f>EQ237*EQ178/1000</f>
        <v>0</v>
      </c>
      <c r="ER242" s="89">
        <f>ER237*ER178/1000</f>
        <v>0</v>
      </c>
      <c r="ES242" s="499">
        <f>ET242+EU242</f>
        <v>0</v>
      </c>
      <c r="ET242" s="89">
        <f>ET237*ET178/1000</f>
        <v>0</v>
      </c>
      <c r="EU242" s="89">
        <f>EU237*EU178/1000</f>
        <v>0</v>
      </c>
      <c r="EV242" s="499">
        <f>EW242+EX242</f>
        <v>0</v>
      </c>
      <c r="EW242" s="89">
        <f>EW237*EW178/1000</f>
        <v>0</v>
      </c>
      <c r="EX242" s="89">
        <f>EX237*EX178/1000</f>
        <v>0</v>
      </c>
      <c r="EY242" s="499">
        <f>EZ242+FA242</f>
        <v>0</v>
      </c>
      <c r="EZ242" s="89">
        <f>EZ237*EZ178/1000</f>
        <v>0</v>
      </c>
      <c r="FA242" s="89">
        <f>FA237*FA178/1000</f>
        <v>0</v>
      </c>
      <c r="FB242" s="83"/>
      <c r="FE242" s="489" t="s">
        <v>970</v>
      </c>
      <c r="FF242" s="648" t="s">
        <v>890</v>
      </c>
      <c r="FG242" s="648" cm="1" t="str">
        <f t="array" ref="FG242:FG242">AE242</f>
        <v>0</v>
      </c>
      <c r="FH242" s="648" cm="1" t="str">
        <f t="array" ref="FH242:FH242">AF242</f>
        <v>0</v>
      </c>
      <c r="FI242" s="649"/>
      <c r="FJ242" s="649"/>
      <c r="FK242" s="1157" cm="1" t="str">
        <f t="array" ref="FK242:FK242">OFFSET(FJ242,-1,1)</f>
        <v>ТЭ.42.31656254.0001</v>
      </c>
      <c r="FL242" s="1159"/>
      <c r="FM242" s="1159"/>
      <c r="FN242" s="1159"/>
      <c r="FO242" s="1159"/>
      <c r="FP242" s="1159"/>
      <c r="FQ242" s="1159"/>
      <c r="FR242" s="1159"/>
      <c r="FS242" s="1159"/>
      <c r="FT242" s="1159" t="s">
        <v>963</v>
      </c>
      <c r="FU242" s="1159"/>
      <c r="FV242" s="1159" t="s">
        <v>449</v>
      </c>
      <c r="FW242" s="1078" t="str">
        <f>$AE242&amp;"|"&amp;$AF242</f>
        <v>|</v>
      </c>
      <c r="FX242" s="1159" t="s">
        <v>303</v>
      </c>
      <c r="FY242" s="1159" t="s">
        <v>919</v>
      </c>
      <c r="FZ242" s="1159" t="s">
        <v>920</v>
      </c>
    </row>
    <row s="1751" customFormat="1" customHeight="1" ht="16.5">
      <c r="A243" s="1751"/>
      <c r="B243" s="1751"/>
      <c r="C243" s="1751"/>
      <c r="D243" s="1751"/>
      <c r="E243" s="180">
        <v>17</v>
      </c>
      <c r="F243" s="175" cm="1" t="str">
        <f t="array" ref="F243:F243">OFFSET(G243,-1,-1)</f>
        <v>1</v>
      </c>
      <c r="G243" s="1751"/>
      <c r="H243" s="1751"/>
      <c r="I243" s="1751"/>
      <c r="J243" s="1751"/>
      <c r="K243" s="1751"/>
      <c r="L243" s="175" cm="1" t="str">
        <f t="array" ref="L243:L243">OFFSET(M243,-1,-1)</f>
        <v>false</v>
      </c>
      <c r="M243" s="1751"/>
      <c r="N243" s="1751"/>
      <c r="O243" s="1751"/>
      <c r="P243" s="1751"/>
      <c r="Q243" s="1751"/>
      <c r="R243" s="1751"/>
      <c r="S243" s="175" cm="1" t="str">
        <f t="array" ref="S243:S243">OFFSET(T243,-1,-1)</f>
        <v>true</v>
      </c>
      <c r="T243" s="175">
        <f>AD243&lt;&gt;"36.0"</f>
        <v>1</v>
      </c>
      <c r="U243" s="753">
        <f>AND(S243,IF(ISBLANK(T243),TRUE,T243))</f>
        <v>1</v>
      </c>
      <c r="V243" s="1751"/>
      <c r="W243" s="1751"/>
      <c r="X243" s="175" t="str">
        <f>'Топливо 4.4'!$AE$238&amp;'Топливо 4.4'!$AF$238</f>
        <v>Уголь длиннопламенный</v>
      </c>
      <c r="Y243" s="1751"/>
      <c r="Z243" s="1751"/>
      <c r="AA243" s="1751"/>
      <c r="AB243" s="1607"/>
      <c r="AC243" s="1751"/>
      <c r="AD243" s="491" t="s">
        <v>1028</v>
      </c>
      <c r="AE243" s="514" cm="1" t="str">
        <f t="array" ref="AE243:AE243">IF(ISBLANK('Топливо 4.4'!$AE$238),"",'Топливо 4.4'!$AE$238)</f>
        <v>Уголь длиннопламенный</v>
      </c>
      <c r="AF243" s="515" cm="1" t="str">
        <f t="array" ref="AF243:AF243">IF(ISBLANK('Топливо 4.4'!$AF$238),"",'Топливо 4.4'!$AF$238)</f>
        <v/>
      </c>
      <c r="AG243" s="470" t="s">
        <v>917</v>
      </c>
      <c r="AH243" s="2255"/>
      <c r="AI243" s="2256"/>
      <c r="AJ243" s="2256"/>
      <c r="AK243" s="2256"/>
      <c r="AL243" s="499">
        <f>AM243+AN243</f>
        <v>0</v>
      </c>
      <c r="AM243" s="2256">
        <f>AM238*AM179/1000</f>
        <v>0</v>
      </c>
      <c r="AN243" s="2256">
        <f>AN238*AN179/1000</f>
        <v>0</v>
      </c>
      <c r="AO243" s="499">
        <f>AP243+AQ243</f>
        <v>0</v>
      </c>
      <c r="AP243" s="2256">
        <f>AP238*AP179/1000</f>
        <v>0</v>
      </c>
      <c r="AQ243" s="2256">
        <f>AQ238*AQ179/1000</f>
        <v>0</v>
      </c>
      <c r="AR243" s="499">
        <f>AS243+AT243</f>
        <v>0</v>
      </c>
      <c r="AS243" s="2256">
        <f>AS238*AS179/1000</f>
        <v>0</v>
      </c>
      <c r="AT243" s="2256">
        <f>AT238*AT179/1000</f>
        <v>0</v>
      </c>
      <c r="AU243" s="499">
        <f>AV243+AW243</f>
        <v>0</v>
      </c>
      <c r="AV243" s="2256">
        <f>AV238*AV179/1000</f>
        <v>0</v>
      </c>
      <c r="AW243" s="2256">
        <f>AW238*AW179/1000</f>
        <v>0</v>
      </c>
      <c r="AX243" s="499">
        <f>AY243+AZ243</f>
        <v>0</v>
      </c>
      <c r="AY243" s="2256">
        <f>AY238*AY179/1000</f>
        <v>0</v>
      </c>
      <c r="AZ243" s="2256">
        <f>AZ238*AZ179/1000</f>
        <v>0</v>
      </c>
      <c r="BA243" s="499">
        <f>BB243+BC243</f>
        <v>0</v>
      </c>
      <c r="BB243" s="2256">
        <f>BB238*BB179/1000</f>
        <v>0</v>
      </c>
      <c r="BC243" s="2256">
        <f>BC238*BC179/1000</f>
        <v>0</v>
      </c>
      <c r="BD243" s="499">
        <f>BE243+BF243</f>
        <v>0</v>
      </c>
      <c r="BE243" s="2256">
        <f>BE238*BE179/1000</f>
        <v>0</v>
      </c>
      <c r="BF243" s="2256">
        <f>BF238*BF179/1000</f>
        <v>0</v>
      </c>
      <c r="BG243" s="499">
        <f>BH243+BI243</f>
        <v>0</v>
      </c>
      <c r="BH243" s="2256">
        <f>BH238*BH179/1000</f>
        <v>0</v>
      </c>
      <c r="BI243" s="2256">
        <f>BI238*BI179/1000</f>
        <v>0</v>
      </c>
      <c r="BJ243" s="499">
        <f>BK243+BL243</f>
        <v>0</v>
      </c>
      <c r="BK243" s="2256">
        <f>BK238*BK179/1000</f>
        <v>0</v>
      </c>
      <c r="BL243" s="2256">
        <f>BL238*BL179/1000</f>
        <v>0</v>
      </c>
      <c r="BM243" s="499">
        <f>BN243+BO243</f>
        <v>0</v>
      </c>
      <c r="BN243" s="2256">
        <f>BN238*BN179/1000</f>
        <v>0</v>
      </c>
      <c r="BO243" s="2256">
        <f>BO238*BO179/1000</f>
        <v>0</v>
      </c>
      <c r="BP243" s="499">
        <f>BQ243+BR243</f>
        <v>0</v>
      </c>
      <c r="BQ243" s="2256">
        <f>BQ238*BQ179/1000</f>
        <v>0</v>
      </c>
      <c r="BR243" s="2256">
        <f>BR238*BR179/1000</f>
        <v>0</v>
      </c>
      <c r="BS243" s="499">
        <f>BT243+BU243</f>
        <v>0</v>
      </c>
      <c r="BT243" s="2256">
        <f>BT238*BT179/1000</f>
        <v>0</v>
      </c>
      <c r="BU243" s="2256">
        <f>BU238*BU179/1000</f>
        <v>0</v>
      </c>
      <c r="BV243" s="499">
        <f>BW243+BX243</f>
        <v>0</v>
      </c>
      <c r="BW243" s="2256">
        <f>BW238*BW179/1000</f>
        <v>0</v>
      </c>
      <c r="BX243" s="2256">
        <f>BX238*BX179/1000</f>
        <v>0</v>
      </c>
      <c r="BY243" s="499">
        <f>BZ243+CA243</f>
        <v>0</v>
      </c>
      <c r="BZ243" s="2256">
        <f>BZ238*BZ179/1000</f>
        <v>0</v>
      </c>
      <c r="CA243" s="2256">
        <f>CA238*CA179/1000</f>
        <v>0</v>
      </c>
      <c r="CB243" s="499">
        <f>CC243+CD243</f>
        <v>0</v>
      </c>
      <c r="CC243" s="2256">
        <f>CC238*CC179/1000</f>
        <v>0</v>
      </c>
      <c r="CD243" s="2256">
        <f>CD238*CD179/1000</f>
        <v>0</v>
      </c>
      <c r="CE243" s="499">
        <f>CF243+CG243</f>
        <v>0</v>
      </c>
      <c r="CF243" s="2256">
        <f>CF238*CF179/1000</f>
        <v>0</v>
      </c>
      <c r="CG243" s="2256">
        <f>CG238*CG179/1000</f>
        <v>0</v>
      </c>
      <c r="CH243" s="499">
        <f>CI243+CJ243</f>
        <v>0</v>
      </c>
      <c r="CI243" s="2256">
        <f>CI238*CI179/1000</f>
        <v>0</v>
      </c>
      <c r="CJ243" s="2256">
        <f>CJ238*CJ179/1000</f>
        <v>0</v>
      </c>
      <c r="CK243" s="499">
        <f>CL243+CM243</f>
        <v>0</v>
      </c>
      <c r="CL243" s="2256">
        <f>CL238*CL179/1000</f>
        <v>0</v>
      </c>
      <c r="CM243" s="2256">
        <f>CM238*CM179/1000</f>
        <v>0</v>
      </c>
      <c r="CN243" s="499">
        <f>CO243+CP243</f>
        <v>0</v>
      </c>
      <c r="CO243" s="2256">
        <f>CO238*CO179/1000</f>
        <v>0</v>
      </c>
      <c r="CP243" s="2256">
        <f>CP238*CP179/1000</f>
        <v>0</v>
      </c>
      <c r="CQ243" s="499">
        <f>CR243+CS243</f>
        <v>0</v>
      </c>
      <c r="CR243" s="2256">
        <f>CR238*CR179/1000</f>
        <v>0</v>
      </c>
      <c r="CS243" s="2256">
        <f>CS238*CS179/1000</f>
        <v>0</v>
      </c>
      <c r="CT243" s="499">
        <f>CU243+CV243</f>
        <v>0</v>
      </c>
      <c r="CU243" s="498">
        <f>CU238*CU179/1000</f>
        <v>0</v>
      </c>
      <c r="CV243" s="498">
        <f>CV238*CV179/1000</f>
        <v>0</v>
      </c>
      <c r="CW243" s="499">
        <f>CX243+CY243</f>
        <v>0</v>
      </c>
      <c r="CX243" s="2256">
        <f>CX238*CX179/1000</f>
        <v>0</v>
      </c>
      <c r="CY243" s="2256">
        <f>CY238*CY179/1000</f>
        <v>0</v>
      </c>
      <c r="CZ243" s="499">
        <f>DA243+DB243</f>
        <v>0</v>
      </c>
      <c r="DA243" s="2256">
        <f>DA238*DA179/1000</f>
        <v>0</v>
      </c>
      <c r="DB243" s="2256">
        <f>DB238*DB179/1000</f>
        <v>0</v>
      </c>
      <c r="DC243" s="499">
        <f>DD243+DE243</f>
        <v>0</v>
      </c>
      <c r="DD243" s="2256">
        <f>DD238*DD179/1000</f>
        <v>0</v>
      </c>
      <c r="DE243" s="2256">
        <f>DE238*DE179/1000</f>
        <v>0</v>
      </c>
      <c r="DF243" s="499">
        <f>DG243+DH243</f>
        <v>0</v>
      </c>
      <c r="DG243" s="2256">
        <f>DG238*DG179/1000</f>
        <v>0</v>
      </c>
      <c r="DH243" s="2256">
        <f>DH238*DH179/1000</f>
        <v>0</v>
      </c>
      <c r="DI243" s="499">
        <f>DJ243+DK243</f>
        <v>0</v>
      </c>
      <c r="DJ243" s="2256">
        <f>DJ238*DJ179/1000</f>
        <v>0</v>
      </c>
      <c r="DK243" s="2256">
        <f>DK238*DK179/1000</f>
        <v>0</v>
      </c>
      <c r="DL243" s="499">
        <f>DM243+DN243</f>
        <v>0</v>
      </c>
      <c r="DM243" s="2256">
        <f>DM238*DM179/1000</f>
        <v>0</v>
      </c>
      <c r="DN243" s="2256">
        <f>DN238*DN179/1000</f>
        <v>0</v>
      </c>
      <c r="DO243" s="499">
        <f>DP243+DQ243</f>
        <v>0</v>
      </c>
      <c r="DP243" s="2256">
        <f>DP238*DP179/1000</f>
        <v>0</v>
      </c>
      <c r="DQ243" s="2256">
        <f>DQ238*DQ179/1000</f>
        <v>0</v>
      </c>
      <c r="DR243" s="499">
        <f>DS243+DT243</f>
        <v>0</v>
      </c>
      <c r="DS243" s="2256">
        <f>DS238*DS179/1000</f>
        <v>0</v>
      </c>
      <c r="DT243" s="2256">
        <f>DT238*DT179/1000</f>
        <v>0</v>
      </c>
      <c r="DU243" s="499">
        <f>DV243+DW243</f>
        <v>0</v>
      </c>
      <c r="DV243" s="2256">
        <f>DV238*DV179/1000</f>
        <v>0</v>
      </c>
      <c r="DW243" s="2256">
        <f>DW238*DW179/1000</f>
        <v>0</v>
      </c>
      <c r="DX243" s="499">
        <f>DY243+DZ243</f>
        <v>0</v>
      </c>
      <c r="DY243" s="2256">
        <f>DY238*DY179/1000</f>
        <v>0</v>
      </c>
      <c r="DZ243" s="2256">
        <f>DZ238*DZ179/1000</f>
        <v>0</v>
      </c>
      <c r="EA243" s="499">
        <f>EB243+EC243</f>
        <v>0</v>
      </c>
      <c r="EB243" s="2256">
        <f>EB238*EB179/1000</f>
        <v>0</v>
      </c>
      <c r="EC243" s="2256">
        <f>EC238*EC179/1000</f>
        <v>0</v>
      </c>
      <c r="ED243" s="499">
        <f>EE243+EF243</f>
        <v>0</v>
      </c>
      <c r="EE243" s="2256">
        <f>EE238*EE179/1000</f>
        <v>0</v>
      </c>
      <c r="EF243" s="2256">
        <f>EF238*EF179/1000</f>
        <v>0</v>
      </c>
      <c r="EG243" s="499">
        <f>EH243+EI243</f>
        <v>0</v>
      </c>
      <c r="EH243" s="2256">
        <f>EH238*EH179/1000</f>
        <v>0</v>
      </c>
      <c r="EI243" s="2256">
        <f>EI238*EI179/1000</f>
        <v>0</v>
      </c>
      <c r="EJ243" s="499">
        <f>EK243+EL243</f>
        <v>0</v>
      </c>
      <c r="EK243" s="2256">
        <f>EK238*EK179/1000</f>
        <v>0</v>
      </c>
      <c r="EL243" s="2256">
        <f>EL238*EL179/1000</f>
        <v>0</v>
      </c>
      <c r="EM243" s="499">
        <f>EN243+EO243</f>
        <v>0</v>
      </c>
      <c r="EN243" s="2256">
        <f>EN238*EN179/1000</f>
        <v>0</v>
      </c>
      <c r="EO243" s="2256">
        <f>EO238*EO179/1000</f>
        <v>0</v>
      </c>
      <c r="EP243" s="499">
        <f>EQ243+ER243</f>
        <v>0</v>
      </c>
      <c r="EQ243" s="2256">
        <f>EQ238*EQ179/1000</f>
        <v>0</v>
      </c>
      <c r="ER243" s="2256">
        <f>ER238*ER179/1000</f>
        <v>0</v>
      </c>
      <c r="ES243" s="499">
        <f>ET243+EU243</f>
        <v>0</v>
      </c>
      <c r="ET243" s="2256">
        <f>ET238*ET179/1000</f>
        <v>0</v>
      </c>
      <c r="EU243" s="2256">
        <f>EU238*EU179/1000</f>
        <v>0</v>
      </c>
      <c r="EV243" s="499">
        <f>EW243+EX243</f>
        <v>0</v>
      </c>
      <c r="EW243" s="2256">
        <f>EW238*EW179/1000</f>
        <v>0</v>
      </c>
      <c r="EX243" s="2256">
        <f>EX238*EX179/1000</f>
        <v>0</v>
      </c>
      <c r="EY243" s="499">
        <f>EZ243+FA243</f>
        <v>0</v>
      </c>
      <c r="EZ243" s="2256">
        <f>EZ238*EZ179/1000</f>
        <v>0</v>
      </c>
      <c r="FA243" s="2256">
        <f>FA238*FA179/1000</f>
        <v>0</v>
      </c>
      <c r="FB243" s="1897"/>
      <c r="FC243" s="1751"/>
      <c r="FD243" s="1751"/>
      <c r="FE243" s="489" t="s">
        <v>970</v>
      </c>
      <c r="FF243" s="648" t="s">
        <v>890</v>
      </c>
      <c r="FG243" s="648" cm="1" t="str">
        <f t="array" ref="FG243:FG243">AE243</f>
        <v>Уголь длиннопламенный</v>
      </c>
      <c r="FH243" s="648" cm="1" t="str">
        <f t="array" ref="FH243:FH243">AF243</f>
        <v/>
      </c>
      <c r="FI243" s="649"/>
      <c r="FJ243" s="649"/>
      <c r="FK243" s="1157" cm="1" t="str">
        <f t="array" ref="FK243:FK243">OFFSET(FJ243,-1,1)</f>
        <v>ТЭ.42.31656254.0001</v>
      </c>
      <c r="FL243" s="1159"/>
      <c r="FM243" s="1159"/>
      <c r="FN243" s="1159"/>
      <c r="FO243" s="1159"/>
      <c r="FP243" s="1159"/>
      <c r="FQ243" s="1159"/>
      <c r="FR243" s="1159"/>
      <c r="FS243" s="1159"/>
      <c r="FT243" s="1159" t="s">
        <v>963</v>
      </c>
      <c r="FU243" s="1159"/>
      <c r="FV243" s="1159" t="s">
        <v>449</v>
      </c>
      <c r="FW243" s="1078" t="str">
        <f>$AE243&amp;"|"&amp;$AF243</f>
        <v>Уголь длиннопламенный|</v>
      </c>
      <c r="FX243" s="1159" t="s">
        <v>303</v>
      </c>
      <c r="FY243" s="1159" t="s">
        <v>919</v>
      </c>
      <c r="FZ243" s="1159" t="s">
        <v>920</v>
      </c>
    </row>
    <row s="1751" customFormat="1" customHeight="1" ht="15" hidden="1">
      <c r="A244" s="371"/>
      <c r="B244" s="1548"/>
      <c r="C244" s="1548"/>
      <c r="D244" s="1548"/>
      <c r="E244" s="965">
        <v>0</v>
      </c>
      <c r="F244" s="175" cm="1" t="str">
        <f t="array" ref="F244:F244">OFFSET(G244,-1,-1)</f>
        <v>1</v>
      </c>
      <c r="G244" s="1659"/>
      <c r="H244" s="1659"/>
      <c r="I244" s="1659"/>
      <c r="J244" s="1659"/>
      <c r="K244" s="1659"/>
      <c r="L244" s="175" cm="1" t="str">
        <f t="array" ref="L244:L244">OFFSET(M244,-1,-1)</f>
        <v>false</v>
      </c>
      <c r="M244" s="1659"/>
      <c r="N244" s="1659"/>
      <c r="O244" s="1659"/>
      <c r="P244" s="1659"/>
      <c r="Q244" s="1659"/>
      <c r="R244" s="1548"/>
      <c r="S244" s="175" cm="1" t="str">
        <f t="array" ref="S244:S244">OFFSET(T244,-1,-1)</f>
        <v>true</v>
      </c>
      <c r="T244" s="1548"/>
      <c r="U244" s="753">
        <f>AND(S244,IF(ISBLANK(T244),TRUE,T244))</f>
        <v>1</v>
      </c>
      <c r="V244" s="1548"/>
      <c r="W244" s="1548"/>
      <c r="X244" s="980" t="str">
        <f>"{                  
         funcDyn: 'msg1',
         blok: 'blok_2',
         wsCross: 'Топливо 4.4',
         linkFormula: 'AE-AE#AF-AF',
         levelDyn: "&amp;Y139&amp;"
}"</f>
        <v>{                  
         funcDyn: 'msg1',
         blok: 'blok_2',
         wsCross: 'Топливо 4.4',
         linkFormula: 'AE-AE#AF-AF',
         levelDyn: 1
}</v>
      </c>
      <c r="Y244" s="1548"/>
      <c r="Z244" s="1548"/>
      <c r="AA244" s="1009"/>
      <c r="AB244" s="1607"/>
      <c r="AC244" s="1751"/>
      <c r="AD244" s="517"/>
      <c r="AE244" s="518" t="s">
        <v>191</v>
      </c>
      <c r="AF244" s="519"/>
      <c r="AG244" s="470"/>
      <c r="AH244" s="524"/>
      <c r="AI244" s="525"/>
      <c r="AJ244" s="525"/>
      <c r="AK244" s="525"/>
      <c r="AL244" s="525"/>
      <c r="AM244" s="525"/>
      <c r="AN244" s="525"/>
      <c r="AO244" s="525"/>
      <c r="AP244" s="525"/>
      <c r="AQ244" s="525"/>
      <c r="AR244" s="525"/>
      <c r="AS244" s="525"/>
      <c r="AT244" s="525"/>
      <c r="AU244" s="525"/>
      <c r="AV244" s="525"/>
      <c r="AW244" s="525"/>
      <c r="AX244" s="525"/>
      <c r="AY244" s="525"/>
      <c r="AZ244" s="525"/>
      <c r="BA244" s="525"/>
      <c r="BB244" s="525"/>
      <c r="BC244" s="525"/>
      <c r="BD244" s="525"/>
      <c r="BE244" s="525"/>
      <c r="BF244" s="525"/>
      <c r="BG244" s="525"/>
      <c r="BH244" s="525"/>
      <c r="BI244" s="525"/>
      <c r="BJ244" s="525"/>
      <c r="BK244" s="525"/>
      <c r="BL244" s="525"/>
      <c r="BM244" s="525"/>
      <c r="BN244" s="525"/>
      <c r="BO244" s="525"/>
      <c r="BP244" s="525"/>
      <c r="BQ244" s="525"/>
      <c r="BR244" s="525"/>
      <c r="BS244" s="525"/>
      <c r="BT244" s="525"/>
      <c r="BU244" s="525"/>
      <c r="BV244" s="525"/>
      <c r="BW244" s="525"/>
      <c r="BX244" s="525"/>
      <c r="BY244" s="525"/>
      <c r="BZ244" s="525"/>
      <c r="CA244" s="525"/>
      <c r="CB244" s="525"/>
      <c r="CC244" s="525"/>
      <c r="CD244" s="525"/>
      <c r="CE244" s="525"/>
      <c r="CF244" s="525"/>
      <c r="CG244" s="525"/>
      <c r="CH244" s="525"/>
      <c r="CI244" s="525"/>
      <c r="CJ244" s="525"/>
      <c r="CK244" s="525"/>
      <c r="CL244" s="525"/>
      <c r="CM244" s="525"/>
      <c r="CN244" s="525"/>
      <c r="CO244" s="525"/>
      <c r="CP244" s="525"/>
      <c r="CQ244" s="525"/>
      <c r="CR244" s="525"/>
      <c r="CS244" s="525"/>
      <c r="CT244" s="525"/>
      <c r="CU244" s="525"/>
      <c r="CV244" s="525"/>
      <c r="CW244" s="525"/>
      <c r="CX244" s="525"/>
      <c r="CY244" s="525"/>
      <c r="CZ244" s="525"/>
      <c r="DA244" s="525"/>
      <c r="DB244" s="525"/>
      <c r="DC244" s="525"/>
      <c r="DD244" s="525"/>
      <c r="DE244" s="525"/>
      <c r="DF244" s="525"/>
      <c r="DG244" s="525"/>
      <c r="DH244" s="525"/>
      <c r="DI244" s="525"/>
      <c r="DJ244" s="525"/>
      <c r="DK244" s="525"/>
      <c r="DL244" s="525"/>
      <c r="DM244" s="525"/>
      <c r="DN244" s="525"/>
      <c r="DO244" s="525"/>
      <c r="DP244" s="525"/>
      <c r="DQ244" s="525"/>
      <c r="DR244" s="525"/>
      <c r="DS244" s="525"/>
      <c r="DT244" s="525"/>
      <c r="DU244" s="525"/>
      <c r="DV244" s="525"/>
      <c r="DW244" s="525"/>
      <c r="DX244" s="525"/>
      <c r="DY244" s="525"/>
      <c r="DZ244" s="525"/>
      <c r="EA244" s="525"/>
      <c r="EB244" s="525"/>
      <c r="EC244" s="525"/>
      <c r="ED244" s="525"/>
      <c r="EE244" s="525"/>
      <c r="EF244" s="525"/>
      <c r="EG244" s="525"/>
      <c r="EH244" s="525"/>
      <c r="EI244" s="525"/>
      <c r="EJ244" s="525"/>
      <c r="EK244" s="525"/>
      <c r="EL244" s="525"/>
      <c r="EM244" s="525"/>
      <c r="EN244" s="525"/>
      <c r="EO244" s="525"/>
      <c r="EP244" s="525"/>
      <c r="EQ244" s="525"/>
      <c r="ER244" s="525"/>
      <c r="ES244" s="525"/>
      <c r="ET244" s="525"/>
      <c r="EU244" s="525"/>
      <c r="EV244" s="525"/>
      <c r="EW244" s="525"/>
      <c r="EX244" s="525"/>
      <c r="EY244" s="525"/>
      <c r="EZ244" s="525"/>
      <c r="FA244" s="525"/>
      <c r="FB244" s="93"/>
      <c r="FC244" s="1751"/>
      <c r="FD244" s="1506"/>
      <c r="FE244" s="489" t="str">
        <f>IF(AND(ISNUMBER(VALUE(TRIM(SUBSTITUTE(AD244,".","")))),TRIM(SUBSTITUTE(AD244,".",""))&lt;&gt;""),"P"&amp;SUBSTITUTE(AD244,".",""),"")</f>
        <v/>
      </c>
      <c r="FF244" s="648"/>
      <c r="FG244" s="648"/>
      <c r="FH244" s="648"/>
      <c r="FI244" s="649"/>
      <c r="FJ244" s="649"/>
      <c r="FK244" s="1157" cm="1" t="str">
        <f t="array" ref="FK244:FK244">OFFSET(FJ244,-1,1)</f>
        <v>ТЭ.42.31656254.0001</v>
      </c>
      <c r="FL244" s="1159"/>
      <c r="FM244" s="1159"/>
      <c r="FN244" s="1159"/>
      <c r="FO244" s="1159"/>
      <c r="FP244" s="1159"/>
      <c r="FQ244" s="1159"/>
      <c r="FR244" s="1159"/>
      <c r="FS244" s="1159"/>
      <c r="FT244" s="1159"/>
      <c r="FU244" s="1159"/>
      <c r="FV244" s="1159"/>
      <c r="FW244" s="1159"/>
      <c r="FX244" s="1159"/>
      <c r="FY244" s="1159"/>
      <c r="FZ244" s="1159"/>
    </row>
    <row s="1751" customFormat="1" customHeight="1" ht="29.25" hidden="1">
      <c r="A245" s="371"/>
      <c r="B245" s="1548"/>
      <c r="C245" s="1548"/>
      <c r="D245" s="1548"/>
      <c r="E245" s="180">
        <v>30</v>
      </c>
      <c r="F245" s="175" cm="1" t="str">
        <f t="array" ref="F245:F245">OFFSET(G245,-1,-1)</f>
        <v>1</v>
      </c>
      <c r="G245" s="1659"/>
      <c r="H245" s="1659"/>
      <c r="I245" s="1659"/>
      <c r="J245" s="1659"/>
      <c r="K245" s="1659"/>
      <c r="L245" s="175" cm="1" t="str">
        <f t="array" ref="L245:L245">OFFSET(M245,-1,-1)</f>
        <v>false</v>
      </c>
      <c r="M245" s="1659"/>
      <c r="N245" s="1659"/>
      <c r="O245" s="1659"/>
      <c r="P245" s="1659"/>
      <c r="Q245" s="1659"/>
      <c r="R245" s="175" t="s">
        <v>804</v>
      </c>
      <c r="S245" s="175" cm="1" t="str">
        <f t="array" ref="S245:S245">OFFSET(T245,-1,-1)</f>
        <v>true</v>
      </c>
      <c r="T245" s="175" cm="1" t="str">
        <f t="array" ref="T245:T245">L245</f>
        <v>false</v>
      </c>
      <c r="U245" s="753">
        <f>AND(S245,IF(ISBLANK(T245),TRUE,T245))</f>
        <v>0</v>
      </c>
      <c r="V245" s="1548"/>
      <c r="W245" s="1548"/>
      <c r="X245" s="1548"/>
      <c r="Y245" s="1548"/>
      <c r="Z245" s="1548"/>
      <c r="AA245" s="1009"/>
      <c r="AB245" s="1607"/>
      <c r="AC245" s="1751"/>
      <c r="AD245" s="327">
        <v>37</v>
      </c>
      <c r="AE245" s="1623" t="s">
        <v>972</v>
      </c>
      <c r="AF245" s="437"/>
      <c r="AG245" s="470" t="s">
        <v>917</v>
      </c>
      <c r="AH245" s="500">
        <f>SUM(AH246:AH248)</f>
        <v>0</v>
      </c>
      <c r="AI245" s="500">
        <f>SUM(AI246:AI248)</f>
        <v>0</v>
      </c>
      <c r="AJ245" s="500">
        <f>SUM(AJ246:AJ248)</f>
        <v>0</v>
      </c>
      <c r="AK245" s="500">
        <f>SUM(AK246:AK248)</f>
        <v>0</v>
      </c>
      <c r="AL245" s="500">
        <f>SUM(AL246:AL248)</f>
        <v>0</v>
      </c>
      <c r="AM245" s="500">
        <f>SUM(AM246:AM248)</f>
        <v>0</v>
      </c>
      <c r="AN245" s="500">
        <f>SUM(AN246:AN248)</f>
        <v>0</v>
      </c>
      <c r="AO245" s="500">
        <f>SUM(AO246:AO248)</f>
        <v>0</v>
      </c>
      <c r="AP245" s="500">
        <f>SUM(AP246:AP248)</f>
        <v>0</v>
      </c>
      <c r="AQ245" s="500">
        <f>SUM(AQ246:AQ248)</f>
        <v>0</v>
      </c>
      <c r="AR245" s="500">
        <f>SUM(AR246:AR248)</f>
        <v>0</v>
      </c>
      <c r="AS245" s="500">
        <f>SUM(AS246:AS248)</f>
        <v>0</v>
      </c>
      <c r="AT245" s="500">
        <f>SUM(AT246:AT248)</f>
        <v>0</v>
      </c>
      <c r="AU245" s="500">
        <f>SUM(AU246:AU248)</f>
        <v>0</v>
      </c>
      <c r="AV245" s="500">
        <f>SUM(AV246:AV248)</f>
        <v>0</v>
      </c>
      <c r="AW245" s="500">
        <f>SUM(AW246:AW248)</f>
        <v>0</v>
      </c>
      <c r="AX245" s="500">
        <f>SUM(AX246:AX248)</f>
        <v>0</v>
      </c>
      <c r="AY245" s="500">
        <f>SUM(AY246:AY248)</f>
        <v>0</v>
      </c>
      <c r="AZ245" s="500">
        <f>SUM(AZ246:AZ248)</f>
        <v>0</v>
      </c>
      <c r="BA245" s="500">
        <f>SUM(BA246:BA248)</f>
        <v>0</v>
      </c>
      <c r="BB245" s="500">
        <f>SUM(BB246:BB248)</f>
        <v>0</v>
      </c>
      <c r="BC245" s="500">
        <f>SUM(BC246:BC248)</f>
        <v>0</v>
      </c>
      <c r="BD245" s="500">
        <f>SUM(BD246:BD248)</f>
        <v>0</v>
      </c>
      <c r="BE245" s="500">
        <f>SUM(BE246:BE248)</f>
        <v>0</v>
      </c>
      <c r="BF245" s="500">
        <f>SUM(BF246:BF248)</f>
        <v>0</v>
      </c>
      <c r="BG245" s="500">
        <f>SUM(BG246:BG248)</f>
        <v>0</v>
      </c>
      <c r="BH245" s="500">
        <f>SUM(BH246:BH248)</f>
        <v>0</v>
      </c>
      <c r="BI245" s="500">
        <f>SUM(BI246:BI248)</f>
        <v>0</v>
      </c>
      <c r="BJ245" s="500">
        <f>SUM(BJ246:BJ248)</f>
        <v>0</v>
      </c>
      <c r="BK245" s="500">
        <f>SUM(BK246:BK248)</f>
        <v>0</v>
      </c>
      <c r="BL245" s="500">
        <f>SUM(BL246:BL248)</f>
        <v>0</v>
      </c>
      <c r="BM245" s="500">
        <f>SUM(BM246:BM248)</f>
        <v>0</v>
      </c>
      <c r="BN245" s="500">
        <f>SUM(BN246:BN248)</f>
        <v>0</v>
      </c>
      <c r="BO245" s="500">
        <f>SUM(BO246:BO248)</f>
        <v>0</v>
      </c>
      <c r="BP245" s="500">
        <f>SUM(BP246:BP248)</f>
        <v>0</v>
      </c>
      <c r="BQ245" s="500">
        <f>SUM(BQ246:BQ248)</f>
        <v>0</v>
      </c>
      <c r="BR245" s="500">
        <f>SUM(BR246:BR248)</f>
        <v>0</v>
      </c>
      <c r="BS245" s="500">
        <f>SUM(BS246:BS248)</f>
        <v>0</v>
      </c>
      <c r="BT245" s="500">
        <f>SUM(BT246:BT248)</f>
        <v>0</v>
      </c>
      <c r="BU245" s="500">
        <f>SUM(BU246:BU248)</f>
        <v>0</v>
      </c>
      <c r="BV245" s="500">
        <f>SUM(BV246:BV248)</f>
        <v>0</v>
      </c>
      <c r="BW245" s="500">
        <f>SUM(BW246:BW248)</f>
        <v>0</v>
      </c>
      <c r="BX245" s="500">
        <f>SUM(BX246:BX248)</f>
        <v>0</v>
      </c>
      <c r="BY245" s="500">
        <f>SUM(BY246:BY248)</f>
        <v>0</v>
      </c>
      <c r="BZ245" s="500">
        <f>SUM(BZ246:BZ248)</f>
        <v>0</v>
      </c>
      <c r="CA245" s="500">
        <f>SUM(CA246:CA248)</f>
        <v>0</v>
      </c>
      <c r="CB245" s="500">
        <f>SUM(CB246:CB248)</f>
        <v>0</v>
      </c>
      <c r="CC245" s="500">
        <f>SUM(CC246:CC248)</f>
        <v>0</v>
      </c>
      <c r="CD245" s="500">
        <f>SUM(CD246:CD248)</f>
        <v>0</v>
      </c>
      <c r="CE245" s="500">
        <f>SUM(CE246:CE248)</f>
        <v>0</v>
      </c>
      <c r="CF245" s="500">
        <f>SUM(CF246:CF248)</f>
        <v>0</v>
      </c>
      <c r="CG245" s="500">
        <f>SUM(CG246:CG248)</f>
        <v>0</v>
      </c>
      <c r="CH245" s="500">
        <f>SUM(CH246:CH248)</f>
        <v>0</v>
      </c>
      <c r="CI245" s="500">
        <f>SUM(CI246:CI248)</f>
        <v>0</v>
      </c>
      <c r="CJ245" s="500">
        <f>SUM(CJ246:CJ248)</f>
        <v>0</v>
      </c>
      <c r="CK245" s="500">
        <f>SUM(CK246:CK248)</f>
        <v>0</v>
      </c>
      <c r="CL245" s="500">
        <f>SUM(CL246:CL248)</f>
        <v>0</v>
      </c>
      <c r="CM245" s="500">
        <f>SUM(CM246:CM248)</f>
        <v>0</v>
      </c>
      <c r="CN245" s="500">
        <f>SUM(CN246:CN248)</f>
        <v>0</v>
      </c>
      <c r="CO245" s="500">
        <f>SUM(CO246:CO248)</f>
        <v>0</v>
      </c>
      <c r="CP245" s="500">
        <f>SUM(CP246:CP248)</f>
        <v>0</v>
      </c>
      <c r="CQ245" s="500">
        <f>SUM(CQ246:CQ248)</f>
        <v>0</v>
      </c>
      <c r="CR245" s="500">
        <f>SUM(CR246:CR248)</f>
        <v>0</v>
      </c>
      <c r="CS245" s="500">
        <f>SUM(CS246:CS248)</f>
        <v>0</v>
      </c>
      <c r="CT245" s="500">
        <f>SUM(CT246:CT248)</f>
        <v>0</v>
      </c>
      <c r="CU245" s="500">
        <f>SUM(CU246:CU248)</f>
        <v>0</v>
      </c>
      <c r="CV245" s="500">
        <f>SUM(CV246:CV248)</f>
        <v>0</v>
      </c>
      <c r="CW245" s="500">
        <f>SUM(CW246:CW248)</f>
        <v>0</v>
      </c>
      <c r="CX245" s="500">
        <f>SUM(CX246:CX248)</f>
        <v>0</v>
      </c>
      <c r="CY245" s="500">
        <f>SUM(CY246:CY248)</f>
        <v>0</v>
      </c>
      <c r="CZ245" s="500">
        <f>SUM(CZ246:CZ248)</f>
        <v>0</v>
      </c>
      <c r="DA245" s="500">
        <f>SUM(DA246:DA248)</f>
        <v>0</v>
      </c>
      <c r="DB245" s="500">
        <f>SUM(DB246:DB248)</f>
        <v>0</v>
      </c>
      <c r="DC245" s="500">
        <f>SUM(DC246:DC248)</f>
        <v>0</v>
      </c>
      <c r="DD245" s="500">
        <f>SUM(DD246:DD248)</f>
        <v>0</v>
      </c>
      <c r="DE245" s="500">
        <f>SUM(DE246:DE248)</f>
        <v>0</v>
      </c>
      <c r="DF245" s="500">
        <f>SUM(DF246:DF248)</f>
        <v>0</v>
      </c>
      <c r="DG245" s="500">
        <f>SUM(DG246:DG248)</f>
        <v>0</v>
      </c>
      <c r="DH245" s="500">
        <f>SUM(DH246:DH248)</f>
        <v>0</v>
      </c>
      <c r="DI245" s="500">
        <f>SUM(DI246:DI248)</f>
        <v>0</v>
      </c>
      <c r="DJ245" s="500">
        <f>SUM(DJ246:DJ248)</f>
        <v>0</v>
      </c>
      <c r="DK245" s="500">
        <f>SUM(DK246:DK248)</f>
        <v>0</v>
      </c>
      <c r="DL245" s="500">
        <f>SUM(DL246:DL248)</f>
        <v>0</v>
      </c>
      <c r="DM245" s="500">
        <f>SUM(DM246:DM248)</f>
        <v>0</v>
      </c>
      <c r="DN245" s="500">
        <f>SUM(DN246:DN248)</f>
        <v>0</v>
      </c>
      <c r="DO245" s="500">
        <f>SUM(DO246:DO248)</f>
        <v>0</v>
      </c>
      <c r="DP245" s="500">
        <f>SUM(DP246:DP248)</f>
        <v>0</v>
      </c>
      <c r="DQ245" s="500">
        <f>SUM(DQ246:DQ248)</f>
        <v>0</v>
      </c>
      <c r="DR245" s="500">
        <f>SUM(DR246:DR248)</f>
        <v>0</v>
      </c>
      <c r="DS245" s="500">
        <f>SUM(DS246:DS248)</f>
        <v>0</v>
      </c>
      <c r="DT245" s="500">
        <f>SUM(DT246:DT248)</f>
        <v>0</v>
      </c>
      <c r="DU245" s="500">
        <f>SUM(DU246:DU248)</f>
        <v>0</v>
      </c>
      <c r="DV245" s="500">
        <f>SUM(DV246:DV248)</f>
        <v>0</v>
      </c>
      <c r="DW245" s="500">
        <f>SUM(DW246:DW248)</f>
        <v>0</v>
      </c>
      <c r="DX245" s="500">
        <f>SUM(DX246:DX248)</f>
        <v>0</v>
      </c>
      <c r="DY245" s="500">
        <f>SUM(DY246:DY248)</f>
        <v>0</v>
      </c>
      <c r="DZ245" s="500">
        <f>SUM(DZ246:DZ248)</f>
        <v>0</v>
      </c>
      <c r="EA245" s="500">
        <f>SUM(EA246:EA248)</f>
        <v>0</v>
      </c>
      <c r="EB245" s="500">
        <f>SUM(EB246:EB248)</f>
        <v>0</v>
      </c>
      <c r="EC245" s="500">
        <f>SUM(EC246:EC248)</f>
        <v>0</v>
      </c>
      <c r="ED245" s="500">
        <f>SUM(ED246:ED248)</f>
        <v>0</v>
      </c>
      <c r="EE245" s="500">
        <f>SUM(EE246:EE248)</f>
        <v>0</v>
      </c>
      <c r="EF245" s="500">
        <f>SUM(EF246:EF248)</f>
        <v>0</v>
      </c>
      <c r="EG245" s="500">
        <f>SUM(EG246:EG248)</f>
        <v>0</v>
      </c>
      <c r="EH245" s="500">
        <f>SUM(EH246:EH248)</f>
        <v>0</v>
      </c>
      <c r="EI245" s="500">
        <f>SUM(EI246:EI248)</f>
        <v>0</v>
      </c>
      <c r="EJ245" s="500">
        <f>SUM(EJ246:EJ248)</f>
        <v>0</v>
      </c>
      <c r="EK245" s="500">
        <f>SUM(EK246:EK248)</f>
        <v>0</v>
      </c>
      <c r="EL245" s="500">
        <f>SUM(EL246:EL248)</f>
        <v>0</v>
      </c>
      <c r="EM245" s="500">
        <f>SUM(EM246:EM248)</f>
        <v>0</v>
      </c>
      <c r="EN245" s="500">
        <f>SUM(EN246:EN248)</f>
        <v>0</v>
      </c>
      <c r="EO245" s="500">
        <f>SUM(EO246:EO248)</f>
        <v>0</v>
      </c>
      <c r="EP245" s="500">
        <f>SUM(EP246:EP248)</f>
        <v>0</v>
      </c>
      <c r="EQ245" s="500">
        <f>SUM(EQ246:EQ248)</f>
        <v>0</v>
      </c>
      <c r="ER245" s="500">
        <f>SUM(ER246:ER248)</f>
        <v>0</v>
      </c>
      <c r="ES245" s="500">
        <f>SUM(ES246:ES248)</f>
        <v>0</v>
      </c>
      <c r="ET245" s="500">
        <f>SUM(ET246:ET248)</f>
        <v>0</v>
      </c>
      <c r="EU245" s="500">
        <f>SUM(EU246:EU248)</f>
        <v>0</v>
      </c>
      <c r="EV245" s="500">
        <f>SUM(EV246:EV248)</f>
        <v>0</v>
      </c>
      <c r="EW245" s="500">
        <f>SUM(EW246:EW248)</f>
        <v>0</v>
      </c>
      <c r="EX245" s="500">
        <f>SUM(EX246:EX248)</f>
        <v>0</v>
      </c>
      <c r="EY245" s="500">
        <f>SUM(EY246:EY248)</f>
        <v>0</v>
      </c>
      <c r="EZ245" s="500">
        <f>SUM(EZ246:EZ248)</f>
        <v>0</v>
      </c>
      <c r="FA245" s="500">
        <f>SUM(FA246:FA248)</f>
        <v>0</v>
      </c>
      <c r="FB245" s="83"/>
      <c r="FC245" s="1751"/>
      <c r="FD245" s="1506"/>
      <c r="FE245" s="489" t="s">
        <v>973</v>
      </c>
      <c r="FF245" s="648"/>
      <c r="FG245" s="648"/>
      <c r="FH245" s="648"/>
      <c r="FI245" s="649"/>
      <c r="FJ245" s="649"/>
      <c r="FK245" s="1157" cm="1" t="str">
        <f t="array" ref="FK245:FK245">OFFSET(FJ245,-1,1)</f>
        <v>ТЭ.42.31656254.0001</v>
      </c>
      <c r="FL245" s="1078"/>
      <c r="FM245" s="1078" t="s">
        <v>824</v>
      </c>
      <c r="FN245" s="1159"/>
      <c r="FO245" s="1159"/>
      <c r="FP245" s="1159"/>
      <c r="FQ245" s="1159"/>
      <c r="FR245" s="1078" t="s">
        <v>561</v>
      </c>
      <c r="FS245" s="1159"/>
      <c r="FT245" s="1078" t="s">
        <v>963</v>
      </c>
      <c r="FU245" s="1159"/>
      <c r="FV245" s="1159"/>
      <c r="FW245" s="1159"/>
      <c r="FX245" s="1078" t="s">
        <v>303</v>
      </c>
      <c r="FY245" s="1078" t="s">
        <v>919</v>
      </c>
      <c r="FZ245" s="1078" t="s">
        <v>920</v>
      </c>
    </row>
    <row s="1751" customFormat="1" customHeight="1" ht="16.5" hidden="1">
      <c r="E246" s="180">
        <v>17</v>
      </c>
      <c r="F246" s="175" cm="1" t="str">
        <f t="array" ref="F246:F246">OFFSET(G246,-1,-1)</f>
        <v>1</v>
      </c>
      <c r="L246" s="175" cm="1" t="str">
        <f t="array" ref="L246:L246">OFFSET(M246,-1,-1)</f>
        <v>false</v>
      </c>
      <c r="R246" s="175" t="s">
        <v>804</v>
      </c>
      <c r="S246" s="175" cm="1" t="str">
        <f t="array" ref="S246:S246">OFFSET(T246,-1,-1)</f>
        <v>true</v>
      </c>
      <c r="T246" s="175">
        <f>AND(L246,AD246&lt;&gt;"37.0")</f>
        <v>0</v>
      </c>
      <c r="U246" s="753">
        <f>AND(S246,IF(ISBLANK(T246),TRUE,T246))</f>
        <v>0</v>
      </c>
      <c r="X246" s="175" t="s">
        <v>189</v>
      </c>
      <c r="AB246" s="1607"/>
      <c r="AD246" s="491" t="s">
        <v>974</v>
      </c>
      <c r="AE246" s="514"/>
      <c r="AF246" s="515"/>
      <c r="AG246" s="470" t="s">
        <v>917</v>
      </c>
      <c r="AH246" s="88">
        <f>AH$163*AH242</f>
        <v>0</v>
      </c>
      <c r="AI246" s="89">
        <f>AI$163*AI242</f>
        <v>0</v>
      </c>
      <c r="AJ246" s="89">
        <f>AJ$163*AJ242</f>
        <v>0</v>
      </c>
      <c r="AK246" s="89">
        <f>AK$163*AK242</f>
        <v>0</v>
      </c>
      <c r="AL246" s="499">
        <f>AM246+AN246</f>
        <v>0</v>
      </c>
      <c r="AM246" s="89">
        <f>AM$163*AM242</f>
        <v>0</v>
      </c>
      <c r="AN246" s="89">
        <f>AN$163*AN242</f>
        <v>0</v>
      </c>
      <c r="AO246" s="499">
        <f>AP246+AQ246</f>
        <v>0</v>
      </c>
      <c r="AP246" s="89">
        <f>AP$163*AP242</f>
        <v>0</v>
      </c>
      <c r="AQ246" s="89">
        <f>AQ$163*AQ242</f>
        <v>0</v>
      </c>
      <c r="AR246" s="499">
        <f>AS246+AT246</f>
        <v>0</v>
      </c>
      <c r="AS246" s="89">
        <f>AS$163*AS242</f>
        <v>0</v>
      </c>
      <c r="AT246" s="89">
        <f>AT$163*AT242</f>
        <v>0</v>
      </c>
      <c r="AU246" s="499">
        <f>AV246+AW246</f>
        <v>0</v>
      </c>
      <c r="AV246" s="89">
        <f>AV$163*AV242</f>
        <v>0</v>
      </c>
      <c r="AW246" s="89">
        <f>AW$163*AW242</f>
        <v>0</v>
      </c>
      <c r="AX246" s="499">
        <f>AY246+AZ246</f>
        <v>0</v>
      </c>
      <c r="AY246" s="89">
        <f>AY$163*AY242</f>
        <v>0</v>
      </c>
      <c r="AZ246" s="89">
        <f>AZ$163*AZ242</f>
        <v>0</v>
      </c>
      <c r="BA246" s="499">
        <f>BB246+BC246</f>
        <v>0</v>
      </c>
      <c r="BB246" s="89">
        <f>BB$163*BB242</f>
        <v>0</v>
      </c>
      <c r="BC246" s="89">
        <f>BC$163*BC242</f>
        <v>0</v>
      </c>
      <c r="BD246" s="499">
        <f>BE246+BF246</f>
        <v>0</v>
      </c>
      <c r="BE246" s="89">
        <f>BE$163*BE242</f>
        <v>0</v>
      </c>
      <c r="BF246" s="89">
        <f>BF$163*BF242</f>
        <v>0</v>
      </c>
      <c r="BG246" s="499">
        <f>BH246+BI246</f>
        <v>0</v>
      </c>
      <c r="BH246" s="89">
        <f>BH$163*BH242</f>
        <v>0</v>
      </c>
      <c r="BI246" s="89">
        <f>BI$163*BI242</f>
        <v>0</v>
      </c>
      <c r="BJ246" s="499">
        <f>BK246+BL246</f>
        <v>0</v>
      </c>
      <c r="BK246" s="89">
        <f>BK$163*BK242</f>
        <v>0</v>
      </c>
      <c r="BL246" s="89">
        <f>BL$163*BL242</f>
        <v>0</v>
      </c>
      <c r="BM246" s="499">
        <f>BN246+BO246</f>
        <v>0</v>
      </c>
      <c r="BN246" s="89">
        <f>BN$163*BN242</f>
        <v>0</v>
      </c>
      <c r="BO246" s="89">
        <f>BO$163*BO242</f>
        <v>0</v>
      </c>
      <c r="BP246" s="499">
        <f>BQ246+BR246</f>
        <v>0</v>
      </c>
      <c r="BQ246" s="89">
        <f>BQ$163*BQ242</f>
        <v>0</v>
      </c>
      <c r="BR246" s="89">
        <f>BR$163*BR242</f>
        <v>0</v>
      </c>
      <c r="BS246" s="499">
        <f>BT246+BU246</f>
        <v>0</v>
      </c>
      <c r="BT246" s="89">
        <f>BT$163*BT242</f>
        <v>0</v>
      </c>
      <c r="BU246" s="89">
        <f>BU$163*BU242</f>
        <v>0</v>
      </c>
      <c r="BV246" s="499">
        <f>BW246+BX246</f>
        <v>0</v>
      </c>
      <c r="BW246" s="89">
        <f>BW$163*BW242</f>
        <v>0</v>
      </c>
      <c r="BX246" s="89">
        <f>BX$163*BX242</f>
        <v>0</v>
      </c>
      <c r="BY246" s="499">
        <f>BZ246+CA246</f>
        <v>0</v>
      </c>
      <c r="BZ246" s="89">
        <f>BZ$163*BZ242</f>
        <v>0</v>
      </c>
      <c r="CA246" s="89">
        <f>CA$163*CA242</f>
        <v>0</v>
      </c>
      <c r="CB246" s="499">
        <f>CC246+CD246</f>
        <v>0</v>
      </c>
      <c r="CC246" s="89">
        <f>CC$163*CC242</f>
        <v>0</v>
      </c>
      <c r="CD246" s="89">
        <f>CD$163*CD242</f>
        <v>0</v>
      </c>
      <c r="CE246" s="499">
        <f>CF246+CG246</f>
        <v>0</v>
      </c>
      <c r="CF246" s="89">
        <f>CF$163*CF242</f>
        <v>0</v>
      </c>
      <c r="CG246" s="89">
        <f>CG$163*CG242</f>
        <v>0</v>
      </c>
      <c r="CH246" s="499">
        <f>CI246+CJ246</f>
        <v>0</v>
      </c>
      <c r="CI246" s="89">
        <f>CI$163*CI242</f>
        <v>0</v>
      </c>
      <c r="CJ246" s="89">
        <f>CJ$163*CJ242</f>
        <v>0</v>
      </c>
      <c r="CK246" s="499">
        <f>CL246+CM246</f>
        <v>0</v>
      </c>
      <c r="CL246" s="89">
        <f>CL$163*CL242</f>
        <v>0</v>
      </c>
      <c r="CM246" s="89">
        <f>CM$163*CM242</f>
        <v>0</v>
      </c>
      <c r="CN246" s="499">
        <f>CO246+CP246</f>
        <v>0</v>
      </c>
      <c r="CO246" s="89">
        <f>CO$163*CO242</f>
        <v>0</v>
      </c>
      <c r="CP246" s="89">
        <f>CP$163*CP242</f>
        <v>0</v>
      </c>
      <c r="CQ246" s="499">
        <f>CR246+CS246</f>
        <v>0</v>
      </c>
      <c r="CR246" s="89">
        <f>CR$163*CR242</f>
        <v>0</v>
      </c>
      <c r="CS246" s="89">
        <f>CS$163*CS242</f>
        <v>0</v>
      </c>
      <c r="CT246" s="499">
        <f>CU246+CV246</f>
        <v>0</v>
      </c>
      <c r="CU246" s="498">
        <f>CU$163*CU242</f>
        <v>0</v>
      </c>
      <c r="CV246" s="498">
        <f>CV$163*CV242</f>
        <v>0</v>
      </c>
      <c r="CW246" s="499">
        <f>CX246+CY246</f>
        <v>0</v>
      </c>
      <c r="CX246" s="89">
        <f>CX$163*CX242</f>
        <v>0</v>
      </c>
      <c r="CY246" s="89">
        <f>CY$163*CY242</f>
        <v>0</v>
      </c>
      <c r="CZ246" s="499">
        <f>DA246+DB246</f>
        <v>0</v>
      </c>
      <c r="DA246" s="89">
        <f>DA$163*DA242</f>
        <v>0</v>
      </c>
      <c r="DB246" s="89">
        <f>DB$163*DB242</f>
        <v>0</v>
      </c>
      <c r="DC246" s="499">
        <f>DD246+DE246</f>
        <v>0</v>
      </c>
      <c r="DD246" s="89">
        <f>DD$163*DD242</f>
        <v>0</v>
      </c>
      <c r="DE246" s="89">
        <f>DE$163*DE242</f>
        <v>0</v>
      </c>
      <c r="DF246" s="499">
        <f>DG246+DH246</f>
        <v>0</v>
      </c>
      <c r="DG246" s="89">
        <f>DG$163*DG242</f>
        <v>0</v>
      </c>
      <c r="DH246" s="89">
        <f>DH$163*DH242</f>
        <v>0</v>
      </c>
      <c r="DI246" s="499">
        <f>DJ246+DK246</f>
        <v>0</v>
      </c>
      <c r="DJ246" s="89">
        <f>DJ$163*DJ242</f>
        <v>0</v>
      </c>
      <c r="DK246" s="89">
        <f>DK$163*DK242</f>
        <v>0</v>
      </c>
      <c r="DL246" s="499">
        <f>DM246+DN246</f>
        <v>0</v>
      </c>
      <c r="DM246" s="89">
        <f>DM$163*DM242</f>
        <v>0</v>
      </c>
      <c r="DN246" s="89">
        <f>DN$163*DN242</f>
        <v>0</v>
      </c>
      <c r="DO246" s="499">
        <f>DP246+DQ246</f>
        <v>0</v>
      </c>
      <c r="DP246" s="89">
        <f>DP$163*DP242</f>
        <v>0</v>
      </c>
      <c r="DQ246" s="89">
        <f>DQ$163*DQ242</f>
        <v>0</v>
      </c>
      <c r="DR246" s="499">
        <f>DS246+DT246</f>
        <v>0</v>
      </c>
      <c r="DS246" s="89">
        <f>DS$163*DS242</f>
        <v>0</v>
      </c>
      <c r="DT246" s="89">
        <f>DT$163*DT242</f>
        <v>0</v>
      </c>
      <c r="DU246" s="499">
        <f>DV246+DW246</f>
        <v>0</v>
      </c>
      <c r="DV246" s="89">
        <f>DV$163*DV242</f>
        <v>0</v>
      </c>
      <c r="DW246" s="89">
        <f>DW$163*DW242</f>
        <v>0</v>
      </c>
      <c r="DX246" s="499">
        <f>DY246+DZ246</f>
        <v>0</v>
      </c>
      <c r="DY246" s="89">
        <f>DY$163*DY242</f>
        <v>0</v>
      </c>
      <c r="DZ246" s="89">
        <f>DZ$163*DZ242</f>
        <v>0</v>
      </c>
      <c r="EA246" s="499">
        <f>EB246+EC246</f>
        <v>0</v>
      </c>
      <c r="EB246" s="89">
        <f>EB$163*EB242</f>
        <v>0</v>
      </c>
      <c r="EC246" s="89">
        <f>EC$163*EC242</f>
        <v>0</v>
      </c>
      <c r="ED246" s="499">
        <f>EE246+EF246</f>
        <v>0</v>
      </c>
      <c r="EE246" s="89">
        <f>EE$163*EE242</f>
        <v>0</v>
      </c>
      <c r="EF246" s="89">
        <f>EF$163*EF242</f>
        <v>0</v>
      </c>
      <c r="EG246" s="499">
        <f>EH246+EI246</f>
        <v>0</v>
      </c>
      <c r="EH246" s="89">
        <f>EH$163*EH242</f>
        <v>0</v>
      </c>
      <c r="EI246" s="89">
        <f>EI$163*EI242</f>
        <v>0</v>
      </c>
      <c r="EJ246" s="499">
        <f>EK246+EL246</f>
        <v>0</v>
      </c>
      <c r="EK246" s="89">
        <f>EK$163*EK242</f>
        <v>0</v>
      </c>
      <c r="EL246" s="89">
        <f>EL$163*EL242</f>
        <v>0</v>
      </c>
      <c r="EM246" s="499">
        <f>EN246+EO246</f>
        <v>0</v>
      </c>
      <c r="EN246" s="89">
        <f>EN$163*EN242</f>
        <v>0</v>
      </c>
      <c r="EO246" s="89">
        <f>EO$163*EO242</f>
        <v>0</v>
      </c>
      <c r="EP246" s="499">
        <f>EQ246+ER246</f>
        <v>0</v>
      </c>
      <c r="EQ246" s="89">
        <f>EQ$163*EQ242</f>
        <v>0</v>
      </c>
      <c r="ER246" s="89">
        <f>ER$163*ER242</f>
        <v>0</v>
      </c>
      <c r="ES246" s="499">
        <f>ET246+EU246</f>
        <v>0</v>
      </c>
      <c r="ET246" s="89">
        <f>ET$163*ET242</f>
        <v>0</v>
      </c>
      <c r="EU246" s="89">
        <f>EU$163*EU242</f>
        <v>0</v>
      </c>
      <c r="EV246" s="499">
        <f>EW246+EX246</f>
        <v>0</v>
      </c>
      <c r="EW246" s="89">
        <f>EW$163*EW242</f>
        <v>0</v>
      </c>
      <c r="EX246" s="89">
        <f>EX$163*EX242</f>
        <v>0</v>
      </c>
      <c r="EY246" s="499">
        <f>EZ246+FA246</f>
        <v>0</v>
      </c>
      <c r="EZ246" s="89">
        <f>EZ$163*EZ242</f>
        <v>0</v>
      </c>
      <c r="FA246" s="89">
        <f>FA$163*FA242</f>
        <v>0</v>
      </c>
      <c r="FB246" s="83"/>
      <c r="FE246" s="489" t="s">
        <v>973</v>
      </c>
      <c r="FF246" s="648" t="s">
        <v>890</v>
      </c>
      <c r="FG246" s="648" cm="1" t="str">
        <f t="array" ref="FG246:FG246">AE246</f>
        <v>0</v>
      </c>
      <c r="FH246" s="648" cm="1" t="str">
        <f t="array" ref="FH246:FH246">AF246</f>
        <v>0</v>
      </c>
      <c r="FI246" s="649"/>
      <c r="FJ246" s="649"/>
      <c r="FK246" s="1157" cm="1" t="str">
        <f t="array" ref="FK246:FK246">OFFSET(FJ246,-1,1)</f>
        <v>ТЭ.42.31656254.0001</v>
      </c>
      <c r="FL246" s="1159"/>
      <c r="FM246" s="1159" t="s">
        <v>824</v>
      </c>
      <c r="FN246" s="1159"/>
      <c r="FO246" s="1159"/>
      <c r="FP246" s="1159"/>
      <c r="FQ246" s="1159"/>
      <c r="FR246" s="1159" t="s">
        <v>561</v>
      </c>
      <c r="FS246" s="1159"/>
      <c r="FT246" s="1159" t="s">
        <v>963</v>
      </c>
      <c r="FU246" s="1159"/>
      <c r="FV246" s="1159"/>
      <c r="FW246" s="1078" t="str">
        <f>$AE246&amp;"|"&amp;$AF246</f>
        <v>|</v>
      </c>
      <c r="FX246" s="1159" t="s">
        <v>303</v>
      </c>
      <c r="FY246" s="1159" t="s">
        <v>919</v>
      </c>
      <c r="FZ246" s="1159" t="s">
        <v>920</v>
      </c>
    </row>
    <row s="1751" customFormat="1" customHeight="1" ht="16.5" hidden="1">
      <c r="A247" s="1751"/>
      <c r="B247" s="1751"/>
      <c r="C247" s="1751"/>
      <c r="D247" s="1751"/>
      <c r="E247" s="180">
        <v>17</v>
      </c>
      <c r="F247" s="175" cm="1" t="str">
        <f t="array" ref="F247:F247">OFFSET(G247,-1,-1)</f>
        <v>1</v>
      </c>
      <c r="G247" s="1751"/>
      <c r="H247" s="1751"/>
      <c r="I247" s="1751"/>
      <c r="J247" s="1751"/>
      <c r="K247" s="1751"/>
      <c r="L247" s="175" cm="1" t="str">
        <f t="array" ref="L247:L247">OFFSET(M247,-1,-1)</f>
        <v>false</v>
      </c>
      <c r="M247" s="1751"/>
      <c r="N247" s="1751"/>
      <c r="O247" s="1751"/>
      <c r="P247" s="1751"/>
      <c r="Q247" s="1751"/>
      <c r="R247" s="175" t="s">
        <v>804</v>
      </c>
      <c r="S247" s="175" cm="1" t="str">
        <f t="array" ref="S247:S247">OFFSET(T247,-1,-1)</f>
        <v>true</v>
      </c>
      <c r="T247" s="175">
        <f>AND(L247,AD247&lt;&gt;"37.0")</f>
        <v>0</v>
      </c>
      <c r="U247" s="753">
        <f>AND(S247,IF(ISBLANK(T247),TRUE,T247))</f>
        <v>0</v>
      </c>
      <c r="V247" s="1751"/>
      <c r="W247" s="1751"/>
      <c r="X247" s="175" t="str">
        <f>'Топливо 4.4'!$AE$243&amp;'Топливо 4.4'!$AF$243</f>
        <v>Уголь длиннопламенный</v>
      </c>
      <c r="Y247" s="1751"/>
      <c r="Z247" s="1751"/>
      <c r="AA247" s="1751"/>
      <c r="AB247" s="1607"/>
      <c r="AC247" s="1751"/>
      <c r="AD247" s="491" t="s">
        <v>1029</v>
      </c>
      <c r="AE247" s="514" cm="1" t="str">
        <f t="array" ref="AE247:AE247">IF(ISBLANK('Топливо 4.4'!$AE$243),"",'Топливо 4.4'!$AE$243)</f>
        <v>Уголь длиннопламенный</v>
      </c>
      <c r="AF247" s="515" cm="1" t="str">
        <f t="array" ref="AF247:AF247">IF(ISBLANK('Топливо 4.4'!$AF$243),"",'Топливо 4.4'!$AF$243)</f>
        <v/>
      </c>
      <c r="AG247" s="470" t="s">
        <v>917</v>
      </c>
      <c r="AH247" s="88">
        <f>AH$163*AH243</f>
        <v>0</v>
      </c>
      <c r="AI247" s="89">
        <f>AI$163*AI243</f>
        <v>0</v>
      </c>
      <c r="AJ247" s="89">
        <f>AJ$163*AJ243</f>
        <v>0</v>
      </c>
      <c r="AK247" s="89">
        <f>AK$163*AK243</f>
        <v>0</v>
      </c>
      <c r="AL247" s="499">
        <f>AM247+AN247</f>
        <v>0</v>
      </c>
      <c r="AM247" s="89">
        <f>AM$163*AM243</f>
        <v>0</v>
      </c>
      <c r="AN247" s="89">
        <f>AN$163*AN243</f>
        <v>0</v>
      </c>
      <c r="AO247" s="499">
        <f>AP247+AQ247</f>
        <v>0</v>
      </c>
      <c r="AP247" s="89">
        <f>AP$163*AP243</f>
        <v>0</v>
      </c>
      <c r="AQ247" s="89">
        <f>AQ$163*AQ243</f>
        <v>0</v>
      </c>
      <c r="AR247" s="499">
        <f>AS247+AT247</f>
        <v>0</v>
      </c>
      <c r="AS247" s="89">
        <f>AS$163*AS243</f>
        <v>0</v>
      </c>
      <c r="AT247" s="89">
        <f>AT$163*AT243</f>
        <v>0</v>
      </c>
      <c r="AU247" s="499">
        <f>AV247+AW247</f>
        <v>0</v>
      </c>
      <c r="AV247" s="89">
        <f>AV$163*AV243</f>
        <v>0</v>
      </c>
      <c r="AW247" s="89">
        <f>AW$163*AW243</f>
        <v>0</v>
      </c>
      <c r="AX247" s="499">
        <f>AY247+AZ247</f>
        <v>0</v>
      </c>
      <c r="AY247" s="89">
        <f>AY$163*AY243</f>
        <v>0</v>
      </c>
      <c r="AZ247" s="89">
        <f>AZ$163*AZ243</f>
        <v>0</v>
      </c>
      <c r="BA247" s="499">
        <f>BB247+BC247</f>
        <v>0</v>
      </c>
      <c r="BB247" s="89">
        <f>BB$163*BB243</f>
        <v>0</v>
      </c>
      <c r="BC247" s="89">
        <f>BC$163*BC243</f>
        <v>0</v>
      </c>
      <c r="BD247" s="499">
        <f>BE247+BF247</f>
        <v>0</v>
      </c>
      <c r="BE247" s="89">
        <f>BE$163*BE243</f>
        <v>0</v>
      </c>
      <c r="BF247" s="89">
        <f>BF$163*BF243</f>
        <v>0</v>
      </c>
      <c r="BG247" s="499">
        <f>BH247+BI247</f>
        <v>0</v>
      </c>
      <c r="BH247" s="89">
        <f>BH$163*BH243</f>
        <v>0</v>
      </c>
      <c r="BI247" s="89">
        <f>BI$163*BI243</f>
        <v>0</v>
      </c>
      <c r="BJ247" s="499">
        <f>BK247+BL247</f>
        <v>0</v>
      </c>
      <c r="BK247" s="89">
        <f>BK$163*BK243</f>
        <v>0</v>
      </c>
      <c r="BL247" s="89">
        <f>BL$163*BL243</f>
        <v>0</v>
      </c>
      <c r="BM247" s="499">
        <f>BN247+BO247</f>
        <v>0</v>
      </c>
      <c r="BN247" s="89">
        <f>BN$163*BN243</f>
        <v>0</v>
      </c>
      <c r="BO247" s="89">
        <f>BO$163*BO243</f>
        <v>0</v>
      </c>
      <c r="BP247" s="499">
        <f>BQ247+BR247</f>
        <v>0</v>
      </c>
      <c r="BQ247" s="89">
        <f>BQ$163*BQ243</f>
        <v>0</v>
      </c>
      <c r="BR247" s="89">
        <f>BR$163*BR243</f>
        <v>0</v>
      </c>
      <c r="BS247" s="499">
        <f>BT247+BU247</f>
        <v>0</v>
      </c>
      <c r="BT247" s="89">
        <f>BT$163*BT243</f>
        <v>0</v>
      </c>
      <c r="BU247" s="89">
        <f>BU$163*BU243</f>
        <v>0</v>
      </c>
      <c r="BV247" s="499">
        <f>BW247+BX247</f>
        <v>0</v>
      </c>
      <c r="BW247" s="89">
        <f>BW$163*BW243</f>
        <v>0</v>
      </c>
      <c r="BX247" s="89">
        <f>BX$163*BX243</f>
        <v>0</v>
      </c>
      <c r="BY247" s="499">
        <f>BZ247+CA247</f>
        <v>0</v>
      </c>
      <c r="BZ247" s="89">
        <f>BZ$163*BZ243</f>
        <v>0</v>
      </c>
      <c r="CA247" s="89">
        <f>CA$163*CA243</f>
        <v>0</v>
      </c>
      <c r="CB247" s="499">
        <f>CC247+CD247</f>
        <v>0</v>
      </c>
      <c r="CC247" s="89">
        <f>CC$163*CC243</f>
        <v>0</v>
      </c>
      <c r="CD247" s="89">
        <f>CD$163*CD243</f>
        <v>0</v>
      </c>
      <c r="CE247" s="499">
        <f>CF247+CG247</f>
        <v>0</v>
      </c>
      <c r="CF247" s="89">
        <f>CF$163*CF243</f>
        <v>0</v>
      </c>
      <c r="CG247" s="89">
        <f>CG$163*CG243</f>
        <v>0</v>
      </c>
      <c r="CH247" s="499">
        <f>CI247+CJ247</f>
        <v>0</v>
      </c>
      <c r="CI247" s="89">
        <f>CI$163*CI243</f>
        <v>0</v>
      </c>
      <c r="CJ247" s="89">
        <f>CJ$163*CJ243</f>
        <v>0</v>
      </c>
      <c r="CK247" s="499">
        <f>CL247+CM247</f>
        <v>0</v>
      </c>
      <c r="CL247" s="89">
        <f>CL$163*CL243</f>
        <v>0</v>
      </c>
      <c r="CM247" s="89">
        <f>CM$163*CM243</f>
        <v>0</v>
      </c>
      <c r="CN247" s="499">
        <f>CO247+CP247</f>
        <v>0</v>
      </c>
      <c r="CO247" s="89">
        <f>CO$163*CO243</f>
        <v>0</v>
      </c>
      <c r="CP247" s="89">
        <f>CP$163*CP243</f>
        <v>0</v>
      </c>
      <c r="CQ247" s="499">
        <f>CR247+CS247</f>
        <v>0</v>
      </c>
      <c r="CR247" s="89">
        <f>CR$163*CR243</f>
        <v>0</v>
      </c>
      <c r="CS247" s="89">
        <f>CS$163*CS243</f>
        <v>0</v>
      </c>
      <c r="CT247" s="499">
        <f>CU247+CV247</f>
        <v>0</v>
      </c>
      <c r="CU247" s="498">
        <f>CU$163*CU243</f>
        <v>0</v>
      </c>
      <c r="CV247" s="498">
        <f>CV$163*CV243</f>
        <v>0</v>
      </c>
      <c r="CW247" s="499">
        <f>CX247+CY247</f>
        <v>0</v>
      </c>
      <c r="CX247" s="89">
        <f>CX$163*CX243</f>
        <v>0</v>
      </c>
      <c r="CY247" s="89">
        <f>CY$163*CY243</f>
        <v>0</v>
      </c>
      <c r="CZ247" s="499">
        <f>DA247+DB247</f>
        <v>0</v>
      </c>
      <c r="DA247" s="89">
        <f>DA$163*DA243</f>
        <v>0</v>
      </c>
      <c r="DB247" s="89">
        <f>DB$163*DB243</f>
        <v>0</v>
      </c>
      <c r="DC247" s="499">
        <f>DD247+DE247</f>
        <v>0</v>
      </c>
      <c r="DD247" s="89">
        <f>DD$163*DD243</f>
        <v>0</v>
      </c>
      <c r="DE247" s="89">
        <f>DE$163*DE243</f>
        <v>0</v>
      </c>
      <c r="DF247" s="499">
        <f>DG247+DH247</f>
        <v>0</v>
      </c>
      <c r="DG247" s="89">
        <f>DG$163*DG243</f>
        <v>0</v>
      </c>
      <c r="DH247" s="89">
        <f>DH$163*DH243</f>
        <v>0</v>
      </c>
      <c r="DI247" s="499">
        <f>DJ247+DK247</f>
        <v>0</v>
      </c>
      <c r="DJ247" s="89">
        <f>DJ$163*DJ243</f>
        <v>0</v>
      </c>
      <c r="DK247" s="89">
        <f>DK$163*DK243</f>
        <v>0</v>
      </c>
      <c r="DL247" s="499">
        <f>DM247+DN247</f>
        <v>0</v>
      </c>
      <c r="DM247" s="89">
        <f>DM$163*DM243</f>
        <v>0</v>
      </c>
      <c r="DN247" s="89">
        <f>DN$163*DN243</f>
        <v>0</v>
      </c>
      <c r="DO247" s="499">
        <f>DP247+DQ247</f>
        <v>0</v>
      </c>
      <c r="DP247" s="89">
        <f>DP$163*DP243</f>
        <v>0</v>
      </c>
      <c r="DQ247" s="89">
        <f>DQ$163*DQ243</f>
        <v>0</v>
      </c>
      <c r="DR247" s="499">
        <f>DS247+DT247</f>
        <v>0</v>
      </c>
      <c r="DS247" s="89">
        <f>DS$163*DS243</f>
        <v>0</v>
      </c>
      <c r="DT247" s="89">
        <f>DT$163*DT243</f>
        <v>0</v>
      </c>
      <c r="DU247" s="499">
        <f>DV247+DW247</f>
        <v>0</v>
      </c>
      <c r="DV247" s="89">
        <f>DV$163*DV243</f>
        <v>0</v>
      </c>
      <c r="DW247" s="89">
        <f>DW$163*DW243</f>
        <v>0</v>
      </c>
      <c r="DX247" s="499">
        <f>DY247+DZ247</f>
        <v>0</v>
      </c>
      <c r="DY247" s="89">
        <f>DY$163*DY243</f>
        <v>0</v>
      </c>
      <c r="DZ247" s="89">
        <f>DZ$163*DZ243</f>
        <v>0</v>
      </c>
      <c r="EA247" s="499">
        <f>EB247+EC247</f>
        <v>0</v>
      </c>
      <c r="EB247" s="89">
        <f>EB$163*EB243</f>
        <v>0</v>
      </c>
      <c r="EC247" s="89">
        <f>EC$163*EC243</f>
        <v>0</v>
      </c>
      <c r="ED247" s="499">
        <f>EE247+EF247</f>
        <v>0</v>
      </c>
      <c r="EE247" s="89">
        <f>EE$163*EE243</f>
        <v>0</v>
      </c>
      <c r="EF247" s="89">
        <f>EF$163*EF243</f>
        <v>0</v>
      </c>
      <c r="EG247" s="499">
        <f>EH247+EI247</f>
        <v>0</v>
      </c>
      <c r="EH247" s="89">
        <f>EH$163*EH243</f>
        <v>0</v>
      </c>
      <c r="EI247" s="89">
        <f>EI$163*EI243</f>
        <v>0</v>
      </c>
      <c r="EJ247" s="499">
        <f>EK247+EL247</f>
        <v>0</v>
      </c>
      <c r="EK247" s="89">
        <f>EK$163*EK243</f>
        <v>0</v>
      </c>
      <c r="EL247" s="89">
        <f>EL$163*EL243</f>
        <v>0</v>
      </c>
      <c r="EM247" s="499">
        <f>EN247+EO247</f>
        <v>0</v>
      </c>
      <c r="EN247" s="89">
        <f>EN$163*EN243</f>
        <v>0</v>
      </c>
      <c r="EO247" s="89">
        <f>EO$163*EO243</f>
        <v>0</v>
      </c>
      <c r="EP247" s="499">
        <f>EQ247+ER247</f>
        <v>0</v>
      </c>
      <c r="EQ247" s="89">
        <f>EQ$163*EQ243</f>
        <v>0</v>
      </c>
      <c r="ER247" s="89">
        <f>ER$163*ER243</f>
        <v>0</v>
      </c>
      <c r="ES247" s="499">
        <f>ET247+EU247</f>
        <v>0</v>
      </c>
      <c r="ET247" s="89">
        <f>ET$163*ET243</f>
        <v>0</v>
      </c>
      <c r="EU247" s="89">
        <f>EU$163*EU243</f>
        <v>0</v>
      </c>
      <c r="EV247" s="499">
        <f>EW247+EX247</f>
        <v>0</v>
      </c>
      <c r="EW247" s="89">
        <f>EW$163*EW243</f>
        <v>0</v>
      </c>
      <c r="EX247" s="89">
        <f>EX$163*EX243</f>
        <v>0</v>
      </c>
      <c r="EY247" s="499">
        <f>EZ247+FA247</f>
        <v>0</v>
      </c>
      <c r="EZ247" s="89">
        <f>EZ$163*EZ243</f>
        <v>0</v>
      </c>
      <c r="FA247" s="89">
        <f>FA$163*FA243</f>
        <v>0</v>
      </c>
      <c r="FB247" s="83"/>
      <c r="FC247" s="1751"/>
      <c r="FD247" s="1751"/>
      <c r="FE247" s="489" t="s">
        <v>973</v>
      </c>
      <c r="FF247" s="648" t="s">
        <v>890</v>
      </c>
      <c r="FG247" s="648" cm="1" t="str">
        <f t="array" ref="FG247:FG247">AE247</f>
        <v>Уголь длиннопламенный</v>
      </c>
      <c r="FH247" s="648" cm="1" t="str">
        <f t="array" ref="FH247:FH247">AF247</f>
        <v/>
      </c>
      <c r="FI247" s="649"/>
      <c r="FJ247" s="649"/>
      <c r="FK247" s="1157" cm="1" t="str">
        <f t="array" ref="FK247:FK247">OFFSET(FJ247,-1,1)</f>
        <v>ТЭ.42.31656254.0001</v>
      </c>
      <c r="FL247" s="1159"/>
      <c r="FM247" s="1159" t="s">
        <v>824</v>
      </c>
      <c r="FN247" s="1159"/>
      <c r="FO247" s="1159"/>
      <c r="FP247" s="1159"/>
      <c r="FQ247" s="1159"/>
      <c r="FR247" s="1159" t="s">
        <v>561</v>
      </c>
      <c r="FS247" s="1159"/>
      <c r="FT247" s="1159" t="s">
        <v>963</v>
      </c>
      <c r="FU247" s="1159"/>
      <c r="FV247" s="1159"/>
      <c r="FW247" s="1078" t="str">
        <f>$AE247&amp;"|"&amp;$AF247</f>
        <v>Уголь длиннопламенный|</v>
      </c>
      <c r="FX247" s="1159" t="s">
        <v>303</v>
      </c>
      <c r="FY247" s="1159" t="s">
        <v>919</v>
      </c>
      <c r="FZ247" s="1159" t="s">
        <v>920</v>
      </c>
    </row>
    <row s="1751" customFormat="1" customHeight="1" ht="15" hidden="1">
      <c r="A248" s="371"/>
      <c r="B248" s="1548"/>
      <c r="C248" s="1548"/>
      <c r="D248" s="1548"/>
      <c r="E248" s="965">
        <v>0</v>
      </c>
      <c r="F248" s="175" cm="1" t="str">
        <f t="array" ref="F248:F248">OFFSET(G248,-1,-1)</f>
        <v>1</v>
      </c>
      <c r="G248" s="1659"/>
      <c r="H248" s="1659"/>
      <c r="I248" s="1659"/>
      <c r="J248" s="1659"/>
      <c r="K248" s="1659"/>
      <c r="L248" s="175" cm="1" t="str">
        <f t="array" ref="L248:L248">OFFSET(M248,-1,-1)</f>
        <v>false</v>
      </c>
      <c r="M248" s="1659"/>
      <c r="N248" s="1659"/>
      <c r="O248" s="1659"/>
      <c r="P248" s="1659"/>
      <c r="Q248" s="1659"/>
      <c r="R248" s="1548"/>
      <c r="S248" s="175" cm="1" t="str">
        <f t="array" ref="S248:S248">OFFSET(T248,-1,-1)</f>
        <v>true</v>
      </c>
      <c r="T248" s="1548"/>
      <c r="U248" s="753">
        <f>AND(S248,IF(ISBLANK(T248),TRUE,T248))</f>
        <v>1</v>
      </c>
      <c r="V248" s="1548"/>
      <c r="W248" s="1548"/>
      <c r="X248" s="980" t="str">
        <f>"{                  
         funcDyn: 'msg1',
         blok: 'blok_2',
         wsCross: 'Топливо 4.4',
         linkFormula: 'AE-AE#AF-AF',
         levelDyn: "&amp;Y139&amp;"
}"</f>
        <v>{                  
         funcDyn: 'msg1',
         blok: 'blok_2',
         wsCross: 'Топливо 4.4',
         linkFormula: 'AE-AE#AF-AF',
         levelDyn: 1
}</v>
      </c>
      <c r="Y248" s="1548"/>
      <c r="Z248" s="1548"/>
      <c r="AA248" s="1009"/>
      <c r="AB248" s="1608"/>
      <c r="AC248" s="1751"/>
      <c r="AD248" s="517"/>
      <c r="AE248" s="518" t="s">
        <v>191</v>
      </c>
      <c r="AF248" s="519"/>
      <c r="AG248" s="470"/>
      <c r="AH248" s="524"/>
      <c r="AI248" s="525"/>
      <c r="AJ248" s="525"/>
      <c r="AK248" s="525"/>
      <c r="AL248" s="525"/>
      <c r="AM248" s="525"/>
      <c r="AN248" s="525"/>
      <c r="AO248" s="525"/>
      <c r="AP248" s="525"/>
      <c r="AQ248" s="525"/>
      <c r="AR248" s="525"/>
      <c r="AS248" s="525"/>
      <c r="AT248" s="525"/>
      <c r="AU248" s="525"/>
      <c r="AV248" s="525"/>
      <c r="AW248" s="525"/>
      <c r="AX248" s="525"/>
      <c r="AY248" s="525"/>
      <c r="AZ248" s="525"/>
      <c r="BA248" s="525"/>
      <c r="BB248" s="525"/>
      <c r="BC248" s="525"/>
      <c r="BD248" s="525"/>
      <c r="BE248" s="525"/>
      <c r="BF248" s="525"/>
      <c r="BG248" s="525"/>
      <c r="BH248" s="525"/>
      <c r="BI248" s="525"/>
      <c r="BJ248" s="525"/>
      <c r="BK248" s="525"/>
      <c r="BL248" s="525"/>
      <c r="BM248" s="525"/>
      <c r="BN248" s="525"/>
      <c r="BO248" s="525"/>
      <c r="BP248" s="525"/>
      <c r="BQ248" s="525"/>
      <c r="BR248" s="525"/>
      <c r="BS248" s="525"/>
      <c r="BT248" s="525"/>
      <c r="BU248" s="525"/>
      <c r="BV248" s="525"/>
      <c r="BW248" s="525"/>
      <c r="BX248" s="525"/>
      <c r="BY248" s="525"/>
      <c r="BZ248" s="525"/>
      <c r="CA248" s="525"/>
      <c r="CB248" s="525"/>
      <c r="CC248" s="525"/>
      <c r="CD248" s="525"/>
      <c r="CE248" s="525"/>
      <c r="CF248" s="525"/>
      <c r="CG248" s="525"/>
      <c r="CH248" s="525"/>
      <c r="CI248" s="525"/>
      <c r="CJ248" s="525"/>
      <c r="CK248" s="525"/>
      <c r="CL248" s="525"/>
      <c r="CM248" s="525"/>
      <c r="CN248" s="525"/>
      <c r="CO248" s="525"/>
      <c r="CP248" s="525"/>
      <c r="CQ248" s="525"/>
      <c r="CR248" s="525"/>
      <c r="CS248" s="525"/>
      <c r="CT248" s="525"/>
      <c r="CU248" s="525"/>
      <c r="CV248" s="525"/>
      <c r="CW248" s="525"/>
      <c r="CX248" s="525"/>
      <c r="CY248" s="525"/>
      <c r="CZ248" s="525"/>
      <c r="DA248" s="525"/>
      <c r="DB248" s="525"/>
      <c r="DC248" s="525"/>
      <c r="DD248" s="525"/>
      <c r="DE248" s="525"/>
      <c r="DF248" s="525"/>
      <c r="DG248" s="525"/>
      <c r="DH248" s="525"/>
      <c r="DI248" s="525"/>
      <c r="DJ248" s="525"/>
      <c r="DK248" s="525"/>
      <c r="DL248" s="525"/>
      <c r="DM248" s="525"/>
      <c r="DN248" s="525"/>
      <c r="DO248" s="525"/>
      <c r="DP248" s="525"/>
      <c r="DQ248" s="525"/>
      <c r="DR248" s="525"/>
      <c r="DS248" s="525"/>
      <c r="DT248" s="525"/>
      <c r="DU248" s="525"/>
      <c r="DV248" s="525"/>
      <c r="DW248" s="525"/>
      <c r="DX248" s="525"/>
      <c r="DY248" s="525"/>
      <c r="DZ248" s="525"/>
      <c r="EA248" s="525"/>
      <c r="EB248" s="525"/>
      <c r="EC248" s="525"/>
      <c r="ED248" s="525"/>
      <c r="EE248" s="525"/>
      <c r="EF248" s="525"/>
      <c r="EG248" s="525"/>
      <c r="EH248" s="525"/>
      <c r="EI248" s="525"/>
      <c r="EJ248" s="525"/>
      <c r="EK248" s="525"/>
      <c r="EL248" s="525"/>
      <c r="EM248" s="525"/>
      <c r="EN248" s="525"/>
      <c r="EO248" s="525"/>
      <c r="EP248" s="525"/>
      <c r="EQ248" s="525"/>
      <c r="ER248" s="525"/>
      <c r="ES248" s="525"/>
      <c r="ET248" s="525"/>
      <c r="EU248" s="525"/>
      <c r="EV248" s="525"/>
      <c r="EW248" s="525"/>
      <c r="EX248" s="525"/>
      <c r="EY248" s="525"/>
      <c r="EZ248" s="525"/>
      <c r="FA248" s="525"/>
      <c r="FB248" s="93"/>
      <c r="FC248" s="1751"/>
      <c r="FD248" s="1506"/>
      <c r="FE248" s="489" t="str">
        <f>IF(AND(ISNUMBER(VALUE(TRIM(SUBSTITUTE(AD248,".","")))),TRIM(SUBSTITUTE(AD248,".",""))&lt;&gt;""),"P"&amp;SUBSTITUTE(AD248,".",""),"")</f>
        <v/>
      </c>
      <c r="FF248" s="648"/>
      <c r="FG248" s="648"/>
      <c r="FH248" s="648"/>
      <c r="FI248" s="649"/>
      <c r="FJ248" s="649"/>
      <c r="FK248" s="1157" cm="1" t="str">
        <f t="array" ref="FK248:FK248">OFFSET(FJ248,-1,1)</f>
        <v>ТЭ.42.31656254.0001</v>
      </c>
      <c r="FL248" s="1159"/>
      <c r="FM248" s="1159"/>
      <c r="FN248" s="1159"/>
      <c r="FO248" s="1159"/>
      <c r="FP248" s="1159"/>
      <c r="FQ248" s="1159"/>
      <c r="FR248" s="1159"/>
      <c r="FS248" s="1159"/>
      <c r="FT248" s="1159"/>
      <c r="FU248" s="1159"/>
      <c r="FV248" s="1159"/>
      <c r="FW248" s="1159"/>
      <c r="FX248" s="1159"/>
      <c r="FY248" s="1159"/>
      <c r="FZ248" s="1159"/>
    </row>
    <row s="1751" customFormat="1" customHeight="1" ht="16.5">
      <c r="A249" s="371"/>
      <c r="B249" s="1548"/>
      <c r="C249" s="1548"/>
      <c r="D249" s="1548"/>
      <c r="E249" s="180">
        <v>17</v>
      </c>
      <c r="F249" s="175" cm="1" t="str">
        <f t="array" ref="F249:F249">OFFSET(G249,-1,-1)</f>
        <v>1</v>
      </c>
      <c r="G249" s="1659"/>
      <c r="H249" s="1659"/>
      <c r="I249" s="1659"/>
      <c r="J249" s="1659"/>
      <c r="K249" s="1659"/>
      <c r="L249" s="175" cm="1" t="str">
        <f t="array" ref="L249:L249">OFFSET(M249,-1,-1)</f>
        <v>false</v>
      </c>
      <c r="M249" s="1659"/>
      <c r="N249" s="1659"/>
      <c r="O249" s="1659"/>
      <c r="P249" s="1659"/>
      <c r="Q249" s="1659"/>
      <c r="R249" s="1548"/>
      <c r="S249" s="175" cm="1" t="str">
        <f t="array" ref="S249:S249">OFFSET(T249,-1,-1)</f>
        <v>true</v>
      </c>
      <c r="T249" s="1548"/>
      <c r="U249" s="753">
        <f>AND(S249,IF(ISBLANK(T249),TRUE,T249))</f>
        <v>1</v>
      </c>
      <c r="V249" s="1548"/>
      <c r="W249" s="1548"/>
      <c r="X249" s="1548"/>
      <c r="Y249" s="1548"/>
      <c r="Z249" s="1548"/>
      <c r="AA249" s="1009"/>
      <c r="AB249" s="1606" t="s">
        <v>975</v>
      </c>
      <c r="AC249" s="1751"/>
      <c r="AD249" s="327">
        <v>38</v>
      </c>
      <c r="AE249" s="1618" t="s">
        <v>976</v>
      </c>
      <c r="AF249" s="427"/>
      <c r="AG249" s="470" t="s">
        <v>917</v>
      </c>
      <c r="AH249" s="500">
        <f>SUM(AH251:AH253)</f>
        <v>0</v>
      </c>
      <c r="AI249" s="500">
        <f>SUM(AI251:AI253)</f>
        <v>0</v>
      </c>
      <c r="AJ249" s="500">
        <f>SUM(AJ251:AJ253)</f>
        <v>0</v>
      </c>
      <c r="AK249" s="500">
        <f>SUM(AK251:AK253)</f>
        <v>0</v>
      </c>
      <c r="AL249" s="500">
        <f>SUM(AL251:AL253)</f>
        <v>0</v>
      </c>
      <c r="AM249" s="500">
        <f>SUM(AM251:AM253)</f>
        <v>0</v>
      </c>
      <c r="AN249" s="500">
        <f>SUM(AN251:AN253)</f>
        <v>0</v>
      </c>
      <c r="AO249" s="500">
        <f>SUM(AO251:AO253)</f>
        <v>0</v>
      </c>
      <c r="AP249" s="500">
        <f>SUM(AP251:AP253)</f>
        <v>0</v>
      </c>
      <c r="AQ249" s="500">
        <f>SUM(AQ251:AQ253)</f>
        <v>0</v>
      </c>
      <c r="AR249" s="500">
        <f>SUM(AR251:AR253)</f>
        <v>0</v>
      </c>
      <c r="AS249" s="500">
        <f>SUM(AS251:AS253)</f>
        <v>0</v>
      </c>
      <c r="AT249" s="500">
        <f>SUM(AT251:AT253)</f>
        <v>0</v>
      </c>
      <c r="AU249" s="500">
        <f>SUM(AU251:AU253)</f>
        <v>0</v>
      </c>
      <c r="AV249" s="500">
        <f>SUM(AV251:AV253)</f>
        <v>0</v>
      </c>
      <c r="AW249" s="500">
        <f>SUM(AW251:AW253)</f>
        <v>0</v>
      </c>
      <c r="AX249" s="500">
        <f>SUM(AX251:AX253)</f>
        <v>0</v>
      </c>
      <c r="AY249" s="500">
        <f>SUM(AY251:AY253)</f>
        <v>0</v>
      </c>
      <c r="AZ249" s="500">
        <f>SUM(AZ251:AZ253)</f>
        <v>0</v>
      </c>
      <c r="BA249" s="500">
        <f>SUM(BA251:BA253)</f>
        <v>0</v>
      </c>
      <c r="BB249" s="500">
        <f>SUM(BB251:BB253)</f>
        <v>0</v>
      </c>
      <c r="BC249" s="500">
        <f>SUM(BC251:BC253)</f>
        <v>0</v>
      </c>
      <c r="BD249" s="500">
        <f>SUM(BD251:BD253)</f>
        <v>0</v>
      </c>
      <c r="BE249" s="500">
        <f>SUM(BE251:BE253)</f>
        <v>0</v>
      </c>
      <c r="BF249" s="500">
        <f>SUM(BF251:BF253)</f>
        <v>0</v>
      </c>
      <c r="BG249" s="500">
        <f>SUM(BG251:BG253)</f>
        <v>0</v>
      </c>
      <c r="BH249" s="500">
        <f>SUM(BH251:BH253)</f>
        <v>0</v>
      </c>
      <c r="BI249" s="500">
        <f>SUM(BI251:BI253)</f>
        <v>0</v>
      </c>
      <c r="BJ249" s="500">
        <f>SUM(BJ251:BJ253)</f>
        <v>0</v>
      </c>
      <c r="BK249" s="500">
        <f>SUM(BK251:BK253)</f>
        <v>0</v>
      </c>
      <c r="BL249" s="500">
        <f>SUM(BL251:BL253)</f>
        <v>0</v>
      </c>
      <c r="BM249" s="500">
        <f>SUM(BM251:BM253)</f>
        <v>0</v>
      </c>
      <c r="BN249" s="500">
        <f>SUM(BN251:BN253)</f>
        <v>0</v>
      </c>
      <c r="BO249" s="500">
        <f>SUM(BO251:BO253)</f>
        <v>0</v>
      </c>
      <c r="BP249" s="500">
        <f>SUM(BP251:BP253)</f>
        <v>0</v>
      </c>
      <c r="BQ249" s="500">
        <f>SUM(BQ251:BQ253)</f>
        <v>0</v>
      </c>
      <c r="BR249" s="500">
        <f>SUM(BR251:BR253)</f>
        <v>0</v>
      </c>
      <c r="BS249" s="500">
        <f>SUM(BS251:BS253)</f>
        <v>0</v>
      </c>
      <c r="BT249" s="500">
        <f>SUM(BT251:BT253)</f>
        <v>0</v>
      </c>
      <c r="BU249" s="500">
        <f>SUM(BU251:BU253)</f>
        <v>0</v>
      </c>
      <c r="BV249" s="500">
        <f>SUM(BV251:BV253)</f>
        <v>0</v>
      </c>
      <c r="BW249" s="500">
        <f>SUM(BW251:BW253)</f>
        <v>0</v>
      </c>
      <c r="BX249" s="500">
        <f>SUM(BX251:BX253)</f>
        <v>0</v>
      </c>
      <c r="BY249" s="500">
        <f>SUM(BY251:BY253)</f>
        <v>0</v>
      </c>
      <c r="BZ249" s="500">
        <f>SUM(BZ251:BZ253)</f>
        <v>0</v>
      </c>
      <c r="CA249" s="500">
        <f>SUM(CA251:CA253)</f>
        <v>0</v>
      </c>
      <c r="CB249" s="500">
        <f>SUM(CB251:CB253)</f>
        <v>0</v>
      </c>
      <c r="CC249" s="500">
        <f>SUM(CC251:CC253)</f>
        <v>0</v>
      </c>
      <c r="CD249" s="500">
        <f>SUM(CD251:CD253)</f>
        <v>0</v>
      </c>
      <c r="CE249" s="500">
        <f>SUM(CE251:CE253)</f>
        <v>0</v>
      </c>
      <c r="CF249" s="500">
        <f>SUM(CF251:CF253)</f>
        <v>0</v>
      </c>
      <c r="CG249" s="500">
        <f>SUM(CG251:CG253)</f>
        <v>0</v>
      </c>
      <c r="CH249" s="500">
        <f>SUM(CH251:CH253)</f>
        <v>0</v>
      </c>
      <c r="CI249" s="500">
        <f>SUM(CI251:CI253)</f>
        <v>0</v>
      </c>
      <c r="CJ249" s="500">
        <f>SUM(CJ251:CJ253)</f>
        <v>0</v>
      </c>
      <c r="CK249" s="500">
        <f>SUM(CK251:CK253)</f>
        <v>0</v>
      </c>
      <c r="CL249" s="500">
        <f>SUM(CL251:CL253)</f>
        <v>0</v>
      </c>
      <c r="CM249" s="500">
        <f>SUM(CM251:CM253)</f>
        <v>0</v>
      </c>
      <c r="CN249" s="500">
        <f>SUM(CN251:CN253)</f>
        <v>0</v>
      </c>
      <c r="CO249" s="500">
        <f>SUM(CO251:CO253)</f>
        <v>0</v>
      </c>
      <c r="CP249" s="500">
        <f>SUM(CP251:CP253)</f>
        <v>0</v>
      </c>
      <c r="CQ249" s="500">
        <f>SUM(CQ251:CQ253)</f>
        <v>0</v>
      </c>
      <c r="CR249" s="500">
        <f>SUM(CR251:CR253)</f>
        <v>0</v>
      </c>
      <c r="CS249" s="500">
        <f>SUM(CS251:CS253)</f>
        <v>0</v>
      </c>
      <c r="CT249" s="500">
        <f>SUM(CT251:CT253)</f>
        <v>0</v>
      </c>
      <c r="CU249" s="500">
        <f>SUM(CU251:CU253)</f>
        <v>0</v>
      </c>
      <c r="CV249" s="500">
        <f>SUM(CV251:CV253)</f>
        <v>0</v>
      </c>
      <c r="CW249" s="500">
        <f>SUM(CW251:CW253)</f>
        <v>0</v>
      </c>
      <c r="CX249" s="500">
        <f>SUM(CX251:CX253)</f>
        <v>0</v>
      </c>
      <c r="CY249" s="500">
        <f>SUM(CY251:CY253)</f>
        <v>0</v>
      </c>
      <c r="CZ249" s="500">
        <f>SUM(CZ251:CZ253)</f>
        <v>0</v>
      </c>
      <c r="DA249" s="500">
        <f>SUM(DA251:DA253)</f>
        <v>0</v>
      </c>
      <c r="DB249" s="500">
        <f>SUM(DB251:DB253)</f>
        <v>0</v>
      </c>
      <c r="DC249" s="500">
        <f>SUM(DC251:DC253)</f>
        <v>0</v>
      </c>
      <c r="DD249" s="500">
        <f>SUM(DD251:DD253)</f>
        <v>0</v>
      </c>
      <c r="DE249" s="500">
        <f>SUM(DE251:DE253)</f>
        <v>0</v>
      </c>
      <c r="DF249" s="500">
        <f>SUM(DF251:DF253)</f>
        <v>0</v>
      </c>
      <c r="DG249" s="500">
        <f>SUM(DG251:DG253)</f>
        <v>0</v>
      </c>
      <c r="DH249" s="500">
        <f>SUM(DH251:DH253)</f>
        <v>0</v>
      </c>
      <c r="DI249" s="500">
        <f>SUM(DI251:DI253)</f>
        <v>0</v>
      </c>
      <c r="DJ249" s="500">
        <f>SUM(DJ251:DJ253)</f>
        <v>0</v>
      </c>
      <c r="DK249" s="500">
        <f>SUM(DK251:DK253)</f>
        <v>0</v>
      </c>
      <c r="DL249" s="500">
        <f>SUM(DL251:DL253)</f>
        <v>0</v>
      </c>
      <c r="DM249" s="500">
        <f>SUM(DM251:DM253)</f>
        <v>0</v>
      </c>
      <c r="DN249" s="500">
        <f>SUM(DN251:DN253)</f>
        <v>0</v>
      </c>
      <c r="DO249" s="500">
        <f>SUM(DO251:DO253)</f>
        <v>0</v>
      </c>
      <c r="DP249" s="500">
        <f>SUM(DP251:DP253)</f>
        <v>0</v>
      </c>
      <c r="DQ249" s="500">
        <f>SUM(DQ251:DQ253)</f>
        <v>0</v>
      </c>
      <c r="DR249" s="500">
        <f>SUM(DR251:DR253)</f>
        <v>0</v>
      </c>
      <c r="DS249" s="500">
        <f>SUM(DS251:DS253)</f>
        <v>0</v>
      </c>
      <c r="DT249" s="500">
        <f>SUM(DT251:DT253)</f>
        <v>0</v>
      </c>
      <c r="DU249" s="500">
        <f>SUM(DU251:DU253)</f>
        <v>0</v>
      </c>
      <c r="DV249" s="500">
        <f>SUM(DV251:DV253)</f>
        <v>0</v>
      </c>
      <c r="DW249" s="500">
        <f>SUM(DW251:DW253)</f>
        <v>0</v>
      </c>
      <c r="DX249" s="500">
        <f>SUM(DX251:DX253)</f>
        <v>0</v>
      </c>
      <c r="DY249" s="500">
        <f>SUM(DY251:DY253)</f>
        <v>0</v>
      </c>
      <c r="DZ249" s="500">
        <f>SUM(DZ251:DZ253)</f>
        <v>0</v>
      </c>
      <c r="EA249" s="500">
        <f>SUM(EA251:EA253)</f>
        <v>0</v>
      </c>
      <c r="EB249" s="500">
        <f>SUM(EB251:EB253)</f>
        <v>0</v>
      </c>
      <c r="EC249" s="500">
        <f>SUM(EC251:EC253)</f>
        <v>0</v>
      </c>
      <c r="ED249" s="500">
        <f>SUM(ED251:ED253)</f>
        <v>0</v>
      </c>
      <c r="EE249" s="500">
        <f>SUM(EE251:EE253)</f>
        <v>0</v>
      </c>
      <c r="EF249" s="500">
        <f>SUM(EF251:EF253)</f>
        <v>0</v>
      </c>
      <c r="EG249" s="500">
        <f>SUM(EG251:EG253)</f>
        <v>0</v>
      </c>
      <c r="EH249" s="500">
        <f>SUM(EH251:EH253)</f>
        <v>0</v>
      </c>
      <c r="EI249" s="500">
        <f>SUM(EI251:EI253)</f>
        <v>0</v>
      </c>
      <c r="EJ249" s="500">
        <f>SUM(EJ251:EJ253)</f>
        <v>0</v>
      </c>
      <c r="EK249" s="500">
        <f>SUM(EK251:EK253)</f>
        <v>0</v>
      </c>
      <c r="EL249" s="500">
        <f>SUM(EL251:EL253)</f>
        <v>0</v>
      </c>
      <c r="EM249" s="500">
        <f>SUM(EM251:EM253)</f>
        <v>0</v>
      </c>
      <c r="EN249" s="500">
        <f>SUM(EN251:EN253)</f>
        <v>0</v>
      </c>
      <c r="EO249" s="500">
        <f>SUM(EO251:EO253)</f>
        <v>0</v>
      </c>
      <c r="EP249" s="500">
        <f>SUM(EP251:EP253)</f>
        <v>0</v>
      </c>
      <c r="EQ249" s="500">
        <f>SUM(EQ251:EQ253)</f>
        <v>0</v>
      </c>
      <c r="ER249" s="500">
        <f>SUM(ER251:ER253)</f>
        <v>0</v>
      </c>
      <c r="ES249" s="500">
        <f>SUM(ES251:ES253)</f>
        <v>0</v>
      </c>
      <c r="ET249" s="500">
        <f>SUM(ET251:ET253)</f>
        <v>0</v>
      </c>
      <c r="EU249" s="500">
        <f>SUM(EU251:EU253)</f>
        <v>0</v>
      </c>
      <c r="EV249" s="500">
        <f>SUM(EV251:EV253)</f>
        <v>0</v>
      </c>
      <c r="EW249" s="500">
        <f>SUM(EW251:EW253)</f>
        <v>0</v>
      </c>
      <c r="EX249" s="500">
        <f>SUM(EX251:EX253)</f>
        <v>0</v>
      </c>
      <c r="EY249" s="500">
        <f>SUM(EY251:EY253)</f>
        <v>0</v>
      </c>
      <c r="EZ249" s="500">
        <f>SUM(EZ251:EZ253)</f>
        <v>0</v>
      </c>
      <c r="FA249" s="500">
        <f>SUM(FA251:FA253)</f>
        <v>0</v>
      </c>
      <c r="FB249" s="1897"/>
      <c r="FC249" s="1751"/>
      <c r="FD249" s="1506"/>
      <c r="FE249" s="489" t="s">
        <v>977</v>
      </c>
      <c r="FF249" s="648"/>
      <c r="FG249" s="648"/>
      <c r="FH249" s="648"/>
      <c r="FI249" s="649"/>
      <c r="FJ249" s="649"/>
      <c r="FK249" s="1157" cm="1" t="str">
        <f t="array" ref="FK249:FK249">OFFSET(FJ249,-1,1)</f>
        <v>ТЭ.42.31656254.0001</v>
      </c>
      <c r="FL249" s="1078"/>
      <c r="FM249" s="1078" t="s">
        <v>978</v>
      </c>
      <c r="FN249" s="1159"/>
      <c r="FO249" s="1159"/>
      <c r="FP249" s="1159"/>
      <c r="FQ249" s="1159"/>
      <c r="FR249" s="1159"/>
      <c r="FS249" s="1159"/>
      <c r="FT249" s="1159"/>
      <c r="FU249" s="1159"/>
      <c r="FV249" s="1159"/>
      <c r="FW249" s="1159"/>
      <c r="FX249" s="1078" t="s">
        <v>303</v>
      </c>
      <c r="FY249" s="1078" t="s">
        <v>919</v>
      </c>
      <c r="FZ249" s="1078" t="s">
        <v>920</v>
      </c>
    </row>
    <row s="1751" customFormat="1" customHeight="1" ht="16.5" hidden="1">
      <c r="A250" s="371"/>
      <c r="B250" s="1548"/>
      <c r="C250" s="1548"/>
      <c r="D250" s="1548"/>
      <c r="E250" s="180">
        <v>17</v>
      </c>
      <c r="F250" s="175" cm="1" t="str">
        <f t="array" ref="F250:F250">OFFSET(G250,-1,-1)</f>
        <v>1</v>
      </c>
      <c r="G250" s="1659"/>
      <c r="H250" s="1659"/>
      <c r="I250" s="1659"/>
      <c r="J250" s="1659"/>
      <c r="K250" s="1659"/>
      <c r="L250" s="175" cm="1" t="str">
        <f t="array" ref="L250:L250">OFFSET(M250,-1,-1)</f>
        <v>false</v>
      </c>
      <c r="M250" s="1659"/>
      <c r="N250" s="1659"/>
      <c r="O250" s="1659"/>
      <c r="P250" s="1659"/>
      <c r="Q250" s="1659"/>
      <c r="R250" s="175" t="s">
        <v>804</v>
      </c>
      <c r="S250" s="175" cm="1" t="str">
        <f t="array" ref="S250:S250">OFFSET(T250,-1,-1)</f>
        <v>true</v>
      </c>
      <c r="T250" s="175" t="b">
        <v>0</v>
      </c>
      <c r="U250" s="753">
        <f>AND(S250,IF(ISBLANK(T250),TRUE,T250))</f>
        <v>0</v>
      </c>
      <c r="V250" s="1548"/>
      <c r="W250" s="1548"/>
      <c r="X250" s="1548"/>
      <c r="Y250" s="1548"/>
      <c r="Z250" s="1548"/>
      <c r="AA250" s="1009"/>
      <c r="AB250" s="1607"/>
      <c r="AC250" s="1751"/>
      <c r="AD250" s="491" t="str">
        <f>AD249&amp;".0"</f>
        <v>38.0</v>
      </c>
      <c r="AE250" s="537" t="s">
        <v>822</v>
      </c>
      <c r="AF250" s="368"/>
      <c r="AG250" s="470" t="s">
        <v>917</v>
      </c>
      <c r="AH250" s="88">
        <f>AH$163*AH249</f>
        <v>0</v>
      </c>
      <c r="AI250" s="89">
        <f>AI$163*AI249</f>
        <v>0</v>
      </c>
      <c r="AJ250" s="89">
        <f>AJ$163*AJ249</f>
        <v>0</v>
      </c>
      <c r="AK250" s="89">
        <f>AK$163*AK249</f>
        <v>0</v>
      </c>
      <c r="AL250" s="499">
        <f>AM250+AN250</f>
        <v>0</v>
      </c>
      <c r="AM250" s="89">
        <f>AM$163*AM249</f>
        <v>0</v>
      </c>
      <c r="AN250" s="89">
        <f>AN$163*AN249</f>
        <v>0</v>
      </c>
      <c r="AO250" s="499">
        <f>AP250+AQ250</f>
        <v>0</v>
      </c>
      <c r="AP250" s="89">
        <f>AP$163*AP249</f>
        <v>0</v>
      </c>
      <c r="AQ250" s="89">
        <f>AQ$163*AQ249</f>
        <v>0</v>
      </c>
      <c r="AR250" s="499">
        <f>AS250+AT250</f>
        <v>0</v>
      </c>
      <c r="AS250" s="89">
        <f>AS$163*AS249</f>
        <v>0</v>
      </c>
      <c r="AT250" s="89">
        <f>AT$163*AT249</f>
        <v>0</v>
      </c>
      <c r="AU250" s="499">
        <f>AV250+AW250</f>
        <v>0</v>
      </c>
      <c r="AV250" s="89">
        <f>AV$163*AV249</f>
        <v>0</v>
      </c>
      <c r="AW250" s="89">
        <f>AW$163*AW249</f>
        <v>0</v>
      </c>
      <c r="AX250" s="499">
        <f>AY250+AZ250</f>
        <v>0</v>
      </c>
      <c r="AY250" s="89">
        <f>AY$163*AY249</f>
        <v>0</v>
      </c>
      <c r="AZ250" s="89">
        <f>AZ$163*AZ249</f>
        <v>0</v>
      </c>
      <c r="BA250" s="499">
        <f>BB250+BC250</f>
        <v>0</v>
      </c>
      <c r="BB250" s="89">
        <f>BB$163*BB249</f>
        <v>0</v>
      </c>
      <c r="BC250" s="89">
        <f>BC$163*BC249</f>
        <v>0</v>
      </c>
      <c r="BD250" s="499">
        <f>BE250+BF250</f>
        <v>0</v>
      </c>
      <c r="BE250" s="89">
        <f>BE$163*BE249</f>
        <v>0</v>
      </c>
      <c r="BF250" s="89">
        <f>BF$163*BF249</f>
        <v>0</v>
      </c>
      <c r="BG250" s="499">
        <f>BH250+BI250</f>
        <v>0</v>
      </c>
      <c r="BH250" s="89">
        <f>BH$163*BH249</f>
        <v>0</v>
      </c>
      <c r="BI250" s="89">
        <f>BI$163*BI249</f>
        <v>0</v>
      </c>
      <c r="BJ250" s="499">
        <f>BK250+BL250</f>
        <v>0</v>
      </c>
      <c r="BK250" s="89">
        <f>BK$163*BK249</f>
        <v>0</v>
      </c>
      <c r="BL250" s="89">
        <f>BL$163*BL249</f>
        <v>0</v>
      </c>
      <c r="BM250" s="499">
        <f>BN250+BO250</f>
        <v>0</v>
      </c>
      <c r="BN250" s="89">
        <f>BN$163*BN249</f>
        <v>0</v>
      </c>
      <c r="BO250" s="89">
        <f>BO$163*BO249</f>
        <v>0</v>
      </c>
      <c r="BP250" s="499">
        <f>BQ250+BR250</f>
        <v>0</v>
      </c>
      <c r="BQ250" s="89">
        <f>BQ$163*BQ249</f>
        <v>0</v>
      </c>
      <c r="BR250" s="89">
        <f>BR$163*BR249</f>
        <v>0</v>
      </c>
      <c r="BS250" s="499">
        <f>BT250+BU250</f>
        <v>0</v>
      </c>
      <c r="BT250" s="89">
        <f>BT$163*BT249</f>
        <v>0</v>
      </c>
      <c r="BU250" s="89">
        <f>BU$163*BU249</f>
        <v>0</v>
      </c>
      <c r="BV250" s="499">
        <f>BW250+BX250</f>
        <v>0</v>
      </c>
      <c r="BW250" s="89">
        <f>BW$163*BW249</f>
        <v>0</v>
      </c>
      <c r="BX250" s="89">
        <f>BX$163*BX249</f>
        <v>0</v>
      </c>
      <c r="BY250" s="499">
        <f>BZ250+CA250</f>
        <v>0</v>
      </c>
      <c r="BZ250" s="89">
        <f>BZ$163*BZ249</f>
        <v>0</v>
      </c>
      <c r="CA250" s="89">
        <f>CA$163*CA249</f>
        <v>0</v>
      </c>
      <c r="CB250" s="499">
        <f>CC250+CD250</f>
        <v>0</v>
      </c>
      <c r="CC250" s="89">
        <f>CC$163*CC249</f>
        <v>0</v>
      </c>
      <c r="CD250" s="89">
        <f>CD$163*CD249</f>
        <v>0</v>
      </c>
      <c r="CE250" s="499">
        <f>CF250+CG250</f>
        <v>0</v>
      </c>
      <c r="CF250" s="89">
        <f>CF$163*CF249</f>
        <v>0</v>
      </c>
      <c r="CG250" s="89">
        <f>CG$163*CG249</f>
        <v>0</v>
      </c>
      <c r="CH250" s="499">
        <f>CI250+CJ250</f>
        <v>0</v>
      </c>
      <c r="CI250" s="89">
        <f>CI$163*CI249</f>
        <v>0</v>
      </c>
      <c r="CJ250" s="89">
        <f>CJ$163*CJ249</f>
        <v>0</v>
      </c>
      <c r="CK250" s="499">
        <f>CL250+CM250</f>
        <v>0</v>
      </c>
      <c r="CL250" s="89">
        <f>CL$163*CL249</f>
        <v>0</v>
      </c>
      <c r="CM250" s="89">
        <f>CM$163*CM249</f>
        <v>0</v>
      </c>
      <c r="CN250" s="499">
        <f>CO250+CP250</f>
        <v>0</v>
      </c>
      <c r="CO250" s="89">
        <f>CO$163*CO249</f>
        <v>0</v>
      </c>
      <c r="CP250" s="89">
        <f>CP$163*CP249</f>
        <v>0</v>
      </c>
      <c r="CQ250" s="499">
        <f>CR250+CS250</f>
        <v>0</v>
      </c>
      <c r="CR250" s="89">
        <f>CR$163*CR249</f>
        <v>0</v>
      </c>
      <c r="CS250" s="89">
        <f>CS$163*CS249</f>
        <v>0</v>
      </c>
      <c r="CT250" s="499">
        <f>CU250+CV250</f>
        <v>0</v>
      </c>
      <c r="CU250" s="498">
        <f>CU$163*CU249</f>
        <v>0</v>
      </c>
      <c r="CV250" s="498">
        <f>CV$163*CV249</f>
        <v>0</v>
      </c>
      <c r="CW250" s="499">
        <f>CX250+CY250</f>
        <v>0</v>
      </c>
      <c r="CX250" s="89">
        <f>CX$163*CX249</f>
        <v>0</v>
      </c>
      <c r="CY250" s="89">
        <f>CY$163*CY249</f>
        <v>0</v>
      </c>
      <c r="CZ250" s="499">
        <f>DA250+DB250</f>
        <v>0</v>
      </c>
      <c r="DA250" s="89">
        <f>DA$163*DA249</f>
        <v>0</v>
      </c>
      <c r="DB250" s="89">
        <f>DB$163*DB249</f>
        <v>0</v>
      </c>
      <c r="DC250" s="499">
        <f>DD250+DE250</f>
        <v>0</v>
      </c>
      <c r="DD250" s="89">
        <f>DD$163*DD249</f>
        <v>0</v>
      </c>
      <c r="DE250" s="89">
        <f>DE$163*DE249</f>
        <v>0</v>
      </c>
      <c r="DF250" s="499">
        <f>DG250+DH250</f>
        <v>0</v>
      </c>
      <c r="DG250" s="89">
        <f>DG$163*DG249</f>
        <v>0</v>
      </c>
      <c r="DH250" s="89">
        <f>DH$163*DH249</f>
        <v>0</v>
      </c>
      <c r="DI250" s="499">
        <f>DJ250+DK250</f>
        <v>0</v>
      </c>
      <c r="DJ250" s="89">
        <f>DJ$163*DJ249</f>
        <v>0</v>
      </c>
      <c r="DK250" s="89">
        <f>DK$163*DK249</f>
        <v>0</v>
      </c>
      <c r="DL250" s="499">
        <f>DM250+DN250</f>
        <v>0</v>
      </c>
      <c r="DM250" s="89">
        <f>DM$163*DM249</f>
        <v>0</v>
      </c>
      <c r="DN250" s="89">
        <f>DN$163*DN249</f>
        <v>0</v>
      </c>
      <c r="DO250" s="499">
        <f>DP250+DQ250</f>
        <v>0</v>
      </c>
      <c r="DP250" s="89">
        <f>DP$163*DP249</f>
        <v>0</v>
      </c>
      <c r="DQ250" s="89">
        <f>DQ$163*DQ249</f>
        <v>0</v>
      </c>
      <c r="DR250" s="499">
        <f>DS250+DT250</f>
        <v>0</v>
      </c>
      <c r="DS250" s="89">
        <f>DS$163*DS249</f>
        <v>0</v>
      </c>
      <c r="DT250" s="89">
        <f>DT$163*DT249</f>
        <v>0</v>
      </c>
      <c r="DU250" s="499">
        <f>DV250+DW250</f>
        <v>0</v>
      </c>
      <c r="DV250" s="89">
        <f>DV$163*DV249</f>
        <v>0</v>
      </c>
      <c r="DW250" s="89">
        <f>DW$163*DW249</f>
        <v>0</v>
      </c>
      <c r="DX250" s="499">
        <f>DY250+DZ250</f>
        <v>0</v>
      </c>
      <c r="DY250" s="89">
        <f>DY$163*DY249</f>
        <v>0</v>
      </c>
      <c r="DZ250" s="89">
        <f>DZ$163*DZ249</f>
        <v>0</v>
      </c>
      <c r="EA250" s="499">
        <f>EB250+EC250</f>
        <v>0</v>
      </c>
      <c r="EB250" s="89">
        <f>EB$163*EB249</f>
        <v>0</v>
      </c>
      <c r="EC250" s="89">
        <f>EC$163*EC249</f>
        <v>0</v>
      </c>
      <c r="ED250" s="499">
        <f>EE250+EF250</f>
        <v>0</v>
      </c>
      <c r="EE250" s="89">
        <f>EE$163*EE249</f>
        <v>0</v>
      </c>
      <c r="EF250" s="89">
        <f>EF$163*EF249</f>
        <v>0</v>
      </c>
      <c r="EG250" s="499">
        <f>EH250+EI250</f>
        <v>0</v>
      </c>
      <c r="EH250" s="89">
        <f>EH$163*EH249</f>
        <v>0</v>
      </c>
      <c r="EI250" s="89">
        <f>EI$163*EI249</f>
        <v>0</v>
      </c>
      <c r="EJ250" s="499">
        <f>EK250+EL250</f>
        <v>0</v>
      </c>
      <c r="EK250" s="89">
        <f>EK$163*EK249</f>
        <v>0</v>
      </c>
      <c r="EL250" s="89">
        <f>EL$163*EL249</f>
        <v>0</v>
      </c>
      <c r="EM250" s="499">
        <f>EN250+EO250</f>
        <v>0</v>
      </c>
      <c r="EN250" s="89">
        <f>EN$163*EN249</f>
        <v>0</v>
      </c>
      <c r="EO250" s="89">
        <f>EO$163*EO249</f>
        <v>0</v>
      </c>
      <c r="EP250" s="499">
        <f>EQ250+ER250</f>
        <v>0</v>
      </c>
      <c r="EQ250" s="89">
        <f>EQ$163*EQ249</f>
        <v>0</v>
      </c>
      <c r="ER250" s="89">
        <f>ER$163*ER249</f>
        <v>0</v>
      </c>
      <c r="ES250" s="499">
        <f>ET250+EU250</f>
        <v>0</v>
      </c>
      <c r="ET250" s="89">
        <f>ET$163*ET249</f>
        <v>0</v>
      </c>
      <c r="EU250" s="89">
        <f>EU$163*EU249</f>
        <v>0</v>
      </c>
      <c r="EV250" s="499">
        <f>EW250+EX250</f>
        <v>0</v>
      </c>
      <c r="EW250" s="89">
        <f>EW$163*EW249</f>
        <v>0</v>
      </c>
      <c r="EX250" s="89">
        <f>EX$163*EX249</f>
        <v>0</v>
      </c>
      <c r="EY250" s="499">
        <f>EZ250+FA250</f>
        <v>0</v>
      </c>
      <c r="EZ250" s="89">
        <f>EZ$163*EZ249</f>
        <v>0</v>
      </c>
      <c r="FA250" s="89">
        <f>FA$163*FA249</f>
        <v>0</v>
      </c>
      <c r="FB250" s="83"/>
      <c r="FC250" s="1751"/>
      <c r="FD250" s="1506"/>
      <c r="FE250" s="489" t="s">
        <v>979</v>
      </c>
      <c r="FF250" s="648"/>
      <c r="FG250" s="648"/>
      <c r="FH250" s="648"/>
      <c r="FI250" s="649"/>
      <c r="FJ250" s="649"/>
      <c r="FK250" s="1157" cm="1" t="str">
        <f t="array" ref="FK250:FK250">OFFSET(FJ250,-1,1)</f>
        <v>ТЭ.42.31656254.0001</v>
      </c>
      <c r="FL250" s="1159"/>
      <c r="FM250" s="1078" t="s">
        <v>824</v>
      </c>
      <c r="FN250" s="1159"/>
      <c r="FO250" s="1159"/>
      <c r="FP250" s="1159"/>
      <c r="FQ250" s="1159"/>
      <c r="FR250" s="1159"/>
      <c r="FS250" s="1159"/>
      <c r="FT250" s="1159"/>
      <c r="FU250" s="1159"/>
      <c r="FV250" s="1078" t="s">
        <v>255</v>
      </c>
      <c r="FW250" s="1159"/>
      <c r="FX250" s="1078" t="s">
        <v>303</v>
      </c>
      <c r="FY250" s="1078" t="s">
        <v>919</v>
      </c>
      <c r="FZ250" s="1078" t="s">
        <v>920</v>
      </c>
    </row>
    <row s="1751" customFormat="1" customHeight="1" ht="16.5" hidden="1">
      <c r="E251" s="180">
        <v>17</v>
      </c>
      <c r="F251" s="175" cm="1" t="str">
        <f t="array" ref="F251:F251">OFFSET(G251,-1,-1)</f>
        <v>1</v>
      </c>
      <c r="L251" s="175" cm="1" t="str">
        <f t="array" ref="L251:L251">OFFSET(M251,-1,-1)</f>
        <v>false</v>
      </c>
      <c r="S251" s="175" cm="1" t="str">
        <f t="array" ref="S251:S251">OFFSET(T251,-1,-1)</f>
        <v>true</v>
      </c>
      <c r="T251" s="175">
        <f>AD251&lt;&gt;"38.0"</f>
        <v>0</v>
      </c>
      <c r="U251" s="753">
        <f>AND(S251,IF(ISBLANK(T251),TRUE,T251))</f>
        <v>0</v>
      </c>
      <c r="X251" s="175" t="s">
        <v>189</v>
      </c>
      <c r="AB251" s="1607"/>
      <c r="AD251" s="491" t="s">
        <v>980</v>
      </c>
      <c r="AE251" s="514"/>
      <c r="AF251" s="515"/>
      <c r="AG251" s="470" t="s">
        <v>917</v>
      </c>
      <c r="AH251" s="88"/>
      <c r="AI251" s="89"/>
      <c r="AJ251" s="89"/>
      <c r="AK251" s="89"/>
      <c r="AL251" s="499">
        <f>AM251+AN251</f>
        <v>0</v>
      </c>
      <c r="AM251" s="89"/>
      <c r="AN251" s="89"/>
      <c r="AO251" s="499">
        <f>AP251+AQ251</f>
        <v>0</v>
      </c>
      <c r="AP251" s="89"/>
      <c r="AQ251" s="89"/>
      <c r="AR251" s="499">
        <f>AS251+AT251</f>
        <v>0</v>
      </c>
      <c r="AS251" s="89"/>
      <c r="AT251" s="89"/>
      <c r="AU251" s="499">
        <f>AV251+AW251</f>
        <v>0</v>
      </c>
      <c r="AV251" s="89"/>
      <c r="AW251" s="89"/>
      <c r="AX251" s="499">
        <f>AY251+AZ251</f>
        <v>0</v>
      </c>
      <c r="AY251" s="89"/>
      <c r="AZ251" s="89"/>
      <c r="BA251" s="499">
        <f>BB251+BC251</f>
        <v>0</v>
      </c>
      <c r="BB251" s="89"/>
      <c r="BC251" s="89"/>
      <c r="BD251" s="499">
        <f>BE251+BF251</f>
        <v>0</v>
      </c>
      <c r="BE251" s="89"/>
      <c r="BF251" s="89"/>
      <c r="BG251" s="499">
        <f>BH251+BI251</f>
        <v>0</v>
      </c>
      <c r="BH251" s="89"/>
      <c r="BI251" s="89"/>
      <c r="BJ251" s="499">
        <f>BK251+BL251</f>
        <v>0</v>
      </c>
      <c r="BK251" s="89"/>
      <c r="BL251" s="89"/>
      <c r="BM251" s="499">
        <f>BN251+BO251</f>
        <v>0</v>
      </c>
      <c r="BN251" s="89"/>
      <c r="BO251" s="89"/>
      <c r="BP251" s="499">
        <f>BQ251+BR251</f>
        <v>0</v>
      </c>
      <c r="BQ251" s="89"/>
      <c r="BR251" s="89"/>
      <c r="BS251" s="499">
        <f>BT251+BU251</f>
        <v>0</v>
      </c>
      <c r="BT251" s="89"/>
      <c r="BU251" s="89"/>
      <c r="BV251" s="499">
        <f>BW251+BX251</f>
        <v>0</v>
      </c>
      <c r="BW251" s="89"/>
      <c r="BX251" s="89"/>
      <c r="BY251" s="499">
        <f>BZ251+CA251</f>
        <v>0</v>
      </c>
      <c r="BZ251" s="89"/>
      <c r="CA251" s="89"/>
      <c r="CB251" s="499">
        <f>CC251+CD251</f>
        <v>0</v>
      </c>
      <c r="CC251" s="89"/>
      <c r="CD251" s="89"/>
      <c r="CE251" s="499">
        <f>CF251+CG251</f>
        <v>0</v>
      </c>
      <c r="CF251" s="89"/>
      <c r="CG251" s="89"/>
      <c r="CH251" s="499">
        <f>CI251+CJ251</f>
        <v>0</v>
      </c>
      <c r="CI251" s="89"/>
      <c r="CJ251" s="89"/>
      <c r="CK251" s="499">
        <f>CL251+CM251</f>
        <v>0</v>
      </c>
      <c r="CL251" s="89"/>
      <c r="CM251" s="89"/>
      <c r="CN251" s="499">
        <f>CO251+CP251</f>
        <v>0</v>
      </c>
      <c r="CO251" s="89"/>
      <c r="CP251" s="89"/>
      <c r="CQ251" s="499">
        <f>CR251+CS251</f>
        <v>0</v>
      </c>
      <c r="CR251" s="89"/>
      <c r="CS251" s="89"/>
      <c r="CT251" s="499">
        <f>CU251+CV251</f>
        <v>0</v>
      </c>
      <c r="CU251" s="498"/>
      <c r="CV251" s="498"/>
      <c r="CW251" s="499">
        <f>CX251+CY251</f>
        <v>0</v>
      </c>
      <c r="CX251" s="89"/>
      <c r="CY251" s="89"/>
      <c r="CZ251" s="499">
        <f>DA251+DB251</f>
        <v>0</v>
      </c>
      <c r="DA251" s="89"/>
      <c r="DB251" s="89"/>
      <c r="DC251" s="499">
        <f>DD251+DE251</f>
        <v>0</v>
      </c>
      <c r="DD251" s="89"/>
      <c r="DE251" s="89"/>
      <c r="DF251" s="499">
        <f>DG251+DH251</f>
        <v>0</v>
      </c>
      <c r="DG251" s="89"/>
      <c r="DH251" s="89"/>
      <c r="DI251" s="499">
        <f>DJ251+DK251</f>
        <v>0</v>
      </c>
      <c r="DJ251" s="89"/>
      <c r="DK251" s="89"/>
      <c r="DL251" s="499">
        <f>DM251+DN251</f>
        <v>0</v>
      </c>
      <c r="DM251" s="89"/>
      <c r="DN251" s="89"/>
      <c r="DO251" s="499">
        <f>DP251+DQ251</f>
        <v>0</v>
      </c>
      <c r="DP251" s="89"/>
      <c r="DQ251" s="89"/>
      <c r="DR251" s="499">
        <f>DS251+DT251</f>
        <v>0</v>
      </c>
      <c r="DS251" s="89"/>
      <c r="DT251" s="89"/>
      <c r="DU251" s="499">
        <f>DV251+DW251</f>
        <v>0</v>
      </c>
      <c r="DV251" s="89"/>
      <c r="DW251" s="89"/>
      <c r="DX251" s="499">
        <f>DY251+DZ251</f>
        <v>0</v>
      </c>
      <c r="DY251" s="89"/>
      <c r="DZ251" s="89"/>
      <c r="EA251" s="499">
        <f>EB251+EC251</f>
        <v>0</v>
      </c>
      <c r="EB251" s="89"/>
      <c r="EC251" s="89"/>
      <c r="ED251" s="499">
        <f>EE251+EF251</f>
        <v>0</v>
      </c>
      <c r="EE251" s="89"/>
      <c r="EF251" s="89"/>
      <c r="EG251" s="499">
        <f>EH251+EI251</f>
        <v>0</v>
      </c>
      <c r="EH251" s="89"/>
      <c r="EI251" s="89"/>
      <c r="EJ251" s="499">
        <f>EK251+EL251</f>
        <v>0</v>
      </c>
      <c r="EK251" s="89"/>
      <c r="EL251" s="89"/>
      <c r="EM251" s="499">
        <f>EN251+EO251</f>
        <v>0</v>
      </c>
      <c r="EN251" s="89"/>
      <c r="EO251" s="89"/>
      <c r="EP251" s="499">
        <f>EQ251+ER251</f>
        <v>0</v>
      </c>
      <c r="EQ251" s="89"/>
      <c r="ER251" s="89"/>
      <c r="ES251" s="499">
        <f>ET251+EU251</f>
        <v>0</v>
      </c>
      <c r="ET251" s="89"/>
      <c r="EU251" s="89"/>
      <c r="EV251" s="499">
        <f>EW251+EX251</f>
        <v>0</v>
      </c>
      <c r="EW251" s="89"/>
      <c r="EX251" s="89"/>
      <c r="EY251" s="499">
        <f>EZ251+FA251</f>
        <v>0</v>
      </c>
      <c r="EZ251" s="89"/>
      <c r="FA251" s="89"/>
      <c r="FB251" s="83"/>
      <c r="FE251" s="489" t="s">
        <v>979</v>
      </c>
      <c r="FF251" s="648" t="s">
        <v>890</v>
      </c>
      <c r="FG251" s="648" cm="1" t="str">
        <f t="array" ref="FG251:FG251">AE251</f>
        <v>0</v>
      </c>
      <c r="FH251" s="648" cm="1" t="str">
        <f t="array" ref="FH251:FH251">AF251</f>
        <v>0</v>
      </c>
      <c r="FI251" s="649"/>
      <c r="FJ251" s="649"/>
      <c r="FK251" s="1157" cm="1" t="str">
        <f t="array" ref="FK251:FK251">OFFSET(FJ251,-1,1)</f>
        <v>ТЭ.42.31656254.0001</v>
      </c>
      <c r="FL251" s="1159"/>
      <c r="FM251" s="1159" t="str">
        <f>"1.0.67."&amp;$AE251&amp;"|"&amp;$AF251</f>
        <v>1.0.67.|</v>
      </c>
      <c r="FN251" s="1159"/>
      <c r="FO251" s="1159"/>
      <c r="FP251" s="1159"/>
      <c r="FQ251" s="1159"/>
      <c r="FR251" s="1159"/>
      <c r="FS251" s="1159"/>
      <c r="FT251" s="1159"/>
      <c r="FU251" s="1159"/>
      <c r="FV251" s="1159"/>
      <c r="FW251" s="1159"/>
      <c r="FX251" s="1159" t="s">
        <v>303</v>
      </c>
      <c r="FY251" s="1159" t="s">
        <v>919</v>
      </c>
      <c r="FZ251" s="1159" t="s">
        <v>920</v>
      </c>
    </row>
    <row s="1751" customFormat="1" customHeight="1" ht="16.5">
      <c r="A252" s="1751"/>
      <c r="B252" s="1751"/>
      <c r="C252" s="1751"/>
      <c r="D252" s="1751"/>
      <c r="E252" s="180">
        <v>17</v>
      </c>
      <c r="F252" s="175" cm="1" t="str">
        <f t="array" ref="F252:F252">OFFSET(G252,-1,-1)</f>
        <v>1</v>
      </c>
      <c r="G252" s="1751"/>
      <c r="H252" s="1751"/>
      <c r="I252" s="1751"/>
      <c r="J252" s="1751"/>
      <c r="K252" s="1751"/>
      <c r="L252" s="175" cm="1" t="str">
        <f t="array" ref="L252:L252">OFFSET(M252,-1,-1)</f>
        <v>false</v>
      </c>
      <c r="M252" s="1751"/>
      <c r="N252" s="1751"/>
      <c r="O252" s="1751"/>
      <c r="P252" s="1751"/>
      <c r="Q252" s="1751"/>
      <c r="R252" s="1751"/>
      <c r="S252" s="175" cm="1" t="str">
        <f t="array" ref="S252:S252">OFFSET(T252,-1,-1)</f>
        <v>true</v>
      </c>
      <c r="T252" s="175">
        <f>AD252&lt;&gt;"38.0"</f>
        <v>1</v>
      </c>
      <c r="U252" s="753">
        <f>AND(S252,IF(ISBLANK(T252),TRUE,T252))</f>
        <v>1</v>
      </c>
      <c r="V252" s="1751"/>
      <c r="W252" s="1751"/>
      <c r="X252" s="175" t="str">
        <f>'Топливо 4.4'!$AE$247&amp;'Топливо 4.4'!$AF$247</f>
        <v>Уголь длиннопламенный</v>
      </c>
      <c r="Y252" s="1751"/>
      <c r="Z252" s="1751"/>
      <c r="AA252" s="1751"/>
      <c r="AB252" s="1607"/>
      <c r="AC252" s="1751"/>
      <c r="AD252" s="491" t="s">
        <v>1030</v>
      </c>
      <c r="AE252" s="514" cm="1" t="str">
        <f t="array" ref="AE252:AE252">IF(ISBLANK('Топливо 4.4'!$AE$247),"",'Топливо 4.4'!$AE$247)</f>
        <v>Уголь длиннопламенный</v>
      </c>
      <c r="AF252" s="515" cm="1" t="str">
        <f t="array" ref="AF252:AF252">IF(ISBLANK('Топливо 4.4'!$AF$247),"",'Топливо 4.4'!$AF$247)</f>
        <v/>
      </c>
      <c r="AG252" s="470" t="s">
        <v>917</v>
      </c>
      <c r="AH252" s="2255"/>
      <c r="AI252" s="2256"/>
      <c r="AJ252" s="2256"/>
      <c r="AK252" s="2256"/>
      <c r="AL252" s="499">
        <f>AM252+AN252</f>
        <v>0</v>
      </c>
      <c r="AM252" s="2256"/>
      <c r="AN252" s="2256"/>
      <c r="AO252" s="499">
        <f>AP252+AQ252</f>
        <v>0</v>
      </c>
      <c r="AP252" s="2256"/>
      <c r="AQ252" s="2256"/>
      <c r="AR252" s="499">
        <f>AS252+AT252</f>
        <v>0</v>
      </c>
      <c r="AS252" s="2256"/>
      <c r="AT252" s="2256"/>
      <c r="AU252" s="499">
        <f>AV252+AW252</f>
        <v>0</v>
      </c>
      <c r="AV252" s="2256"/>
      <c r="AW252" s="2256"/>
      <c r="AX252" s="499">
        <f>AY252+AZ252</f>
        <v>0</v>
      </c>
      <c r="AY252" s="2256"/>
      <c r="AZ252" s="2256"/>
      <c r="BA252" s="499">
        <f>BB252+BC252</f>
        <v>0</v>
      </c>
      <c r="BB252" s="2256"/>
      <c r="BC252" s="2256"/>
      <c r="BD252" s="499">
        <f>BE252+BF252</f>
        <v>0</v>
      </c>
      <c r="BE252" s="2256"/>
      <c r="BF252" s="2256"/>
      <c r="BG252" s="499">
        <f>BH252+BI252</f>
        <v>0</v>
      </c>
      <c r="BH252" s="2256"/>
      <c r="BI252" s="2256"/>
      <c r="BJ252" s="499">
        <f>BK252+BL252</f>
        <v>0</v>
      </c>
      <c r="BK252" s="2256"/>
      <c r="BL252" s="2256"/>
      <c r="BM252" s="499">
        <f>BN252+BO252</f>
        <v>0</v>
      </c>
      <c r="BN252" s="2256"/>
      <c r="BO252" s="2256"/>
      <c r="BP252" s="499">
        <f>BQ252+BR252</f>
        <v>0</v>
      </c>
      <c r="BQ252" s="2256"/>
      <c r="BR252" s="2256"/>
      <c r="BS252" s="499">
        <f>BT252+BU252</f>
        <v>0</v>
      </c>
      <c r="BT252" s="2256"/>
      <c r="BU252" s="2256"/>
      <c r="BV252" s="499">
        <f>BW252+BX252</f>
        <v>0</v>
      </c>
      <c r="BW252" s="2256"/>
      <c r="BX252" s="2256"/>
      <c r="BY252" s="499">
        <f>BZ252+CA252</f>
        <v>0</v>
      </c>
      <c r="BZ252" s="2256"/>
      <c r="CA252" s="2256"/>
      <c r="CB252" s="499">
        <f>CC252+CD252</f>
        <v>0</v>
      </c>
      <c r="CC252" s="2256"/>
      <c r="CD252" s="2256"/>
      <c r="CE252" s="499">
        <f>CF252+CG252</f>
        <v>0</v>
      </c>
      <c r="CF252" s="2256"/>
      <c r="CG252" s="2256"/>
      <c r="CH252" s="499">
        <f>CI252+CJ252</f>
        <v>0</v>
      </c>
      <c r="CI252" s="2256"/>
      <c r="CJ252" s="2256"/>
      <c r="CK252" s="499">
        <f>CL252+CM252</f>
        <v>0</v>
      </c>
      <c r="CL252" s="2256"/>
      <c r="CM252" s="2256"/>
      <c r="CN252" s="499">
        <f>CO252+CP252</f>
        <v>0</v>
      </c>
      <c r="CO252" s="2256"/>
      <c r="CP252" s="2256"/>
      <c r="CQ252" s="499">
        <f>CR252+CS252</f>
        <v>0</v>
      </c>
      <c r="CR252" s="2256"/>
      <c r="CS252" s="2256"/>
      <c r="CT252" s="499">
        <f>CU252+CV252</f>
        <v>0</v>
      </c>
      <c r="CU252" s="498"/>
      <c r="CV252" s="498"/>
      <c r="CW252" s="499">
        <f>CX252+CY252</f>
        <v>0</v>
      </c>
      <c r="CX252" s="2256"/>
      <c r="CY252" s="2256"/>
      <c r="CZ252" s="499">
        <f>DA252+DB252</f>
        <v>0</v>
      </c>
      <c r="DA252" s="2256"/>
      <c r="DB252" s="2256"/>
      <c r="DC252" s="499">
        <f>DD252+DE252</f>
        <v>0</v>
      </c>
      <c r="DD252" s="2256"/>
      <c r="DE252" s="2256"/>
      <c r="DF252" s="499">
        <f>DG252+DH252</f>
        <v>0</v>
      </c>
      <c r="DG252" s="2256"/>
      <c r="DH252" s="2256"/>
      <c r="DI252" s="499">
        <f>DJ252+DK252</f>
        <v>0</v>
      </c>
      <c r="DJ252" s="2256"/>
      <c r="DK252" s="2256"/>
      <c r="DL252" s="499">
        <f>DM252+DN252</f>
        <v>0</v>
      </c>
      <c r="DM252" s="2256"/>
      <c r="DN252" s="2256"/>
      <c r="DO252" s="499">
        <f>DP252+DQ252</f>
        <v>0</v>
      </c>
      <c r="DP252" s="2256"/>
      <c r="DQ252" s="2256"/>
      <c r="DR252" s="499">
        <f>DS252+DT252</f>
        <v>0</v>
      </c>
      <c r="DS252" s="2256"/>
      <c r="DT252" s="2256"/>
      <c r="DU252" s="499">
        <f>DV252+DW252</f>
        <v>0</v>
      </c>
      <c r="DV252" s="2256"/>
      <c r="DW252" s="2256"/>
      <c r="DX252" s="499">
        <f>DY252+DZ252</f>
        <v>0</v>
      </c>
      <c r="DY252" s="2256"/>
      <c r="DZ252" s="2256"/>
      <c r="EA252" s="499">
        <f>EB252+EC252</f>
        <v>0</v>
      </c>
      <c r="EB252" s="2256"/>
      <c r="EC252" s="2256"/>
      <c r="ED252" s="499">
        <f>EE252+EF252</f>
        <v>0</v>
      </c>
      <c r="EE252" s="2256"/>
      <c r="EF252" s="2256"/>
      <c r="EG252" s="499">
        <f>EH252+EI252</f>
        <v>0</v>
      </c>
      <c r="EH252" s="2256"/>
      <c r="EI252" s="2256"/>
      <c r="EJ252" s="499">
        <f>EK252+EL252</f>
        <v>0</v>
      </c>
      <c r="EK252" s="2256"/>
      <c r="EL252" s="2256"/>
      <c r="EM252" s="499">
        <f>EN252+EO252</f>
        <v>0</v>
      </c>
      <c r="EN252" s="2256"/>
      <c r="EO252" s="2256"/>
      <c r="EP252" s="499">
        <f>EQ252+ER252</f>
        <v>0</v>
      </c>
      <c r="EQ252" s="2256"/>
      <c r="ER252" s="2256"/>
      <c r="ES252" s="499">
        <f>ET252+EU252</f>
        <v>0</v>
      </c>
      <c r="ET252" s="2256"/>
      <c r="EU252" s="2256"/>
      <c r="EV252" s="499">
        <f>EW252+EX252</f>
        <v>0</v>
      </c>
      <c r="EW252" s="2256"/>
      <c r="EX252" s="2256"/>
      <c r="EY252" s="499">
        <f>EZ252+FA252</f>
        <v>0</v>
      </c>
      <c r="EZ252" s="2256"/>
      <c r="FA252" s="2256"/>
      <c r="FB252" s="1897"/>
      <c r="FC252" s="1751"/>
      <c r="FD252" s="1751"/>
      <c r="FE252" s="489" t="s">
        <v>979</v>
      </c>
      <c r="FF252" s="648" t="s">
        <v>890</v>
      </c>
      <c r="FG252" s="648" cm="1" t="str">
        <f t="array" ref="FG252:FG252">AE252</f>
        <v>Уголь длиннопламенный</v>
      </c>
      <c r="FH252" s="648" cm="1" t="str">
        <f t="array" ref="FH252:FH252">AF252</f>
        <v/>
      </c>
      <c r="FI252" s="649"/>
      <c r="FJ252" s="649"/>
      <c r="FK252" s="1157" cm="1" t="str">
        <f t="array" ref="FK252:FK252">OFFSET(FJ252,-1,1)</f>
        <v>ТЭ.42.31656254.0001</v>
      </c>
      <c r="FL252" s="1159"/>
      <c r="FM252" s="1159" t="str">
        <f>"1.0.67."&amp;$AE252&amp;"|"&amp;$AF252</f>
        <v>1.0.67.Уголь длиннопламенный|</v>
      </c>
      <c r="FN252" s="1159"/>
      <c r="FO252" s="1159"/>
      <c r="FP252" s="1159"/>
      <c r="FQ252" s="1159"/>
      <c r="FR252" s="1159"/>
      <c r="FS252" s="1159"/>
      <c r="FT252" s="1159"/>
      <c r="FU252" s="1159"/>
      <c r="FV252" s="1159"/>
      <c r="FW252" s="1159"/>
      <c r="FX252" s="1159" t="s">
        <v>303</v>
      </c>
      <c r="FY252" s="1159" t="s">
        <v>919</v>
      </c>
      <c r="FZ252" s="1159" t="s">
        <v>920</v>
      </c>
    </row>
    <row s="1751" customFormat="1" customHeight="1" ht="15" hidden="1">
      <c r="A253" s="371"/>
      <c r="B253" s="1548"/>
      <c r="C253" s="1548"/>
      <c r="D253" s="1548"/>
      <c r="E253" s="965">
        <v>0</v>
      </c>
      <c r="F253" s="175" cm="1" t="str">
        <f t="array" ref="F253:F253">OFFSET(G253,-1,-1)</f>
        <v>1</v>
      </c>
      <c r="G253" s="1659"/>
      <c r="H253" s="1659"/>
      <c r="I253" s="1659"/>
      <c r="J253" s="1659"/>
      <c r="K253" s="1659"/>
      <c r="L253" s="175" cm="1" t="str">
        <f t="array" ref="L253:L253">OFFSET(M253,-1,-1)</f>
        <v>false</v>
      </c>
      <c r="M253" s="1659"/>
      <c r="N253" s="1659"/>
      <c r="O253" s="1659"/>
      <c r="P253" s="1659"/>
      <c r="Q253" s="1659"/>
      <c r="R253" s="1548"/>
      <c r="S253" s="175" cm="1" t="str">
        <f t="array" ref="S253:S253">OFFSET(T253,-1,-1)</f>
        <v>true</v>
      </c>
      <c r="T253" s="1548"/>
      <c r="U253" s="753">
        <f>AND(S253,IF(ISBLANK(T253),TRUE,T253))</f>
        <v>1</v>
      </c>
      <c r="V253" s="1548"/>
      <c r="W253" s="1548"/>
      <c r="X253" s="980" t="str">
        <f>"{                  
         funcDyn: 'msg1',
         blok: 'blok_2',
         wsCross: 'Топливо 4.4',
         linkFormula: 'AE-AE#AF-AF',
         levelDyn: "&amp;Y139&amp;"
}"</f>
        <v>{                  
         funcDyn: 'msg1',
         blok: 'blok_2',
         wsCross: 'Топливо 4.4',
         linkFormula: 'AE-AE#AF-AF',
         levelDyn: 1
}</v>
      </c>
      <c r="Y253" s="1548"/>
      <c r="Z253" s="1548"/>
      <c r="AA253" s="1009"/>
      <c r="AB253" s="1607"/>
      <c r="AC253" s="1751"/>
      <c r="AD253" s="517"/>
      <c r="AE253" s="518" t="s">
        <v>191</v>
      </c>
      <c r="AF253" s="519"/>
      <c r="AG253" s="470"/>
      <c r="AH253" s="524"/>
      <c r="AI253" s="525"/>
      <c r="AJ253" s="525"/>
      <c r="AK253" s="525"/>
      <c r="AL253" s="525"/>
      <c r="AM253" s="525"/>
      <c r="AN253" s="525"/>
      <c r="AO253" s="525"/>
      <c r="AP253" s="525"/>
      <c r="AQ253" s="525"/>
      <c r="AR253" s="525"/>
      <c r="AS253" s="525"/>
      <c r="AT253" s="525"/>
      <c r="AU253" s="525"/>
      <c r="AV253" s="525"/>
      <c r="AW253" s="525"/>
      <c r="AX253" s="525"/>
      <c r="AY253" s="525"/>
      <c r="AZ253" s="525"/>
      <c r="BA253" s="525"/>
      <c r="BB253" s="525"/>
      <c r="BC253" s="525"/>
      <c r="BD253" s="525"/>
      <c r="BE253" s="525"/>
      <c r="BF253" s="525"/>
      <c r="BG253" s="525"/>
      <c r="BH253" s="525"/>
      <c r="BI253" s="525"/>
      <c r="BJ253" s="525"/>
      <c r="BK253" s="525"/>
      <c r="BL253" s="525"/>
      <c r="BM253" s="525"/>
      <c r="BN253" s="525"/>
      <c r="BO253" s="525"/>
      <c r="BP253" s="525"/>
      <c r="BQ253" s="525"/>
      <c r="BR253" s="525"/>
      <c r="BS253" s="525"/>
      <c r="BT253" s="525"/>
      <c r="BU253" s="525"/>
      <c r="BV253" s="525"/>
      <c r="BW253" s="525"/>
      <c r="BX253" s="525"/>
      <c r="BY253" s="525"/>
      <c r="BZ253" s="525"/>
      <c r="CA253" s="525"/>
      <c r="CB253" s="525"/>
      <c r="CC253" s="525"/>
      <c r="CD253" s="525"/>
      <c r="CE253" s="525"/>
      <c r="CF253" s="525"/>
      <c r="CG253" s="525"/>
      <c r="CH253" s="525"/>
      <c r="CI253" s="525"/>
      <c r="CJ253" s="525"/>
      <c r="CK253" s="525"/>
      <c r="CL253" s="525"/>
      <c r="CM253" s="525"/>
      <c r="CN253" s="525"/>
      <c r="CO253" s="525"/>
      <c r="CP253" s="525"/>
      <c r="CQ253" s="525"/>
      <c r="CR253" s="525"/>
      <c r="CS253" s="525"/>
      <c r="CT253" s="525"/>
      <c r="CU253" s="525"/>
      <c r="CV253" s="525"/>
      <c r="CW253" s="525"/>
      <c r="CX253" s="525"/>
      <c r="CY253" s="525"/>
      <c r="CZ253" s="525"/>
      <c r="DA253" s="525"/>
      <c r="DB253" s="525"/>
      <c r="DC253" s="525"/>
      <c r="DD253" s="525"/>
      <c r="DE253" s="525"/>
      <c r="DF253" s="525"/>
      <c r="DG253" s="525"/>
      <c r="DH253" s="525"/>
      <c r="DI253" s="525"/>
      <c r="DJ253" s="525"/>
      <c r="DK253" s="525"/>
      <c r="DL253" s="525"/>
      <c r="DM253" s="525"/>
      <c r="DN253" s="525"/>
      <c r="DO253" s="525"/>
      <c r="DP253" s="525"/>
      <c r="DQ253" s="525"/>
      <c r="DR253" s="525"/>
      <c r="DS253" s="525"/>
      <c r="DT253" s="525"/>
      <c r="DU253" s="525"/>
      <c r="DV253" s="525"/>
      <c r="DW253" s="525"/>
      <c r="DX253" s="525"/>
      <c r="DY253" s="525"/>
      <c r="DZ253" s="525"/>
      <c r="EA253" s="525"/>
      <c r="EB253" s="525"/>
      <c r="EC253" s="525"/>
      <c r="ED253" s="525"/>
      <c r="EE253" s="525"/>
      <c r="EF253" s="525"/>
      <c r="EG253" s="525"/>
      <c r="EH253" s="525"/>
      <c r="EI253" s="525"/>
      <c r="EJ253" s="525"/>
      <c r="EK253" s="525"/>
      <c r="EL253" s="525"/>
      <c r="EM253" s="525"/>
      <c r="EN253" s="525"/>
      <c r="EO253" s="525"/>
      <c r="EP253" s="525"/>
      <c r="EQ253" s="525"/>
      <c r="ER253" s="525"/>
      <c r="ES253" s="525"/>
      <c r="ET253" s="525"/>
      <c r="EU253" s="525"/>
      <c r="EV253" s="525"/>
      <c r="EW253" s="525"/>
      <c r="EX253" s="525"/>
      <c r="EY253" s="525"/>
      <c r="EZ253" s="525"/>
      <c r="FA253" s="525"/>
      <c r="FB253" s="93"/>
      <c r="FC253" s="1751"/>
      <c r="FD253" s="1506"/>
      <c r="FE253" s="489" t="str">
        <f>IF(AND(ISNUMBER(VALUE(TRIM(SUBSTITUTE(AD253,".","")))),TRIM(SUBSTITUTE(AD253,".",""))&lt;&gt;""),"P"&amp;SUBSTITUTE(AD253,".",""),"")</f>
        <v/>
      </c>
      <c r="FF253" s="648"/>
      <c r="FG253" s="648"/>
      <c r="FH253" s="648"/>
      <c r="FI253" s="649"/>
      <c r="FJ253" s="649"/>
      <c r="FK253" s="1157" cm="1" t="str">
        <f t="array" ref="FK253:FK253">OFFSET(FJ253,-1,1)</f>
        <v>ТЭ.42.31656254.0001</v>
      </c>
      <c r="FL253" s="1159"/>
      <c r="FM253" s="1159"/>
      <c r="FN253" s="1159"/>
      <c r="FO253" s="1159"/>
      <c r="FP253" s="1159"/>
      <c r="FQ253" s="1159"/>
      <c r="FR253" s="1159"/>
      <c r="FS253" s="1159"/>
      <c r="FT253" s="1159"/>
      <c r="FU253" s="1159"/>
      <c r="FV253" s="1159"/>
      <c r="FW253" s="1159"/>
      <c r="FX253" s="1159"/>
      <c r="FY253" s="1159"/>
      <c r="FZ253" s="1159"/>
    </row>
    <row s="1751" customFormat="1" customHeight="1" ht="29.25" hidden="1">
      <c r="A254" s="371"/>
      <c r="B254" s="1548"/>
      <c r="C254" s="1548"/>
      <c r="D254" s="1548"/>
      <c r="E254" s="180">
        <v>30</v>
      </c>
      <c r="F254" s="175" cm="1" t="str">
        <f t="array" ref="F254:F254">OFFSET(G254,-1,-1)</f>
        <v>1</v>
      </c>
      <c r="G254" s="1659"/>
      <c r="H254" s="1659"/>
      <c r="I254" s="1659"/>
      <c r="J254" s="1659"/>
      <c r="K254" s="1659"/>
      <c r="L254" s="175" cm="1" t="str">
        <f t="array" ref="L254:L254">OFFSET(M254,-1,-1)</f>
        <v>false</v>
      </c>
      <c r="M254" s="1659"/>
      <c r="N254" s="1659"/>
      <c r="O254" s="1659"/>
      <c r="P254" s="1659"/>
      <c r="Q254" s="1659"/>
      <c r="R254" s="175" t="s">
        <v>804</v>
      </c>
      <c r="S254" s="175" cm="1" t="str">
        <f t="array" ref="S254:S254">OFFSET(T254,-1,-1)</f>
        <v>true</v>
      </c>
      <c r="T254" s="175" cm="1" t="str">
        <f t="array" ref="T254:T254">L254</f>
        <v>false</v>
      </c>
      <c r="U254" s="753">
        <f>AND(S254,IF(ISBLANK(T254),TRUE,T254))</f>
        <v>0</v>
      </c>
      <c r="V254" s="1548"/>
      <c r="W254" s="1548"/>
      <c r="X254" s="1548"/>
      <c r="Y254" s="1548"/>
      <c r="Z254" s="1548"/>
      <c r="AA254" s="1009"/>
      <c r="AB254" s="1607"/>
      <c r="AC254" s="1751"/>
      <c r="AD254" s="327">
        <v>39</v>
      </c>
      <c r="AE254" s="1623" t="s">
        <v>981</v>
      </c>
      <c r="AF254" s="437"/>
      <c r="AG254" s="470" t="s">
        <v>917</v>
      </c>
      <c r="AH254" s="500">
        <f>SUM(AH255:AH257)</f>
        <v>0</v>
      </c>
      <c r="AI254" s="500">
        <f>SUM(AI255:AI257)</f>
        <v>0</v>
      </c>
      <c r="AJ254" s="500">
        <f>SUM(AJ255:AJ257)</f>
        <v>0</v>
      </c>
      <c r="AK254" s="500">
        <f>SUM(AK255:AK257)</f>
        <v>0</v>
      </c>
      <c r="AL254" s="500">
        <f>SUM(AL255:AL257)</f>
        <v>0</v>
      </c>
      <c r="AM254" s="500">
        <f>SUM(AM255:AM257)</f>
        <v>0</v>
      </c>
      <c r="AN254" s="500">
        <f>SUM(AN255:AN257)</f>
        <v>0</v>
      </c>
      <c r="AO254" s="500">
        <f>SUM(AO255:AO257)</f>
        <v>0</v>
      </c>
      <c r="AP254" s="500">
        <f>SUM(AP255:AP257)</f>
        <v>0</v>
      </c>
      <c r="AQ254" s="500">
        <f>SUM(AQ255:AQ257)</f>
        <v>0</v>
      </c>
      <c r="AR254" s="500">
        <f>SUM(AR255:AR257)</f>
        <v>0</v>
      </c>
      <c r="AS254" s="500">
        <f>SUM(AS255:AS257)</f>
        <v>0</v>
      </c>
      <c r="AT254" s="500">
        <f>SUM(AT255:AT257)</f>
        <v>0</v>
      </c>
      <c r="AU254" s="500">
        <f>SUM(AU255:AU257)</f>
        <v>0</v>
      </c>
      <c r="AV254" s="500">
        <f>SUM(AV255:AV257)</f>
        <v>0</v>
      </c>
      <c r="AW254" s="500">
        <f>SUM(AW255:AW257)</f>
        <v>0</v>
      </c>
      <c r="AX254" s="500">
        <f>SUM(AX255:AX257)</f>
        <v>0</v>
      </c>
      <c r="AY254" s="500">
        <f>SUM(AY255:AY257)</f>
        <v>0</v>
      </c>
      <c r="AZ254" s="500">
        <f>SUM(AZ255:AZ257)</f>
        <v>0</v>
      </c>
      <c r="BA254" s="500">
        <f>SUM(BA255:BA257)</f>
        <v>0</v>
      </c>
      <c r="BB254" s="500">
        <f>SUM(BB255:BB257)</f>
        <v>0</v>
      </c>
      <c r="BC254" s="500">
        <f>SUM(BC255:BC257)</f>
        <v>0</v>
      </c>
      <c r="BD254" s="500">
        <f>SUM(BD255:BD257)</f>
        <v>0</v>
      </c>
      <c r="BE254" s="500">
        <f>SUM(BE255:BE257)</f>
        <v>0</v>
      </c>
      <c r="BF254" s="500">
        <f>SUM(BF255:BF257)</f>
        <v>0</v>
      </c>
      <c r="BG254" s="500">
        <f>SUM(BG255:BG257)</f>
        <v>0</v>
      </c>
      <c r="BH254" s="500">
        <f>SUM(BH255:BH257)</f>
        <v>0</v>
      </c>
      <c r="BI254" s="500">
        <f>SUM(BI255:BI257)</f>
        <v>0</v>
      </c>
      <c r="BJ254" s="500">
        <f>SUM(BJ255:BJ257)</f>
        <v>0</v>
      </c>
      <c r="BK254" s="500">
        <f>SUM(BK255:BK257)</f>
        <v>0</v>
      </c>
      <c r="BL254" s="500">
        <f>SUM(BL255:BL257)</f>
        <v>0</v>
      </c>
      <c r="BM254" s="500">
        <f>SUM(BM255:BM257)</f>
        <v>0</v>
      </c>
      <c r="BN254" s="500">
        <f>SUM(BN255:BN257)</f>
        <v>0</v>
      </c>
      <c r="BO254" s="500">
        <f>SUM(BO255:BO257)</f>
        <v>0</v>
      </c>
      <c r="BP254" s="500">
        <f>SUM(BP255:BP257)</f>
        <v>0</v>
      </c>
      <c r="BQ254" s="500">
        <f>SUM(BQ255:BQ257)</f>
        <v>0</v>
      </c>
      <c r="BR254" s="500">
        <f>SUM(BR255:BR257)</f>
        <v>0</v>
      </c>
      <c r="BS254" s="500">
        <f>SUM(BS255:BS257)</f>
        <v>0</v>
      </c>
      <c r="BT254" s="500">
        <f>SUM(BT255:BT257)</f>
        <v>0</v>
      </c>
      <c r="BU254" s="500">
        <f>SUM(BU255:BU257)</f>
        <v>0</v>
      </c>
      <c r="BV254" s="500">
        <f>SUM(BV255:BV257)</f>
        <v>0</v>
      </c>
      <c r="BW254" s="500">
        <f>SUM(BW255:BW257)</f>
        <v>0</v>
      </c>
      <c r="BX254" s="500">
        <f>SUM(BX255:BX257)</f>
        <v>0</v>
      </c>
      <c r="BY254" s="500">
        <f>SUM(BY255:BY257)</f>
        <v>0</v>
      </c>
      <c r="BZ254" s="500">
        <f>SUM(BZ255:BZ257)</f>
        <v>0</v>
      </c>
      <c r="CA254" s="500">
        <f>SUM(CA255:CA257)</f>
        <v>0</v>
      </c>
      <c r="CB254" s="500">
        <f>SUM(CB255:CB257)</f>
        <v>0</v>
      </c>
      <c r="CC254" s="500">
        <f>SUM(CC255:CC257)</f>
        <v>0</v>
      </c>
      <c r="CD254" s="500">
        <f>SUM(CD255:CD257)</f>
        <v>0</v>
      </c>
      <c r="CE254" s="500">
        <f>SUM(CE255:CE257)</f>
        <v>0</v>
      </c>
      <c r="CF254" s="500">
        <f>SUM(CF255:CF257)</f>
        <v>0</v>
      </c>
      <c r="CG254" s="500">
        <f>SUM(CG255:CG257)</f>
        <v>0</v>
      </c>
      <c r="CH254" s="500">
        <f>SUM(CH255:CH257)</f>
        <v>0</v>
      </c>
      <c r="CI254" s="500">
        <f>SUM(CI255:CI257)</f>
        <v>0</v>
      </c>
      <c r="CJ254" s="500">
        <f>SUM(CJ255:CJ257)</f>
        <v>0</v>
      </c>
      <c r="CK254" s="500">
        <f>SUM(CK255:CK257)</f>
        <v>0</v>
      </c>
      <c r="CL254" s="500">
        <f>SUM(CL255:CL257)</f>
        <v>0</v>
      </c>
      <c r="CM254" s="500">
        <f>SUM(CM255:CM257)</f>
        <v>0</v>
      </c>
      <c r="CN254" s="500">
        <f>SUM(CN255:CN257)</f>
        <v>0</v>
      </c>
      <c r="CO254" s="500">
        <f>SUM(CO255:CO257)</f>
        <v>0</v>
      </c>
      <c r="CP254" s="500">
        <f>SUM(CP255:CP257)</f>
        <v>0</v>
      </c>
      <c r="CQ254" s="500">
        <f>SUM(CQ255:CQ257)</f>
        <v>0</v>
      </c>
      <c r="CR254" s="500">
        <f>SUM(CR255:CR257)</f>
        <v>0</v>
      </c>
      <c r="CS254" s="500">
        <f>SUM(CS255:CS257)</f>
        <v>0</v>
      </c>
      <c r="CT254" s="500">
        <f>SUM(CT255:CT257)</f>
        <v>0</v>
      </c>
      <c r="CU254" s="500">
        <f>SUM(CU255:CU257)</f>
        <v>0</v>
      </c>
      <c r="CV254" s="500">
        <f>SUM(CV255:CV257)</f>
        <v>0</v>
      </c>
      <c r="CW254" s="500">
        <f>SUM(CW255:CW257)</f>
        <v>0</v>
      </c>
      <c r="CX254" s="500">
        <f>SUM(CX255:CX257)</f>
        <v>0</v>
      </c>
      <c r="CY254" s="500">
        <f>SUM(CY255:CY257)</f>
        <v>0</v>
      </c>
      <c r="CZ254" s="500">
        <f>SUM(CZ255:CZ257)</f>
        <v>0</v>
      </c>
      <c r="DA254" s="500">
        <f>SUM(DA255:DA257)</f>
        <v>0</v>
      </c>
      <c r="DB254" s="500">
        <f>SUM(DB255:DB257)</f>
        <v>0</v>
      </c>
      <c r="DC254" s="500">
        <f>SUM(DC255:DC257)</f>
        <v>0</v>
      </c>
      <c r="DD254" s="500">
        <f>SUM(DD255:DD257)</f>
        <v>0</v>
      </c>
      <c r="DE254" s="500">
        <f>SUM(DE255:DE257)</f>
        <v>0</v>
      </c>
      <c r="DF254" s="500">
        <f>SUM(DF255:DF257)</f>
        <v>0</v>
      </c>
      <c r="DG254" s="500">
        <f>SUM(DG255:DG257)</f>
        <v>0</v>
      </c>
      <c r="DH254" s="500">
        <f>SUM(DH255:DH257)</f>
        <v>0</v>
      </c>
      <c r="DI254" s="500">
        <f>SUM(DI255:DI257)</f>
        <v>0</v>
      </c>
      <c r="DJ254" s="500">
        <f>SUM(DJ255:DJ257)</f>
        <v>0</v>
      </c>
      <c r="DK254" s="500">
        <f>SUM(DK255:DK257)</f>
        <v>0</v>
      </c>
      <c r="DL254" s="500">
        <f>SUM(DL255:DL257)</f>
        <v>0</v>
      </c>
      <c r="DM254" s="500">
        <f>SUM(DM255:DM257)</f>
        <v>0</v>
      </c>
      <c r="DN254" s="500">
        <f>SUM(DN255:DN257)</f>
        <v>0</v>
      </c>
      <c r="DO254" s="500">
        <f>SUM(DO255:DO257)</f>
        <v>0</v>
      </c>
      <c r="DP254" s="500">
        <f>SUM(DP255:DP257)</f>
        <v>0</v>
      </c>
      <c r="DQ254" s="500">
        <f>SUM(DQ255:DQ257)</f>
        <v>0</v>
      </c>
      <c r="DR254" s="500">
        <f>SUM(DR255:DR257)</f>
        <v>0</v>
      </c>
      <c r="DS254" s="500">
        <f>SUM(DS255:DS257)</f>
        <v>0</v>
      </c>
      <c r="DT254" s="500">
        <f>SUM(DT255:DT257)</f>
        <v>0</v>
      </c>
      <c r="DU254" s="500">
        <f>SUM(DU255:DU257)</f>
        <v>0</v>
      </c>
      <c r="DV254" s="500">
        <f>SUM(DV255:DV257)</f>
        <v>0</v>
      </c>
      <c r="DW254" s="500">
        <f>SUM(DW255:DW257)</f>
        <v>0</v>
      </c>
      <c r="DX254" s="500">
        <f>SUM(DX255:DX257)</f>
        <v>0</v>
      </c>
      <c r="DY254" s="500">
        <f>SUM(DY255:DY257)</f>
        <v>0</v>
      </c>
      <c r="DZ254" s="500">
        <f>SUM(DZ255:DZ257)</f>
        <v>0</v>
      </c>
      <c r="EA254" s="500">
        <f>SUM(EA255:EA257)</f>
        <v>0</v>
      </c>
      <c r="EB254" s="500">
        <f>SUM(EB255:EB257)</f>
        <v>0</v>
      </c>
      <c r="EC254" s="500">
        <f>SUM(EC255:EC257)</f>
        <v>0</v>
      </c>
      <c r="ED254" s="500">
        <f>SUM(ED255:ED257)</f>
        <v>0</v>
      </c>
      <c r="EE254" s="500">
        <f>SUM(EE255:EE257)</f>
        <v>0</v>
      </c>
      <c r="EF254" s="500">
        <f>SUM(EF255:EF257)</f>
        <v>0</v>
      </c>
      <c r="EG254" s="500">
        <f>SUM(EG255:EG257)</f>
        <v>0</v>
      </c>
      <c r="EH254" s="500">
        <f>SUM(EH255:EH257)</f>
        <v>0</v>
      </c>
      <c r="EI254" s="500">
        <f>SUM(EI255:EI257)</f>
        <v>0</v>
      </c>
      <c r="EJ254" s="500">
        <f>SUM(EJ255:EJ257)</f>
        <v>0</v>
      </c>
      <c r="EK254" s="500">
        <f>SUM(EK255:EK257)</f>
        <v>0</v>
      </c>
      <c r="EL254" s="500">
        <f>SUM(EL255:EL257)</f>
        <v>0</v>
      </c>
      <c r="EM254" s="500">
        <f>SUM(EM255:EM257)</f>
        <v>0</v>
      </c>
      <c r="EN254" s="500">
        <f>SUM(EN255:EN257)</f>
        <v>0</v>
      </c>
      <c r="EO254" s="500">
        <f>SUM(EO255:EO257)</f>
        <v>0</v>
      </c>
      <c r="EP254" s="500">
        <f>SUM(EP255:EP257)</f>
        <v>0</v>
      </c>
      <c r="EQ254" s="500">
        <f>SUM(EQ255:EQ257)</f>
        <v>0</v>
      </c>
      <c r="ER254" s="500">
        <f>SUM(ER255:ER257)</f>
        <v>0</v>
      </c>
      <c r="ES254" s="500">
        <f>SUM(ES255:ES257)</f>
        <v>0</v>
      </c>
      <c r="ET254" s="500">
        <f>SUM(ET255:ET257)</f>
        <v>0</v>
      </c>
      <c r="EU254" s="500">
        <f>SUM(EU255:EU257)</f>
        <v>0</v>
      </c>
      <c r="EV254" s="500">
        <f>SUM(EV255:EV257)</f>
        <v>0</v>
      </c>
      <c r="EW254" s="500">
        <f>SUM(EW255:EW257)</f>
        <v>0</v>
      </c>
      <c r="EX254" s="500">
        <f>SUM(EX255:EX257)</f>
        <v>0</v>
      </c>
      <c r="EY254" s="500">
        <f>SUM(EY255:EY257)</f>
        <v>0</v>
      </c>
      <c r="EZ254" s="500">
        <f>SUM(EZ255:EZ257)</f>
        <v>0</v>
      </c>
      <c r="FA254" s="500">
        <f>SUM(FA255:FA257)</f>
        <v>0</v>
      </c>
      <c r="FB254" s="83"/>
      <c r="FC254" s="1751"/>
      <c r="FD254" s="1506"/>
      <c r="FE254" s="489" t="s">
        <v>982</v>
      </c>
      <c r="FF254" s="648"/>
      <c r="FG254" s="648"/>
      <c r="FH254" s="648"/>
      <c r="FI254" s="649"/>
      <c r="FJ254" s="649"/>
      <c r="FK254" s="1157" cm="1" t="str">
        <f t="array" ref="FK254:FK254">OFFSET(FJ254,-1,1)</f>
        <v>ТЭ.42.31656254.0001</v>
      </c>
      <c r="FL254" s="1078"/>
      <c r="FM254" s="1078" t="s">
        <v>978</v>
      </c>
      <c r="FN254" s="1159"/>
      <c r="FO254" s="1159"/>
      <c r="FP254" s="1159"/>
      <c r="FQ254" s="1159"/>
      <c r="FR254" s="1078" t="s">
        <v>561</v>
      </c>
      <c r="FS254" s="1159"/>
      <c r="FT254" s="1159"/>
      <c r="FU254" s="1159"/>
      <c r="FV254" s="1159"/>
      <c r="FW254" s="1159"/>
      <c r="FX254" s="1078" t="s">
        <v>303</v>
      </c>
      <c r="FY254" s="1078" t="s">
        <v>919</v>
      </c>
      <c r="FZ254" s="1078" t="s">
        <v>920</v>
      </c>
    </row>
    <row s="1751" customFormat="1" customHeight="1" ht="16.5" hidden="1">
      <c r="E255" s="180">
        <v>17</v>
      </c>
      <c r="F255" s="175" cm="1" t="str">
        <f t="array" ref="F255:F255">OFFSET(G255,-1,-1)</f>
        <v>1</v>
      </c>
      <c r="L255" s="175" cm="1" t="str">
        <f t="array" ref="L255:L255">OFFSET(M255,-1,-1)</f>
        <v>false</v>
      </c>
      <c r="R255" s="175" t="s">
        <v>804</v>
      </c>
      <c r="S255" s="175" cm="1" t="str">
        <f t="array" ref="S255:S255">OFFSET(T255,-1,-1)</f>
        <v>true</v>
      </c>
      <c r="T255" s="175">
        <f>AND(L255,AD255&lt;&gt;"39.0")</f>
        <v>0</v>
      </c>
      <c r="U255" s="753">
        <f>AND(S255,IF(ISBLANK(T255),TRUE,T255))</f>
        <v>0</v>
      </c>
      <c r="X255" s="175" t="s">
        <v>189</v>
      </c>
      <c r="AB255" s="1607"/>
      <c r="AD255" s="491" t="s">
        <v>983</v>
      </c>
      <c r="AE255" s="514"/>
      <c r="AF255" s="515"/>
      <c r="AG255" s="470" t="s">
        <v>917</v>
      </c>
      <c r="AH255" s="88">
        <f>AH$163*AH251</f>
        <v>0</v>
      </c>
      <c r="AI255" s="89">
        <f>AI$163*AI251</f>
        <v>0</v>
      </c>
      <c r="AJ255" s="89">
        <f>AJ$163*AJ251</f>
        <v>0</v>
      </c>
      <c r="AK255" s="89">
        <f>AK$163*AK251</f>
        <v>0</v>
      </c>
      <c r="AL255" s="499">
        <f>AM255+AN255</f>
        <v>0</v>
      </c>
      <c r="AM255" s="89">
        <f>AM$163*AM251</f>
        <v>0</v>
      </c>
      <c r="AN255" s="89">
        <f>AN$163*AN251</f>
        <v>0</v>
      </c>
      <c r="AO255" s="499">
        <f>AP255+AQ255</f>
        <v>0</v>
      </c>
      <c r="AP255" s="89">
        <f>AP$163*AP251</f>
        <v>0</v>
      </c>
      <c r="AQ255" s="89">
        <f>AQ$163*AQ251</f>
        <v>0</v>
      </c>
      <c r="AR255" s="499">
        <f>AS255+AT255</f>
        <v>0</v>
      </c>
      <c r="AS255" s="89">
        <f>AS$163*AS251</f>
        <v>0</v>
      </c>
      <c r="AT255" s="89">
        <f>AT$163*AT251</f>
        <v>0</v>
      </c>
      <c r="AU255" s="499">
        <f>AV255+AW255</f>
        <v>0</v>
      </c>
      <c r="AV255" s="89">
        <f>AV$163*AV251</f>
        <v>0</v>
      </c>
      <c r="AW255" s="89">
        <f>AW$163*AW251</f>
        <v>0</v>
      </c>
      <c r="AX255" s="499">
        <f>AY255+AZ255</f>
        <v>0</v>
      </c>
      <c r="AY255" s="89">
        <f>AY$163*AY251</f>
        <v>0</v>
      </c>
      <c r="AZ255" s="89">
        <f>AZ$163*AZ251</f>
        <v>0</v>
      </c>
      <c r="BA255" s="499">
        <f>BB255+BC255</f>
        <v>0</v>
      </c>
      <c r="BB255" s="89">
        <f>BB$163*BB251</f>
        <v>0</v>
      </c>
      <c r="BC255" s="89">
        <f>BC$163*BC251</f>
        <v>0</v>
      </c>
      <c r="BD255" s="499">
        <f>BE255+BF255</f>
        <v>0</v>
      </c>
      <c r="BE255" s="89">
        <f>BE$163*BE251</f>
        <v>0</v>
      </c>
      <c r="BF255" s="89">
        <f>BF$163*BF251</f>
        <v>0</v>
      </c>
      <c r="BG255" s="499">
        <f>BH255+BI255</f>
        <v>0</v>
      </c>
      <c r="BH255" s="89">
        <f>BH$163*BH251</f>
        <v>0</v>
      </c>
      <c r="BI255" s="89">
        <f>BI$163*BI251</f>
        <v>0</v>
      </c>
      <c r="BJ255" s="499">
        <f>BK255+BL255</f>
        <v>0</v>
      </c>
      <c r="BK255" s="89">
        <f>BK$163*BK251</f>
        <v>0</v>
      </c>
      <c r="BL255" s="89">
        <f>BL$163*BL251</f>
        <v>0</v>
      </c>
      <c r="BM255" s="499">
        <f>BN255+BO255</f>
        <v>0</v>
      </c>
      <c r="BN255" s="89">
        <f>BN$163*BN251</f>
        <v>0</v>
      </c>
      <c r="BO255" s="89">
        <f>BO$163*BO251</f>
        <v>0</v>
      </c>
      <c r="BP255" s="499">
        <f>BQ255+BR255</f>
        <v>0</v>
      </c>
      <c r="BQ255" s="89">
        <f>BQ$163*BQ251</f>
        <v>0</v>
      </c>
      <c r="BR255" s="89">
        <f>BR$163*BR251</f>
        <v>0</v>
      </c>
      <c r="BS255" s="499">
        <f>BT255+BU255</f>
        <v>0</v>
      </c>
      <c r="BT255" s="89">
        <f>BT$163*BT251</f>
        <v>0</v>
      </c>
      <c r="BU255" s="89">
        <f>BU$163*BU251</f>
        <v>0</v>
      </c>
      <c r="BV255" s="499">
        <f>BW255+BX255</f>
        <v>0</v>
      </c>
      <c r="BW255" s="89">
        <f>BW$163*BW251</f>
        <v>0</v>
      </c>
      <c r="BX255" s="89">
        <f>BX$163*BX251</f>
        <v>0</v>
      </c>
      <c r="BY255" s="499">
        <f>BZ255+CA255</f>
        <v>0</v>
      </c>
      <c r="BZ255" s="89">
        <f>BZ$163*BZ251</f>
        <v>0</v>
      </c>
      <c r="CA255" s="89">
        <f>CA$163*CA251</f>
        <v>0</v>
      </c>
      <c r="CB255" s="499">
        <f>CC255+CD255</f>
        <v>0</v>
      </c>
      <c r="CC255" s="89">
        <f>CC$163*CC251</f>
        <v>0</v>
      </c>
      <c r="CD255" s="89">
        <f>CD$163*CD251</f>
        <v>0</v>
      </c>
      <c r="CE255" s="499">
        <f>CF255+CG255</f>
        <v>0</v>
      </c>
      <c r="CF255" s="89">
        <f>CF$163*CF251</f>
        <v>0</v>
      </c>
      <c r="CG255" s="89">
        <f>CG$163*CG251</f>
        <v>0</v>
      </c>
      <c r="CH255" s="499">
        <f>CI255+CJ255</f>
        <v>0</v>
      </c>
      <c r="CI255" s="89">
        <f>CI$163*CI251</f>
        <v>0</v>
      </c>
      <c r="CJ255" s="89">
        <f>CJ$163*CJ251</f>
        <v>0</v>
      </c>
      <c r="CK255" s="499">
        <f>CL255+CM255</f>
        <v>0</v>
      </c>
      <c r="CL255" s="89">
        <f>CL$163*CL251</f>
        <v>0</v>
      </c>
      <c r="CM255" s="89">
        <f>CM$163*CM251</f>
        <v>0</v>
      </c>
      <c r="CN255" s="499">
        <f>CO255+CP255</f>
        <v>0</v>
      </c>
      <c r="CO255" s="89">
        <f>CO$163*CO251</f>
        <v>0</v>
      </c>
      <c r="CP255" s="89">
        <f>CP$163*CP251</f>
        <v>0</v>
      </c>
      <c r="CQ255" s="499">
        <f>CR255+CS255</f>
        <v>0</v>
      </c>
      <c r="CR255" s="89">
        <f>CR$163*CR251</f>
        <v>0</v>
      </c>
      <c r="CS255" s="89">
        <f>CS$163*CS251</f>
        <v>0</v>
      </c>
      <c r="CT255" s="499">
        <f>CU255+CV255</f>
        <v>0</v>
      </c>
      <c r="CU255" s="498">
        <f>CU$163*CU251</f>
        <v>0</v>
      </c>
      <c r="CV255" s="498">
        <f>CV$163*CV251</f>
        <v>0</v>
      </c>
      <c r="CW255" s="499">
        <f>CX255+CY255</f>
        <v>0</v>
      </c>
      <c r="CX255" s="89">
        <f>CX$163*CX251</f>
        <v>0</v>
      </c>
      <c r="CY255" s="89">
        <f>CY$163*CY251</f>
        <v>0</v>
      </c>
      <c r="CZ255" s="499">
        <f>DA255+DB255</f>
        <v>0</v>
      </c>
      <c r="DA255" s="89">
        <f>DA$163*DA251</f>
        <v>0</v>
      </c>
      <c r="DB255" s="89">
        <f>DB$163*DB251</f>
        <v>0</v>
      </c>
      <c r="DC255" s="499">
        <f>DD255+DE255</f>
        <v>0</v>
      </c>
      <c r="DD255" s="89">
        <f>DD$163*DD251</f>
        <v>0</v>
      </c>
      <c r="DE255" s="89">
        <f>DE$163*DE251</f>
        <v>0</v>
      </c>
      <c r="DF255" s="499">
        <f>DG255+DH255</f>
        <v>0</v>
      </c>
      <c r="DG255" s="89">
        <f>DG$163*DG251</f>
        <v>0</v>
      </c>
      <c r="DH255" s="89">
        <f>DH$163*DH251</f>
        <v>0</v>
      </c>
      <c r="DI255" s="499">
        <f>DJ255+DK255</f>
        <v>0</v>
      </c>
      <c r="DJ255" s="89">
        <f>DJ$163*DJ251</f>
        <v>0</v>
      </c>
      <c r="DK255" s="89">
        <f>DK$163*DK251</f>
        <v>0</v>
      </c>
      <c r="DL255" s="499">
        <f>DM255+DN255</f>
        <v>0</v>
      </c>
      <c r="DM255" s="89">
        <f>DM$163*DM251</f>
        <v>0</v>
      </c>
      <c r="DN255" s="89">
        <f>DN$163*DN251</f>
        <v>0</v>
      </c>
      <c r="DO255" s="499">
        <f>DP255+DQ255</f>
        <v>0</v>
      </c>
      <c r="DP255" s="89">
        <f>DP$163*DP251</f>
        <v>0</v>
      </c>
      <c r="DQ255" s="89">
        <f>DQ$163*DQ251</f>
        <v>0</v>
      </c>
      <c r="DR255" s="499">
        <f>DS255+DT255</f>
        <v>0</v>
      </c>
      <c r="DS255" s="89">
        <f>DS$163*DS251</f>
        <v>0</v>
      </c>
      <c r="DT255" s="89">
        <f>DT$163*DT251</f>
        <v>0</v>
      </c>
      <c r="DU255" s="499">
        <f>DV255+DW255</f>
        <v>0</v>
      </c>
      <c r="DV255" s="89">
        <f>DV$163*DV251</f>
        <v>0</v>
      </c>
      <c r="DW255" s="89">
        <f>DW$163*DW251</f>
        <v>0</v>
      </c>
      <c r="DX255" s="499">
        <f>DY255+DZ255</f>
        <v>0</v>
      </c>
      <c r="DY255" s="89">
        <f>DY$163*DY251</f>
        <v>0</v>
      </c>
      <c r="DZ255" s="89">
        <f>DZ$163*DZ251</f>
        <v>0</v>
      </c>
      <c r="EA255" s="499">
        <f>EB255+EC255</f>
        <v>0</v>
      </c>
      <c r="EB255" s="89">
        <f>EB$163*EB251</f>
        <v>0</v>
      </c>
      <c r="EC255" s="89">
        <f>EC$163*EC251</f>
        <v>0</v>
      </c>
      <c r="ED255" s="499">
        <f>EE255+EF255</f>
        <v>0</v>
      </c>
      <c r="EE255" s="89">
        <f>EE$163*EE251</f>
        <v>0</v>
      </c>
      <c r="EF255" s="89">
        <f>EF$163*EF251</f>
        <v>0</v>
      </c>
      <c r="EG255" s="499">
        <f>EH255+EI255</f>
        <v>0</v>
      </c>
      <c r="EH255" s="89">
        <f>EH$163*EH251</f>
        <v>0</v>
      </c>
      <c r="EI255" s="89">
        <f>EI$163*EI251</f>
        <v>0</v>
      </c>
      <c r="EJ255" s="499">
        <f>EK255+EL255</f>
        <v>0</v>
      </c>
      <c r="EK255" s="89">
        <f>EK$163*EK251</f>
        <v>0</v>
      </c>
      <c r="EL255" s="89">
        <f>EL$163*EL251</f>
        <v>0</v>
      </c>
      <c r="EM255" s="499">
        <f>EN255+EO255</f>
        <v>0</v>
      </c>
      <c r="EN255" s="89">
        <f>EN$163*EN251</f>
        <v>0</v>
      </c>
      <c r="EO255" s="89">
        <f>EO$163*EO251</f>
        <v>0</v>
      </c>
      <c r="EP255" s="499">
        <f>EQ255+ER255</f>
        <v>0</v>
      </c>
      <c r="EQ255" s="89">
        <f>EQ$163*EQ251</f>
        <v>0</v>
      </c>
      <c r="ER255" s="89">
        <f>ER$163*ER251</f>
        <v>0</v>
      </c>
      <c r="ES255" s="499">
        <f>ET255+EU255</f>
        <v>0</v>
      </c>
      <c r="ET255" s="89">
        <f>ET$163*ET251</f>
        <v>0</v>
      </c>
      <c r="EU255" s="89">
        <f>EU$163*EU251</f>
        <v>0</v>
      </c>
      <c r="EV255" s="499">
        <f>EW255+EX255</f>
        <v>0</v>
      </c>
      <c r="EW255" s="89">
        <f>EW$163*EW251</f>
        <v>0</v>
      </c>
      <c r="EX255" s="89">
        <f>EX$163*EX251</f>
        <v>0</v>
      </c>
      <c r="EY255" s="499">
        <f>EZ255+FA255</f>
        <v>0</v>
      </c>
      <c r="EZ255" s="89">
        <f>EZ$163*EZ251</f>
        <v>0</v>
      </c>
      <c r="FA255" s="89">
        <f>FA$163*FA251</f>
        <v>0</v>
      </c>
      <c r="FB255" s="83"/>
      <c r="FE255" s="489" t="s">
        <v>982</v>
      </c>
      <c r="FF255" s="648" t="s">
        <v>890</v>
      </c>
      <c r="FG255" s="648" cm="1" t="str">
        <f t="array" ref="FG255:FG255">AE255</f>
        <v>0</v>
      </c>
      <c r="FH255" s="648" cm="1" t="str">
        <f t="array" ref="FH255:FH255">AF255</f>
        <v>0</v>
      </c>
      <c r="FI255" s="649"/>
      <c r="FJ255" s="649"/>
      <c r="FK255" s="1157" cm="1" t="str">
        <f t="array" ref="FK255:FK255">OFFSET(FJ255,-1,1)</f>
        <v>ТЭ.42.31656254.0001</v>
      </c>
      <c r="FL255" s="1159"/>
      <c r="FM255" s="1159" t="s">
        <v>978</v>
      </c>
      <c r="FN255" s="1159"/>
      <c r="FO255" s="1159"/>
      <c r="FP255" s="1159"/>
      <c r="FQ255" s="1159"/>
      <c r="FR255" s="1159" t="s">
        <v>561</v>
      </c>
      <c r="FS255" s="1159"/>
      <c r="FT255" s="1159"/>
      <c r="FU255" s="1159"/>
      <c r="FV255" s="1159"/>
      <c r="FW255" s="1078" t="str">
        <f>$AE255&amp;"|"&amp;$AF255</f>
        <v>|</v>
      </c>
      <c r="FX255" s="1159" t="s">
        <v>303</v>
      </c>
      <c r="FY255" s="1159" t="s">
        <v>919</v>
      </c>
      <c r="FZ255" s="1159" t="s">
        <v>920</v>
      </c>
    </row>
    <row s="1751" customFormat="1" customHeight="1" ht="16.5" hidden="1">
      <c r="A256" s="1751"/>
      <c r="B256" s="1751"/>
      <c r="C256" s="1751"/>
      <c r="D256" s="1751"/>
      <c r="E256" s="180">
        <v>17</v>
      </c>
      <c r="F256" s="175" cm="1" t="str">
        <f t="array" ref="F256:F256">OFFSET(G256,-1,-1)</f>
        <v>1</v>
      </c>
      <c r="G256" s="1751"/>
      <c r="H256" s="1751"/>
      <c r="I256" s="1751"/>
      <c r="J256" s="1751"/>
      <c r="K256" s="1751"/>
      <c r="L256" s="175" cm="1" t="str">
        <f t="array" ref="L256:L256">OFFSET(M256,-1,-1)</f>
        <v>false</v>
      </c>
      <c r="M256" s="1751"/>
      <c r="N256" s="1751"/>
      <c r="O256" s="1751"/>
      <c r="P256" s="1751"/>
      <c r="Q256" s="1751"/>
      <c r="R256" s="175" t="s">
        <v>804</v>
      </c>
      <c r="S256" s="175" cm="1" t="str">
        <f t="array" ref="S256:S256">OFFSET(T256,-1,-1)</f>
        <v>true</v>
      </c>
      <c r="T256" s="175">
        <f>AND(L256,AD256&lt;&gt;"39.0")</f>
        <v>0</v>
      </c>
      <c r="U256" s="753">
        <f>AND(S256,IF(ISBLANK(T256),TRUE,T256))</f>
        <v>0</v>
      </c>
      <c r="V256" s="1751"/>
      <c r="W256" s="1751"/>
      <c r="X256" s="175" t="str">
        <f>'Топливо 4.4'!$AE$252&amp;'Топливо 4.4'!$AF$252</f>
        <v>Уголь длиннопламенный</v>
      </c>
      <c r="Y256" s="1751"/>
      <c r="Z256" s="1751"/>
      <c r="AA256" s="1751"/>
      <c r="AB256" s="1607"/>
      <c r="AC256" s="1751"/>
      <c r="AD256" s="491" t="s">
        <v>1031</v>
      </c>
      <c r="AE256" s="514" cm="1" t="str">
        <f t="array" ref="AE256:AE256">IF(ISBLANK('Топливо 4.4'!$AE$252),"",'Топливо 4.4'!$AE$252)</f>
        <v>Уголь длиннопламенный</v>
      </c>
      <c r="AF256" s="515" cm="1" t="str">
        <f t="array" ref="AF256:AF256">IF(ISBLANK('Топливо 4.4'!$AF$252),"",'Топливо 4.4'!$AF$252)</f>
        <v/>
      </c>
      <c r="AG256" s="470" t="s">
        <v>917</v>
      </c>
      <c r="AH256" s="88">
        <f>AH$163*AH252</f>
        <v>0</v>
      </c>
      <c r="AI256" s="89">
        <f>AI$163*AI252</f>
        <v>0</v>
      </c>
      <c r="AJ256" s="89">
        <f>AJ$163*AJ252</f>
        <v>0</v>
      </c>
      <c r="AK256" s="89">
        <f>AK$163*AK252</f>
        <v>0</v>
      </c>
      <c r="AL256" s="499">
        <f>AM256+AN256</f>
        <v>0</v>
      </c>
      <c r="AM256" s="89">
        <f>AM$163*AM252</f>
        <v>0</v>
      </c>
      <c r="AN256" s="89">
        <f>AN$163*AN252</f>
        <v>0</v>
      </c>
      <c r="AO256" s="499">
        <f>AP256+AQ256</f>
        <v>0</v>
      </c>
      <c r="AP256" s="89">
        <f>AP$163*AP252</f>
        <v>0</v>
      </c>
      <c r="AQ256" s="89">
        <f>AQ$163*AQ252</f>
        <v>0</v>
      </c>
      <c r="AR256" s="499">
        <f>AS256+AT256</f>
        <v>0</v>
      </c>
      <c r="AS256" s="89">
        <f>AS$163*AS252</f>
        <v>0</v>
      </c>
      <c r="AT256" s="89">
        <f>AT$163*AT252</f>
        <v>0</v>
      </c>
      <c r="AU256" s="499">
        <f>AV256+AW256</f>
        <v>0</v>
      </c>
      <c r="AV256" s="89">
        <f>AV$163*AV252</f>
        <v>0</v>
      </c>
      <c r="AW256" s="89">
        <f>AW$163*AW252</f>
        <v>0</v>
      </c>
      <c r="AX256" s="499">
        <f>AY256+AZ256</f>
        <v>0</v>
      </c>
      <c r="AY256" s="89">
        <f>AY$163*AY252</f>
        <v>0</v>
      </c>
      <c r="AZ256" s="89">
        <f>AZ$163*AZ252</f>
        <v>0</v>
      </c>
      <c r="BA256" s="499">
        <f>BB256+BC256</f>
        <v>0</v>
      </c>
      <c r="BB256" s="89">
        <f>BB$163*BB252</f>
        <v>0</v>
      </c>
      <c r="BC256" s="89">
        <f>BC$163*BC252</f>
        <v>0</v>
      </c>
      <c r="BD256" s="499">
        <f>BE256+BF256</f>
        <v>0</v>
      </c>
      <c r="BE256" s="89">
        <f>BE$163*BE252</f>
        <v>0</v>
      </c>
      <c r="BF256" s="89">
        <f>BF$163*BF252</f>
        <v>0</v>
      </c>
      <c r="BG256" s="499">
        <f>BH256+BI256</f>
        <v>0</v>
      </c>
      <c r="BH256" s="89">
        <f>BH$163*BH252</f>
        <v>0</v>
      </c>
      <c r="BI256" s="89">
        <f>BI$163*BI252</f>
        <v>0</v>
      </c>
      <c r="BJ256" s="499">
        <f>BK256+BL256</f>
        <v>0</v>
      </c>
      <c r="BK256" s="89">
        <f>BK$163*BK252</f>
        <v>0</v>
      </c>
      <c r="BL256" s="89">
        <f>BL$163*BL252</f>
        <v>0</v>
      </c>
      <c r="BM256" s="499">
        <f>BN256+BO256</f>
        <v>0</v>
      </c>
      <c r="BN256" s="89">
        <f>BN$163*BN252</f>
        <v>0</v>
      </c>
      <c r="BO256" s="89">
        <f>BO$163*BO252</f>
        <v>0</v>
      </c>
      <c r="BP256" s="499">
        <f>BQ256+BR256</f>
        <v>0</v>
      </c>
      <c r="BQ256" s="89">
        <f>BQ$163*BQ252</f>
        <v>0</v>
      </c>
      <c r="BR256" s="89">
        <f>BR$163*BR252</f>
        <v>0</v>
      </c>
      <c r="BS256" s="499">
        <f>BT256+BU256</f>
        <v>0</v>
      </c>
      <c r="BT256" s="89">
        <f>BT$163*BT252</f>
        <v>0</v>
      </c>
      <c r="BU256" s="89">
        <f>BU$163*BU252</f>
        <v>0</v>
      </c>
      <c r="BV256" s="499">
        <f>BW256+BX256</f>
        <v>0</v>
      </c>
      <c r="BW256" s="89">
        <f>BW$163*BW252</f>
        <v>0</v>
      </c>
      <c r="BX256" s="89">
        <f>BX$163*BX252</f>
        <v>0</v>
      </c>
      <c r="BY256" s="499">
        <f>BZ256+CA256</f>
        <v>0</v>
      </c>
      <c r="BZ256" s="89">
        <f>BZ$163*BZ252</f>
        <v>0</v>
      </c>
      <c r="CA256" s="89">
        <f>CA$163*CA252</f>
        <v>0</v>
      </c>
      <c r="CB256" s="499">
        <f>CC256+CD256</f>
        <v>0</v>
      </c>
      <c r="CC256" s="89">
        <f>CC$163*CC252</f>
        <v>0</v>
      </c>
      <c r="CD256" s="89">
        <f>CD$163*CD252</f>
        <v>0</v>
      </c>
      <c r="CE256" s="499">
        <f>CF256+CG256</f>
        <v>0</v>
      </c>
      <c r="CF256" s="89">
        <f>CF$163*CF252</f>
        <v>0</v>
      </c>
      <c r="CG256" s="89">
        <f>CG$163*CG252</f>
        <v>0</v>
      </c>
      <c r="CH256" s="499">
        <f>CI256+CJ256</f>
        <v>0</v>
      </c>
      <c r="CI256" s="89">
        <f>CI$163*CI252</f>
        <v>0</v>
      </c>
      <c r="CJ256" s="89">
        <f>CJ$163*CJ252</f>
        <v>0</v>
      </c>
      <c r="CK256" s="499">
        <f>CL256+CM256</f>
        <v>0</v>
      </c>
      <c r="CL256" s="89">
        <f>CL$163*CL252</f>
        <v>0</v>
      </c>
      <c r="CM256" s="89">
        <f>CM$163*CM252</f>
        <v>0</v>
      </c>
      <c r="CN256" s="499">
        <f>CO256+CP256</f>
        <v>0</v>
      </c>
      <c r="CO256" s="89">
        <f>CO$163*CO252</f>
        <v>0</v>
      </c>
      <c r="CP256" s="89">
        <f>CP$163*CP252</f>
        <v>0</v>
      </c>
      <c r="CQ256" s="499">
        <f>CR256+CS256</f>
        <v>0</v>
      </c>
      <c r="CR256" s="89">
        <f>CR$163*CR252</f>
        <v>0</v>
      </c>
      <c r="CS256" s="89">
        <f>CS$163*CS252</f>
        <v>0</v>
      </c>
      <c r="CT256" s="499">
        <f>CU256+CV256</f>
        <v>0</v>
      </c>
      <c r="CU256" s="498">
        <f>CU$163*CU252</f>
        <v>0</v>
      </c>
      <c r="CV256" s="498">
        <f>CV$163*CV252</f>
        <v>0</v>
      </c>
      <c r="CW256" s="499">
        <f>CX256+CY256</f>
        <v>0</v>
      </c>
      <c r="CX256" s="89">
        <f>CX$163*CX252</f>
        <v>0</v>
      </c>
      <c r="CY256" s="89">
        <f>CY$163*CY252</f>
        <v>0</v>
      </c>
      <c r="CZ256" s="499">
        <f>DA256+DB256</f>
        <v>0</v>
      </c>
      <c r="DA256" s="89">
        <f>DA$163*DA252</f>
        <v>0</v>
      </c>
      <c r="DB256" s="89">
        <f>DB$163*DB252</f>
        <v>0</v>
      </c>
      <c r="DC256" s="499">
        <f>DD256+DE256</f>
        <v>0</v>
      </c>
      <c r="DD256" s="89">
        <f>DD$163*DD252</f>
        <v>0</v>
      </c>
      <c r="DE256" s="89">
        <f>DE$163*DE252</f>
        <v>0</v>
      </c>
      <c r="DF256" s="499">
        <f>DG256+DH256</f>
        <v>0</v>
      </c>
      <c r="DG256" s="89">
        <f>DG$163*DG252</f>
        <v>0</v>
      </c>
      <c r="DH256" s="89">
        <f>DH$163*DH252</f>
        <v>0</v>
      </c>
      <c r="DI256" s="499">
        <f>DJ256+DK256</f>
        <v>0</v>
      </c>
      <c r="DJ256" s="89">
        <f>DJ$163*DJ252</f>
        <v>0</v>
      </c>
      <c r="DK256" s="89">
        <f>DK$163*DK252</f>
        <v>0</v>
      </c>
      <c r="DL256" s="499">
        <f>DM256+DN256</f>
        <v>0</v>
      </c>
      <c r="DM256" s="89">
        <f>DM$163*DM252</f>
        <v>0</v>
      </c>
      <c r="DN256" s="89">
        <f>DN$163*DN252</f>
        <v>0</v>
      </c>
      <c r="DO256" s="499">
        <f>DP256+DQ256</f>
        <v>0</v>
      </c>
      <c r="DP256" s="89">
        <f>DP$163*DP252</f>
        <v>0</v>
      </c>
      <c r="DQ256" s="89">
        <f>DQ$163*DQ252</f>
        <v>0</v>
      </c>
      <c r="DR256" s="499">
        <f>DS256+DT256</f>
        <v>0</v>
      </c>
      <c r="DS256" s="89">
        <f>DS$163*DS252</f>
        <v>0</v>
      </c>
      <c r="DT256" s="89">
        <f>DT$163*DT252</f>
        <v>0</v>
      </c>
      <c r="DU256" s="499">
        <f>DV256+DW256</f>
        <v>0</v>
      </c>
      <c r="DV256" s="89">
        <f>DV$163*DV252</f>
        <v>0</v>
      </c>
      <c r="DW256" s="89">
        <f>DW$163*DW252</f>
        <v>0</v>
      </c>
      <c r="DX256" s="499">
        <f>DY256+DZ256</f>
        <v>0</v>
      </c>
      <c r="DY256" s="89">
        <f>DY$163*DY252</f>
        <v>0</v>
      </c>
      <c r="DZ256" s="89">
        <f>DZ$163*DZ252</f>
        <v>0</v>
      </c>
      <c r="EA256" s="499">
        <f>EB256+EC256</f>
        <v>0</v>
      </c>
      <c r="EB256" s="89">
        <f>EB$163*EB252</f>
        <v>0</v>
      </c>
      <c r="EC256" s="89">
        <f>EC$163*EC252</f>
        <v>0</v>
      </c>
      <c r="ED256" s="499">
        <f>EE256+EF256</f>
        <v>0</v>
      </c>
      <c r="EE256" s="89">
        <f>EE$163*EE252</f>
        <v>0</v>
      </c>
      <c r="EF256" s="89">
        <f>EF$163*EF252</f>
        <v>0</v>
      </c>
      <c r="EG256" s="499">
        <f>EH256+EI256</f>
        <v>0</v>
      </c>
      <c r="EH256" s="89">
        <f>EH$163*EH252</f>
        <v>0</v>
      </c>
      <c r="EI256" s="89">
        <f>EI$163*EI252</f>
        <v>0</v>
      </c>
      <c r="EJ256" s="499">
        <f>EK256+EL256</f>
        <v>0</v>
      </c>
      <c r="EK256" s="89">
        <f>EK$163*EK252</f>
        <v>0</v>
      </c>
      <c r="EL256" s="89">
        <f>EL$163*EL252</f>
        <v>0</v>
      </c>
      <c r="EM256" s="499">
        <f>EN256+EO256</f>
        <v>0</v>
      </c>
      <c r="EN256" s="89">
        <f>EN$163*EN252</f>
        <v>0</v>
      </c>
      <c r="EO256" s="89">
        <f>EO$163*EO252</f>
        <v>0</v>
      </c>
      <c r="EP256" s="499">
        <f>EQ256+ER256</f>
        <v>0</v>
      </c>
      <c r="EQ256" s="89">
        <f>EQ$163*EQ252</f>
        <v>0</v>
      </c>
      <c r="ER256" s="89">
        <f>ER$163*ER252</f>
        <v>0</v>
      </c>
      <c r="ES256" s="499">
        <f>ET256+EU256</f>
        <v>0</v>
      </c>
      <c r="ET256" s="89">
        <f>ET$163*ET252</f>
        <v>0</v>
      </c>
      <c r="EU256" s="89">
        <f>EU$163*EU252</f>
        <v>0</v>
      </c>
      <c r="EV256" s="499">
        <f>EW256+EX256</f>
        <v>0</v>
      </c>
      <c r="EW256" s="89">
        <f>EW$163*EW252</f>
        <v>0</v>
      </c>
      <c r="EX256" s="89">
        <f>EX$163*EX252</f>
        <v>0</v>
      </c>
      <c r="EY256" s="499">
        <f>EZ256+FA256</f>
        <v>0</v>
      </c>
      <c r="EZ256" s="89">
        <f>EZ$163*EZ252</f>
        <v>0</v>
      </c>
      <c r="FA256" s="89">
        <f>FA$163*FA252</f>
        <v>0</v>
      </c>
      <c r="FB256" s="83"/>
      <c r="FC256" s="1751"/>
      <c r="FD256" s="1751"/>
      <c r="FE256" s="489" t="s">
        <v>982</v>
      </c>
      <c r="FF256" s="648" t="s">
        <v>890</v>
      </c>
      <c r="FG256" s="648" cm="1" t="str">
        <f t="array" ref="FG256:FG256">AE256</f>
        <v>Уголь длиннопламенный</v>
      </c>
      <c r="FH256" s="648" cm="1" t="str">
        <f t="array" ref="FH256:FH256">AF256</f>
        <v/>
      </c>
      <c r="FI256" s="649"/>
      <c r="FJ256" s="649"/>
      <c r="FK256" s="1157" cm="1" t="str">
        <f t="array" ref="FK256:FK256">OFFSET(FJ256,-1,1)</f>
        <v>ТЭ.42.31656254.0001</v>
      </c>
      <c r="FL256" s="1159"/>
      <c r="FM256" s="1159" t="s">
        <v>978</v>
      </c>
      <c r="FN256" s="1159"/>
      <c r="FO256" s="1159"/>
      <c r="FP256" s="1159"/>
      <c r="FQ256" s="1159"/>
      <c r="FR256" s="1159" t="s">
        <v>561</v>
      </c>
      <c r="FS256" s="1159"/>
      <c r="FT256" s="1159"/>
      <c r="FU256" s="1159"/>
      <c r="FV256" s="1159"/>
      <c r="FW256" s="1078" t="str">
        <f>$AE256&amp;"|"&amp;$AF256</f>
        <v>Уголь длиннопламенный|</v>
      </c>
      <c r="FX256" s="1159" t="s">
        <v>303</v>
      </c>
      <c r="FY256" s="1159" t="s">
        <v>919</v>
      </c>
      <c r="FZ256" s="1159" t="s">
        <v>920</v>
      </c>
    </row>
    <row s="1751" customFormat="1" customHeight="1" ht="15" hidden="1">
      <c r="A257" s="371"/>
      <c r="B257" s="1548"/>
      <c r="C257" s="1548"/>
      <c r="D257" s="1548"/>
      <c r="E257" s="965">
        <v>0</v>
      </c>
      <c r="F257" s="175" cm="1" t="str">
        <f t="array" ref="F257:F257">OFFSET(G257,-1,-1)</f>
        <v>1</v>
      </c>
      <c r="G257" s="1659"/>
      <c r="H257" s="1659"/>
      <c r="I257" s="1659"/>
      <c r="J257" s="1659"/>
      <c r="K257" s="1659"/>
      <c r="L257" s="175" cm="1" t="str">
        <f t="array" ref="L257:L257">OFFSET(M257,-1,-1)</f>
        <v>false</v>
      </c>
      <c r="M257" s="1659"/>
      <c r="N257" s="1659"/>
      <c r="O257" s="1659"/>
      <c r="P257" s="1659"/>
      <c r="Q257" s="1659"/>
      <c r="R257" s="1548"/>
      <c r="S257" s="175" cm="1" t="str">
        <f t="array" ref="S257:S257">OFFSET(T257,-1,-1)</f>
        <v>true</v>
      </c>
      <c r="T257" s="1548"/>
      <c r="U257" s="753">
        <f>AND(S257,IF(ISBLANK(T257),TRUE,T257))</f>
        <v>1</v>
      </c>
      <c r="V257" s="1548"/>
      <c r="W257" s="1548"/>
      <c r="X257" s="980" t="str">
        <f>"{                  
         funcDyn: 'msg1',
         blok: 'blok_2',
         wsCross: 'Топливо 4.4',
         linkFormula: 'AE-AE#AF-AF',
         levelDyn: "&amp;Y139&amp;"
}"</f>
        <v>{                  
         funcDyn: 'msg1',
         blok: 'blok_2',
         wsCross: 'Топливо 4.4',
         linkFormula: 'AE-AE#AF-AF',
         levelDyn: 1
}</v>
      </c>
      <c r="Y257" s="1548"/>
      <c r="Z257" s="1548"/>
      <c r="AA257" s="1009"/>
      <c r="AB257" s="1608"/>
      <c r="AC257" s="1751"/>
      <c r="AD257" s="517"/>
      <c r="AE257" s="518" t="s">
        <v>191</v>
      </c>
      <c r="AF257" s="519"/>
      <c r="AG257" s="470"/>
      <c r="AH257" s="524"/>
      <c r="AI257" s="525"/>
      <c r="AJ257" s="525"/>
      <c r="AK257" s="525"/>
      <c r="AL257" s="525"/>
      <c r="AM257" s="525"/>
      <c r="AN257" s="525"/>
      <c r="AO257" s="525"/>
      <c r="AP257" s="525"/>
      <c r="AQ257" s="525"/>
      <c r="AR257" s="525"/>
      <c r="AS257" s="525"/>
      <c r="AT257" s="525"/>
      <c r="AU257" s="525"/>
      <c r="AV257" s="525"/>
      <c r="AW257" s="525"/>
      <c r="AX257" s="525"/>
      <c r="AY257" s="525"/>
      <c r="AZ257" s="525"/>
      <c r="BA257" s="525"/>
      <c r="BB257" s="525"/>
      <c r="BC257" s="525"/>
      <c r="BD257" s="525"/>
      <c r="BE257" s="525"/>
      <c r="BF257" s="525"/>
      <c r="BG257" s="525"/>
      <c r="BH257" s="525"/>
      <c r="BI257" s="525"/>
      <c r="BJ257" s="525"/>
      <c r="BK257" s="525"/>
      <c r="BL257" s="525"/>
      <c r="BM257" s="525"/>
      <c r="BN257" s="525"/>
      <c r="BO257" s="525"/>
      <c r="BP257" s="525"/>
      <c r="BQ257" s="525"/>
      <c r="BR257" s="525"/>
      <c r="BS257" s="525"/>
      <c r="BT257" s="525"/>
      <c r="BU257" s="525"/>
      <c r="BV257" s="525"/>
      <c r="BW257" s="525"/>
      <c r="BX257" s="525"/>
      <c r="BY257" s="525"/>
      <c r="BZ257" s="525"/>
      <c r="CA257" s="525"/>
      <c r="CB257" s="525"/>
      <c r="CC257" s="525"/>
      <c r="CD257" s="525"/>
      <c r="CE257" s="525"/>
      <c r="CF257" s="525"/>
      <c r="CG257" s="525"/>
      <c r="CH257" s="525"/>
      <c r="CI257" s="525"/>
      <c r="CJ257" s="525"/>
      <c r="CK257" s="525"/>
      <c r="CL257" s="525"/>
      <c r="CM257" s="525"/>
      <c r="CN257" s="525"/>
      <c r="CO257" s="525"/>
      <c r="CP257" s="525"/>
      <c r="CQ257" s="525"/>
      <c r="CR257" s="525"/>
      <c r="CS257" s="525"/>
      <c r="CT257" s="525"/>
      <c r="CU257" s="525"/>
      <c r="CV257" s="525"/>
      <c r="CW257" s="525"/>
      <c r="CX257" s="525"/>
      <c r="CY257" s="525"/>
      <c r="CZ257" s="525"/>
      <c r="DA257" s="525"/>
      <c r="DB257" s="525"/>
      <c r="DC257" s="525"/>
      <c r="DD257" s="525"/>
      <c r="DE257" s="525"/>
      <c r="DF257" s="525"/>
      <c r="DG257" s="525"/>
      <c r="DH257" s="525"/>
      <c r="DI257" s="525"/>
      <c r="DJ257" s="525"/>
      <c r="DK257" s="525"/>
      <c r="DL257" s="525"/>
      <c r="DM257" s="525"/>
      <c r="DN257" s="525"/>
      <c r="DO257" s="525"/>
      <c r="DP257" s="525"/>
      <c r="DQ257" s="525"/>
      <c r="DR257" s="525"/>
      <c r="DS257" s="525"/>
      <c r="DT257" s="525"/>
      <c r="DU257" s="525"/>
      <c r="DV257" s="525"/>
      <c r="DW257" s="525"/>
      <c r="DX257" s="525"/>
      <c r="DY257" s="525"/>
      <c r="DZ257" s="525"/>
      <c r="EA257" s="525"/>
      <c r="EB257" s="525"/>
      <c r="EC257" s="525"/>
      <c r="ED257" s="525"/>
      <c r="EE257" s="525"/>
      <c r="EF257" s="525"/>
      <c r="EG257" s="525"/>
      <c r="EH257" s="525"/>
      <c r="EI257" s="525"/>
      <c r="EJ257" s="525"/>
      <c r="EK257" s="525"/>
      <c r="EL257" s="525"/>
      <c r="EM257" s="525"/>
      <c r="EN257" s="525"/>
      <c r="EO257" s="525"/>
      <c r="EP257" s="525"/>
      <c r="EQ257" s="525"/>
      <c r="ER257" s="525"/>
      <c r="ES257" s="525"/>
      <c r="ET257" s="525"/>
      <c r="EU257" s="525"/>
      <c r="EV257" s="525"/>
      <c r="EW257" s="525"/>
      <c r="EX257" s="525"/>
      <c r="EY257" s="525"/>
      <c r="EZ257" s="525"/>
      <c r="FA257" s="525"/>
      <c r="FB257" s="93"/>
      <c r="FC257" s="1751"/>
      <c r="FD257" s="1506"/>
      <c r="FE257" s="489" t="str">
        <f>IF(AND(ISNUMBER(VALUE(TRIM(SUBSTITUTE(AD257,".","")))),TRIM(SUBSTITUTE(AD257,".",""))&lt;&gt;""),"P"&amp;SUBSTITUTE(AD257,".",""),"")</f>
        <v/>
      </c>
      <c r="FF257" s="648"/>
      <c r="FG257" s="648"/>
      <c r="FH257" s="648"/>
      <c r="FI257" s="649"/>
      <c r="FJ257" s="649"/>
      <c r="FK257" s="1157" cm="1" t="str">
        <f t="array" ref="FK257:FK257">OFFSET(FJ257,-1,1)</f>
        <v>ТЭ.42.31656254.0001</v>
      </c>
      <c r="FL257" s="1159"/>
      <c r="FM257" s="1159"/>
      <c r="FN257" s="1159"/>
      <c r="FO257" s="1159"/>
      <c r="FP257" s="1159"/>
      <c r="FQ257" s="1159"/>
      <c r="FR257" s="1159"/>
      <c r="FS257" s="1159"/>
      <c r="FT257" s="1159"/>
      <c r="FU257" s="1159"/>
      <c r="FV257" s="1159"/>
      <c r="FW257" s="1159"/>
      <c r="FX257" s="1159"/>
      <c r="FY257" s="1159"/>
      <c r="FZ257" s="1159"/>
    </row>
    <row s="1751" customFormat="1" customHeight="1" ht="16.5">
      <c r="A258" s="371"/>
      <c r="B258" s="1548"/>
      <c r="C258" s="1548"/>
      <c r="D258" s="1548"/>
      <c r="E258" s="180">
        <v>17</v>
      </c>
      <c r="F258" s="175" cm="1" t="str">
        <f t="array" ref="F258:F258">OFFSET(G258,-1,-1)</f>
        <v>1</v>
      </c>
      <c r="G258" s="1659"/>
      <c r="H258" s="1659"/>
      <c r="I258" s="1659"/>
      <c r="J258" s="1659"/>
      <c r="K258" s="1659"/>
      <c r="L258" s="175" cm="1" t="str">
        <f t="array" ref="L258:L258">OFFSET(M258,-1,-1)</f>
        <v>false</v>
      </c>
      <c r="M258" s="1659"/>
      <c r="N258" s="1659"/>
      <c r="O258" s="1659"/>
      <c r="P258" s="1659"/>
      <c r="Q258" s="1659"/>
      <c r="R258" s="1548"/>
      <c r="S258" s="175" cm="1" t="str">
        <f t="array" ref="S258:S258">OFFSET(T258,-1,-1)</f>
        <v>true</v>
      </c>
      <c r="T258" s="1548"/>
      <c r="U258" s="753">
        <f>AND(S258,IF(ISBLANK(T258),TRUE,T258))</f>
        <v>1</v>
      </c>
      <c r="V258" s="1548"/>
      <c r="W258" s="1548"/>
      <c r="X258" s="1548"/>
      <c r="Y258" s="1548"/>
      <c r="Z258" s="1548"/>
      <c r="AA258" s="1009"/>
      <c r="AB258" s="1649" t="s">
        <v>984</v>
      </c>
      <c r="AC258" s="1751"/>
      <c r="AD258" s="327">
        <v>40</v>
      </c>
      <c r="AE258" s="1623" t="s">
        <v>985</v>
      </c>
      <c r="AF258" s="437"/>
      <c r="AG258" s="470" t="s">
        <v>917</v>
      </c>
      <c r="AH258" s="500">
        <f>SUM(AH262:AH264)</f>
        <v>2526</v>
      </c>
      <c r="AI258" s="500">
        <f>SUM(AI262:AI264)</f>
        <v>3971.15</v>
      </c>
      <c r="AJ258" s="500">
        <f>SUM(AJ262:AJ264)</f>
        <v>2853.98814247972</v>
      </c>
      <c r="AK258" s="500">
        <f>SUM(AK262:AK264)</f>
        <v>2957</v>
      </c>
      <c r="AL258" s="500">
        <f>SUM(AL262:AL264)</f>
        <v>4559.01722300141</v>
      </c>
      <c r="AM258" s="500">
        <f>SUM(AM262:AM264)</f>
        <v>2597.90151472651</v>
      </c>
      <c r="AN258" s="500">
        <f>SUM(AN262:AN264)</f>
        <v>1961.1157082749</v>
      </c>
      <c r="AO258" s="500">
        <f>SUM(AO262:AO264)</f>
        <v>0</v>
      </c>
      <c r="AP258" s="500">
        <f>SUM(AP262:AP264)</f>
        <v>0</v>
      </c>
      <c r="AQ258" s="500">
        <f>SUM(AQ262:AQ264)</f>
        <v>0</v>
      </c>
      <c r="AR258" s="500">
        <f>SUM(AR262:AR264)</f>
        <v>0</v>
      </c>
      <c r="AS258" s="500">
        <f>SUM(AS262:AS264)</f>
        <v>0</v>
      </c>
      <c r="AT258" s="500">
        <f>SUM(AT262:AT264)</f>
        <v>0</v>
      </c>
      <c r="AU258" s="500">
        <f>SUM(AU262:AU264)</f>
        <v>0</v>
      </c>
      <c r="AV258" s="500">
        <f>SUM(AV262:AV264)</f>
        <v>0</v>
      </c>
      <c r="AW258" s="500">
        <f>SUM(AW262:AW264)</f>
        <v>0</v>
      </c>
      <c r="AX258" s="500">
        <f>SUM(AX262:AX264)</f>
        <v>0</v>
      </c>
      <c r="AY258" s="500">
        <f>SUM(AY262:AY264)</f>
        <v>0</v>
      </c>
      <c r="AZ258" s="500">
        <f>SUM(AZ262:AZ264)</f>
        <v>0</v>
      </c>
      <c r="BA258" s="500">
        <f>SUM(BA262:BA264)</f>
        <v>0</v>
      </c>
      <c r="BB258" s="500">
        <f>SUM(BB262:BB264)</f>
        <v>0</v>
      </c>
      <c r="BC258" s="500">
        <f>SUM(BC262:BC264)</f>
        <v>0</v>
      </c>
      <c r="BD258" s="500">
        <f>SUM(BD262:BD264)</f>
        <v>0</v>
      </c>
      <c r="BE258" s="500">
        <f>SUM(BE262:BE264)</f>
        <v>0</v>
      </c>
      <c r="BF258" s="500">
        <f>SUM(BF262:BF264)</f>
        <v>0</v>
      </c>
      <c r="BG258" s="500">
        <f>SUM(BG262:BG264)</f>
        <v>0</v>
      </c>
      <c r="BH258" s="500">
        <f>SUM(BH262:BH264)</f>
        <v>0</v>
      </c>
      <c r="BI258" s="500">
        <f>SUM(BI262:BI264)</f>
        <v>0</v>
      </c>
      <c r="BJ258" s="500">
        <f>SUM(BJ262:BJ264)</f>
        <v>0</v>
      </c>
      <c r="BK258" s="500">
        <f>SUM(BK262:BK264)</f>
        <v>0</v>
      </c>
      <c r="BL258" s="500">
        <f>SUM(BL262:BL264)</f>
        <v>0</v>
      </c>
      <c r="BM258" s="500">
        <f>SUM(BM262:BM264)</f>
        <v>0</v>
      </c>
      <c r="BN258" s="500">
        <f>SUM(BN262:BN264)</f>
        <v>0</v>
      </c>
      <c r="BO258" s="500">
        <f>SUM(BO262:BO264)</f>
        <v>0</v>
      </c>
      <c r="BP258" s="500">
        <f>SUM(BP262:BP264)</f>
        <v>0</v>
      </c>
      <c r="BQ258" s="500">
        <f>SUM(BQ262:BQ264)</f>
        <v>0</v>
      </c>
      <c r="BR258" s="500">
        <f>SUM(BR262:BR264)</f>
        <v>0</v>
      </c>
      <c r="BS258" s="500">
        <f>SUM(BS262:BS264)</f>
        <v>0</v>
      </c>
      <c r="BT258" s="500">
        <f>SUM(BT262:BT264)</f>
        <v>0</v>
      </c>
      <c r="BU258" s="500">
        <f>SUM(BU262:BU264)</f>
        <v>0</v>
      </c>
      <c r="BV258" s="500">
        <f>SUM(BV262:BV264)</f>
        <v>0</v>
      </c>
      <c r="BW258" s="500">
        <f>SUM(BW262:BW264)</f>
        <v>0</v>
      </c>
      <c r="BX258" s="500">
        <f>SUM(BX262:BX264)</f>
        <v>0</v>
      </c>
      <c r="BY258" s="500">
        <f>SUM(BY262:BY264)</f>
        <v>0</v>
      </c>
      <c r="BZ258" s="500">
        <f>SUM(BZ262:BZ264)</f>
        <v>0</v>
      </c>
      <c r="CA258" s="500">
        <f>SUM(CA262:CA264)</f>
        <v>0</v>
      </c>
      <c r="CB258" s="500">
        <f>SUM(CB262:CB264)</f>
        <v>0</v>
      </c>
      <c r="CC258" s="500">
        <f>SUM(CC262:CC264)</f>
        <v>0</v>
      </c>
      <c r="CD258" s="500">
        <f>SUM(CD262:CD264)</f>
        <v>0</v>
      </c>
      <c r="CE258" s="500">
        <f>SUM(CE262:CE264)</f>
        <v>0</v>
      </c>
      <c r="CF258" s="500">
        <f>SUM(CF262:CF264)</f>
        <v>0</v>
      </c>
      <c r="CG258" s="500">
        <f>SUM(CG262:CG264)</f>
        <v>0</v>
      </c>
      <c r="CH258" s="500">
        <f>SUM(CH262:CH264)</f>
        <v>0</v>
      </c>
      <c r="CI258" s="500">
        <f>SUM(CI262:CI264)</f>
        <v>0</v>
      </c>
      <c r="CJ258" s="500">
        <f>SUM(CJ262:CJ264)</f>
        <v>0</v>
      </c>
      <c r="CK258" s="500">
        <f>SUM(CK262:CK264)</f>
        <v>0</v>
      </c>
      <c r="CL258" s="500">
        <f>SUM(CL262:CL264)</f>
        <v>0</v>
      </c>
      <c r="CM258" s="500">
        <f>SUM(CM262:CM264)</f>
        <v>0</v>
      </c>
      <c r="CN258" s="500">
        <f>SUM(CN262:CN264)</f>
        <v>0</v>
      </c>
      <c r="CO258" s="500">
        <f>SUM(CO262:CO264)</f>
        <v>0</v>
      </c>
      <c r="CP258" s="500">
        <f>SUM(CP262:CP264)</f>
        <v>0</v>
      </c>
      <c r="CQ258" s="500">
        <f>SUM(CQ262:CQ264)</f>
        <v>0</v>
      </c>
      <c r="CR258" s="500">
        <f>SUM(CR262:CR264)</f>
        <v>0</v>
      </c>
      <c r="CS258" s="500">
        <f>SUM(CS262:CS264)</f>
        <v>0</v>
      </c>
      <c r="CT258" s="500">
        <f>SUM(CT262:CT264)</f>
        <v>3292.57555763218</v>
      </c>
      <c r="CU258" s="500">
        <f>SUM(CU262:CU264)</f>
        <v>1876.56909937931</v>
      </c>
      <c r="CV258" s="500">
        <f>SUM(CV262:CV264)</f>
        <v>1416.00645825287</v>
      </c>
      <c r="CW258" s="500">
        <f>SUM(CW262:CW264)</f>
        <v>0</v>
      </c>
      <c r="CX258" s="500">
        <f>SUM(CX262:CX264)</f>
        <v>0</v>
      </c>
      <c r="CY258" s="500">
        <f>SUM(CY262:CY264)</f>
        <v>0</v>
      </c>
      <c r="CZ258" s="500">
        <f>SUM(CZ262:CZ264)</f>
        <v>0</v>
      </c>
      <c r="DA258" s="500">
        <f>SUM(DA262:DA264)</f>
        <v>0</v>
      </c>
      <c r="DB258" s="500">
        <f>SUM(DB262:DB264)</f>
        <v>0</v>
      </c>
      <c r="DC258" s="500">
        <f>SUM(DC262:DC264)</f>
        <v>0</v>
      </c>
      <c r="DD258" s="500">
        <f>SUM(DD262:DD264)</f>
        <v>0</v>
      </c>
      <c r="DE258" s="500">
        <f>SUM(DE262:DE264)</f>
        <v>0</v>
      </c>
      <c r="DF258" s="500">
        <f>SUM(DF262:DF264)</f>
        <v>0</v>
      </c>
      <c r="DG258" s="500">
        <f>SUM(DG262:DG264)</f>
        <v>0</v>
      </c>
      <c r="DH258" s="500">
        <f>SUM(DH262:DH264)</f>
        <v>0</v>
      </c>
      <c r="DI258" s="500">
        <f>SUM(DI262:DI264)</f>
        <v>0</v>
      </c>
      <c r="DJ258" s="500">
        <f>SUM(DJ262:DJ264)</f>
        <v>0</v>
      </c>
      <c r="DK258" s="500">
        <f>SUM(DK262:DK264)</f>
        <v>0</v>
      </c>
      <c r="DL258" s="500">
        <f>SUM(DL262:DL264)</f>
        <v>0</v>
      </c>
      <c r="DM258" s="500">
        <f>SUM(DM262:DM264)</f>
        <v>0</v>
      </c>
      <c r="DN258" s="500">
        <f>SUM(DN262:DN264)</f>
        <v>0</v>
      </c>
      <c r="DO258" s="500">
        <f>SUM(DO262:DO264)</f>
        <v>0</v>
      </c>
      <c r="DP258" s="500">
        <f>SUM(DP262:DP264)</f>
        <v>0</v>
      </c>
      <c r="DQ258" s="500">
        <f>SUM(DQ262:DQ264)</f>
        <v>0</v>
      </c>
      <c r="DR258" s="500">
        <f>SUM(DR262:DR264)</f>
        <v>0</v>
      </c>
      <c r="DS258" s="500">
        <f>SUM(DS262:DS264)</f>
        <v>0</v>
      </c>
      <c r="DT258" s="500">
        <f>SUM(DT262:DT264)</f>
        <v>0</v>
      </c>
      <c r="DU258" s="500">
        <f>SUM(DU262:DU264)</f>
        <v>0</v>
      </c>
      <c r="DV258" s="500">
        <f>SUM(DV262:DV264)</f>
        <v>0</v>
      </c>
      <c r="DW258" s="500">
        <f>SUM(DW262:DW264)</f>
        <v>0</v>
      </c>
      <c r="DX258" s="500">
        <f>SUM(DX262:DX264)</f>
        <v>0</v>
      </c>
      <c r="DY258" s="500">
        <f>SUM(DY262:DY264)</f>
        <v>0</v>
      </c>
      <c r="DZ258" s="500">
        <f>SUM(DZ262:DZ264)</f>
        <v>0</v>
      </c>
      <c r="EA258" s="500">
        <f>SUM(EA262:EA264)</f>
        <v>0</v>
      </c>
      <c r="EB258" s="500">
        <f>SUM(EB262:EB264)</f>
        <v>0</v>
      </c>
      <c r="EC258" s="500">
        <f>SUM(EC262:EC264)</f>
        <v>0</v>
      </c>
      <c r="ED258" s="500">
        <f>SUM(ED262:ED264)</f>
        <v>0</v>
      </c>
      <c r="EE258" s="500">
        <f>SUM(EE262:EE264)</f>
        <v>0</v>
      </c>
      <c r="EF258" s="500">
        <f>SUM(EF262:EF264)</f>
        <v>0</v>
      </c>
      <c r="EG258" s="500">
        <f>SUM(EG262:EG264)</f>
        <v>0</v>
      </c>
      <c r="EH258" s="500">
        <f>SUM(EH262:EH264)</f>
        <v>0</v>
      </c>
      <c r="EI258" s="500">
        <f>SUM(EI262:EI264)</f>
        <v>0</v>
      </c>
      <c r="EJ258" s="500">
        <f>SUM(EJ262:EJ264)</f>
        <v>0</v>
      </c>
      <c r="EK258" s="500">
        <f>SUM(EK262:EK264)</f>
        <v>0</v>
      </c>
      <c r="EL258" s="500">
        <f>SUM(EL262:EL264)</f>
        <v>0</v>
      </c>
      <c r="EM258" s="500">
        <f>SUM(EM262:EM264)</f>
        <v>0</v>
      </c>
      <c r="EN258" s="500">
        <f>SUM(EN262:EN264)</f>
        <v>0</v>
      </c>
      <c r="EO258" s="500">
        <f>SUM(EO262:EO264)</f>
        <v>0</v>
      </c>
      <c r="EP258" s="500">
        <f>SUM(EP262:EP264)</f>
        <v>0</v>
      </c>
      <c r="EQ258" s="500">
        <f>SUM(EQ262:EQ264)</f>
        <v>0</v>
      </c>
      <c r="ER258" s="500">
        <f>SUM(ER262:ER264)</f>
        <v>0</v>
      </c>
      <c r="ES258" s="500">
        <f>SUM(ES262:ES264)</f>
        <v>0</v>
      </c>
      <c r="ET258" s="500">
        <f>SUM(ET262:ET264)</f>
        <v>0</v>
      </c>
      <c r="EU258" s="500">
        <f>SUM(EU262:EU264)</f>
        <v>0</v>
      </c>
      <c r="EV258" s="500">
        <f>SUM(EV262:EV264)</f>
        <v>0</v>
      </c>
      <c r="EW258" s="500">
        <f>SUM(EW262:EW264)</f>
        <v>0</v>
      </c>
      <c r="EX258" s="500">
        <f>SUM(EX262:EX264)</f>
        <v>0</v>
      </c>
      <c r="EY258" s="500">
        <f>SUM(EY262:EY264)</f>
        <v>0</v>
      </c>
      <c r="EZ258" s="500">
        <f>SUM(EZ262:EZ264)</f>
        <v>0</v>
      </c>
      <c r="FA258" s="500">
        <f>SUM(FA262:FA264)</f>
        <v>0</v>
      </c>
      <c r="FB258" s="1897"/>
      <c r="FC258" s="1751"/>
      <c r="FD258" s="1506"/>
      <c r="FE258" s="489" t="s">
        <v>986</v>
      </c>
      <c r="FF258" s="648"/>
      <c r="FG258" s="648"/>
      <c r="FH258" s="648"/>
      <c r="FI258" s="649"/>
      <c r="FJ258" s="649"/>
      <c r="FK258" s="1157" cm="1" t="str">
        <f t="array" ref="FK258:FK258">OFFSET(FJ258,-1,1)</f>
        <v>ТЭ.42.31656254.0001</v>
      </c>
      <c r="FL258" s="1078"/>
      <c r="FM258" s="1159"/>
      <c r="FN258" s="1159"/>
      <c r="FO258" s="1159"/>
      <c r="FP258" s="1159"/>
      <c r="FQ258" s="1159"/>
      <c r="FR258" s="1159"/>
      <c r="FS258" s="1078" t="s">
        <v>987</v>
      </c>
      <c r="FT258" s="1159"/>
      <c r="FU258" s="1159"/>
      <c r="FV258" s="1078" t="s">
        <v>219</v>
      </c>
      <c r="FW258" s="1159"/>
      <c r="FX258" s="1078" t="s">
        <v>303</v>
      </c>
      <c r="FY258" s="1078" t="s">
        <v>919</v>
      </c>
      <c r="FZ258" s="1078" t="s">
        <v>920</v>
      </c>
    </row>
    <row s="1751" customFormat="1" customHeight="1" ht="16.5" hidden="1">
      <c r="A259" s="371"/>
      <c r="B259" s="1548"/>
      <c r="C259" s="1548"/>
      <c r="D259" s="1548"/>
      <c r="E259" s="180">
        <v>17</v>
      </c>
      <c r="F259" s="175" cm="1" t="str">
        <f t="array" ref="F259:F259">OFFSET(G259,-1,-1)</f>
        <v>1</v>
      </c>
      <c r="G259" s="193" t="str">
        <f>IF(J139="вода+пар","топливо","")</f>
        <v/>
      </c>
      <c r="H259" s="1659"/>
      <c r="I259" s="1659"/>
      <c r="J259" s="1659"/>
      <c r="K259" s="1659"/>
      <c r="L259" s="175" cm="1" t="str">
        <f t="array" ref="L259:L259">OFFSET(M259,-1,-1)</f>
        <v>false</v>
      </c>
      <c r="M259" s="1659"/>
      <c r="N259" s="1659"/>
      <c r="O259" s="1659"/>
      <c r="P259" s="1659"/>
      <c r="Q259" s="1659"/>
      <c r="R259" s="175" t="s">
        <v>804</v>
      </c>
      <c r="S259" s="175" cm="1" t="str">
        <f t="array" ref="S259:S259">OFFSET(T259,-1,-1)</f>
        <v>true</v>
      </c>
      <c r="T259" s="175" cm="1" t="str">
        <f t="array" ref="T259:T259">L259</f>
        <v>false</v>
      </c>
      <c r="U259" s="753">
        <f>AND(S259,IF(ISBLANK(T259),TRUE,T259))</f>
        <v>0</v>
      </c>
      <c r="V259" s="1548"/>
      <c r="W259" s="1548"/>
      <c r="X259" s="1548"/>
      <c r="Y259" s="1548"/>
      <c r="Z259" s="1548"/>
      <c r="AA259" s="1009"/>
      <c r="AB259" s="1650"/>
      <c r="AC259" s="1751"/>
      <c r="AD259" s="491" t="str">
        <f>AD258&amp;".0"</f>
        <v>40.0</v>
      </c>
      <c r="AE259" s="1625" t="s">
        <v>822</v>
      </c>
      <c r="AF259" s="1626"/>
      <c r="AG259" s="470" t="s">
        <v>917</v>
      </c>
      <c r="AH259" s="88">
        <f>AH$163*AH258</f>
        <v>2526</v>
      </c>
      <c r="AI259" s="89">
        <f>AI$163*AI258</f>
        <v>3971.15</v>
      </c>
      <c r="AJ259" s="89">
        <f>AJ$163*AJ258</f>
        <v>2853.98814247972</v>
      </c>
      <c r="AK259" s="89">
        <f>AK$163*AK258</f>
        <v>2957</v>
      </c>
      <c r="AL259" s="499">
        <f>AM259+AN259</f>
        <v>4559.01722300141</v>
      </c>
      <c r="AM259" s="89">
        <f>AM$163*AM258</f>
        <v>2597.90151472651</v>
      </c>
      <c r="AN259" s="89">
        <f>AN$163*AN258</f>
        <v>1961.1157082749</v>
      </c>
      <c r="AO259" s="499">
        <f>AP259+AQ259</f>
        <v>0</v>
      </c>
      <c r="AP259" s="89">
        <f>AP$163*AP258</f>
        <v>0</v>
      </c>
      <c r="AQ259" s="89">
        <f>AQ$163*AQ258</f>
        <v>0</v>
      </c>
      <c r="AR259" s="499">
        <f>AS259+AT259</f>
        <v>0</v>
      </c>
      <c r="AS259" s="89">
        <f>AS$163*AS258</f>
        <v>0</v>
      </c>
      <c r="AT259" s="89">
        <f>AT$163*AT258</f>
        <v>0</v>
      </c>
      <c r="AU259" s="499">
        <f>AV259+AW259</f>
        <v>0</v>
      </c>
      <c r="AV259" s="89">
        <f>AV$163*AV258</f>
        <v>0</v>
      </c>
      <c r="AW259" s="89">
        <f>AW$163*AW258</f>
        <v>0</v>
      </c>
      <c r="AX259" s="499">
        <f>AY259+AZ259</f>
        <v>0</v>
      </c>
      <c r="AY259" s="89">
        <f>AY$163*AY258</f>
        <v>0</v>
      </c>
      <c r="AZ259" s="89">
        <f>AZ$163*AZ258</f>
        <v>0</v>
      </c>
      <c r="BA259" s="499">
        <f>BB259+BC259</f>
        <v>0</v>
      </c>
      <c r="BB259" s="89">
        <f>BB$163*BB258</f>
        <v>0</v>
      </c>
      <c r="BC259" s="89">
        <f>BC$163*BC258</f>
        <v>0</v>
      </c>
      <c r="BD259" s="499">
        <f>BE259+BF259</f>
        <v>0</v>
      </c>
      <c r="BE259" s="89">
        <f>BE$163*BE258</f>
        <v>0</v>
      </c>
      <c r="BF259" s="89">
        <f>BF$163*BF258</f>
        <v>0</v>
      </c>
      <c r="BG259" s="499">
        <f>BH259+BI259</f>
        <v>0</v>
      </c>
      <c r="BH259" s="89">
        <f>BH$163*BH258</f>
        <v>0</v>
      </c>
      <c r="BI259" s="89">
        <f>BI$163*BI258</f>
        <v>0</v>
      </c>
      <c r="BJ259" s="499">
        <f>BK259+BL259</f>
        <v>0</v>
      </c>
      <c r="BK259" s="89">
        <f>BK$163*BK258</f>
        <v>0</v>
      </c>
      <c r="BL259" s="89">
        <f>BL$163*BL258</f>
        <v>0</v>
      </c>
      <c r="BM259" s="499">
        <f>BN259+BO259</f>
        <v>0</v>
      </c>
      <c r="BN259" s="89">
        <f>BN$163*BN258</f>
        <v>0</v>
      </c>
      <c r="BO259" s="89">
        <f>BO$163*BO258</f>
        <v>0</v>
      </c>
      <c r="BP259" s="499">
        <f>BQ259+BR259</f>
        <v>0</v>
      </c>
      <c r="BQ259" s="89">
        <f>BQ$163*BQ258</f>
        <v>0</v>
      </c>
      <c r="BR259" s="89">
        <f>BR$163*BR258</f>
        <v>0</v>
      </c>
      <c r="BS259" s="499">
        <f>BT259+BU259</f>
        <v>0</v>
      </c>
      <c r="BT259" s="89">
        <f>BT$163*BT258</f>
        <v>0</v>
      </c>
      <c r="BU259" s="89">
        <f>BU$163*BU258</f>
        <v>0</v>
      </c>
      <c r="BV259" s="499">
        <f>BW259+BX259</f>
        <v>0</v>
      </c>
      <c r="BW259" s="89">
        <f>BW$163*BW258</f>
        <v>0</v>
      </c>
      <c r="BX259" s="89">
        <f>BX$163*BX258</f>
        <v>0</v>
      </c>
      <c r="BY259" s="499">
        <f>BZ259+CA259</f>
        <v>0</v>
      </c>
      <c r="BZ259" s="89">
        <f>BZ$163*BZ258</f>
        <v>0</v>
      </c>
      <c r="CA259" s="89">
        <f>CA$163*CA258</f>
        <v>0</v>
      </c>
      <c r="CB259" s="499">
        <f>CC259+CD259</f>
        <v>0</v>
      </c>
      <c r="CC259" s="89">
        <f>CC$163*CC258</f>
        <v>0</v>
      </c>
      <c r="CD259" s="89">
        <f>CD$163*CD258</f>
        <v>0</v>
      </c>
      <c r="CE259" s="499">
        <f>CF259+CG259</f>
        <v>0</v>
      </c>
      <c r="CF259" s="89">
        <f>CF$163*CF258</f>
        <v>0</v>
      </c>
      <c r="CG259" s="89">
        <f>CG$163*CG258</f>
        <v>0</v>
      </c>
      <c r="CH259" s="499">
        <f>CI259+CJ259</f>
        <v>0</v>
      </c>
      <c r="CI259" s="89">
        <f>CI$163*CI258</f>
        <v>0</v>
      </c>
      <c r="CJ259" s="89">
        <f>CJ$163*CJ258</f>
        <v>0</v>
      </c>
      <c r="CK259" s="499">
        <f>CL259+CM259</f>
        <v>0</v>
      </c>
      <c r="CL259" s="89">
        <f>CL$163*CL258</f>
        <v>0</v>
      </c>
      <c r="CM259" s="89">
        <f>CM$163*CM258</f>
        <v>0</v>
      </c>
      <c r="CN259" s="499">
        <f>CO259+CP259</f>
        <v>0</v>
      </c>
      <c r="CO259" s="89">
        <f>CO$163*CO258</f>
        <v>0</v>
      </c>
      <c r="CP259" s="89">
        <f>CP$163*CP258</f>
        <v>0</v>
      </c>
      <c r="CQ259" s="499">
        <f>CR259+CS259</f>
        <v>0</v>
      </c>
      <c r="CR259" s="89">
        <f>CR$163*CR258</f>
        <v>0</v>
      </c>
      <c r="CS259" s="89">
        <f>CS$163*CS258</f>
        <v>0</v>
      </c>
      <c r="CT259" s="499">
        <f>CU259+CV259</f>
        <v>3292.57555763218</v>
      </c>
      <c r="CU259" s="498">
        <f>CU$163*CU258</f>
        <v>1876.56909937931</v>
      </c>
      <c r="CV259" s="498">
        <f>CV$163*CV258</f>
        <v>1416.00645825287</v>
      </c>
      <c r="CW259" s="499">
        <f>CX259+CY259</f>
        <v>0</v>
      </c>
      <c r="CX259" s="89">
        <f>CX$163*CX258</f>
        <v>0</v>
      </c>
      <c r="CY259" s="89">
        <f>CY$163*CY258</f>
        <v>0</v>
      </c>
      <c r="CZ259" s="499">
        <f>DA259+DB259</f>
        <v>0</v>
      </c>
      <c r="DA259" s="89">
        <f>DA$163*DA258</f>
        <v>0</v>
      </c>
      <c r="DB259" s="89">
        <f>DB$163*DB258</f>
        <v>0</v>
      </c>
      <c r="DC259" s="499">
        <f>DD259+DE259</f>
        <v>0</v>
      </c>
      <c r="DD259" s="89">
        <f>DD$163*DD258</f>
        <v>0</v>
      </c>
      <c r="DE259" s="89">
        <f>DE$163*DE258</f>
        <v>0</v>
      </c>
      <c r="DF259" s="499">
        <f>DG259+DH259</f>
        <v>0</v>
      </c>
      <c r="DG259" s="89">
        <f>DG$163*DG258</f>
        <v>0</v>
      </c>
      <c r="DH259" s="89">
        <f>DH$163*DH258</f>
        <v>0</v>
      </c>
      <c r="DI259" s="499">
        <f>DJ259+DK259</f>
        <v>0</v>
      </c>
      <c r="DJ259" s="89">
        <f>DJ$163*DJ258</f>
        <v>0</v>
      </c>
      <c r="DK259" s="89">
        <f>DK$163*DK258</f>
        <v>0</v>
      </c>
      <c r="DL259" s="499">
        <f>DM259+DN259</f>
        <v>0</v>
      </c>
      <c r="DM259" s="89">
        <f>DM$163*DM258</f>
        <v>0</v>
      </c>
      <c r="DN259" s="89">
        <f>DN$163*DN258</f>
        <v>0</v>
      </c>
      <c r="DO259" s="499">
        <f>DP259+DQ259</f>
        <v>0</v>
      </c>
      <c r="DP259" s="89">
        <f>DP$163*DP258</f>
        <v>0</v>
      </c>
      <c r="DQ259" s="89">
        <f>DQ$163*DQ258</f>
        <v>0</v>
      </c>
      <c r="DR259" s="499">
        <f>DS259+DT259</f>
        <v>0</v>
      </c>
      <c r="DS259" s="89">
        <f>DS$163*DS258</f>
        <v>0</v>
      </c>
      <c r="DT259" s="89">
        <f>DT$163*DT258</f>
        <v>0</v>
      </c>
      <c r="DU259" s="499">
        <f>DV259+DW259</f>
        <v>0</v>
      </c>
      <c r="DV259" s="89">
        <f>DV$163*DV258</f>
        <v>0</v>
      </c>
      <c r="DW259" s="89">
        <f>DW$163*DW258</f>
        <v>0</v>
      </c>
      <c r="DX259" s="499">
        <f>DY259+DZ259</f>
        <v>0</v>
      </c>
      <c r="DY259" s="89">
        <f>DY$163*DY258</f>
        <v>0</v>
      </c>
      <c r="DZ259" s="89">
        <f>DZ$163*DZ258</f>
        <v>0</v>
      </c>
      <c r="EA259" s="499">
        <f>EB259+EC259</f>
        <v>0</v>
      </c>
      <c r="EB259" s="89">
        <f>EB$163*EB258</f>
        <v>0</v>
      </c>
      <c r="EC259" s="89">
        <f>EC$163*EC258</f>
        <v>0</v>
      </c>
      <c r="ED259" s="499">
        <f>EE259+EF259</f>
        <v>0</v>
      </c>
      <c r="EE259" s="89">
        <f>EE$163*EE258</f>
        <v>0</v>
      </c>
      <c r="EF259" s="89">
        <f>EF$163*EF258</f>
        <v>0</v>
      </c>
      <c r="EG259" s="499">
        <f>EH259+EI259</f>
        <v>0</v>
      </c>
      <c r="EH259" s="89">
        <f>EH$163*EH258</f>
        <v>0</v>
      </c>
      <c r="EI259" s="89">
        <f>EI$163*EI258</f>
        <v>0</v>
      </c>
      <c r="EJ259" s="499">
        <f>EK259+EL259</f>
        <v>0</v>
      </c>
      <c r="EK259" s="89">
        <f>EK$163*EK258</f>
        <v>0</v>
      </c>
      <c r="EL259" s="89">
        <f>EL$163*EL258</f>
        <v>0</v>
      </c>
      <c r="EM259" s="499">
        <f>EN259+EO259</f>
        <v>0</v>
      </c>
      <c r="EN259" s="89">
        <f>EN$163*EN258</f>
        <v>0</v>
      </c>
      <c r="EO259" s="89">
        <f>EO$163*EO258</f>
        <v>0</v>
      </c>
      <c r="EP259" s="499">
        <f>EQ259+ER259</f>
        <v>0</v>
      </c>
      <c r="EQ259" s="89">
        <f>EQ$163*EQ258</f>
        <v>0</v>
      </c>
      <c r="ER259" s="89">
        <f>ER$163*ER258</f>
        <v>0</v>
      </c>
      <c r="ES259" s="499">
        <f>ET259+EU259</f>
        <v>0</v>
      </c>
      <c r="ET259" s="89">
        <f>ET$163*ET258</f>
        <v>0</v>
      </c>
      <c r="EU259" s="89">
        <f>EU$163*EU258</f>
        <v>0</v>
      </c>
      <c r="EV259" s="499">
        <f>EW259+EX259</f>
        <v>0</v>
      </c>
      <c r="EW259" s="89">
        <f>EW$163*EW258</f>
        <v>0</v>
      </c>
      <c r="EX259" s="89">
        <f>EX$163*EX258</f>
        <v>0</v>
      </c>
      <c r="EY259" s="499">
        <f>EZ259+FA259</f>
        <v>0</v>
      </c>
      <c r="EZ259" s="89">
        <f>EZ$163*EZ258</f>
        <v>0</v>
      </c>
      <c r="FA259" s="89">
        <f>FA$163*FA258</f>
        <v>0</v>
      </c>
      <c r="FB259" s="83"/>
      <c r="FC259" s="1751"/>
      <c r="FD259" s="1506"/>
      <c r="FE259" s="489" t="s">
        <v>988</v>
      </c>
      <c r="FF259" s="648"/>
      <c r="FG259" s="648"/>
      <c r="FH259" s="648"/>
      <c r="FI259" s="649"/>
      <c r="FJ259" s="649"/>
      <c r="FK259" s="1157" cm="1" t="str">
        <f t="array" ref="FK259:FK259">OFFSET(FJ259,-1,1)</f>
        <v>ТЭ.42.31656254.0001</v>
      </c>
      <c r="FL259" s="1159"/>
      <c r="FM259" s="1078" t="s">
        <v>824</v>
      </c>
      <c r="FN259" s="1159"/>
      <c r="FO259" s="1159"/>
      <c r="FP259" s="1159"/>
      <c r="FQ259" s="1159"/>
      <c r="FR259" s="1159"/>
      <c r="FS259" s="1078" t="s">
        <v>987</v>
      </c>
      <c r="FT259" s="1159"/>
      <c r="FU259" s="1159"/>
      <c r="FV259" s="1159"/>
      <c r="FW259" s="1159"/>
      <c r="FX259" s="1078" t="s">
        <v>303</v>
      </c>
      <c r="FY259" s="1078" t="s">
        <v>919</v>
      </c>
      <c r="FZ259" s="1078" t="s">
        <v>920</v>
      </c>
    </row>
    <row s="1751" customFormat="1" customHeight="1" ht="16.5">
      <c r="A260" s="371"/>
      <c r="B260" s="1548"/>
      <c r="C260" s="1548"/>
      <c r="D260" s="1548"/>
      <c r="E260" s="180">
        <v>17</v>
      </c>
      <c r="F260" s="175" cm="1" t="str">
        <f t="array" ref="F260:F260">OFFSET(G260,-1,-1)</f>
        <v>1</v>
      </c>
      <c r="G260" s="193" t="str">
        <f>IF(J139="вода","топливо","")</f>
        <v>топливо</v>
      </c>
      <c r="H260" s="1659"/>
      <c r="I260" s="1659"/>
      <c r="J260" s="1659"/>
      <c r="K260" s="1659"/>
      <c r="L260" s="175" cm="1" t="str">
        <f t="array" ref="L260:L260">OFFSET(M260,-1,-1)</f>
        <v>false</v>
      </c>
      <c r="M260" s="1659"/>
      <c r="N260" s="1659"/>
      <c r="O260" s="1659"/>
      <c r="P260" s="1659"/>
      <c r="Q260" s="1659"/>
      <c r="R260" s="1548"/>
      <c r="S260" s="175" cm="1" t="str">
        <f t="array" ref="S260:S260">OFFSET(T260,-1,-1)</f>
        <v>true</v>
      </c>
      <c r="T260" s="1548"/>
      <c r="U260" s="753">
        <f>AND(S260,IF(ISBLANK(T260),TRUE,T260))</f>
        <v>1</v>
      </c>
      <c r="V260" s="1548"/>
      <c r="W260" s="1548"/>
      <c r="X260" s="1548"/>
      <c r="Y260" s="1548"/>
      <c r="Z260" s="1548"/>
      <c r="AA260" s="1009"/>
      <c r="AB260" s="1650"/>
      <c r="AC260" s="1751"/>
      <c r="AD260" s="538" t="s">
        <v>989</v>
      </c>
      <c r="AE260" s="1627" t="s">
        <v>637</v>
      </c>
      <c r="AF260" s="1628"/>
      <c r="AG260" s="539" t="s">
        <v>917</v>
      </c>
      <c r="AH260" s="540">
        <f>AH259-AH261</f>
        <v>2526</v>
      </c>
      <c r="AI260" s="540">
        <f>AI259-AI261</f>
        <v>3971.15</v>
      </c>
      <c r="AJ260" s="540">
        <f>AJ259-AJ261</f>
        <v>2853.98814247972</v>
      </c>
      <c r="AK260" s="540">
        <f>AK259-AK261</f>
        <v>2957</v>
      </c>
      <c r="AL260" s="540">
        <f>AL259-AL261</f>
        <v>4559.01722300141</v>
      </c>
      <c r="AM260" s="540">
        <f>AM259-AM261</f>
        <v>2597.90151472651</v>
      </c>
      <c r="AN260" s="540">
        <f>AN259-AN261</f>
        <v>1961.1157082749</v>
      </c>
      <c r="AO260" s="540">
        <f>AO259-AO261</f>
        <v>0</v>
      </c>
      <c r="AP260" s="540">
        <f>AP259-AP261</f>
        <v>0</v>
      </c>
      <c r="AQ260" s="540">
        <f>AQ259-AQ261</f>
        <v>0</v>
      </c>
      <c r="AR260" s="540">
        <f>AR259-AR261</f>
        <v>0</v>
      </c>
      <c r="AS260" s="540">
        <f>AS259-AS261</f>
        <v>0</v>
      </c>
      <c r="AT260" s="540">
        <f>AT259-AT261</f>
        <v>0</v>
      </c>
      <c r="AU260" s="540">
        <f>AU259-AU261</f>
        <v>0</v>
      </c>
      <c r="AV260" s="540">
        <f>AV259-AV261</f>
        <v>0</v>
      </c>
      <c r="AW260" s="540">
        <f>AW259-AW261</f>
        <v>0</v>
      </c>
      <c r="AX260" s="540">
        <f>AX259-AX261</f>
        <v>0</v>
      </c>
      <c r="AY260" s="540">
        <f>AY259-AY261</f>
        <v>0</v>
      </c>
      <c r="AZ260" s="540">
        <f>AZ259-AZ261</f>
        <v>0</v>
      </c>
      <c r="BA260" s="540">
        <f>BA259-BA261</f>
        <v>0</v>
      </c>
      <c r="BB260" s="540">
        <f>BB259-BB261</f>
        <v>0</v>
      </c>
      <c r="BC260" s="540">
        <f>BC259-BC261</f>
        <v>0</v>
      </c>
      <c r="BD260" s="540">
        <f>BD259-BD261</f>
        <v>0</v>
      </c>
      <c r="BE260" s="540">
        <f>BE259-BE261</f>
        <v>0</v>
      </c>
      <c r="BF260" s="540">
        <f>BF259-BF261</f>
        <v>0</v>
      </c>
      <c r="BG260" s="540">
        <f>BG259-BG261</f>
        <v>0</v>
      </c>
      <c r="BH260" s="540">
        <f>BH259-BH261</f>
        <v>0</v>
      </c>
      <c r="BI260" s="540">
        <f>BI259-BI261</f>
        <v>0</v>
      </c>
      <c r="BJ260" s="540">
        <f>BJ259-BJ261</f>
        <v>0</v>
      </c>
      <c r="BK260" s="540">
        <f>BK259-BK261</f>
        <v>0</v>
      </c>
      <c r="BL260" s="540">
        <f>BL259-BL261</f>
        <v>0</v>
      </c>
      <c r="BM260" s="540">
        <f>BM259-BM261</f>
        <v>0</v>
      </c>
      <c r="BN260" s="540">
        <f>BN259-BN261</f>
        <v>0</v>
      </c>
      <c r="BO260" s="540">
        <f>BO259-BO261</f>
        <v>0</v>
      </c>
      <c r="BP260" s="540">
        <f>BP259-BP261</f>
        <v>0</v>
      </c>
      <c r="BQ260" s="540">
        <f>BQ259-BQ261</f>
        <v>0</v>
      </c>
      <c r="BR260" s="540">
        <f>BR259-BR261</f>
        <v>0</v>
      </c>
      <c r="BS260" s="540">
        <f>BS259-BS261</f>
        <v>0</v>
      </c>
      <c r="BT260" s="540">
        <f>BT259-BT261</f>
        <v>0</v>
      </c>
      <c r="BU260" s="540">
        <f>BU259-BU261</f>
        <v>0</v>
      </c>
      <c r="BV260" s="540">
        <f>BV259-BV261</f>
        <v>0</v>
      </c>
      <c r="BW260" s="540">
        <f>BW259-BW261</f>
        <v>0</v>
      </c>
      <c r="BX260" s="540">
        <f>BX259-BX261</f>
        <v>0</v>
      </c>
      <c r="BY260" s="540">
        <f>BY259-BY261</f>
        <v>0</v>
      </c>
      <c r="BZ260" s="540">
        <f>BZ259-BZ261</f>
        <v>0</v>
      </c>
      <c r="CA260" s="540">
        <f>CA259-CA261</f>
        <v>0</v>
      </c>
      <c r="CB260" s="540">
        <f>CB259-CB261</f>
        <v>0</v>
      </c>
      <c r="CC260" s="540">
        <f>CC259-CC261</f>
        <v>0</v>
      </c>
      <c r="CD260" s="540">
        <f>CD259-CD261</f>
        <v>0</v>
      </c>
      <c r="CE260" s="540">
        <f>CE259-CE261</f>
        <v>0</v>
      </c>
      <c r="CF260" s="540">
        <f>CF259-CF261</f>
        <v>0</v>
      </c>
      <c r="CG260" s="540">
        <f>CG259-CG261</f>
        <v>0</v>
      </c>
      <c r="CH260" s="540">
        <f>CH259-CH261</f>
        <v>0</v>
      </c>
      <c r="CI260" s="540">
        <f>CI259-CI261</f>
        <v>0</v>
      </c>
      <c r="CJ260" s="540">
        <f>CJ259-CJ261</f>
        <v>0</v>
      </c>
      <c r="CK260" s="540">
        <f>CK259-CK261</f>
        <v>0</v>
      </c>
      <c r="CL260" s="540">
        <f>CL259-CL261</f>
        <v>0</v>
      </c>
      <c r="CM260" s="540">
        <f>CM259-CM261</f>
        <v>0</v>
      </c>
      <c r="CN260" s="540">
        <f>CN259-CN261</f>
        <v>0</v>
      </c>
      <c r="CO260" s="540">
        <f>CO259-CO261</f>
        <v>0</v>
      </c>
      <c r="CP260" s="540">
        <f>CP259-CP261</f>
        <v>0</v>
      </c>
      <c r="CQ260" s="540">
        <f>CQ259-CQ261</f>
        <v>0</v>
      </c>
      <c r="CR260" s="540">
        <f>CR259-CR261</f>
        <v>0</v>
      </c>
      <c r="CS260" s="540">
        <f>CS259-CS261</f>
        <v>0</v>
      </c>
      <c r="CT260" s="540">
        <f>CT259-CT261</f>
        <v>3292.57555763218</v>
      </c>
      <c r="CU260" s="540">
        <f>CU259-CU261</f>
        <v>1876.56909937931</v>
      </c>
      <c r="CV260" s="540">
        <f>CV259-CV261</f>
        <v>1416.00645825287</v>
      </c>
      <c r="CW260" s="540">
        <f>CW259-CW261</f>
        <v>0</v>
      </c>
      <c r="CX260" s="540">
        <f>CX259-CX261</f>
        <v>0</v>
      </c>
      <c r="CY260" s="540">
        <f>CY259-CY261</f>
        <v>0</v>
      </c>
      <c r="CZ260" s="540">
        <f>CZ259-CZ261</f>
        <v>0</v>
      </c>
      <c r="DA260" s="540">
        <f>DA259-DA261</f>
        <v>0</v>
      </c>
      <c r="DB260" s="540">
        <f>DB259-DB261</f>
        <v>0</v>
      </c>
      <c r="DC260" s="540">
        <f>DC259-DC261</f>
        <v>0</v>
      </c>
      <c r="DD260" s="540">
        <f>DD259-DD261</f>
        <v>0</v>
      </c>
      <c r="DE260" s="540">
        <f>DE259-DE261</f>
        <v>0</v>
      </c>
      <c r="DF260" s="540">
        <f>DF259-DF261</f>
        <v>0</v>
      </c>
      <c r="DG260" s="540">
        <f>DG259-DG261</f>
        <v>0</v>
      </c>
      <c r="DH260" s="540">
        <f>DH259-DH261</f>
        <v>0</v>
      </c>
      <c r="DI260" s="540">
        <f>DI259-DI261</f>
        <v>0</v>
      </c>
      <c r="DJ260" s="540">
        <f>DJ259-DJ261</f>
        <v>0</v>
      </c>
      <c r="DK260" s="540">
        <f>DK259-DK261</f>
        <v>0</v>
      </c>
      <c r="DL260" s="540">
        <f>DL259-DL261</f>
        <v>0</v>
      </c>
      <c r="DM260" s="540">
        <f>DM259-DM261</f>
        <v>0</v>
      </c>
      <c r="DN260" s="540">
        <f>DN259-DN261</f>
        <v>0</v>
      </c>
      <c r="DO260" s="540">
        <f>DO259-DO261</f>
        <v>0</v>
      </c>
      <c r="DP260" s="540">
        <f>DP259-DP261</f>
        <v>0</v>
      </c>
      <c r="DQ260" s="540">
        <f>DQ259-DQ261</f>
        <v>0</v>
      </c>
      <c r="DR260" s="540">
        <f>DR259-DR261</f>
        <v>0</v>
      </c>
      <c r="DS260" s="540">
        <f>DS259-DS261</f>
        <v>0</v>
      </c>
      <c r="DT260" s="540">
        <f>DT259-DT261</f>
        <v>0</v>
      </c>
      <c r="DU260" s="540">
        <f>DU259-DU261</f>
        <v>0</v>
      </c>
      <c r="DV260" s="540">
        <f>DV259-DV261</f>
        <v>0</v>
      </c>
      <c r="DW260" s="540">
        <f>DW259-DW261</f>
        <v>0</v>
      </c>
      <c r="DX260" s="540">
        <f>DX259-DX261</f>
        <v>0</v>
      </c>
      <c r="DY260" s="540">
        <f>DY259-DY261</f>
        <v>0</v>
      </c>
      <c r="DZ260" s="540">
        <f>DZ259-DZ261</f>
        <v>0</v>
      </c>
      <c r="EA260" s="540">
        <f>EA259-EA261</f>
        <v>0</v>
      </c>
      <c r="EB260" s="540">
        <f>EB259-EB261</f>
        <v>0</v>
      </c>
      <c r="EC260" s="540">
        <f>EC259-EC261</f>
        <v>0</v>
      </c>
      <c r="ED260" s="540">
        <f>ED259-ED261</f>
        <v>0</v>
      </c>
      <c r="EE260" s="540">
        <f>EE259-EE261</f>
        <v>0</v>
      </c>
      <c r="EF260" s="540">
        <f>EF259-EF261</f>
        <v>0</v>
      </c>
      <c r="EG260" s="540">
        <f>EG259-EG261</f>
        <v>0</v>
      </c>
      <c r="EH260" s="540">
        <f>EH259-EH261</f>
        <v>0</v>
      </c>
      <c r="EI260" s="540">
        <f>EI259-EI261</f>
        <v>0</v>
      </c>
      <c r="EJ260" s="540">
        <f>EJ259-EJ261</f>
        <v>0</v>
      </c>
      <c r="EK260" s="540">
        <f>EK259-EK261</f>
        <v>0</v>
      </c>
      <c r="EL260" s="540">
        <f>EL259-EL261</f>
        <v>0</v>
      </c>
      <c r="EM260" s="540">
        <f>EM259-EM261</f>
        <v>0</v>
      </c>
      <c r="EN260" s="540">
        <f>EN259-EN261</f>
        <v>0</v>
      </c>
      <c r="EO260" s="540">
        <f>EO259-EO261</f>
        <v>0</v>
      </c>
      <c r="EP260" s="540">
        <f>EP259-EP261</f>
        <v>0</v>
      </c>
      <c r="EQ260" s="540">
        <f>EQ259-EQ261</f>
        <v>0</v>
      </c>
      <c r="ER260" s="540">
        <f>ER259-ER261</f>
        <v>0</v>
      </c>
      <c r="ES260" s="540">
        <f>ES259-ES261</f>
        <v>0</v>
      </c>
      <c r="ET260" s="540">
        <f>ET259-ET261</f>
        <v>0</v>
      </c>
      <c r="EU260" s="540">
        <f>EU259-EU261</f>
        <v>0</v>
      </c>
      <c r="EV260" s="540">
        <f>EV259-EV261</f>
        <v>0</v>
      </c>
      <c r="EW260" s="540">
        <f>EW259-EW261</f>
        <v>0</v>
      </c>
      <c r="EX260" s="540">
        <f>EX259-EX261</f>
        <v>0</v>
      </c>
      <c r="EY260" s="540">
        <f>EY259-EY261</f>
        <v>0</v>
      </c>
      <c r="EZ260" s="540">
        <f>EZ259-EZ261</f>
        <v>0</v>
      </c>
      <c r="FA260" s="540">
        <f>FA259-FA261</f>
        <v>0</v>
      </c>
      <c r="FB260" s="1897"/>
      <c r="FC260" s="1751"/>
      <c r="FD260" s="1506"/>
      <c r="FE260" s="489" t="s">
        <v>990</v>
      </c>
      <c r="FF260" s="648"/>
      <c r="FG260" s="648"/>
      <c r="FH260" s="648"/>
      <c r="FI260" s="649"/>
      <c r="FJ260" s="649"/>
      <c r="FK260" s="1157" cm="1" t="str">
        <f t="array" ref="FK260:FK260">OFFSET(FJ260,-1,1)</f>
        <v>ТЭ.42.31656254.0001</v>
      </c>
      <c r="FL260" s="1159"/>
      <c r="FM260" s="1159"/>
      <c r="FN260" s="1159"/>
      <c r="FO260" s="1159"/>
      <c r="FP260" s="1159"/>
      <c r="FQ260" s="1159"/>
      <c r="FR260" s="1159"/>
      <c r="FS260" s="1078" t="s">
        <v>987</v>
      </c>
      <c r="FT260" s="1159"/>
      <c r="FU260" s="1078" t="s">
        <v>639</v>
      </c>
      <c r="FV260" s="1159"/>
      <c r="FW260" s="1159"/>
      <c r="FX260" s="1078" t="s">
        <v>303</v>
      </c>
      <c r="FY260" s="1078" t="s">
        <v>919</v>
      </c>
      <c r="FZ260" s="1078" t="s">
        <v>920</v>
      </c>
    </row>
    <row s="1751" customFormat="1" customHeight="1" ht="16.5">
      <c r="A261" s="371"/>
      <c r="B261" s="1548"/>
      <c r="C261" s="1548"/>
      <c r="D261" s="1548"/>
      <c r="E261" s="180">
        <v>17</v>
      </c>
      <c r="F261" s="175" cm="1" t="str">
        <f t="array" ref="F261:F261">OFFSET(G261,-1,-1)</f>
        <v>1</v>
      </c>
      <c r="G261" s="193" t="str">
        <f>IF(J139="пар","топливо","")</f>
        <v/>
      </c>
      <c r="H261" s="1659"/>
      <c r="I261" s="1659"/>
      <c r="J261" s="1659"/>
      <c r="K261" s="1659"/>
      <c r="L261" s="175" cm="1" t="str">
        <f t="array" ref="L261:L261">OFFSET(M261,-1,-1)</f>
        <v>false</v>
      </c>
      <c r="M261" s="1659"/>
      <c r="N261" s="1659"/>
      <c r="O261" s="1659"/>
      <c r="P261" s="1659"/>
      <c r="Q261" s="1659"/>
      <c r="R261" s="1548"/>
      <c r="S261" s="175" cm="1" t="str">
        <f t="array" ref="S261:S261">OFFSET(T261,-1,-1)</f>
        <v>true</v>
      </c>
      <c r="T261" s="1548"/>
      <c r="U261" s="753">
        <f>AND(S261,IF(ISBLANK(T261),TRUE,T261))</f>
        <v>1</v>
      </c>
      <c r="V261" s="1548"/>
      <c r="W261" s="1548"/>
      <c r="X261" s="1548"/>
      <c r="Y261" s="1548"/>
      <c r="Z261" s="1548"/>
      <c r="AA261" s="1009"/>
      <c r="AB261" s="1650"/>
      <c r="AC261" s="1751"/>
      <c r="AD261" s="538" t="s">
        <v>991</v>
      </c>
      <c r="AE261" s="1627" t="s">
        <v>640</v>
      </c>
      <c r="AF261" s="1628"/>
      <c r="AG261" s="539" t="s">
        <v>917</v>
      </c>
      <c r="AH261" s="2268"/>
      <c r="AI261" s="2268"/>
      <c r="AJ261" s="2268"/>
      <c r="AK261" s="2268"/>
      <c r="AL261" s="2268"/>
      <c r="AM261" s="2268"/>
      <c r="AN261" s="2268"/>
      <c r="AO261" s="2268"/>
      <c r="AP261" s="2268"/>
      <c r="AQ261" s="2268"/>
      <c r="AR261" s="2268"/>
      <c r="AS261" s="2268"/>
      <c r="AT261" s="2268"/>
      <c r="AU261" s="2268"/>
      <c r="AV261" s="2268"/>
      <c r="AW261" s="2268"/>
      <c r="AX261" s="2268"/>
      <c r="AY261" s="2268"/>
      <c r="AZ261" s="2268"/>
      <c r="BA261" s="2268"/>
      <c r="BB261" s="2268"/>
      <c r="BC261" s="2268"/>
      <c r="BD261" s="2268"/>
      <c r="BE261" s="2268"/>
      <c r="BF261" s="2268"/>
      <c r="BG261" s="2268"/>
      <c r="BH261" s="2268"/>
      <c r="BI261" s="2268"/>
      <c r="BJ261" s="2268"/>
      <c r="BK261" s="2268"/>
      <c r="BL261" s="2268"/>
      <c r="BM261" s="2268"/>
      <c r="BN261" s="2268"/>
      <c r="BO261" s="2268"/>
      <c r="BP261" s="2268"/>
      <c r="BQ261" s="2268"/>
      <c r="BR261" s="2268"/>
      <c r="BS261" s="2268"/>
      <c r="BT261" s="2268"/>
      <c r="BU261" s="2268"/>
      <c r="BV261" s="2268"/>
      <c r="BW261" s="2268"/>
      <c r="BX261" s="2268"/>
      <c r="BY261" s="2268"/>
      <c r="BZ261" s="2268"/>
      <c r="CA261" s="2268"/>
      <c r="CB261" s="2268"/>
      <c r="CC261" s="2268"/>
      <c r="CD261" s="2268"/>
      <c r="CE261" s="2268"/>
      <c r="CF261" s="2268"/>
      <c r="CG261" s="2268"/>
      <c r="CH261" s="2268"/>
      <c r="CI261" s="2268"/>
      <c r="CJ261" s="2268"/>
      <c r="CK261" s="2268"/>
      <c r="CL261" s="2268"/>
      <c r="CM261" s="2268"/>
      <c r="CN261" s="2268"/>
      <c r="CO261" s="2268"/>
      <c r="CP261" s="2268"/>
      <c r="CQ261" s="2268"/>
      <c r="CR261" s="2268"/>
      <c r="CS261" s="2268"/>
      <c r="CT261" s="541"/>
      <c r="CU261" s="541"/>
      <c r="CV261" s="541"/>
      <c r="CW261" s="2268"/>
      <c r="CX261" s="2268"/>
      <c r="CY261" s="2268"/>
      <c r="CZ261" s="2268"/>
      <c r="DA261" s="2268"/>
      <c r="DB261" s="2268"/>
      <c r="DC261" s="2268"/>
      <c r="DD261" s="2268"/>
      <c r="DE261" s="2268"/>
      <c r="DF261" s="2268"/>
      <c r="DG261" s="2268"/>
      <c r="DH261" s="2268"/>
      <c r="DI261" s="2268"/>
      <c r="DJ261" s="2268"/>
      <c r="DK261" s="2268"/>
      <c r="DL261" s="2268"/>
      <c r="DM261" s="2268"/>
      <c r="DN261" s="2268"/>
      <c r="DO261" s="2268"/>
      <c r="DP261" s="2268"/>
      <c r="DQ261" s="2268"/>
      <c r="DR261" s="2268"/>
      <c r="DS261" s="2268"/>
      <c r="DT261" s="2268"/>
      <c r="DU261" s="2268"/>
      <c r="DV261" s="2268"/>
      <c r="DW261" s="2268"/>
      <c r="DX261" s="2268"/>
      <c r="DY261" s="2268"/>
      <c r="DZ261" s="2268"/>
      <c r="EA261" s="2268"/>
      <c r="EB261" s="2268"/>
      <c r="EC261" s="2268"/>
      <c r="ED261" s="2268"/>
      <c r="EE261" s="2268"/>
      <c r="EF261" s="2268"/>
      <c r="EG261" s="2268"/>
      <c r="EH261" s="2268"/>
      <c r="EI261" s="2268"/>
      <c r="EJ261" s="2268"/>
      <c r="EK261" s="2268"/>
      <c r="EL261" s="2268"/>
      <c r="EM261" s="2268"/>
      <c r="EN261" s="2268"/>
      <c r="EO261" s="2268"/>
      <c r="EP261" s="2268"/>
      <c r="EQ261" s="2268"/>
      <c r="ER261" s="2268"/>
      <c r="ES261" s="2268"/>
      <c r="ET261" s="2268"/>
      <c r="EU261" s="2268"/>
      <c r="EV261" s="2268"/>
      <c r="EW261" s="2268"/>
      <c r="EX261" s="2268"/>
      <c r="EY261" s="2268"/>
      <c r="EZ261" s="2268"/>
      <c r="FA261" s="2268"/>
      <c r="FB261" s="1897"/>
      <c r="FC261" s="1751"/>
      <c r="FD261" s="1506"/>
      <c r="FE261" s="489" t="s">
        <v>992</v>
      </c>
      <c r="FF261" s="648"/>
      <c r="FG261" s="648"/>
      <c r="FH261" s="648"/>
      <c r="FI261" s="649"/>
      <c r="FJ261" s="649"/>
      <c r="FK261" s="1157" cm="1" t="str">
        <f t="array" ref="FK261:FK261">OFFSET(FJ261,-1,1)</f>
        <v>ТЭ.42.31656254.0001</v>
      </c>
      <c r="FL261" s="1159"/>
      <c r="FM261" s="1159"/>
      <c r="FN261" s="1159"/>
      <c r="FO261" s="1159"/>
      <c r="FP261" s="1159"/>
      <c r="FQ261" s="1159"/>
      <c r="FR261" s="1159"/>
      <c r="FS261" s="1078" t="s">
        <v>987</v>
      </c>
      <c r="FT261" s="1159"/>
      <c r="FU261" s="1078" t="s">
        <v>642</v>
      </c>
      <c r="FV261" s="1159"/>
      <c r="FW261" s="1159"/>
      <c r="FX261" s="1078" t="s">
        <v>303</v>
      </c>
      <c r="FY261" s="1078" t="s">
        <v>919</v>
      </c>
      <c r="FZ261" s="1078" t="s">
        <v>920</v>
      </c>
    </row>
    <row s="1751" customFormat="1" customHeight="1" ht="16.5" hidden="1">
      <c r="E262" s="180">
        <v>17</v>
      </c>
      <c r="F262" s="175" cm="1" t="str">
        <f t="array" ref="F262:F262">OFFSET(G262,-1,-1)</f>
        <v>1</v>
      </c>
      <c r="L262" s="175" cm="1" t="str">
        <f t="array" ref="L262:L262">OFFSET(M262,-1,-1)</f>
        <v>false</v>
      </c>
      <c r="S262" s="175" cm="1" t="str">
        <f t="array" ref="S262:S262">OFFSET(T262,-1,-1)</f>
        <v>true</v>
      </c>
      <c r="T262" s="175">
        <f>AD262&lt;&gt;"40.0"</f>
        <v>0</v>
      </c>
      <c r="U262" s="753">
        <f>AND(S262,IF(ISBLANK(T262),TRUE,T262))</f>
        <v>0</v>
      </c>
      <c r="X262" s="175" t="s">
        <v>189</v>
      </c>
      <c r="AB262" s="1650"/>
      <c r="AD262" s="491" t="s">
        <v>993</v>
      </c>
      <c r="AE262" s="514"/>
      <c r="AF262" s="515"/>
      <c r="AG262" s="470" t="s">
        <v>917</v>
      </c>
      <c r="AH262" s="88">
        <f>AH191+AH208+AH225+AH242+AH251</f>
        <v>0</v>
      </c>
      <c r="AI262" s="88">
        <f>AI191+AI208+AI225+AI242+AI251</f>
        <v>0</v>
      </c>
      <c r="AJ262" s="88">
        <f>AJ191+AJ208+AJ225+AJ242+AJ251</f>
        <v>0</v>
      </c>
      <c r="AK262" s="88">
        <f>AK191+AK208+AK225+AK242+AK251</f>
        <v>0</v>
      </c>
      <c r="AL262" s="88">
        <f>AL191+AL208+AL225+AL242+AL251</f>
        <v>0</v>
      </c>
      <c r="AM262" s="88">
        <f>AM191+AM208+AM225+AM242+AM251</f>
        <v>0</v>
      </c>
      <c r="AN262" s="88">
        <f>AN191+AN208+AN225+AN242+AN251</f>
        <v>0</v>
      </c>
      <c r="AO262" s="88">
        <f>AO191+AO208+AO225+AO242+AO251</f>
        <v>0</v>
      </c>
      <c r="AP262" s="88">
        <f>AP191+AP208+AP225+AP242+AP251</f>
        <v>0</v>
      </c>
      <c r="AQ262" s="88">
        <f>AQ191+AQ208+AQ225+AQ242+AQ251</f>
        <v>0</v>
      </c>
      <c r="AR262" s="88">
        <f>AR191+AR208+AR225+AR242+AR251</f>
        <v>0</v>
      </c>
      <c r="AS262" s="88">
        <f>AS191+AS208+AS225+AS242+AS251</f>
        <v>0</v>
      </c>
      <c r="AT262" s="88">
        <f>AT191+AT208+AT225+AT242+AT251</f>
        <v>0</v>
      </c>
      <c r="AU262" s="88">
        <f>AU191+AU208+AU225+AU242+AU251</f>
        <v>0</v>
      </c>
      <c r="AV262" s="88">
        <f>AV191+AV208+AV225+AV242+AV251</f>
        <v>0</v>
      </c>
      <c r="AW262" s="88">
        <f>AW191+AW208+AW225+AW242+AW251</f>
        <v>0</v>
      </c>
      <c r="AX262" s="88">
        <f>AX191+AX208+AX225+AX242+AX251</f>
        <v>0</v>
      </c>
      <c r="AY262" s="88">
        <f>AY191+AY208+AY225+AY242+AY251</f>
        <v>0</v>
      </c>
      <c r="AZ262" s="88">
        <f>AZ191+AZ208+AZ225+AZ242+AZ251</f>
        <v>0</v>
      </c>
      <c r="BA262" s="88">
        <f>BA191+BA208+BA225+BA242+BA251</f>
        <v>0</v>
      </c>
      <c r="BB262" s="88">
        <f>BB191+BB208+BB225+BB242+BB251</f>
        <v>0</v>
      </c>
      <c r="BC262" s="88">
        <f>BC191+BC208+BC225+BC242+BC251</f>
        <v>0</v>
      </c>
      <c r="BD262" s="88">
        <f>BD191+BD208+BD225+BD242+BD251</f>
        <v>0</v>
      </c>
      <c r="BE262" s="88">
        <f>BE191+BE208+BE225+BE242+BE251</f>
        <v>0</v>
      </c>
      <c r="BF262" s="88">
        <f>BF191+BF208+BF225+BF242+BF251</f>
        <v>0</v>
      </c>
      <c r="BG262" s="88">
        <f>BG191+BG208+BG225+BG242+BG251</f>
        <v>0</v>
      </c>
      <c r="BH262" s="88">
        <f>BH191+BH208+BH225+BH242+BH251</f>
        <v>0</v>
      </c>
      <c r="BI262" s="88">
        <f>BI191+BI208+BI225+BI242+BI251</f>
        <v>0</v>
      </c>
      <c r="BJ262" s="88">
        <f>BJ191+BJ208+BJ225+BJ242+BJ251</f>
        <v>0</v>
      </c>
      <c r="BK262" s="88">
        <f>BK191+BK208+BK225+BK242+BK251</f>
        <v>0</v>
      </c>
      <c r="BL262" s="88">
        <f>BL191+BL208+BL225+BL242+BL251</f>
        <v>0</v>
      </c>
      <c r="BM262" s="88">
        <f>BM191+BM208+BM225+BM242+BM251</f>
        <v>0</v>
      </c>
      <c r="BN262" s="88">
        <f>BN191+BN208+BN225+BN242+BN251</f>
        <v>0</v>
      </c>
      <c r="BO262" s="88">
        <f>BO191+BO208+BO225+BO242+BO251</f>
        <v>0</v>
      </c>
      <c r="BP262" s="88">
        <f>BP191+BP208+BP225+BP242+BP251</f>
        <v>0</v>
      </c>
      <c r="BQ262" s="88">
        <f>BQ191+BQ208+BQ225+BQ242+BQ251</f>
        <v>0</v>
      </c>
      <c r="BR262" s="88">
        <f>BR191+BR208+BR225+BR242+BR251</f>
        <v>0</v>
      </c>
      <c r="BS262" s="88">
        <f>BS191+BS208+BS225+BS242+BS251</f>
        <v>0</v>
      </c>
      <c r="BT262" s="88">
        <f>BT191+BT208+BT225+BT242+BT251</f>
        <v>0</v>
      </c>
      <c r="BU262" s="88">
        <f>BU191+BU208+BU225+BU242+BU251</f>
        <v>0</v>
      </c>
      <c r="BV262" s="88">
        <f>BV191+BV208+BV225+BV242+BV251</f>
        <v>0</v>
      </c>
      <c r="BW262" s="88">
        <f>BW191+BW208+BW225+BW242+BW251</f>
        <v>0</v>
      </c>
      <c r="BX262" s="88">
        <f>BX191+BX208+BX225+BX242+BX251</f>
        <v>0</v>
      </c>
      <c r="BY262" s="88">
        <f>BY191+BY208+BY225+BY242+BY251</f>
        <v>0</v>
      </c>
      <c r="BZ262" s="88">
        <f>BZ191+BZ208+BZ225+BZ242+BZ251</f>
        <v>0</v>
      </c>
      <c r="CA262" s="88">
        <f>CA191+CA208+CA225+CA242+CA251</f>
        <v>0</v>
      </c>
      <c r="CB262" s="88">
        <f>CB191+CB208+CB225+CB242+CB251</f>
        <v>0</v>
      </c>
      <c r="CC262" s="88">
        <f>CC191+CC208+CC225+CC242+CC251</f>
        <v>0</v>
      </c>
      <c r="CD262" s="88">
        <f>CD191+CD208+CD225+CD242+CD251</f>
        <v>0</v>
      </c>
      <c r="CE262" s="88">
        <f>CE191+CE208+CE225+CE242+CE251</f>
        <v>0</v>
      </c>
      <c r="CF262" s="88">
        <f>CF191+CF208+CF225+CF242+CF251</f>
        <v>0</v>
      </c>
      <c r="CG262" s="88">
        <f>CG191+CG208+CG225+CG242+CG251</f>
        <v>0</v>
      </c>
      <c r="CH262" s="88">
        <f>CH191+CH208+CH225+CH242+CH251</f>
        <v>0</v>
      </c>
      <c r="CI262" s="88">
        <f>CI191+CI208+CI225+CI242+CI251</f>
        <v>0</v>
      </c>
      <c r="CJ262" s="88">
        <f>CJ191+CJ208+CJ225+CJ242+CJ251</f>
        <v>0</v>
      </c>
      <c r="CK262" s="88">
        <f>CK191+CK208+CK225+CK242+CK251</f>
        <v>0</v>
      </c>
      <c r="CL262" s="88">
        <f>CL191+CL208+CL225+CL242+CL251</f>
        <v>0</v>
      </c>
      <c r="CM262" s="88">
        <f>CM191+CM208+CM225+CM242+CM251</f>
        <v>0</v>
      </c>
      <c r="CN262" s="88">
        <f>CN191+CN208+CN225+CN242+CN251</f>
        <v>0</v>
      </c>
      <c r="CO262" s="88">
        <f>CO191+CO208+CO225+CO242+CO251</f>
        <v>0</v>
      </c>
      <c r="CP262" s="88">
        <f>CP191+CP208+CP225+CP242+CP251</f>
        <v>0</v>
      </c>
      <c r="CQ262" s="88">
        <f>CQ191+CQ208+CQ225+CQ242+CQ251</f>
        <v>0</v>
      </c>
      <c r="CR262" s="88">
        <f>CR191+CR208+CR225+CR242+CR251</f>
        <v>0</v>
      </c>
      <c r="CS262" s="88">
        <f>CS191+CS208+CS225+CS242+CS251</f>
        <v>0</v>
      </c>
      <c r="CT262" s="497">
        <f>CT191+CT208+CT225+CT242+CT251</f>
        <v>0</v>
      </c>
      <c r="CU262" s="497">
        <f>CU191+CU208+CU225+CU242+CU251</f>
        <v>0</v>
      </c>
      <c r="CV262" s="497">
        <f>CV191+CV208+CV225+CV242+CV251</f>
        <v>0</v>
      </c>
      <c r="CW262" s="88">
        <f>CW191+CW208+CW225+CW242+CW251</f>
        <v>0</v>
      </c>
      <c r="CX262" s="88">
        <f>CX191+CX208+CX225+CX242+CX251</f>
        <v>0</v>
      </c>
      <c r="CY262" s="88">
        <f>CY191+CY208+CY225+CY242+CY251</f>
        <v>0</v>
      </c>
      <c r="CZ262" s="88">
        <f>CZ191+CZ208+CZ225+CZ242+CZ251</f>
        <v>0</v>
      </c>
      <c r="DA262" s="88">
        <f>DA191+DA208+DA225+DA242+DA251</f>
        <v>0</v>
      </c>
      <c r="DB262" s="88">
        <f>DB191+DB208+DB225+DB242+DB251</f>
        <v>0</v>
      </c>
      <c r="DC262" s="88">
        <f>DC191+DC208+DC225+DC242+DC251</f>
        <v>0</v>
      </c>
      <c r="DD262" s="88">
        <f>DD191+DD208+DD225+DD242+DD251</f>
        <v>0</v>
      </c>
      <c r="DE262" s="88">
        <f>DE191+DE208+DE225+DE242+DE251</f>
        <v>0</v>
      </c>
      <c r="DF262" s="88">
        <f>DF191+DF208+DF225+DF242+DF251</f>
        <v>0</v>
      </c>
      <c r="DG262" s="88">
        <f>DG191+DG208+DG225+DG242+DG251</f>
        <v>0</v>
      </c>
      <c r="DH262" s="88">
        <f>DH191+DH208+DH225+DH242+DH251</f>
        <v>0</v>
      </c>
      <c r="DI262" s="88">
        <f>DI191+DI208+DI225+DI242+DI251</f>
        <v>0</v>
      </c>
      <c r="DJ262" s="88">
        <f>DJ191+DJ208+DJ225+DJ242+DJ251</f>
        <v>0</v>
      </c>
      <c r="DK262" s="88">
        <f>DK191+DK208+DK225+DK242+DK251</f>
        <v>0</v>
      </c>
      <c r="DL262" s="88">
        <f>DL191+DL208+DL225+DL242+DL251</f>
        <v>0</v>
      </c>
      <c r="DM262" s="88">
        <f>DM191+DM208+DM225+DM242+DM251</f>
        <v>0</v>
      </c>
      <c r="DN262" s="88">
        <f>DN191+DN208+DN225+DN242+DN251</f>
        <v>0</v>
      </c>
      <c r="DO262" s="88">
        <f>DO191+DO208+DO225+DO242+DO251</f>
        <v>0</v>
      </c>
      <c r="DP262" s="88">
        <f>DP191+DP208+DP225+DP242+DP251</f>
        <v>0</v>
      </c>
      <c r="DQ262" s="88">
        <f>DQ191+DQ208+DQ225+DQ242+DQ251</f>
        <v>0</v>
      </c>
      <c r="DR262" s="88">
        <f>DR191+DR208+DR225+DR242+DR251</f>
        <v>0</v>
      </c>
      <c r="DS262" s="88">
        <f>DS191+DS208+DS225+DS242+DS251</f>
        <v>0</v>
      </c>
      <c r="DT262" s="88">
        <f>DT191+DT208+DT225+DT242+DT251</f>
        <v>0</v>
      </c>
      <c r="DU262" s="88">
        <f>DU191+DU208+DU225+DU242+DU251</f>
        <v>0</v>
      </c>
      <c r="DV262" s="88">
        <f>DV191+DV208+DV225+DV242+DV251</f>
        <v>0</v>
      </c>
      <c r="DW262" s="88">
        <f>DW191+DW208+DW225+DW242+DW251</f>
        <v>0</v>
      </c>
      <c r="DX262" s="88">
        <f>DX191+DX208+DX225+DX242+DX251</f>
        <v>0</v>
      </c>
      <c r="DY262" s="88">
        <f>DY191+DY208+DY225+DY242+DY251</f>
        <v>0</v>
      </c>
      <c r="DZ262" s="88">
        <f>DZ191+DZ208+DZ225+DZ242+DZ251</f>
        <v>0</v>
      </c>
      <c r="EA262" s="88">
        <f>EA191+EA208+EA225+EA242+EA251</f>
        <v>0</v>
      </c>
      <c r="EB262" s="88">
        <f>EB191+EB208+EB225+EB242+EB251</f>
        <v>0</v>
      </c>
      <c r="EC262" s="88">
        <f>EC191+EC208+EC225+EC242+EC251</f>
        <v>0</v>
      </c>
      <c r="ED262" s="88">
        <f>ED191+ED208+ED225+ED242+ED251</f>
        <v>0</v>
      </c>
      <c r="EE262" s="88">
        <f>EE191+EE208+EE225+EE242+EE251</f>
        <v>0</v>
      </c>
      <c r="EF262" s="88">
        <f>EF191+EF208+EF225+EF242+EF251</f>
        <v>0</v>
      </c>
      <c r="EG262" s="88">
        <f>EG191+EG208+EG225+EG242+EG251</f>
        <v>0</v>
      </c>
      <c r="EH262" s="88">
        <f>EH191+EH208+EH225+EH242+EH251</f>
        <v>0</v>
      </c>
      <c r="EI262" s="88">
        <f>EI191+EI208+EI225+EI242+EI251</f>
        <v>0</v>
      </c>
      <c r="EJ262" s="88">
        <f>EJ191+EJ208+EJ225+EJ242+EJ251</f>
        <v>0</v>
      </c>
      <c r="EK262" s="88">
        <f>EK191+EK208+EK225+EK242+EK251</f>
        <v>0</v>
      </c>
      <c r="EL262" s="88">
        <f>EL191+EL208+EL225+EL242+EL251</f>
        <v>0</v>
      </c>
      <c r="EM262" s="88">
        <f>EM191+EM208+EM225+EM242+EM251</f>
        <v>0</v>
      </c>
      <c r="EN262" s="88">
        <f>EN191+EN208+EN225+EN242+EN251</f>
        <v>0</v>
      </c>
      <c r="EO262" s="88">
        <f>EO191+EO208+EO225+EO242+EO251</f>
        <v>0</v>
      </c>
      <c r="EP262" s="88">
        <f>EP191+EP208+EP225+EP242+EP251</f>
        <v>0</v>
      </c>
      <c r="EQ262" s="88">
        <f>EQ191+EQ208+EQ225+EQ242+EQ251</f>
        <v>0</v>
      </c>
      <c r="ER262" s="88">
        <f>ER191+ER208+ER225+ER242+ER251</f>
        <v>0</v>
      </c>
      <c r="ES262" s="88">
        <f>ES191+ES208+ES225+ES242+ES251</f>
        <v>0</v>
      </c>
      <c r="ET262" s="88">
        <f>ET191+ET208+ET225+ET242+ET251</f>
        <v>0</v>
      </c>
      <c r="EU262" s="88">
        <f>EU191+EU208+EU225+EU242+EU251</f>
        <v>0</v>
      </c>
      <c r="EV262" s="88">
        <f>EV191+EV208+EV225+EV242+EV251</f>
        <v>0</v>
      </c>
      <c r="EW262" s="88">
        <f>EW191+EW208+EW225+EW242+EW251</f>
        <v>0</v>
      </c>
      <c r="EX262" s="88">
        <f>EX191+EX208+EX225+EX242+EX251</f>
        <v>0</v>
      </c>
      <c r="EY262" s="88">
        <f>EY191+EY208+EY225+EY242+EY251</f>
        <v>0</v>
      </c>
      <c r="EZ262" s="88">
        <f>EZ191+EZ208+EZ225+EZ242+EZ251</f>
        <v>0</v>
      </c>
      <c r="FA262" s="88">
        <f>FA191+FA208+FA225+FA242+FA251</f>
        <v>0</v>
      </c>
      <c r="FB262" s="83"/>
      <c r="FE262" s="489" t="s">
        <v>994</v>
      </c>
      <c r="FF262" s="648" t="s">
        <v>890</v>
      </c>
      <c r="FG262" s="648" cm="1" t="str">
        <f t="array" ref="FG262:FG262">AE262</f>
        <v>0</v>
      </c>
      <c r="FH262" s="648" cm="1" t="str">
        <f t="array" ref="FH262:FH262">AF262</f>
        <v>0</v>
      </c>
      <c r="FI262" s="649"/>
      <c r="FJ262" s="649"/>
      <c r="FK262" s="1157" cm="1" t="str">
        <f t="array" ref="FK262:FK262">OFFSET(FJ262,-1,1)</f>
        <v>ТЭ.42.31656254.0001</v>
      </c>
      <c r="FL262" s="1159"/>
      <c r="FM262" s="1159"/>
      <c r="FN262" s="1159"/>
      <c r="FO262" s="1159"/>
      <c r="FP262" s="1159"/>
      <c r="FQ262" s="1159"/>
      <c r="FR262" s="1159"/>
      <c r="FS262" s="1159" t="s">
        <v>987</v>
      </c>
      <c r="FT262" s="1159"/>
      <c r="FU262" s="1159"/>
      <c r="FV262" s="1159" t="s">
        <v>219</v>
      </c>
      <c r="FW262" s="1078" t="str">
        <f>$AE262&amp;"|"&amp;$AF262</f>
        <v>|</v>
      </c>
      <c r="FX262" s="1159" t="s">
        <v>303</v>
      </c>
      <c r="FY262" s="1159" t="s">
        <v>919</v>
      </c>
      <c r="FZ262" s="1159" t="s">
        <v>920</v>
      </c>
    </row>
    <row s="1751" customFormat="1" customHeight="1" ht="16.5">
      <c r="A263" s="1751"/>
      <c r="B263" s="1751"/>
      <c r="C263" s="1751"/>
      <c r="D263" s="1751"/>
      <c r="E263" s="180">
        <v>17</v>
      </c>
      <c r="F263" s="175" cm="1" t="str">
        <f t="array" ref="F263:F263">OFFSET(G263,-1,-1)</f>
        <v>1</v>
      </c>
      <c r="G263" s="1751"/>
      <c r="H263" s="1751"/>
      <c r="I263" s="1751"/>
      <c r="J263" s="1751"/>
      <c r="K263" s="1751"/>
      <c r="L263" s="175" cm="1" t="str">
        <f t="array" ref="L263:L263">OFFSET(M263,-1,-1)</f>
        <v>false</v>
      </c>
      <c r="M263" s="1751"/>
      <c r="N263" s="1751"/>
      <c r="O263" s="1751"/>
      <c r="P263" s="1751"/>
      <c r="Q263" s="1751"/>
      <c r="R263" s="1751"/>
      <c r="S263" s="175" cm="1" t="str">
        <f t="array" ref="S263:S263">OFFSET(T263,-1,-1)</f>
        <v>true</v>
      </c>
      <c r="T263" s="175">
        <f>AD263&lt;&gt;"40.0"</f>
        <v>1</v>
      </c>
      <c r="U263" s="753">
        <f>AND(S263,IF(ISBLANK(T263),TRUE,T263))</f>
        <v>1</v>
      </c>
      <c r="V263" s="1751"/>
      <c r="W263" s="1751"/>
      <c r="X263" s="175" t="str">
        <f>'Топливо 4.4'!$AE$256&amp;'Топливо 4.4'!$AF$256</f>
        <v>Уголь длиннопламенный</v>
      </c>
      <c r="Y263" s="1751"/>
      <c r="Z263" s="1751"/>
      <c r="AA263" s="1751"/>
      <c r="AB263" s="1650"/>
      <c r="AC263" s="1751"/>
      <c r="AD263" s="491" t="s">
        <v>1032</v>
      </c>
      <c r="AE263" s="514" cm="1" t="str">
        <f t="array" ref="AE263:AE263">IF(ISBLANK('Топливо 4.4'!$AE$256),"",'Топливо 4.4'!$AE$256)</f>
        <v>Уголь длиннопламенный</v>
      </c>
      <c r="AF263" s="515" cm="1" t="str">
        <f t="array" ref="AF263:AF263">IF(ISBLANK('Топливо 4.4'!$AF$256),"",'Топливо 4.4'!$AF$256)</f>
        <v/>
      </c>
      <c r="AG263" s="470" t="s">
        <v>917</v>
      </c>
      <c r="AH263" s="2255">
        <f>AH192+AH209+AH226+AH243+AH252</f>
        <v>2526</v>
      </c>
      <c r="AI263" s="2255">
        <f>AI192+AI209+AI226+AI243+AI252</f>
        <v>3971.15</v>
      </c>
      <c r="AJ263" s="2255">
        <f>AJ192+AJ209+AJ226+AJ243+AJ252</f>
        <v>2853.98814247972</v>
      </c>
      <c r="AK263" s="2255">
        <f>AK192+AK209+AK226+AK243+AK252</f>
        <v>2957</v>
      </c>
      <c r="AL263" s="2255">
        <f>AL192+AL209+AL226+AL243+AL252</f>
        <v>4559.01722300141</v>
      </c>
      <c r="AM263" s="2255">
        <f>AM192+AM209+AM226+AM243+AM252</f>
        <v>2597.90151472651</v>
      </c>
      <c r="AN263" s="2255">
        <f>AN192+AN209+AN226+AN243+AN252</f>
        <v>1961.1157082749</v>
      </c>
      <c r="AO263" s="2255">
        <f>AO192+AO209+AO226+AO243+AO252</f>
        <v>0</v>
      </c>
      <c r="AP263" s="2255">
        <f>AP192+AP209+AP226+AP243+AP252</f>
        <v>0</v>
      </c>
      <c r="AQ263" s="2255">
        <f>AQ192+AQ209+AQ226+AQ243+AQ252</f>
        <v>0</v>
      </c>
      <c r="AR263" s="2255">
        <f>AR192+AR209+AR226+AR243+AR252</f>
        <v>0</v>
      </c>
      <c r="AS263" s="2255">
        <f>AS192+AS209+AS226+AS243+AS252</f>
        <v>0</v>
      </c>
      <c r="AT263" s="2255">
        <f>AT192+AT209+AT226+AT243+AT252</f>
        <v>0</v>
      </c>
      <c r="AU263" s="2255">
        <f>AU192+AU209+AU226+AU243+AU252</f>
        <v>0</v>
      </c>
      <c r="AV263" s="2255">
        <f>AV192+AV209+AV226+AV243+AV252</f>
        <v>0</v>
      </c>
      <c r="AW263" s="2255">
        <f>AW192+AW209+AW226+AW243+AW252</f>
        <v>0</v>
      </c>
      <c r="AX263" s="2255">
        <f>AX192+AX209+AX226+AX243+AX252</f>
        <v>0</v>
      </c>
      <c r="AY263" s="2255">
        <f>AY192+AY209+AY226+AY243+AY252</f>
        <v>0</v>
      </c>
      <c r="AZ263" s="2255">
        <f>AZ192+AZ209+AZ226+AZ243+AZ252</f>
        <v>0</v>
      </c>
      <c r="BA263" s="2255">
        <f>BA192+BA209+BA226+BA243+BA252</f>
        <v>0</v>
      </c>
      <c r="BB263" s="2255">
        <f>BB192+BB209+BB226+BB243+BB252</f>
        <v>0</v>
      </c>
      <c r="BC263" s="2255">
        <f>BC192+BC209+BC226+BC243+BC252</f>
        <v>0</v>
      </c>
      <c r="BD263" s="2255">
        <f>BD192+BD209+BD226+BD243+BD252</f>
        <v>0</v>
      </c>
      <c r="BE263" s="2255">
        <f>BE192+BE209+BE226+BE243+BE252</f>
        <v>0</v>
      </c>
      <c r="BF263" s="2255">
        <f>BF192+BF209+BF226+BF243+BF252</f>
        <v>0</v>
      </c>
      <c r="BG263" s="2255">
        <f>BG192+BG209+BG226+BG243+BG252</f>
        <v>0</v>
      </c>
      <c r="BH263" s="2255">
        <f>BH192+BH209+BH226+BH243+BH252</f>
        <v>0</v>
      </c>
      <c r="BI263" s="2255">
        <f>BI192+BI209+BI226+BI243+BI252</f>
        <v>0</v>
      </c>
      <c r="BJ263" s="2255">
        <f>BJ192+BJ209+BJ226+BJ243+BJ252</f>
        <v>0</v>
      </c>
      <c r="BK263" s="2255">
        <f>BK192+BK209+BK226+BK243+BK252</f>
        <v>0</v>
      </c>
      <c r="BL263" s="2255">
        <f>BL192+BL209+BL226+BL243+BL252</f>
        <v>0</v>
      </c>
      <c r="BM263" s="2255">
        <f>BM192+BM209+BM226+BM243+BM252</f>
        <v>0</v>
      </c>
      <c r="BN263" s="2255">
        <f>BN192+BN209+BN226+BN243+BN252</f>
        <v>0</v>
      </c>
      <c r="BO263" s="2255">
        <f>BO192+BO209+BO226+BO243+BO252</f>
        <v>0</v>
      </c>
      <c r="BP263" s="2255">
        <f>BP192+BP209+BP226+BP243+BP252</f>
        <v>0</v>
      </c>
      <c r="BQ263" s="2255">
        <f>BQ192+BQ209+BQ226+BQ243+BQ252</f>
        <v>0</v>
      </c>
      <c r="BR263" s="2255">
        <f>BR192+BR209+BR226+BR243+BR252</f>
        <v>0</v>
      </c>
      <c r="BS263" s="2255">
        <f>BS192+BS209+BS226+BS243+BS252</f>
        <v>0</v>
      </c>
      <c r="BT263" s="2255">
        <f>BT192+BT209+BT226+BT243+BT252</f>
        <v>0</v>
      </c>
      <c r="BU263" s="2255">
        <f>BU192+BU209+BU226+BU243+BU252</f>
        <v>0</v>
      </c>
      <c r="BV263" s="2255">
        <f>BV192+BV209+BV226+BV243+BV252</f>
        <v>0</v>
      </c>
      <c r="BW263" s="2255">
        <f>BW192+BW209+BW226+BW243+BW252</f>
        <v>0</v>
      </c>
      <c r="BX263" s="2255">
        <f>BX192+BX209+BX226+BX243+BX252</f>
        <v>0</v>
      </c>
      <c r="BY263" s="2255">
        <f>BY192+BY209+BY226+BY243+BY252</f>
        <v>0</v>
      </c>
      <c r="BZ263" s="2255">
        <f>BZ192+BZ209+BZ226+BZ243+BZ252</f>
        <v>0</v>
      </c>
      <c r="CA263" s="2255">
        <f>CA192+CA209+CA226+CA243+CA252</f>
        <v>0</v>
      </c>
      <c r="CB263" s="2255">
        <f>CB192+CB209+CB226+CB243+CB252</f>
        <v>0</v>
      </c>
      <c r="CC263" s="2255">
        <f>CC192+CC209+CC226+CC243+CC252</f>
        <v>0</v>
      </c>
      <c r="CD263" s="2255">
        <f>CD192+CD209+CD226+CD243+CD252</f>
        <v>0</v>
      </c>
      <c r="CE263" s="2255">
        <f>CE192+CE209+CE226+CE243+CE252</f>
        <v>0</v>
      </c>
      <c r="CF263" s="2255">
        <f>CF192+CF209+CF226+CF243+CF252</f>
        <v>0</v>
      </c>
      <c r="CG263" s="2255">
        <f>CG192+CG209+CG226+CG243+CG252</f>
        <v>0</v>
      </c>
      <c r="CH263" s="2255">
        <f>CH192+CH209+CH226+CH243+CH252</f>
        <v>0</v>
      </c>
      <c r="CI263" s="2255">
        <f>CI192+CI209+CI226+CI243+CI252</f>
        <v>0</v>
      </c>
      <c r="CJ263" s="2255">
        <f>CJ192+CJ209+CJ226+CJ243+CJ252</f>
        <v>0</v>
      </c>
      <c r="CK263" s="2255">
        <f>CK192+CK209+CK226+CK243+CK252</f>
        <v>0</v>
      </c>
      <c r="CL263" s="2255">
        <f>CL192+CL209+CL226+CL243+CL252</f>
        <v>0</v>
      </c>
      <c r="CM263" s="2255">
        <f>CM192+CM209+CM226+CM243+CM252</f>
        <v>0</v>
      </c>
      <c r="CN263" s="2255">
        <f>CN192+CN209+CN226+CN243+CN252</f>
        <v>0</v>
      </c>
      <c r="CO263" s="2255">
        <f>CO192+CO209+CO226+CO243+CO252</f>
        <v>0</v>
      </c>
      <c r="CP263" s="2255">
        <f>CP192+CP209+CP226+CP243+CP252</f>
        <v>0</v>
      </c>
      <c r="CQ263" s="2255">
        <f>CQ192+CQ209+CQ226+CQ243+CQ252</f>
        <v>0</v>
      </c>
      <c r="CR263" s="2255">
        <f>CR192+CR209+CR226+CR243+CR252</f>
        <v>0</v>
      </c>
      <c r="CS263" s="2255">
        <f>CS192+CS209+CS226+CS243+CS252</f>
        <v>0</v>
      </c>
      <c r="CT263" s="497">
        <f>CT192+CT209+CT226+CT243+CT252</f>
        <v>3292.57555763218</v>
      </c>
      <c r="CU263" s="497">
        <f>CU192+CU209+CU226+CU243+CU252</f>
        <v>1876.56909937931</v>
      </c>
      <c r="CV263" s="497">
        <f>CV192+CV209+CV226+CV243+CV252</f>
        <v>1416.00645825287</v>
      </c>
      <c r="CW263" s="2255">
        <f>CW192+CW209+CW226+CW243+CW252</f>
        <v>0</v>
      </c>
      <c r="CX263" s="2255">
        <f>CX192+CX209+CX226+CX243+CX252</f>
        <v>0</v>
      </c>
      <c r="CY263" s="2255">
        <f>CY192+CY209+CY226+CY243+CY252</f>
        <v>0</v>
      </c>
      <c r="CZ263" s="2255">
        <f>CZ192+CZ209+CZ226+CZ243+CZ252</f>
        <v>0</v>
      </c>
      <c r="DA263" s="2255">
        <f>DA192+DA209+DA226+DA243+DA252</f>
        <v>0</v>
      </c>
      <c r="DB263" s="2255">
        <f>DB192+DB209+DB226+DB243+DB252</f>
        <v>0</v>
      </c>
      <c r="DC263" s="2255">
        <f>DC192+DC209+DC226+DC243+DC252</f>
        <v>0</v>
      </c>
      <c r="DD263" s="2255">
        <f>DD192+DD209+DD226+DD243+DD252</f>
        <v>0</v>
      </c>
      <c r="DE263" s="2255">
        <f>DE192+DE209+DE226+DE243+DE252</f>
        <v>0</v>
      </c>
      <c r="DF263" s="2255">
        <f>DF192+DF209+DF226+DF243+DF252</f>
        <v>0</v>
      </c>
      <c r="DG263" s="2255">
        <f>DG192+DG209+DG226+DG243+DG252</f>
        <v>0</v>
      </c>
      <c r="DH263" s="2255">
        <f>DH192+DH209+DH226+DH243+DH252</f>
        <v>0</v>
      </c>
      <c r="DI263" s="2255">
        <f>DI192+DI209+DI226+DI243+DI252</f>
        <v>0</v>
      </c>
      <c r="DJ263" s="2255">
        <f>DJ192+DJ209+DJ226+DJ243+DJ252</f>
        <v>0</v>
      </c>
      <c r="DK263" s="2255">
        <f>DK192+DK209+DK226+DK243+DK252</f>
        <v>0</v>
      </c>
      <c r="DL263" s="2255">
        <f>DL192+DL209+DL226+DL243+DL252</f>
        <v>0</v>
      </c>
      <c r="DM263" s="2255">
        <f>DM192+DM209+DM226+DM243+DM252</f>
        <v>0</v>
      </c>
      <c r="DN263" s="2255">
        <f>DN192+DN209+DN226+DN243+DN252</f>
        <v>0</v>
      </c>
      <c r="DO263" s="2255">
        <f>DO192+DO209+DO226+DO243+DO252</f>
        <v>0</v>
      </c>
      <c r="DP263" s="2255">
        <f>DP192+DP209+DP226+DP243+DP252</f>
        <v>0</v>
      </c>
      <c r="DQ263" s="2255">
        <f>DQ192+DQ209+DQ226+DQ243+DQ252</f>
        <v>0</v>
      </c>
      <c r="DR263" s="2255">
        <f>DR192+DR209+DR226+DR243+DR252</f>
        <v>0</v>
      </c>
      <c r="DS263" s="2255">
        <f>DS192+DS209+DS226+DS243+DS252</f>
        <v>0</v>
      </c>
      <c r="DT263" s="2255">
        <f>DT192+DT209+DT226+DT243+DT252</f>
        <v>0</v>
      </c>
      <c r="DU263" s="2255">
        <f>DU192+DU209+DU226+DU243+DU252</f>
        <v>0</v>
      </c>
      <c r="DV263" s="2255">
        <f>DV192+DV209+DV226+DV243+DV252</f>
        <v>0</v>
      </c>
      <c r="DW263" s="2255">
        <f>DW192+DW209+DW226+DW243+DW252</f>
        <v>0</v>
      </c>
      <c r="DX263" s="2255">
        <f>DX192+DX209+DX226+DX243+DX252</f>
        <v>0</v>
      </c>
      <c r="DY263" s="2255">
        <f>DY192+DY209+DY226+DY243+DY252</f>
        <v>0</v>
      </c>
      <c r="DZ263" s="2255">
        <f>DZ192+DZ209+DZ226+DZ243+DZ252</f>
        <v>0</v>
      </c>
      <c r="EA263" s="2255">
        <f>EA192+EA209+EA226+EA243+EA252</f>
        <v>0</v>
      </c>
      <c r="EB263" s="2255">
        <f>EB192+EB209+EB226+EB243+EB252</f>
        <v>0</v>
      </c>
      <c r="EC263" s="2255">
        <f>EC192+EC209+EC226+EC243+EC252</f>
        <v>0</v>
      </c>
      <c r="ED263" s="2255">
        <f>ED192+ED209+ED226+ED243+ED252</f>
        <v>0</v>
      </c>
      <c r="EE263" s="2255">
        <f>EE192+EE209+EE226+EE243+EE252</f>
        <v>0</v>
      </c>
      <c r="EF263" s="2255">
        <f>EF192+EF209+EF226+EF243+EF252</f>
        <v>0</v>
      </c>
      <c r="EG263" s="2255">
        <f>EG192+EG209+EG226+EG243+EG252</f>
        <v>0</v>
      </c>
      <c r="EH263" s="2255">
        <f>EH192+EH209+EH226+EH243+EH252</f>
        <v>0</v>
      </c>
      <c r="EI263" s="2255">
        <f>EI192+EI209+EI226+EI243+EI252</f>
        <v>0</v>
      </c>
      <c r="EJ263" s="2255">
        <f>EJ192+EJ209+EJ226+EJ243+EJ252</f>
        <v>0</v>
      </c>
      <c r="EK263" s="2255">
        <f>EK192+EK209+EK226+EK243+EK252</f>
        <v>0</v>
      </c>
      <c r="EL263" s="2255">
        <f>EL192+EL209+EL226+EL243+EL252</f>
        <v>0</v>
      </c>
      <c r="EM263" s="2255">
        <f>EM192+EM209+EM226+EM243+EM252</f>
        <v>0</v>
      </c>
      <c r="EN263" s="2255">
        <f>EN192+EN209+EN226+EN243+EN252</f>
        <v>0</v>
      </c>
      <c r="EO263" s="2255">
        <f>EO192+EO209+EO226+EO243+EO252</f>
        <v>0</v>
      </c>
      <c r="EP263" s="2255">
        <f>EP192+EP209+EP226+EP243+EP252</f>
        <v>0</v>
      </c>
      <c r="EQ263" s="2255">
        <f>EQ192+EQ209+EQ226+EQ243+EQ252</f>
        <v>0</v>
      </c>
      <c r="ER263" s="2255">
        <f>ER192+ER209+ER226+ER243+ER252</f>
        <v>0</v>
      </c>
      <c r="ES263" s="2255">
        <f>ES192+ES209+ES226+ES243+ES252</f>
        <v>0</v>
      </c>
      <c r="ET263" s="2255">
        <f>ET192+ET209+ET226+ET243+ET252</f>
        <v>0</v>
      </c>
      <c r="EU263" s="2255">
        <f>EU192+EU209+EU226+EU243+EU252</f>
        <v>0</v>
      </c>
      <c r="EV263" s="2255">
        <f>EV192+EV209+EV226+EV243+EV252</f>
        <v>0</v>
      </c>
      <c r="EW263" s="2255">
        <f>EW192+EW209+EW226+EW243+EW252</f>
        <v>0</v>
      </c>
      <c r="EX263" s="2255">
        <f>EX192+EX209+EX226+EX243+EX252</f>
        <v>0</v>
      </c>
      <c r="EY263" s="2255">
        <f>EY192+EY209+EY226+EY243+EY252</f>
        <v>0</v>
      </c>
      <c r="EZ263" s="2255">
        <f>EZ192+EZ209+EZ226+EZ243+EZ252</f>
        <v>0</v>
      </c>
      <c r="FA263" s="2255">
        <f>FA192+FA209+FA226+FA243+FA252</f>
        <v>0</v>
      </c>
      <c r="FB263" s="1897"/>
      <c r="FC263" s="1751"/>
      <c r="FD263" s="1751"/>
      <c r="FE263" s="489" t="s">
        <v>994</v>
      </c>
      <c r="FF263" s="648" t="s">
        <v>890</v>
      </c>
      <c r="FG263" s="648" cm="1" t="str">
        <f t="array" ref="FG263:FG263">AE263</f>
        <v>Уголь длиннопламенный</v>
      </c>
      <c r="FH263" s="648" cm="1" t="str">
        <f t="array" ref="FH263:FH263">AF263</f>
        <v/>
      </c>
      <c r="FI263" s="649"/>
      <c r="FJ263" s="649"/>
      <c r="FK263" s="1157" cm="1" t="str">
        <f t="array" ref="FK263:FK263">OFFSET(FJ263,-1,1)</f>
        <v>ТЭ.42.31656254.0001</v>
      </c>
      <c r="FL263" s="1159"/>
      <c r="FM263" s="1159"/>
      <c r="FN263" s="1159"/>
      <c r="FO263" s="1159"/>
      <c r="FP263" s="1159"/>
      <c r="FQ263" s="1159"/>
      <c r="FR263" s="1159"/>
      <c r="FS263" s="1159" t="s">
        <v>987</v>
      </c>
      <c r="FT263" s="1159"/>
      <c r="FU263" s="1159"/>
      <c r="FV263" s="1159" t="s">
        <v>219</v>
      </c>
      <c r="FW263" s="1078" t="str">
        <f>$AE263&amp;"|"&amp;$AF263</f>
        <v>Уголь длиннопламенный|</v>
      </c>
      <c r="FX263" s="1159" t="s">
        <v>303</v>
      </c>
      <c r="FY263" s="1159" t="s">
        <v>919</v>
      </c>
      <c r="FZ263" s="1159" t="s">
        <v>920</v>
      </c>
    </row>
    <row s="1751" customFormat="1" customHeight="1" ht="15" hidden="1">
      <c r="A264" s="371"/>
      <c r="B264" s="1548"/>
      <c r="C264" s="1548"/>
      <c r="D264" s="1548"/>
      <c r="E264" s="965">
        <v>0</v>
      </c>
      <c r="F264" s="175" cm="1" t="str">
        <f t="array" ref="F264:F264">OFFSET(G264,-1,-1)</f>
        <v>1</v>
      </c>
      <c r="G264" s="1659"/>
      <c r="H264" s="1659"/>
      <c r="I264" s="1659"/>
      <c r="J264" s="1659"/>
      <c r="K264" s="1659"/>
      <c r="L264" s="175" cm="1" t="str">
        <f t="array" ref="L264:L264">OFFSET(M264,-1,-1)</f>
        <v>false</v>
      </c>
      <c r="M264" s="1659"/>
      <c r="N264" s="1659"/>
      <c r="O264" s="1659"/>
      <c r="P264" s="1659"/>
      <c r="Q264" s="1659"/>
      <c r="R264" s="1548"/>
      <c r="S264" s="175" cm="1" t="str">
        <f t="array" ref="S264:S264">OFFSET(T264,-1,-1)</f>
        <v>true</v>
      </c>
      <c r="T264" s="1548"/>
      <c r="U264" s="753">
        <f>AND(S264,IF(ISBLANK(T264),TRUE,T264))</f>
        <v>1</v>
      </c>
      <c r="V264" s="1548"/>
      <c r="W264" s="1548"/>
      <c r="X264" s="980" t="str">
        <f>"{                  
         funcDyn: 'msg1',
         blok: 'blok_2',
         wsCross: 'Топливо 4.4',
         linkFormula: 'AE-AE#AF-AF',
         levelDyn: "&amp;Y139&amp;"
}"</f>
        <v>{                  
         funcDyn: 'msg1',
         blok: 'blok_2',
         wsCross: 'Топливо 4.4',
         linkFormula: 'AE-AE#AF-AF',
         levelDyn: 1
}</v>
      </c>
      <c r="Y264" s="1548"/>
      <c r="Z264" s="1548"/>
      <c r="AA264" s="1009"/>
      <c r="AB264" s="1650"/>
      <c r="AC264" s="1751"/>
      <c r="AD264" s="517"/>
      <c r="AE264" s="518" t="s">
        <v>191</v>
      </c>
      <c r="AF264" s="519"/>
      <c r="AG264" s="470"/>
      <c r="AH264" s="524"/>
      <c r="AI264" s="525"/>
      <c r="AJ264" s="525"/>
      <c r="AK264" s="525"/>
      <c r="AL264" s="525"/>
      <c r="AM264" s="525"/>
      <c r="AN264" s="525"/>
      <c r="AO264" s="525"/>
      <c r="AP264" s="525"/>
      <c r="AQ264" s="525"/>
      <c r="AR264" s="525"/>
      <c r="AS264" s="525"/>
      <c r="AT264" s="525"/>
      <c r="AU264" s="525"/>
      <c r="AV264" s="525"/>
      <c r="AW264" s="525"/>
      <c r="AX264" s="525"/>
      <c r="AY264" s="525"/>
      <c r="AZ264" s="525"/>
      <c r="BA264" s="525"/>
      <c r="BB264" s="525"/>
      <c r="BC264" s="525"/>
      <c r="BD264" s="525"/>
      <c r="BE264" s="525"/>
      <c r="BF264" s="525"/>
      <c r="BG264" s="525"/>
      <c r="BH264" s="525"/>
      <c r="BI264" s="525"/>
      <c r="BJ264" s="525"/>
      <c r="BK264" s="525"/>
      <c r="BL264" s="525"/>
      <c r="BM264" s="525"/>
      <c r="BN264" s="525"/>
      <c r="BO264" s="525"/>
      <c r="BP264" s="525"/>
      <c r="BQ264" s="525"/>
      <c r="BR264" s="525"/>
      <c r="BS264" s="525"/>
      <c r="BT264" s="525"/>
      <c r="BU264" s="525"/>
      <c r="BV264" s="525"/>
      <c r="BW264" s="525"/>
      <c r="BX264" s="525"/>
      <c r="BY264" s="525"/>
      <c r="BZ264" s="525"/>
      <c r="CA264" s="525"/>
      <c r="CB264" s="525"/>
      <c r="CC264" s="525"/>
      <c r="CD264" s="525"/>
      <c r="CE264" s="525"/>
      <c r="CF264" s="525"/>
      <c r="CG264" s="525"/>
      <c r="CH264" s="525"/>
      <c r="CI264" s="525"/>
      <c r="CJ264" s="525"/>
      <c r="CK264" s="525"/>
      <c r="CL264" s="525"/>
      <c r="CM264" s="525"/>
      <c r="CN264" s="525"/>
      <c r="CO264" s="525"/>
      <c r="CP264" s="525"/>
      <c r="CQ264" s="525"/>
      <c r="CR264" s="525"/>
      <c r="CS264" s="525"/>
      <c r="CT264" s="525"/>
      <c r="CU264" s="525"/>
      <c r="CV264" s="525"/>
      <c r="CW264" s="525"/>
      <c r="CX264" s="525"/>
      <c r="CY264" s="525"/>
      <c r="CZ264" s="525"/>
      <c r="DA264" s="525"/>
      <c r="DB264" s="525"/>
      <c r="DC264" s="525"/>
      <c r="DD264" s="525"/>
      <c r="DE264" s="525"/>
      <c r="DF264" s="525"/>
      <c r="DG264" s="525"/>
      <c r="DH264" s="525"/>
      <c r="DI264" s="525"/>
      <c r="DJ264" s="525"/>
      <c r="DK264" s="525"/>
      <c r="DL264" s="525"/>
      <c r="DM264" s="525"/>
      <c r="DN264" s="525"/>
      <c r="DO264" s="525"/>
      <c r="DP264" s="525"/>
      <c r="DQ264" s="525"/>
      <c r="DR264" s="525"/>
      <c r="DS264" s="525"/>
      <c r="DT264" s="525"/>
      <c r="DU264" s="525"/>
      <c r="DV264" s="525"/>
      <c r="DW264" s="525"/>
      <c r="DX264" s="525"/>
      <c r="DY264" s="525"/>
      <c r="DZ264" s="525"/>
      <c r="EA264" s="525"/>
      <c r="EB264" s="525"/>
      <c r="EC264" s="525"/>
      <c r="ED264" s="525"/>
      <c r="EE264" s="525"/>
      <c r="EF264" s="525"/>
      <c r="EG264" s="525"/>
      <c r="EH264" s="525"/>
      <c r="EI264" s="525"/>
      <c r="EJ264" s="525"/>
      <c r="EK264" s="525"/>
      <c r="EL264" s="525"/>
      <c r="EM264" s="525"/>
      <c r="EN264" s="525"/>
      <c r="EO264" s="525"/>
      <c r="EP264" s="525"/>
      <c r="EQ264" s="525"/>
      <c r="ER264" s="525"/>
      <c r="ES264" s="525"/>
      <c r="ET264" s="525"/>
      <c r="EU264" s="525"/>
      <c r="EV264" s="525"/>
      <c r="EW264" s="525"/>
      <c r="EX264" s="525"/>
      <c r="EY264" s="525"/>
      <c r="EZ264" s="525"/>
      <c r="FA264" s="525"/>
      <c r="FB264" s="93"/>
      <c r="FC264" s="1751"/>
      <c r="FD264" s="1506"/>
      <c r="FE264" s="489" t="str">
        <f>IF(AND(ISNUMBER(VALUE(TRIM(SUBSTITUTE(AD264,".","")))),TRIM(SUBSTITUTE(AD264,".",""))&lt;&gt;""),"P"&amp;SUBSTITUTE(AD264,".",""),"")</f>
        <v/>
      </c>
      <c r="FF264" s="648"/>
      <c r="FG264" s="648"/>
      <c r="FH264" s="648"/>
      <c r="FI264" s="649"/>
      <c r="FJ264" s="649"/>
      <c r="FK264" s="1157" cm="1" t="str">
        <f t="array" ref="FK264:FK264">OFFSET(FJ264,-1,1)</f>
        <v>ТЭ.42.31656254.0001</v>
      </c>
      <c r="FL264" s="1159"/>
      <c r="FM264" s="1159"/>
      <c r="FN264" s="1159"/>
      <c r="FO264" s="1159"/>
      <c r="FP264" s="1159"/>
      <c r="FQ264" s="1159"/>
      <c r="FR264" s="1159"/>
      <c r="FS264" s="1159"/>
      <c r="FT264" s="1159"/>
      <c r="FU264" s="1159"/>
      <c r="FV264" s="1159"/>
      <c r="FW264" s="1159"/>
      <c r="FX264" s="1159"/>
      <c r="FY264" s="1159"/>
      <c r="FZ264" s="1159"/>
    </row>
    <row s="1751" customFormat="1" customHeight="1" ht="16.5">
      <c r="A265" s="371"/>
      <c r="B265" s="1548"/>
      <c r="C265" s="1548"/>
      <c r="D265" s="1548"/>
      <c r="E265" s="180">
        <v>17</v>
      </c>
      <c r="F265" s="175" cm="1" t="str">
        <f t="array" ref="F265:F265">OFFSET(G265,-1,-1)</f>
        <v>1</v>
      </c>
      <c r="G265" s="1659"/>
      <c r="H265" s="1659"/>
      <c r="I265" s="1659"/>
      <c r="J265" s="1659"/>
      <c r="K265" s="1659"/>
      <c r="L265" s="175" cm="1" t="str">
        <f t="array" ref="L265:L265">OFFSET(M265,-1,-1)</f>
        <v>false</v>
      </c>
      <c r="M265" s="1659"/>
      <c r="N265" s="1659"/>
      <c r="O265" s="1659"/>
      <c r="P265" s="1659"/>
      <c r="Q265" s="1659"/>
      <c r="R265" s="1548"/>
      <c r="S265" s="175" cm="1" t="str">
        <f t="array" ref="S265:S265">OFFSET(T265,-1,-1)</f>
        <v>true</v>
      </c>
      <c r="T265" s="1548"/>
      <c r="U265" s="753">
        <f>AND(S265,IF(ISBLANK(T265),TRUE,T265))</f>
        <v>1</v>
      </c>
      <c r="V265" s="1548"/>
      <c r="W265" s="1548"/>
      <c r="X265" s="1548"/>
      <c r="Y265" s="1548"/>
      <c r="Z265" s="1548"/>
      <c r="AA265" s="1009"/>
      <c r="AB265" s="1650"/>
      <c r="AC265" s="1751"/>
      <c r="AD265" s="327">
        <v>41</v>
      </c>
      <c r="AE265" s="1618" t="s">
        <v>995</v>
      </c>
      <c r="AF265" s="427"/>
      <c r="AG265" s="470" t="s">
        <v>996</v>
      </c>
      <c r="AH265" s="500">
        <f>_xlfn.IFERROR(AH258/AH164,0)*1000</f>
        <v>2703.17819273596</v>
      </c>
      <c r="AI265" s="500">
        <f>_xlfn.IFERROR(AI258/AI164,0)*1000</f>
        <v>3293.31906918114</v>
      </c>
      <c r="AJ265" s="500">
        <f>_xlfn.IFERROR(AJ258/AJ164,0)*1000</f>
        <v>2886.87425929188</v>
      </c>
      <c r="AK265" s="500">
        <f>_xlfn.IFERROR(AK258/AK164,0)*1000</f>
        <v>2969.30122109877</v>
      </c>
      <c r="AL265" s="500">
        <f>_xlfn.IFERROR(AL258/AL164,0)*1000</f>
        <v>4614.38990182329</v>
      </c>
      <c r="AM265" s="500">
        <f>_xlfn.IFERROR(AM258/AM164,0)*1000</f>
        <v>4614.38990182329</v>
      </c>
      <c r="AN265" s="500">
        <f>_xlfn.IFERROR(AN258/AN164,0)*1000</f>
        <v>4614.38990182329</v>
      </c>
      <c r="AO265" s="500">
        <f>_xlfn.IFERROR(AO258/AO164,0)*1000</f>
        <v>0</v>
      </c>
      <c r="AP265" s="500">
        <f>_xlfn.IFERROR(AP258/AP164,0)*1000</f>
        <v>0</v>
      </c>
      <c r="AQ265" s="500">
        <f>_xlfn.IFERROR(AQ258/AQ164,0)*1000</f>
        <v>0</v>
      </c>
      <c r="AR265" s="500">
        <f>_xlfn.IFERROR(AR258/AR164,0)*1000</f>
        <v>0</v>
      </c>
      <c r="AS265" s="500">
        <f>_xlfn.IFERROR(AS258/AS164,0)*1000</f>
        <v>0</v>
      </c>
      <c r="AT265" s="500">
        <f>_xlfn.IFERROR(AT258/AT164,0)*1000</f>
        <v>0</v>
      </c>
      <c r="AU265" s="500">
        <f>_xlfn.IFERROR(AU258/AU164,0)*1000</f>
        <v>0</v>
      </c>
      <c r="AV265" s="500">
        <f>_xlfn.IFERROR(AV258/AV164,0)*1000</f>
        <v>0</v>
      </c>
      <c r="AW265" s="500">
        <f>_xlfn.IFERROR(AW258/AW164,0)*1000</f>
        <v>0</v>
      </c>
      <c r="AX265" s="500">
        <f>_xlfn.IFERROR(AX258/AX164,0)*1000</f>
        <v>0</v>
      </c>
      <c r="AY265" s="500">
        <f>_xlfn.IFERROR(AY258/AY164,0)*1000</f>
        <v>0</v>
      </c>
      <c r="AZ265" s="500">
        <f>_xlfn.IFERROR(AZ258/AZ164,0)*1000</f>
        <v>0</v>
      </c>
      <c r="BA265" s="500">
        <f>_xlfn.IFERROR(BA258/BA164,0)*1000</f>
        <v>0</v>
      </c>
      <c r="BB265" s="500">
        <f>_xlfn.IFERROR(BB258/BB164,0)*1000</f>
        <v>0</v>
      </c>
      <c r="BC265" s="500">
        <f>_xlfn.IFERROR(BC258/BC164,0)*1000</f>
        <v>0</v>
      </c>
      <c r="BD265" s="500">
        <f>_xlfn.IFERROR(BD258/BD164,0)*1000</f>
        <v>0</v>
      </c>
      <c r="BE265" s="500">
        <f>_xlfn.IFERROR(BE258/BE164,0)*1000</f>
        <v>0</v>
      </c>
      <c r="BF265" s="500">
        <f>_xlfn.IFERROR(BF258/BF164,0)*1000</f>
        <v>0</v>
      </c>
      <c r="BG265" s="500">
        <f>_xlfn.IFERROR(BG258/BG164,0)*1000</f>
        <v>0</v>
      </c>
      <c r="BH265" s="500">
        <f>_xlfn.IFERROR(BH258/BH164,0)*1000</f>
        <v>0</v>
      </c>
      <c r="BI265" s="500">
        <f>_xlfn.IFERROR(BI258/BI164,0)*1000</f>
        <v>0</v>
      </c>
      <c r="BJ265" s="500">
        <f>_xlfn.IFERROR(BJ258/BJ164,0)*1000</f>
        <v>0</v>
      </c>
      <c r="BK265" s="500">
        <f>_xlfn.IFERROR(BK258/BK164,0)*1000</f>
        <v>0</v>
      </c>
      <c r="BL265" s="500">
        <f>_xlfn.IFERROR(BL258/BL164,0)*1000</f>
        <v>0</v>
      </c>
      <c r="BM265" s="500">
        <f>_xlfn.IFERROR(BM258/BM164,0)*1000</f>
        <v>0</v>
      </c>
      <c r="BN265" s="500">
        <f>_xlfn.IFERROR(BN258/BN164,0)*1000</f>
        <v>0</v>
      </c>
      <c r="BO265" s="500">
        <f>_xlfn.IFERROR(BO258/BO164,0)*1000</f>
        <v>0</v>
      </c>
      <c r="BP265" s="500">
        <f>_xlfn.IFERROR(BP258/BP164,0)*1000</f>
        <v>0</v>
      </c>
      <c r="BQ265" s="500">
        <f>_xlfn.IFERROR(BQ258/BQ164,0)*1000</f>
        <v>0</v>
      </c>
      <c r="BR265" s="500">
        <f>_xlfn.IFERROR(BR258/BR164,0)*1000</f>
        <v>0</v>
      </c>
      <c r="BS265" s="500">
        <f>_xlfn.IFERROR(BS258/BS164,0)*1000</f>
        <v>0</v>
      </c>
      <c r="BT265" s="500">
        <f>_xlfn.IFERROR(BT258/BT164,0)*1000</f>
        <v>0</v>
      </c>
      <c r="BU265" s="500">
        <f>_xlfn.IFERROR(BU258/BU164,0)*1000</f>
        <v>0</v>
      </c>
      <c r="BV265" s="500">
        <f>_xlfn.IFERROR(BV258/BV164,0)*1000</f>
        <v>0</v>
      </c>
      <c r="BW265" s="500">
        <f>_xlfn.IFERROR(BW258/BW164,0)*1000</f>
        <v>0</v>
      </c>
      <c r="BX265" s="500">
        <f>_xlfn.IFERROR(BX258/BX164,0)*1000</f>
        <v>0</v>
      </c>
      <c r="BY265" s="500">
        <f>_xlfn.IFERROR(BY258/BY164,0)*1000</f>
        <v>0</v>
      </c>
      <c r="BZ265" s="500">
        <f>_xlfn.IFERROR(BZ258/BZ164,0)*1000</f>
        <v>0</v>
      </c>
      <c r="CA265" s="500">
        <f>_xlfn.IFERROR(CA258/CA164,0)*1000</f>
        <v>0</v>
      </c>
      <c r="CB265" s="500">
        <f>_xlfn.IFERROR(CB258/CB164,0)*1000</f>
        <v>0</v>
      </c>
      <c r="CC265" s="500">
        <f>_xlfn.IFERROR(CC258/CC164,0)*1000</f>
        <v>0</v>
      </c>
      <c r="CD265" s="500">
        <f>_xlfn.IFERROR(CD258/CD164,0)*1000</f>
        <v>0</v>
      </c>
      <c r="CE265" s="500">
        <f>_xlfn.IFERROR(CE258/CE164,0)*1000</f>
        <v>0</v>
      </c>
      <c r="CF265" s="500">
        <f>_xlfn.IFERROR(CF258/CF164,0)*1000</f>
        <v>0</v>
      </c>
      <c r="CG265" s="500">
        <f>_xlfn.IFERROR(CG258/CG164,0)*1000</f>
        <v>0</v>
      </c>
      <c r="CH265" s="500">
        <f>_xlfn.IFERROR(CH258/CH164,0)*1000</f>
        <v>0</v>
      </c>
      <c r="CI265" s="500">
        <f>_xlfn.IFERROR(CI258/CI164,0)*1000</f>
        <v>0</v>
      </c>
      <c r="CJ265" s="500">
        <f>_xlfn.IFERROR(CJ258/CJ164,0)*1000</f>
        <v>0</v>
      </c>
      <c r="CK265" s="500">
        <f>_xlfn.IFERROR(CK258/CK164,0)*1000</f>
        <v>0</v>
      </c>
      <c r="CL265" s="500">
        <f>_xlfn.IFERROR(CL258/CL164,0)*1000</f>
        <v>0</v>
      </c>
      <c r="CM265" s="500">
        <f>_xlfn.IFERROR(CM258/CM164,0)*1000</f>
        <v>0</v>
      </c>
      <c r="CN265" s="500">
        <f>_xlfn.IFERROR(CN258/CN164,0)*1000</f>
        <v>0</v>
      </c>
      <c r="CO265" s="500">
        <f>_xlfn.IFERROR(CO258/CO164,0)*1000</f>
        <v>0</v>
      </c>
      <c r="CP265" s="500">
        <f>_xlfn.IFERROR(CP258/CP164,0)*1000</f>
        <v>0</v>
      </c>
      <c r="CQ265" s="500">
        <f>_xlfn.IFERROR(CQ258/CQ164,0)*1000</f>
        <v>0</v>
      </c>
      <c r="CR265" s="500">
        <f>_xlfn.IFERROR(CR258/CR164,0)*1000</f>
        <v>0</v>
      </c>
      <c r="CS265" s="500">
        <f>_xlfn.IFERROR(CS258/CS164,0)*1000</f>
        <v>0</v>
      </c>
      <c r="CT265" s="500">
        <f>_xlfn.IFERROR(CT258/CT164,0)*1000</f>
        <v>3330.51545751804</v>
      </c>
      <c r="CU265" s="500">
        <f>_xlfn.IFERROR(CU258/CU164,0)*1000</f>
        <v>3330.27576716739</v>
      </c>
      <c r="CV265" s="500">
        <f>_xlfn.IFERROR(CV258/CV164,0)*1000</f>
        <v>3330.83316142816</v>
      </c>
      <c r="CW265" s="500">
        <f>_xlfn.IFERROR(CW258/CW164,0)*1000</f>
        <v>0</v>
      </c>
      <c r="CX265" s="500">
        <f>_xlfn.IFERROR(CX258/CX164,0)*1000</f>
        <v>0</v>
      </c>
      <c r="CY265" s="500">
        <f>_xlfn.IFERROR(CY258/CY164,0)*1000</f>
        <v>0</v>
      </c>
      <c r="CZ265" s="500">
        <f>_xlfn.IFERROR(CZ258/CZ164,0)*1000</f>
        <v>0</v>
      </c>
      <c r="DA265" s="500">
        <f>_xlfn.IFERROR(DA258/DA164,0)*1000</f>
        <v>0</v>
      </c>
      <c r="DB265" s="500">
        <f>_xlfn.IFERROR(DB258/DB164,0)*1000</f>
        <v>0</v>
      </c>
      <c r="DC265" s="500">
        <f>_xlfn.IFERROR(DC258/DC164,0)*1000</f>
        <v>0</v>
      </c>
      <c r="DD265" s="500">
        <f>_xlfn.IFERROR(DD258/DD164,0)*1000</f>
        <v>0</v>
      </c>
      <c r="DE265" s="500">
        <f>_xlfn.IFERROR(DE258/DE164,0)*1000</f>
        <v>0</v>
      </c>
      <c r="DF265" s="500">
        <f>_xlfn.IFERROR(DF258/DF164,0)*1000</f>
        <v>0</v>
      </c>
      <c r="DG265" s="500">
        <f>_xlfn.IFERROR(DG258/DG164,0)*1000</f>
        <v>0</v>
      </c>
      <c r="DH265" s="500">
        <f>_xlfn.IFERROR(DH258/DH164,0)*1000</f>
        <v>0</v>
      </c>
      <c r="DI265" s="500">
        <f>_xlfn.IFERROR(DI258/DI164,0)*1000</f>
        <v>0</v>
      </c>
      <c r="DJ265" s="500">
        <f>_xlfn.IFERROR(DJ258/DJ164,0)*1000</f>
        <v>0</v>
      </c>
      <c r="DK265" s="500">
        <f>_xlfn.IFERROR(DK258/DK164,0)*1000</f>
        <v>0</v>
      </c>
      <c r="DL265" s="500">
        <f>_xlfn.IFERROR(DL258/DL164,0)*1000</f>
        <v>0</v>
      </c>
      <c r="DM265" s="500">
        <f>_xlfn.IFERROR(DM258/DM164,0)*1000</f>
        <v>0</v>
      </c>
      <c r="DN265" s="500">
        <f>_xlfn.IFERROR(DN258/DN164,0)*1000</f>
        <v>0</v>
      </c>
      <c r="DO265" s="500">
        <f>_xlfn.IFERROR(DO258/DO164,0)*1000</f>
        <v>0</v>
      </c>
      <c r="DP265" s="500">
        <f>_xlfn.IFERROR(DP258/DP164,0)*1000</f>
        <v>0</v>
      </c>
      <c r="DQ265" s="500">
        <f>_xlfn.IFERROR(DQ258/DQ164,0)*1000</f>
        <v>0</v>
      </c>
      <c r="DR265" s="500">
        <f>_xlfn.IFERROR(DR258/DR164,0)*1000</f>
        <v>0</v>
      </c>
      <c r="DS265" s="500">
        <f>_xlfn.IFERROR(DS258/DS164,0)*1000</f>
        <v>0</v>
      </c>
      <c r="DT265" s="500">
        <f>_xlfn.IFERROR(DT258/DT164,0)*1000</f>
        <v>0</v>
      </c>
      <c r="DU265" s="500">
        <f>_xlfn.IFERROR(DU258/DU164,0)*1000</f>
        <v>0</v>
      </c>
      <c r="DV265" s="500">
        <f>_xlfn.IFERROR(DV258/DV164,0)*1000</f>
        <v>0</v>
      </c>
      <c r="DW265" s="500">
        <f>_xlfn.IFERROR(DW258/DW164,0)*1000</f>
        <v>0</v>
      </c>
      <c r="DX265" s="500">
        <f>_xlfn.IFERROR(DX258/DX164,0)*1000</f>
        <v>0</v>
      </c>
      <c r="DY265" s="500">
        <f>_xlfn.IFERROR(DY258/DY164,0)*1000</f>
        <v>0</v>
      </c>
      <c r="DZ265" s="500">
        <f>_xlfn.IFERROR(DZ258/DZ164,0)*1000</f>
        <v>0</v>
      </c>
      <c r="EA265" s="500">
        <f>_xlfn.IFERROR(EA258/EA164,0)*1000</f>
        <v>0</v>
      </c>
      <c r="EB265" s="500">
        <f>_xlfn.IFERROR(EB258/EB164,0)*1000</f>
        <v>0</v>
      </c>
      <c r="EC265" s="500">
        <f>_xlfn.IFERROR(EC258/EC164,0)*1000</f>
        <v>0</v>
      </c>
      <c r="ED265" s="500">
        <f>_xlfn.IFERROR(ED258/ED164,0)*1000</f>
        <v>0</v>
      </c>
      <c r="EE265" s="500">
        <f>_xlfn.IFERROR(EE258/EE164,0)*1000</f>
        <v>0</v>
      </c>
      <c r="EF265" s="500">
        <f>_xlfn.IFERROR(EF258/EF164,0)*1000</f>
        <v>0</v>
      </c>
      <c r="EG265" s="500">
        <f>_xlfn.IFERROR(EG258/EG164,0)*1000</f>
        <v>0</v>
      </c>
      <c r="EH265" s="500">
        <f>_xlfn.IFERROR(EH258/EH164,0)*1000</f>
        <v>0</v>
      </c>
      <c r="EI265" s="500">
        <f>_xlfn.IFERROR(EI258/EI164,0)*1000</f>
        <v>0</v>
      </c>
      <c r="EJ265" s="500">
        <f>_xlfn.IFERROR(EJ258/EJ164,0)*1000</f>
        <v>0</v>
      </c>
      <c r="EK265" s="500">
        <f>_xlfn.IFERROR(EK258/EK164,0)*1000</f>
        <v>0</v>
      </c>
      <c r="EL265" s="500">
        <f>_xlfn.IFERROR(EL258/EL164,0)*1000</f>
        <v>0</v>
      </c>
      <c r="EM265" s="500">
        <f>_xlfn.IFERROR(EM258/EM164,0)*1000</f>
        <v>0</v>
      </c>
      <c r="EN265" s="500">
        <f>_xlfn.IFERROR(EN258/EN164,0)*1000</f>
        <v>0</v>
      </c>
      <c r="EO265" s="500">
        <f>_xlfn.IFERROR(EO258/EO164,0)*1000</f>
        <v>0</v>
      </c>
      <c r="EP265" s="500">
        <f>_xlfn.IFERROR(EP258/EP164,0)*1000</f>
        <v>0</v>
      </c>
      <c r="EQ265" s="500">
        <f>_xlfn.IFERROR(EQ258/EQ164,0)*1000</f>
        <v>0</v>
      </c>
      <c r="ER265" s="500">
        <f>_xlfn.IFERROR(ER258/ER164,0)*1000</f>
        <v>0</v>
      </c>
      <c r="ES265" s="500">
        <f>_xlfn.IFERROR(ES258/ES164,0)*1000</f>
        <v>0</v>
      </c>
      <c r="ET265" s="500">
        <f>_xlfn.IFERROR(ET258/ET164,0)*1000</f>
        <v>0</v>
      </c>
      <c r="EU265" s="500">
        <f>_xlfn.IFERROR(EU258/EU164,0)*1000</f>
        <v>0</v>
      </c>
      <c r="EV265" s="500">
        <f>_xlfn.IFERROR(EV258/EV164,0)*1000</f>
        <v>0</v>
      </c>
      <c r="EW265" s="500">
        <f>_xlfn.IFERROR(EW258/EW164,0)*1000</f>
        <v>0</v>
      </c>
      <c r="EX265" s="500">
        <f>_xlfn.IFERROR(EX258/EX164,0)*1000</f>
        <v>0</v>
      </c>
      <c r="EY265" s="500">
        <f>_xlfn.IFERROR(EY258/EY164,0)*1000</f>
        <v>0</v>
      </c>
      <c r="EZ265" s="500">
        <f>_xlfn.IFERROR(EZ258/EZ164,0)*1000</f>
        <v>0</v>
      </c>
      <c r="FA265" s="500">
        <f>_xlfn.IFERROR(FA258/FA164,0)*1000</f>
        <v>0</v>
      </c>
      <c r="FB265" s="1897"/>
      <c r="FC265" s="1751"/>
      <c r="FD265" s="1506"/>
      <c r="FE265" s="489" t="s">
        <v>997</v>
      </c>
      <c r="FF265" s="648"/>
      <c r="FG265" s="648"/>
      <c r="FH265" s="648"/>
      <c r="FI265" s="649"/>
      <c r="FJ265" s="649"/>
      <c r="FK265" s="1157" cm="1" t="str">
        <f t="array" ref="FK265:FK265">OFFSET(FJ265,-1,1)</f>
        <v>ТЭ.42.31656254.0001</v>
      </c>
      <c r="FL265" s="1078"/>
      <c r="FM265" s="1159"/>
      <c r="FN265" s="1159"/>
      <c r="FO265" s="1159"/>
      <c r="FP265" s="1159"/>
      <c r="FQ265" s="1159"/>
      <c r="FR265" s="1159"/>
      <c r="FS265" s="1078" t="s">
        <v>998</v>
      </c>
      <c r="FT265" s="1159"/>
      <c r="FU265" s="1159"/>
      <c r="FV265" s="1159"/>
      <c r="FW265" s="1159"/>
      <c r="FX265" s="1078" t="s">
        <v>303</v>
      </c>
      <c r="FY265" s="1078" t="s">
        <v>914</v>
      </c>
      <c r="FZ265" s="1078" t="s">
        <v>915</v>
      </c>
    </row>
    <row s="1751" customFormat="1" customHeight="1" ht="16.5" hidden="1">
      <c r="A266" s="371"/>
      <c r="B266" s="1548"/>
      <c r="C266" s="1548"/>
      <c r="D266" s="1548"/>
      <c r="E266" s="180">
        <v>17</v>
      </c>
      <c r="F266" s="175" cm="1" t="str">
        <f t="array" ref="F266:F266">OFFSET(G266,-1,-1)</f>
        <v>1</v>
      </c>
      <c r="G266" s="1659"/>
      <c r="H266" s="1659"/>
      <c r="I266" s="1659"/>
      <c r="J266" s="1659"/>
      <c r="K266" s="1659"/>
      <c r="L266" s="175" cm="1" t="str">
        <f t="array" ref="L266:L266">OFFSET(M266,-1,-1)</f>
        <v>false</v>
      </c>
      <c r="M266" s="1659"/>
      <c r="N266" s="1659"/>
      <c r="O266" s="1659"/>
      <c r="P266" s="1659"/>
      <c r="Q266" s="1659"/>
      <c r="R266" s="175" t="s">
        <v>804</v>
      </c>
      <c r="S266" s="175" cm="1" t="str">
        <f t="array" ref="S266:S266">OFFSET(T266,-1,-1)</f>
        <v>true</v>
      </c>
      <c r="T266" s="175" cm="1" t="str">
        <f t="array" ref="T266:T266">L266</f>
        <v>false</v>
      </c>
      <c r="U266" s="753">
        <f>AND(S266,IF(ISBLANK(T266),TRUE,T266))</f>
        <v>0</v>
      </c>
      <c r="V266" s="1548"/>
      <c r="W266" s="1548"/>
      <c r="X266" s="1548"/>
      <c r="Y266" s="1548"/>
      <c r="Z266" s="1548"/>
      <c r="AA266" s="1009"/>
      <c r="AB266" s="1650"/>
      <c r="AC266" s="1751"/>
      <c r="AD266" s="491" t="str">
        <f>AD265&amp;".0"</f>
        <v>41.0</v>
      </c>
      <c r="AE266" s="537" t="s">
        <v>822</v>
      </c>
      <c r="AF266" s="368"/>
      <c r="AG266" s="470" t="s">
        <v>996</v>
      </c>
      <c r="AH266" s="500">
        <f>_xlfn.IFERROR(AH259/AH165,0)*1000</f>
        <v>2703.17819273596</v>
      </c>
      <c r="AI266" s="500">
        <f>_xlfn.IFERROR(AI259/AI165,0)*1000</f>
        <v>3293.31906918114</v>
      </c>
      <c r="AJ266" s="500">
        <f>_xlfn.IFERROR(AJ259/AJ165,0)*1000</f>
        <v>2886.87425929188</v>
      </c>
      <c r="AK266" s="500">
        <f>_xlfn.IFERROR(AK259/AK165,0)*1000</f>
        <v>2969.30122109877</v>
      </c>
      <c r="AL266" s="500">
        <f>_xlfn.IFERROR(AL259/AL165,0)*1000</f>
        <v>4614.38990182329</v>
      </c>
      <c r="AM266" s="500">
        <f>_xlfn.IFERROR(AM259/AM165,0)*1000</f>
        <v>4614.38990182329</v>
      </c>
      <c r="AN266" s="500">
        <f>_xlfn.IFERROR(AN259/AN165,0)*1000</f>
        <v>4614.38990182329</v>
      </c>
      <c r="AO266" s="500">
        <f>_xlfn.IFERROR(AO259/AO165,0)*1000</f>
        <v>0</v>
      </c>
      <c r="AP266" s="500">
        <f>_xlfn.IFERROR(AP259/AP165,0)*1000</f>
        <v>0</v>
      </c>
      <c r="AQ266" s="500">
        <f>_xlfn.IFERROR(AQ259/AQ165,0)*1000</f>
        <v>0</v>
      </c>
      <c r="AR266" s="500">
        <f>_xlfn.IFERROR(AR259/AR165,0)*1000</f>
        <v>0</v>
      </c>
      <c r="AS266" s="500">
        <f>_xlfn.IFERROR(AS259/AS165,0)*1000</f>
        <v>0</v>
      </c>
      <c r="AT266" s="500">
        <f>_xlfn.IFERROR(AT259/AT165,0)*1000</f>
        <v>0</v>
      </c>
      <c r="AU266" s="500">
        <f>_xlfn.IFERROR(AU259/AU165,0)*1000</f>
        <v>0</v>
      </c>
      <c r="AV266" s="500">
        <f>_xlfn.IFERROR(AV259/AV165,0)*1000</f>
        <v>0</v>
      </c>
      <c r="AW266" s="500">
        <f>_xlfn.IFERROR(AW259/AW165,0)*1000</f>
        <v>0</v>
      </c>
      <c r="AX266" s="500">
        <f>_xlfn.IFERROR(AX259/AX165,0)*1000</f>
        <v>0</v>
      </c>
      <c r="AY266" s="500">
        <f>_xlfn.IFERROR(AY259/AY165,0)*1000</f>
        <v>0</v>
      </c>
      <c r="AZ266" s="500">
        <f>_xlfn.IFERROR(AZ259/AZ165,0)*1000</f>
        <v>0</v>
      </c>
      <c r="BA266" s="500">
        <f>_xlfn.IFERROR(BA259/BA165,0)*1000</f>
        <v>0</v>
      </c>
      <c r="BB266" s="500">
        <f>_xlfn.IFERROR(BB259/BB165,0)*1000</f>
        <v>0</v>
      </c>
      <c r="BC266" s="500">
        <f>_xlfn.IFERROR(BC259/BC165,0)*1000</f>
        <v>0</v>
      </c>
      <c r="BD266" s="500">
        <f>_xlfn.IFERROR(BD259/BD165,0)*1000</f>
        <v>0</v>
      </c>
      <c r="BE266" s="500">
        <f>_xlfn.IFERROR(BE259/BE165,0)*1000</f>
        <v>0</v>
      </c>
      <c r="BF266" s="500">
        <f>_xlfn.IFERROR(BF259/BF165,0)*1000</f>
        <v>0</v>
      </c>
      <c r="BG266" s="500">
        <f>_xlfn.IFERROR(BG259/BG165,0)*1000</f>
        <v>0</v>
      </c>
      <c r="BH266" s="500">
        <f>_xlfn.IFERROR(BH259/BH165,0)*1000</f>
        <v>0</v>
      </c>
      <c r="BI266" s="500">
        <f>_xlfn.IFERROR(BI259/BI165,0)*1000</f>
        <v>0</v>
      </c>
      <c r="BJ266" s="500">
        <f>_xlfn.IFERROR(BJ259/BJ165,0)*1000</f>
        <v>0</v>
      </c>
      <c r="BK266" s="500">
        <f>_xlfn.IFERROR(BK259/BK165,0)*1000</f>
        <v>0</v>
      </c>
      <c r="BL266" s="500">
        <f>_xlfn.IFERROR(BL259/BL165,0)*1000</f>
        <v>0</v>
      </c>
      <c r="BM266" s="500">
        <f>_xlfn.IFERROR(BM259/BM165,0)*1000</f>
        <v>0</v>
      </c>
      <c r="BN266" s="500">
        <f>_xlfn.IFERROR(BN259/BN165,0)*1000</f>
        <v>0</v>
      </c>
      <c r="BO266" s="500">
        <f>_xlfn.IFERROR(BO259/BO165,0)*1000</f>
        <v>0</v>
      </c>
      <c r="BP266" s="500">
        <f>_xlfn.IFERROR(BP259/BP165,0)*1000</f>
        <v>0</v>
      </c>
      <c r="BQ266" s="500">
        <f>_xlfn.IFERROR(BQ259/BQ165,0)*1000</f>
        <v>0</v>
      </c>
      <c r="BR266" s="500">
        <f>_xlfn.IFERROR(BR259/BR165,0)*1000</f>
        <v>0</v>
      </c>
      <c r="BS266" s="500">
        <f>_xlfn.IFERROR(BS259/BS165,0)*1000</f>
        <v>0</v>
      </c>
      <c r="BT266" s="500">
        <f>_xlfn.IFERROR(BT259/BT165,0)*1000</f>
        <v>0</v>
      </c>
      <c r="BU266" s="500">
        <f>_xlfn.IFERROR(BU259/BU165,0)*1000</f>
        <v>0</v>
      </c>
      <c r="BV266" s="500">
        <f>_xlfn.IFERROR(BV259/BV165,0)*1000</f>
        <v>0</v>
      </c>
      <c r="BW266" s="500">
        <f>_xlfn.IFERROR(BW259/BW165,0)*1000</f>
        <v>0</v>
      </c>
      <c r="BX266" s="500">
        <f>_xlfn.IFERROR(BX259/BX165,0)*1000</f>
        <v>0</v>
      </c>
      <c r="BY266" s="500">
        <f>_xlfn.IFERROR(BY259/BY165,0)*1000</f>
        <v>0</v>
      </c>
      <c r="BZ266" s="500">
        <f>_xlfn.IFERROR(BZ259/BZ165,0)*1000</f>
        <v>0</v>
      </c>
      <c r="CA266" s="500">
        <f>_xlfn.IFERROR(CA259/CA165,0)*1000</f>
        <v>0</v>
      </c>
      <c r="CB266" s="500">
        <f>_xlfn.IFERROR(CB259/CB165,0)*1000</f>
        <v>0</v>
      </c>
      <c r="CC266" s="500">
        <f>_xlfn.IFERROR(CC259/CC165,0)*1000</f>
        <v>0</v>
      </c>
      <c r="CD266" s="500">
        <f>_xlfn.IFERROR(CD259/CD165,0)*1000</f>
        <v>0</v>
      </c>
      <c r="CE266" s="500">
        <f>_xlfn.IFERROR(CE259/CE165,0)*1000</f>
        <v>0</v>
      </c>
      <c r="CF266" s="500">
        <f>_xlfn.IFERROR(CF259/CF165,0)*1000</f>
        <v>0</v>
      </c>
      <c r="CG266" s="500">
        <f>_xlfn.IFERROR(CG259/CG165,0)*1000</f>
        <v>0</v>
      </c>
      <c r="CH266" s="500">
        <f>_xlfn.IFERROR(CH259/CH165,0)*1000</f>
        <v>0</v>
      </c>
      <c r="CI266" s="500">
        <f>_xlfn.IFERROR(CI259/CI165,0)*1000</f>
        <v>0</v>
      </c>
      <c r="CJ266" s="500">
        <f>_xlfn.IFERROR(CJ259/CJ165,0)*1000</f>
        <v>0</v>
      </c>
      <c r="CK266" s="500">
        <f>_xlfn.IFERROR(CK259/CK165,0)*1000</f>
        <v>0</v>
      </c>
      <c r="CL266" s="500">
        <f>_xlfn.IFERROR(CL259/CL165,0)*1000</f>
        <v>0</v>
      </c>
      <c r="CM266" s="500">
        <f>_xlfn.IFERROR(CM259/CM165,0)*1000</f>
        <v>0</v>
      </c>
      <c r="CN266" s="500">
        <f>_xlfn.IFERROR(CN259/CN165,0)*1000</f>
        <v>0</v>
      </c>
      <c r="CO266" s="500">
        <f>_xlfn.IFERROR(CO259/CO165,0)*1000</f>
        <v>0</v>
      </c>
      <c r="CP266" s="500">
        <f>_xlfn.IFERROR(CP259/CP165,0)*1000</f>
        <v>0</v>
      </c>
      <c r="CQ266" s="500">
        <f>_xlfn.IFERROR(CQ259/CQ165,0)*1000</f>
        <v>0</v>
      </c>
      <c r="CR266" s="500">
        <f>_xlfn.IFERROR(CR259/CR165,0)*1000</f>
        <v>0</v>
      </c>
      <c r="CS266" s="500">
        <f>_xlfn.IFERROR(CS259/CS165,0)*1000</f>
        <v>0</v>
      </c>
      <c r="CT266" s="500">
        <f>_xlfn.IFERROR(CT259/CT165,0)*1000</f>
        <v>3330.51545751804</v>
      </c>
      <c r="CU266" s="500">
        <f>_xlfn.IFERROR(CU259/CU165,0)*1000</f>
        <v>3330.27576716739</v>
      </c>
      <c r="CV266" s="500">
        <f>_xlfn.IFERROR(CV259/CV165,0)*1000</f>
        <v>3330.83316142816</v>
      </c>
      <c r="CW266" s="500">
        <f>_xlfn.IFERROR(CW259/CW165,0)*1000</f>
        <v>0</v>
      </c>
      <c r="CX266" s="500">
        <f>_xlfn.IFERROR(CX259/CX165,0)*1000</f>
        <v>0</v>
      </c>
      <c r="CY266" s="500">
        <f>_xlfn.IFERROR(CY259/CY165,0)*1000</f>
        <v>0</v>
      </c>
      <c r="CZ266" s="500">
        <f>_xlfn.IFERROR(CZ259/CZ165,0)*1000</f>
        <v>0</v>
      </c>
      <c r="DA266" s="500">
        <f>_xlfn.IFERROR(DA259/DA165,0)*1000</f>
        <v>0</v>
      </c>
      <c r="DB266" s="500">
        <f>_xlfn.IFERROR(DB259/DB165,0)*1000</f>
        <v>0</v>
      </c>
      <c r="DC266" s="500">
        <f>_xlfn.IFERROR(DC259/DC165,0)*1000</f>
        <v>0</v>
      </c>
      <c r="DD266" s="500">
        <f>_xlfn.IFERROR(DD259/DD165,0)*1000</f>
        <v>0</v>
      </c>
      <c r="DE266" s="500">
        <f>_xlfn.IFERROR(DE259/DE165,0)*1000</f>
        <v>0</v>
      </c>
      <c r="DF266" s="500">
        <f>_xlfn.IFERROR(DF259/DF165,0)*1000</f>
        <v>0</v>
      </c>
      <c r="DG266" s="500">
        <f>_xlfn.IFERROR(DG259/DG165,0)*1000</f>
        <v>0</v>
      </c>
      <c r="DH266" s="500">
        <f>_xlfn.IFERROR(DH259/DH165,0)*1000</f>
        <v>0</v>
      </c>
      <c r="DI266" s="500">
        <f>_xlfn.IFERROR(DI259/DI165,0)*1000</f>
        <v>0</v>
      </c>
      <c r="DJ266" s="500">
        <f>_xlfn.IFERROR(DJ259/DJ165,0)*1000</f>
        <v>0</v>
      </c>
      <c r="DK266" s="500">
        <f>_xlfn.IFERROR(DK259/DK165,0)*1000</f>
        <v>0</v>
      </c>
      <c r="DL266" s="500">
        <f>_xlfn.IFERROR(DL259/DL165,0)*1000</f>
        <v>0</v>
      </c>
      <c r="DM266" s="500">
        <f>_xlfn.IFERROR(DM259/DM165,0)*1000</f>
        <v>0</v>
      </c>
      <c r="DN266" s="500">
        <f>_xlfn.IFERROR(DN259/DN165,0)*1000</f>
        <v>0</v>
      </c>
      <c r="DO266" s="500">
        <f>_xlfn.IFERROR(DO259/DO165,0)*1000</f>
        <v>0</v>
      </c>
      <c r="DP266" s="500">
        <f>_xlfn.IFERROR(DP259/DP165,0)*1000</f>
        <v>0</v>
      </c>
      <c r="DQ266" s="500">
        <f>_xlfn.IFERROR(DQ259/DQ165,0)*1000</f>
        <v>0</v>
      </c>
      <c r="DR266" s="500">
        <f>_xlfn.IFERROR(DR259/DR165,0)*1000</f>
        <v>0</v>
      </c>
      <c r="DS266" s="500">
        <f>_xlfn.IFERROR(DS259/DS165,0)*1000</f>
        <v>0</v>
      </c>
      <c r="DT266" s="500">
        <f>_xlfn.IFERROR(DT259/DT165,0)*1000</f>
        <v>0</v>
      </c>
      <c r="DU266" s="500">
        <f>_xlfn.IFERROR(DU259/DU165,0)*1000</f>
        <v>0</v>
      </c>
      <c r="DV266" s="500">
        <f>_xlfn.IFERROR(DV259/DV165,0)*1000</f>
        <v>0</v>
      </c>
      <c r="DW266" s="500">
        <f>_xlfn.IFERROR(DW259/DW165,0)*1000</f>
        <v>0</v>
      </c>
      <c r="DX266" s="500">
        <f>_xlfn.IFERROR(DX259/DX165,0)*1000</f>
        <v>0</v>
      </c>
      <c r="DY266" s="500">
        <f>_xlfn.IFERROR(DY259/DY165,0)*1000</f>
        <v>0</v>
      </c>
      <c r="DZ266" s="500">
        <f>_xlfn.IFERROR(DZ259/DZ165,0)*1000</f>
        <v>0</v>
      </c>
      <c r="EA266" s="500">
        <f>_xlfn.IFERROR(EA259/EA165,0)*1000</f>
        <v>0</v>
      </c>
      <c r="EB266" s="500">
        <f>_xlfn.IFERROR(EB259/EB165,0)*1000</f>
        <v>0</v>
      </c>
      <c r="EC266" s="500">
        <f>_xlfn.IFERROR(EC259/EC165,0)*1000</f>
        <v>0</v>
      </c>
      <c r="ED266" s="500">
        <f>_xlfn.IFERROR(ED259/ED165,0)*1000</f>
        <v>0</v>
      </c>
      <c r="EE266" s="500">
        <f>_xlfn.IFERROR(EE259/EE165,0)*1000</f>
        <v>0</v>
      </c>
      <c r="EF266" s="500">
        <f>_xlfn.IFERROR(EF259/EF165,0)*1000</f>
        <v>0</v>
      </c>
      <c r="EG266" s="500">
        <f>_xlfn.IFERROR(EG259/EG165,0)*1000</f>
        <v>0</v>
      </c>
      <c r="EH266" s="500">
        <f>_xlfn.IFERROR(EH259/EH165,0)*1000</f>
        <v>0</v>
      </c>
      <c r="EI266" s="500">
        <f>_xlfn.IFERROR(EI259/EI165,0)*1000</f>
        <v>0</v>
      </c>
      <c r="EJ266" s="500">
        <f>_xlfn.IFERROR(EJ259/EJ165,0)*1000</f>
        <v>0</v>
      </c>
      <c r="EK266" s="500">
        <f>_xlfn.IFERROR(EK259/EK165,0)*1000</f>
        <v>0</v>
      </c>
      <c r="EL266" s="500">
        <f>_xlfn.IFERROR(EL259/EL165,0)*1000</f>
        <v>0</v>
      </c>
      <c r="EM266" s="500">
        <f>_xlfn.IFERROR(EM259/EM165,0)*1000</f>
        <v>0</v>
      </c>
      <c r="EN266" s="500">
        <f>_xlfn.IFERROR(EN259/EN165,0)*1000</f>
        <v>0</v>
      </c>
      <c r="EO266" s="500">
        <f>_xlfn.IFERROR(EO259/EO165,0)*1000</f>
        <v>0</v>
      </c>
      <c r="EP266" s="500">
        <f>_xlfn.IFERROR(EP259/EP165,0)*1000</f>
        <v>0</v>
      </c>
      <c r="EQ266" s="500">
        <f>_xlfn.IFERROR(EQ259/EQ165,0)*1000</f>
        <v>0</v>
      </c>
      <c r="ER266" s="500">
        <f>_xlfn.IFERROR(ER259/ER165,0)*1000</f>
        <v>0</v>
      </c>
      <c r="ES266" s="500">
        <f>_xlfn.IFERROR(ES259/ES165,0)*1000</f>
        <v>0</v>
      </c>
      <c r="ET266" s="500">
        <f>_xlfn.IFERROR(ET259/ET165,0)*1000</f>
        <v>0</v>
      </c>
      <c r="EU266" s="500">
        <f>_xlfn.IFERROR(EU259/EU165,0)*1000</f>
        <v>0</v>
      </c>
      <c r="EV266" s="500">
        <f>_xlfn.IFERROR(EV259/EV165,0)*1000</f>
        <v>0</v>
      </c>
      <c r="EW266" s="500">
        <f>_xlfn.IFERROR(EW259/EW165,0)*1000</f>
        <v>0</v>
      </c>
      <c r="EX266" s="500">
        <f>_xlfn.IFERROR(EX259/EX165,0)*1000</f>
        <v>0</v>
      </c>
      <c r="EY266" s="500">
        <f>_xlfn.IFERROR(EY259/EY165,0)*1000</f>
        <v>0</v>
      </c>
      <c r="EZ266" s="500">
        <f>_xlfn.IFERROR(EZ259/EZ165,0)*1000</f>
        <v>0</v>
      </c>
      <c r="FA266" s="500">
        <f>_xlfn.IFERROR(FA259/FA165,0)*1000</f>
        <v>0</v>
      </c>
      <c r="FB266" s="83"/>
      <c r="FC266" s="1751"/>
      <c r="FD266" s="1506"/>
      <c r="FE266" s="489" t="s">
        <v>999</v>
      </c>
      <c r="FF266" s="648"/>
      <c r="FG266" s="648"/>
      <c r="FH266" s="648"/>
      <c r="FI266" s="649"/>
      <c r="FJ266" s="649"/>
      <c r="FK266" s="1157" cm="1" t="str">
        <f t="array" ref="FK266:FK266">OFFSET(FJ266,-1,1)</f>
        <v>ТЭ.42.31656254.0001</v>
      </c>
      <c r="FL266" s="1159"/>
      <c r="FM266" s="1078" t="s">
        <v>824</v>
      </c>
      <c r="FN266" s="1159"/>
      <c r="FO266" s="1159"/>
      <c r="FP266" s="1159"/>
      <c r="FQ266" s="1159"/>
      <c r="FR266" s="1159"/>
      <c r="FS266" s="1078" t="s">
        <v>998</v>
      </c>
      <c r="FT266" s="1159"/>
      <c r="FU266" s="1159"/>
      <c r="FV266" s="1159"/>
      <c r="FW266" s="1159"/>
      <c r="FX266" s="1078" t="s">
        <v>303</v>
      </c>
      <c r="FY266" s="1078" t="s">
        <v>914</v>
      </c>
      <c r="FZ266" s="1078" t="s">
        <v>915</v>
      </c>
    </row>
    <row s="1751" customFormat="1" customHeight="1" ht="16.5" hidden="1">
      <c r="E267" s="180">
        <v>17</v>
      </c>
      <c r="F267" s="175" cm="1" t="str">
        <f t="array" ref="F267:F267">OFFSET(G267,-1,-1)</f>
        <v>1</v>
      </c>
      <c r="L267" s="175" cm="1" t="str">
        <f t="array" ref="L267:L267">OFFSET(M267,-1,-1)</f>
        <v>false</v>
      </c>
      <c r="S267" s="175" cm="1" t="str">
        <f t="array" ref="S267:S267">OFFSET(T267,-1,-1)</f>
        <v>true</v>
      </c>
      <c r="T267" s="175">
        <f>AD267&lt;&gt;"41.0"</f>
        <v>0</v>
      </c>
      <c r="U267" s="753">
        <f>AND(S267,IF(ISBLANK(T267),TRUE,T267))</f>
        <v>0</v>
      </c>
      <c r="X267" s="175" t="s">
        <v>189</v>
      </c>
      <c r="AB267" s="1650"/>
      <c r="AD267" s="491" t="s">
        <v>1000</v>
      </c>
      <c r="AE267" s="514"/>
      <c r="AF267" s="515"/>
      <c r="AG267" s="470" t="s">
        <v>996</v>
      </c>
      <c r="AH267" s="500">
        <f>_xlfn.IFERROR(AH262/AH166,0)*1000</f>
        <v>0</v>
      </c>
      <c r="AI267" s="500">
        <f>_xlfn.IFERROR(AI262/AI166,0)*1000</f>
        <v>0</v>
      </c>
      <c r="AJ267" s="500">
        <f>_xlfn.IFERROR(AJ262/AJ166,0)*1000</f>
        <v>0</v>
      </c>
      <c r="AK267" s="500">
        <f>_xlfn.IFERROR(AK262/AK166,0)*1000</f>
        <v>0</v>
      </c>
      <c r="AL267" s="500">
        <f>_xlfn.IFERROR(AL262/AL166,0)*1000</f>
        <v>0</v>
      </c>
      <c r="AM267" s="500">
        <f>_xlfn.IFERROR(AM262/AM166,0)*1000</f>
        <v>0</v>
      </c>
      <c r="AN267" s="500">
        <f>_xlfn.IFERROR(AN262/AN166,0)*1000</f>
        <v>0</v>
      </c>
      <c r="AO267" s="500">
        <f>_xlfn.IFERROR(AO262/AO166,0)*1000</f>
        <v>0</v>
      </c>
      <c r="AP267" s="500">
        <f>_xlfn.IFERROR(AP262/AP166,0)*1000</f>
        <v>0</v>
      </c>
      <c r="AQ267" s="500">
        <f>_xlfn.IFERROR(AQ262/AQ166,0)*1000</f>
        <v>0</v>
      </c>
      <c r="AR267" s="500">
        <f>_xlfn.IFERROR(AR262/AR166,0)*1000</f>
        <v>0</v>
      </c>
      <c r="AS267" s="500">
        <f>_xlfn.IFERROR(AS262/AS166,0)*1000</f>
        <v>0</v>
      </c>
      <c r="AT267" s="500">
        <f>_xlfn.IFERROR(AT262/AT166,0)*1000</f>
        <v>0</v>
      </c>
      <c r="AU267" s="500">
        <f>_xlfn.IFERROR(AU262/AU166,0)*1000</f>
        <v>0</v>
      </c>
      <c r="AV267" s="500">
        <f>_xlfn.IFERROR(AV262/AV166,0)*1000</f>
        <v>0</v>
      </c>
      <c r="AW267" s="500">
        <f>_xlfn.IFERROR(AW262/AW166,0)*1000</f>
        <v>0</v>
      </c>
      <c r="AX267" s="500">
        <f>_xlfn.IFERROR(AX262/AX166,0)*1000</f>
        <v>0</v>
      </c>
      <c r="AY267" s="500">
        <f>_xlfn.IFERROR(AY262/AY166,0)*1000</f>
        <v>0</v>
      </c>
      <c r="AZ267" s="500">
        <f>_xlfn.IFERROR(AZ262/AZ166,0)*1000</f>
        <v>0</v>
      </c>
      <c r="BA267" s="500">
        <f>_xlfn.IFERROR(BA262/BA166,0)*1000</f>
        <v>0</v>
      </c>
      <c r="BB267" s="500">
        <f>_xlfn.IFERROR(BB262/BB166,0)*1000</f>
        <v>0</v>
      </c>
      <c r="BC267" s="500">
        <f>_xlfn.IFERROR(BC262/BC166,0)*1000</f>
        <v>0</v>
      </c>
      <c r="BD267" s="500">
        <f>_xlfn.IFERROR(BD262/BD166,0)*1000</f>
        <v>0</v>
      </c>
      <c r="BE267" s="500">
        <f>_xlfn.IFERROR(BE262/BE166,0)*1000</f>
        <v>0</v>
      </c>
      <c r="BF267" s="500">
        <f>_xlfn.IFERROR(BF262/BF166,0)*1000</f>
        <v>0</v>
      </c>
      <c r="BG267" s="500">
        <f>_xlfn.IFERROR(BG262/BG166,0)*1000</f>
        <v>0</v>
      </c>
      <c r="BH267" s="500">
        <f>_xlfn.IFERROR(BH262/BH166,0)*1000</f>
        <v>0</v>
      </c>
      <c r="BI267" s="500">
        <f>_xlfn.IFERROR(BI262/BI166,0)*1000</f>
        <v>0</v>
      </c>
      <c r="BJ267" s="500">
        <f>_xlfn.IFERROR(BJ262/BJ166,0)*1000</f>
        <v>0</v>
      </c>
      <c r="BK267" s="500">
        <f>_xlfn.IFERROR(BK262/BK166,0)*1000</f>
        <v>0</v>
      </c>
      <c r="BL267" s="500">
        <f>_xlfn.IFERROR(BL262/BL166,0)*1000</f>
        <v>0</v>
      </c>
      <c r="BM267" s="500">
        <f>_xlfn.IFERROR(BM262/BM166,0)*1000</f>
        <v>0</v>
      </c>
      <c r="BN267" s="500">
        <f>_xlfn.IFERROR(BN262/BN166,0)*1000</f>
        <v>0</v>
      </c>
      <c r="BO267" s="500">
        <f>_xlfn.IFERROR(BO262/BO166,0)*1000</f>
        <v>0</v>
      </c>
      <c r="BP267" s="500">
        <f>_xlfn.IFERROR(BP262/BP166,0)*1000</f>
        <v>0</v>
      </c>
      <c r="BQ267" s="500">
        <f>_xlfn.IFERROR(BQ262/BQ166,0)*1000</f>
        <v>0</v>
      </c>
      <c r="BR267" s="500">
        <f>_xlfn.IFERROR(BR262/BR166,0)*1000</f>
        <v>0</v>
      </c>
      <c r="BS267" s="500">
        <f>_xlfn.IFERROR(BS262/BS166,0)*1000</f>
        <v>0</v>
      </c>
      <c r="BT267" s="500">
        <f>_xlfn.IFERROR(BT262/BT166,0)*1000</f>
        <v>0</v>
      </c>
      <c r="BU267" s="500">
        <f>_xlfn.IFERROR(BU262/BU166,0)*1000</f>
        <v>0</v>
      </c>
      <c r="BV267" s="500">
        <f>_xlfn.IFERROR(BV262/BV166,0)*1000</f>
        <v>0</v>
      </c>
      <c r="BW267" s="500">
        <f>_xlfn.IFERROR(BW262/BW166,0)*1000</f>
        <v>0</v>
      </c>
      <c r="BX267" s="500">
        <f>_xlfn.IFERROR(BX262/BX166,0)*1000</f>
        <v>0</v>
      </c>
      <c r="BY267" s="500">
        <f>_xlfn.IFERROR(BY262/BY166,0)*1000</f>
        <v>0</v>
      </c>
      <c r="BZ267" s="500">
        <f>_xlfn.IFERROR(BZ262/BZ166,0)*1000</f>
        <v>0</v>
      </c>
      <c r="CA267" s="500">
        <f>_xlfn.IFERROR(CA262/CA166,0)*1000</f>
        <v>0</v>
      </c>
      <c r="CB267" s="500">
        <f>_xlfn.IFERROR(CB262/CB166,0)*1000</f>
        <v>0</v>
      </c>
      <c r="CC267" s="500">
        <f>_xlfn.IFERROR(CC262/CC166,0)*1000</f>
        <v>0</v>
      </c>
      <c r="CD267" s="500">
        <f>_xlfn.IFERROR(CD262/CD166,0)*1000</f>
        <v>0</v>
      </c>
      <c r="CE267" s="500">
        <f>_xlfn.IFERROR(CE262/CE166,0)*1000</f>
        <v>0</v>
      </c>
      <c r="CF267" s="500">
        <f>_xlfn.IFERROR(CF262/CF166,0)*1000</f>
        <v>0</v>
      </c>
      <c r="CG267" s="500">
        <f>_xlfn.IFERROR(CG262/CG166,0)*1000</f>
        <v>0</v>
      </c>
      <c r="CH267" s="500">
        <f>_xlfn.IFERROR(CH262/CH166,0)*1000</f>
        <v>0</v>
      </c>
      <c r="CI267" s="500">
        <f>_xlfn.IFERROR(CI262/CI166,0)*1000</f>
        <v>0</v>
      </c>
      <c r="CJ267" s="500">
        <f>_xlfn.IFERROR(CJ262/CJ166,0)*1000</f>
        <v>0</v>
      </c>
      <c r="CK267" s="500">
        <f>_xlfn.IFERROR(CK262/CK166,0)*1000</f>
        <v>0</v>
      </c>
      <c r="CL267" s="500">
        <f>_xlfn.IFERROR(CL262/CL166,0)*1000</f>
        <v>0</v>
      </c>
      <c r="CM267" s="500">
        <f>_xlfn.IFERROR(CM262/CM166,0)*1000</f>
        <v>0</v>
      </c>
      <c r="CN267" s="500">
        <f>_xlfn.IFERROR(CN262/CN166,0)*1000</f>
        <v>0</v>
      </c>
      <c r="CO267" s="500">
        <f>_xlfn.IFERROR(CO262/CO166,0)*1000</f>
        <v>0</v>
      </c>
      <c r="CP267" s="500">
        <f>_xlfn.IFERROR(CP262/CP166,0)*1000</f>
        <v>0</v>
      </c>
      <c r="CQ267" s="500">
        <f>_xlfn.IFERROR(CQ262/CQ166,0)*1000</f>
        <v>0</v>
      </c>
      <c r="CR267" s="500">
        <f>_xlfn.IFERROR(CR262/CR166,0)*1000</f>
        <v>0</v>
      </c>
      <c r="CS267" s="500">
        <f>_xlfn.IFERROR(CS262/CS166,0)*1000</f>
        <v>0</v>
      </c>
      <c r="CT267" s="500">
        <f>_xlfn.IFERROR(CT262/CT166,0)*1000</f>
        <v>0</v>
      </c>
      <c r="CU267" s="500">
        <f>_xlfn.IFERROR(CU262/CU166,0)*1000</f>
        <v>0</v>
      </c>
      <c r="CV267" s="500">
        <f>_xlfn.IFERROR(CV262/CV166,0)*1000</f>
        <v>0</v>
      </c>
      <c r="CW267" s="500">
        <f>_xlfn.IFERROR(CW262/CW166,0)*1000</f>
        <v>0</v>
      </c>
      <c r="CX267" s="500">
        <f>_xlfn.IFERROR(CX262/CX166,0)*1000</f>
        <v>0</v>
      </c>
      <c r="CY267" s="500">
        <f>_xlfn.IFERROR(CY262/CY166,0)*1000</f>
        <v>0</v>
      </c>
      <c r="CZ267" s="500">
        <f>_xlfn.IFERROR(CZ262/CZ166,0)*1000</f>
        <v>0</v>
      </c>
      <c r="DA267" s="500">
        <f>_xlfn.IFERROR(DA262/DA166,0)*1000</f>
        <v>0</v>
      </c>
      <c r="DB267" s="500">
        <f>_xlfn.IFERROR(DB262/DB166,0)*1000</f>
        <v>0</v>
      </c>
      <c r="DC267" s="500">
        <f>_xlfn.IFERROR(DC262/DC166,0)*1000</f>
        <v>0</v>
      </c>
      <c r="DD267" s="500">
        <f>_xlfn.IFERROR(DD262/DD166,0)*1000</f>
        <v>0</v>
      </c>
      <c r="DE267" s="500">
        <f>_xlfn.IFERROR(DE262/DE166,0)*1000</f>
        <v>0</v>
      </c>
      <c r="DF267" s="500">
        <f>_xlfn.IFERROR(DF262/DF166,0)*1000</f>
        <v>0</v>
      </c>
      <c r="DG267" s="500">
        <f>_xlfn.IFERROR(DG262/DG166,0)*1000</f>
        <v>0</v>
      </c>
      <c r="DH267" s="500">
        <f>_xlfn.IFERROR(DH262/DH166,0)*1000</f>
        <v>0</v>
      </c>
      <c r="DI267" s="500">
        <f>_xlfn.IFERROR(DI262/DI166,0)*1000</f>
        <v>0</v>
      </c>
      <c r="DJ267" s="500">
        <f>_xlfn.IFERROR(DJ262/DJ166,0)*1000</f>
        <v>0</v>
      </c>
      <c r="DK267" s="500">
        <f>_xlfn.IFERROR(DK262/DK166,0)*1000</f>
        <v>0</v>
      </c>
      <c r="DL267" s="500">
        <f>_xlfn.IFERROR(DL262/DL166,0)*1000</f>
        <v>0</v>
      </c>
      <c r="DM267" s="500">
        <f>_xlfn.IFERROR(DM262/DM166,0)*1000</f>
        <v>0</v>
      </c>
      <c r="DN267" s="500">
        <f>_xlfn.IFERROR(DN262/DN166,0)*1000</f>
        <v>0</v>
      </c>
      <c r="DO267" s="500">
        <f>_xlfn.IFERROR(DO262/DO166,0)*1000</f>
        <v>0</v>
      </c>
      <c r="DP267" s="500">
        <f>_xlfn.IFERROR(DP262/DP166,0)*1000</f>
        <v>0</v>
      </c>
      <c r="DQ267" s="500">
        <f>_xlfn.IFERROR(DQ262/DQ166,0)*1000</f>
        <v>0</v>
      </c>
      <c r="DR267" s="500">
        <f>_xlfn.IFERROR(DR262/DR166,0)*1000</f>
        <v>0</v>
      </c>
      <c r="DS267" s="500">
        <f>_xlfn.IFERROR(DS262/DS166,0)*1000</f>
        <v>0</v>
      </c>
      <c r="DT267" s="500">
        <f>_xlfn.IFERROR(DT262/DT166,0)*1000</f>
        <v>0</v>
      </c>
      <c r="DU267" s="500">
        <f>_xlfn.IFERROR(DU262/DU166,0)*1000</f>
        <v>0</v>
      </c>
      <c r="DV267" s="500">
        <f>_xlfn.IFERROR(DV262/DV166,0)*1000</f>
        <v>0</v>
      </c>
      <c r="DW267" s="500">
        <f>_xlfn.IFERROR(DW262/DW166,0)*1000</f>
        <v>0</v>
      </c>
      <c r="DX267" s="500">
        <f>_xlfn.IFERROR(DX262/DX166,0)*1000</f>
        <v>0</v>
      </c>
      <c r="DY267" s="500">
        <f>_xlfn.IFERROR(DY262/DY166,0)*1000</f>
        <v>0</v>
      </c>
      <c r="DZ267" s="500">
        <f>_xlfn.IFERROR(DZ262/DZ166,0)*1000</f>
        <v>0</v>
      </c>
      <c r="EA267" s="500">
        <f>_xlfn.IFERROR(EA262/EA166,0)*1000</f>
        <v>0</v>
      </c>
      <c r="EB267" s="500">
        <f>_xlfn.IFERROR(EB262/EB166,0)*1000</f>
        <v>0</v>
      </c>
      <c r="EC267" s="500">
        <f>_xlfn.IFERROR(EC262/EC166,0)*1000</f>
        <v>0</v>
      </c>
      <c r="ED267" s="500">
        <f>_xlfn.IFERROR(ED262/ED166,0)*1000</f>
        <v>0</v>
      </c>
      <c r="EE267" s="500">
        <f>_xlfn.IFERROR(EE262/EE166,0)*1000</f>
        <v>0</v>
      </c>
      <c r="EF267" s="500">
        <f>_xlfn.IFERROR(EF262/EF166,0)*1000</f>
        <v>0</v>
      </c>
      <c r="EG267" s="500">
        <f>_xlfn.IFERROR(EG262/EG166,0)*1000</f>
        <v>0</v>
      </c>
      <c r="EH267" s="500">
        <f>_xlfn.IFERROR(EH262/EH166,0)*1000</f>
        <v>0</v>
      </c>
      <c r="EI267" s="500">
        <f>_xlfn.IFERROR(EI262/EI166,0)*1000</f>
        <v>0</v>
      </c>
      <c r="EJ267" s="500">
        <f>_xlfn.IFERROR(EJ262/EJ166,0)*1000</f>
        <v>0</v>
      </c>
      <c r="EK267" s="500">
        <f>_xlfn.IFERROR(EK262/EK166,0)*1000</f>
        <v>0</v>
      </c>
      <c r="EL267" s="500">
        <f>_xlfn.IFERROR(EL262/EL166,0)*1000</f>
        <v>0</v>
      </c>
      <c r="EM267" s="500">
        <f>_xlfn.IFERROR(EM262/EM166,0)*1000</f>
        <v>0</v>
      </c>
      <c r="EN267" s="500">
        <f>_xlfn.IFERROR(EN262/EN166,0)*1000</f>
        <v>0</v>
      </c>
      <c r="EO267" s="500">
        <f>_xlfn.IFERROR(EO262/EO166,0)*1000</f>
        <v>0</v>
      </c>
      <c r="EP267" s="500">
        <f>_xlfn.IFERROR(EP262/EP166,0)*1000</f>
        <v>0</v>
      </c>
      <c r="EQ267" s="500">
        <f>_xlfn.IFERROR(EQ262/EQ166,0)*1000</f>
        <v>0</v>
      </c>
      <c r="ER267" s="500">
        <f>_xlfn.IFERROR(ER262/ER166,0)*1000</f>
        <v>0</v>
      </c>
      <c r="ES267" s="500">
        <f>_xlfn.IFERROR(ES262/ES166,0)*1000</f>
        <v>0</v>
      </c>
      <c r="ET267" s="500">
        <f>_xlfn.IFERROR(ET262/ET166,0)*1000</f>
        <v>0</v>
      </c>
      <c r="EU267" s="500">
        <f>_xlfn.IFERROR(EU262/EU166,0)*1000</f>
        <v>0</v>
      </c>
      <c r="EV267" s="500">
        <f>_xlfn.IFERROR(EV262/EV166,0)*1000</f>
        <v>0</v>
      </c>
      <c r="EW267" s="500">
        <f>_xlfn.IFERROR(EW262/EW166,0)*1000</f>
        <v>0</v>
      </c>
      <c r="EX267" s="500">
        <f>_xlfn.IFERROR(EX262/EX166,0)*1000</f>
        <v>0</v>
      </c>
      <c r="EY267" s="500">
        <f>_xlfn.IFERROR(EY262/EY166,0)*1000</f>
        <v>0</v>
      </c>
      <c r="EZ267" s="500">
        <f>_xlfn.IFERROR(EZ262/EZ166,0)*1000</f>
        <v>0</v>
      </c>
      <c r="FA267" s="500">
        <f>_xlfn.IFERROR(FA262/FA166,0)*1000</f>
        <v>0</v>
      </c>
      <c r="FB267" s="83"/>
      <c r="FE267" s="489" t="s">
        <v>999</v>
      </c>
      <c r="FF267" s="648" t="s">
        <v>890</v>
      </c>
      <c r="FG267" s="648" cm="1" t="str">
        <f t="array" ref="FG267:FG267">AE267</f>
        <v>0</v>
      </c>
      <c r="FH267" s="648" cm="1" t="str">
        <f t="array" ref="FH267:FH267">AF267</f>
        <v>0</v>
      </c>
      <c r="FI267" s="649"/>
      <c r="FJ267" s="649"/>
      <c r="FK267" s="1157" cm="1" t="str">
        <f t="array" ref="FK267:FK267">OFFSET(FJ267,-1,1)</f>
        <v>ТЭ.42.31656254.0001</v>
      </c>
      <c r="FL267" s="1159"/>
      <c r="FM267" s="1159"/>
      <c r="FN267" s="1159"/>
      <c r="FO267" s="1159"/>
      <c r="FP267" s="1159"/>
      <c r="FQ267" s="1159"/>
      <c r="FR267" s="1159"/>
      <c r="FS267" s="1159" t="s">
        <v>998</v>
      </c>
      <c r="FT267" s="1159"/>
      <c r="FU267" s="1159"/>
      <c r="FV267" s="1159"/>
      <c r="FW267" s="1078" t="str">
        <f>$AE267&amp;"|"&amp;$AF267</f>
        <v>|</v>
      </c>
      <c r="FX267" s="1159" t="s">
        <v>303</v>
      </c>
      <c r="FY267" s="1159" t="s">
        <v>914</v>
      </c>
      <c r="FZ267" s="1159" t="s">
        <v>915</v>
      </c>
    </row>
    <row s="1751" customFormat="1" customHeight="1" ht="16.5">
      <c r="A268" s="1751"/>
      <c r="B268" s="1751"/>
      <c r="C268" s="1751"/>
      <c r="D268" s="1751"/>
      <c r="E268" s="180">
        <v>17</v>
      </c>
      <c r="F268" s="175" cm="1" t="str">
        <f t="array" ref="F268:F268">OFFSET(G268,-1,-1)</f>
        <v>1</v>
      </c>
      <c r="G268" s="1751"/>
      <c r="H268" s="1751"/>
      <c r="I268" s="1751"/>
      <c r="J268" s="1751"/>
      <c r="K268" s="1751"/>
      <c r="L268" s="175" cm="1" t="str">
        <f t="array" ref="L268:L268">OFFSET(M268,-1,-1)</f>
        <v>false</v>
      </c>
      <c r="M268" s="1751"/>
      <c r="N268" s="1751"/>
      <c r="O268" s="1751"/>
      <c r="P268" s="1751"/>
      <c r="Q268" s="1751"/>
      <c r="R268" s="1751"/>
      <c r="S268" s="175" cm="1" t="str">
        <f t="array" ref="S268:S268">OFFSET(T268,-1,-1)</f>
        <v>true</v>
      </c>
      <c r="T268" s="175">
        <f>AD268&lt;&gt;"41.0"</f>
        <v>1</v>
      </c>
      <c r="U268" s="753">
        <f>AND(S268,IF(ISBLANK(T268),TRUE,T268))</f>
        <v>1</v>
      </c>
      <c r="V268" s="1751"/>
      <c r="W268" s="1751"/>
      <c r="X268" s="175" t="str">
        <f>'Топливо 4.4'!$AE$263&amp;'Топливо 4.4'!$AF$263</f>
        <v>Уголь длиннопламенный</v>
      </c>
      <c r="Y268" s="1751"/>
      <c r="Z268" s="1751"/>
      <c r="AA268" s="1751"/>
      <c r="AB268" s="1650"/>
      <c r="AC268" s="1751"/>
      <c r="AD268" s="491" t="s">
        <v>1033</v>
      </c>
      <c r="AE268" s="514" cm="1" t="str">
        <f t="array" ref="AE268:AE268">IF(ISBLANK('Топливо 4.4'!$AE$263),"",'Топливо 4.4'!$AE$263)</f>
        <v>Уголь длиннопламенный</v>
      </c>
      <c r="AF268" s="515" cm="1" t="str">
        <f t="array" ref="AF268:AF268">IF(ISBLANK('Топливо 4.4'!$AF$263),"",'Топливо 4.4'!$AF$263)</f>
        <v/>
      </c>
      <c r="AG268" s="470" t="s">
        <v>996</v>
      </c>
      <c r="AH268" s="500">
        <f>_xlfn.IFERROR(AH263/AH167,0)*1000</f>
        <v>2703.17819273596</v>
      </c>
      <c r="AI268" s="500">
        <f>_xlfn.IFERROR(AI263/AI167,0)*1000</f>
        <v>3293.31906918114</v>
      </c>
      <c r="AJ268" s="500">
        <f>_xlfn.IFERROR(AJ263/AJ167,0)*1000</f>
        <v>2886.87425929188</v>
      </c>
      <c r="AK268" s="500">
        <f>_xlfn.IFERROR(AK263/AK167,0)*1000</f>
        <v>2969.30122109877</v>
      </c>
      <c r="AL268" s="500">
        <f>_xlfn.IFERROR(AL263/AL167,0)*1000</f>
        <v>4614.38990182329</v>
      </c>
      <c r="AM268" s="500">
        <f>_xlfn.IFERROR(AM263/AM167,0)*1000</f>
        <v>4614.38990182329</v>
      </c>
      <c r="AN268" s="500">
        <f>_xlfn.IFERROR(AN263/AN167,0)*1000</f>
        <v>4614.38990182329</v>
      </c>
      <c r="AO268" s="500">
        <f>_xlfn.IFERROR(AO263/AO167,0)*1000</f>
        <v>0</v>
      </c>
      <c r="AP268" s="500">
        <f>_xlfn.IFERROR(AP263/AP167,0)*1000</f>
        <v>0</v>
      </c>
      <c r="AQ268" s="500">
        <f>_xlfn.IFERROR(AQ263/AQ167,0)*1000</f>
        <v>0</v>
      </c>
      <c r="AR268" s="500">
        <f>_xlfn.IFERROR(AR263/AR167,0)*1000</f>
        <v>0</v>
      </c>
      <c r="AS268" s="500">
        <f>_xlfn.IFERROR(AS263/AS167,0)*1000</f>
        <v>0</v>
      </c>
      <c r="AT268" s="500">
        <f>_xlfn.IFERROR(AT263/AT167,0)*1000</f>
        <v>0</v>
      </c>
      <c r="AU268" s="500">
        <f>_xlfn.IFERROR(AU263/AU167,0)*1000</f>
        <v>0</v>
      </c>
      <c r="AV268" s="500">
        <f>_xlfn.IFERROR(AV263/AV167,0)*1000</f>
        <v>0</v>
      </c>
      <c r="AW268" s="500">
        <f>_xlfn.IFERROR(AW263/AW167,0)*1000</f>
        <v>0</v>
      </c>
      <c r="AX268" s="500">
        <f>_xlfn.IFERROR(AX263/AX167,0)*1000</f>
        <v>0</v>
      </c>
      <c r="AY268" s="500">
        <f>_xlfn.IFERROR(AY263/AY167,0)*1000</f>
        <v>0</v>
      </c>
      <c r="AZ268" s="500">
        <f>_xlfn.IFERROR(AZ263/AZ167,0)*1000</f>
        <v>0</v>
      </c>
      <c r="BA268" s="500">
        <f>_xlfn.IFERROR(BA263/BA167,0)*1000</f>
        <v>0</v>
      </c>
      <c r="BB268" s="500">
        <f>_xlfn.IFERROR(BB263/BB167,0)*1000</f>
        <v>0</v>
      </c>
      <c r="BC268" s="500">
        <f>_xlfn.IFERROR(BC263/BC167,0)*1000</f>
        <v>0</v>
      </c>
      <c r="BD268" s="500">
        <f>_xlfn.IFERROR(BD263/BD167,0)*1000</f>
        <v>0</v>
      </c>
      <c r="BE268" s="500">
        <f>_xlfn.IFERROR(BE263/BE167,0)*1000</f>
        <v>0</v>
      </c>
      <c r="BF268" s="500">
        <f>_xlfn.IFERROR(BF263/BF167,0)*1000</f>
        <v>0</v>
      </c>
      <c r="BG268" s="500">
        <f>_xlfn.IFERROR(BG263/BG167,0)*1000</f>
        <v>0</v>
      </c>
      <c r="BH268" s="500">
        <f>_xlfn.IFERROR(BH263/BH167,0)*1000</f>
        <v>0</v>
      </c>
      <c r="BI268" s="500">
        <f>_xlfn.IFERROR(BI263/BI167,0)*1000</f>
        <v>0</v>
      </c>
      <c r="BJ268" s="500">
        <f>_xlfn.IFERROR(BJ263/BJ167,0)*1000</f>
        <v>0</v>
      </c>
      <c r="BK268" s="500">
        <f>_xlfn.IFERROR(BK263/BK167,0)*1000</f>
        <v>0</v>
      </c>
      <c r="BL268" s="500">
        <f>_xlfn.IFERROR(BL263/BL167,0)*1000</f>
        <v>0</v>
      </c>
      <c r="BM268" s="500">
        <f>_xlfn.IFERROR(BM263/BM167,0)*1000</f>
        <v>0</v>
      </c>
      <c r="BN268" s="500">
        <f>_xlfn.IFERROR(BN263/BN167,0)*1000</f>
        <v>0</v>
      </c>
      <c r="BO268" s="500">
        <f>_xlfn.IFERROR(BO263/BO167,0)*1000</f>
        <v>0</v>
      </c>
      <c r="BP268" s="500">
        <f>_xlfn.IFERROR(BP263/BP167,0)*1000</f>
        <v>0</v>
      </c>
      <c r="BQ268" s="500">
        <f>_xlfn.IFERROR(BQ263/BQ167,0)*1000</f>
        <v>0</v>
      </c>
      <c r="BR268" s="500">
        <f>_xlfn.IFERROR(BR263/BR167,0)*1000</f>
        <v>0</v>
      </c>
      <c r="BS268" s="500">
        <f>_xlfn.IFERROR(BS263/BS167,0)*1000</f>
        <v>0</v>
      </c>
      <c r="BT268" s="500">
        <f>_xlfn.IFERROR(BT263/BT167,0)*1000</f>
        <v>0</v>
      </c>
      <c r="BU268" s="500">
        <f>_xlfn.IFERROR(BU263/BU167,0)*1000</f>
        <v>0</v>
      </c>
      <c r="BV268" s="500">
        <f>_xlfn.IFERROR(BV263/BV167,0)*1000</f>
        <v>0</v>
      </c>
      <c r="BW268" s="500">
        <f>_xlfn.IFERROR(BW263/BW167,0)*1000</f>
        <v>0</v>
      </c>
      <c r="BX268" s="500">
        <f>_xlfn.IFERROR(BX263/BX167,0)*1000</f>
        <v>0</v>
      </c>
      <c r="BY268" s="500">
        <f>_xlfn.IFERROR(BY263/BY167,0)*1000</f>
        <v>0</v>
      </c>
      <c r="BZ268" s="500">
        <f>_xlfn.IFERROR(BZ263/BZ167,0)*1000</f>
        <v>0</v>
      </c>
      <c r="CA268" s="500">
        <f>_xlfn.IFERROR(CA263/CA167,0)*1000</f>
        <v>0</v>
      </c>
      <c r="CB268" s="500">
        <f>_xlfn.IFERROR(CB263/CB167,0)*1000</f>
        <v>0</v>
      </c>
      <c r="CC268" s="500">
        <f>_xlfn.IFERROR(CC263/CC167,0)*1000</f>
        <v>0</v>
      </c>
      <c r="CD268" s="500">
        <f>_xlfn.IFERROR(CD263/CD167,0)*1000</f>
        <v>0</v>
      </c>
      <c r="CE268" s="500">
        <f>_xlfn.IFERROR(CE263/CE167,0)*1000</f>
        <v>0</v>
      </c>
      <c r="CF268" s="500">
        <f>_xlfn.IFERROR(CF263/CF167,0)*1000</f>
        <v>0</v>
      </c>
      <c r="CG268" s="500">
        <f>_xlfn.IFERROR(CG263/CG167,0)*1000</f>
        <v>0</v>
      </c>
      <c r="CH268" s="500">
        <f>_xlfn.IFERROR(CH263/CH167,0)*1000</f>
        <v>0</v>
      </c>
      <c r="CI268" s="500">
        <f>_xlfn.IFERROR(CI263/CI167,0)*1000</f>
        <v>0</v>
      </c>
      <c r="CJ268" s="500">
        <f>_xlfn.IFERROR(CJ263/CJ167,0)*1000</f>
        <v>0</v>
      </c>
      <c r="CK268" s="500">
        <f>_xlfn.IFERROR(CK263/CK167,0)*1000</f>
        <v>0</v>
      </c>
      <c r="CL268" s="500">
        <f>_xlfn.IFERROR(CL263/CL167,0)*1000</f>
        <v>0</v>
      </c>
      <c r="CM268" s="500">
        <f>_xlfn.IFERROR(CM263/CM167,0)*1000</f>
        <v>0</v>
      </c>
      <c r="CN268" s="500">
        <f>_xlfn.IFERROR(CN263/CN167,0)*1000</f>
        <v>0</v>
      </c>
      <c r="CO268" s="500">
        <f>_xlfn.IFERROR(CO263/CO167,0)*1000</f>
        <v>0</v>
      </c>
      <c r="CP268" s="500">
        <f>_xlfn.IFERROR(CP263/CP167,0)*1000</f>
        <v>0</v>
      </c>
      <c r="CQ268" s="500">
        <f>_xlfn.IFERROR(CQ263/CQ167,0)*1000</f>
        <v>0</v>
      </c>
      <c r="CR268" s="500">
        <f>_xlfn.IFERROR(CR263/CR167,0)*1000</f>
        <v>0</v>
      </c>
      <c r="CS268" s="500">
        <f>_xlfn.IFERROR(CS263/CS167,0)*1000</f>
        <v>0</v>
      </c>
      <c r="CT268" s="500">
        <f>_xlfn.IFERROR(CT263/CT167,0)*1000</f>
        <v>3330.51545751804</v>
      </c>
      <c r="CU268" s="500">
        <f>_xlfn.IFERROR(CU263/CU167,0)*1000</f>
        <v>3330.27576716739</v>
      </c>
      <c r="CV268" s="500">
        <f>_xlfn.IFERROR(CV263/CV167,0)*1000</f>
        <v>3330.83316142816</v>
      </c>
      <c r="CW268" s="500">
        <f>_xlfn.IFERROR(CW263/CW167,0)*1000</f>
        <v>0</v>
      </c>
      <c r="CX268" s="500">
        <f>_xlfn.IFERROR(CX263/CX167,0)*1000</f>
        <v>0</v>
      </c>
      <c r="CY268" s="500">
        <f>_xlfn.IFERROR(CY263/CY167,0)*1000</f>
        <v>0</v>
      </c>
      <c r="CZ268" s="500">
        <f>_xlfn.IFERROR(CZ263/CZ167,0)*1000</f>
        <v>0</v>
      </c>
      <c r="DA268" s="500">
        <f>_xlfn.IFERROR(DA263/DA167,0)*1000</f>
        <v>0</v>
      </c>
      <c r="DB268" s="500">
        <f>_xlfn.IFERROR(DB263/DB167,0)*1000</f>
        <v>0</v>
      </c>
      <c r="DC268" s="500">
        <f>_xlfn.IFERROR(DC263/DC167,0)*1000</f>
        <v>0</v>
      </c>
      <c r="DD268" s="500">
        <f>_xlfn.IFERROR(DD263/DD167,0)*1000</f>
        <v>0</v>
      </c>
      <c r="DE268" s="500">
        <f>_xlfn.IFERROR(DE263/DE167,0)*1000</f>
        <v>0</v>
      </c>
      <c r="DF268" s="500">
        <f>_xlfn.IFERROR(DF263/DF167,0)*1000</f>
        <v>0</v>
      </c>
      <c r="DG268" s="500">
        <f>_xlfn.IFERROR(DG263/DG167,0)*1000</f>
        <v>0</v>
      </c>
      <c r="DH268" s="500">
        <f>_xlfn.IFERROR(DH263/DH167,0)*1000</f>
        <v>0</v>
      </c>
      <c r="DI268" s="500">
        <f>_xlfn.IFERROR(DI263/DI167,0)*1000</f>
        <v>0</v>
      </c>
      <c r="DJ268" s="500">
        <f>_xlfn.IFERROR(DJ263/DJ167,0)*1000</f>
        <v>0</v>
      </c>
      <c r="DK268" s="500">
        <f>_xlfn.IFERROR(DK263/DK167,0)*1000</f>
        <v>0</v>
      </c>
      <c r="DL268" s="500">
        <f>_xlfn.IFERROR(DL263/DL167,0)*1000</f>
        <v>0</v>
      </c>
      <c r="DM268" s="500">
        <f>_xlfn.IFERROR(DM263/DM167,0)*1000</f>
        <v>0</v>
      </c>
      <c r="DN268" s="500">
        <f>_xlfn.IFERROR(DN263/DN167,0)*1000</f>
        <v>0</v>
      </c>
      <c r="DO268" s="500">
        <f>_xlfn.IFERROR(DO263/DO167,0)*1000</f>
        <v>0</v>
      </c>
      <c r="DP268" s="500">
        <f>_xlfn.IFERROR(DP263/DP167,0)*1000</f>
        <v>0</v>
      </c>
      <c r="DQ268" s="500">
        <f>_xlfn.IFERROR(DQ263/DQ167,0)*1000</f>
        <v>0</v>
      </c>
      <c r="DR268" s="500">
        <f>_xlfn.IFERROR(DR263/DR167,0)*1000</f>
        <v>0</v>
      </c>
      <c r="DS268" s="500">
        <f>_xlfn.IFERROR(DS263/DS167,0)*1000</f>
        <v>0</v>
      </c>
      <c r="DT268" s="500">
        <f>_xlfn.IFERROR(DT263/DT167,0)*1000</f>
        <v>0</v>
      </c>
      <c r="DU268" s="500">
        <f>_xlfn.IFERROR(DU263/DU167,0)*1000</f>
        <v>0</v>
      </c>
      <c r="DV268" s="500">
        <f>_xlfn.IFERROR(DV263/DV167,0)*1000</f>
        <v>0</v>
      </c>
      <c r="DW268" s="500">
        <f>_xlfn.IFERROR(DW263/DW167,0)*1000</f>
        <v>0</v>
      </c>
      <c r="DX268" s="500">
        <f>_xlfn.IFERROR(DX263/DX167,0)*1000</f>
        <v>0</v>
      </c>
      <c r="DY268" s="500">
        <f>_xlfn.IFERROR(DY263/DY167,0)*1000</f>
        <v>0</v>
      </c>
      <c r="DZ268" s="500">
        <f>_xlfn.IFERROR(DZ263/DZ167,0)*1000</f>
        <v>0</v>
      </c>
      <c r="EA268" s="500">
        <f>_xlfn.IFERROR(EA263/EA167,0)*1000</f>
        <v>0</v>
      </c>
      <c r="EB268" s="500">
        <f>_xlfn.IFERROR(EB263/EB167,0)*1000</f>
        <v>0</v>
      </c>
      <c r="EC268" s="500">
        <f>_xlfn.IFERROR(EC263/EC167,0)*1000</f>
        <v>0</v>
      </c>
      <c r="ED268" s="500">
        <f>_xlfn.IFERROR(ED263/ED167,0)*1000</f>
        <v>0</v>
      </c>
      <c r="EE268" s="500">
        <f>_xlfn.IFERROR(EE263/EE167,0)*1000</f>
        <v>0</v>
      </c>
      <c r="EF268" s="500">
        <f>_xlfn.IFERROR(EF263/EF167,0)*1000</f>
        <v>0</v>
      </c>
      <c r="EG268" s="500">
        <f>_xlfn.IFERROR(EG263/EG167,0)*1000</f>
        <v>0</v>
      </c>
      <c r="EH268" s="500">
        <f>_xlfn.IFERROR(EH263/EH167,0)*1000</f>
        <v>0</v>
      </c>
      <c r="EI268" s="500">
        <f>_xlfn.IFERROR(EI263/EI167,0)*1000</f>
        <v>0</v>
      </c>
      <c r="EJ268" s="500">
        <f>_xlfn.IFERROR(EJ263/EJ167,0)*1000</f>
        <v>0</v>
      </c>
      <c r="EK268" s="500">
        <f>_xlfn.IFERROR(EK263/EK167,0)*1000</f>
        <v>0</v>
      </c>
      <c r="EL268" s="500">
        <f>_xlfn.IFERROR(EL263/EL167,0)*1000</f>
        <v>0</v>
      </c>
      <c r="EM268" s="500">
        <f>_xlfn.IFERROR(EM263/EM167,0)*1000</f>
        <v>0</v>
      </c>
      <c r="EN268" s="500">
        <f>_xlfn.IFERROR(EN263/EN167,0)*1000</f>
        <v>0</v>
      </c>
      <c r="EO268" s="500">
        <f>_xlfn.IFERROR(EO263/EO167,0)*1000</f>
        <v>0</v>
      </c>
      <c r="EP268" s="500">
        <f>_xlfn.IFERROR(EP263/EP167,0)*1000</f>
        <v>0</v>
      </c>
      <c r="EQ268" s="500">
        <f>_xlfn.IFERROR(EQ263/EQ167,0)*1000</f>
        <v>0</v>
      </c>
      <c r="ER268" s="500">
        <f>_xlfn.IFERROR(ER263/ER167,0)*1000</f>
        <v>0</v>
      </c>
      <c r="ES268" s="500">
        <f>_xlfn.IFERROR(ES263/ES167,0)*1000</f>
        <v>0</v>
      </c>
      <c r="ET268" s="500">
        <f>_xlfn.IFERROR(ET263/ET167,0)*1000</f>
        <v>0</v>
      </c>
      <c r="EU268" s="500">
        <f>_xlfn.IFERROR(EU263/EU167,0)*1000</f>
        <v>0</v>
      </c>
      <c r="EV268" s="500">
        <f>_xlfn.IFERROR(EV263/EV167,0)*1000</f>
        <v>0</v>
      </c>
      <c r="EW268" s="500">
        <f>_xlfn.IFERROR(EW263/EW167,0)*1000</f>
        <v>0</v>
      </c>
      <c r="EX268" s="500">
        <f>_xlfn.IFERROR(EX263/EX167,0)*1000</f>
        <v>0</v>
      </c>
      <c r="EY268" s="500">
        <f>_xlfn.IFERROR(EY263/EY167,0)*1000</f>
        <v>0</v>
      </c>
      <c r="EZ268" s="500">
        <f>_xlfn.IFERROR(EZ263/EZ167,0)*1000</f>
        <v>0</v>
      </c>
      <c r="FA268" s="500">
        <f>_xlfn.IFERROR(FA263/FA167,0)*1000</f>
        <v>0</v>
      </c>
      <c r="FB268" s="1897"/>
      <c r="FC268" s="1751"/>
      <c r="FD268" s="1751"/>
      <c r="FE268" s="489" t="s">
        <v>999</v>
      </c>
      <c r="FF268" s="648" t="s">
        <v>890</v>
      </c>
      <c r="FG268" s="648" cm="1" t="str">
        <f t="array" ref="FG268:FG268">AE268</f>
        <v>Уголь длиннопламенный</v>
      </c>
      <c r="FH268" s="648" cm="1" t="str">
        <f t="array" ref="FH268:FH268">AF268</f>
        <v/>
      </c>
      <c r="FI268" s="649"/>
      <c r="FJ268" s="649"/>
      <c r="FK268" s="1157" cm="1" t="str">
        <f t="array" ref="FK268:FK268">OFFSET(FJ268,-1,1)</f>
        <v>ТЭ.42.31656254.0001</v>
      </c>
      <c r="FL268" s="1159"/>
      <c r="FM268" s="1159"/>
      <c r="FN268" s="1159"/>
      <c r="FO268" s="1159"/>
      <c r="FP268" s="1159"/>
      <c r="FQ268" s="1159"/>
      <c r="FR268" s="1159"/>
      <c r="FS268" s="1159" t="s">
        <v>998</v>
      </c>
      <c r="FT268" s="1159"/>
      <c r="FU268" s="1159"/>
      <c r="FV268" s="1159"/>
      <c r="FW268" s="1078" t="str">
        <f>$AE268&amp;"|"&amp;$AF268</f>
        <v>Уголь длиннопламенный|</v>
      </c>
      <c r="FX268" s="1159" t="s">
        <v>303</v>
      </c>
      <c r="FY268" s="1159" t="s">
        <v>914</v>
      </c>
      <c r="FZ268" s="1159" t="s">
        <v>915</v>
      </c>
    </row>
    <row s="1751" customFormat="1" customHeight="1" ht="15" hidden="1">
      <c r="A269" s="371"/>
      <c r="B269" s="1548"/>
      <c r="C269" s="1548"/>
      <c r="D269" s="1548"/>
      <c r="E269" s="965">
        <v>0</v>
      </c>
      <c r="F269" s="175" cm="1" t="str">
        <f t="array" ref="F269:F269">OFFSET(G269,-1,-1)</f>
        <v>1</v>
      </c>
      <c r="G269" s="1659"/>
      <c r="H269" s="1659"/>
      <c r="I269" s="1659"/>
      <c r="J269" s="1659"/>
      <c r="K269" s="1659"/>
      <c r="L269" s="175" cm="1" t="str">
        <f t="array" ref="L269:L269">OFFSET(M269,-1,-1)</f>
        <v>false</v>
      </c>
      <c r="M269" s="1659"/>
      <c r="N269" s="1659"/>
      <c r="O269" s="1659"/>
      <c r="P269" s="1659"/>
      <c r="Q269" s="1659"/>
      <c r="R269" s="1548"/>
      <c r="S269" s="175" cm="1" t="str">
        <f t="array" ref="S269:S269">OFFSET(T269,-1,-1)</f>
        <v>true</v>
      </c>
      <c r="T269" s="1548"/>
      <c r="U269" s="753">
        <f>AND(S269,IF(ISBLANK(T269),TRUE,T269))</f>
        <v>1</v>
      </c>
      <c r="V269" s="1548"/>
      <c r="W269" s="1548"/>
      <c r="X269" s="980" t="str">
        <f>"{                  
         funcDyn: 'msg1',
         blok: 'blok_2',
         wsCross: 'Топливо 4.4',
         linkFormula: 'AE-AE#AF-AF',
         levelDyn: "&amp;Y139&amp;"
}"</f>
        <v>{                  
         funcDyn: 'msg1',
         blok: 'blok_2',
         wsCross: 'Топливо 4.4',
         linkFormula: 'AE-AE#AF-AF',
         levelDyn: 1
}</v>
      </c>
      <c r="Y269" s="1548"/>
      <c r="Z269" s="1548"/>
      <c r="AA269" s="1009"/>
      <c r="AB269" s="1650"/>
      <c r="AC269" s="1751"/>
      <c r="AD269" s="517"/>
      <c r="AE269" s="518" t="s">
        <v>191</v>
      </c>
      <c r="AF269" s="519"/>
      <c r="AG269" s="470"/>
      <c r="AH269" s="524"/>
      <c r="AI269" s="525"/>
      <c r="AJ269" s="525"/>
      <c r="AK269" s="525"/>
      <c r="AL269" s="525"/>
      <c r="AM269" s="525"/>
      <c r="AN269" s="525"/>
      <c r="AO269" s="525"/>
      <c r="AP269" s="525"/>
      <c r="AQ269" s="525"/>
      <c r="AR269" s="525"/>
      <c r="AS269" s="525"/>
      <c r="AT269" s="525"/>
      <c r="AU269" s="525"/>
      <c r="AV269" s="525"/>
      <c r="AW269" s="525"/>
      <c r="AX269" s="525"/>
      <c r="AY269" s="525"/>
      <c r="AZ269" s="525"/>
      <c r="BA269" s="525"/>
      <c r="BB269" s="525"/>
      <c r="BC269" s="525"/>
      <c r="BD269" s="525"/>
      <c r="BE269" s="525"/>
      <c r="BF269" s="525"/>
      <c r="BG269" s="525"/>
      <c r="BH269" s="525"/>
      <c r="BI269" s="525"/>
      <c r="BJ269" s="525"/>
      <c r="BK269" s="525"/>
      <c r="BL269" s="525"/>
      <c r="BM269" s="525"/>
      <c r="BN269" s="525"/>
      <c r="BO269" s="525"/>
      <c r="BP269" s="525"/>
      <c r="BQ269" s="525"/>
      <c r="BR269" s="525"/>
      <c r="BS269" s="525"/>
      <c r="BT269" s="525"/>
      <c r="BU269" s="525"/>
      <c r="BV269" s="525"/>
      <c r="BW269" s="525"/>
      <c r="BX269" s="525"/>
      <c r="BY269" s="525"/>
      <c r="BZ269" s="525"/>
      <c r="CA269" s="525"/>
      <c r="CB269" s="525"/>
      <c r="CC269" s="525"/>
      <c r="CD269" s="525"/>
      <c r="CE269" s="525"/>
      <c r="CF269" s="525"/>
      <c r="CG269" s="525"/>
      <c r="CH269" s="525"/>
      <c r="CI269" s="525"/>
      <c r="CJ269" s="525"/>
      <c r="CK269" s="525"/>
      <c r="CL269" s="525"/>
      <c r="CM269" s="525"/>
      <c r="CN269" s="525"/>
      <c r="CO269" s="525"/>
      <c r="CP269" s="525"/>
      <c r="CQ269" s="525"/>
      <c r="CR269" s="525"/>
      <c r="CS269" s="525"/>
      <c r="CT269" s="525"/>
      <c r="CU269" s="525"/>
      <c r="CV269" s="525"/>
      <c r="CW269" s="525"/>
      <c r="CX269" s="525"/>
      <c r="CY269" s="525"/>
      <c r="CZ269" s="525"/>
      <c r="DA269" s="525"/>
      <c r="DB269" s="525"/>
      <c r="DC269" s="525"/>
      <c r="DD269" s="525"/>
      <c r="DE269" s="525"/>
      <c r="DF269" s="525"/>
      <c r="DG269" s="525"/>
      <c r="DH269" s="525"/>
      <c r="DI269" s="525"/>
      <c r="DJ269" s="525"/>
      <c r="DK269" s="525"/>
      <c r="DL269" s="525"/>
      <c r="DM269" s="525"/>
      <c r="DN269" s="525"/>
      <c r="DO269" s="525"/>
      <c r="DP269" s="525"/>
      <c r="DQ269" s="525"/>
      <c r="DR269" s="525"/>
      <c r="DS269" s="525"/>
      <c r="DT269" s="525"/>
      <c r="DU269" s="525"/>
      <c r="DV269" s="525"/>
      <c r="DW269" s="525"/>
      <c r="DX269" s="525"/>
      <c r="DY269" s="525"/>
      <c r="DZ269" s="525"/>
      <c r="EA269" s="525"/>
      <c r="EB269" s="525"/>
      <c r="EC269" s="525"/>
      <c r="ED269" s="525"/>
      <c r="EE269" s="525"/>
      <c r="EF269" s="525"/>
      <c r="EG269" s="525"/>
      <c r="EH269" s="525"/>
      <c r="EI269" s="525"/>
      <c r="EJ269" s="525"/>
      <c r="EK269" s="525"/>
      <c r="EL269" s="525"/>
      <c r="EM269" s="525"/>
      <c r="EN269" s="525"/>
      <c r="EO269" s="525"/>
      <c r="EP269" s="525"/>
      <c r="EQ269" s="525"/>
      <c r="ER269" s="525"/>
      <c r="ES269" s="525"/>
      <c r="ET269" s="525"/>
      <c r="EU269" s="525"/>
      <c r="EV269" s="525"/>
      <c r="EW269" s="525"/>
      <c r="EX269" s="525"/>
      <c r="EY269" s="525"/>
      <c r="EZ269" s="525"/>
      <c r="FA269" s="525"/>
      <c r="FB269" s="93"/>
      <c r="FC269" s="1751"/>
      <c r="FD269" s="1506"/>
      <c r="FE269" s="489" t="str">
        <f>IF(AND(ISNUMBER(VALUE(TRIM(SUBSTITUTE(AD269,".","")))),TRIM(SUBSTITUTE(AD269,".",""))&lt;&gt;""),"P"&amp;SUBSTITUTE(AD269,".",""),"")</f>
        <v/>
      </c>
      <c r="FF269" s="648"/>
      <c r="FG269" s="648"/>
      <c r="FH269" s="648"/>
      <c r="FI269" s="649"/>
      <c r="FJ269" s="649"/>
      <c r="FK269" s="1157" cm="1" t="str">
        <f t="array" ref="FK269:FK269">OFFSET(FJ269,-1,1)</f>
        <v>ТЭ.42.31656254.0001</v>
      </c>
      <c r="FL269" s="1159"/>
      <c r="FM269" s="1159"/>
      <c r="FN269" s="1159"/>
      <c r="FO269" s="1159"/>
      <c r="FP269" s="1159"/>
      <c r="FQ269" s="1159"/>
      <c r="FR269" s="1159"/>
      <c r="FS269" s="1159"/>
      <c r="FT269" s="1159"/>
      <c r="FU269" s="1159"/>
      <c r="FV269" s="1159"/>
      <c r="FW269" s="1159"/>
      <c r="FX269" s="1159"/>
      <c r="FY269" s="1159"/>
      <c r="FZ269" s="1159"/>
    </row>
    <row s="1751" customFormat="1" customHeight="1" ht="16.5">
      <c r="A270" s="371"/>
      <c r="B270" s="1548"/>
      <c r="C270" s="1548"/>
      <c r="D270" s="1548"/>
      <c r="E270" s="180">
        <v>17</v>
      </c>
      <c r="F270" s="175" cm="1" t="str">
        <f t="array" ref="F270:F270">OFFSET(G270,-1,-1)</f>
        <v>1</v>
      </c>
      <c r="G270" s="1659"/>
      <c r="H270" s="1659"/>
      <c r="I270" s="1659"/>
      <c r="J270" s="1659"/>
      <c r="K270" s="1659"/>
      <c r="L270" s="175" cm="1" t="str">
        <f t="array" ref="L270:L270">OFFSET(M270,-1,-1)</f>
        <v>false</v>
      </c>
      <c r="M270" s="1659"/>
      <c r="N270" s="1659"/>
      <c r="O270" s="1659"/>
      <c r="P270" s="1659"/>
      <c r="Q270" s="1659"/>
      <c r="R270" s="1548"/>
      <c r="S270" s="175" cm="1" t="str">
        <f t="array" ref="S270:S270">OFFSET(T270,-1,-1)</f>
        <v>true</v>
      </c>
      <c r="T270" s="1548"/>
      <c r="U270" s="753">
        <f>AND(S270,IF(ISBLANK(T270),TRUE,T270))</f>
        <v>1</v>
      </c>
      <c r="V270" s="1548"/>
      <c r="W270" s="1548"/>
      <c r="X270" s="1548"/>
      <c r="Y270" s="1548"/>
      <c r="Z270" s="1548"/>
      <c r="AA270" s="1009"/>
      <c r="AB270" s="1650"/>
      <c r="AC270" s="1751"/>
      <c r="AD270" s="327">
        <v>42</v>
      </c>
      <c r="AE270" s="1618" t="s">
        <v>1001</v>
      </c>
      <c r="AF270" s="427"/>
      <c r="AG270" s="534"/>
      <c r="AH270" s="524"/>
      <c r="AI270" s="525"/>
      <c r="AJ270" s="525"/>
      <c r="AK270" s="525"/>
      <c r="AL270" s="525"/>
      <c r="AM270" s="525"/>
      <c r="AN270" s="525"/>
      <c r="AO270" s="525"/>
      <c r="AP270" s="525"/>
      <c r="AQ270" s="525"/>
      <c r="AR270" s="525"/>
      <c r="AS270" s="525"/>
      <c r="AT270" s="525"/>
      <c r="AU270" s="525"/>
      <c r="AV270" s="525"/>
      <c r="AW270" s="525"/>
      <c r="AX270" s="525"/>
      <c r="AY270" s="525"/>
      <c r="AZ270" s="525"/>
      <c r="BA270" s="525"/>
      <c r="BB270" s="525"/>
      <c r="BC270" s="525"/>
      <c r="BD270" s="525"/>
      <c r="BE270" s="525"/>
      <c r="BF270" s="525"/>
      <c r="BG270" s="525"/>
      <c r="BH270" s="525"/>
      <c r="BI270" s="525"/>
      <c r="BJ270" s="525"/>
      <c r="BK270" s="525"/>
      <c r="BL270" s="525"/>
      <c r="BM270" s="525"/>
      <c r="BN270" s="525"/>
      <c r="BO270" s="525"/>
      <c r="BP270" s="525"/>
      <c r="BQ270" s="525"/>
      <c r="BR270" s="525"/>
      <c r="BS270" s="525"/>
      <c r="BT270" s="525"/>
      <c r="BU270" s="525"/>
      <c r="BV270" s="525"/>
      <c r="BW270" s="525"/>
      <c r="BX270" s="525"/>
      <c r="BY270" s="525"/>
      <c r="BZ270" s="525"/>
      <c r="CA270" s="525"/>
      <c r="CB270" s="525"/>
      <c r="CC270" s="525"/>
      <c r="CD270" s="525"/>
      <c r="CE270" s="525"/>
      <c r="CF270" s="525"/>
      <c r="CG270" s="525"/>
      <c r="CH270" s="525"/>
      <c r="CI270" s="525"/>
      <c r="CJ270" s="525"/>
      <c r="CK270" s="525"/>
      <c r="CL270" s="525"/>
      <c r="CM270" s="525"/>
      <c r="CN270" s="525"/>
      <c r="CO270" s="525"/>
      <c r="CP270" s="525"/>
      <c r="CQ270" s="525"/>
      <c r="CR270" s="525"/>
      <c r="CS270" s="525"/>
      <c r="CT270" s="525"/>
      <c r="CU270" s="525"/>
      <c r="CV270" s="525"/>
      <c r="CW270" s="525"/>
      <c r="CX270" s="525"/>
      <c r="CY270" s="525"/>
      <c r="CZ270" s="525"/>
      <c r="DA270" s="525"/>
      <c r="DB270" s="525"/>
      <c r="DC270" s="525"/>
      <c r="DD270" s="525"/>
      <c r="DE270" s="525"/>
      <c r="DF270" s="525"/>
      <c r="DG270" s="525"/>
      <c r="DH270" s="525"/>
      <c r="DI270" s="525"/>
      <c r="DJ270" s="525"/>
      <c r="DK270" s="525"/>
      <c r="DL270" s="525"/>
      <c r="DM270" s="525"/>
      <c r="DN270" s="525"/>
      <c r="DO270" s="525"/>
      <c r="DP270" s="525"/>
      <c r="DQ270" s="525"/>
      <c r="DR270" s="525"/>
      <c r="DS270" s="525"/>
      <c r="DT270" s="525"/>
      <c r="DU270" s="525"/>
      <c r="DV270" s="525"/>
      <c r="DW270" s="525"/>
      <c r="DX270" s="525"/>
      <c r="DY270" s="525"/>
      <c r="DZ270" s="525"/>
      <c r="EA270" s="525"/>
      <c r="EB270" s="525"/>
      <c r="EC270" s="525"/>
      <c r="ED270" s="525"/>
      <c r="EE270" s="525"/>
      <c r="EF270" s="525"/>
      <c r="EG270" s="525"/>
      <c r="EH270" s="525"/>
      <c r="EI270" s="525"/>
      <c r="EJ270" s="525"/>
      <c r="EK270" s="525"/>
      <c r="EL270" s="525"/>
      <c r="EM270" s="525"/>
      <c r="EN270" s="525"/>
      <c r="EO270" s="525"/>
      <c r="EP270" s="525"/>
      <c r="EQ270" s="525"/>
      <c r="ER270" s="525"/>
      <c r="ES270" s="525"/>
      <c r="ET270" s="525"/>
      <c r="EU270" s="525"/>
      <c r="EV270" s="525"/>
      <c r="EW270" s="525"/>
      <c r="EX270" s="525"/>
      <c r="EY270" s="525"/>
      <c r="EZ270" s="525"/>
      <c r="FA270" s="525"/>
      <c r="FB270" s="1897"/>
      <c r="FC270" s="1751"/>
      <c r="FD270" s="1506"/>
      <c r="FE270" s="489" t="s">
        <v>1002</v>
      </c>
      <c r="FF270" s="648"/>
      <c r="FG270" s="648"/>
      <c r="FH270" s="648"/>
      <c r="FI270" s="649"/>
      <c r="FJ270" s="649"/>
      <c r="FK270" s="1157" cm="1" t="str">
        <f t="array" ref="FK270:FK270">OFFSET(FJ270,-1,1)</f>
        <v>ТЭ.42.31656254.0001</v>
      </c>
      <c r="FL270" s="1078"/>
      <c r="FM270" s="1159"/>
      <c r="FN270" s="1159"/>
      <c r="FO270" s="1159"/>
      <c r="FP270" s="1159"/>
      <c r="FQ270" s="1159"/>
      <c r="FR270" s="1159"/>
      <c r="FS270" s="1078" t="s">
        <v>987</v>
      </c>
      <c r="FT270" s="1159"/>
      <c r="FU270" s="1159"/>
      <c r="FV270" s="1078" t="s">
        <v>255</v>
      </c>
      <c r="FW270" s="1159"/>
      <c r="FX270" s="1078"/>
      <c r="FY270" s="1078"/>
      <c r="FZ270" s="1078"/>
    </row>
    <row s="1751" customFormat="1" customHeight="1" ht="16.5" hidden="1">
      <c r="E271" s="180">
        <v>17</v>
      </c>
      <c r="F271" s="175" cm="1" t="str">
        <f t="array" ref="F271:F271">OFFSET(G271,-1,-1)</f>
        <v>1</v>
      </c>
      <c r="L271" s="175" cm="1" t="str">
        <f t="array" ref="L271:L271">OFFSET(M271,-1,-1)</f>
        <v>false</v>
      </c>
      <c r="S271" s="175" cm="1" t="str">
        <f t="array" ref="S271:S271">OFFSET(T271,-1,-1)</f>
        <v>true</v>
      </c>
      <c r="T271" s="175">
        <f>AD271&lt;&gt;"42.0"</f>
        <v>0</v>
      </c>
      <c r="U271" s="753">
        <f>AND(S271,IF(ISBLANK(T271),TRUE,T271))</f>
        <v>0</v>
      </c>
      <c r="X271" s="175" t="s">
        <v>189</v>
      </c>
      <c r="AB271" s="1650"/>
      <c r="AD271" s="491" t="s">
        <v>1003</v>
      </c>
      <c r="AE271" s="514"/>
      <c r="AF271" s="515"/>
      <c r="AG271" s="530" t="str">
        <f>"руб./"&amp;_xlfn.IFERROR(INDEX(fuel_ed_izm_list,MATCH(AE271,fuel_list,0)),"")</f>
        <v>руб./</v>
      </c>
      <c r="AH271" s="542">
        <f>_xlfn.IFERROR(AH262/AH178,0)*1000</f>
        <v>0</v>
      </c>
      <c r="AI271" s="542">
        <f>_xlfn.IFERROR(AI262/AI178,0)*1000</f>
        <v>0</v>
      </c>
      <c r="AJ271" s="542">
        <f>_xlfn.IFERROR(AJ262/AJ178,0)*1000</f>
        <v>0</v>
      </c>
      <c r="AK271" s="542">
        <f>_xlfn.IFERROR(AK262/AK178,0)*1000</f>
        <v>0</v>
      </c>
      <c r="AL271" s="542">
        <f>_xlfn.IFERROR(AL262/AL178,0)*1000</f>
        <v>0</v>
      </c>
      <c r="AM271" s="542">
        <f>_xlfn.IFERROR(AM262/AM178,0)*1000</f>
        <v>0</v>
      </c>
      <c r="AN271" s="542">
        <f>_xlfn.IFERROR(AN262/AN178,0)*1000</f>
        <v>0</v>
      </c>
      <c r="AO271" s="542">
        <f>_xlfn.IFERROR(AO262/AO178,0)*1000</f>
        <v>0</v>
      </c>
      <c r="AP271" s="542">
        <f>_xlfn.IFERROR(AP262/AP178,0)*1000</f>
        <v>0</v>
      </c>
      <c r="AQ271" s="542">
        <f>_xlfn.IFERROR(AQ262/AQ178,0)*1000</f>
        <v>0</v>
      </c>
      <c r="AR271" s="542">
        <f>_xlfn.IFERROR(AR262/AR178,0)*1000</f>
        <v>0</v>
      </c>
      <c r="AS271" s="542">
        <f>_xlfn.IFERROR(AS262/AS178,0)*1000</f>
        <v>0</v>
      </c>
      <c r="AT271" s="542">
        <f>_xlfn.IFERROR(AT262/AT178,0)*1000</f>
        <v>0</v>
      </c>
      <c r="AU271" s="542">
        <f>_xlfn.IFERROR(AU262/AU178,0)*1000</f>
        <v>0</v>
      </c>
      <c r="AV271" s="542">
        <f>_xlfn.IFERROR(AV262/AV178,0)*1000</f>
        <v>0</v>
      </c>
      <c r="AW271" s="542">
        <f>_xlfn.IFERROR(AW262/AW178,0)*1000</f>
        <v>0</v>
      </c>
      <c r="AX271" s="542">
        <f>_xlfn.IFERROR(AX262/AX178,0)*1000</f>
        <v>0</v>
      </c>
      <c r="AY271" s="542">
        <f>_xlfn.IFERROR(AY262/AY178,0)*1000</f>
        <v>0</v>
      </c>
      <c r="AZ271" s="542">
        <f>_xlfn.IFERROR(AZ262/AZ178,0)*1000</f>
        <v>0</v>
      </c>
      <c r="BA271" s="542">
        <f>_xlfn.IFERROR(BA262/BA178,0)*1000</f>
        <v>0</v>
      </c>
      <c r="BB271" s="542">
        <f>_xlfn.IFERROR(BB262/BB178,0)*1000</f>
        <v>0</v>
      </c>
      <c r="BC271" s="542">
        <f>_xlfn.IFERROR(BC262/BC178,0)*1000</f>
        <v>0</v>
      </c>
      <c r="BD271" s="542">
        <f>_xlfn.IFERROR(BD262/BD178,0)*1000</f>
        <v>0</v>
      </c>
      <c r="BE271" s="542">
        <f>_xlfn.IFERROR(BE262/BE178,0)*1000</f>
        <v>0</v>
      </c>
      <c r="BF271" s="542">
        <f>_xlfn.IFERROR(BF262/BF178,0)*1000</f>
        <v>0</v>
      </c>
      <c r="BG271" s="542">
        <f>_xlfn.IFERROR(BG262/BG178,0)*1000</f>
        <v>0</v>
      </c>
      <c r="BH271" s="542">
        <f>_xlfn.IFERROR(BH262/BH178,0)*1000</f>
        <v>0</v>
      </c>
      <c r="BI271" s="542">
        <f>_xlfn.IFERROR(BI262/BI178,0)*1000</f>
        <v>0</v>
      </c>
      <c r="BJ271" s="542">
        <f>_xlfn.IFERROR(BJ262/BJ178,0)*1000</f>
        <v>0</v>
      </c>
      <c r="BK271" s="542">
        <f>_xlfn.IFERROR(BK262/BK178,0)*1000</f>
        <v>0</v>
      </c>
      <c r="BL271" s="542">
        <f>_xlfn.IFERROR(BL262/BL178,0)*1000</f>
        <v>0</v>
      </c>
      <c r="BM271" s="542">
        <f>_xlfn.IFERROR(BM262/BM178,0)*1000</f>
        <v>0</v>
      </c>
      <c r="BN271" s="542">
        <f>_xlfn.IFERROR(BN262/BN178,0)*1000</f>
        <v>0</v>
      </c>
      <c r="BO271" s="542">
        <f>_xlfn.IFERROR(BO262/BO178,0)*1000</f>
        <v>0</v>
      </c>
      <c r="BP271" s="542">
        <f>_xlfn.IFERROR(BP262/BP178,0)*1000</f>
        <v>0</v>
      </c>
      <c r="BQ271" s="542">
        <f>_xlfn.IFERROR(BQ262/BQ178,0)*1000</f>
        <v>0</v>
      </c>
      <c r="BR271" s="542">
        <f>_xlfn.IFERROR(BR262/BR178,0)*1000</f>
        <v>0</v>
      </c>
      <c r="BS271" s="542">
        <f>_xlfn.IFERROR(BS262/BS178,0)*1000</f>
        <v>0</v>
      </c>
      <c r="BT271" s="542">
        <f>_xlfn.IFERROR(BT262/BT178,0)*1000</f>
        <v>0</v>
      </c>
      <c r="BU271" s="542">
        <f>_xlfn.IFERROR(BU262/BU178,0)*1000</f>
        <v>0</v>
      </c>
      <c r="BV271" s="542">
        <f>_xlfn.IFERROR(BV262/BV178,0)*1000</f>
        <v>0</v>
      </c>
      <c r="BW271" s="542">
        <f>_xlfn.IFERROR(BW262/BW178,0)*1000</f>
        <v>0</v>
      </c>
      <c r="BX271" s="542">
        <f>_xlfn.IFERROR(BX262/BX178,0)*1000</f>
        <v>0</v>
      </c>
      <c r="BY271" s="542">
        <f>_xlfn.IFERROR(BY262/BY178,0)*1000</f>
        <v>0</v>
      </c>
      <c r="BZ271" s="542">
        <f>_xlfn.IFERROR(BZ262/BZ178,0)*1000</f>
        <v>0</v>
      </c>
      <c r="CA271" s="542">
        <f>_xlfn.IFERROR(CA262/CA178,0)*1000</f>
        <v>0</v>
      </c>
      <c r="CB271" s="542">
        <f>_xlfn.IFERROR(CB262/CB178,0)*1000</f>
        <v>0</v>
      </c>
      <c r="CC271" s="542">
        <f>_xlfn.IFERROR(CC262/CC178,0)*1000</f>
        <v>0</v>
      </c>
      <c r="CD271" s="542">
        <f>_xlfn.IFERROR(CD262/CD178,0)*1000</f>
        <v>0</v>
      </c>
      <c r="CE271" s="542">
        <f>_xlfn.IFERROR(CE262/CE178,0)*1000</f>
        <v>0</v>
      </c>
      <c r="CF271" s="542">
        <f>_xlfn.IFERROR(CF262/CF178,0)*1000</f>
        <v>0</v>
      </c>
      <c r="CG271" s="542">
        <f>_xlfn.IFERROR(CG262/CG178,0)*1000</f>
        <v>0</v>
      </c>
      <c r="CH271" s="542">
        <f>_xlfn.IFERROR(CH262/CH178,0)*1000</f>
        <v>0</v>
      </c>
      <c r="CI271" s="542">
        <f>_xlfn.IFERROR(CI262/CI178,0)*1000</f>
        <v>0</v>
      </c>
      <c r="CJ271" s="542">
        <f>_xlfn.IFERROR(CJ262/CJ178,0)*1000</f>
        <v>0</v>
      </c>
      <c r="CK271" s="542">
        <f>_xlfn.IFERROR(CK262/CK178,0)*1000</f>
        <v>0</v>
      </c>
      <c r="CL271" s="542">
        <f>_xlfn.IFERROR(CL262/CL178,0)*1000</f>
        <v>0</v>
      </c>
      <c r="CM271" s="542">
        <f>_xlfn.IFERROR(CM262/CM178,0)*1000</f>
        <v>0</v>
      </c>
      <c r="CN271" s="542">
        <f>_xlfn.IFERROR(CN262/CN178,0)*1000</f>
        <v>0</v>
      </c>
      <c r="CO271" s="542">
        <f>_xlfn.IFERROR(CO262/CO178,0)*1000</f>
        <v>0</v>
      </c>
      <c r="CP271" s="542">
        <f>_xlfn.IFERROR(CP262/CP178,0)*1000</f>
        <v>0</v>
      </c>
      <c r="CQ271" s="542">
        <f>_xlfn.IFERROR(CQ262/CQ178,0)*1000</f>
        <v>0</v>
      </c>
      <c r="CR271" s="542">
        <f>_xlfn.IFERROR(CR262/CR178,0)*1000</f>
        <v>0</v>
      </c>
      <c r="CS271" s="542">
        <f>_xlfn.IFERROR(CS262/CS178,0)*1000</f>
        <v>0</v>
      </c>
      <c r="CT271" s="542">
        <f>_xlfn.IFERROR(CT262/CT178,0)*1000</f>
        <v>0</v>
      </c>
      <c r="CU271" s="542">
        <f>_xlfn.IFERROR(CU262/CU178,0)*1000</f>
        <v>0</v>
      </c>
      <c r="CV271" s="542">
        <f>_xlfn.IFERROR(CV262/CV178,0)*1000</f>
        <v>0</v>
      </c>
      <c r="CW271" s="542">
        <f>_xlfn.IFERROR(CW262/CW178,0)*1000</f>
        <v>0</v>
      </c>
      <c r="CX271" s="542">
        <f>_xlfn.IFERROR(CX262/CX178,0)*1000</f>
        <v>0</v>
      </c>
      <c r="CY271" s="542">
        <f>_xlfn.IFERROR(CY262/CY178,0)*1000</f>
        <v>0</v>
      </c>
      <c r="CZ271" s="542">
        <f>_xlfn.IFERROR(CZ262/CZ178,0)*1000</f>
        <v>0</v>
      </c>
      <c r="DA271" s="542">
        <f>_xlfn.IFERROR(DA262/DA178,0)*1000</f>
        <v>0</v>
      </c>
      <c r="DB271" s="542">
        <f>_xlfn.IFERROR(DB262/DB178,0)*1000</f>
        <v>0</v>
      </c>
      <c r="DC271" s="542">
        <f>_xlfn.IFERROR(DC262/DC178,0)*1000</f>
        <v>0</v>
      </c>
      <c r="DD271" s="542">
        <f>_xlfn.IFERROR(DD262/DD178,0)*1000</f>
        <v>0</v>
      </c>
      <c r="DE271" s="542">
        <f>_xlfn.IFERROR(DE262/DE178,0)*1000</f>
        <v>0</v>
      </c>
      <c r="DF271" s="542">
        <f>_xlfn.IFERROR(DF262/DF178,0)*1000</f>
        <v>0</v>
      </c>
      <c r="DG271" s="542">
        <f>_xlfn.IFERROR(DG262/DG178,0)*1000</f>
        <v>0</v>
      </c>
      <c r="DH271" s="542">
        <f>_xlfn.IFERROR(DH262/DH178,0)*1000</f>
        <v>0</v>
      </c>
      <c r="DI271" s="542">
        <f>_xlfn.IFERROR(DI262/DI178,0)*1000</f>
        <v>0</v>
      </c>
      <c r="DJ271" s="542">
        <f>_xlfn.IFERROR(DJ262/DJ178,0)*1000</f>
        <v>0</v>
      </c>
      <c r="DK271" s="542">
        <f>_xlfn.IFERROR(DK262/DK178,0)*1000</f>
        <v>0</v>
      </c>
      <c r="DL271" s="542">
        <f>_xlfn.IFERROR(DL262/DL178,0)*1000</f>
        <v>0</v>
      </c>
      <c r="DM271" s="542">
        <f>_xlfn.IFERROR(DM262/DM178,0)*1000</f>
        <v>0</v>
      </c>
      <c r="DN271" s="542">
        <f>_xlfn.IFERROR(DN262/DN178,0)*1000</f>
        <v>0</v>
      </c>
      <c r="DO271" s="542">
        <f>_xlfn.IFERROR(DO262/DO178,0)*1000</f>
        <v>0</v>
      </c>
      <c r="DP271" s="542">
        <f>_xlfn.IFERROR(DP262/DP178,0)*1000</f>
        <v>0</v>
      </c>
      <c r="DQ271" s="542">
        <f>_xlfn.IFERROR(DQ262/DQ178,0)*1000</f>
        <v>0</v>
      </c>
      <c r="DR271" s="542">
        <f>_xlfn.IFERROR(DR262/DR178,0)*1000</f>
        <v>0</v>
      </c>
      <c r="DS271" s="542">
        <f>_xlfn.IFERROR(DS262/DS178,0)*1000</f>
        <v>0</v>
      </c>
      <c r="DT271" s="542">
        <f>_xlfn.IFERROR(DT262/DT178,0)*1000</f>
        <v>0</v>
      </c>
      <c r="DU271" s="542">
        <f>_xlfn.IFERROR(DU262/DU178,0)*1000</f>
        <v>0</v>
      </c>
      <c r="DV271" s="542">
        <f>_xlfn.IFERROR(DV262/DV178,0)*1000</f>
        <v>0</v>
      </c>
      <c r="DW271" s="542">
        <f>_xlfn.IFERROR(DW262/DW178,0)*1000</f>
        <v>0</v>
      </c>
      <c r="DX271" s="542">
        <f>_xlfn.IFERROR(DX262/DX178,0)*1000</f>
        <v>0</v>
      </c>
      <c r="DY271" s="542">
        <f>_xlfn.IFERROR(DY262/DY178,0)*1000</f>
        <v>0</v>
      </c>
      <c r="DZ271" s="542">
        <f>_xlfn.IFERROR(DZ262/DZ178,0)*1000</f>
        <v>0</v>
      </c>
      <c r="EA271" s="542">
        <f>_xlfn.IFERROR(EA262/EA178,0)*1000</f>
        <v>0</v>
      </c>
      <c r="EB271" s="542">
        <f>_xlfn.IFERROR(EB262/EB178,0)*1000</f>
        <v>0</v>
      </c>
      <c r="EC271" s="542">
        <f>_xlfn.IFERROR(EC262/EC178,0)*1000</f>
        <v>0</v>
      </c>
      <c r="ED271" s="542">
        <f>_xlfn.IFERROR(ED262/ED178,0)*1000</f>
        <v>0</v>
      </c>
      <c r="EE271" s="542">
        <f>_xlfn.IFERROR(EE262/EE178,0)*1000</f>
        <v>0</v>
      </c>
      <c r="EF271" s="542">
        <f>_xlfn.IFERROR(EF262/EF178,0)*1000</f>
        <v>0</v>
      </c>
      <c r="EG271" s="542">
        <f>_xlfn.IFERROR(EG262/EG178,0)*1000</f>
        <v>0</v>
      </c>
      <c r="EH271" s="542">
        <f>_xlfn.IFERROR(EH262/EH178,0)*1000</f>
        <v>0</v>
      </c>
      <c r="EI271" s="542">
        <f>_xlfn.IFERROR(EI262/EI178,0)*1000</f>
        <v>0</v>
      </c>
      <c r="EJ271" s="542">
        <f>_xlfn.IFERROR(EJ262/EJ178,0)*1000</f>
        <v>0</v>
      </c>
      <c r="EK271" s="542">
        <f>_xlfn.IFERROR(EK262/EK178,0)*1000</f>
        <v>0</v>
      </c>
      <c r="EL271" s="542">
        <f>_xlfn.IFERROR(EL262/EL178,0)*1000</f>
        <v>0</v>
      </c>
      <c r="EM271" s="542">
        <f>_xlfn.IFERROR(EM262/EM178,0)*1000</f>
        <v>0</v>
      </c>
      <c r="EN271" s="542">
        <f>_xlfn.IFERROR(EN262/EN178,0)*1000</f>
        <v>0</v>
      </c>
      <c r="EO271" s="542">
        <f>_xlfn.IFERROR(EO262/EO178,0)*1000</f>
        <v>0</v>
      </c>
      <c r="EP271" s="542">
        <f>_xlfn.IFERROR(EP262/EP178,0)*1000</f>
        <v>0</v>
      </c>
      <c r="EQ271" s="542">
        <f>_xlfn.IFERROR(EQ262/EQ178,0)*1000</f>
        <v>0</v>
      </c>
      <c r="ER271" s="542">
        <f>_xlfn.IFERROR(ER262/ER178,0)*1000</f>
        <v>0</v>
      </c>
      <c r="ES271" s="542">
        <f>_xlfn.IFERROR(ES262/ES178,0)*1000</f>
        <v>0</v>
      </c>
      <c r="ET271" s="542">
        <f>_xlfn.IFERROR(ET262/ET178,0)*1000</f>
        <v>0</v>
      </c>
      <c r="EU271" s="542">
        <f>_xlfn.IFERROR(EU262/EU178,0)*1000</f>
        <v>0</v>
      </c>
      <c r="EV271" s="542">
        <f>_xlfn.IFERROR(EV262/EV178,0)*1000</f>
        <v>0</v>
      </c>
      <c r="EW271" s="542">
        <f>_xlfn.IFERROR(EW262/EW178,0)*1000</f>
        <v>0</v>
      </c>
      <c r="EX271" s="542">
        <f>_xlfn.IFERROR(EX262/EX178,0)*1000</f>
        <v>0</v>
      </c>
      <c r="EY271" s="542">
        <f>_xlfn.IFERROR(EY262/EY178,0)*1000</f>
        <v>0</v>
      </c>
      <c r="EZ271" s="542">
        <f>_xlfn.IFERROR(EZ262/EZ178,0)*1000</f>
        <v>0</v>
      </c>
      <c r="FA271" s="542">
        <f>_xlfn.IFERROR(FA262/FA178,0)*1000</f>
        <v>0</v>
      </c>
      <c r="FB271" s="83"/>
      <c r="FE271" s="489" t="s">
        <v>1002</v>
      </c>
      <c r="FF271" s="648" t="s">
        <v>890</v>
      </c>
      <c r="FG271" s="648" cm="1" t="str">
        <f t="array" ref="FG271:FG271">AE271</f>
        <v>0</v>
      </c>
      <c r="FH271" s="648" cm="1" t="str">
        <f t="array" ref="FH271:FH271">AF271</f>
        <v>0</v>
      </c>
      <c r="FI271" s="649"/>
      <c r="FJ271" s="649"/>
      <c r="FK271" s="1157" cm="1" t="str">
        <f t="array" ref="FK271:FK271">OFFSET(FJ271,-1,1)</f>
        <v>ТЭ.42.31656254.0001</v>
      </c>
      <c r="FL271" s="1159"/>
      <c r="FM271" s="1159"/>
      <c r="FN271" s="1159"/>
      <c r="FO271" s="1159"/>
      <c r="FP271" s="1159"/>
      <c r="FQ271" s="1159"/>
      <c r="FR271" s="1159"/>
      <c r="FS271" s="1159" t="s">
        <v>987</v>
      </c>
      <c r="FT271" s="1159"/>
      <c r="FU271" s="1159"/>
      <c r="FV271" s="1159" t="s">
        <v>255</v>
      </c>
      <c r="FW271" s="1078" t="str">
        <f>$AE271&amp;"|"&amp;$AF271</f>
        <v>|</v>
      </c>
      <c r="FX271" s="1159" t="s">
        <v>303</v>
      </c>
      <c r="FY271" s="1159" t="s">
        <v>914</v>
      </c>
      <c r="FZ271" s="1159" t="s">
        <v>915</v>
      </c>
    </row>
    <row s="1751" customFormat="1" customHeight="1" ht="16.5">
      <c r="A272" s="1751"/>
      <c r="B272" s="1751"/>
      <c r="C272" s="1751"/>
      <c r="D272" s="1751"/>
      <c r="E272" s="180">
        <v>17</v>
      </c>
      <c r="F272" s="175" cm="1" t="str">
        <f t="array" ref="F272:F272">OFFSET(G272,-1,-1)</f>
        <v>1</v>
      </c>
      <c r="G272" s="1751"/>
      <c r="H272" s="1751"/>
      <c r="I272" s="1751"/>
      <c r="J272" s="1751"/>
      <c r="K272" s="1751"/>
      <c r="L272" s="175" cm="1" t="str">
        <f t="array" ref="L272:L272">OFFSET(M272,-1,-1)</f>
        <v>false</v>
      </c>
      <c r="M272" s="1751"/>
      <c r="N272" s="1751"/>
      <c r="O272" s="1751"/>
      <c r="P272" s="1751"/>
      <c r="Q272" s="1751"/>
      <c r="R272" s="1751"/>
      <c r="S272" s="175" cm="1" t="str">
        <f t="array" ref="S272:S272">OFFSET(T272,-1,-1)</f>
        <v>true</v>
      </c>
      <c r="T272" s="175">
        <f>AD272&lt;&gt;"42.0"</f>
        <v>1</v>
      </c>
      <c r="U272" s="753">
        <f>AND(S272,IF(ISBLANK(T272),TRUE,T272))</f>
        <v>1</v>
      </c>
      <c r="V272" s="1751"/>
      <c r="W272" s="1751"/>
      <c r="X272" s="175" t="str">
        <f>'Топливо 4.4'!$AE$268&amp;'Топливо 4.4'!$AF$268</f>
        <v>Уголь длиннопламенный</v>
      </c>
      <c r="Y272" s="1751"/>
      <c r="Z272" s="1751"/>
      <c r="AA272" s="1751"/>
      <c r="AB272" s="1650"/>
      <c r="AC272" s="1751"/>
      <c r="AD272" s="491" t="s">
        <v>1034</v>
      </c>
      <c r="AE272" s="514" cm="1" t="str">
        <f t="array" ref="AE272:AE272">IF(ISBLANK('Топливо 4.4'!$AE$268),"",'Топливо 4.4'!$AE$268)</f>
        <v>Уголь длиннопламенный</v>
      </c>
      <c r="AF272" s="515" cm="1" t="str">
        <f t="array" ref="AF272:AF272">IF(ISBLANK('Топливо 4.4'!$AF$268),"",'Топливо 4.4'!$AF$268)</f>
        <v/>
      </c>
      <c r="AG272" s="530" t="str">
        <f>"руб./"&amp;_xlfn.IFERROR(INDEX(fuel_ed_izm_list,MATCH(AE272,fuel_list,0)),"")</f>
        <v>руб./тнт</v>
      </c>
      <c r="AH272" s="542">
        <f>_xlfn.IFERROR(AH263/AH179,0)*1000</f>
        <v>2014.28808823411</v>
      </c>
      <c r="AI272" s="542">
        <f>_xlfn.IFERROR(AI263/AI179,0)*1000</f>
        <v>2865.18759018759</v>
      </c>
      <c r="AJ272" s="542">
        <f>_xlfn.IFERROR(AJ263/AJ179,0)*1000</f>
        <v>2511.58060558393</v>
      </c>
      <c r="AK272" s="542">
        <f>_xlfn.IFERROR(AK263/AK179,0)*1000</f>
        <v>2205.76662138766</v>
      </c>
      <c r="AL272" s="542">
        <f>_xlfn.IFERROR(AL263/AL179,0)*1000</f>
        <v>3290.06</v>
      </c>
      <c r="AM272" s="542">
        <f>_xlfn.IFERROR(AM263/AM179,0)*1000</f>
        <v>3290.06</v>
      </c>
      <c r="AN272" s="542">
        <f>_xlfn.IFERROR(AN263/AN179,0)*1000</f>
        <v>3290.06000000001</v>
      </c>
      <c r="AO272" s="542">
        <f>_xlfn.IFERROR(AO263/AO179,0)*1000</f>
        <v>0</v>
      </c>
      <c r="AP272" s="542">
        <f>_xlfn.IFERROR(AP263/AP179,0)*1000</f>
        <v>0</v>
      </c>
      <c r="AQ272" s="542">
        <f>_xlfn.IFERROR(AQ263/AQ179,0)*1000</f>
        <v>0</v>
      </c>
      <c r="AR272" s="542">
        <f>_xlfn.IFERROR(AR263/AR179,0)*1000</f>
        <v>0</v>
      </c>
      <c r="AS272" s="542">
        <f>_xlfn.IFERROR(AS263/AS179,0)*1000</f>
        <v>0</v>
      </c>
      <c r="AT272" s="542">
        <f>_xlfn.IFERROR(AT263/AT179,0)*1000</f>
        <v>0</v>
      </c>
      <c r="AU272" s="542">
        <f>_xlfn.IFERROR(AU263/AU179,0)*1000</f>
        <v>0</v>
      </c>
      <c r="AV272" s="542">
        <f>_xlfn.IFERROR(AV263/AV179,0)*1000</f>
        <v>0</v>
      </c>
      <c r="AW272" s="542">
        <f>_xlfn.IFERROR(AW263/AW179,0)*1000</f>
        <v>0</v>
      </c>
      <c r="AX272" s="542">
        <f>_xlfn.IFERROR(AX263/AX179,0)*1000</f>
        <v>0</v>
      </c>
      <c r="AY272" s="542">
        <f>_xlfn.IFERROR(AY263/AY179,0)*1000</f>
        <v>0</v>
      </c>
      <c r="AZ272" s="542">
        <f>_xlfn.IFERROR(AZ263/AZ179,0)*1000</f>
        <v>0</v>
      </c>
      <c r="BA272" s="542">
        <f>_xlfn.IFERROR(BA263/BA179,0)*1000</f>
        <v>0</v>
      </c>
      <c r="BB272" s="542">
        <f>_xlfn.IFERROR(BB263/BB179,0)*1000</f>
        <v>0</v>
      </c>
      <c r="BC272" s="542">
        <f>_xlfn.IFERROR(BC263/BC179,0)*1000</f>
        <v>0</v>
      </c>
      <c r="BD272" s="542">
        <f>_xlfn.IFERROR(BD263/BD179,0)*1000</f>
        <v>0</v>
      </c>
      <c r="BE272" s="542">
        <f>_xlfn.IFERROR(BE263/BE179,0)*1000</f>
        <v>0</v>
      </c>
      <c r="BF272" s="542">
        <f>_xlfn.IFERROR(BF263/BF179,0)*1000</f>
        <v>0</v>
      </c>
      <c r="BG272" s="542">
        <f>_xlfn.IFERROR(BG263/BG179,0)*1000</f>
        <v>0</v>
      </c>
      <c r="BH272" s="542">
        <f>_xlfn.IFERROR(BH263/BH179,0)*1000</f>
        <v>0</v>
      </c>
      <c r="BI272" s="542">
        <f>_xlfn.IFERROR(BI263/BI179,0)*1000</f>
        <v>0</v>
      </c>
      <c r="BJ272" s="542">
        <f>_xlfn.IFERROR(BJ263/BJ179,0)*1000</f>
        <v>0</v>
      </c>
      <c r="BK272" s="542">
        <f>_xlfn.IFERROR(BK263/BK179,0)*1000</f>
        <v>0</v>
      </c>
      <c r="BL272" s="542">
        <f>_xlfn.IFERROR(BL263/BL179,0)*1000</f>
        <v>0</v>
      </c>
      <c r="BM272" s="542">
        <f>_xlfn.IFERROR(BM263/BM179,0)*1000</f>
        <v>0</v>
      </c>
      <c r="BN272" s="542">
        <f>_xlfn.IFERROR(BN263/BN179,0)*1000</f>
        <v>0</v>
      </c>
      <c r="BO272" s="542">
        <f>_xlfn.IFERROR(BO263/BO179,0)*1000</f>
        <v>0</v>
      </c>
      <c r="BP272" s="542">
        <f>_xlfn.IFERROR(BP263/BP179,0)*1000</f>
        <v>0</v>
      </c>
      <c r="BQ272" s="542">
        <f>_xlfn.IFERROR(BQ263/BQ179,0)*1000</f>
        <v>0</v>
      </c>
      <c r="BR272" s="542">
        <f>_xlfn.IFERROR(BR263/BR179,0)*1000</f>
        <v>0</v>
      </c>
      <c r="BS272" s="542">
        <f>_xlfn.IFERROR(BS263/BS179,0)*1000</f>
        <v>0</v>
      </c>
      <c r="BT272" s="542">
        <f>_xlfn.IFERROR(BT263/BT179,0)*1000</f>
        <v>0</v>
      </c>
      <c r="BU272" s="542">
        <f>_xlfn.IFERROR(BU263/BU179,0)*1000</f>
        <v>0</v>
      </c>
      <c r="BV272" s="542">
        <f>_xlfn.IFERROR(BV263/BV179,0)*1000</f>
        <v>0</v>
      </c>
      <c r="BW272" s="542">
        <f>_xlfn.IFERROR(BW263/BW179,0)*1000</f>
        <v>0</v>
      </c>
      <c r="BX272" s="542">
        <f>_xlfn.IFERROR(BX263/BX179,0)*1000</f>
        <v>0</v>
      </c>
      <c r="BY272" s="542">
        <f>_xlfn.IFERROR(BY263/BY179,0)*1000</f>
        <v>0</v>
      </c>
      <c r="BZ272" s="542">
        <f>_xlfn.IFERROR(BZ263/BZ179,0)*1000</f>
        <v>0</v>
      </c>
      <c r="CA272" s="542">
        <f>_xlfn.IFERROR(CA263/CA179,0)*1000</f>
        <v>0</v>
      </c>
      <c r="CB272" s="542">
        <f>_xlfn.IFERROR(CB263/CB179,0)*1000</f>
        <v>0</v>
      </c>
      <c r="CC272" s="542">
        <f>_xlfn.IFERROR(CC263/CC179,0)*1000</f>
        <v>0</v>
      </c>
      <c r="CD272" s="542">
        <f>_xlfn.IFERROR(CD263/CD179,0)*1000</f>
        <v>0</v>
      </c>
      <c r="CE272" s="542">
        <f>_xlfn.IFERROR(CE263/CE179,0)*1000</f>
        <v>0</v>
      </c>
      <c r="CF272" s="542">
        <f>_xlfn.IFERROR(CF263/CF179,0)*1000</f>
        <v>0</v>
      </c>
      <c r="CG272" s="542">
        <f>_xlfn.IFERROR(CG263/CG179,0)*1000</f>
        <v>0</v>
      </c>
      <c r="CH272" s="542">
        <f>_xlfn.IFERROR(CH263/CH179,0)*1000</f>
        <v>0</v>
      </c>
      <c r="CI272" s="542">
        <f>_xlfn.IFERROR(CI263/CI179,0)*1000</f>
        <v>0</v>
      </c>
      <c r="CJ272" s="542">
        <f>_xlfn.IFERROR(CJ263/CJ179,0)*1000</f>
        <v>0</v>
      </c>
      <c r="CK272" s="542">
        <f>_xlfn.IFERROR(CK263/CK179,0)*1000</f>
        <v>0</v>
      </c>
      <c r="CL272" s="542">
        <f>_xlfn.IFERROR(CL263/CL179,0)*1000</f>
        <v>0</v>
      </c>
      <c r="CM272" s="542">
        <f>_xlfn.IFERROR(CM263/CM179,0)*1000</f>
        <v>0</v>
      </c>
      <c r="CN272" s="542">
        <f>_xlfn.IFERROR(CN263/CN179,0)*1000</f>
        <v>0</v>
      </c>
      <c r="CO272" s="542">
        <f>_xlfn.IFERROR(CO263/CO179,0)*1000</f>
        <v>0</v>
      </c>
      <c r="CP272" s="542">
        <f>_xlfn.IFERROR(CP263/CP179,0)*1000</f>
        <v>0</v>
      </c>
      <c r="CQ272" s="542">
        <f>_xlfn.IFERROR(CQ263/CQ179,0)*1000</f>
        <v>0</v>
      </c>
      <c r="CR272" s="542">
        <f>_xlfn.IFERROR(CR263/CR179,0)*1000</f>
        <v>0</v>
      </c>
      <c r="CS272" s="542">
        <f>_xlfn.IFERROR(CS263/CS179,0)*1000</f>
        <v>0</v>
      </c>
      <c r="CT272" s="542">
        <f>_xlfn.IFERROR(CT263/CT179,0)*1000</f>
        <v>2897.54844804071</v>
      </c>
      <c r="CU272" s="542">
        <f>_xlfn.IFERROR(CU263/CU179,0)*1000</f>
        <v>2897.33991743563</v>
      </c>
      <c r="CV272" s="542">
        <f>_xlfn.IFERROR(CV263/CV179,0)*1000</f>
        <v>2897.8248504425</v>
      </c>
      <c r="CW272" s="542">
        <f>_xlfn.IFERROR(CW263/CW179,0)*1000</f>
        <v>0</v>
      </c>
      <c r="CX272" s="542">
        <f>_xlfn.IFERROR(CX263/CX179,0)*1000</f>
        <v>0</v>
      </c>
      <c r="CY272" s="542">
        <f>_xlfn.IFERROR(CY263/CY179,0)*1000</f>
        <v>0</v>
      </c>
      <c r="CZ272" s="542">
        <f>_xlfn.IFERROR(CZ263/CZ179,0)*1000</f>
        <v>0</v>
      </c>
      <c r="DA272" s="542">
        <f>_xlfn.IFERROR(DA263/DA179,0)*1000</f>
        <v>0</v>
      </c>
      <c r="DB272" s="542">
        <f>_xlfn.IFERROR(DB263/DB179,0)*1000</f>
        <v>0</v>
      </c>
      <c r="DC272" s="542">
        <f>_xlfn.IFERROR(DC263/DC179,0)*1000</f>
        <v>0</v>
      </c>
      <c r="DD272" s="542">
        <f>_xlfn.IFERROR(DD263/DD179,0)*1000</f>
        <v>0</v>
      </c>
      <c r="DE272" s="542">
        <f>_xlfn.IFERROR(DE263/DE179,0)*1000</f>
        <v>0</v>
      </c>
      <c r="DF272" s="542">
        <f>_xlfn.IFERROR(DF263/DF179,0)*1000</f>
        <v>0</v>
      </c>
      <c r="DG272" s="542">
        <f>_xlfn.IFERROR(DG263/DG179,0)*1000</f>
        <v>0</v>
      </c>
      <c r="DH272" s="542">
        <f>_xlfn.IFERROR(DH263/DH179,0)*1000</f>
        <v>0</v>
      </c>
      <c r="DI272" s="542">
        <f>_xlfn.IFERROR(DI263/DI179,0)*1000</f>
        <v>0</v>
      </c>
      <c r="DJ272" s="542">
        <f>_xlfn.IFERROR(DJ263/DJ179,0)*1000</f>
        <v>0</v>
      </c>
      <c r="DK272" s="542">
        <f>_xlfn.IFERROR(DK263/DK179,0)*1000</f>
        <v>0</v>
      </c>
      <c r="DL272" s="542">
        <f>_xlfn.IFERROR(DL263/DL179,0)*1000</f>
        <v>0</v>
      </c>
      <c r="DM272" s="542">
        <f>_xlfn.IFERROR(DM263/DM179,0)*1000</f>
        <v>0</v>
      </c>
      <c r="DN272" s="542">
        <f>_xlfn.IFERROR(DN263/DN179,0)*1000</f>
        <v>0</v>
      </c>
      <c r="DO272" s="542">
        <f>_xlfn.IFERROR(DO263/DO179,0)*1000</f>
        <v>0</v>
      </c>
      <c r="DP272" s="542">
        <f>_xlfn.IFERROR(DP263/DP179,0)*1000</f>
        <v>0</v>
      </c>
      <c r="DQ272" s="542">
        <f>_xlfn.IFERROR(DQ263/DQ179,0)*1000</f>
        <v>0</v>
      </c>
      <c r="DR272" s="542">
        <f>_xlfn.IFERROR(DR263/DR179,0)*1000</f>
        <v>0</v>
      </c>
      <c r="DS272" s="542">
        <f>_xlfn.IFERROR(DS263/DS179,0)*1000</f>
        <v>0</v>
      </c>
      <c r="DT272" s="542">
        <f>_xlfn.IFERROR(DT263/DT179,0)*1000</f>
        <v>0</v>
      </c>
      <c r="DU272" s="542">
        <f>_xlfn.IFERROR(DU263/DU179,0)*1000</f>
        <v>0</v>
      </c>
      <c r="DV272" s="542">
        <f>_xlfn.IFERROR(DV263/DV179,0)*1000</f>
        <v>0</v>
      </c>
      <c r="DW272" s="542">
        <f>_xlfn.IFERROR(DW263/DW179,0)*1000</f>
        <v>0</v>
      </c>
      <c r="DX272" s="542">
        <f>_xlfn.IFERROR(DX263/DX179,0)*1000</f>
        <v>0</v>
      </c>
      <c r="DY272" s="542">
        <f>_xlfn.IFERROR(DY263/DY179,0)*1000</f>
        <v>0</v>
      </c>
      <c r="DZ272" s="542">
        <f>_xlfn.IFERROR(DZ263/DZ179,0)*1000</f>
        <v>0</v>
      </c>
      <c r="EA272" s="542">
        <f>_xlfn.IFERROR(EA263/EA179,0)*1000</f>
        <v>0</v>
      </c>
      <c r="EB272" s="542">
        <f>_xlfn.IFERROR(EB263/EB179,0)*1000</f>
        <v>0</v>
      </c>
      <c r="EC272" s="542">
        <f>_xlfn.IFERROR(EC263/EC179,0)*1000</f>
        <v>0</v>
      </c>
      <c r="ED272" s="542">
        <f>_xlfn.IFERROR(ED263/ED179,0)*1000</f>
        <v>0</v>
      </c>
      <c r="EE272" s="542">
        <f>_xlfn.IFERROR(EE263/EE179,0)*1000</f>
        <v>0</v>
      </c>
      <c r="EF272" s="542">
        <f>_xlfn.IFERROR(EF263/EF179,0)*1000</f>
        <v>0</v>
      </c>
      <c r="EG272" s="542">
        <f>_xlfn.IFERROR(EG263/EG179,0)*1000</f>
        <v>0</v>
      </c>
      <c r="EH272" s="542">
        <f>_xlfn.IFERROR(EH263/EH179,0)*1000</f>
        <v>0</v>
      </c>
      <c r="EI272" s="542">
        <f>_xlfn.IFERROR(EI263/EI179,0)*1000</f>
        <v>0</v>
      </c>
      <c r="EJ272" s="542">
        <f>_xlfn.IFERROR(EJ263/EJ179,0)*1000</f>
        <v>0</v>
      </c>
      <c r="EK272" s="542">
        <f>_xlfn.IFERROR(EK263/EK179,0)*1000</f>
        <v>0</v>
      </c>
      <c r="EL272" s="542">
        <f>_xlfn.IFERROR(EL263/EL179,0)*1000</f>
        <v>0</v>
      </c>
      <c r="EM272" s="542">
        <f>_xlfn.IFERROR(EM263/EM179,0)*1000</f>
        <v>0</v>
      </c>
      <c r="EN272" s="542">
        <f>_xlfn.IFERROR(EN263/EN179,0)*1000</f>
        <v>0</v>
      </c>
      <c r="EO272" s="542">
        <f>_xlfn.IFERROR(EO263/EO179,0)*1000</f>
        <v>0</v>
      </c>
      <c r="EP272" s="542">
        <f>_xlfn.IFERROR(EP263/EP179,0)*1000</f>
        <v>0</v>
      </c>
      <c r="EQ272" s="542">
        <f>_xlfn.IFERROR(EQ263/EQ179,0)*1000</f>
        <v>0</v>
      </c>
      <c r="ER272" s="542">
        <f>_xlfn.IFERROR(ER263/ER179,0)*1000</f>
        <v>0</v>
      </c>
      <c r="ES272" s="542">
        <f>_xlfn.IFERROR(ES263/ES179,0)*1000</f>
        <v>0</v>
      </c>
      <c r="ET272" s="542">
        <f>_xlfn.IFERROR(ET263/ET179,0)*1000</f>
        <v>0</v>
      </c>
      <c r="EU272" s="542">
        <f>_xlfn.IFERROR(EU263/EU179,0)*1000</f>
        <v>0</v>
      </c>
      <c r="EV272" s="542">
        <f>_xlfn.IFERROR(EV263/EV179,0)*1000</f>
        <v>0</v>
      </c>
      <c r="EW272" s="542">
        <f>_xlfn.IFERROR(EW263/EW179,0)*1000</f>
        <v>0</v>
      </c>
      <c r="EX272" s="542">
        <f>_xlfn.IFERROR(EX263/EX179,0)*1000</f>
        <v>0</v>
      </c>
      <c r="EY272" s="542">
        <f>_xlfn.IFERROR(EY263/EY179,0)*1000</f>
        <v>0</v>
      </c>
      <c r="EZ272" s="542">
        <f>_xlfn.IFERROR(EZ263/EZ179,0)*1000</f>
        <v>0</v>
      </c>
      <c r="FA272" s="542">
        <f>_xlfn.IFERROR(FA263/FA179,0)*1000</f>
        <v>0</v>
      </c>
      <c r="FB272" s="1897"/>
      <c r="FC272" s="1751"/>
      <c r="FD272" s="1751"/>
      <c r="FE272" s="489" t="s">
        <v>1002</v>
      </c>
      <c r="FF272" s="648" t="s">
        <v>890</v>
      </c>
      <c r="FG272" s="648" cm="1" t="str">
        <f t="array" ref="FG272:FG272">AE272</f>
        <v>Уголь длиннопламенный</v>
      </c>
      <c r="FH272" s="648" cm="1" t="str">
        <f t="array" ref="FH272:FH272">AF272</f>
        <v/>
      </c>
      <c r="FI272" s="649"/>
      <c r="FJ272" s="649"/>
      <c r="FK272" s="1157" cm="1" t="str">
        <f t="array" ref="FK272:FK272">OFFSET(FJ272,-1,1)</f>
        <v>ТЭ.42.31656254.0001</v>
      </c>
      <c r="FL272" s="1159"/>
      <c r="FM272" s="1159"/>
      <c r="FN272" s="1159"/>
      <c r="FO272" s="1159"/>
      <c r="FP272" s="1159"/>
      <c r="FQ272" s="1159"/>
      <c r="FR272" s="1159"/>
      <c r="FS272" s="1159" t="s">
        <v>987</v>
      </c>
      <c r="FT272" s="1159"/>
      <c r="FU272" s="1159"/>
      <c r="FV272" s="1159" t="s">
        <v>255</v>
      </c>
      <c r="FW272" s="1078" t="str">
        <f>$AE272&amp;"|"&amp;$AF272</f>
        <v>Уголь длиннопламенный|</v>
      </c>
      <c r="FX272" s="1159" t="s">
        <v>303</v>
      </c>
      <c r="FY272" s="1159" t="s">
        <v>914</v>
      </c>
      <c r="FZ272" s="1159" t="s">
        <v>915</v>
      </c>
    </row>
    <row s="1751" customFormat="1" customHeight="1" ht="15" hidden="1">
      <c r="A273" s="371"/>
      <c r="B273" s="1548"/>
      <c r="C273" s="1548"/>
      <c r="D273" s="1548"/>
      <c r="E273" s="965">
        <v>0</v>
      </c>
      <c r="F273" s="175" cm="1" t="str">
        <f t="array" ref="F273:F273">OFFSET(G273,-1,-1)</f>
        <v>1</v>
      </c>
      <c r="G273" s="1659"/>
      <c r="H273" s="1659"/>
      <c r="I273" s="1659"/>
      <c r="J273" s="1659"/>
      <c r="K273" s="1659"/>
      <c r="L273" s="175" cm="1" t="str">
        <f t="array" ref="L273:L273">OFFSET(M273,-1,-1)</f>
        <v>false</v>
      </c>
      <c r="M273" s="1659"/>
      <c r="N273" s="1659"/>
      <c r="O273" s="1659"/>
      <c r="P273" s="1659"/>
      <c r="Q273" s="1659"/>
      <c r="R273" s="1548"/>
      <c r="S273" s="175" cm="1" t="str">
        <f t="array" ref="S273:S273">OFFSET(T273,-1,-1)</f>
        <v>true</v>
      </c>
      <c r="T273" s="1548"/>
      <c r="U273" s="753">
        <f>AND(S273,IF(ISBLANK(T273),TRUE,T273))</f>
        <v>1</v>
      </c>
      <c r="V273" s="1548"/>
      <c r="W273" s="1548"/>
      <c r="X273" s="980" t="str">
        <f>"{                  
         funcDyn: 'msg1',
         blok: '',
         wsCross: '',
         linkFormula: '',
         levelDyn: "&amp;Y139&amp;"
}"</f>
        <v>{                  
         funcDyn: 'msg1',
         blok: '',
         wsCross: '',
         linkFormula: '',
         levelDyn: 1
}</v>
      </c>
      <c r="Y273" s="1548"/>
      <c r="Z273" s="1548"/>
      <c r="AA273" s="1009"/>
      <c r="AB273" s="1650"/>
      <c r="AC273" s="1751"/>
      <c r="AD273" s="517"/>
      <c r="AE273" s="518" t="s">
        <v>191</v>
      </c>
      <c r="AF273" s="519"/>
      <c r="AG273" s="470"/>
      <c r="AH273" s="543"/>
      <c r="AI273" s="544"/>
      <c r="AJ273" s="544"/>
      <c r="AK273" s="544"/>
      <c r="AL273" s="544"/>
      <c r="AM273" s="544"/>
      <c r="AN273" s="544"/>
      <c r="AO273" s="544"/>
      <c r="AP273" s="544"/>
      <c r="AQ273" s="544"/>
      <c r="AR273" s="544"/>
      <c r="AS273" s="544"/>
      <c r="AT273" s="544"/>
      <c r="AU273" s="544"/>
      <c r="AV273" s="544"/>
      <c r="AW273" s="544"/>
      <c r="AX273" s="544"/>
      <c r="AY273" s="544"/>
      <c r="AZ273" s="544"/>
      <c r="BA273" s="544"/>
      <c r="BB273" s="544"/>
      <c r="BC273" s="544"/>
      <c r="BD273" s="544"/>
      <c r="BE273" s="544"/>
      <c r="BF273" s="544"/>
      <c r="BG273" s="544"/>
      <c r="BH273" s="544"/>
      <c r="BI273" s="544"/>
      <c r="BJ273" s="544"/>
      <c r="BK273" s="544"/>
      <c r="BL273" s="544"/>
      <c r="BM273" s="544"/>
      <c r="BN273" s="544"/>
      <c r="BO273" s="544"/>
      <c r="BP273" s="544"/>
      <c r="BQ273" s="544"/>
      <c r="BR273" s="544"/>
      <c r="BS273" s="544"/>
      <c r="BT273" s="544"/>
      <c r="BU273" s="544"/>
      <c r="BV273" s="544"/>
      <c r="BW273" s="544"/>
      <c r="BX273" s="544"/>
      <c r="BY273" s="544"/>
      <c r="BZ273" s="544"/>
      <c r="CA273" s="544"/>
      <c r="CB273" s="544"/>
      <c r="CC273" s="544"/>
      <c r="CD273" s="544"/>
      <c r="CE273" s="544"/>
      <c r="CF273" s="544"/>
      <c r="CG273" s="544"/>
      <c r="CH273" s="544"/>
      <c r="CI273" s="544"/>
      <c r="CJ273" s="544"/>
      <c r="CK273" s="544"/>
      <c r="CL273" s="544"/>
      <c r="CM273" s="544"/>
      <c r="CN273" s="544"/>
      <c r="CO273" s="544"/>
      <c r="CP273" s="544"/>
      <c r="CQ273" s="544"/>
      <c r="CR273" s="544"/>
      <c r="CS273" s="544"/>
      <c r="CT273" s="544"/>
      <c r="CU273" s="544"/>
      <c r="CV273" s="544"/>
      <c r="CW273" s="544"/>
      <c r="CX273" s="544"/>
      <c r="CY273" s="544"/>
      <c r="CZ273" s="544"/>
      <c r="DA273" s="544"/>
      <c r="DB273" s="544"/>
      <c r="DC273" s="544"/>
      <c r="DD273" s="544"/>
      <c r="DE273" s="544"/>
      <c r="DF273" s="544"/>
      <c r="DG273" s="544"/>
      <c r="DH273" s="544"/>
      <c r="DI273" s="544"/>
      <c r="DJ273" s="544"/>
      <c r="DK273" s="544"/>
      <c r="DL273" s="544"/>
      <c r="DM273" s="544"/>
      <c r="DN273" s="544"/>
      <c r="DO273" s="544"/>
      <c r="DP273" s="544"/>
      <c r="DQ273" s="544"/>
      <c r="DR273" s="544"/>
      <c r="DS273" s="544"/>
      <c r="DT273" s="544"/>
      <c r="DU273" s="544"/>
      <c r="DV273" s="544"/>
      <c r="DW273" s="544"/>
      <c r="DX273" s="544"/>
      <c r="DY273" s="544"/>
      <c r="DZ273" s="544"/>
      <c r="EA273" s="544"/>
      <c r="EB273" s="544"/>
      <c r="EC273" s="544"/>
      <c r="ED273" s="544"/>
      <c r="EE273" s="544"/>
      <c r="EF273" s="544"/>
      <c r="EG273" s="544"/>
      <c r="EH273" s="544"/>
      <c r="EI273" s="544"/>
      <c r="EJ273" s="544"/>
      <c r="EK273" s="544"/>
      <c r="EL273" s="544"/>
      <c r="EM273" s="544"/>
      <c r="EN273" s="544"/>
      <c r="EO273" s="544"/>
      <c r="EP273" s="544"/>
      <c r="EQ273" s="544"/>
      <c r="ER273" s="544"/>
      <c r="ES273" s="544"/>
      <c r="ET273" s="544"/>
      <c r="EU273" s="544"/>
      <c r="EV273" s="544"/>
      <c r="EW273" s="544"/>
      <c r="EX273" s="544"/>
      <c r="EY273" s="544"/>
      <c r="EZ273" s="544"/>
      <c r="FA273" s="544"/>
      <c r="FB273" s="93"/>
      <c r="FC273" s="1751"/>
      <c r="FD273" s="1506"/>
      <c r="FE273" s="489" t="str">
        <f>IF(AND(ISNUMBER(VALUE(TRIM(SUBSTITUTE(AD273,".","")))),TRIM(SUBSTITUTE(AD273,".",""))&lt;&gt;""),"P"&amp;SUBSTITUTE(AD273,".",""),"")</f>
        <v/>
      </c>
      <c r="FF273" s="648"/>
      <c r="FG273" s="648"/>
      <c r="FH273" s="648"/>
      <c r="FI273" s="649"/>
      <c r="FJ273" s="649"/>
      <c r="FK273" s="1157" cm="1" t="str">
        <f t="array" ref="FK273:FK273">OFFSET(FJ273,-1,1)</f>
        <v>ТЭ.42.31656254.0001</v>
      </c>
      <c r="FL273" s="1159"/>
      <c r="FM273" s="1159"/>
      <c r="FN273" s="1159"/>
      <c r="FO273" s="1159"/>
      <c r="FP273" s="1159"/>
      <c r="FQ273" s="1159"/>
      <c r="FR273" s="1159"/>
      <c r="FS273" s="1159"/>
      <c r="FT273" s="1159"/>
      <c r="FU273" s="1159"/>
      <c r="FV273" s="1159"/>
      <c r="FW273" s="1159"/>
      <c r="FX273" s="1159"/>
      <c r="FY273" s="1159"/>
      <c r="FZ273" s="1159"/>
    </row>
    <row s="1751" customFormat="1" customHeight="1" ht="16.5">
      <c r="A274" s="371"/>
      <c r="B274" s="1548"/>
      <c r="C274" s="1548"/>
      <c r="D274" s="1548"/>
      <c r="E274" s="180">
        <v>17</v>
      </c>
      <c r="F274" s="175" cm="1" t="str">
        <f t="array" ref="F274:F274">OFFSET(G274,-1,-1)</f>
        <v>1</v>
      </c>
      <c r="G274" s="1659"/>
      <c r="H274" s="1659"/>
      <c r="I274" s="1659"/>
      <c r="J274" s="1659"/>
      <c r="K274" s="1659"/>
      <c r="L274" s="175" cm="1" t="str">
        <f t="array" ref="L274:L274">OFFSET(M274,-1,-1)</f>
        <v>false</v>
      </c>
      <c r="M274" s="1659"/>
      <c r="N274" s="1659"/>
      <c r="O274" s="1659"/>
      <c r="P274" s="1659"/>
      <c r="Q274" s="1659"/>
      <c r="R274" s="1548"/>
      <c r="S274" s="175" cm="1" t="str">
        <f t="array" ref="S274:S274">OFFSET(T274,-1,-1)</f>
        <v>true</v>
      </c>
      <c r="T274" s="1548"/>
      <c r="U274" s="753">
        <f>AND(S274,IF(ISBLANK(T274),TRUE,T274))</f>
        <v>1</v>
      </c>
      <c r="V274" s="1548"/>
      <c r="W274" s="1548"/>
      <c r="X274" s="1548"/>
      <c r="Y274" s="1548"/>
      <c r="Z274" s="1548"/>
      <c r="AA274" s="1009"/>
      <c r="AB274" s="1651"/>
      <c r="AC274" s="545"/>
      <c r="AD274" s="327">
        <v>43</v>
      </c>
      <c r="AE274" s="1618" t="s">
        <v>1004</v>
      </c>
      <c r="AF274" s="427"/>
      <c r="AG274" s="470" t="s">
        <v>1005</v>
      </c>
      <c r="AH274" s="500">
        <f>_xlfn.IFERROR(AH259/AH155*1000,0)</f>
        <v>576.317590691307</v>
      </c>
      <c r="AI274" s="500">
        <f>_xlfn.IFERROR(AI259/AI155*1000,0)</f>
        <v>856.40500323485</v>
      </c>
      <c r="AJ274" s="500">
        <f>_xlfn.IFERROR(AJ259/AJ155*1000,0)</f>
        <v>615.481592081027</v>
      </c>
      <c r="AK274" s="500">
        <f>_xlfn.IFERROR(AK259/AK155*1000,0)</f>
        <v>633.055020338257</v>
      </c>
      <c r="AL274" s="500">
        <f>_xlfn.IFERROR(AL259/AL155*1000,0)</f>
        <v>983.182493638432</v>
      </c>
      <c r="AM274" s="500">
        <f>_xlfn.IFERROR(AM259/AM155*1000,0)</f>
        <v>982.936630619187</v>
      </c>
      <c r="AN274" s="500">
        <f>_xlfn.IFERROR(AN259/AN155*1000,0)</f>
        <v>983.508379275276</v>
      </c>
      <c r="AO274" s="500">
        <f>_xlfn.IFERROR(AO259/AO155*1000,0)</f>
        <v>0</v>
      </c>
      <c r="AP274" s="500">
        <f>_xlfn.IFERROR(AP259/AP155*1000,0)</f>
        <v>0</v>
      </c>
      <c r="AQ274" s="500">
        <f>_xlfn.IFERROR(AQ259/AQ155*1000,0)</f>
        <v>0</v>
      </c>
      <c r="AR274" s="500">
        <f>_xlfn.IFERROR(AR259/AR155*1000,0)</f>
        <v>0</v>
      </c>
      <c r="AS274" s="500">
        <f>_xlfn.IFERROR(AS259/AS155*1000,0)</f>
        <v>0</v>
      </c>
      <c r="AT274" s="500">
        <f>_xlfn.IFERROR(AT259/AT155*1000,0)</f>
        <v>0</v>
      </c>
      <c r="AU274" s="500">
        <f>_xlfn.IFERROR(AU259/AU155*1000,0)</f>
        <v>0</v>
      </c>
      <c r="AV274" s="500">
        <f>_xlfn.IFERROR(AV259/AV155*1000,0)</f>
        <v>0</v>
      </c>
      <c r="AW274" s="500">
        <f>_xlfn.IFERROR(AW259/AW155*1000,0)</f>
        <v>0</v>
      </c>
      <c r="AX274" s="500">
        <f>_xlfn.IFERROR(AX259/AX155*1000,0)</f>
        <v>0</v>
      </c>
      <c r="AY274" s="500">
        <f>_xlfn.IFERROR(AY259/AY155*1000,0)</f>
        <v>0</v>
      </c>
      <c r="AZ274" s="500">
        <f>_xlfn.IFERROR(AZ259/AZ155*1000,0)</f>
        <v>0</v>
      </c>
      <c r="BA274" s="500">
        <f>_xlfn.IFERROR(BA259/BA155*1000,0)</f>
        <v>0</v>
      </c>
      <c r="BB274" s="500">
        <f>_xlfn.IFERROR(BB259/BB155*1000,0)</f>
        <v>0</v>
      </c>
      <c r="BC274" s="500">
        <f>_xlfn.IFERROR(BC259/BC155*1000,0)</f>
        <v>0</v>
      </c>
      <c r="BD274" s="500">
        <f>_xlfn.IFERROR(BD259/BD155*1000,0)</f>
        <v>0</v>
      </c>
      <c r="BE274" s="500">
        <f>_xlfn.IFERROR(BE259/BE155*1000,0)</f>
        <v>0</v>
      </c>
      <c r="BF274" s="500">
        <f>_xlfn.IFERROR(BF259/BF155*1000,0)</f>
        <v>0</v>
      </c>
      <c r="BG274" s="500">
        <f>_xlfn.IFERROR(BG259/BG155*1000,0)</f>
        <v>0</v>
      </c>
      <c r="BH274" s="500">
        <f>_xlfn.IFERROR(BH259/BH155*1000,0)</f>
        <v>0</v>
      </c>
      <c r="BI274" s="500">
        <f>_xlfn.IFERROR(BI259/BI155*1000,0)</f>
        <v>0</v>
      </c>
      <c r="BJ274" s="500">
        <f>_xlfn.IFERROR(BJ259/BJ155*1000,0)</f>
        <v>0</v>
      </c>
      <c r="BK274" s="500">
        <f>_xlfn.IFERROR(BK259/BK155*1000,0)</f>
        <v>0</v>
      </c>
      <c r="BL274" s="500">
        <f>_xlfn.IFERROR(BL259/BL155*1000,0)</f>
        <v>0</v>
      </c>
      <c r="BM274" s="500">
        <f>_xlfn.IFERROR(BM259/BM155*1000,0)</f>
        <v>0</v>
      </c>
      <c r="BN274" s="500">
        <f>_xlfn.IFERROR(BN259/BN155*1000,0)</f>
        <v>0</v>
      </c>
      <c r="BO274" s="500">
        <f>_xlfn.IFERROR(BO259/BO155*1000,0)</f>
        <v>0</v>
      </c>
      <c r="BP274" s="500">
        <f>_xlfn.IFERROR(BP259/BP155*1000,0)</f>
        <v>0</v>
      </c>
      <c r="BQ274" s="500">
        <f>_xlfn.IFERROR(BQ259/BQ155*1000,0)</f>
        <v>0</v>
      </c>
      <c r="BR274" s="500">
        <f>_xlfn.IFERROR(BR259/BR155*1000,0)</f>
        <v>0</v>
      </c>
      <c r="BS274" s="500">
        <f>_xlfn.IFERROR(BS259/BS155*1000,0)</f>
        <v>0</v>
      </c>
      <c r="BT274" s="500">
        <f>_xlfn.IFERROR(BT259/BT155*1000,0)</f>
        <v>0</v>
      </c>
      <c r="BU274" s="500">
        <f>_xlfn.IFERROR(BU259/BU155*1000,0)</f>
        <v>0</v>
      </c>
      <c r="BV274" s="500">
        <f>_xlfn.IFERROR(BV259/BV155*1000,0)</f>
        <v>0</v>
      </c>
      <c r="BW274" s="500">
        <f>_xlfn.IFERROR(BW259/BW155*1000,0)</f>
        <v>0</v>
      </c>
      <c r="BX274" s="500">
        <f>_xlfn.IFERROR(BX259/BX155*1000,0)</f>
        <v>0</v>
      </c>
      <c r="BY274" s="500">
        <f>_xlfn.IFERROR(BY259/BY155*1000,0)</f>
        <v>0</v>
      </c>
      <c r="BZ274" s="500">
        <f>_xlfn.IFERROR(BZ259/BZ155*1000,0)</f>
        <v>0</v>
      </c>
      <c r="CA274" s="500">
        <f>_xlfn.IFERROR(CA259/CA155*1000,0)</f>
        <v>0</v>
      </c>
      <c r="CB274" s="500">
        <f>_xlfn.IFERROR(CB259/CB155*1000,0)</f>
        <v>0</v>
      </c>
      <c r="CC274" s="500">
        <f>_xlfn.IFERROR(CC259/CC155*1000,0)</f>
        <v>0</v>
      </c>
      <c r="CD274" s="500">
        <f>_xlfn.IFERROR(CD259/CD155*1000,0)</f>
        <v>0</v>
      </c>
      <c r="CE274" s="500">
        <f>_xlfn.IFERROR(CE259/CE155*1000,0)</f>
        <v>0</v>
      </c>
      <c r="CF274" s="500">
        <f>_xlfn.IFERROR(CF259/CF155*1000,0)</f>
        <v>0</v>
      </c>
      <c r="CG274" s="500">
        <f>_xlfn.IFERROR(CG259/CG155*1000,0)</f>
        <v>0</v>
      </c>
      <c r="CH274" s="500">
        <f>_xlfn.IFERROR(CH259/CH155*1000,0)</f>
        <v>0</v>
      </c>
      <c r="CI274" s="500">
        <f>_xlfn.IFERROR(CI259/CI155*1000,0)</f>
        <v>0</v>
      </c>
      <c r="CJ274" s="500">
        <f>_xlfn.IFERROR(CJ259/CJ155*1000,0)</f>
        <v>0</v>
      </c>
      <c r="CK274" s="500">
        <f>_xlfn.IFERROR(CK259/CK155*1000,0)</f>
        <v>0</v>
      </c>
      <c r="CL274" s="500">
        <f>_xlfn.IFERROR(CL259/CL155*1000,0)</f>
        <v>0</v>
      </c>
      <c r="CM274" s="500">
        <f>_xlfn.IFERROR(CM259/CM155*1000,0)</f>
        <v>0</v>
      </c>
      <c r="CN274" s="500">
        <f>_xlfn.IFERROR(CN259/CN155*1000,0)</f>
        <v>0</v>
      </c>
      <c r="CO274" s="500">
        <f>_xlfn.IFERROR(CO259/CO155*1000,0)</f>
        <v>0</v>
      </c>
      <c r="CP274" s="500">
        <f>_xlfn.IFERROR(CP259/CP155*1000,0)</f>
        <v>0</v>
      </c>
      <c r="CQ274" s="500">
        <f>_xlfn.IFERROR(CQ259/CQ155*1000,0)</f>
        <v>0</v>
      </c>
      <c r="CR274" s="500">
        <f>_xlfn.IFERROR(CR259/CR155*1000,0)</f>
        <v>0</v>
      </c>
      <c r="CS274" s="500">
        <f>_xlfn.IFERROR(CS259/CS155*1000,0)</f>
        <v>0</v>
      </c>
      <c r="CT274" s="500">
        <f>_xlfn.IFERROR(CT259/CT155*1000,0)</f>
        <v>710.065895542847</v>
      </c>
      <c r="CU274" s="500">
        <f>_xlfn.IFERROR(CU259/CU155*1000,0)</f>
        <v>710.014793560087</v>
      </c>
      <c r="CV274" s="500">
        <f>_xlfn.IFERROR(CV259/CV155*1000,0)</f>
        <v>710.133630016484</v>
      </c>
      <c r="CW274" s="500">
        <f>_xlfn.IFERROR(CW259/CW155*1000,0)</f>
        <v>0</v>
      </c>
      <c r="CX274" s="500">
        <f>_xlfn.IFERROR(CX259/CX155*1000,0)</f>
        <v>0</v>
      </c>
      <c r="CY274" s="500">
        <f>_xlfn.IFERROR(CY259/CY155*1000,0)</f>
        <v>0</v>
      </c>
      <c r="CZ274" s="500">
        <f>_xlfn.IFERROR(CZ259/CZ155*1000,0)</f>
        <v>0</v>
      </c>
      <c r="DA274" s="500">
        <f>_xlfn.IFERROR(DA259/DA155*1000,0)</f>
        <v>0</v>
      </c>
      <c r="DB274" s="500">
        <f>_xlfn.IFERROR(DB259/DB155*1000,0)</f>
        <v>0</v>
      </c>
      <c r="DC274" s="500">
        <f>_xlfn.IFERROR(DC259/DC155*1000,0)</f>
        <v>0</v>
      </c>
      <c r="DD274" s="500">
        <f>_xlfn.IFERROR(DD259/DD155*1000,0)</f>
        <v>0</v>
      </c>
      <c r="DE274" s="500">
        <f>_xlfn.IFERROR(DE259/DE155*1000,0)</f>
        <v>0</v>
      </c>
      <c r="DF274" s="500">
        <f>_xlfn.IFERROR(DF259/DF155*1000,0)</f>
        <v>0</v>
      </c>
      <c r="DG274" s="500">
        <f>_xlfn.IFERROR(DG259/DG155*1000,0)</f>
        <v>0</v>
      </c>
      <c r="DH274" s="500">
        <f>_xlfn.IFERROR(DH259/DH155*1000,0)</f>
        <v>0</v>
      </c>
      <c r="DI274" s="500">
        <f>_xlfn.IFERROR(DI259/DI155*1000,0)</f>
        <v>0</v>
      </c>
      <c r="DJ274" s="500">
        <f>_xlfn.IFERROR(DJ259/DJ155*1000,0)</f>
        <v>0</v>
      </c>
      <c r="DK274" s="500">
        <f>_xlfn.IFERROR(DK259/DK155*1000,0)</f>
        <v>0</v>
      </c>
      <c r="DL274" s="500">
        <f>_xlfn.IFERROR(DL259/DL155*1000,0)</f>
        <v>0</v>
      </c>
      <c r="DM274" s="500">
        <f>_xlfn.IFERROR(DM259/DM155*1000,0)</f>
        <v>0</v>
      </c>
      <c r="DN274" s="500">
        <f>_xlfn.IFERROR(DN259/DN155*1000,0)</f>
        <v>0</v>
      </c>
      <c r="DO274" s="500">
        <f>_xlfn.IFERROR(DO259/DO155*1000,0)</f>
        <v>0</v>
      </c>
      <c r="DP274" s="500">
        <f>_xlfn.IFERROR(DP259/DP155*1000,0)</f>
        <v>0</v>
      </c>
      <c r="DQ274" s="500">
        <f>_xlfn.IFERROR(DQ259/DQ155*1000,0)</f>
        <v>0</v>
      </c>
      <c r="DR274" s="500">
        <f>_xlfn.IFERROR(DR259/DR155*1000,0)</f>
        <v>0</v>
      </c>
      <c r="DS274" s="500">
        <f>_xlfn.IFERROR(DS259/DS155*1000,0)</f>
        <v>0</v>
      </c>
      <c r="DT274" s="500">
        <f>_xlfn.IFERROR(DT259/DT155*1000,0)</f>
        <v>0</v>
      </c>
      <c r="DU274" s="500">
        <f>_xlfn.IFERROR(DU259/DU155*1000,0)</f>
        <v>0</v>
      </c>
      <c r="DV274" s="500">
        <f>_xlfn.IFERROR(DV259/DV155*1000,0)</f>
        <v>0</v>
      </c>
      <c r="DW274" s="500">
        <f>_xlfn.IFERROR(DW259/DW155*1000,0)</f>
        <v>0</v>
      </c>
      <c r="DX274" s="500">
        <f>_xlfn.IFERROR(DX259/DX155*1000,0)</f>
        <v>0</v>
      </c>
      <c r="DY274" s="500">
        <f>_xlfn.IFERROR(DY259/DY155*1000,0)</f>
        <v>0</v>
      </c>
      <c r="DZ274" s="500">
        <f>_xlfn.IFERROR(DZ259/DZ155*1000,0)</f>
        <v>0</v>
      </c>
      <c r="EA274" s="500">
        <f>_xlfn.IFERROR(EA259/EA155*1000,0)</f>
        <v>0</v>
      </c>
      <c r="EB274" s="500">
        <f>_xlfn.IFERROR(EB259/EB155*1000,0)</f>
        <v>0</v>
      </c>
      <c r="EC274" s="500">
        <f>_xlfn.IFERROR(EC259/EC155*1000,0)</f>
        <v>0</v>
      </c>
      <c r="ED274" s="500">
        <f>_xlfn.IFERROR(ED259/ED155*1000,0)</f>
        <v>0</v>
      </c>
      <c r="EE274" s="500">
        <f>_xlfn.IFERROR(EE259/EE155*1000,0)</f>
        <v>0</v>
      </c>
      <c r="EF274" s="500">
        <f>_xlfn.IFERROR(EF259/EF155*1000,0)</f>
        <v>0</v>
      </c>
      <c r="EG274" s="500">
        <f>_xlfn.IFERROR(EG259/EG155*1000,0)</f>
        <v>0</v>
      </c>
      <c r="EH274" s="500">
        <f>_xlfn.IFERROR(EH259/EH155*1000,0)</f>
        <v>0</v>
      </c>
      <c r="EI274" s="500">
        <f>_xlfn.IFERROR(EI259/EI155*1000,0)</f>
        <v>0</v>
      </c>
      <c r="EJ274" s="500">
        <f>_xlfn.IFERROR(EJ259/EJ155*1000,0)</f>
        <v>0</v>
      </c>
      <c r="EK274" s="500">
        <f>_xlfn.IFERROR(EK259/EK155*1000,0)</f>
        <v>0</v>
      </c>
      <c r="EL274" s="500">
        <f>_xlfn.IFERROR(EL259/EL155*1000,0)</f>
        <v>0</v>
      </c>
      <c r="EM274" s="500">
        <f>_xlfn.IFERROR(EM259/EM155*1000,0)</f>
        <v>0</v>
      </c>
      <c r="EN274" s="500">
        <f>_xlfn.IFERROR(EN259/EN155*1000,0)</f>
        <v>0</v>
      </c>
      <c r="EO274" s="500">
        <f>_xlfn.IFERROR(EO259/EO155*1000,0)</f>
        <v>0</v>
      </c>
      <c r="EP274" s="500">
        <f>_xlfn.IFERROR(EP259/EP155*1000,0)</f>
        <v>0</v>
      </c>
      <c r="EQ274" s="500">
        <f>_xlfn.IFERROR(EQ259/EQ155*1000,0)</f>
        <v>0</v>
      </c>
      <c r="ER274" s="500">
        <f>_xlfn.IFERROR(ER259/ER155*1000,0)</f>
        <v>0</v>
      </c>
      <c r="ES274" s="500">
        <f>_xlfn.IFERROR(ES259/ES155*1000,0)</f>
        <v>0</v>
      </c>
      <c r="ET274" s="500">
        <f>_xlfn.IFERROR(ET259/ET155*1000,0)</f>
        <v>0</v>
      </c>
      <c r="EU274" s="500">
        <f>_xlfn.IFERROR(EU259/EU155*1000,0)</f>
        <v>0</v>
      </c>
      <c r="EV274" s="500">
        <f>_xlfn.IFERROR(EV259/EV155*1000,0)</f>
        <v>0</v>
      </c>
      <c r="EW274" s="500">
        <f>_xlfn.IFERROR(EW259/EW155*1000,0)</f>
        <v>0</v>
      </c>
      <c r="EX274" s="500">
        <f>_xlfn.IFERROR(EX259/EX155*1000,0)</f>
        <v>0</v>
      </c>
      <c r="EY274" s="500">
        <f>_xlfn.IFERROR(EY259/EY155*1000,0)</f>
        <v>0</v>
      </c>
      <c r="EZ274" s="500">
        <f>_xlfn.IFERROR(EZ259/EZ155*1000,0)</f>
        <v>0</v>
      </c>
      <c r="FA274" s="500">
        <f>_xlfn.IFERROR(FA259/FA155*1000,0)</f>
        <v>0</v>
      </c>
      <c r="FB274" s="1897"/>
      <c r="FC274" s="1751"/>
      <c r="FD274" s="1506"/>
      <c r="FE274" s="489" t="s">
        <v>1006</v>
      </c>
      <c r="FF274" s="648"/>
      <c r="FG274" s="648"/>
      <c r="FH274" s="648"/>
      <c r="FI274" s="649"/>
      <c r="FJ274" s="649"/>
      <c r="FK274" s="1157" cm="1" t="str">
        <f t="array" ref="FK274:FK274">OFFSET(FJ274,-1,1)</f>
        <v>ТЭ.42.31656254.0001</v>
      </c>
      <c r="FL274" s="1159"/>
      <c r="FM274" s="1159"/>
      <c r="FN274" s="1159"/>
      <c r="FO274" s="1159"/>
      <c r="FP274" s="1159"/>
      <c r="FQ274" s="1159"/>
      <c r="FR274" s="1159"/>
      <c r="FS274" s="1159"/>
      <c r="FT274" s="1159"/>
      <c r="FU274" s="1159"/>
      <c r="FV274" s="1078" t="s">
        <v>883</v>
      </c>
      <c r="FW274" s="1159"/>
      <c r="FX274" s="1078" t="s">
        <v>303</v>
      </c>
      <c r="FY274" s="1078" t="s">
        <v>1007</v>
      </c>
      <c r="FZ274" s="1078" t="s">
        <v>1008</v>
      </c>
    </row>
    <row customHeight="1" ht="10.725000000000001">
      <c r="E275" s="180">
        <v>11</v>
      </c>
      <c r="F275" s="175" cm="1" t="str">
        <f t="array" ref="F275:F275">OFFSET(G275,-1,-1)</f>
        <v>1</v>
      </c>
      <c r="V275" s="175" t="s">
        <v>191</v>
      </c>
      <c r="W275" s="176" t="s">
        <v>1035</v>
      </c>
      <c r="AO275" s="1751"/>
      <c r="AP275" s="1751"/>
      <c r="AQ275" s="1751"/>
      <c r="AR275" s="1751"/>
      <c r="AS275" s="1751"/>
      <c r="AT275" s="1751"/>
      <c r="AU275" s="1751"/>
      <c r="AV275" s="1751"/>
      <c r="AW275" s="1751"/>
      <c r="AX275" s="1751"/>
      <c r="AY275" s="1751"/>
      <c r="AZ275" s="1751"/>
      <c r="BA275" s="1751"/>
      <c r="BB275" s="1751"/>
      <c r="BC275" s="1751"/>
      <c r="BD275" s="1751"/>
      <c r="BE275" s="1751"/>
      <c r="BF275" s="1751"/>
      <c r="BG275" s="1751"/>
      <c r="BH275" s="1751"/>
      <c r="BI275" s="1751"/>
      <c r="BJ275" s="1751"/>
      <c r="BK275" s="1751"/>
      <c r="BL275" s="1751"/>
      <c r="BM275" s="1751"/>
      <c r="BN275" s="1751"/>
      <c r="BO275" s="1751"/>
      <c r="BP275" s="1751"/>
      <c r="BQ275" s="1751"/>
      <c r="BR275" s="1751"/>
      <c r="BS275" s="1751"/>
      <c r="BT275" s="1751"/>
      <c r="BU275" s="1751"/>
      <c r="BV275" s="1751"/>
      <c r="BW275" s="1751"/>
      <c r="BX275" s="1751"/>
      <c r="BY275" s="1751"/>
      <c r="BZ275" s="1751"/>
      <c r="CA275" s="1751"/>
      <c r="CB275" s="1751"/>
      <c r="CC275" s="1751"/>
      <c r="CD275" s="1751"/>
      <c r="CE275" s="1751"/>
      <c r="CF275" s="1751"/>
      <c r="CG275" s="1751"/>
      <c r="CH275" s="1751"/>
      <c r="CI275" s="1751"/>
      <c r="CJ275" s="1751"/>
      <c r="CK275" s="1751"/>
      <c r="CL275" s="1751"/>
      <c r="CM275" s="1751"/>
      <c r="CN275" s="1751"/>
      <c r="CO275" s="1751"/>
      <c r="CP275" s="1751"/>
      <c r="CQ275" s="1751"/>
      <c r="CR275" s="1751"/>
      <c r="CS275" s="1751"/>
      <c r="CT275" s="1751"/>
      <c r="CU275" s="1751"/>
      <c r="CV275" s="1751"/>
      <c r="CW275" s="1751"/>
      <c r="CX275" s="1751"/>
      <c r="CY275" s="1751"/>
      <c r="CZ275" s="1751"/>
      <c r="DA275" s="1751"/>
      <c r="DB275" s="1751"/>
      <c r="DC275" s="1751"/>
      <c r="DD275" s="1751"/>
      <c r="DE275" s="1751"/>
      <c r="DF275" s="1751"/>
      <c r="DG275" s="1751"/>
      <c r="DH275" s="1751"/>
      <c r="DI275" s="1751"/>
      <c r="DJ275" s="1751"/>
      <c r="DK275" s="1751"/>
      <c r="DL275" s="1751"/>
      <c r="DM275" s="1751"/>
      <c r="DN275" s="1751"/>
      <c r="DO275" s="1751"/>
      <c r="DP275" s="1751"/>
      <c r="DQ275" s="1751"/>
      <c r="DR275" s="1751"/>
      <c r="DS275" s="1751"/>
      <c r="DT275" s="1751"/>
      <c r="DU275" s="1751"/>
      <c r="DV275" s="1751"/>
      <c r="DW275" s="1751"/>
      <c r="DX275" s="1751"/>
      <c r="DY275" s="1751"/>
      <c r="DZ275" s="1751"/>
      <c r="EA275" s="1751"/>
      <c r="EB275" s="1751"/>
      <c r="EC275" s="1751"/>
      <c r="ED275" s="1751"/>
      <c r="EE275" s="1751"/>
      <c r="EF275" s="1751"/>
      <c r="EG275" s="1751"/>
      <c r="EH275" s="1751"/>
      <c r="EI275" s="1751"/>
      <c r="EJ275" s="1751"/>
      <c r="EK275" s="1751"/>
      <c r="EL275" s="1751"/>
      <c r="EM275" s="1751"/>
      <c r="EN275" s="1751"/>
      <c r="EO275" s="1751"/>
      <c r="EP275" s="1751"/>
      <c r="EQ275" s="1751"/>
      <c r="ER275" s="1751"/>
      <c r="ES275" s="1751"/>
      <c r="ET275" s="1751"/>
      <c r="EU275" s="1751"/>
      <c r="EV275" s="1751"/>
      <c r="EW275" s="1751"/>
      <c r="EX275" s="1751"/>
      <c r="EY275" s="1751"/>
      <c r="EZ275" s="1751"/>
      <c r="FA275" s="1751"/>
      <c r="FC275" s="0"/>
    </row>
  </sheetData>
  <sheetProtection insertRows="0" deleteColumns="0" deleteRows="0" sort="0" autoFilter="0" insertColumns="1"/>
  <mergeCells count="144">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FB24:FB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AE105:AF105"/>
    <mergeCell ref="AE108:AF108"/>
    <mergeCell ref="AE111:AF111"/>
    <mergeCell ref="AE112:AF112"/>
    <mergeCell ref="AE79:AF79"/>
    <mergeCell ref="AE95:AF95"/>
    <mergeCell ref="AE98:AF98"/>
    <mergeCell ref="AE99:AF99"/>
    <mergeCell ref="AE102:AF102"/>
    <mergeCell ref="AB24:AD26"/>
    <mergeCell ref="AE76:AF76"/>
    <mergeCell ref="AE52:AF52"/>
    <mergeCell ref="AE41:AF41"/>
    <mergeCell ref="AE34:AF34"/>
    <mergeCell ref="AE35:AF35"/>
    <mergeCell ref="AE36:AF36"/>
    <mergeCell ref="AE37:AF37"/>
    <mergeCell ref="AE38:AF38"/>
    <mergeCell ref="AE40:AF40"/>
    <mergeCell ref="AE51:AF51"/>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B118:AB124"/>
    <mergeCell ref="AB105:AB117"/>
    <mergeCell ref="AB50:AB65"/>
    <mergeCell ref="AB66:AB78"/>
    <mergeCell ref="AB79:AB91"/>
    <mergeCell ref="AB92:AB104"/>
    <mergeCell ref="Y139:Y274"/>
    <mergeCell ref="Z139:Z274"/>
    <mergeCell ref="AB140:AB160"/>
    <mergeCell ref="AE249:AF249"/>
    <mergeCell ref="AE250:AF250"/>
    <mergeCell ref="AE254:AF254"/>
    <mergeCell ref="AE206:AF206"/>
    <mergeCell ref="AE207:AF207"/>
    <mergeCell ref="AE202:AF202"/>
    <mergeCell ref="AE211:AF211"/>
    <mergeCell ref="AE160:AF160"/>
    <mergeCell ref="AE161:AF161"/>
    <mergeCell ref="AE165:AF165"/>
    <mergeCell ref="AE169:AF169"/>
    <mergeCell ref="AE181:AF181"/>
    <mergeCell ref="AB258:AB274"/>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232:AF232"/>
    <mergeCell ref="AE236:AF236"/>
    <mergeCell ref="AE240:AF240"/>
    <mergeCell ref="AE241:AF241"/>
    <mergeCell ref="AE198:AF198"/>
    <mergeCell ref="AE219:AF219"/>
    <mergeCell ref="AE223:AF223"/>
    <mergeCell ref="AE224:AF224"/>
    <mergeCell ref="AE228:AF228"/>
    <mergeCell ref="AE194:AF194"/>
    <mergeCell ref="AE163:AF163"/>
    <mergeCell ref="AE152:AF152"/>
    <mergeCell ref="AE145:AF145"/>
    <mergeCell ref="AE146:AF146"/>
    <mergeCell ref="AE147:AF147"/>
    <mergeCell ref="AE148:AF148"/>
    <mergeCell ref="AE149:AF149"/>
    <mergeCell ref="AE151:AF151"/>
    <mergeCell ref="AE162:AF162"/>
    <mergeCell ref="AE274:AF274"/>
    <mergeCell ref="AE164:AF164"/>
    <mergeCell ref="AE270:AF270"/>
    <mergeCell ref="AE265:AF265"/>
    <mergeCell ref="AE266:AF266"/>
    <mergeCell ref="AE258:AF258"/>
    <mergeCell ref="AE259:AF259"/>
    <mergeCell ref="AE260:AF260"/>
    <mergeCell ref="AE261:AF261"/>
    <mergeCell ref="AE177:AF177"/>
    <mergeCell ref="AE173:AF173"/>
    <mergeCell ref="AE189:AF189"/>
    <mergeCell ref="AE190:AF190"/>
    <mergeCell ref="AE185:AF185"/>
    <mergeCell ref="AE245:AF245"/>
    <mergeCell ref="AE215:AF215"/>
    <mergeCell ref="AB249:AB257"/>
    <mergeCell ref="AB232:AB248"/>
    <mergeCell ref="AB161:AB180"/>
    <mergeCell ref="AB181:AB197"/>
    <mergeCell ref="AB198:AB214"/>
    <mergeCell ref="AB215:AB231"/>
  </mergeCells>
  <dataValidations count="1">
    <dataValidation type="list" allowBlank="1" showInputMessage="1" showErrorMessage="1" sqref="AE55 AE166:AE167">
      <formula1>fuel_list</formula1>
    </dataValidation>
  </dataValidations>
  <pageMargins left="0.25" right="0.25" top="0.75" bottom="0.75" header="0.30" footer="0.30"/>
  <pageSetup paperSize="8" scale="1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1AA348-6848-A278-F2A3-115AB4BEC5E8}" mc:Ignorable="x14ac xr xr2 xr3">
  <sheetPr>
    <tabColor rgb="FFFFC000"/>
    <outlinePr summaryRight="0" summaryBelow="0"/>
    <pageSetUpPr fitToPage="1"/>
  </sheetPr>
  <dimension ref="A1:CU127"/>
  <sheetViews>
    <sheetView showGridLines="0" workbookViewId="0">
      <pane xSplit="31" ySplit="26" topLeftCell="AF68" activePane="bottomRight" state="frozen"/>
      <selection pane="bottomLeft" activeCell="A27" sqref="A27"/>
      <selection pane="topRight" activeCell="AF1" sqref="AF1"/>
      <selection pane="bottomRight" activeCell="AI79" sqref="AI79"/>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7" style="1659" width="3.57421875" hidden="1" customWidth="1"/>
    <col min="8" max="8" style="1659" width="8.421875" hidden="1" customWidth="1"/>
    <col min="9" max="11" style="1659" width="3.57421875" hidden="1" customWidth="1"/>
    <col min="12" max="12" style="1659" width="12.140625" hidden="1" customWidth="1"/>
    <col min="13" max="17" style="1659" width="3.57421875" hidden="1" customWidth="1"/>
    <col min="18" max="18" style="1659" width="12.7109375" hidden="1" customWidth="1"/>
    <col min="19" max="19" style="1659" width="3.57421875" hidden="1" customWidth="1"/>
    <col min="20" max="20" style="1548" width="8.281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86" width="12.00390625" customWidth="1"/>
    <col min="29" max="29" style="286" width="54.00390625" customWidth="1"/>
    <col min="30" max="30" style="286" width="30.00390625" customWidth="1"/>
    <col min="31" max="36" style="286" width="13.00390625" customWidth="1"/>
    <col min="37" max="55" style="286" width="13.00390625" hidden="1" customWidth="1"/>
    <col min="56" max="56" style="286" width="13.00390625" customWidth="1"/>
    <col min="57" max="75" style="286" width="13.00390625" hidden="1" customWidth="1"/>
    <col min="76" max="76" style="286" width="20.00390625" customWidth="1"/>
    <col min="77" max="77" style="286" width="3.00390625" customWidth="1"/>
    <col min="78" max="78" style="1659" width="9.140625" hidden="1"/>
    <col min="79" max="79" style="1125" width="17.421875" hidden="1" customWidth="1"/>
    <col min="80" max="80" style="1125" width="14.421875" hidden="1" customWidth="1"/>
    <col min="81" max="81" style="1125" width="9.140625" hidden="1"/>
    <col min="82" max="82" style="1125" width="13.28125" hidden="1" customWidth="1"/>
    <col min="83" max="84" style="1126" width="9.140625" hidden="1"/>
    <col min="85" max="85" style="1506" width="9.140625" hidden="1"/>
    <col min="86" max="99" width="9.140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C1" s="753" t="s">
        <v>92</v>
      </c>
      <c r="AD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W1" s="1548"/>
      <c r="CA1" s="489" t="s">
        <v>336</v>
      </c>
      <c r="CB1" s="489" t="s">
        <v>337</v>
      </c>
      <c r="CC1" s="489" t="s">
        <v>338</v>
      </c>
      <c r="CD1" s="489" t="s">
        <v>788</v>
      </c>
      <c r="CE1" s="546" t="s">
        <v>341</v>
      </c>
      <c r="CF1" s="546" t="s">
        <v>342</v>
      </c>
      <c r="CH1" s="0" t="s">
        <v>94</v>
      </c>
      <c r="CI1" s="0" t="s">
        <v>789</v>
      </c>
      <c r="CJ1" s="0" t="s">
        <v>1036</v>
      </c>
      <c r="CK1" s="0" t="s">
        <v>487</v>
      </c>
      <c r="CL1" s="0" t="s">
        <v>1037</v>
      </c>
      <c r="CM1" s="0" t="s">
        <v>110</v>
      </c>
      <c r="CN1" s="0" t="s">
        <v>111</v>
      </c>
      <c r="CO1" s="0" t="s">
        <v>112</v>
      </c>
      <c r="CP1" s="0" t="s">
        <v>113</v>
      </c>
      <c r="CQ1" s="0" t="s">
        <v>114</v>
      </c>
      <c r="CR1" s="0"/>
      <c r="CS1" s="0"/>
      <c r="CT1" s="0"/>
      <c r="CU1" s="0"/>
    </row>
    <row s="1548" customFormat="1" customHeight="1" ht="11.25" hidden="1">
      <c r="A2" s="371"/>
      <c r="B2" s="179" t="s">
        <v>16</v>
      </c>
      <c r="G2" s="193"/>
      <c r="H2" s="193"/>
      <c r="I2" s="193"/>
      <c r="J2" s="193"/>
      <c r="K2" s="193"/>
      <c r="L2" s="193"/>
      <c r="M2" s="193"/>
      <c r="N2" s="193"/>
      <c r="O2" s="193"/>
      <c r="P2" s="193"/>
      <c r="Q2" s="193"/>
      <c r="R2" s="193"/>
      <c r="S2" s="193"/>
      <c r="AD2" s="179">
        <f>_xlfn.COUNTIFS(Y27:Y112,"&lt;&gt;",Y27:Y112,"&lt;&gt;0")&gt;0</f>
        <v>1</v>
      </c>
      <c r="AG2" s="179" cm="1" t="str">
        <f t="array" ref="AG2:AG2">isOrgDeclare</f>
        <v>true</v>
      </c>
      <c r="AJ2" s="179">
        <f>AND(AJ9&lt;=last_year_vis,isOrgDeclare)</f>
        <v>1</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AND(BC9&lt;=last_year_vis,isOrgDeclare)</f>
        <v>0</v>
      </c>
      <c r="BD2" s="179">
        <f>BD9&lt;=last_year_vis</f>
        <v>1</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W2" s="179">
        <f>BW9&lt;=last_year_vis</f>
        <v>0</v>
      </c>
      <c r="CA2" s="489"/>
      <c r="CB2" s="489"/>
      <c r="CC2" s="489"/>
      <c r="CD2" s="489"/>
      <c r="CE2" s="546"/>
      <c r="CF2" s="546"/>
      <c r="CH2" s="0"/>
      <c r="CI2" s="0"/>
      <c r="CJ2" s="0"/>
      <c r="CK2" s="0"/>
      <c r="CL2" s="0"/>
      <c r="CM2" s="0"/>
      <c r="CN2" s="0"/>
      <c r="CO2" s="0"/>
      <c r="CP2" s="0"/>
      <c r="CQ2" s="0"/>
      <c r="CR2" s="0"/>
      <c r="CS2" s="0"/>
      <c r="CT2" s="0"/>
      <c r="CU2" s="0"/>
    </row>
    <row s="1548" customFormat="1" customHeight="1" ht="11.25" hidden="1">
      <c r="A3" s="371"/>
      <c r="G3" s="193"/>
      <c r="H3" s="193"/>
      <c r="I3" s="193"/>
      <c r="J3" s="193"/>
      <c r="K3" s="193"/>
      <c r="L3" s="193"/>
      <c r="M3" s="193"/>
      <c r="N3" s="193"/>
      <c r="O3" s="193"/>
      <c r="P3" s="193"/>
      <c r="Q3" s="193"/>
      <c r="R3" s="193"/>
      <c r="S3" s="193"/>
      <c r="AD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W3" s="1548"/>
      <c r="CA3" s="489"/>
      <c r="CB3" s="489"/>
      <c r="CC3" s="489"/>
      <c r="CD3" s="489"/>
      <c r="CE3" s="546"/>
      <c r="CF3" s="546"/>
      <c r="CH3" s="0"/>
      <c r="CI3" s="0"/>
      <c r="CJ3" s="0"/>
      <c r="CK3" s="0"/>
      <c r="CL3" s="0"/>
      <c r="CM3" s="0"/>
      <c r="CN3" s="0"/>
      <c r="CO3" s="0"/>
      <c r="CP3" s="0"/>
      <c r="CQ3" s="0"/>
      <c r="CR3" s="0"/>
      <c r="CS3" s="0"/>
      <c r="CT3" s="0"/>
      <c r="CU3" s="0"/>
    </row>
    <row s="1548" customFormat="1" customHeight="1" ht="11.25" hidden="1">
      <c r="A4" s="371"/>
      <c r="G4" s="193"/>
      <c r="H4" s="193"/>
      <c r="I4" s="193"/>
      <c r="J4" s="193"/>
      <c r="K4" s="193"/>
      <c r="L4" s="193"/>
      <c r="M4" s="193"/>
      <c r="N4" s="193"/>
      <c r="O4" s="193"/>
      <c r="P4" s="193"/>
      <c r="Q4" s="193"/>
      <c r="R4" s="193"/>
      <c r="S4" s="193"/>
      <c r="AD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W4" s="1548"/>
      <c r="CA4" s="489"/>
      <c r="CB4" s="489"/>
      <c r="CC4" s="489"/>
      <c r="CD4" s="489"/>
      <c r="CE4" s="546"/>
      <c r="CF4" s="546"/>
      <c r="CH4" s="0"/>
      <c r="CI4" s="0"/>
      <c r="CJ4" s="0"/>
      <c r="CK4" s="0"/>
      <c r="CL4" s="0"/>
      <c r="CM4" s="0"/>
      <c r="CN4" s="0"/>
      <c r="CO4" s="0"/>
      <c r="CP4" s="0"/>
      <c r="CQ4" s="0"/>
      <c r="CR4" s="0"/>
      <c r="CS4" s="0"/>
      <c r="CT4" s="0"/>
      <c r="CU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12</v>
      </c>
      <c r="AC5" s="180">
        <v>54</v>
      </c>
      <c r="AD5" s="180">
        <v>30</v>
      </c>
      <c r="AE5" s="180">
        <v>13</v>
      </c>
      <c r="AF5" s="180">
        <v>13</v>
      </c>
      <c r="AG5" s="180">
        <v>13</v>
      </c>
      <c r="AH5" s="180">
        <v>13</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180">
        <v>13</v>
      </c>
      <c r="BX5" s="180">
        <v>20</v>
      </c>
      <c r="BY5" s="180">
        <v>3</v>
      </c>
      <c r="CA5" s="489"/>
      <c r="CB5" s="489"/>
      <c r="CC5" s="489"/>
      <c r="CD5" s="489"/>
      <c r="CE5" s="546"/>
      <c r="CF5" s="546"/>
      <c r="CH5" s="1729"/>
      <c r="CI5" s="1729"/>
      <c r="CJ5" s="1729"/>
      <c r="CK5" s="1729"/>
      <c r="CL5" s="1729"/>
      <c r="CM5" s="1729"/>
      <c r="CN5" s="1729"/>
      <c r="CO5" s="1729"/>
      <c r="CP5" s="1729"/>
      <c r="CQ5" s="1729"/>
      <c r="CR5" s="1729"/>
      <c r="CS5" s="1729"/>
      <c r="CT5" s="1729"/>
      <c r="CU5" s="1729"/>
    </row>
    <row s="1548" customFormat="1" customHeight="1" ht="11.25" hidden="1">
      <c r="A6" s="371"/>
      <c r="E6" s="180"/>
      <c r="G6" s="193"/>
      <c r="H6" s="193"/>
      <c r="I6" s="193"/>
      <c r="J6" s="193"/>
      <c r="K6" s="193"/>
      <c r="L6" s="193"/>
      <c r="M6" s="193"/>
      <c r="N6" s="193"/>
      <c r="O6" s="193"/>
      <c r="P6" s="193"/>
      <c r="Q6" s="193"/>
      <c r="R6" s="193"/>
      <c r="S6" s="193"/>
      <c r="AD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W6" s="1548"/>
      <c r="CA6" s="489"/>
      <c r="CB6" s="489"/>
      <c r="CC6" s="489"/>
      <c r="CD6" s="489"/>
      <c r="CE6" s="546"/>
      <c r="CF6" s="546"/>
      <c r="CH6" s="0"/>
      <c r="CI6" s="0"/>
      <c r="CJ6" s="0"/>
      <c r="CK6" s="0"/>
      <c r="CL6" s="0"/>
      <c r="CM6" s="0"/>
      <c r="CN6" s="0"/>
      <c r="CO6" s="0"/>
      <c r="CP6" s="0"/>
      <c r="CQ6" s="0"/>
      <c r="CR6" s="0"/>
      <c r="CS6" s="0"/>
      <c r="CT6" s="0"/>
      <c r="CU6" s="0"/>
    </row>
    <row customHeight="1" ht="11.25" hidden="1">
      <c r="F7" s="193"/>
      <c r="T7" s="193"/>
      <c r="U7" s="193"/>
      <c r="V7" s="193"/>
      <c r="W7" s="193"/>
      <c r="X7" s="193"/>
      <c r="Y7" s="193"/>
      <c r="Z7" s="193"/>
      <c r="AA7" s="193"/>
      <c r="AB7" s="193"/>
      <c r="AC7" s="193"/>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193"/>
      <c r="BX7" s="193"/>
      <c r="BY7" s="193"/>
    </row>
    <row customHeight="1" ht="11.25" hidden="1">
      <c r="F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93"/>
      <c r="BQ8" s="193"/>
      <c r="BR8" s="193"/>
      <c r="BS8" s="193"/>
      <c r="BT8" s="193"/>
      <c r="BU8" s="193"/>
      <c r="BV8" s="193"/>
      <c r="BW8" s="193"/>
      <c r="BX8" s="193"/>
      <c r="BY8" s="193"/>
    </row>
    <row s="1143" customFormat="1" customHeight="1" ht="11.25" hidden="1">
      <c r="A9" s="309" t="s">
        <v>403</v>
      </c>
      <c r="AD9" s="1143"/>
      <c r="AF9" s="312">
        <f>god-2</f>
        <v>2025</v>
      </c>
      <c r="AG9" s="312">
        <f>god-2</f>
        <v>2025</v>
      </c>
      <c r="AH9" s="312">
        <f>god-2</f>
        <v>2025</v>
      </c>
      <c r="AI9" s="312">
        <f>god-1</f>
        <v>2026</v>
      </c>
      <c r="AJ9" s="312" cm="1" t="str">
        <f t="array" ref="AJ9:AJ9">god</f>
        <v>2027</v>
      </c>
      <c r="AK9" s="312">
        <f>god+1</f>
        <v>2028</v>
      </c>
      <c r="AL9" s="312">
        <f>god+2</f>
        <v>2029</v>
      </c>
      <c r="AM9" s="312">
        <f>god+3</f>
        <v>2030</v>
      </c>
      <c r="AN9" s="312">
        <f>god+4</f>
        <v>2031</v>
      </c>
      <c r="AO9" s="312">
        <f>god+5</f>
        <v>2032</v>
      </c>
      <c r="AP9" s="312">
        <f>god+6</f>
        <v>2033</v>
      </c>
      <c r="AQ9" s="312">
        <f>god+7</f>
        <v>2034</v>
      </c>
      <c r="AR9" s="312">
        <f>god+8</f>
        <v>2035</v>
      </c>
      <c r="AS9" s="312">
        <f>god+9</f>
        <v>2036</v>
      </c>
      <c r="AT9" s="312">
        <f>god+10</f>
        <v>2037</v>
      </c>
      <c r="AU9" s="312">
        <f>god+11</f>
        <v>2038</v>
      </c>
      <c r="AV9" s="312">
        <f>god+12</f>
        <v>2039</v>
      </c>
      <c r="AW9" s="312">
        <f>god+13</f>
        <v>2040</v>
      </c>
      <c r="AX9" s="312">
        <f>god+14</f>
        <v>2041</v>
      </c>
      <c r="AY9" s="312">
        <f>god+15</f>
        <v>2042</v>
      </c>
      <c r="AZ9" s="312">
        <f>god+16</f>
        <v>2043</v>
      </c>
      <c r="BA9" s="312">
        <f>god+17</f>
        <v>2044</v>
      </c>
      <c r="BB9" s="312">
        <f>god+18</f>
        <v>2045</v>
      </c>
      <c r="BC9" s="312">
        <f>god+19</f>
        <v>2046</v>
      </c>
      <c r="BD9" s="312" cm="1" t="str">
        <f t="array" ref="BD9:BD9">god</f>
        <v>2027</v>
      </c>
      <c r="BE9" s="312">
        <f>god+1</f>
        <v>2028</v>
      </c>
      <c r="BF9" s="312">
        <f>god+2</f>
        <v>2029</v>
      </c>
      <c r="BG9" s="312">
        <f>god+3</f>
        <v>2030</v>
      </c>
      <c r="BH9" s="312">
        <f>god+4</f>
        <v>2031</v>
      </c>
      <c r="BI9" s="312">
        <f>god+5</f>
        <v>2032</v>
      </c>
      <c r="BJ9" s="312">
        <f>god+6</f>
        <v>2033</v>
      </c>
      <c r="BK9" s="312">
        <f>god+7</f>
        <v>2034</v>
      </c>
      <c r="BL9" s="312">
        <f>god+8</f>
        <v>2035</v>
      </c>
      <c r="BM9" s="312">
        <f>god+9</f>
        <v>2036</v>
      </c>
      <c r="BN9" s="312">
        <f>god+10</f>
        <v>2037</v>
      </c>
      <c r="BO9" s="312">
        <f>god+11</f>
        <v>2038</v>
      </c>
      <c r="BP9" s="312">
        <f>god+12</f>
        <v>2039</v>
      </c>
      <c r="BQ9" s="312">
        <f>god+13</f>
        <v>2040</v>
      </c>
      <c r="BR9" s="312">
        <f>god+14</f>
        <v>2041</v>
      </c>
      <c r="BS9" s="312">
        <f>god+15</f>
        <v>2042</v>
      </c>
      <c r="BT9" s="312">
        <f>god+16</f>
        <v>2043</v>
      </c>
      <c r="BU9" s="312">
        <f>god+17</f>
        <v>2044</v>
      </c>
      <c r="BV9" s="312">
        <f>god+18</f>
        <v>2045</v>
      </c>
      <c r="BW9" s="312">
        <f>god+19</f>
        <v>2046</v>
      </c>
      <c r="CA9" s="489"/>
      <c r="CB9" s="489"/>
      <c r="CC9" s="489"/>
      <c r="CD9" s="489"/>
      <c r="CE9" s="489"/>
      <c r="CF9" s="489"/>
      <c r="CH9" s="1730"/>
      <c r="CI9" s="1730"/>
      <c r="CJ9" s="1730"/>
      <c r="CK9" s="1730"/>
      <c r="CL9" s="1730"/>
      <c r="CM9" s="1730"/>
      <c r="CN9" s="1730"/>
      <c r="CO9" s="1730"/>
      <c r="CP9" s="1730"/>
      <c r="CQ9" s="1730"/>
      <c r="CR9" s="1730"/>
      <c r="CS9" s="1730"/>
      <c r="CT9" s="1730"/>
      <c r="CU9" s="1730"/>
    </row>
    <row s="1143" customFormat="1" customHeight="1" ht="11.25" hidden="1">
      <c r="A10" s="309" t="s">
        <v>404</v>
      </c>
      <c r="AD10" s="1143"/>
      <c r="AF10" s="312" cm="1" t="str">
        <f t="array" ref="AF10:AF10">AF25</f>
        <v>Принято органом регулирования</v>
      </c>
      <c r="AG10" s="312" cm="1" t="str">
        <f t="array" ref="AG10:AG10">AG25</f>
        <v>Факт по данным организации</v>
      </c>
      <c r="AH10" s="312" cm="1" t="str">
        <f t="array" ref="AH10:AH10">AH25</f>
        <v>Факт, принятый органом регулирования</v>
      </c>
      <c r="AI10" s="312" cm="1" t="str">
        <f t="array" ref="AI10:AI10">AI25</f>
        <v>Принято органом регулирования</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Предложение организации</v>
      </c>
      <c r="AZ10" s="312" cm="1" t="str">
        <f t="array" ref="AZ10:AZ10">AZ25</f>
        <v>Предложение организации</v>
      </c>
      <c r="BA10" s="312" cm="1" t="str">
        <f t="array" ref="BA10:BA10">BA25</f>
        <v>Предложение организации</v>
      </c>
      <c r="BB10" s="312" cm="1" t="str">
        <f t="array" ref="BB10:BB10">BB25</f>
        <v>Предложение организации</v>
      </c>
      <c r="BC10" s="312" cm="1" t="str">
        <f t="array" ref="BC10:BC10">BC25</f>
        <v>Предложение организации</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S10" s="312" cm="1" t="str">
        <f t="array" ref="BS10:BS10">BS25</f>
        <v>Принято органом регулирования</v>
      </c>
      <c r="BT10" s="312" cm="1" t="str">
        <f t="array" ref="BT10:BT10">BT25</f>
        <v>Принято органом регулирования</v>
      </c>
      <c r="BU10" s="312" cm="1" t="str">
        <f t="array" ref="BU10:BU10">BU25</f>
        <v>Принято органом регулирования</v>
      </c>
      <c r="BV10" s="312" cm="1" t="str">
        <f t="array" ref="BV10:BV10">BV25</f>
        <v>Принято органом регулирования</v>
      </c>
      <c r="BW10" s="312" cm="1" t="str">
        <f t="array" ref="BW10:BW10">BW25</f>
        <v>Принято органом регулирования</v>
      </c>
      <c r="CA10" s="489"/>
      <c r="CB10" s="489"/>
      <c r="CC10" s="489"/>
      <c r="CD10" s="489"/>
      <c r="CE10" s="489"/>
      <c r="CF10" s="489"/>
      <c r="CH10" s="1730"/>
      <c r="CI10" s="1730"/>
      <c r="CJ10" s="1730"/>
      <c r="CK10" s="1730"/>
      <c r="CL10" s="1730"/>
      <c r="CM10" s="1730"/>
      <c r="CN10" s="1730"/>
      <c r="CO10" s="1730"/>
      <c r="CP10" s="1730"/>
      <c r="CQ10" s="1730"/>
      <c r="CR10" s="1730"/>
      <c r="CS10" s="1730"/>
      <c r="CT10" s="1730"/>
      <c r="CU10" s="1730"/>
    </row>
    <row s="1143" customFormat="1" customHeight="1" ht="11.25" hidden="1">
      <c r="A11" s="309" t="s">
        <v>405</v>
      </c>
      <c r="G11" s="483"/>
      <c r="H11" s="483"/>
      <c r="I11" s="483"/>
      <c r="J11" s="483"/>
      <c r="K11" s="483"/>
      <c r="L11" s="483"/>
      <c r="M11" s="483"/>
      <c r="N11" s="483"/>
      <c r="O11" s="483"/>
      <c r="P11" s="483"/>
      <c r="Q11" s="483"/>
      <c r="R11" s="483"/>
      <c r="S11" s="483"/>
      <c r="AD11" s="1143"/>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1143"/>
      <c r="BX11" s="312" cm="1" t="str">
        <f t="array" ref="BX11:BX11">BX24</f>
        <v>Ссылка на правовую норму (основание для принятия показателя в расчет тарифа)</v>
      </c>
      <c r="CA11" s="489"/>
      <c r="CB11" s="489"/>
      <c r="CC11" s="489"/>
      <c r="CD11" s="489"/>
      <c r="CE11" s="489"/>
      <c r="CF11" s="489"/>
      <c r="CH11" s="1730"/>
      <c r="CI11" s="1730"/>
      <c r="CJ11" s="1730"/>
      <c r="CK11" s="1730"/>
      <c r="CL11" s="1730"/>
      <c r="CM11" s="1730"/>
      <c r="CN11" s="1730"/>
      <c r="CO11" s="1730"/>
      <c r="CP11" s="1730"/>
      <c r="CQ11" s="1730"/>
      <c r="CR11" s="1730"/>
      <c r="CS11" s="1730"/>
      <c r="CT11" s="1730"/>
      <c r="CU11" s="1730"/>
    </row>
    <row s="1143" customFormat="1" customHeight="1" ht="11.25" hidden="1">
      <c r="A12" s="309" t="s">
        <v>350</v>
      </c>
      <c r="G12" s="483"/>
      <c r="H12" s="483"/>
      <c r="I12" s="483"/>
      <c r="J12" s="483"/>
      <c r="K12" s="483"/>
      <c r="L12" s="483"/>
      <c r="M12" s="483"/>
      <c r="N12" s="483"/>
      <c r="O12" s="483"/>
      <c r="P12" s="483"/>
      <c r="Q12" s="483"/>
      <c r="R12" s="483"/>
      <c r="S12" s="483"/>
      <c r="AC12" s="312" t="s">
        <v>338</v>
      </c>
      <c r="AD12" s="312" t="s">
        <v>788</v>
      </c>
      <c r="AJ12" s="1143"/>
      <c r="AK12" s="1143"/>
      <c r="AL12" s="1143"/>
      <c r="AM12" s="1143"/>
      <c r="AN12" s="1143"/>
      <c r="AO12" s="1143"/>
      <c r="AP12" s="1143"/>
      <c r="AQ12" s="1143"/>
      <c r="AR12" s="1143"/>
      <c r="AS12" s="1143"/>
      <c r="AT12" s="1143"/>
      <c r="AU12" s="1143"/>
      <c r="AV12" s="1143"/>
      <c r="AW12" s="1143"/>
      <c r="AX12" s="1143"/>
      <c r="AY12" s="1143"/>
      <c r="AZ12" s="1143"/>
      <c r="BA12" s="1143"/>
      <c r="BB12" s="1143"/>
      <c r="BC12" s="1143"/>
      <c r="BD12" s="1143"/>
      <c r="BE12" s="1143"/>
      <c r="BF12" s="1143"/>
      <c r="BG12" s="1143"/>
      <c r="BH12" s="1143"/>
      <c r="BI12" s="1143"/>
      <c r="BJ12" s="1143"/>
      <c r="BK12" s="1143"/>
      <c r="BL12" s="1143"/>
      <c r="BM12" s="1143"/>
      <c r="BN12" s="1143"/>
      <c r="BO12" s="1143"/>
      <c r="BP12" s="1143"/>
      <c r="BQ12" s="1143"/>
      <c r="BR12" s="1143"/>
      <c r="BS12" s="1143"/>
      <c r="BT12" s="1143"/>
      <c r="BU12" s="1143"/>
      <c r="BV12" s="1143"/>
      <c r="BW12" s="1143"/>
      <c r="CA12" s="489"/>
      <c r="CB12" s="489"/>
      <c r="CC12" s="489"/>
      <c r="CD12" s="489"/>
      <c r="CE12" s="546"/>
      <c r="CF12" s="546"/>
      <c r="CH12" s="1730"/>
      <c r="CI12" s="1730"/>
      <c r="CJ12" s="1730"/>
      <c r="CK12" s="1730"/>
      <c r="CL12" s="1730"/>
      <c r="CM12" s="1730"/>
      <c r="CN12" s="1730"/>
      <c r="CO12" s="1730"/>
      <c r="CP12" s="1730"/>
      <c r="CQ12" s="1730"/>
      <c r="CR12" s="1730"/>
      <c r="CS12" s="1730"/>
      <c r="CT12" s="1730"/>
      <c r="CU12" s="1730"/>
    </row>
    <row s="1548" customFormat="1" customHeight="1" ht="11.25" hidden="1">
      <c r="A13" s="371"/>
      <c r="E13" s="180"/>
      <c r="G13" s="193"/>
      <c r="H13" s="193"/>
      <c r="I13" s="193"/>
      <c r="J13" s="193"/>
      <c r="K13" s="193"/>
      <c r="L13" s="193"/>
      <c r="M13" s="193"/>
      <c r="N13" s="193"/>
      <c r="O13" s="193"/>
      <c r="P13" s="193"/>
      <c r="Q13" s="193"/>
      <c r="R13" s="193"/>
      <c r="S13" s="193"/>
      <c r="AD13" s="1548"/>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S13" s="1548"/>
      <c r="BT13" s="1548"/>
      <c r="BU13" s="1548"/>
      <c r="BV13" s="1548"/>
      <c r="BW13" s="1548"/>
      <c r="CA13" s="489"/>
      <c r="CB13" s="489"/>
      <c r="CC13" s="489"/>
      <c r="CD13" s="489"/>
      <c r="CE13" s="546"/>
      <c r="CF13" s="546"/>
      <c r="CH13" s="0"/>
      <c r="CI13" s="0"/>
      <c r="CJ13" s="0"/>
      <c r="CK13" s="0"/>
      <c r="CL13" s="0"/>
      <c r="CM13" s="0"/>
      <c r="CN13" s="0"/>
      <c r="CO13" s="0"/>
      <c r="CP13" s="0"/>
      <c r="CQ13" s="0"/>
      <c r="CR13" s="0"/>
      <c r="CS13" s="0"/>
      <c r="CT13" s="0"/>
      <c r="CU13" s="0"/>
    </row>
    <row s="1548" customFormat="1" customHeight="1" ht="11.25" hidden="1">
      <c r="A14" s="371"/>
      <c r="E14" s="180"/>
      <c r="G14" s="193"/>
      <c r="H14" s="193"/>
      <c r="I14" s="193"/>
      <c r="J14" s="193"/>
      <c r="K14" s="193"/>
      <c r="L14" s="193"/>
      <c r="M14" s="193"/>
      <c r="N14" s="193"/>
      <c r="O14" s="193"/>
      <c r="P14" s="193"/>
      <c r="Q14" s="193"/>
      <c r="R14" s="193"/>
      <c r="S14" s="193"/>
      <c r="AD14" s="1548"/>
      <c r="AJ14" s="1548"/>
      <c r="AK14" s="1548"/>
      <c r="AL14" s="1548"/>
      <c r="AM14" s="1548"/>
      <c r="AN14" s="1548"/>
      <c r="AO14" s="1548"/>
      <c r="AP14" s="1548"/>
      <c r="AQ14" s="1548"/>
      <c r="AR14" s="1548"/>
      <c r="AS14" s="1548"/>
      <c r="AT14" s="1548"/>
      <c r="AU14" s="1548"/>
      <c r="AV14" s="1548"/>
      <c r="AW14" s="1548"/>
      <c r="AX14" s="1548"/>
      <c r="AY14" s="1548"/>
      <c r="AZ14" s="1548"/>
      <c r="BA14" s="1548"/>
      <c r="BB14" s="1548"/>
      <c r="BC14" s="1548"/>
      <c r="BD14" s="1548"/>
      <c r="BE14" s="1548"/>
      <c r="BF14" s="1548"/>
      <c r="BG14" s="1548"/>
      <c r="BH14" s="1548"/>
      <c r="BI14" s="1548"/>
      <c r="BJ14" s="1548"/>
      <c r="BK14" s="1548"/>
      <c r="BL14" s="1548"/>
      <c r="BM14" s="1548"/>
      <c r="BN14" s="1548"/>
      <c r="BO14" s="1548"/>
      <c r="BP14" s="1548"/>
      <c r="BQ14" s="1548"/>
      <c r="BR14" s="1548"/>
      <c r="BS14" s="1548"/>
      <c r="BT14" s="1548"/>
      <c r="BU14" s="1548"/>
      <c r="BV14" s="1548"/>
      <c r="BW14" s="1548"/>
      <c r="CA14" s="489"/>
      <c r="CB14" s="489"/>
      <c r="CC14" s="489"/>
      <c r="CD14" s="489"/>
      <c r="CE14" s="546"/>
      <c r="CF14" s="546"/>
      <c r="CH14" s="0"/>
      <c r="CI14" s="0"/>
      <c r="CJ14" s="0"/>
      <c r="CK14" s="0"/>
      <c r="CL14" s="0"/>
      <c r="CM14" s="0"/>
      <c r="CN14" s="0"/>
      <c r="CO14" s="0"/>
      <c r="CP14" s="0"/>
      <c r="CQ14" s="0"/>
      <c r="CR14" s="0"/>
      <c r="CS14" s="0"/>
      <c r="CT14" s="0"/>
      <c r="CU14" s="0"/>
    </row>
    <row s="1548" customFormat="1" customHeight="1" ht="11.25" hidden="1">
      <c r="A15" s="371"/>
      <c r="E15" s="180"/>
      <c r="G15" s="193"/>
      <c r="H15" s="193"/>
      <c r="I15" s="193"/>
      <c r="J15" s="193"/>
      <c r="K15" s="193"/>
      <c r="L15" s="193"/>
      <c r="M15" s="193"/>
      <c r="N15" s="193"/>
      <c r="O15" s="193"/>
      <c r="P15" s="193"/>
      <c r="Q15" s="193"/>
      <c r="R15" s="193"/>
      <c r="S15" s="193"/>
      <c r="AD15" s="1548"/>
      <c r="AJ15" s="1548"/>
      <c r="AK15" s="1548"/>
      <c r="AL15" s="1548"/>
      <c r="AM15" s="1548"/>
      <c r="AN15" s="1548"/>
      <c r="AO15" s="1548"/>
      <c r="AP15" s="1548"/>
      <c r="AQ15" s="1548"/>
      <c r="AR15" s="1548"/>
      <c r="AS15" s="1548"/>
      <c r="AT15" s="1548"/>
      <c r="AU15" s="1548"/>
      <c r="AV15" s="1548"/>
      <c r="AW15" s="1548"/>
      <c r="AX15" s="1548"/>
      <c r="AY15" s="1548"/>
      <c r="AZ15" s="1548"/>
      <c r="BA15" s="1548"/>
      <c r="BB15" s="1548"/>
      <c r="BC15" s="1548"/>
      <c r="BD15" s="1548"/>
      <c r="BE15" s="1548"/>
      <c r="BF15" s="1548"/>
      <c r="BG15" s="1548"/>
      <c r="BH15" s="1548"/>
      <c r="BI15" s="1548"/>
      <c r="BJ15" s="1548"/>
      <c r="BK15" s="1548"/>
      <c r="BL15" s="1548"/>
      <c r="BM15" s="1548"/>
      <c r="BN15" s="1548"/>
      <c r="BO15" s="1548"/>
      <c r="BP15" s="1548"/>
      <c r="BQ15" s="1548"/>
      <c r="BR15" s="1548"/>
      <c r="BS15" s="1548"/>
      <c r="BT15" s="1548"/>
      <c r="BU15" s="1548"/>
      <c r="BV15" s="1548"/>
      <c r="BW15" s="1548"/>
      <c r="CA15" s="489"/>
      <c r="CB15" s="489"/>
      <c r="CC15" s="489"/>
      <c r="CD15" s="489"/>
      <c r="CE15" s="546"/>
      <c r="CF15" s="546"/>
      <c r="CH15" s="0"/>
      <c r="CI15" s="0"/>
      <c r="CJ15" s="0"/>
      <c r="CK15" s="0"/>
      <c r="CL15" s="0"/>
      <c r="CM15" s="0"/>
      <c r="CN15" s="0"/>
      <c r="CO15" s="0"/>
      <c r="CP15" s="0"/>
      <c r="CQ15" s="0"/>
      <c r="CR15" s="0"/>
      <c r="CS15" s="0"/>
      <c r="CT15" s="0"/>
      <c r="CU15" s="0"/>
    </row>
    <row s="1548" customFormat="1" customHeight="1" ht="11.25" hidden="1">
      <c r="A16" s="371"/>
      <c r="E16" s="180"/>
      <c r="G16" s="193"/>
      <c r="H16" s="193"/>
      <c r="I16" s="193"/>
      <c r="J16" s="193"/>
      <c r="K16" s="193"/>
      <c r="L16" s="193"/>
      <c r="M16" s="193"/>
      <c r="N16" s="193"/>
      <c r="O16" s="193"/>
      <c r="P16" s="193"/>
      <c r="Q16" s="193"/>
      <c r="R16" s="193"/>
      <c r="S16" s="193"/>
      <c r="AD16" s="1548"/>
      <c r="AJ16" s="1548"/>
      <c r="AK16" s="1548"/>
      <c r="AL16" s="1548"/>
      <c r="AM16" s="1548"/>
      <c r="AN16" s="1548"/>
      <c r="AO16" s="1548"/>
      <c r="AP16" s="1548"/>
      <c r="AQ16" s="1548"/>
      <c r="AR16" s="1548"/>
      <c r="AS16" s="1548"/>
      <c r="AT16" s="1548"/>
      <c r="AU16" s="1548"/>
      <c r="AV16" s="1548"/>
      <c r="AW16" s="1548"/>
      <c r="AX16" s="1548"/>
      <c r="AY16" s="1548"/>
      <c r="AZ16" s="1548"/>
      <c r="BA16" s="1548"/>
      <c r="BB16" s="1548"/>
      <c r="BC16" s="1548"/>
      <c r="BD16" s="1548"/>
      <c r="BE16" s="1548"/>
      <c r="BF16" s="1548"/>
      <c r="BG16" s="1548"/>
      <c r="BH16" s="1548"/>
      <c r="BI16" s="1548"/>
      <c r="BJ16" s="1548"/>
      <c r="BK16" s="1548"/>
      <c r="BL16" s="1548"/>
      <c r="BM16" s="1548"/>
      <c r="BN16" s="1548"/>
      <c r="BO16" s="1548"/>
      <c r="BP16" s="1548"/>
      <c r="BQ16" s="1548"/>
      <c r="BR16" s="1548"/>
      <c r="BS16" s="1548"/>
      <c r="BT16" s="1548"/>
      <c r="BU16" s="1548"/>
      <c r="BV16" s="1548"/>
      <c r="BW16" s="1548"/>
      <c r="CA16" s="489"/>
      <c r="CB16" s="489"/>
      <c r="CC16" s="489"/>
      <c r="CD16" s="489"/>
      <c r="CE16" s="546"/>
      <c r="CF16" s="546"/>
      <c r="CH16" s="0"/>
      <c r="CI16" s="0"/>
      <c r="CJ16" s="0"/>
      <c r="CK16" s="0"/>
      <c r="CL16" s="0"/>
      <c r="CM16" s="0"/>
      <c r="CN16" s="0"/>
      <c r="CO16" s="0"/>
      <c r="CP16" s="0"/>
      <c r="CQ16" s="0"/>
      <c r="CR16" s="0"/>
      <c r="CS16" s="0"/>
      <c r="CT16" s="0"/>
      <c r="CU16" s="0"/>
    </row>
    <row s="1548" customFormat="1" customHeight="1" ht="11.25" hidden="1">
      <c r="A17" s="371"/>
      <c r="E17" s="180"/>
      <c r="G17" s="193"/>
      <c r="H17" s="193"/>
      <c r="I17" s="193"/>
      <c r="J17" s="193"/>
      <c r="K17" s="193"/>
      <c r="L17" s="193"/>
      <c r="M17" s="193"/>
      <c r="N17" s="193"/>
      <c r="O17" s="193"/>
      <c r="P17" s="193"/>
      <c r="Q17" s="193"/>
      <c r="R17" s="193"/>
      <c r="S17" s="193"/>
      <c r="AD17" s="1548"/>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S17" s="1548"/>
      <c r="BT17" s="1548"/>
      <c r="BU17" s="1548"/>
      <c r="BV17" s="1548"/>
      <c r="BW17" s="1548"/>
      <c r="CA17" s="489"/>
      <c r="CB17" s="489"/>
      <c r="CC17" s="489"/>
      <c r="CD17" s="489"/>
      <c r="CE17" s="546"/>
      <c r="CF17" s="546"/>
      <c r="CH17" s="0"/>
      <c r="CI17" s="0"/>
      <c r="CJ17" s="0"/>
      <c r="CK17" s="0"/>
      <c r="CL17" s="0"/>
      <c r="CM17" s="0"/>
      <c r="CN17" s="0"/>
      <c r="CO17" s="0"/>
      <c r="CP17" s="0"/>
      <c r="CQ17" s="0"/>
      <c r="CR17" s="0"/>
      <c r="CS17" s="0"/>
      <c r="CT17" s="0"/>
      <c r="CU17" s="0"/>
    </row>
    <row s="1548" customFormat="1" customHeight="1" ht="11.25" hidden="1">
      <c r="A18" s="978" t="s">
        <v>492</v>
      </c>
      <c r="E18" s="180"/>
      <c r="G18" s="193"/>
      <c r="H18" s="193"/>
      <c r="I18" s="193"/>
      <c r="J18" s="193"/>
      <c r="K18" s="193"/>
      <c r="L18" s="193"/>
      <c r="M18" s="193"/>
      <c r="N18" s="193"/>
      <c r="O18" s="193"/>
      <c r="P18" s="193"/>
      <c r="Q18" s="193"/>
      <c r="R18" s="193"/>
      <c r="S18" s="193"/>
      <c r="AC18" s="1072" t="s">
        <v>412</v>
      </c>
      <c r="AD18" s="1072" t="s">
        <v>793</v>
      </c>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S18" s="1548"/>
      <c r="BT18" s="1548"/>
      <c r="BU18" s="1548"/>
      <c r="BV18" s="1548"/>
      <c r="BW18" s="1548"/>
      <c r="CA18" s="489"/>
      <c r="CB18" s="489"/>
      <c r="CC18" s="489"/>
      <c r="CD18" s="489"/>
      <c r="CE18" s="546"/>
      <c r="CF18" s="546"/>
      <c r="CH18" s="0"/>
      <c r="CI18" s="0"/>
      <c r="CJ18" s="0"/>
      <c r="CK18" s="0"/>
      <c r="CL18" s="0"/>
      <c r="CM18" s="0"/>
      <c r="CN18" s="0"/>
      <c r="CO18" s="0"/>
      <c r="CP18" s="0"/>
      <c r="CQ18" s="0"/>
      <c r="CR18" s="0"/>
      <c r="CS18" s="0"/>
      <c r="CT18" s="0"/>
      <c r="CU18" s="0"/>
    </row>
    <row s="1548" customFormat="1" customHeight="1" ht="11.25" hidden="1">
      <c r="A19" s="371"/>
      <c r="E19" s="180"/>
      <c r="G19" s="193"/>
      <c r="H19" s="193"/>
      <c r="I19" s="193"/>
      <c r="J19" s="193"/>
      <c r="K19" s="193"/>
      <c r="L19" s="193"/>
      <c r="M19" s="193"/>
      <c r="N19" s="193"/>
      <c r="O19" s="193"/>
      <c r="P19" s="193"/>
      <c r="Q19" s="193"/>
      <c r="R19" s="193"/>
      <c r="S19" s="193"/>
      <c r="AD19" s="1548"/>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T19" s="1548"/>
      <c r="BU19" s="1548"/>
      <c r="BV19" s="1548"/>
      <c r="BW19" s="1548"/>
      <c r="CA19" s="489"/>
      <c r="CB19" s="489"/>
      <c r="CC19" s="489"/>
      <c r="CD19" s="489"/>
      <c r="CE19" s="546"/>
      <c r="CF19" s="546"/>
      <c r="CH19" s="0"/>
      <c r="CI19" s="0"/>
      <c r="CJ19" s="0"/>
      <c r="CK19" s="0"/>
      <c r="CL19" s="0"/>
      <c r="CM19" s="0"/>
      <c r="CN19" s="0"/>
      <c r="CO19" s="0"/>
      <c r="CP19" s="0"/>
      <c r="CQ19" s="0"/>
      <c r="CR19" s="0"/>
      <c r="CS19" s="0"/>
      <c r="CT19" s="0"/>
      <c r="CU19" s="0"/>
    </row>
    <row s="1548" customFormat="1" customHeight="1" ht="11.25" hidden="1">
      <c r="A20" s="371"/>
      <c r="E20" s="180"/>
      <c r="G20" s="193"/>
      <c r="H20" s="193"/>
      <c r="I20" s="193"/>
      <c r="J20" s="193"/>
      <c r="K20" s="193"/>
      <c r="L20" s="193"/>
      <c r="M20" s="193"/>
      <c r="N20" s="193"/>
      <c r="O20" s="193"/>
      <c r="P20" s="193"/>
      <c r="Q20" s="193"/>
      <c r="R20" s="193"/>
      <c r="S20" s="193"/>
      <c r="AD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W20" s="1548"/>
      <c r="CA20" s="489"/>
      <c r="CB20" s="489"/>
      <c r="CC20" s="489"/>
      <c r="CD20" s="489"/>
      <c r="CE20" s="546"/>
      <c r="CF20" s="546"/>
      <c r="CH20" s="0"/>
      <c r="CI20" s="0"/>
      <c r="CJ20" s="0"/>
      <c r="CK20" s="0"/>
      <c r="CL20" s="0"/>
      <c r="CM20" s="0"/>
      <c r="CN20" s="0"/>
      <c r="CO20" s="0"/>
      <c r="CP20" s="0"/>
      <c r="CQ20" s="0"/>
      <c r="CR20" s="0"/>
      <c r="CS20" s="0"/>
      <c r="CT20" s="0"/>
      <c r="CU20" s="0"/>
    </row>
    <row customHeight="1" ht="14.625">
      <c r="E21" s="180">
        <v>15</v>
      </c>
      <c r="AA21" s="182"/>
      <c r="AC21" s="278" cm="1" t="str">
        <f t="array" ref="AC21:AC21">tpl_title</f>
        <v>Кемеровская область / 2027 / ООО "КК-ИНВЕСТ" (ИНН:1901133713, КПП:190101001) / ДПР: 2025-2027</v>
      </c>
      <c r="AD21" s="278"/>
      <c r="AJ21" s="286"/>
      <c r="AK21" s="286"/>
      <c r="AL21" s="286"/>
      <c r="AM21" s="286"/>
      <c r="AN21" s="286"/>
      <c r="AO21" s="286"/>
      <c r="AP21" s="286"/>
      <c r="AQ21" s="286"/>
      <c r="AR21" s="286"/>
      <c r="AS21" s="286"/>
      <c r="AT21" s="286"/>
      <c r="AU21" s="286"/>
      <c r="AV21" s="286"/>
      <c r="AW21" s="286"/>
      <c r="AX21" s="286"/>
      <c r="AY21" s="286"/>
      <c r="AZ21" s="286"/>
      <c r="BA21" s="286"/>
      <c r="BB21" s="286"/>
      <c r="BC21" s="286"/>
      <c r="BD21" s="286"/>
      <c r="BE21" s="286"/>
      <c r="BF21" s="286"/>
      <c r="BG21" s="286"/>
      <c r="BH21" s="286"/>
      <c r="BI21" s="286"/>
      <c r="BJ21" s="286"/>
      <c r="BK21" s="286"/>
      <c r="BL21" s="286"/>
      <c r="BM21" s="286"/>
      <c r="BN21" s="286"/>
      <c r="BO21" s="286"/>
      <c r="BP21" s="286"/>
      <c r="BQ21" s="286"/>
      <c r="BR21" s="286"/>
      <c r="BS21" s="286"/>
      <c r="BT21" s="286"/>
      <c r="BU21" s="286"/>
      <c r="BV21" s="286"/>
      <c r="BW21" s="286"/>
    </row>
    <row s="1659" customFormat="1" customHeight="1" ht="19.5">
      <c r="A22" s="371"/>
      <c r="B22" s="175"/>
      <c r="C22" s="175"/>
      <c r="D22" s="175"/>
      <c r="E22" s="180">
        <v>20</v>
      </c>
      <c r="F22" s="175"/>
      <c r="T22" s="175"/>
      <c r="U22" s="175"/>
      <c r="V22" s="175"/>
      <c r="W22" s="175"/>
      <c r="X22" s="175"/>
      <c r="Y22" s="175"/>
      <c r="Z22" s="175"/>
      <c r="AA22" s="181"/>
      <c r="AB22" s="547" t="s">
        <v>1038</v>
      </c>
      <c r="AC22" s="548"/>
      <c r="AD22" s="548"/>
      <c r="AE22" s="548"/>
      <c r="AF22" s="548"/>
      <c r="AG22" s="548"/>
      <c r="AH22" s="548"/>
      <c r="AI22" s="548"/>
      <c r="AJ22" s="548"/>
      <c r="AK22" s="548"/>
      <c r="AL22" s="548"/>
      <c r="AM22" s="548"/>
      <c r="AN22" s="548"/>
      <c r="AO22" s="548"/>
      <c r="AP22" s="548"/>
      <c r="AQ22" s="548"/>
      <c r="AR22" s="548"/>
      <c r="AS22" s="548"/>
      <c r="AT22" s="548"/>
      <c r="AU22" s="548"/>
      <c r="AV22" s="548"/>
      <c r="AW22" s="548"/>
      <c r="AX22" s="548"/>
      <c r="AY22" s="548"/>
      <c r="AZ22" s="548"/>
      <c r="BA22" s="548"/>
      <c r="BB22" s="548"/>
      <c r="BC22" s="548"/>
      <c r="BD22" s="548"/>
      <c r="BE22" s="548"/>
      <c r="BF22" s="548"/>
      <c r="BG22" s="548"/>
      <c r="BH22" s="548"/>
      <c r="BI22" s="548"/>
      <c r="BJ22" s="548"/>
      <c r="BK22" s="548"/>
      <c r="BL22" s="548"/>
      <c r="BM22" s="548"/>
      <c r="BN22" s="548"/>
      <c r="BO22" s="548"/>
      <c r="BP22" s="548"/>
      <c r="BQ22" s="548"/>
      <c r="BR22" s="548"/>
      <c r="BS22" s="548"/>
      <c r="BT22" s="548"/>
      <c r="BU22" s="548"/>
      <c r="BV22" s="548"/>
      <c r="BW22" s="548"/>
      <c r="BX22" s="548"/>
      <c r="BY22" s="181"/>
      <c r="CA22" s="489"/>
      <c r="CB22" s="489"/>
      <c r="CC22" s="489"/>
      <c r="CD22" s="489"/>
      <c r="CE22" s="546"/>
      <c r="CF22" s="546"/>
      <c r="CH22" s="0"/>
      <c r="CI22" s="0"/>
      <c r="CJ22" s="0"/>
      <c r="CK22" s="0"/>
      <c r="CL22" s="0"/>
      <c r="CM22" s="0"/>
      <c r="CN22" s="0"/>
      <c r="CO22" s="0"/>
      <c r="CP22" s="0"/>
      <c r="CQ22" s="0"/>
      <c r="CR22" s="0"/>
      <c r="CS22" s="0"/>
      <c r="CT22" s="0"/>
      <c r="CU22" s="0"/>
    </row>
    <row s="1659" customFormat="1" customHeight="1" ht="10.725000000000001">
      <c r="A23" s="371"/>
      <c r="B23" s="175"/>
      <c r="C23" s="175"/>
      <c r="D23" s="175"/>
      <c r="E23" s="180">
        <v>11</v>
      </c>
      <c r="F23" s="175"/>
      <c r="T23" s="175"/>
      <c r="U23" s="175"/>
      <c r="V23" s="175"/>
      <c r="W23" s="175"/>
      <c r="X23" s="175"/>
      <c r="Y23" s="175"/>
      <c r="Z23" s="175"/>
      <c r="AA23" s="181"/>
      <c r="AB23" s="549"/>
      <c r="AC23" s="549"/>
      <c r="AD23" s="549"/>
      <c r="AE23" s="549"/>
      <c r="AF23" s="550"/>
      <c r="AG23" s="550"/>
      <c r="AH23" s="550"/>
      <c r="AI23" s="550"/>
      <c r="AJ23" s="549"/>
      <c r="AK23" s="549"/>
      <c r="AL23" s="549"/>
      <c r="AM23" s="549"/>
      <c r="AN23" s="549"/>
      <c r="AO23" s="549"/>
      <c r="AP23" s="549"/>
      <c r="AQ23" s="549"/>
      <c r="AR23" s="549"/>
      <c r="AS23" s="549"/>
      <c r="AT23" s="549"/>
      <c r="AU23" s="549"/>
      <c r="AV23" s="549"/>
      <c r="AW23" s="549"/>
      <c r="AX23" s="549"/>
      <c r="AY23" s="549"/>
      <c r="AZ23" s="549"/>
      <c r="BA23" s="549"/>
      <c r="BB23" s="549"/>
      <c r="BC23" s="549"/>
      <c r="BD23" s="549"/>
      <c r="BE23" s="549"/>
      <c r="BF23" s="549"/>
      <c r="BG23" s="549"/>
      <c r="BH23" s="549"/>
      <c r="BI23" s="549"/>
      <c r="BJ23" s="549"/>
      <c r="BK23" s="549"/>
      <c r="BL23" s="549"/>
      <c r="BM23" s="549"/>
      <c r="BN23" s="549"/>
      <c r="BO23" s="549"/>
      <c r="BP23" s="549"/>
      <c r="BQ23" s="549"/>
      <c r="BR23" s="549"/>
      <c r="BS23" s="549"/>
      <c r="BT23" s="549"/>
      <c r="BU23" s="549"/>
      <c r="BV23" s="549"/>
      <c r="BW23" s="549"/>
      <c r="BX23" s="549"/>
      <c r="BY23" s="181"/>
      <c r="CA23" s="489"/>
      <c r="CB23" s="489"/>
      <c r="CC23" s="489"/>
      <c r="CD23" s="489"/>
      <c r="CE23" s="546"/>
      <c r="CF23" s="546"/>
      <c r="CH23" s="0"/>
      <c r="CI23" s="0"/>
      <c r="CJ23" s="0"/>
      <c r="CK23" s="0"/>
      <c r="CL23" s="0"/>
      <c r="CM23" s="0"/>
      <c r="CN23" s="0"/>
      <c r="CO23" s="0"/>
      <c r="CP23" s="0"/>
      <c r="CQ23" s="0"/>
      <c r="CR23" s="0"/>
      <c r="CS23" s="0"/>
      <c r="CT23" s="0"/>
      <c r="CU23" s="0"/>
    </row>
    <row s="308" customFormat="1" customHeight="1" ht="14.625">
      <c r="A24" s="371"/>
      <c r="B24" s="176"/>
      <c r="C24" s="176"/>
      <c r="D24" s="176"/>
      <c r="E24" s="284">
        <v>15</v>
      </c>
      <c r="F24" s="176"/>
      <c r="T24" s="176"/>
      <c r="U24" s="176"/>
      <c r="V24" s="176"/>
      <c r="W24" s="176"/>
      <c r="X24" s="176"/>
      <c r="Y24" s="176"/>
      <c r="Z24" s="176"/>
      <c r="AA24" s="285"/>
      <c r="AB24" s="1658" t="s">
        <v>355</v>
      </c>
      <c r="AC24" s="1662" t="s">
        <v>412</v>
      </c>
      <c r="AD24" s="1663"/>
      <c r="AE24" s="1658" t="s">
        <v>413</v>
      </c>
      <c r="AF24" s="432" t="str">
        <f>god-2&amp;" год"</f>
        <v>2025 год</v>
      </c>
      <c r="AG24" s="433" t="str">
        <f>god-2&amp;" год"</f>
        <v>2025 год</v>
      </c>
      <c r="AH24" s="432" t="str">
        <f>god-2&amp;" год"</f>
        <v>2025 год</v>
      </c>
      <c r="AI24" s="330" t="str">
        <f>god-1&amp;" год"</f>
        <v>2026 год</v>
      </c>
      <c r="AJ24" s="329" t="str">
        <f>god&amp;" год"</f>
        <v>2027 год</v>
      </c>
      <c r="AK24" s="329" t="str">
        <f>god+1&amp;" год"</f>
        <v>2028 год</v>
      </c>
      <c r="AL24" s="329" t="str">
        <f>god+2&amp;" год"</f>
        <v>2029 год</v>
      </c>
      <c r="AM24" s="329" t="str">
        <f>god+3&amp;" год"</f>
        <v>2030 год</v>
      </c>
      <c r="AN24" s="329" t="str">
        <f>god+4&amp;" год"</f>
        <v>2031 год</v>
      </c>
      <c r="AO24" s="329" t="str">
        <f>god+5&amp;" год"</f>
        <v>2032 год</v>
      </c>
      <c r="AP24" s="329" t="str">
        <f>god+6&amp;" год"</f>
        <v>2033 год</v>
      </c>
      <c r="AQ24" s="329" t="str">
        <f>god+7&amp;" год"</f>
        <v>2034 год</v>
      </c>
      <c r="AR24" s="329" t="str">
        <f>god+8&amp;" год"</f>
        <v>2035 год</v>
      </c>
      <c r="AS24" s="329" t="str">
        <f>god+9&amp;" год"</f>
        <v>2036 год</v>
      </c>
      <c r="AT24" s="329" t="str">
        <f>god+10&amp;" год"</f>
        <v>2037 год</v>
      </c>
      <c r="AU24" s="329" t="str">
        <f>god+11&amp;" год"</f>
        <v>2038 год</v>
      </c>
      <c r="AV24" s="329" t="str">
        <f>god+12&amp;" год"</f>
        <v>2039 год</v>
      </c>
      <c r="AW24" s="329" t="str">
        <f>god+13&amp;" год"</f>
        <v>2040 год</v>
      </c>
      <c r="AX24" s="329" t="str">
        <f>god+14&amp;" год"</f>
        <v>2041 год</v>
      </c>
      <c r="AY24" s="329" t="str">
        <f>god+15&amp;" год"</f>
        <v>2042 год</v>
      </c>
      <c r="AZ24" s="329" t="str">
        <f>god+16&amp;" год"</f>
        <v>2043 год</v>
      </c>
      <c r="BA24" s="329" t="str">
        <f>god+17&amp;" год"</f>
        <v>2044 год</v>
      </c>
      <c r="BB24" s="329" t="str">
        <f>god+18&amp;" год"</f>
        <v>2045 год</v>
      </c>
      <c r="BC24" s="329" t="str">
        <f>god+19&amp;" год"</f>
        <v>2046 год</v>
      </c>
      <c r="BD24" s="328" t="str">
        <f>god&amp;" год"</f>
        <v>2027 год</v>
      </c>
      <c r="BE24" s="328" t="str">
        <f>god+1&amp;" год"</f>
        <v>2028 год</v>
      </c>
      <c r="BF24" s="328" t="str">
        <f>god+2&amp;" год"</f>
        <v>2029 год</v>
      </c>
      <c r="BG24" s="328" t="str">
        <f>god+3&amp;" год"</f>
        <v>2030 год</v>
      </c>
      <c r="BH24" s="328" t="str">
        <f>god+4&amp;" год"</f>
        <v>2031 год</v>
      </c>
      <c r="BI24" s="328" t="str">
        <f>god+5&amp;" год"</f>
        <v>2032 год</v>
      </c>
      <c r="BJ24" s="328" t="str">
        <f>god+6&amp;" год"</f>
        <v>2033 год</v>
      </c>
      <c r="BK24" s="328" t="str">
        <f>god+7&amp;" год"</f>
        <v>2034 год</v>
      </c>
      <c r="BL24" s="328" t="str">
        <f>god+8&amp;" год"</f>
        <v>2035 год</v>
      </c>
      <c r="BM24" s="328" t="str">
        <f>god+9&amp;" год"</f>
        <v>2036 год</v>
      </c>
      <c r="BN24" s="328" t="str">
        <f>god+10&amp;" год"</f>
        <v>2037 год</v>
      </c>
      <c r="BO24" s="328" t="str">
        <f>god+11&amp;" год"</f>
        <v>2038 год</v>
      </c>
      <c r="BP24" s="328" t="str">
        <f>god+12&amp;" год"</f>
        <v>2039 год</v>
      </c>
      <c r="BQ24" s="328" t="str">
        <f>god+13&amp;" год"</f>
        <v>2040 год</v>
      </c>
      <c r="BR24" s="328" t="str">
        <f>god+14&amp;" год"</f>
        <v>2041 год</v>
      </c>
      <c r="BS24" s="328" t="str">
        <f>god+15&amp;" год"</f>
        <v>2042 год</v>
      </c>
      <c r="BT24" s="328" t="str">
        <f>god+16&amp;" год"</f>
        <v>2043 год</v>
      </c>
      <c r="BU24" s="328" t="str">
        <f>god+17&amp;" год"</f>
        <v>2044 год</v>
      </c>
      <c r="BV24" s="328" t="str">
        <f>god+18&amp;" год"</f>
        <v>2045 год</v>
      </c>
      <c r="BW24" s="328" t="str">
        <f>god+19&amp;" год"</f>
        <v>2046 год</v>
      </c>
      <c r="BX24" s="1595" t="s">
        <v>625</v>
      </c>
      <c r="BY24" s="285"/>
      <c r="CA24" s="489"/>
      <c r="CB24" s="984"/>
      <c r="CC24" s="984"/>
      <c r="CD24" s="984"/>
      <c r="CE24" s="985"/>
      <c r="CF24" s="985"/>
      <c r="CH24" s="0"/>
      <c r="CI24" s="0"/>
      <c r="CJ24" s="0"/>
      <c r="CK24" s="0"/>
      <c r="CL24" s="0"/>
      <c r="CM24" s="0"/>
      <c r="CN24" s="0"/>
      <c r="CO24" s="0"/>
      <c r="CP24" s="0"/>
      <c r="CQ24" s="0"/>
      <c r="CR24" s="0"/>
      <c r="CS24" s="0"/>
      <c r="CT24" s="0"/>
      <c r="CU24" s="0"/>
    </row>
    <row s="308" customFormat="1" customHeight="1" ht="48.75">
      <c r="A25" s="371"/>
      <c r="B25" s="176"/>
      <c r="C25" s="176"/>
      <c r="D25" s="176"/>
      <c r="E25" s="284">
        <v>50</v>
      </c>
      <c r="F25" s="176"/>
      <c r="T25" s="176"/>
      <c r="U25" s="176"/>
      <c r="V25" s="176"/>
      <c r="W25" s="176"/>
      <c r="X25" s="176"/>
      <c r="Y25" s="176"/>
      <c r="Z25" s="176"/>
      <c r="AA25" s="285"/>
      <c r="AB25" s="1658"/>
      <c r="AC25" s="1664"/>
      <c r="AD25" s="1597"/>
      <c r="AE25" s="1658"/>
      <c r="AF25" s="328" t="s">
        <v>415</v>
      </c>
      <c r="AG25" s="329" t="s">
        <v>626</v>
      </c>
      <c r="AH25" s="328" t="s">
        <v>627</v>
      </c>
      <c r="AI25" s="328" t="s">
        <v>415</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331" t="s">
        <v>416</v>
      </c>
      <c r="AZ25" s="331" t="s">
        <v>416</v>
      </c>
      <c r="BA25" s="331" t="s">
        <v>416</v>
      </c>
      <c r="BB25" s="331" t="s">
        <v>416</v>
      </c>
      <c r="BC25" s="331" t="s">
        <v>416</v>
      </c>
      <c r="BD25" s="424" t="s">
        <v>415</v>
      </c>
      <c r="BE25" s="424" t="s">
        <v>415</v>
      </c>
      <c r="BF25" s="424" t="s">
        <v>415</v>
      </c>
      <c r="BG25" s="424" t="s">
        <v>415</v>
      </c>
      <c r="BH25" s="424" t="s">
        <v>415</v>
      </c>
      <c r="BI25" s="424" t="s">
        <v>415</v>
      </c>
      <c r="BJ25" s="424" t="s">
        <v>415</v>
      </c>
      <c r="BK25" s="424" t="s">
        <v>415</v>
      </c>
      <c r="BL25" s="424" t="s">
        <v>415</v>
      </c>
      <c r="BM25" s="424" t="s">
        <v>415</v>
      </c>
      <c r="BN25" s="424" t="s">
        <v>415</v>
      </c>
      <c r="BO25" s="424" t="s">
        <v>415</v>
      </c>
      <c r="BP25" s="424" t="s">
        <v>415</v>
      </c>
      <c r="BQ25" s="424" t="s">
        <v>415</v>
      </c>
      <c r="BR25" s="424" t="s">
        <v>415</v>
      </c>
      <c r="BS25" s="424" t="s">
        <v>415</v>
      </c>
      <c r="BT25" s="424" t="s">
        <v>415</v>
      </c>
      <c r="BU25" s="424" t="s">
        <v>415</v>
      </c>
      <c r="BV25" s="424" t="s">
        <v>415</v>
      </c>
      <c r="BW25" s="424" t="s">
        <v>415</v>
      </c>
      <c r="BX25" s="1595"/>
      <c r="BY25" s="285"/>
      <c r="CA25" s="489"/>
      <c r="CB25" s="984"/>
      <c r="CC25" s="984"/>
      <c r="CD25" s="984"/>
      <c r="CE25" s="985"/>
      <c r="CF25" s="985"/>
      <c r="CH25" s="0"/>
      <c r="CI25" s="0"/>
      <c r="CJ25" s="0"/>
      <c r="CK25" s="0"/>
      <c r="CL25" s="0"/>
      <c r="CM25" s="0"/>
      <c r="CN25" s="0"/>
      <c r="CO25" s="0"/>
      <c r="CP25" s="0"/>
      <c r="CQ25" s="0"/>
      <c r="CR25" s="0"/>
      <c r="CS25" s="0"/>
      <c r="CT25" s="0"/>
      <c r="CU25" s="0"/>
    </row>
    <row s="308" customFormat="1" customHeight="1" ht="50.25" hidden="1">
      <c r="A26" s="371"/>
      <c r="B26" s="176"/>
      <c r="C26" s="176"/>
      <c r="D26" s="176"/>
      <c r="E26" s="966">
        <v>0</v>
      </c>
      <c r="F26" s="176"/>
      <c r="T26" s="176"/>
      <c r="U26" s="176"/>
      <c r="V26" s="176"/>
      <c r="W26" s="176"/>
      <c r="X26" s="176"/>
      <c r="Y26" s="176"/>
      <c r="Z26" s="176"/>
      <c r="AA26" s="285"/>
      <c r="AB26" s="296"/>
      <c r="AC26" s="296"/>
      <c r="AD26" s="296"/>
      <c r="AE26" s="296"/>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279"/>
      <c r="BY26" s="285"/>
      <c r="CA26" s="489"/>
      <c r="CB26" s="984"/>
      <c r="CC26" s="984"/>
      <c r="CD26" s="984"/>
      <c r="CE26" s="985"/>
      <c r="CF26" s="985"/>
      <c r="CH26" s="0"/>
      <c r="CI26" s="0"/>
      <c r="CJ26" s="0"/>
      <c r="CK26" s="0"/>
      <c r="CL26" s="0"/>
      <c r="CM26" s="0"/>
      <c r="CN26" s="0"/>
      <c r="CO26" s="0"/>
      <c r="CP26" s="0"/>
      <c r="CQ26" s="0"/>
      <c r="CR26" s="0"/>
      <c r="CS26" s="0"/>
      <c r="CT26" s="0"/>
      <c r="CU26" s="0"/>
    </row>
    <row s="308" customFormat="1" customHeight="1" ht="18.525" hidden="1">
      <c r="E27" s="284">
        <v>19</v>
      </c>
      <c r="F27" s="175" cm="1" t="str">
        <f t="array" ref="F27:F27">X27</f>
        <v>0</v>
      </c>
      <c r="K27" s="193" cm="1" t="str">
        <f t="array" ref="K27:K27">INDEX('Общие сведения'!$AL$169:$AL$202,MATCH($F27,'Общие сведения'!$Y$169:$Y$202,0))</f>
        <v>0</v>
      </c>
      <c r="L27" s="193" cm="1" t="str">
        <f t="array" ref="L27:L27">INDEX('Общие сведения'!$AK$169:$AK$202,MATCH($F27,'Общие сведения'!$Y$169:$Y$202,0))</f>
        <v>0</v>
      </c>
      <c r="T27" s="753">
        <f>X27&gt;0</f>
        <v>0</v>
      </c>
      <c r="V27" s="176" t="s">
        <v>266</v>
      </c>
      <c r="X27" s="176">
        <v>0</v>
      </c>
      <c r="AB27" s="319" cm="1" t="str">
        <f t="array" ref="AB27:AB27">INDEX('Общие сведения'!$AG$169:$AG$202,MATCH($F27,'Общие сведения'!$Y$169:$Y$202,0))</f>
        <v>Тариф 0 (Теплоснабжение) - </v>
      </c>
      <c r="AC27" s="298"/>
      <c r="AD27" s="298"/>
      <c r="AE27" s="299"/>
      <c r="AF27" s="552">
        <f>AF28+AF47</f>
        <v>0</v>
      </c>
      <c r="AG27" s="552">
        <f>AG28+AG47</f>
        <v>0</v>
      </c>
      <c r="AH27" s="552">
        <f>AH28+AH47</f>
        <v>0</v>
      </c>
      <c r="AI27" s="552">
        <f>AI28+AI47</f>
        <v>0</v>
      </c>
      <c r="AJ27" s="552">
        <f>AJ28+AJ47</f>
        <v>0</v>
      </c>
      <c r="AK27" s="552">
        <f>AK28+AK47</f>
        <v>0</v>
      </c>
      <c r="AL27" s="552">
        <f>AL28+AL47</f>
        <v>0</v>
      </c>
      <c r="AM27" s="552">
        <f>AM28+AM47</f>
        <v>0</v>
      </c>
      <c r="AN27" s="552">
        <f>AN28+AN47</f>
        <v>0</v>
      </c>
      <c r="AO27" s="552">
        <f>AO28+AO47</f>
        <v>0</v>
      </c>
      <c r="AP27" s="552">
        <f>AP28+AP47</f>
        <v>0</v>
      </c>
      <c r="AQ27" s="552">
        <f>AQ28+AQ47</f>
        <v>0</v>
      </c>
      <c r="AR27" s="552">
        <f>AR28+AR47</f>
        <v>0</v>
      </c>
      <c r="AS27" s="552">
        <f>AS28+AS47</f>
        <v>0</v>
      </c>
      <c r="AT27" s="552">
        <f>AT28+AT47</f>
        <v>0</v>
      </c>
      <c r="AU27" s="552">
        <f>AU28+AU47</f>
        <v>0</v>
      </c>
      <c r="AV27" s="552">
        <f>AV28+AV47</f>
        <v>0</v>
      </c>
      <c r="AW27" s="552">
        <f>AW28+AW47</f>
        <v>0</v>
      </c>
      <c r="AX27" s="552">
        <f>AX28+AX47</f>
        <v>0</v>
      </c>
      <c r="AY27" s="552">
        <f>AY28+AY47</f>
        <v>0</v>
      </c>
      <c r="AZ27" s="552">
        <f>AZ28+AZ47</f>
        <v>0</v>
      </c>
      <c r="BA27" s="552">
        <f>BA28+BA47</f>
        <v>0</v>
      </c>
      <c r="BB27" s="552">
        <f>BB28+BB47</f>
        <v>0</v>
      </c>
      <c r="BC27" s="552">
        <f>BC28+BC47</f>
        <v>0</v>
      </c>
      <c r="BD27" s="552">
        <f>BD28+BD47</f>
        <v>0</v>
      </c>
      <c r="BE27" s="552">
        <f>BE28+BE47</f>
        <v>0</v>
      </c>
      <c r="BF27" s="552">
        <f>BF28+BF47</f>
        <v>0</v>
      </c>
      <c r="BG27" s="552">
        <f>BG28+BG47</f>
        <v>0</v>
      </c>
      <c r="BH27" s="552">
        <f>BH28+BH47</f>
        <v>0</v>
      </c>
      <c r="BI27" s="552">
        <f>BI28+BI47</f>
        <v>0</v>
      </c>
      <c r="BJ27" s="552">
        <f>BJ28+BJ47</f>
        <v>0</v>
      </c>
      <c r="BK27" s="552">
        <f>BK28+BK47</f>
        <v>0</v>
      </c>
      <c r="BL27" s="552">
        <f>BL28+BL47</f>
        <v>0</v>
      </c>
      <c r="BM27" s="552">
        <f>BM28+BM47</f>
        <v>0</v>
      </c>
      <c r="BN27" s="552">
        <f>BN28+BN47</f>
        <v>0</v>
      </c>
      <c r="BO27" s="552">
        <f>BO28+BO47</f>
        <v>0</v>
      </c>
      <c r="BP27" s="552">
        <f>BP28+BP47</f>
        <v>0</v>
      </c>
      <c r="BQ27" s="552">
        <f>BQ28+BQ47</f>
        <v>0</v>
      </c>
      <c r="BR27" s="552">
        <f>BR28+BR47</f>
        <v>0</v>
      </c>
      <c r="BS27" s="552">
        <f>BS28+BS47</f>
        <v>0</v>
      </c>
      <c r="BT27" s="552">
        <f>BT28+BT47</f>
        <v>0</v>
      </c>
      <c r="BU27" s="552">
        <f>BU28+BU47</f>
        <v>0</v>
      </c>
      <c r="BV27" s="552">
        <f>BV28+BV47</f>
        <v>0</v>
      </c>
      <c r="BW27" s="552">
        <f>BW28+BW47</f>
        <v>0</v>
      </c>
      <c r="BX27" s="553"/>
      <c r="CA27" s="489"/>
      <c r="CB27" s="984"/>
      <c r="CC27" s="984"/>
      <c r="CD27" s="984"/>
      <c r="CE27" s="985"/>
      <c r="CF27" s="985"/>
    </row>
    <row s="1721" customFormat="1" customHeight="1" ht="16.575" hidden="1">
      <c r="E28" s="284">
        <v>17</v>
      </c>
      <c r="F28" s="175" cm="1" t="str">
        <f t="array" ref="F28:F28">OFFSET(G28,-1,-1)</f>
        <v>0</v>
      </c>
      <c r="G28" s="193" t="s">
        <v>1039</v>
      </c>
      <c r="I28" s="308" t="s">
        <v>1040</v>
      </c>
      <c r="T28" s="973" cm="1" t="str">
        <f t="array" ref="T28:T28">T27</f>
        <v>false</v>
      </c>
      <c r="AB28" s="554">
        <v>1</v>
      </c>
      <c r="AC28" s="555" t="s">
        <v>1041</v>
      </c>
      <c r="AD28" s="555"/>
      <c r="AE28" s="556" t="s">
        <v>917</v>
      </c>
      <c r="AF28" s="557">
        <f>SUMIF($I33:$I45,$I28,AF33:AF45)</f>
        <v>0</v>
      </c>
      <c r="AG28" s="557">
        <f>SUMIF($I33:$I45,$I28,AG33:AG45)</f>
        <v>0</v>
      </c>
      <c r="AH28" s="557">
        <f>SUMIF($I33:$I45,$I28,AH33:AH45)</f>
        <v>0</v>
      </c>
      <c r="AI28" s="557">
        <f>SUMIF($I33:$I45,$I28,AI33:AI45)</f>
        <v>0</v>
      </c>
      <c r="AJ28" s="557">
        <f>SUMIF($I33:$I45,$I28,AJ33:AJ45)</f>
        <v>0</v>
      </c>
      <c r="AK28" s="99">
        <f>SUMIF($I33:$I45,$I28,AK33:AK45)</f>
        <v>0</v>
      </c>
      <c r="AL28" s="99">
        <f>SUMIF($I33:$I45,$I28,AL33:AL45)</f>
        <v>0</v>
      </c>
      <c r="AM28" s="99">
        <f>SUMIF($I33:$I45,$I28,AM33:AM45)</f>
        <v>0</v>
      </c>
      <c r="AN28" s="99">
        <f>SUMIF($I33:$I45,$I28,AN33:AN45)</f>
        <v>0</v>
      </c>
      <c r="AO28" s="99">
        <f>SUMIF($I33:$I45,$I28,AO33:AO45)</f>
        <v>0</v>
      </c>
      <c r="AP28" s="99">
        <f>SUMIF($I33:$I45,$I28,AP33:AP45)</f>
        <v>0</v>
      </c>
      <c r="AQ28" s="99">
        <f>SUMIF($I33:$I45,$I28,AQ33:AQ45)</f>
        <v>0</v>
      </c>
      <c r="AR28" s="99">
        <f>SUMIF($I33:$I45,$I28,AR33:AR45)</f>
        <v>0</v>
      </c>
      <c r="AS28" s="99">
        <f>SUMIF($I33:$I45,$I28,AS33:AS45)</f>
        <v>0</v>
      </c>
      <c r="AT28" s="99">
        <f>SUMIF($I33:$I45,$I28,AT33:AT45)</f>
        <v>0</v>
      </c>
      <c r="AU28" s="99">
        <f>SUMIF($I33:$I45,$I28,AU33:AU45)</f>
        <v>0</v>
      </c>
      <c r="AV28" s="99">
        <f>SUMIF($I33:$I45,$I28,AV33:AV45)</f>
        <v>0</v>
      </c>
      <c r="AW28" s="99">
        <f>SUMIF($I33:$I45,$I28,AW33:AW45)</f>
        <v>0</v>
      </c>
      <c r="AX28" s="99">
        <f>SUMIF($I33:$I45,$I28,AX33:AX45)</f>
        <v>0</v>
      </c>
      <c r="AY28" s="99">
        <f>SUMIF($I33:$I45,$I28,AY33:AY45)</f>
        <v>0</v>
      </c>
      <c r="AZ28" s="99">
        <f>SUMIF($I33:$I45,$I28,AZ33:AZ45)</f>
        <v>0</v>
      </c>
      <c r="BA28" s="99">
        <f>SUMIF($I33:$I45,$I28,BA33:BA45)</f>
        <v>0</v>
      </c>
      <c r="BB28" s="99">
        <f>SUMIF($I33:$I45,$I28,BB33:BB45)</f>
        <v>0</v>
      </c>
      <c r="BC28" s="99">
        <f>SUMIF($I33:$I45,$I28,BC33:BC45)</f>
        <v>0</v>
      </c>
      <c r="BD28" s="557">
        <f>SUMIF($I33:$I45,$I28,BD33:BD45)</f>
        <v>0</v>
      </c>
      <c r="BE28" s="99">
        <f>SUMIF($I33:$I45,$I28,BE33:BE45)</f>
        <v>0</v>
      </c>
      <c r="BF28" s="99">
        <f>SUMIF($I33:$I45,$I28,BF33:BF45)</f>
        <v>0</v>
      </c>
      <c r="BG28" s="99">
        <f>SUMIF($I33:$I45,$I28,BG33:BG45)</f>
        <v>0</v>
      </c>
      <c r="BH28" s="99">
        <f>SUMIF($I33:$I45,$I28,BH33:BH45)</f>
        <v>0</v>
      </c>
      <c r="BI28" s="99">
        <f>SUMIF($I33:$I45,$I28,BI33:BI45)</f>
        <v>0</v>
      </c>
      <c r="BJ28" s="99">
        <f>SUMIF($I33:$I45,$I28,BJ33:BJ45)</f>
        <v>0</v>
      </c>
      <c r="BK28" s="99">
        <f>SUMIF($I33:$I45,$I28,BK33:BK45)</f>
        <v>0</v>
      </c>
      <c r="BL28" s="99">
        <f>SUMIF($I33:$I45,$I28,BL33:BL45)</f>
        <v>0</v>
      </c>
      <c r="BM28" s="99">
        <f>SUMIF($I33:$I45,$I28,BM33:BM45)</f>
        <v>0</v>
      </c>
      <c r="BN28" s="99">
        <f>SUMIF($I33:$I45,$I28,BN33:BN45)</f>
        <v>0</v>
      </c>
      <c r="BO28" s="99">
        <f>SUMIF($I33:$I45,$I28,BO33:BO45)</f>
        <v>0</v>
      </c>
      <c r="BP28" s="99">
        <f>SUMIF($I33:$I45,$I28,BP33:BP45)</f>
        <v>0</v>
      </c>
      <c r="BQ28" s="99">
        <f>SUMIF($I33:$I45,$I28,BQ33:BQ45)</f>
        <v>0</v>
      </c>
      <c r="BR28" s="99">
        <f>SUMIF($I33:$I45,$I28,BR33:BR45)</f>
        <v>0</v>
      </c>
      <c r="BS28" s="99">
        <f>SUMIF($I33:$I45,$I28,BS33:BS45)</f>
        <v>0</v>
      </c>
      <c r="BT28" s="99">
        <f>SUMIF($I33:$I45,$I28,BT33:BT45)</f>
        <v>0</v>
      </c>
      <c r="BU28" s="99">
        <f>SUMIF($I33:$I45,$I28,BU33:BU45)</f>
        <v>0</v>
      </c>
      <c r="BV28" s="99">
        <f>SUMIF($I33:$I45,$I28,BV33:BV45)</f>
        <v>0</v>
      </c>
      <c r="BW28" s="99">
        <f>SUMIF($I33:$I45,$I28,BW33:BW45)</f>
        <v>0</v>
      </c>
      <c r="BX28" s="86"/>
      <c r="CA28" s="489" t="s">
        <v>1042</v>
      </c>
      <c r="CB28" s="984"/>
      <c r="CC28" s="984"/>
      <c r="CD28" s="984"/>
      <c r="CE28" s="985"/>
      <c r="CF28" s="985"/>
      <c r="CH28" s="1500" cm="1" t="str">
        <f t="array" ref="CH28:CH28">INDEX('Общие сведения'!$N$170:$N$202,MATCH($F28,'Общие сведения'!$Y$170:$Y$202,0)+1)</f>
        <v>0</v>
      </c>
      <c r="CI28" s="1501" t="s">
        <v>1043</v>
      </c>
      <c r="CJ28" s="1501"/>
      <c r="CK28" s="1501"/>
      <c r="CL28" s="1501"/>
      <c r="CM28" s="1501" t="s">
        <v>219</v>
      </c>
      <c r="CN28" s="1501"/>
      <c r="CO28" s="1501" t="s">
        <v>303</v>
      </c>
      <c r="CP28" s="1501" t="s">
        <v>1044</v>
      </c>
      <c r="CQ28" s="1501" t="s">
        <v>1045</v>
      </c>
    </row>
    <row s="1721" customFormat="1" customHeight="1" ht="16.575" hidden="1">
      <c r="E29" s="284">
        <v>17</v>
      </c>
      <c r="F29" s="175" cm="1" t="str">
        <f t="array" ref="F29:F29">OFFSET(G29,-1,-1)</f>
        <v>0</v>
      </c>
      <c r="T29" s="973" cm="1" t="str">
        <f t="array" ref="T29:T29">T28</f>
        <v>false</v>
      </c>
      <c r="AB29" s="559">
        <v>1.1</v>
      </c>
      <c r="AC29" s="560" t="s">
        <v>1046</v>
      </c>
      <c r="AD29" s="560"/>
      <c r="AE29" s="328" t="s">
        <v>807</v>
      </c>
      <c r="AF29" s="346">
        <f>SUMIF($AE33:$AE45,$AE29,AF33:AF45)</f>
        <v>0</v>
      </c>
      <c r="AG29" s="346">
        <f>SUMIF($AE33:$AE45,$AE29,AG33:AG45)</f>
        <v>0</v>
      </c>
      <c r="AH29" s="346">
        <f>SUMIF($AE33:$AE45,$AE29,AH33:AH45)</f>
        <v>0</v>
      </c>
      <c r="AI29" s="346">
        <f>SUMIF($AE33:$AE45,$AE29,AI33:AI45)</f>
        <v>0</v>
      </c>
      <c r="AJ29" s="346">
        <f>SUMIF($AE33:$AE45,$AE29,AJ33:AJ45)</f>
        <v>0</v>
      </c>
      <c r="AK29" s="68">
        <f>SUMIF($AE33:$AE45,$AE29,AK33:AK45)</f>
        <v>0</v>
      </c>
      <c r="AL29" s="68">
        <f>SUMIF($AE33:$AE45,$AE29,AL33:AL45)</f>
        <v>0</v>
      </c>
      <c r="AM29" s="68">
        <f>SUMIF($AE33:$AE45,$AE29,AM33:AM45)</f>
        <v>0</v>
      </c>
      <c r="AN29" s="68">
        <f>SUMIF($AE33:$AE45,$AE29,AN33:AN45)</f>
        <v>0</v>
      </c>
      <c r="AO29" s="68">
        <f>SUMIF($AE33:$AE45,$AE29,AO33:AO45)</f>
        <v>0</v>
      </c>
      <c r="AP29" s="68">
        <f>SUMIF($AE33:$AE45,$AE29,AP33:AP45)</f>
        <v>0</v>
      </c>
      <c r="AQ29" s="68">
        <f>SUMIF($AE33:$AE45,$AE29,AQ33:AQ45)</f>
        <v>0</v>
      </c>
      <c r="AR29" s="68">
        <f>SUMIF($AE33:$AE45,$AE29,AR33:AR45)</f>
        <v>0</v>
      </c>
      <c r="AS29" s="68">
        <f>SUMIF($AE33:$AE45,$AE29,AS33:AS45)</f>
        <v>0</v>
      </c>
      <c r="AT29" s="68">
        <f>SUMIF($AE33:$AE45,$AE29,AT33:AT45)</f>
        <v>0</v>
      </c>
      <c r="AU29" s="68">
        <f>SUMIF($AE33:$AE45,$AE29,AU33:AU45)</f>
        <v>0</v>
      </c>
      <c r="AV29" s="68">
        <f>SUMIF($AE33:$AE45,$AE29,AV33:AV45)</f>
        <v>0</v>
      </c>
      <c r="AW29" s="68">
        <f>SUMIF($AE33:$AE45,$AE29,AW33:AW45)</f>
        <v>0</v>
      </c>
      <c r="AX29" s="68">
        <f>SUMIF($AE33:$AE45,$AE29,AX33:AX45)</f>
        <v>0</v>
      </c>
      <c r="AY29" s="68">
        <f>SUMIF($AE33:$AE45,$AE29,AY33:AY45)</f>
        <v>0</v>
      </c>
      <c r="AZ29" s="68">
        <f>SUMIF($AE33:$AE45,$AE29,AZ33:AZ45)</f>
        <v>0</v>
      </c>
      <c r="BA29" s="68">
        <f>SUMIF($AE33:$AE45,$AE29,BA33:BA45)</f>
        <v>0</v>
      </c>
      <c r="BB29" s="68">
        <f>SUMIF($AE33:$AE45,$AE29,BB33:BB45)</f>
        <v>0</v>
      </c>
      <c r="BC29" s="68">
        <f>SUMIF($AE33:$AE45,$AE29,BC33:BC45)</f>
        <v>0</v>
      </c>
      <c r="BD29" s="346">
        <f>SUMIF($AE33:$AE45,$AE29,BD33:BD45)</f>
        <v>0</v>
      </c>
      <c r="BE29" s="68">
        <f>SUMIF($AE33:$AE45,$AE29,BE33:BE45)</f>
        <v>0</v>
      </c>
      <c r="BF29" s="68">
        <f>SUMIF($AE33:$AE45,$AE29,BF33:BF45)</f>
        <v>0</v>
      </c>
      <c r="BG29" s="68">
        <f>SUMIF($AE33:$AE45,$AE29,BG33:BG45)</f>
        <v>0</v>
      </c>
      <c r="BH29" s="68">
        <f>SUMIF($AE33:$AE45,$AE29,BH33:BH45)</f>
        <v>0</v>
      </c>
      <c r="BI29" s="68">
        <f>SUMIF($AE33:$AE45,$AE29,BI33:BI45)</f>
        <v>0</v>
      </c>
      <c r="BJ29" s="68">
        <f>SUMIF($AE33:$AE45,$AE29,BJ33:BJ45)</f>
        <v>0</v>
      </c>
      <c r="BK29" s="68">
        <f>SUMIF($AE33:$AE45,$AE29,BK33:BK45)</f>
        <v>0</v>
      </c>
      <c r="BL29" s="68">
        <f>SUMIF($AE33:$AE45,$AE29,BL33:BL45)</f>
        <v>0</v>
      </c>
      <c r="BM29" s="68">
        <f>SUMIF($AE33:$AE45,$AE29,BM33:BM45)</f>
        <v>0</v>
      </c>
      <c r="BN29" s="68">
        <f>SUMIF($AE33:$AE45,$AE29,BN33:BN45)</f>
        <v>0</v>
      </c>
      <c r="BO29" s="68">
        <f>SUMIF($AE33:$AE45,$AE29,BO33:BO45)</f>
        <v>0</v>
      </c>
      <c r="BP29" s="68">
        <f>SUMIF($AE33:$AE45,$AE29,BP33:BP45)</f>
        <v>0</v>
      </c>
      <c r="BQ29" s="68">
        <f>SUMIF($AE33:$AE45,$AE29,BQ33:BQ45)</f>
        <v>0</v>
      </c>
      <c r="BR29" s="68">
        <f>SUMIF($AE33:$AE45,$AE29,BR33:BR45)</f>
        <v>0</v>
      </c>
      <c r="BS29" s="68">
        <f>SUMIF($AE33:$AE45,$AE29,BS33:BS45)</f>
        <v>0</v>
      </c>
      <c r="BT29" s="68">
        <f>SUMIF($AE33:$AE45,$AE29,BT33:BT45)</f>
        <v>0</v>
      </c>
      <c r="BU29" s="68">
        <f>SUMIF($AE33:$AE45,$AE29,BU33:BU45)</f>
        <v>0</v>
      </c>
      <c r="BV29" s="68">
        <f>SUMIF($AE33:$AE45,$AE29,BV33:BV45)</f>
        <v>0</v>
      </c>
      <c r="BW29" s="68">
        <f>SUMIF($AE33:$AE45,$AE29,BW33:BW45)</f>
        <v>0</v>
      </c>
      <c r="BX29" s="83"/>
      <c r="CA29" s="489" t="s">
        <v>1047</v>
      </c>
      <c r="CB29" s="984"/>
      <c r="CC29" s="984"/>
      <c r="CD29" s="984"/>
      <c r="CE29" s="985"/>
      <c r="CF29" s="985"/>
      <c r="CH29" s="1501" cm="1" t="str">
        <f t="array" ref="CH29:CH29">CH28</f>
        <v>0</v>
      </c>
      <c r="CI29" s="1501" t="s">
        <v>1043</v>
      </c>
      <c r="CJ29" s="1501"/>
      <c r="CK29" s="1501"/>
      <c r="CL29" s="1501"/>
      <c r="CM29" s="1501" t="s">
        <v>255</v>
      </c>
      <c r="CN29" s="1501"/>
      <c r="CO29" s="1501" t="s">
        <v>303</v>
      </c>
      <c r="CP29" s="1501" t="s">
        <v>1048</v>
      </c>
      <c r="CQ29" s="1501" t="s">
        <v>1049</v>
      </c>
    </row>
    <row s="1721" customFormat="1" customHeight="1" ht="16.575" hidden="1">
      <c r="E30" s="284">
        <v>17</v>
      </c>
      <c r="F30" s="175" cm="1" t="str">
        <f t="array" ref="F30:F30">OFFSET(G30,-1,-1)</f>
        <v>0</v>
      </c>
      <c r="T30" s="973" cm="1" t="str">
        <f t="array" ref="T30:T30">T29</f>
        <v>false</v>
      </c>
      <c r="AB30" s="559">
        <v>1.2</v>
      </c>
      <c r="AC30" s="560" t="s">
        <v>1050</v>
      </c>
      <c r="AD30" s="560"/>
      <c r="AE30" s="328" t="s">
        <v>629</v>
      </c>
      <c r="AF30" s="100">
        <f>IF($K27="передача тепловой энергии",_xlfn.SUMIFS('Баланс Тр'!AE$27:AE$43,'Баланс Тр'!$F$27:$F$43,$F30,'Баланс Тр'!$AB$27:$AB$43,"3"),_xlfn.SUMIFS('Баланс Пр'!AE$27:AE$165,'Баланс Пр'!$F$27:$F$165,$F30,'Баланс Пр'!$AB$27:$AB$165,"9.1"))</f>
        <v>0</v>
      </c>
      <c r="AG30" s="100">
        <f>IF($K27="передача тепловой энергии",_xlfn.SUMIFS('Баланс Тр'!AF$27:AF$43,'Баланс Тр'!$F$27:$F$43,$F30,'Баланс Тр'!$AB$27:$AB$43,"3"),_xlfn.SUMIFS('Баланс Пр'!AF$27:AF$165,'Баланс Пр'!$F$27:$F$165,$F30,'Баланс Пр'!$AB$27:$AB$165,"9.1"))</f>
        <v>0</v>
      </c>
      <c r="AH30" s="100">
        <f>IF($K27="передача тепловой энергии",_xlfn.SUMIFS('Баланс Тр'!AG$27:AG$43,'Баланс Тр'!$F$27:$F$43,$F30,'Баланс Тр'!$AB$27:$AB$43,"3"),_xlfn.SUMIFS('Баланс Пр'!AG$27:AG$165,'Баланс Пр'!$F$27:$F$165,$F30,'Баланс Пр'!$AB$27:$AB$165,"9.1"))</f>
        <v>0</v>
      </c>
      <c r="AI30" s="100">
        <f>IF($K27="передача тепловой энергии",_xlfn.SUMIFS('Баланс Тр'!AH$27:AH$43,'Баланс Тр'!$F$27:$F$43,$F30,'Баланс Тр'!$AB$27:$AB$43,"3"),_xlfn.SUMIFS('Баланс Пр'!AH$27:AH$165,'Баланс Пр'!$F$27:$F$165,$F30,'Баланс Пр'!$AB$27:$AB$165,"9.1"))</f>
        <v>0</v>
      </c>
      <c r="AJ30" s="561">
        <f>IF($K27="передача тепловой энергии",_xlfn.SUMIFS('Баланс Тр'!AI$27:AI$43,'Баланс Тр'!$F$27:$F$43,$F30,'Баланс Тр'!$AB$27:$AB$43,"3"),_xlfn.SUMIFS('Баланс Пр'!AI$27:AI$165,'Баланс Пр'!$F$27:$F$165,$F30,'Баланс Пр'!$AB$27:$AB$165,"9.1"))</f>
        <v>0</v>
      </c>
      <c r="AK30" s="100">
        <f>IF($K27="передача тепловой энергии",_xlfn.SUMIFS('Баланс Тр'!AJ$27:AJ$43,'Баланс Тр'!$F$27:$F$43,$F30,'Баланс Тр'!$AB$27:$AB$43,"3"),_xlfn.SUMIFS('Баланс Пр'!AJ$27:AJ$165,'Баланс Пр'!$F$27:$F$165,$F30,'Баланс Пр'!$AB$27:$AB$165,"9.1"))</f>
        <v>0</v>
      </c>
      <c r="AL30" s="100">
        <f>IF($K27="передача тепловой энергии",_xlfn.SUMIFS('Баланс Тр'!AK$27:AK$43,'Баланс Тр'!$F$27:$F$43,$F30,'Баланс Тр'!$AB$27:$AB$43,"3"),_xlfn.SUMIFS('Баланс Пр'!AK$27:AK$165,'Баланс Пр'!$F$27:$F$165,$F30,'Баланс Пр'!$AB$27:$AB$165,"9.1"))</f>
        <v>0</v>
      </c>
      <c r="AM30" s="100">
        <f>IF($K27="передача тепловой энергии",_xlfn.SUMIFS('Баланс Тр'!AL$27:AL$43,'Баланс Тр'!$F$27:$F$43,$F30,'Баланс Тр'!$AB$27:$AB$43,"3"),_xlfn.SUMIFS('Баланс Пр'!AL$27:AL$165,'Баланс Пр'!$F$27:$F$165,$F30,'Баланс Пр'!$AB$27:$AB$165,"9.1"))</f>
        <v>0</v>
      </c>
      <c r="AN30" s="100">
        <f>IF($K27="передача тепловой энергии",_xlfn.SUMIFS('Баланс Тр'!AM$27:AM$43,'Баланс Тр'!$F$27:$F$43,$F30,'Баланс Тр'!$AB$27:$AB$43,"3"),_xlfn.SUMIFS('Баланс Пр'!AM$27:AM$165,'Баланс Пр'!$F$27:$F$165,$F30,'Баланс Пр'!$AB$27:$AB$165,"9.1"))</f>
        <v>0</v>
      </c>
      <c r="AO30" s="100">
        <f>IF($K27="передача тепловой энергии",_xlfn.SUMIFS('Баланс Тр'!AN$27:AN$43,'Баланс Тр'!$F$27:$F$43,$F30,'Баланс Тр'!$AB$27:$AB$43,"3"),_xlfn.SUMIFS('Баланс Пр'!AN$27:AN$165,'Баланс Пр'!$F$27:$F$165,$F30,'Баланс Пр'!$AB$27:$AB$165,"9.1"))</f>
        <v>0</v>
      </c>
      <c r="AP30" s="100">
        <f>IF($K27="передача тепловой энергии",_xlfn.SUMIFS('Баланс Тр'!AO$27:AO$43,'Баланс Тр'!$F$27:$F$43,$F30,'Баланс Тр'!$AB$27:$AB$43,"3"),_xlfn.SUMIFS('Баланс Пр'!AO$27:AO$165,'Баланс Пр'!$F$27:$F$165,$F30,'Баланс Пр'!$AB$27:$AB$165,"9.1"))</f>
        <v>0</v>
      </c>
      <c r="AQ30" s="100">
        <f>IF($K27="передача тепловой энергии",_xlfn.SUMIFS('Баланс Тр'!AP$27:AP$43,'Баланс Тр'!$F$27:$F$43,$F30,'Баланс Тр'!$AB$27:$AB$43,"3"),_xlfn.SUMIFS('Баланс Пр'!AP$27:AP$165,'Баланс Пр'!$F$27:$F$165,$F30,'Баланс Пр'!$AB$27:$AB$165,"9.1"))</f>
        <v>0</v>
      </c>
      <c r="AR30" s="100">
        <f>IF($K27="передача тепловой энергии",_xlfn.SUMIFS('Баланс Тр'!AQ$27:AQ$43,'Баланс Тр'!$F$27:$F$43,$F30,'Баланс Тр'!$AB$27:$AB$43,"3"),_xlfn.SUMIFS('Баланс Пр'!AQ$27:AQ$165,'Баланс Пр'!$F$27:$F$165,$F30,'Баланс Пр'!$AB$27:$AB$165,"9.1"))</f>
        <v>0</v>
      </c>
      <c r="AS30" s="100">
        <f>IF($K27="передача тепловой энергии",_xlfn.SUMIFS('Баланс Тр'!AR$27:AR$43,'Баланс Тр'!$F$27:$F$43,$F30,'Баланс Тр'!$AB$27:$AB$43,"3"),_xlfn.SUMIFS('Баланс Пр'!AR$27:AR$165,'Баланс Пр'!$F$27:$F$165,$F30,'Баланс Пр'!$AB$27:$AB$165,"9.1"))</f>
        <v>0</v>
      </c>
      <c r="AT30" s="100">
        <f>IF($K27="передача тепловой энергии",_xlfn.SUMIFS('Баланс Тр'!AS$27:AS$43,'Баланс Тр'!$F$27:$F$43,$F30,'Баланс Тр'!$AB$27:$AB$43,"3"),_xlfn.SUMIFS('Баланс Пр'!AS$27:AS$165,'Баланс Пр'!$F$27:$F$165,$F30,'Баланс Пр'!$AB$27:$AB$165,"9.1"))</f>
        <v>0</v>
      </c>
      <c r="AU30" s="100">
        <f>IF($K27="передача тепловой энергии",_xlfn.SUMIFS('Баланс Тр'!AT$27:AT$43,'Баланс Тр'!$F$27:$F$43,$F30,'Баланс Тр'!$AB$27:$AB$43,"3"),_xlfn.SUMIFS('Баланс Пр'!AT$27:AT$165,'Баланс Пр'!$F$27:$F$165,$F30,'Баланс Пр'!$AB$27:$AB$165,"9.1"))</f>
        <v>0</v>
      </c>
      <c r="AV30" s="100">
        <f>IF($K27="передача тепловой энергии",_xlfn.SUMIFS('Баланс Тр'!AU$27:AU$43,'Баланс Тр'!$F$27:$F$43,$F30,'Баланс Тр'!$AB$27:$AB$43,"3"),_xlfn.SUMIFS('Баланс Пр'!AU$27:AU$165,'Баланс Пр'!$F$27:$F$165,$F30,'Баланс Пр'!$AB$27:$AB$165,"9.1"))</f>
        <v>0</v>
      </c>
      <c r="AW30" s="100">
        <f>IF($K27="передача тепловой энергии",_xlfn.SUMIFS('Баланс Тр'!AV$27:AV$43,'Баланс Тр'!$F$27:$F$43,$F30,'Баланс Тр'!$AB$27:$AB$43,"3"),_xlfn.SUMIFS('Баланс Пр'!AV$27:AV$165,'Баланс Пр'!$F$27:$F$165,$F30,'Баланс Пр'!$AB$27:$AB$165,"9.1"))</f>
        <v>0</v>
      </c>
      <c r="AX30" s="100">
        <f>IF($K27="передача тепловой энергии",_xlfn.SUMIFS('Баланс Тр'!AW$27:AW$43,'Баланс Тр'!$F$27:$F$43,$F30,'Баланс Тр'!$AB$27:$AB$43,"3"),_xlfn.SUMIFS('Баланс Пр'!AW$27:AW$165,'Баланс Пр'!$F$27:$F$165,$F30,'Баланс Пр'!$AB$27:$AB$165,"9.1"))</f>
        <v>0</v>
      </c>
      <c r="AY30" s="100">
        <f>IF($K27="передача тепловой энергии",_xlfn.SUMIFS('Баланс Тр'!AX$27:AX$43,'Баланс Тр'!$F$27:$F$43,$F30,'Баланс Тр'!$AB$27:$AB$43,"3"),_xlfn.SUMIFS('Баланс Пр'!AX$27:AX$165,'Баланс Пр'!$F$27:$F$165,$F30,'Баланс Пр'!$AB$27:$AB$165,"9.1"))</f>
        <v>0</v>
      </c>
      <c r="AZ30" s="100">
        <f>IF($K27="передача тепловой энергии",_xlfn.SUMIFS('Баланс Тр'!AY$27:AY$43,'Баланс Тр'!$F$27:$F$43,$F30,'Баланс Тр'!$AB$27:$AB$43,"3"),_xlfn.SUMIFS('Баланс Пр'!AY$27:AY$165,'Баланс Пр'!$F$27:$F$165,$F30,'Баланс Пр'!$AB$27:$AB$165,"9.1"))</f>
        <v>0</v>
      </c>
      <c r="BA30" s="100">
        <f>IF($K27="передача тепловой энергии",_xlfn.SUMIFS('Баланс Тр'!AZ$27:AZ$43,'Баланс Тр'!$F$27:$F$43,$F30,'Баланс Тр'!$AB$27:$AB$43,"3"),_xlfn.SUMIFS('Баланс Пр'!AZ$27:AZ$165,'Баланс Пр'!$F$27:$F$165,$F30,'Баланс Пр'!$AB$27:$AB$165,"9.1"))</f>
        <v>0</v>
      </c>
      <c r="BB30" s="100">
        <f>IF($K27="передача тепловой энергии",_xlfn.SUMIFS('Баланс Тр'!BA$27:BA$43,'Баланс Тр'!$F$27:$F$43,$F30,'Баланс Тр'!$AB$27:$AB$43,"3"),_xlfn.SUMIFS('Баланс Пр'!BA$27:BA$165,'Баланс Пр'!$F$27:$F$165,$F30,'Баланс Пр'!$AB$27:$AB$165,"9.1"))</f>
        <v>0</v>
      </c>
      <c r="BC30" s="100">
        <f>IF($K27="передача тепловой энергии",_xlfn.SUMIFS('Баланс Тр'!BB$27:BB$43,'Баланс Тр'!$F$27:$F$43,$F30,'Баланс Тр'!$AB$27:$AB$43,"3"),_xlfn.SUMIFS('Баланс Пр'!BB$27:BB$165,'Баланс Пр'!$F$27:$F$165,$F30,'Баланс Пр'!$AB$27:$AB$165,"9.1"))</f>
        <v>0</v>
      </c>
      <c r="BD30" s="561">
        <f>IF($K27="передача тепловой энергии",_xlfn.SUMIFS('Баланс Тр'!BC$27:BC$43,'Баланс Тр'!$F$27:$F$43,$F30,'Баланс Тр'!$AB$27:$AB$43,"3"),_xlfn.SUMIFS('Баланс Пр'!BC$27:BC$165,'Баланс Пр'!$F$27:$F$165,$F30,'Баланс Пр'!$AB$27:$AB$165,"9.1"))</f>
        <v>0</v>
      </c>
      <c r="BE30" s="100">
        <f>IF($K27="передача тепловой энергии",_xlfn.SUMIFS('Баланс Тр'!BD$27:BD$43,'Баланс Тр'!$F$27:$F$43,$F30,'Баланс Тр'!$AB$27:$AB$43,"3"),_xlfn.SUMIFS('Баланс Пр'!BD$27:BD$165,'Баланс Пр'!$F$27:$F$165,$F30,'Баланс Пр'!$AB$27:$AB$165,"9.1"))</f>
        <v>0</v>
      </c>
      <c r="BF30" s="100">
        <f>IF($K27="передача тепловой энергии",_xlfn.SUMIFS('Баланс Тр'!BE$27:BE$43,'Баланс Тр'!$F$27:$F$43,$F30,'Баланс Тр'!$AB$27:$AB$43,"3"),_xlfn.SUMIFS('Баланс Пр'!BE$27:BE$165,'Баланс Пр'!$F$27:$F$165,$F30,'Баланс Пр'!$AB$27:$AB$165,"9.1"))</f>
        <v>0</v>
      </c>
      <c r="BG30" s="100">
        <f>IF($K27="передача тепловой энергии",_xlfn.SUMIFS('Баланс Тр'!BF$27:BF$43,'Баланс Тр'!$F$27:$F$43,$F30,'Баланс Тр'!$AB$27:$AB$43,"3"),_xlfn.SUMIFS('Баланс Пр'!BF$27:BF$165,'Баланс Пр'!$F$27:$F$165,$F30,'Баланс Пр'!$AB$27:$AB$165,"9.1"))</f>
        <v>0</v>
      </c>
      <c r="BH30" s="100">
        <f>IF($K27="передача тепловой энергии",_xlfn.SUMIFS('Баланс Тр'!BG$27:BG$43,'Баланс Тр'!$F$27:$F$43,$F30,'Баланс Тр'!$AB$27:$AB$43,"3"),_xlfn.SUMIFS('Баланс Пр'!BG$27:BG$165,'Баланс Пр'!$F$27:$F$165,$F30,'Баланс Пр'!$AB$27:$AB$165,"9.1"))</f>
        <v>0</v>
      </c>
      <c r="BI30" s="100">
        <f>IF($K27="передача тепловой энергии",_xlfn.SUMIFS('Баланс Тр'!BH$27:BH$43,'Баланс Тр'!$F$27:$F$43,$F30,'Баланс Тр'!$AB$27:$AB$43,"3"),_xlfn.SUMIFS('Баланс Пр'!BH$27:BH$165,'Баланс Пр'!$F$27:$F$165,$F30,'Баланс Пр'!$AB$27:$AB$165,"9.1"))</f>
        <v>0</v>
      </c>
      <c r="BJ30" s="100">
        <f>IF($K27="передача тепловой энергии",_xlfn.SUMIFS('Баланс Тр'!BI$27:BI$43,'Баланс Тр'!$F$27:$F$43,$F30,'Баланс Тр'!$AB$27:$AB$43,"3"),_xlfn.SUMIFS('Баланс Пр'!BI$27:BI$165,'Баланс Пр'!$F$27:$F$165,$F30,'Баланс Пр'!$AB$27:$AB$165,"9.1"))</f>
        <v>0</v>
      </c>
      <c r="BK30" s="100">
        <f>IF($K27="передача тепловой энергии",_xlfn.SUMIFS('Баланс Тр'!BJ$27:BJ$43,'Баланс Тр'!$F$27:$F$43,$F30,'Баланс Тр'!$AB$27:$AB$43,"3"),_xlfn.SUMIFS('Баланс Пр'!BJ$27:BJ$165,'Баланс Пр'!$F$27:$F$165,$F30,'Баланс Пр'!$AB$27:$AB$165,"9.1"))</f>
        <v>0</v>
      </c>
      <c r="BL30" s="100">
        <f>IF($K27="передача тепловой энергии",_xlfn.SUMIFS('Баланс Тр'!BK$27:BK$43,'Баланс Тр'!$F$27:$F$43,$F30,'Баланс Тр'!$AB$27:$AB$43,"3"),_xlfn.SUMIFS('Баланс Пр'!BK$27:BK$165,'Баланс Пр'!$F$27:$F$165,$F30,'Баланс Пр'!$AB$27:$AB$165,"9.1"))</f>
        <v>0</v>
      </c>
      <c r="BM30" s="100">
        <f>IF($K27="передача тепловой энергии",_xlfn.SUMIFS('Баланс Тр'!BL$27:BL$43,'Баланс Тр'!$F$27:$F$43,$F30,'Баланс Тр'!$AB$27:$AB$43,"3"),_xlfn.SUMIFS('Баланс Пр'!BL$27:BL$165,'Баланс Пр'!$F$27:$F$165,$F30,'Баланс Пр'!$AB$27:$AB$165,"9.1"))</f>
        <v>0</v>
      </c>
      <c r="BN30" s="100">
        <f>IF($K27="передача тепловой энергии",_xlfn.SUMIFS('Баланс Тр'!BM$27:BM$43,'Баланс Тр'!$F$27:$F$43,$F30,'Баланс Тр'!$AB$27:$AB$43,"3"),_xlfn.SUMIFS('Баланс Пр'!BM$27:BM$165,'Баланс Пр'!$F$27:$F$165,$F30,'Баланс Пр'!$AB$27:$AB$165,"9.1"))</f>
        <v>0</v>
      </c>
      <c r="BO30" s="100">
        <f>IF($K27="передача тепловой энергии",_xlfn.SUMIFS('Баланс Тр'!BN$27:BN$43,'Баланс Тр'!$F$27:$F$43,$F30,'Баланс Тр'!$AB$27:$AB$43,"3"),_xlfn.SUMIFS('Баланс Пр'!BN$27:BN$165,'Баланс Пр'!$F$27:$F$165,$F30,'Баланс Пр'!$AB$27:$AB$165,"9.1"))</f>
        <v>0</v>
      </c>
      <c r="BP30" s="100">
        <f>IF($K27="передача тепловой энергии",_xlfn.SUMIFS('Баланс Тр'!BO$27:BO$43,'Баланс Тр'!$F$27:$F$43,$F30,'Баланс Тр'!$AB$27:$AB$43,"3"),_xlfn.SUMIFS('Баланс Пр'!BO$27:BO$165,'Баланс Пр'!$F$27:$F$165,$F30,'Баланс Пр'!$AB$27:$AB$165,"9.1"))</f>
        <v>0</v>
      </c>
      <c r="BQ30" s="100">
        <f>IF($K27="передача тепловой энергии",_xlfn.SUMIFS('Баланс Тр'!BP$27:BP$43,'Баланс Тр'!$F$27:$F$43,$F30,'Баланс Тр'!$AB$27:$AB$43,"3"),_xlfn.SUMIFS('Баланс Пр'!BP$27:BP$165,'Баланс Пр'!$F$27:$F$165,$F30,'Баланс Пр'!$AB$27:$AB$165,"9.1"))</f>
        <v>0</v>
      </c>
      <c r="BR30" s="100">
        <f>IF($K27="передача тепловой энергии",_xlfn.SUMIFS('Баланс Тр'!BQ$27:BQ$43,'Баланс Тр'!$F$27:$F$43,$F30,'Баланс Тр'!$AB$27:$AB$43,"3"),_xlfn.SUMIFS('Баланс Пр'!BQ$27:BQ$165,'Баланс Пр'!$F$27:$F$165,$F30,'Баланс Пр'!$AB$27:$AB$165,"9.1"))</f>
        <v>0</v>
      </c>
      <c r="BS30" s="100">
        <f>IF($K27="передача тепловой энергии",_xlfn.SUMIFS('Баланс Тр'!BR$27:BR$43,'Баланс Тр'!$F$27:$F$43,$F30,'Баланс Тр'!$AB$27:$AB$43,"3"),_xlfn.SUMIFS('Баланс Пр'!BR$27:BR$165,'Баланс Пр'!$F$27:$F$165,$F30,'Баланс Пр'!$AB$27:$AB$165,"9.1"))</f>
        <v>0</v>
      </c>
      <c r="BT30" s="100">
        <f>IF($K27="передача тепловой энергии",_xlfn.SUMIFS('Баланс Тр'!BS$27:BS$43,'Баланс Тр'!$F$27:$F$43,$F30,'Баланс Тр'!$AB$27:$AB$43,"3"),_xlfn.SUMIFS('Баланс Пр'!BS$27:BS$165,'Баланс Пр'!$F$27:$F$165,$F30,'Баланс Пр'!$AB$27:$AB$165,"9.1"))</f>
        <v>0</v>
      </c>
      <c r="BU30" s="100">
        <f>IF($K27="передача тепловой энергии",_xlfn.SUMIFS('Баланс Тр'!BT$27:BT$43,'Баланс Тр'!$F$27:$F$43,$F30,'Баланс Тр'!$AB$27:$AB$43,"3"),_xlfn.SUMIFS('Баланс Пр'!BT$27:BT$165,'Баланс Пр'!$F$27:$F$165,$F30,'Баланс Пр'!$AB$27:$AB$165,"9.1"))</f>
        <v>0</v>
      </c>
      <c r="BV30" s="100">
        <f>IF($K27="передача тепловой энергии",_xlfn.SUMIFS('Баланс Тр'!BU$27:BU$43,'Баланс Тр'!$F$27:$F$43,$F30,'Баланс Тр'!$AB$27:$AB$43,"3"),_xlfn.SUMIFS('Баланс Пр'!BU$27:BU$165,'Баланс Пр'!$F$27:$F$165,$F30,'Баланс Пр'!$AB$27:$AB$165,"9.1"))</f>
        <v>0</v>
      </c>
      <c r="BW30" s="100">
        <f>IF($K27="передача тепловой энергии",_xlfn.SUMIFS('Баланс Тр'!BV$27:BV$43,'Баланс Тр'!$F$27:$F$43,$F30,'Баланс Тр'!$AB$27:$AB$43,"3"),_xlfn.SUMIFS('Баланс Пр'!BV$27:BV$165,'Баланс Пр'!$F$27:$F$165,$F30,'Баланс Пр'!$AB$27:$AB$165,"9.1"))</f>
        <v>0</v>
      </c>
      <c r="BX30" s="83"/>
      <c r="CA30" s="489" t="s">
        <v>844</v>
      </c>
      <c r="CB30" s="984"/>
      <c r="CC30" s="984"/>
      <c r="CD30" s="984"/>
      <c r="CE30" s="985"/>
      <c r="CF30" s="985"/>
      <c r="CH30" s="1501" cm="1" t="str">
        <f t="array" ref="CH30:CH30">CH29</f>
        <v>0</v>
      </c>
      <c r="CI30" s="1501" t="s">
        <v>1043</v>
      </c>
      <c r="CJ30" s="1501"/>
      <c r="CK30" s="1501"/>
      <c r="CL30" s="1501"/>
      <c r="CM30" s="1501" t="s">
        <v>449</v>
      </c>
      <c r="CN30" s="1501"/>
      <c r="CO30" s="1501" t="s">
        <v>303</v>
      </c>
      <c r="CP30" s="1501" t="s">
        <v>1051</v>
      </c>
      <c r="CQ30" s="1501" t="s">
        <v>1052</v>
      </c>
    </row>
    <row s="1721" customFormat="1" customHeight="1" ht="16.575" hidden="1">
      <c r="E31" s="284">
        <v>17</v>
      </c>
      <c r="F31" s="175" cm="1" t="str">
        <f t="array" ref="F31:F31">OFFSET(G31,-1,-1)</f>
        <v>0</v>
      </c>
      <c r="T31" s="973" cm="1" t="str">
        <f t="array" ref="T31:T31">T30</f>
        <v>false</v>
      </c>
      <c r="AB31" s="559">
        <v>1.3</v>
      </c>
      <c r="AC31" s="560" t="s">
        <v>1053</v>
      </c>
      <c r="AD31" s="560"/>
      <c r="AE31" s="328" t="s">
        <v>1054</v>
      </c>
      <c r="AF31" s="346">
        <f>IF(AF29=0,0,AF28/AF29)</f>
        <v>0</v>
      </c>
      <c r="AG31" s="346">
        <f>IF(AG29=0,0,AG28/AG29)</f>
        <v>0</v>
      </c>
      <c r="AH31" s="346">
        <f>IF(AH29=0,0,AH28/AH29)</f>
        <v>0</v>
      </c>
      <c r="AI31" s="346">
        <f>IF(AI29=0,0,AI28/AI29)</f>
        <v>0</v>
      </c>
      <c r="AJ31" s="346">
        <f>IF(AJ29=0,0,AJ28/AJ29)</f>
        <v>0</v>
      </c>
      <c r="AK31" s="68">
        <f>IF(AK29=0,0,AK28/AK29)</f>
        <v>0</v>
      </c>
      <c r="AL31" s="68">
        <f>IF(AL29=0,0,AL28/AL29)</f>
        <v>0</v>
      </c>
      <c r="AM31" s="68">
        <f>IF(AM29=0,0,AM28/AM29)</f>
        <v>0</v>
      </c>
      <c r="AN31" s="68">
        <f>IF(AN29=0,0,AN28/AN29)</f>
        <v>0</v>
      </c>
      <c r="AO31" s="68">
        <f>IF(AO29=0,0,AO28/AO29)</f>
        <v>0</v>
      </c>
      <c r="AP31" s="68">
        <f>IF(AP29=0,0,AP28/AP29)</f>
        <v>0</v>
      </c>
      <c r="AQ31" s="68">
        <f>IF(AQ29=0,0,AQ28/AQ29)</f>
        <v>0</v>
      </c>
      <c r="AR31" s="68">
        <f>IF(AR29=0,0,AR28/AR29)</f>
        <v>0</v>
      </c>
      <c r="AS31" s="68">
        <f>IF(AS29=0,0,AS28/AS29)</f>
        <v>0</v>
      </c>
      <c r="AT31" s="68">
        <f>IF(AT29=0,0,AT28/AT29)</f>
        <v>0</v>
      </c>
      <c r="AU31" s="68">
        <f>IF(AU29=0,0,AU28/AU29)</f>
        <v>0</v>
      </c>
      <c r="AV31" s="68">
        <f>IF(AV29=0,0,AV28/AV29)</f>
        <v>0</v>
      </c>
      <c r="AW31" s="68">
        <f>IF(AW29=0,0,AW28/AW29)</f>
        <v>0</v>
      </c>
      <c r="AX31" s="68">
        <f>IF(AX29=0,0,AX28/AX29)</f>
        <v>0</v>
      </c>
      <c r="AY31" s="68">
        <f>IF(AY29=0,0,AY28/AY29)</f>
        <v>0</v>
      </c>
      <c r="AZ31" s="68">
        <f>IF(AZ29=0,0,AZ28/AZ29)</f>
        <v>0</v>
      </c>
      <c r="BA31" s="68">
        <f>IF(BA29=0,0,BA28/BA29)</f>
        <v>0</v>
      </c>
      <c r="BB31" s="68">
        <f>IF(BB29=0,0,BB28/BB29)</f>
        <v>0</v>
      </c>
      <c r="BC31" s="68">
        <f>IF(BC29=0,0,BC28/BC29)</f>
        <v>0</v>
      </c>
      <c r="BD31" s="346">
        <f>IF(BD29=0,0,BD28/BD29)</f>
        <v>0</v>
      </c>
      <c r="BE31" s="68">
        <f>IF(BE29=0,0,BE28/BE29)</f>
        <v>0</v>
      </c>
      <c r="BF31" s="68">
        <f>IF(BF29=0,0,BF28/BF29)</f>
        <v>0</v>
      </c>
      <c r="BG31" s="68">
        <f>IF(BG29=0,0,BG28/BG29)</f>
        <v>0</v>
      </c>
      <c r="BH31" s="68">
        <f>IF(BH29=0,0,BH28/BH29)</f>
        <v>0</v>
      </c>
      <c r="BI31" s="68">
        <f>IF(BI29=0,0,BI28/BI29)</f>
        <v>0</v>
      </c>
      <c r="BJ31" s="68">
        <f>IF(BJ29=0,0,BJ28/BJ29)</f>
        <v>0</v>
      </c>
      <c r="BK31" s="68">
        <f>IF(BK29=0,0,BK28/BK29)</f>
        <v>0</v>
      </c>
      <c r="BL31" s="68">
        <f>IF(BL29=0,0,BL28/BL29)</f>
        <v>0</v>
      </c>
      <c r="BM31" s="68">
        <f>IF(BM29=0,0,BM28/BM29)</f>
        <v>0</v>
      </c>
      <c r="BN31" s="68">
        <f>IF(BN29=0,0,BN28/BN29)</f>
        <v>0</v>
      </c>
      <c r="BO31" s="68">
        <f>IF(BO29=0,0,BO28/BO29)</f>
        <v>0</v>
      </c>
      <c r="BP31" s="68">
        <f>IF(BP29=0,0,BP28/BP29)</f>
        <v>0</v>
      </c>
      <c r="BQ31" s="68">
        <f>IF(BQ29=0,0,BQ28/BQ29)</f>
        <v>0</v>
      </c>
      <c r="BR31" s="68">
        <f>IF(BR29=0,0,BR28/BR29)</f>
        <v>0</v>
      </c>
      <c r="BS31" s="68">
        <f>IF(BS29=0,0,BS28/BS29)</f>
        <v>0</v>
      </c>
      <c r="BT31" s="68">
        <f>IF(BT29=0,0,BT28/BT29)</f>
        <v>0</v>
      </c>
      <c r="BU31" s="68">
        <f>IF(BU29=0,0,BU28/BU29)</f>
        <v>0</v>
      </c>
      <c r="BV31" s="68">
        <f>IF(BV29=0,0,BV28/BV29)</f>
        <v>0</v>
      </c>
      <c r="BW31" s="68">
        <f>IF(BW29=0,0,BW28/BW29)</f>
        <v>0</v>
      </c>
      <c r="BX31" s="83"/>
      <c r="CA31" s="489" t="s">
        <v>1055</v>
      </c>
      <c r="CB31" s="984"/>
      <c r="CC31" s="984"/>
      <c r="CD31" s="984"/>
      <c r="CE31" s="985"/>
      <c r="CF31" s="985"/>
      <c r="CH31" s="1501" cm="1" t="str">
        <f t="array" ref="CH31:CH31">CH30</f>
        <v>0</v>
      </c>
      <c r="CI31" s="1501" t="s">
        <v>1043</v>
      </c>
      <c r="CJ31" s="1501"/>
      <c r="CK31" s="1501"/>
      <c r="CL31" s="1501"/>
      <c r="CM31" s="1501" t="s">
        <v>883</v>
      </c>
      <c r="CN31" s="1501"/>
      <c r="CO31" s="1501" t="s">
        <v>303</v>
      </c>
      <c r="CP31" s="1501" t="s">
        <v>1056</v>
      </c>
      <c r="CQ31" s="1501" t="s">
        <v>1057</v>
      </c>
    </row>
    <row s="1721" customFormat="1" customHeight="1" ht="16.575" hidden="1">
      <c r="E32" s="284">
        <v>17</v>
      </c>
      <c r="F32" s="175" cm="1" t="str">
        <f t="array" ref="F32:F32">OFFSET(G32,-1,-1)</f>
        <v>0</v>
      </c>
      <c r="T32" s="973" cm="1" t="str">
        <f t="array" ref="T32:T32">T31</f>
        <v>false</v>
      </c>
      <c r="AB32" s="559">
        <v>1.4</v>
      </c>
      <c r="AC32" s="560" t="s">
        <v>1058</v>
      </c>
      <c r="AD32" s="560"/>
      <c r="AE32" s="328" t="s">
        <v>826</v>
      </c>
      <c r="AF32" s="562">
        <f>IF(AF30=0,0,AF29/AF30)*1000</f>
        <v>0</v>
      </c>
      <c r="AG32" s="562">
        <f>IF(AG30=0,0,AG29/AG30)*1000</f>
        <v>0</v>
      </c>
      <c r="AH32" s="562">
        <f>IF(AH30=0,0,AH29/AH30)*1000</f>
        <v>0</v>
      </c>
      <c r="AI32" s="562">
        <f>IF(AI30=0,0,AI29/AI30)*1000</f>
        <v>0</v>
      </c>
      <c r="AJ32" s="562">
        <f>IF(AJ30=0,0,AJ29/AJ30)*1000</f>
        <v>0</v>
      </c>
      <c r="AK32" s="101">
        <f>IF(AK30=0,0,AK29/AK30)*1000</f>
        <v>0</v>
      </c>
      <c r="AL32" s="101">
        <f>IF(AL30=0,0,AL29/AL30)*1000</f>
        <v>0</v>
      </c>
      <c r="AM32" s="101">
        <f>IF(AM30=0,0,AM29/AM30)*1000</f>
        <v>0</v>
      </c>
      <c r="AN32" s="101">
        <f>IF(AN30=0,0,AN29/AN30)*1000</f>
        <v>0</v>
      </c>
      <c r="AO32" s="101">
        <f>IF(AO30=0,0,AO29/AO30)*1000</f>
        <v>0</v>
      </c>
      <c r="AP32" s="101">
        <f>IF(AP30=0,0,AP29/AP30)*1000</f>
        <v>0</v>
      </c>
      <c r="AQ32" s="101">
        <f>IF(AQ30=0,0,AQ29/AQ30)*1000</f>
        <v>0</v>
      </c>
      <c r="AR32" s="101">
        <f>IF(AR30=0,0,AR29/AR30)*1000</f>
        <v>0</v>
      </c>
      <c r="AS32" s="101">
        <f>IF(AS30=0,0,AS29/AS30)*1000</f>
        <v>0</v>
      </c>
      <c r="AT32" s="101">
        <f>IF(AT30=0,0,AT29/AT30)*1000</f>
        <v>0</v>
      </c>
      <c r="AU32" s="101">
        <f>IF(AU30=0,0,AU29/AU30)*1000</f>
        <v>0</v>
      </c>
      <c r="AV32" s="101">
        <f>IF(AV30=0,0,AV29/AV30)*1000</f>
        <v>0</v>
      </c>
      <c r="AW32" s="101">
        <f>IF(AW30=0,0,AW29/AW30)*1000</f>
        <v>0</v>
      </c>
      <c r="AX32" s="101">
        <f>IF(AX30=0,0,AX29/AX30)*1000</f>
        <v>0</v>
      </c>
      <c r="AY32" s="101">
        <f>IF(AY30=0,0,AY29/AY30)*1000</f>
        <v>0</v>
      </c>
      <c r="AZ32" s="101">
        <f>IF(AZ30=0,0,AZ29/AZ30)*1000</f>
        <v>0</v>
      </c>
      <c r="BA32" s="101">
        <f>IF(BA30=0,0,BA29/BA30)*1000</f>
        <v>0</v>
      </c>
      <c r="BB32" s="101">
        <f>IF(BB30=0,0,BB29/BB30)*1000</f>
        <v>0</v>
      </c>
      <c r="BC32" s="101">
        <f>IF(BC30=0,0,BC29/BC30)*1000</f>
        <v>0</v>
      </c>
      <c r="BD32" s="562">
        <f>IF(BD30=0,0,BD29/BD30)*1000</f>
        <v>0</v>
      </c>
      <c r="BE32" s="101">
        <f>IF(BE30=0,0,BE29/BE30)*1000</f>
        <v>0</v>
      </c>
      <c r="BF32" s="101">
        <f>IF(BF30=0,0,BF29/BF30)*1000</f>
        <v>0</v>
      </c>
      <c r="BG32" s="101">
        <f>IF(BG30=0,0,BG29/BG30)*1000</f>
        <v>0</v>
      </c>
      <c r="BH32" s="101">
        <f>IF(BH30=0,0,BH29/BH30)*1000</f>
        <v>0</v>
      </c>
      <c r="BI32" s="101">
        <f>IF(BI30=0,0,BI29/BI30)*1000</f>
        <v>0</v>
      </c>
      <c r="BJ32" s="101">
        <f>IF(BJ30=0,0,BJ29/BJ30)*1000</f>
        <v>0</v>
      </c>
      <c r="BK32" s="101">
        <f>IF(BK30=0,0,BK29/BK30)*1000</f>
        <v>0</v>
      </c>
      <c r="BL32" s="101">
        <f>IF(BL30=0,0,BL29/BL30)*1000</f>
        <v>0</v>
      </c>
      <c r="BM32" s="101">
        <f>IF(BM30=0,0,BM29/BM30)*1000</f>
        <v>0</v>
      </c>
      <c r="BN32" s="101">
        <f>IF(BN30=0,0,BN29/BN30)*1000</f>
        <v>0</v>
      </c>
      <c r="BO32" s="101">
        <f>IF(BO30=0,0,BO29/BO30)*1000</f>
        <v>0</v>
      </c>
      <c r="BP32" s="101">
        <f>IF(BP30=0,0,BP29/BP30)*1000</f>
        <v>0</v>
      </c>
      <c r="BQ32" s="101">
        <f>IF(BQ30=0,0,BQ29/BQ30)*1000</f>
        <v>0</v>
      </c>
      <c r="BR32" s="101">
        <f>IF(BR30=0,0,BR29/BR30)*1000</f>
        <v>0</v>
      </c>
      <c r="BS32" s="101">
        <f>IF(BS30=0,0,BS29/BS30)*1000</f>
        <v>0</v>
      </c>
      <c r="BT32" s="101">
        <f>IF(BT30=0,0,BT29/BT30)*1000</f>
        <v>0</v>
      </c>
      <c r="BU32" s="101">
        <f>IF(BU30=0,0,BU29/BU30)*1000</f>
        <v>0</v>
      </c>
      <c r="BV32" s="101">
        <f>IF(BV30=0,0,BV29/BV30)*1000</f>
        <v>0</v>
      </c>
      <c r="BW32" s="101">
        <f>IF(BW30=0,0,BW29/BW30)*1000</f>
        <v>0</v>
      </c>
      <c r="BX32" s="83"/>
      <c r="CA32" s="489" t="s">
        <v>812</v>
      </c>
      <c r="CB32" s="984"/>
      <c r="CC32" s="984"/>
      <c r="CD32" s="984"/>
      <c r="CE32" s="985"/>
      <c r="CF32" s="985"/>
      <c r="CH32" s="1501" cm="1" t="str">
        <f t="array" ref="CH32:CH32">CH31</f>
        <v>0</v>
      </c>
      <c r="CI32" s="1501" t="s">
        <v>1043</v>
      </c>
      <c r="CJ32" s="1501"/>
      <c r="CK32" s="1501"/>
      <c r="CL32" s="1501"/>
      <c r="CM32" s="1501" t="s">
        <v>886</v>
      </c>
      <c r="CN32" s="1501"/>
      <c r="CO32" s="1501" t="s">
        <v>303</v>
      </c>
      <c r="CP32" s="1501" t="s">
        <v>828</v>
      </c>
      <c r="CQ32" s="1501" t="s">
        <v>829</v>
      </c>
    </row>
    <row s="1721" customFormat="1" customHeight="1" ht="16.575" hidden="1">
      <c r="E33" s="284">
        <v>17</v>
      </c>
      <c r="F33" s="175" cm="1" t="str">
        <f t="array" ref="F33:F33">OFFSET(G33,-1,-1)</f>
        <v>0</v>
      </c>
      <c r="S33" s="982"/>
      <c r="T33" s="973" cm="1" t="str">
        <f t="array" ref="T33:T33">T32</f>
        <v>false</v>
      </c>
      <c r="AB33" s="564"/>
      <c r="AC33" s="282" t="s">
        <v>1059</v>
      </c>
      <c r="AD33" s="282"/>
      <c r="AE33" s="283"/>
      <c r="AF33" s="565"/>
      <c r="AG33" s="565"/>
      <c r="AH33" s="565"/>
      <c r="AI33" s="565"/>
      <c r="AJ33" s="565"/>
      <c r="AK33" s="565"/>
      <c r="AL33" s="565"/>
      <c r="AM33" s="565"/>
      <c r="AN33" s="565"/>
      <c r="AO33" s="565"/>
      <c r="AP33" s="565"/>
      <c r="AQ33" s="565"/>
      <c r="AR33" s="565"/>
      <c r="AS33" s="565"/>
      <c r="AT33" s="565"/>
      <c r="AU33" s="565"/>
      <c r="AV33" s="565"/>
      <c r="AW33" s="565"/>
      <c r="AX33" s="565"/>
      <c r="AY33" s="565"/>
      <c r="AZ33" s="565"/>
      <c r="BA33" s="565"/>
      <c r="BB33" s="565"/>
      <c r="BC33" s="565"/>
      <c r="BD33" s="565"/>
      <c r="BE33" s="565"/>
      <c r="BF33" s="565"/>
      <c r="BG33" s="565"/>
      <c r="BH33" s="565"/>
      <c r="BI33" s="565"/>
      <c r="BJ33" s="565"/>
      <c r="BK33" s="565"/>
      <c r="BL33" s="565"/>
      <c r="BM33" s="565"/>
      <c r="BN33" s="565"/>
      <c r="BO33" s="565"/>
      <c r="BP33" s="565"/>
      <c r="BQ33" s="565"/>
      <c r="BR33" s="565"/>
      <c r="BS33" s="565"/>
      <c r="BT33" s="565"/>
      <c r="BU33" s="565"/>
      <c r="BV33" s="565"/>
      <c r="BW33" s="565"/>
      <c r="BX33" s="566"/>
      <c r="CA33" s="489"/>
      <c r="CB33" s="984"/>
      <c r="CC33" s="984"/>
      <c r="CD33" s="984"/>
      <c r="CE33" s="985"/>
      <c r="CF33" s="985"/>
      <c r="CH33" s="1502" cm="1" t="str">
        <f t="array" ref="CH33:CH33">OFFSET(CI33,-1,-1)</f>
        <v>0</v>
      </c>
      <c r="CI33" s="1501"/>
      <c r="CJ33" s="1501"/>
      <c r="CK33" s="1501"/>
      <c r="CL33" s="1501"/>
      <c r="CM33" s="1501"/>
      <c r="CN33" s="1501"/>
      <c r="CO33" s="1501"/>
      <c r="CP33" s="1501"/>
      <c r="CQ33" s="1501"/>
    </row>
    <row s="1721" customFormat="1" customHeight="1" ht="16.575" hidden="1">
      <c r="A34" s="978" t="str">
        <f>"checkCosts_1."&amp;F34&amp;"."&amp;Y34</f>
        <v>checkCosts_1.0.0</v>
      </c>
      <c r="E34" s="284">
        <v>17</v>
      </c>
      <c r="F34" s="175" cm="1" t="str">
        <f t="array" ref="F34:F34">OFFSET(G34,-1,-1)</f>
        <v>0</v>
      </c>
      <c r="H34" s="193" cm="1" t="str">
        <f t="array" ref="H34:H34">AC34</f>
        <v>0</v>
      </c>
      <c r="I34" s="308" t="s">
        <v>1040</v>
      </c>
      <c r="S34" s="982"/>
      <c r="T34" s="973">
        <f>AND(F34&gt;0,Y34&gt;0)</f>
        <v>0</v>
      </c>
      <c r="W34" s="176" t="s">
        <v>189</v>
      </c>
      <c r="Y34" s="176">
        <v>0</v>
      </c>
      <c r="AA34" s="1532" t="s">
        <v>171</v>
      </c>
      <c r="AB34" s="559" t="str">
        <f>"1.5."&amp;Y34</f>
        <v>1.5.0</v>
      </c>
      <c r="AC34" s="102"/>
      <c r="AD34" s="2276"/>
      <c r="AE34" s="551" t="s">
        <v>917</v>
      </c>
      <c r="AF34" s="68">
        <f>AF35*AF36</f>
        <v>0</v>
      </c>
      <c r="AG34" s="68"/>
      <c r="AH34" s="68"/>
      <c r="AI34" s="68">
        <f>AI35*AI36</f>
        <v>0</v>
      </c>
      <c r="AJ34" s="340"/>
      <c r="AK34" s="68"/>
      <c r="AL34" s="68"/>
      <c r="AM34" s="68"/>
      <c r="AN34" s="68"/>
      <c r="AO34" s="68"/>
      <c r="AP34" s="68"/>
      <c r="AQ34" s="68"/>
      <c r="AR34" s="68"/>
      <c r="AS34" s="68"/>
      <c r="AT34" s="68"/>
      <c r="AU34" s="68"/>
      <c r="AV34" s="68"/>
      <c r="AW34" s="68"/>
      <c r="AX34" s="68"/>
      <c r="AY34" s="68"/>
      <c r="AZ34" s="68"/>
      <c r="BA34" s="68"/>
      <c r="BB34" s="68"/>
      <c r="BC34" s="68"/>
      <c r="BD34" s="340">
        <f>BD35*BD36</f>
        <v>0</v>
      </c>
      <c r="BE34" s="68">
        <f>BE35*BE36</f>
        <v>0</v>
      </c>
      <c r="BF34" s="68">
        <f>BF35*BF36</f>
        <v>0</v>
      </c>
      <c r="BG34" s="68">
        <f>BG35*BG36</f>
        <v>0</v>
      </c>
      <c r="BH34" s="68">
        <f>BH35*BH36</f>
        <v>0</v>
      </c>
      <c r="BI34" s="68">
        <f>BI35*BI36</f>
        <v>0</v>
      </c>
      <c r="BJ34" s="68">
        <f>BJ35*BJ36</f>
        <v>0</v>
      </c>
      <c r="BK34" s="68">
        <f>BK35*BK36</f>
        <v>0</v>
      </c>
      <c r="BL34" s="68">
        <f>BL35*BL36</f>
        <v>0</v>
      </c>
      <c r="BM34" s="68">
        <f>BM35*BM36</f>
        <v>0</v>
      </c>
      <c r="BN34" s="68">
        <f>BN35*BN36</f>
        <v>0</v>
      </c>
      <c r="BO34" s="68">
        <f>BO35*BO36</f>
        <v>0</v>
      </c>
      <c r="BP34" s="68">
        <f>BP35*BP36</f>
        <v>0</v>
      </c>
      <c r="BQ34" s="68">
        <f>BQ35*BQ36</f>
        <v>0</v>
      </c>
      <c r="BR34" s="68">
        <f>BR35*BR36</f>
        <v>0</v>
      </c>
      <c r="BS34" s="68">
        <f>BS35*BS36</f>
        <v>0</v>
      </c>
      <c r="BT34" s="68">
        <f>BT35*BT36</f>
        <v>0</v>
      </c>
      <c r="BU34" s="68">
        <f>BU35*BU36</f>
        <v>0</v>
      </c>
      <c r="BV34" s="68">
        <f>BV35*BV36</f>
        <v>0</v>
      </c>
      <c r="BW34" s="68">
        <f>BW35*BW36</f>
        <v>0</v>
      </c>
      <c r="BX34" s="83"/>
      <c r="CA34" s="489" t="s">
        <v>1060</v>
      </c>
      <c r="CB34" s="984" t="s">
        <v>1061</v>
      </c>
      <c r="CC34" s="984" cm="1" t="str">
        <f t="array" ref="CC34:CC34">AC34</f>
        <v>0</v>
      </c>
      <c r="CD34" s="984" cm="1" t="str">
        <f t="array" ref="CD34:CD34">AD34</f>
        <v>0</v>
      </c>
      <c r="CE34" s="985"/>
      <c r="CF34" s="985" t="b">
        <v>1</v>
      </c>
      <c r="CH34" s="1502" cm="1" t="str">
        <f t="array" ref="CH34:CH34">OFFSET(CI34,-1,-1)</f>
        <v>0</v>
      </c>
      <c r="CI34" s="1501" t="s">
        <v>1043</v>
      </c>
      <c r="CJ34" s="1501" t="s">
        <v>1062</v>
      </c>
      <c r="CK34" s="1501"/>
      <c r="CL34" s="1501"/>
      <c r="CM34" s="1501" t="s">
        <v>219</v>
      </c>
      <c r="CN34" s="1501" cm="1" t="str">
        <f t="array" ref="CN34:CN34">$AC34</f>
        <v>0</v>
      </c>
      <c r="CO34" s="1501" t="s">
        <v>303</v>
      </c>
      <c r="CP34" s="1501" t="s">
        <v>919</v>
      </c>
      <c r="CQ34" s="1501" t="s">
        <v>920</v>
      </c>
    </row>
    <row s="1721" customFormat="1" customHeight="1" ht="16.575" hidden="1">
      <c r="E35" s="284">
        <v>17</v>
      </c>
      <c r="F35" s="175" cm="1" t="str">
        <f t="array" ref="F35:F35">OFFSET(G35,-1,-1)</f>
        <v>0</v>
      </c>
      <c r="H35" s="193" cm="1" t="str">
        <f t="array" ref="H35:H35">H34</f>
        <v>0</v>
      </c>
      <c r="S35" s="982"/>
      <c r="T35" s="973" cm="1" t="str">
        <f t="array" ref="T35:T35">T34</f>
        <v>false</v>
      </c>
      <c r="AA35" s="1533"/>
      <c r="AB35" s="569" t="str">
        <f>AB34&amp;".1"</f>
        <v>1.5.0.1</v>
      </c>
      <c r="AC35" s="570" t="s">
        <v>1063</v>
      </c>
      <c r="AD35" s="570"/>
      <c r="AE35" s="330" t="s">
        <v>1064</v>
      </c>
      <c r="AF35" s="104"/>
      <c r="AG35" s="572">
        <f>IF(AG36=0,0,AG34/AG36)</f>
        <v>0</v>
      </c>
      <c r="AH35" s="572">
        <f>IF(AH36=0,0,AH34/AH36)</f>
        <v>0</v>
      </c>
      <c r="AI35" s="104"/>
      <c r="AJ35" s="572">
        <f>IF(AJ36=0,0,AJ34/AJ36)</f>
        <v>0</v>
      </c>
      <c r="AK35" s="572">
        <f>IF(AK36=0,0,AK34/AK36)</f>
        <v>0</v>
      </c>
      <c r="AL35" s="572">
        <f>IF(AL36=0,0,AL34/AL36)</f>
        <v>0</v>
      </c>
      <c r="AM35" s="572">
        <f>IF(AM36=0,0,AM34/AM36)</f>
        <v>0</v>
      </c>
      <c r="AN35" s="572">
        <f>IF(AN36=0,0,AN34/AN36)</f>
        <v>0</v>
      </c>
      <c r="AO35" s="572">
        <f>IF(AO36=0,0,AO34/AO36)</f>
        <v>0</v>
      </c>
      <c r="AP35" s="572">
        <f>IF(AP36=0,0,AP34/AP36)</f>
        <v>0</v>
      </c>
      <c r="AQ35" s="572">
        <f>IF(AQ36=0,0,AQ34/AQ36)</f>
        <v>0</v>
      </c>
      <c r="AR35" s="572">
        <f>IF(AR36=0,0,AR34/AR36)</f>
        <v>0</v>
      </c>
      <c r="AS35" s="572">
        <f>IF(AS36=0,0,AS34/AS36)</f>
        <v>0</v>
      </c>
      <c r="AT35" s="572">
        <f>IF(AT36=0,0,AT34/AT36)</f>
        <v>0</v>
      </c>
      <c r="AU35" s="572">
        <f>IF(AU36=0,0,AU34/AU36)</f>
        <v>0</v>
      </c>
      <c r="AV35" s="572">
        <f>IF(AV36=0,0,AV34/AV36)</f>
        <v>0</v>
      </c>
      <c r="AW35" s="572">
        <f>IF(AW36=0,0,AW34/AW36)</f>
        <v>0</v>
      </c>
      <c r="AX35" s="572">
        <f>IF(AX36=0,0,AX34/AX36)</f>
        <v>0</v>
      </c>
      <c r="AY35" s="572">
        <f>IF(AY36=0,0,AY34/AY36)</f>
        <v>0</v>
      </c>
      <c r="AZ35" s="572">
        <f>IF(AZ36=0,0,AZ34/AZ36)</f>
        <v>0</v>
      </c>
      <c r="BA35" s="572">
        <f>IF(BA36=0,0,BA34/BA36)</f>
        <v>0</v>
      </c>
      <c r="BB35" s="572">
        <f>IF(BB36=0,0,BB34/BB36)</f>
        <v>0</v>
      </c>
      <c r="BC35" s="572">
        <f>IF(BC36=0,0,BC34/BC36)</f>
        <v>0</v>
      </c>
      <c r="BD35" s="571"/>
      <c r="BE35" s="104"/>
      <c r="BF35" s="104"/>
      <c r="BG35" s="104"/>
      <c r="BH35" s="104"/>
      <c r="BI35" s="104"/>
      <c r="BJ35" s="104"/>
      <c r="BK35" s="104"/>
      <c r="BL35" s="104"/>
      <c r="BM35" s="104"/>
      <c r="BN35" s="104"/>
      <c r="BO35" s="104"/>
      <c r="BP35" s="104"/>
      <c r="BQ35" s="104"/>
      <c r="BR35" s="104"/>
      <c r="BS35" s="104"/>
      <c r="BT35" s="104"/>
      <c r="BU35" s="104"/>
      <c r="BV35" s="104"/>
      <c r="BW35" s="104"/>
      <c r="BX35" s="84"/>
      <c r="CA35" s="489" t="s">
        <v>1065</v>
      </c>
      <c r="CB35" s="984" t="s">
        <v>1061</v>
      </c>
      <c r="CC35" s="984" cm="1" t="str">
        <f t="array" ref="CC35:CC35">CC34</f>
        <v>0</v>
      </c>
      <c r="CD35" s="984" cm="1" t="str">
        <f t="array" ref="CD35:CD35">CD34</f>
        <v>0</v>
      </c>
      <c r="CE35" s="985"/>
      <c r="CF35" s="985"/>
      <c r="CH35" s="1501" cm="1" t="str">
        <f t="array" ref="CH35:CH35">CH34</f>
        <v>0</v>
      </c>
      <c r="CI35" s="1501" t="s">
        <v>1043</v>
      </c>
      <c r="CJ35" s="1501" t="s">
        <v>1062</v>
      </c>
      <c r="CK35" s="1501"/>
      <c r="CL35" s="1501"/>
      <c r="CM35" s="1501" t="s">
        <v>255</v>
      </c>
      <c r="CN35" s="1501" cm="1" t="str">
        <f t="array" ref="CN35:CN35">CN34</f>
        <v>0</v>
      </c>
      <c r="CO35" s="1501" t="s">
        <v>303</v>
      </c>
      <c r="CP35" s="1501" t="s">
        <v>1066</v>
      </c>
      <c r="CQ35" s="1501" t="s">
        <v>1067</v>
      </c>
    </row>
    <row s="1721" customFormat="1" customHeight="1" ht="16.575" hidden="1">
      <c r="A36" s="978" t="str">
        <f>"checkVolume_1."&amp;F36&amp;"."&amp;Y34</f>
        <v>checkVolume_1.0.0</v>
      </c>
      <c r="E36" s="284">
        <v>17</v>
      </c>
      <c r="F36" s="175" cm="1" t="str">
        <f t="array" ref="F36:F36">OFFSET(G36,-1,-1)</f>
        <v>0</v>
      </c>
      <c r="H36" s="193" cm="1" t="str">
        <f t="array" ref="H36:H36">H34</f>
        <v>0</v>
      </c>
      <c r="S36" s="982"/>
      <c r="T36" s="973" cm="1" t="str">
        <f t="array" ref="T36:T36">T34</f>
        <v>false</v>
      </c>
      <c r="AA36" s="1533"/>
      <c r="AB36" s="569" t="str">
        <f>AB34&amp;".2"</f>
        <v>1.5.0.2</v>
      </c>
      <c r="AC36" s="570" t="s">
        <v>1068</v>
      </c>
      <c r="AD36" s="570"/>
      <c r="AE36" s="330" t="s">
        <v>807</v>
      </c>
      <c r="AF36" s="104"/>
      <c r="AG36" s="104"/>
      <c r="AH36" s="104"/>
      <c r="AI36" s="104"/>
      <c r="AJ36" s="571"/>
      <c r="AK36" s="104"/>
      <c r="AL36" s="104"/>
      <c r="AM36" s="104"/>
      <c r="AN36" s="104"/>
      <c r="AO36" s="104"/>
      <c r="AP36" s="104"/>
      <c r="AQ36" s="104"/>
      <c r="AR36" s="104"/>
      <c r="AS36" s="104"/>
      <c r="AT36" s="104"/>
      <c r="AU36" s="104"/>
      <c r="AV36" s="104"/>
      <c r="AW36" s="104"/>
      <c r="AX36" s="104"/>
      <c r="AY36" s="104"/>
      <c r="AZ36" s="104"/>
      <c r="BA36" s="104"/>
      <c r="BB36" s="104"/>
      <c r="BC36" s="104"/>
      <c r="BD36" s="571"/>
      <c r="BE36" s="104"/>
      <c r="BF36" s="104"/>
      <c r="BG36" s="104"/>
      <c r="BH36" s="104"/>
      <c r="BI36" s="104"/>
      <c r="BJ36" s="104"/>
      <c r="BK36" s="104"/>
      <c r="BL36" s="104"/>
      <c r="BM36" s="104"/>
      <c r="BN36" s="104"/>
      <c r="BO36" s="104"/>
      <c r="BP36" s="104"/>
      <c r="BQ36" s="104"/>
      <c r="BR36" s="104"/>
      <c r="BS36" s="104"/>
      <c r="BT36" s="104"/>
      <c r="BU36" s="104"/>
      <c r="BV36" s="104"/>
      <c r="BW36" s="104"/>
      <c r="BX36" s="84"/>
      <c r="CA36" s="489" t="s">
        <v>1069</v>
      </c>
      <c r="CB36" s="984" t="s">
        <v>1061</v>
      </c>
      <c r="CC36" s="984" cm="1" t="str">
        <f t="array" ref="CC36:CC36">CC34</f>
        <v>0</v>
      </c>
      <c r="CD36" s="984" cm="1" t="str">
        <f t="array" ref="CD36:CD36">CD35</f>
        <v>0</v>
      </c>
      <c r="CE36" s="985"/>
      <c r="CF36" s="985"/>
      <c r="CH36" s="1501" cm="1" t="str">
        <f t="array" ref="CH36:CH36">CH35</f>
        <v>0</v>
      </c>
      <c r="CI36" s="1501" t="s">
        <v>1043</v>
      </c>
      <c r="CJ36" s="1501" t="s">
        <v>1062</v>
      </c>
      <c r="CK36" s="1501"/>
      <c r="CL36" s="1501"/>
      <c r="CM36" s="1501" t="s">
        <v>449</v>
      </c>
      <c r="CN36" s="1501" cm="1" t="str">
        <f t="array" ref="CN36:CN36">CN35</f>
        <v>0</v>
      </c>
      <c r="CO36" s="1501" t="s">
        <v>303</v>
      </c>
      <c r="CP36" s="1501" t="s">
        <v>1048</v>
      </c>
      <c r="CQ36" s="1501" t="s">
        <v>1049</v>
      </c>
    </row>
    <row s="1659" customFormat="1" customHeight="1" ht="16.575" hidden="1">
      <c r="E37" s="180">
        <v>17</v>
      </c>
      <c r="F37" s="175" cm="1" t="str">
        <f t="array" ref="F37:F37">OFFSET(G37,-1,-1)</f>
        <v>0</v>
      </c>
      <c r="T37" s="973">
        <f>F37&gt;0</f>
        <v>0</v>
      </c>
      <c r="W37" s="176" t="s">
        <v>1070</v>
      </c>
      <c r="AB37" s="573"/>
      <c r="AC37" s="574" t="s">
        <v>191</v>
      </c>
      <c r="AD37" s="574"/>
      <c r="AE37" s="574"/>
      <c r="AF37" s="574"/>
      <c r="AG37" s="574"/>
      <c r="AH37" s="574"/>
      <c r="AI37" s="574"/>
      <c r="AJ37" s="574"/>
      <c r="AK37" s="574"/>
      <c r="AL37" s="574"/>
      <c r="AM37" s="574"/>
      <c r="AN37" s="574"/>
      <c r="AO37" s="574"/>
      <c r="AP37" s="574"/>
      <c r="AQ37" s="574"/>
      <c r="AR37" s="574"/>
      <c r="AS37" s="574"/>
      <c r="AT37" s="574"/>
      <c r="AU37" s="574"/>
      <c r="AV37" s="574"/>
      <c r="AW37" s="574"/>
      <c r="AX37" s="574"/>
      <c r="AY37" s="574"/>
      <c r="AZ37" s="574"/>
      <c r="BA37" s="574"/>
      <c r="BB37" s="574"/>
      <c r="BC37" s="574"/>
      <c r="BD37" s="574"/>
      <c r="BE37" s="574"/>
      <c r="BF37" s="574"/>
      <c r="BG37" s="574"/>
      <c r="BH37" s="574"/>
      <c r="BI37" s="574"/>
      <c r="BJ37" s="574"/>
      <c r="BK37" s="574"/>
      <c r="BL37" s="574"/>
      <c r="BM37" s="574"/>
      <c r="BN37" s="574"/>
      <c r="BO37" s="574"/>
      <c r="BP37" s="574"/>
      <c r="BQ37" s="574"/>
      <c r="BR37" s="574"/>
      <c r="BS37" s="574"/>
      <c r="BT37" s="574"/>
      <c r="BU37" s="574"/>
      <c r="BV37" s="574"/>
      <c r="BW37" s="574"/>
      <c r="BX37" s="575"/>
      <c r="CA37" s="489"/>
      <c r="CB37" s="489"/>
      <c r="CC37" s="489"/>
      <c r="CD37" s="489"/>
      <c r="CE37" s="546" t="s">
        <v>1061</v>
      </c>
      <c r="CF37" s="546"/>
      <c r="CH37" s="1502" cm="1" t="str">
        <f t="array" ref="CH37:CH37">OFFSET(CI37,-1,-1)</f>
        <v>0</v>
      </c>
      <c r="CI37" s="1501"/>
      <c r="CJ37" s="1501"/>
      <c r="CK37" s="1501"/>
      <c r="CL37" s="1501"/>
      <c r="CM37" s="1501"/>
      <c r="CN37" s="1501"/>
      <c r="CO37" s="1501"/>
      <c r="CP37" s="1501"/>
      <c r="CQ37" s="1501"/>
    </row>
    <row s="1721" customFormat="1" customHeight="1" ht="16.575" hidden="1">
      <c r="E38" s="284">
        <v>17</v>
      </c>
      <c r="F38" s="175" cm="1" t="str">
        <f t="array" ref="F38:F38">OFFSET(G38,-1,-1)</f>
        <v>0</v>
      </c>
      <c r="S38" s="982"/>
      <c r="T38" s="973">
        <f>F38&gt;0</f>
        <v>0</v>
      </c>
      <c r="AB38" s="576"/>
      <c r="AC38" s="282" t="s">
        <v>1071</v>
      </c>
      <c r="AD38" s="282"/>
      <c r="AE38" s="283"/>
      <c r="AF38" s="565"/>
      <c r="AG38" s="565"/>
      <c r="AH38" s="565"/>
      <c r="AI38" s="565"/>
      <c r="AJ38" s="565"/>
      <c r="AK38" s="565"/>
      <c r="AL38" s="565"/>
      <c r="AM38" s="565"/>
      <c r="AN38" s="565"/>
      <c r="AO38" s="565"/>
      <c r="AP38" s="565"/>
      <c r="AQ38" s="565"/>
      <c r="AR38" s="565"/>
      <c r="AS38" s="565"/>
      <c r="AT38" s="565"/>
      <c r="AU38" s="565"/>
      <c r="AV38" s="565"/>
      <c r="AW38" s="565"/>
      <c r="AX38" s="565"/>
      <c r="AY38" s="565"/>
      <c r="AZ38" s="565"/>
      <c r="BA38" s="565"/>
      <c r="BB38" s="565"/>
      <c r="BC38" s="565"/>
      <c r="BD38" s="565"/>
      <c r="BE38" s="565"/>
      <c r="BF38" s="565"/>
      <c r="BG38" s="565"/>
      <c r="BH38" s="565"/>
      <c r="BI38" s="565"/>
      <c r="BJ38" s="565"/>
      <c r="BK38" s="565"/>
      <c r="BL38" s="565"/>
      <c r="BM38" s="565"/>
      <c r="BN38" s="565"/>
      <c r="BO38" s="565"/>
      <c r="BP38" s="565"/>
      <c r="BQ38" s="565"/>
      <c r="BR38" s="565"/>
      <c r="BS38" s="565"/>
      <c r="BT38" s="565"/>
      <c r="BU38" s="565"/>
      <c r="BV38" s="565"/>
      <c r="BW38" s="565"/>
      <c r="BX38" s="577"/>
      <c r="CA38" s="489"/>
      <c r="CB38" s="984"/>
      <c r="CC38" s="984"/>
      <c r="CD38" s="984"/>
      <c r="CE38" s="985"/>
      <c r="CF38" s="985"/>
      <c r="CH38" s="1502" cm="1" t="str">
        <f t="array" ref="CH38:CH38">OFFSET(CI38,-1,-1)</f>
        <v>0</v>
      </c>
      <c r="CI38" s="1501"/>
      <c r="CJ38" s="1501"/>
      <c r="CK38" s="1501"/>
      <c r="CL38" s="1501"/>
      <c r="CM38" s="1501"/>
      <c r="CN38" s="1501"/>
      <c r="CO38" s="1501"/>
      <c r="CP38" s="1501"/>
      <c r="CQ38" s="1501"/>
    </row>
    <row s="1721" customFormat="1" customHeight="1" ht="16.575" hidden="1">
      <c r="E39" s="284">
        <v>17</v>
      </c>
      <c r="F39" s="175" cm="1" t="str">
        <f t="array" ref="F39:F39">OFFSET(G39,-1,-1)</f>
        <v>0</v>
      </c>
      <c r="H39" s="193" cm="1" t="str">
        <f t="array" ref="H39:H39">AC39</f>
        <v>0</v>
      </c>
      <c r="I39" s="308" t="s">
        <v>1040</v>
      </c>
      <c r="S39" s="982"/>
      <c r="T39" s="973">
        <f>AND(F39&gt;0,Y39&gt;0)</f>
        <v>0</v>
      </c>
      <c r="W39" s="176" t="s">
        <v>189</v>
      </c>
      <c r="Y39" s="176">
        <v>0</v>
      </c>
      <c r="AA39" s="1532" t="s">
        <v>171</v>
      </c>
      <c r="AB39" s="559" t="str">
        <f>"1.6."&amp;Y39</f>
        <v>1.6.0</v>
      </c>
      <c r="AC39" s="102"/>
      <c r="AD39" s="2276"/>
      <c r="AE39" s="551" t="s">
        <v>917</v>
      </c>
      <c r="AF39" s="68">
        <f>AF41+AF43</f>
        <v>0</v>
      </c>
      <c r="AG39" s="68">
        <f>AG41+AG43</f>
        <v>0</v>
      </c>
      <c r="AH39" s="68">
        <f>AH41+AH43</f>
        <v>0</v>
      </c>
      <c r="AI39" s="68">
        <f>AI41+AI43</f>
        <v>0</v>
      </c>
      <c r="AJ39" s="340">
        <f>AJ41+AJ43</f>
        <v>0</v>
      </c>
      <c r="AK39" s="68">
        <f>AK41+AK43</f>
        <v>0</v>
      </c>
      <c r="AL39" s="68">
        <f>AL41+AL43</f>
        <v>0</v>
      </c>
      <c r="AM39" s="68">
        <f>AM41+AM43</f>
        <v>0</v>
      </c>
      <c r="AN39" s="68">
        <f>AN41+AN43</f>
        <v>0</v>
      </c>
      <c r="AO39" s="68">
        <f>AO41+AO43</f>
        <v>0</v>
      </c>
      <c r="AP39" s="68">
        <f>AP41+AP43</f>
        <v>0</v>
      </c>
      <c r="AQ39" s="68">
        <f>AQ41+AQ43</f>
        <v>0</v>
      </c>
      <c r="AR39" s="68">
        <f>AR41+AR43</f>
        <v>0</v>
      </c>
      <c r="AS39" s="68">
        <f>AS41+AS43</f>
        <v>0</v>
      </c>
      <c r="AT39" s="68">
        <f>AT41+AT43</f>
        <v>0</v>
      </c>
      <c r="AU39" s="68">
        <f>AU41+AU43</f>
        <v>0</v>
      </c>
      <c r="AV39" s="68">
        <f>AV41+AV43</f>
        <v>0</v>
      </c>
      <c r="AW39" s="68">
        <f>AW41+AW43</f>
        <v>0</v>
      </c>
      <c r="AX39" s="68">
        <f>AX41+AX43</f>
        <v>0</v>
      </c>
      <c r="AY39" s="68">
        <f>AY41+AY43</f>
        <v>0</v>
      </c>
      <c r="AZ39" s="68">
        <f>AZ41+AZ43</f>
        <v>0</v>
      </c>
      <c r="BA39" s="68">
        <f>BA41+BA43</f>
        <v>0</v>
      </c>
      <c r="BB39" s="68">
        <f>BB41+BB43</f>
        <v>0</v>
      </c>
      <c r="BC39" s="68">
        <f>BC41+BC43</f>
        <v>0</v>
      </c>
      <c r="BD39" s="340">
        <f>BD41+BD43</f>
        <v>0</v>
      </c>
      <c r="BE39" s="68">
        <f>BE41+BE43</f>
        <v>0</v>
      </c>
      <c r="BF39" s="68">
        <f>BF41+BF43</f>
        <v>0</v>
      </c>
      <c r="BG39" s="68">
        <f>BG41+BG43</f>
        <v>0</v>
      </c>
      <c r="BH39" s="68">
        <f>BH41+BH43</f>
        <v>0</v>
      </c>
      <c r="BI39" s="68">
        <f>BI41+BI43</f>
        <v>0</v>
      </c>
      <c r="BJ39" s="68">
        <f>BJ41+BJ43</f>
        <v>0</v>
      </c>
      <c r="BK39" s="68">
        <f>BK41+BK43</f>
        <v>0</v>
      </c>
      <c r="BL39" s="68">
        <f>BL41+BL43</f>
        <v>0</v>
      </c>
      <c r="BM39" s="68">
        <f>BM41+BM43</f>
        <v>0</v>
      </c>
      <c r="BN39" s="68">
        <f>BN41+BN43</f>
        <v>0</v>
      </c>
      <c r="BO39" s="68">
        <f>BO41+BO43</f>
        <v>0</v>
      </c>
      <c r="BP39" s="68">
        <f>BP41+BP43</f>
        <v>0</v>
      </c>
      <c r="BQ39" s="68">
        <f>BQ41+BQ43</f>
        <v>0</v>
      </c>
      <c r="BR39" s="68">
        <f>BR41+BR43</f>
        <v>0</v>
      </c>
      <c r="BS39" s="68">
        <f>BS41+BS43</f>
        <v>0</v>
      </c>
      <c r="BT39" s="68">
        <f>BT41+BT43</f>
        <v>0</v>
      </c>
      <c r="BU39" s="68">
        <f>BU41+BU43</f>
        <v>0</v>
      </c>
      <c r="BV39" s="68">
        <f>BV41+BV43</f>
        <v>0</v>
      </c>
      <c r="BW39" s="68">
        <f>BW41+BW43</f>
        <v>0</v>
      </c>
      <c r="BX39" s="83"/>
      <c r="CA39" s="489" t="s">
        <v>1072</v>
      </c>
      <c r="CB39" s="984" t="s">
        <v>1073</v>
      </c>
      <c r="CC39" s="984" cm="1" t="str">
        <f t="array" ref="CC39:CC39">AC39</f>
        <v>0</v>
      </c>
      <c r="CD39" s="984" cm="1" t="str">
        <f t="array" ref="CD39:CD39">AD39</f>
        <v>0</v>
      </c>
      <c r="CE39" s="985"/>
      <c r="CF39" s="985" t="b">
        <v>1</v>
      </c>
      <c r="CH39" s="1501" cm="1" t="str">
        <f t="array" ref="CH39:CH39">CH38</f>
        <v>0</v>
      </c>
      <c r="CI39" s="1501" t="s">
        <v>1043</v>
      </c>
      <c r="CJ39" s="1501" t="s">
        <v>1074</v>
      </c>
      <c r="CK39" s="1501"/>
      <c r="CL39" s="1501"/>
      <c r="CM39" s="1501" t="s">
        <v>219</v>
      </c>
      <c r="CN39" s="1501" cm="1" t="str">
        <f t="array" ref="CN39:CN39">$AC39</f>
        <v>0</v>
      </c>
      <c r="CO39" s="1501" t="s">
        <v>303</v>
      </c>
      <c r="CP39" s="1501" t="s">
        <v>919</v>
      </c>
      <c r="CQ39" s="1501" t="s">
        <v>920</v>
      </c>
    </row>
    <row s="1721" customFormat="1" customHeight="1" ht="16.575" hidden="1">
      <c r="E40" s="284">
        <v>17</v>
      </c>
      <c r="F40" s="175" cm="1" t="str">
        <f t="array" ref="F40:F40">OFFSET(G40,-1,-1)</f>
        <v>0</v>
      </c>
      <c r="H40" s="193" cm="1" t="str">
        <f t="array" ref="H40:H40">H39</f>
        <v>0</v>
      </c>
      <c r="S40" s="982"/>
      <c r="T40" s="973" cm="1" t="str">
        <f t="array" ref="T40:T40">T39</f>
        <v>false</v>
      </c>
      <c r="AA40" s="1533"/>
      <c r="AB40" s="559" t="str">
        <f>AB39&amp;".1"</f>
        <v>1.6.0.1</v>
      </c>
      <c r="AC40" s="560" t="s">
        <v>1063</v>
      </c>
      <c r="AD40" s="560"/>
      <c r="AE40" s="551" t="s">
        <v>1064</v>
      </c>
      <c r="AF40" s="68"/>
      <c r="AG40" s="346">
        <f>IF(AG42=0,0,AG41/AG42)</f>
        <v>0</v>
      </c>
      <c r="AH40" s="346">
        <f>IF(AH42=0,0,AH41/AH42)</f>
        <v>0</v>
      </c>
      <c r="AI40" s="68"/>
      <c r="AJ40" s="346">
        <f>IF(AJ42=0,0,AJ41/AJ42)</f>
        <v>0</v>
      </c>
      <c r="AK40" s="346">
        <f>IF(AK42=0,0,AK41/AK42)</f>
        <v>0</v>
      </c>
      <c r="AL40" s="346">
        <f>IF(AL42=0,0,AL41/AL42)</f>
        <v>0</v>
      </c>
      <c r="AM40" s="346">
        <f>IF(AM42=0,0,AM41/AM42)</f>
        <v>0</v>
      </c>
      <c r="AN40" s="346">
        <f>IF(AN42=0,0,AN41/AN42)</f>
        <v>0</v>
      </c>
      <c r="AO40" s="346">
        <f>IF(AO42=0,0,AO41/AO42)</f>
        <v>0</v>
      </c>
      <c r="AP40" s="346">
        <f>IF(AP42=0,0,AP41/AP42)</f>
        <v>0</v>
      </c>
      <c r="AQ40" s="346">
        <f>IF(AQ42=0,0,AQ41/AQ42)</f>
        <v>0</v>
      </c>
      <c r="AR40" s="346">
        <f>IF(AR42=0,0,AR41/AR42)</f>
        <v>0</v>
      </c>
      <c r="AS40" s="346">
        <f>IF(AS42=0,0,AS41/AS42)</f>
        <v>0</v>
      </c>
      <c r="AT40" s="346">
        <f>IF(AT42=0,0,AT41/AT42)</f>
        <v>0</v>
      </c>
      <c r="AU40" s="346">
        <f>IF(AU42=0,0,AU41/AU42)</f>
        <v>0</v>
      </c>
      <c r="AV40" s="346">
        <f>IF(AV42=0,0,AV41/AV42)</f>
        <v>0</v>
      </c>
      <c r="AW40" s="346">
        <f>IF(AW42=0,0,AW41/AW42)</f>
        <v>0</v>
      </c>
      <c r="AX40" s="346">
        <f>IF(AX42=0,0,AX41/AX42)</f>
        <v>0</v>
      </c>
      <c r="AY40" s="346">
        <f>IF(AY42=0,0,AY41/AY42)</f>
        <v>0</v>
      </c>
      <c r="AZ40" s="346">
        <f>IF(AZ42=0,0,AZ41/AZ42)</f>
        <v>0</v>
      </c>
      <c r="BA40" s="346">
        <f>IF(BA42=0,0,BA41/BA42)</f>
        <v>0</v>
      </c>
      <c r="BB40" s="346">
        <f>IF(BB42=0,0,BB41/BB42)</f>
        <v>0</v>
      </c>
      <c r="BC40" s="346">
        <f>IF(BC42=0,0,BC41/BC42)</f>
        <v>0</v>
      </c>
      <c r="BD40" s="340"/>
      <c r="BE40" s="68"/>
      <c r="BF40" s="68"/>
      <c r="BG40" s="68"/>
      <c r="BH40" s="68"/>
      <c r="BI40" s="68"/>
      <c r="BJ40" s="68"/>
      <c r="BK40" s="68"/>
      <c r="BL40" s="68"/>
      <c r="BM40" s="68"/>
      <c r="BN40" s="68"/>
      <c r="BO40" s="68"/>
      <c r="BP40" s="68"/>
      <c r="BQ40" s="68"/>
      <c r="BR40" s="68"/>
      <c r="BS40" s="68"/>
      <c r="BT40" s="68"/>
      <c r="BU40" s="68"/>
      <c r="BV40" s="68"/>
      <c r="BW40" s="68"/>
      <c r="BX40" s="83"/>
      <c r="CA40" s="489" t="s">
        <v>1065</v>
      </c>
      <c r="CB40" s="984" t="s">
        <v>1073</v>
      </c>
      <c r="CC40" s="984" cm="1" t="str">
        <f t="array" ref="CC40:CC40">CC39</f>
        <v>0</v>
      </c>
      <c r="CD40" s="984" cm="1" t="str">
        <f t="array" ref="CD40:CD40">CD39</f>
        <v>0</v>
      </c>
      <c r="CE40" s="985"/>
      <c r="CF40" s="985"/>
      <c r="CH40" s="1501" cm="1" t="str">
        <f t="array" ref="CH40:CH40">CH39</f>
        <v>0</v>
      </c>
      <c r="CI40" s="1501" t="s">
        <v>1043</v>
      </c>
      <c r="CJ40" s="1501" t="s">
        <v>1074</v>
      </c>
      <c r="CK40" s="1501"/>
      <c r="CL40" s="1501"/>
      <c r="CM40" s="1501" t="s">
        <v>255</v>
      </c>
      <c r="CN40" s="1501" cm="1" t="str">
        <f t="array" ref="CN40:CN40">CN39</f>
        <v>0</v>
      </c>
      <c r="CO40" s="1501" t="s">
        <v>303</v>
      </c>
      <c r="CP40" s="1501" t="s">
        <v>1066</v>
      </c>
      <c r="CQ40" s="1501" t="s">
        <v>1067</v>
      </c>
    </row>
    <row s="1721" customFormat="1" customHeight="1" ht="16.575" hidden="1">
      <c r="A41" s="978" t="str">
        <f>"checkCosts_2."&amp;F41&amp;"."&amp;Y39</f>
        <v>checkCosts_2.0.0</v>
      </c>
      <c r="E41" s="284">
        <v>17</v>
      </c>
      <c r="F41" s="175" cm="1" t="str">
        <f t="array" ref="F41:F41">OFFSET(G41,-1,-1)</f>
        <v>0</v>
      </c>
      <c r="H41" s="193" cm="1" t="str">
        <f t="array" ref="H41:H41">H39</f>
        <v>0</v>
      </c>
      <c r="S41" s="982"/>
      <c r="T41" s="973" cm="1" t="str">
        <f t="array" ref="T41:T41">T39</f>
        <v>false</v>
      </c>
      <c r="AA41" s="1533"/>
      <c r="AB41" s="559" t="str">
        <f>AB39&amp;".2"</f>
        <v>1.6.0.2</v>
      </c>
      <c r="AC41" s="560" t="s">
        <v>1075</v>
      </c>
      <c r="AD41" s="560"/>
      <c r="AE41" s="551" t="s">
        <v>917</v>
      </c>
      <c r="AF41" s="68"/>
      <c r="AG41" s="68"/>
      <c r="AH41" s="68"/>
      <c r="AI41" s="68"/>
      <c r="AJ41" s="340"/>
      <c r="AK41" s="68"/>
      <c r="AL41" s="68"/>
      <c r="AM41" s="68"/>
      <c r="AN41" s="68"/>
      <c r="AO41" s="68"/>
      <c r="AP41" s="68"/>
      <c r="AQ41" s="68"/>
      <c r="AR41" s="68"/>
      <c r="AS41" s="68"/>
      <c r="AT41" s="68"/>
      <c r="AU41" s="68"/>
      <c r="AV41" s="68"/>
      <c r="AW41" s="68"/>
      <c r="AX41" s="68"/>
      <c r="AY41" s="68"/>
      <c r="AZ41" s="68"/>
      <c r="BA41" s="68"/>
      <c r="BB41" s="68"/>
      <c r="BC41" s="68"/>
      <c r="BD41" s="340"/>
      <c r="BE41" s="68"/>
      <c r="BF41" s="68"/>
      <c r="BG41" s="68"/>
      <c r="BH41" s="68"/>
      <c r="BI41" s="68"/>
      <c r="BJ41" s="68"/>
      <c r="BK41" s="68"/>
      <c r="BL41" s="68"/>
      <c r="BM41" s="68"/>
      <c r="BN41" s="68"/>
      <c r="BO41" s="68"/>
      <c r="BP41" s="68"/>
      <c r="BQ41" s="68"/>
      <c r="BR41" s="68"/>
      <c r="BS41" s="68"/>
      <c r="BT41" s="68"/>
      <c r="BU41" s="68"/>
      <c r="BV41" s="68"/>
      <c r="BW41" s="68"/>
      <c r="BX41" s="83"/>
      <c r="CA41" s="489" t="s">
        <v>1060</v>
      </c>
      <c r="CB41" s="984" t="s">
        <v>1073</v>
      </c>
      <c r="CC41" s="984" cm="1" t="str">
        <f t="array" ref="CC41:CC41">CC39</f>
        <v>0</v>
      </c>
      <c r="CD41" s="984" cm="1" t="str">
        <f t="array" ref="CD41:CD41">CD40</f>
        <v>0</v>
      </c>
      <c r="CE41" s="985"/>
      <c r="CF41" s="985"/>
      <c r="CH41" s="1501" cm="1" t="str">
        <f t="array" ref="CH41:CH41">CH40</f>
        <v>0</v>
      </c>
      <c r="CI41" s="1501" t="s">
        <v>1043</v>
      </c>
      <c r="CJ41" s="1501" t="s">
        <v>1074</v>
      </c>
      <c r="CK41" s="1501"/>
      <c r="CL41" s="1501" t="s">
        <v>1076</v>
      </c>
      <c r="CM41" s="1501"/>
      <c r="CN41" s="1501" cm="1" t="str">
        <f t="array" ref="CN41:CN41">CN40</f>
        <v>0</v>
      </c>
      <c r="CO41" s="1501" t="s">
        <v>303</v>
      </c>
      <c r="CP41" s="1501" t="s">
        <v>1044</v>
      </c>
      <c r="CQ41" s="1501" t="s">
        <v>1045</v>
      </c>
    </row>
    <row s="1721" customFormat="1" customHeight="1" ht="16.575" hidden="1">
      <c r="A42" s="978" t="str">
        <f>"checkVolume_2."&amp;F42&amp;"."&amp;Y39</f>
        <v>checkVolume_2.0.0</v>
      </c>
      <c r="E42" s="284">
        <v>17</v>
      </c>
      <c r="F42" s="175" cm="1" t="str">
        <f t="array" ref="F42:F42">OFFSET(G42,-1,-1)</f>
        <v>0</v>
      </c>
      <c r="H42" s="193" cm="1" t="str">
        <f t="array" ref="H42:H42">H41</f>
        <v>0</v>
      </c>
      <c r="S42" s="982"/>
      <c r="T42" s="973" cm="1" t="str">
        <f t="array" ref="T42:T42">T41</f>
        <v>false</v>
      </c>
      <c r="AA42" s="1533"/>
      <c r="AB42" s="559" t="str">
        <f>AB39&amp;".2.1"</f>
        <v>1.6.0.2.1</v>
      </c>
      <c r="AC42" s="474" t="s">
        <v>1068</v>
      </c>
      <c r="AD42" s="474"/>
      <c r="AE42" s="328" t="s">
        <v>807</v>
      </c>
      <c r="AF42" s="68"/>
      <c r="AG42" s="68"/>
      <c r="AH42" s="68"/>
      <c r="AI42" s="68"/>
      <c r="AJ42" s="340"/>
      <c r="AK42" s="68"/>
      <c r="AL42" s="68"/>
      <c r="AM42" s="68"/>
      <c r="AN42" s="68"/>
      <c r="AO42" s="68"/>
      <c r="AP42" s="68"/>
      <c r="AQ42" s="68"/>
      <c r="AR42" s="68"/>
      <c r="AS42" s="68"/>
      <c r="AT42" s="68"/>
      <c r="AU42" s="68"/>
      <c r="AV42" s="68"/>
      <c r="AW42" s="68"/>
      <c r="AX42" s="68"/>
      <c r="AY42" s="68"/>
      <c r="AZ42" s="68"/>
      <c r="BA42" s="68"/>
      <c r="BB42" s="68"/>
      <c r="BC42" s="68"/>
      <c r="BD42" s="340"/>
      <c r="BE42" s="68"/>
      <c r="BF42" s="68"/>
      <c r="BG42" s="68"/>
      <c r="BH42" s="68"/>
      <c r="BI42" s="68"/>
      <c r="BJ42" s="68"/>
      <c r="BK42" s="68"/>
      <c r="BL42" s="68"/>
      <c r="BM42" s="68"/>
      <c r="BN42" s="68"/>
      <c r="BO42" s="68"/>
      <c r="BP42" s="68"/>
      <c r="BQ42" s="68"/>
      <c r="BR42" s="68"/>
      <c r="BS42" s="68"/>
      <c r="BT42" s="68"/>
      <c r="BU42" s="68"/>
      <c r="BV42" s="68"/>
      <c r="BW42" s="68"/>
      <c r="BX42" s="83"/>
      <c r="CA42" s="489" t="s">
        <v>1069</v>
      </c>
      <c r="CB42" s="984" t="s">
        <v>1073</v>
      </c>
      <c r="CC42" s="984" cm="1" t="str">
        <f t="array" ref="CC42:CC42">CC41</f>
        <v>0</v>
      </c>
      <c r="CD42" s="984" cm="1" t="str">
        <f t="array" ref="CD42:CD42">CD41</f>
        <v>0</v>
      </c>
      <c r="CE42" s="985"/>
      <c r="CF42" s="985"/>
      <c r="CH42" s="1501" cm="1" t="str">
        <f t="array" ref="CH42:CH42">CH41</f>
        <v>0</v>
      </c>
      <c r="CI42" s="1501" t="s">
        <v>1043</v>
      </c>
      <c r="CJ42" s="1501" t="s">
        <v>1074</v>
      </c>
      <c r="CK42" s="1501"/>
      <c r="CL42" s="1501"/>
      <c r="CM42" s="1501" t="s">
        <v>449</v>
      </c>
      <c r="CN42" s="1501" cm="1" t="str">
        <f t="array" ref="CN42:CN42">CN41</f>
        <v>0</v>
      </c>
      <c r="CO42" s="1501" t="s">
        <v>303</v>
      </c>
      <c r="CP42" s="1501" t="s">
        <v>1048</v>
      </c>
      <c r="CQ42" s="1501" t="s">
        <v>1049</v>
      </c>
    </row>
    <row s="1721" customFormat="1" customHeight="1" ht="16.575" hidden="1">
      <c r="A43" s="978" t="str">
        <f>"checkCosts_3."&amp;F43&amp;"."&amp;Y39</f>
        <v>checkCosts_3.0.0</v>
      </c>
      <c r="E43" s="284">
        <v>17</v>
      </c>
      <c r="F43" s="175" cm="1" t="str">
        <f t="array" ref="F43:F43">OFFSET(G43,-1,-1)</f>
        <v>0</v>
      </c>
      <c r="H43" s="193" cm="1" t="str">
        <f t="array" ref="H43:H43">H42</f>
        <v>0</v>
      </c>
      <c r="S43" s="982"/>
      <c r="T43" s="973" cm="1" t="str">
        <f t="array" ref="T43:T43">T42</f>
        <v>false</v>
      </c>
      <c r="AA43" s="1533"/>
      <c r="AB43" s="559" t="str">
        <f>AB39&amp;".3"</f>
        <v>1.6.0.3</v>
      </c>
      <c r="AC43" s="560" t="s">
        <v>1077</v>
      </c>
      <c r="AD43" s="560"/>
      <c r="AE43" s="551" t="s">
        <v>1078</v>
      </c>
      <c r="AF43" s="68"/>
      <c r="AG43" s="68"/>
      <c r="AH43" s="68"/>
      <c r="AI43" s="68"/>
      <c r="AJ43" s="340"/>
      <c r="AK43" s="68"/>
      <c r="AL43" s="68"/>
      <c r="AM43" s="68"/>
      <c r="AN43" s="68"/>
      <c r="AO43" s="68"/>
      <c r="AP43" s="68"/>
      <c r="AQ43" s="68"/>
      <c r="AR43" s="68"/>
      <c r="AS43" s="68"/>
      <c r="AT43" s="68"/>
      <c r="AU43" s="68"/>
      <c r="AV43" s="68"/>
      <c r="AW43" s="68"/>
      <c r="AX43" s="68"/>
      <c r="AY43" s="68"/>
      <c r="AZ43" s="68"/>
      <c r="BA43" s="68"/>
      <c r="BB43" s="68"/>
      <c r="BC43" s="68"/>
      <c r="BD43" s="340"/>
      <c r="BE43" s="68"/>
      <c r="BF43" s="68"/>
      <c r="BG43" s="68"/>
      <c r="BH43" s="68"/>
      <c r="BI43" s="68"/>
      <c r="BJ43" s="68"/>
      <c r="BK43" s="68"/>
      <c r="BL43" s="68"/>
      <c r="BM43" s="68"/>
      <c r="BN43" s="68"/>
      <c r="BO43" s="68"/>
      <c r="BP43" s="68"/>
      <c r="BQ43" s="68"/>
      <c r="BR43" s="68"/>
      <c r="BS43" s="68"/>
      <c r="BT43" s="68"/>
      <c r="BU43" s="68"/>
      <c r="BV43" s="68"/>
      <c r="BW43" s="68"/>
      <c r="BX43" s="83"/>
      <c r="CA43" s="489" t="s">
        <v>1079</v>
      </c>
      <c r="CB43" s="984" t="s">
        <v>1073</v>
      </c>
      <c r="CC43" s="984" cm="1" t="str">
        <f t="array" ref="CC43:CC43">CC42</f>
        <v>0</v>
      </c>
      <c r="CD43" s="984" cm="1" t="str">
        <f t="array" ref="CD43:CD43">CD42</f>
        <v>0</v>
      </c>
      <c r="CE43" s="985"/>
      <c r="CF43" s="985"/>
      <c r="CH43" s="1501" cm="1" t="str">
        <f t="array" ref="CH43:CH43">CH42</f>
        <v>0</v>
      </c>
      <c r="CI43" s="1501" t="s">
        <v>1043</v>
      </c>
      <c r="CJ43" s="1501" t="s">
        <v>1074</v>
      </c>
      <c r="CK43" s="1501"/>
      <c r="CL43" s="1501" t="s">
        <v>1080</v>
      </c>
      <c r="CM43" s="1501"/>
      <c r="CN43" s="1501" cm="1" t="str">
        <f t="array" ref="CN43:CN43">CN42</f>
        <v>0</v>
      </c>
      <c r="CO43" s="1501" t="s">
        <v>303</v>
      </c>
      <c r="CP43" s="1501" t="s">
        <v>1044</v>
      </c>
      <c r="CQ43" s="1501" t="s">
        <v>1045</v>
      </c>
    </row>
    <row s="1721" customFormat="1" customHeight="1" ht="16.575" hidden="1">
      <c r="A44" s="978" t="str">
        <f>"checkVolume_3."&amp;F44&amp;"."&amp;Y39</f>
        <v>checkVolume_3.0.0</v>
      </c>
      <c r="E44" s="284">
        <v>17</v>
      </c>
      <c r="F44" s="175" cm="1" t="str">
        <f t="array" ref="F44:F44">OFFSET(G44,-1,-1)</f>
        <v>0</v>
      </c>
      <c r="H44" s="193" cm="1" t="str">
        <f t="array" ref="H44:H44">H43</f>
        <v>0</v>
      </c>
      <c r="S44" s="982"/>
      <c r="T44" s="973" cm="1" t="str">
        <f t="array" ref="T44:T44">T43</f>
        <v>false</v>
      </c>
      <c r="AA44" s="1533"/>
      <c r="AB44" s="569" t="str">
        <f>AB39&amp;".3.1"</f>
        <v>1.6.0.3.1</v>
      </c>
      <c r="AC44" s="578" t="s">
        <v>1081</v>
      </c>
      <c r="AD44" s="578"/>
      <c r="AE44" s="330" t="s">
        <v>1082</v>
      </c>
      <c r="AF44" s="104"/>
      <c r="AG44" s="104"/>
      <c r="AH44" s="104"/>
      <c r="AI44" s="104"/>
      <c r="AJ44" s="571"/>
      <c r="AK44" s="104"/>
      <c r="AL44" s="104"/>
      <c r="AM44" s="104"/>
      <c r="AN44" s="104"/>
      <c r="AO44" s="104"/>
      <c r="AP44" s="104"/>
      <c r="AQ44" s="104"/>
      <c r="AR44" s="104"/>
      <c r="AS44" s="104"/>
      <c r="AT44" s="104"/>
      <c r="AU44" s="104"/>
      <c r="AV44" s="104"/>
      <c r="AW44" s="104"/>
      <c r="AX44" s="104"/>
      <c r="AY44" s="104"/>
      <c r="AZ44" s="104"/>
      <c r="BA44" s="104"/>
      <c r="BB44" s="104"/>
      <c r="BC44" s="104"/>
      <c r="BD44" s="571"/>
      <c r="BE44" s="104"/>
      <c r="BF44" s="104"/>
      <c r="BG44" s="104"/>
      <c r="BH44" s="104"/>
      <c r="BI44" s="104"/>
      <c r="BJ44" s="104"/>
      <c r="BK44" s="104"/>
      <c r="BL44" s="104"/>
      <c r="BM44" s="104"/>
      <c r="BN44" s="104"/>
      <c r="BO44" s="104"/>
      <c r="BP44" s="104"/>
      <c r="BQ44" s="104"/>
      <c r="BR44" s="104"/>
      <c r="BS44" s="104"/>
      <c r="BT44" s="104"/>
      <c r="BU44" s="104"/>
      <c r="BV44" s="104"/>
      <c r="BW44" s="104"/>
      <c r="BX44" s="84"/>
      <c r="CA44" s="489" t="s">
        <v>1083</v>
      </c>
      <c r="CB44" s="984" t="s">
        <v>1073</v>
      </c>
      <c r="CC44" s="984" cm="1" t="str">
        <f t="array" ref="CC44:CC44">CC43</f>
        <v>0</v>
      </c>
      <c r="CD44" s="984" cm="1" t="str">
        <f t="array" ref="CD44:CD44">CD43</f>
        <v>0</v>
      </c>
      <c r="CE44" s="985"/>
      <c r="CF44" s="985"/>
      <c r="CH44" s="1501" cm="1" t="str">
        <f t="array" ref="CH44:CH44">CH43</f>
        <v>0</v>
      </c>
      <c r="CI44" s="1501" t="s">
        <v>1043</v>
      </c>
      <c r="CJ44" s="1501" t="s">
        <v>1074</v>
      </c>
      <c r="CK44" s="1501"/>
      <c r="CL44" s="1501"/>
      <c r="CM44" s="1501" t="s">
        <v>883</v>
      </c>
      <c r="CN44" s="1501" cm="1" t="str">
        <f t="array" ref="CN44:CN44">CN43</f>
        <v>0</v>
      </c>
      <c r="CO44" s="1501" t="s">
        <v>303</v>
      </c>
      <c r="CP44" s="1501" t="s">
        <v>1084</v>
      </c>
      <c r="CQ44" s="1501" t="s">
        <v>1085</v>
      </c>
    </row>
    <row s="1659" customFormat="1" customHeight="1" ht="16.575" hidden="1">
      <c r="E45" s="180">
        <v>17</v>
      </c>
      <c r="F45" s="175" cm="1" t="str">
        <f t="array" ref="F45:F45">OFFSET(G45,-1,-1)</f>
        <v>0</v>
      </c>
      <c r="T45" s="973">
        <f>F45&gt;0</f>
        <v>0</v>
      </c>
      <c r="W45" s="176" t="s">
        <v>1086</v>
      </c>
      <c r="AB45" s="573"/>
      <c r="AC45" s="574" t="s">
        <v>1087</v>
      </c>
      <c r="AD45" s="574"/>
      <c r="AE45" s="574"/>
      <c r="AF45" s="574"/>
      <c r="AG45" s="574"/>
      <c r="AH45" s="574"/>
      <c r="AI45" s="574"/>
      <c r="AJ45" s="574"/>
      <c r="AK45" s="574"/>
      <c r="AL45" s="574"/>
      <c r="AM45" s="574"/>
      <c r="AN45" s="574"/>
      <c r="AO45" s="574"/>
      <c r="AP45" s="574"/>
      <c r="AQ45" s="574"/>
      <c r="AR45" s="574"/>
      <c r="AS45" s="574"/>
      <c r="AT45" s="574"/>
      <c r="AU45" s="574"/>
      <c r="AV45" s="574"/>
      <c r="AW45" s="574"/>
      <c r="AX45" s="574"/>
      <c r="AY45" s="574"/>
      <c r="AZ45" s="574"/>
      <c r="BA45" s="574"/>
      <c r="BB45" s="574"/>
      <c r="BC45" s="574"/>
      <c r="BD45" s="574"/>
      <c r="BE45" s="574"/>
      <c r="BF45" s="574"/>
      <c r="BG45" s="574"/>
      <c r="BH45" s="574"/>
      <c r="BI45" s="574"/>
      <c r="BJ45" s="574"/>
      <c r="BK45" s="574"/>
      <c r="BL45" s="574"/>
      <c r="BM45" s="574"/>
      <c r="BN45" s="574"/>
      <c r="BO45" s="574"/>
      <c r="BP45" s="574"/>
      <c r="BQ45" s="574"/>
      <c r="BR45" s="574"/>
      <c r="BS45" s="574"/>
      <c r="BT45" s="574"/>
      <c r="BU45" s="574"/>
      <c r="BV45" s="574"/>
      <c r="BW45" s="574"/>
      <c r="BX45" s="575"/>
      <c r="CA45" s="489"/>
      <c r="CB45" s="489"/>
      <c r="CC45" s="489"/>
      <c r="CD45" s="489"/>
      <c r="CE45" s="546" t="s">
        <v>1073</v>
      </c>
      <c r="CF45" s="546"/>
      <c r="CH45" s="1502" cm="1" t="str">
        <f t="array" ref="CH45:CH45">OFFSET(CI45,-1,-1)</f>
        <v>0</v>
      </c>
      <c r="CI45" s="1501"/>
      <c r="CJ45" s="1501"/>
      <c r="CK45" s="1501"/>
      <c r="CL45" s="1501"/>
      <c r="CM45" s="1501"/>
      <c r="CN45" s="1501"/>
      <c r="CO45" s="1501"/>
      <c r="CP45" s="1501"/>
      <c r="CQ45" s="1501"/>
    </row>
    <row s="1659" customFormat="1" customHeight="1" ht="12" hidden="1">
      <c r="E46" s="965">
        <v>0</v>
      </c>
      <c r="F46" s="175" cm="1" t="str">
        <f t="array" ref="F46:F46">OFFSET(G46,-1,-1)</f>
        <v>0</v>
      </c>
      <c r="T46" s="973">
        <f>F46&gt;0</f>
        <v>0</v>
      </c>
      <c r="CA46" s="489"/>
      <c r="CB46" s="489"/>
      <c r="CC46" s="489"/>
      <c r="CD46" s="489"/>
      <c r="CE46" s="546"/>
      <c r="CF46" s="546"/>
      <c r="CH46" s="1502" cm="1" t="str">
        <f t="array" ref="CH46:CH46">OFFSET(CI46,-1,-1)</f>
        <v>0</v>
      </c>
      <c r="CI46" s="1501"/>
      <c r="CJ46" s="1501"/>
      <c r="CK46" s="1501"/>
      <c r="CL46" s="1501"/>
      <c r="CM46" s="1501"/>
      <c r="CN46" s="1501"/>
      <c r="CO46" s="1501"/>
      <c r="CP46" s="1501"/>
      <c r="CQ46" s="1501"/>
    </row>
    <row s="969" customFormat="1" customHeight="1" ht="14.625" hidden="1">
      <c r="E47" s="180">
        <v>15</v>
      </c>
      <c r="F47" s="175" cm="1" t="str">
        <f t="array" ref="F47:F47">OFFSET(G47,-1,-1)</f>
        <v>0</v>
      </c>
      <c r="G47" s="193" t="s">
        <v>1088</v>
      </c>
      <c r="I47" s="308" t="s">
        <v>1040</v>
      </c>
      <c r="T47" s="973">
        <f>F47&gt;0</f>
        <v>0</v>
      </c>
      <c r="AB47" s="583">
        <v>2</v>
      </c>
      <c r="AC47" s="584" t="s">
        <v>1089</v>
      </c>
      <c r="AD47" s="585"/>
      <c r="AE47" s="586" t="s">
        <v>917</v>
      </c>
      <c r="AF47" s="587">
        <f>SUMIF($I51:$I67,$I47,AF51:AF67)</f>
        <v>0</v>
      </c>
      <c r="AG47" s="587">
        <f>SUMIF($I51:$I67,$I47,AG51:AG67)</f>
        <v>0</v>
      </c>
      <c r="AH47" s="587">
        <f>SUMIF($I51:$I67,$I47,AH51:AH67)</f>
        <v>0</v>
      </c>
      <c r="AI47" s="587">
        <f>SUMIF($I51:$I67,$I47,AI51:AI67)</f>
        <v>0</v>
      </c>
      <c r="AJ47" s="587">
        <f>SUMIF($I51:$I67,$I47,AJ51:AJ67)</f>
        <v>0</v>
      </c>
      <c r="AK47" s="105">
        <f>SUMIF($I51:$I67,$I47,AK51:AK67)</f>
        <v>0</v>
      </c>
      <c r="AL47" s="105">
        <f>SUMIF($I51:$I67,$I47,AL51:AL67)</f>
        <v>0</v>
      </c>
      <c r="AM47" s="105">
        <f>SUMIF($I51:$I67,$I47,AM51:AM67)</f>
        <v>0</v>
      </c>
      <c r="AN47" s="105">
        <f>SUMIF($I51:$I67,$I47,AN51:AN67)</f>
        <v>0</v>
      </c>
      <c r="AO47" s="105">
        <f>SUMIF($I51:$I67,$I47,AO51:AO67)</f>
        <v>0</v>
      </c>
      <c r="AP47" s="105">
        <f>SUMIF($I51:$I67,$I47,AP51:AP67)</f>
        <v>0</v>
      </c>
      <c r="AQ47" s="105">
        <f>SUMIF($I51:$I67,$I47,AQ51:AQ67)</f>
        <v>0</v>
      </c>
      <c r="AR47" s="105">
        <f>SUMIF($I51:$I67,$I47,AR51:AR67)</f>
        <v>0</v>
      </c>
      <c r="AS47" s="105">
        <f>SUMIF($I51:$I67,$I47,AS51:AS67)</f>
        <v>0</v>
      </c>
      <c r="AT47" s="105">
        <f>SUMIF($I51:$I67,$I47,AT51:AT67)</f>
        <v>0</v>
      </c>
      <c r="AU47" s="105">
        <f>SUMIF($I51:$I67,$I47,AU51:AU67)</f>
        <v>0</v>
      </c>
      <c r="AV47" s="105">
        <f>SUMIF($I51:$I67,$I47,AV51:AV67)</f>
        <v>0</v>
      </c>
      <c r="AW47" s="105">
        <f>SUMIF($I51:$I67,$I47,AW51:AW67)</f>
        <v>0</v>
      </c>
      <c r="AX47" s="105">
        <f>SUMIF($I51:$I67,$I47,AX51:AX67)</f>
        <v>0</v>
      </c>
      <c r="AY47" s="105">
        <f>SUMIF($I51:$I67,$I47,AY51:AY67)</f>
        <v>0</v>
      </c>
      <c r="AZ47" s="105">
        <f>SUMIF($I51:$I67,$I47,AZ51:AZ67)</f>
        <v>0</v>
      </c>
      <c r="BA47" s="105">
        <f>SUMIF($I51:$I67,$I47,BA51:BA67)</f>
        <v>0</v>
      </c>
      <c r="BB47" s="105">
        <f>SUMIF($I51:$I67,$I47,BB51:BB67)</f>
        <v>0</v>
      </c>
      <c r="BC47" s="105">
        <f>SUMIF($I51:$I67,$I47,BC51:BC67)</f>
        <v>0</v>
      </c>
      <c r="BD47" s="587">
        <f>SUMIF($I51:$I67,$I47,BD51:BD67)</f>
        <v>0</v>
      </c>
      <c r="BE47" s="105">
        <f>SUMIF($I51:$I67,$I47,BE51:BE67)</f>
        <v>0</v>
      </c>
      <c r="BF47" s="105">
        <f>SUMIF($I51:$I67,$I47,BF51:BF67)</f>
        <v>0</v>
      </c>
      <c r="BG47" s="105">
        <f>SUMIF($I51:$I67,$I47,BG51:BG67)</f>
        <v>0</v>
      </c>
      <c r="BH47" s="105">
        <f>SUMIF($I51:$I67,$I47,BH51:BH67)</f>
        <v>0</v>
      </c>
      <c r="BI47" s="105">
        <f>SUMIF($I51:$I67,$I47,BI51:BI67)</f>
        <v>0</v>
      </c>
      <c r="BJ47" s="105">
        <f>SUMIF($I51:$I67,$I47,BJ51:BJ67)</f>
        <v>0</v>
      </c>
      <c r="BK47" s="105">
        <f>SUMIF($I51:$I67,$I47,BK51:BK67)</f>
        <v>0</v>
      </c>
      <c r="BL47" s="105">
        <f>SUMIF($I51:$I67,$I47,BL51:BL67)</f>
        <v>0</v>
      </c>
      <c r="BM47" s="105">
        <f>SUMIF($I51:$I67,$I47,BM51:BM67)</f>
        <v>0</v>
      </c>
      <c r="BN47" s="105">
        <f>SUMIF($I51:$I67,$I47,BN51:BN67)</f>
        <v>0</v>
      </c>
      <c r="BO47" s="105">
        <f>SUMIF($I51:$I67,$I47,BO51:BO67)</f>
        <v>0</v>
      </c>
      <c r="BP47" s="105">
        <f>SUMIF($I51:$I67,$I47,BP51:BP67)</f>
        <v>0</v>
      </c>
      <c r="BQ47" s="105">
        <f>SUMIF($I51:$I67,$I47,BQ51:BQ67)</f>
        <v>0</v>
      </c>
      <c r="BR47" s="105">
        <f>SUMIF($I51:$I67,$I47,BR51:BR67)</f>
        <v>0</v>
      </c>
      <c r="BS47" s="105">
        <f>SUMIF($I51:$I67,$I47,BS51:BS67)</f>
        <v>0</v>
      </c>
      <c r="BT47" s="105">
        <f>SUMIF($I51:$I67,$I47,BT51:BT67)</f>
        <v>0</v>
      </c>
      <c r="BU47" s="105">
        <f>SUMIF($I51:$I67,$I47,BU51:BU67)</f>
        <v>0</v>
      </c>
      <c r="BV47" s="105">
        <f>SUMIF($I51:$I67,$I47,BV51:BV67)</f>
        <v>0</v>
      </c>
      <c r="BW47" s="105">
        <f>SUMIF($I51:$I67,$I47,BW51:BW67)</f>
        <v>0</v>
      </c>
      <c r="BX47" s="85"/>
      <c r="CA47" s="489" t="s">
        <v>729</v>
      </c>
      <c r="CB47" s="489"/>
      <c r="CC47" s="489"/>
      <c r="CD47" s="489"/>
      <c r="CE47" s="546"/>
      <c r="CF47" s="546"/>
      <c r="CH47" s="1501" cm="1" t="str">
        <f t="array" ref="CH47:CH47">CH46</f>
        <v>0</v>
      </c>
      <c r="CI47" s="1501" t="s">
        <v>1090</v>
      </c>
      <c r="CJ47" s="1501"/>
      <c r="CK47" s="1501"/>
      <c r="CL47" s="1501"/>
      <c r="CM47" s="1501" t="s">
        <v>219</v>
      </c>
      <c r="CN47" s="1501"/>
      <c r="CO47" s="1501" t="s">
        <v>303</v>
      </c>
      <c r="CP47" s="1501" t="s">
        <v>1044</v>
      </c>
      <c r="CQ47" s="1501" t="s">
        <v>1045</v>
      </c>
    </row>
    <row s="969" customFormat="1" customHeight="1" ht="14.625" hidden="1">
      <c r="E48" s="180">
        <v>15</v>
      </c>
      <c r="F48" s="175" cm="1" t="str">
        <f t="array" ref="F48:F48">OFFSET(G48,-1,-1)</f>
        <v>0</v>
      </c>
      <c r="G48" s="193" t="s">
        <v>1091</v>
      </c>
      <c r="L48" s="193" cm="1" t="str">
        <f t="array" ref="L48:L48">INDEX('Общие сведения'!$AK$169:$AK$202,MATCH($F48,'Общие сведения'!$Y$169:$Y$202,0))</f>
        <v>0</v>
      </c>
      <c r="R48" s="193" t="s">
        <v>1092</v>
      </c>
      <c r="T48" s="973">
        <f>AND(F48&gt;0,L48="двухставочный")</f>
        <v>0</v>
      </c>
      <c r="AA48" s="477" t="s">
        <v>1093</v>
      </c>
      <c r="AB48" s="360" t="s">
        <v>1093</v>
      </c>
      <c r="AC48" s="589" t="s">
        <v>1094</v>
      </c>
      <c r="AD48" s="963"/>
      <c r="AE48" s="591" t="s">
        <v>917</v>
      </c>
      <c r="AF48" s="592">
        <f>_xlfn.SUMIFS(AF51:AF67,$AC51:$AC67,$AC48)</f>
        <v>0</v>
      </c>
      <c r="AG48" s="592">
        <f>_xlfn.SUMIFS(AG51:AG67,$AC51:$AC67,$AC48)</f>
        <v>0</v>
      </c>
      <c r="AH48" s="592">
        <f>_xlfn.SUMIFS(AH51:AH67,$AC51:$AC67,$AC48)</f>
        <v>0</v>
      </c>
      <c r="AI48" s="592">
        <f>_xlfn.SUMIFS(AI51:AI67,$AC51:$AC67,$AC48)</f>
        <v>0</v>
      </c>
      <c r="AJ48" s="592">
        <f>_xlfn.SUMIFS(AJ51:AJ67,$AC51:$AC67,$AC48)</f>
        <v>0</v>
      </c>
      <c r="AK48" s="75">
        <f>_xlfn.SUMIFS(AK51:AK67,$AC51:$AC67,$AC48)</f>
        <v>0</v>
      </c>
      <c r="AL48" s="75">
        <f>_xlfn.SUMIFS(AL51:AL67,$AC51:$AC67,$AC48)</f>
        <v>0</v>
      </c>
      <c r="AM48" s="75">
        <f>_xlfn.SUMIFS(AM51:AM67,$AC51:$AC67,$AC48)</f>
        <v>0</v>
      </c>
      <c r="AN48" s="75">
        <f>_xlfn.SUMIFS(AN51:AN67,$AC51:$AC67,$AC48)</f>
        <v>0</v>
      </c>
      <c r="AO48" s="75">
        <f>_xlfn.SUMIFS(AO51:AO67,$AC51:$AC67,$AC48)</f>
        <v>0</v>
      </c>
      <c r="AP48" s="75">
        <f>_xlfn.SUMIFS(AP51:AP67,$AC51:$AC67,$AC48)</f>
        <v>0</v>
      </c>
      <c r="AQ48" s="75">
        <f>_xlfn.SUMIFS(AQ51:AQ67,$AC51:$AC67,$AC48)</f>
        <v>0</v>
      </c>
      <c r="AR48" s="75">
        <f>_xlfn.SUMIFS(AR51:AR67,$AC51:$AC67,$AC48)</f>
        <v>0</v>
      </c>
      <c r="AS48" s="75">
        <f>_xlfn.SUMIFS(AS51:AS67,$AC51:$AC67,$AC48)</f>
        <v>0</v>
      </c>
      <c r="AT48" s="75">
        <f>_xlfn.SUMIFS(AT51:AT67,$AC51:$AC67,$AC48)</f>
        <v>0</v>
      </c>
      <c r="AU48" s="75">
        <f>_xlfn.SUMIFS(AU51:AU67,$AC51:$AC67,$AC48)</f>
        <v>0</v>
      </c>
      <c r="AV48" s="75">
        <f>_xlfn.SUMIFS(AV51:AV67,$AC51:$AC67,$AC48)</f>
        <v>0</v>
      </c>
      <c r="AW48" s="75">
        <f>_xlfn.SUMIFS(AW51:AW67,$AC51:$AC67,$AC48)</f>
        <v>0</v>
      </c>
      <c r="AX48" s="75">
        <f>_xlfn.SUMIFS(AX51:AX67,$AC51:$AC67,$AC48)</f>
        <v>0</v>
      </c>
      <c r="AY48" s="75">
        <f>_xlfn.SUMIFS(AY51:AY67,$AC51:$AC67,$AC48)</f>
        <v>0</v>
      </c>
      <c r="AZ48" s="75">
        <f>_xlfn.SUMIFS(AZ51:AZ67,$AC51:$AC67,$AC48)</f>
        <v>0</v>
      </c>
      <c r="BA48" s="75">
        <f>_xlfn.SUMIFS(BA51:BA67,$AC51:$AC67,$AC48)</f>
        <v>0</v>
      </c>
      <c r="BB48" s="75">
        <f>_xlfn.SUMIFS(BB51:BB67,$AC51:$AC67,$AC48)</f>
        <v>0</v>
      </c>
      <c r="BC48" s="75">
        <f>_xlfn.SUMIFS(BC51:BC67,$AC51:$AC67,$AC48)</f>
        <v>0</v>
      </c>
      <c r="BD48" s="592">
        <f>_xlfn.SUMIFS(BD51:BD67,$AC51:$AC67,$AC48)</f>
        <v>0</v>
      </c>
      <c r="BE48" s="75">
        <f>_xlfn.SUMIFS(BE51:BE67,$AC51:$AC67,$AC48)</f>
        <v>0</v>
      </c>
      <c r="BF48" s="75">
        <f>_xlfn.SUMIFS(BF51:BF67,$AC51:$AC67,$AC48)</f>
        <v>0</v>
      </c>
      <c r="BG48" s="75">
        <f>_xlfn.SUMIFS(BG51:BG67,$AC51:$AC67,$AC48)</f>
        <v>0</v>
      </c>
      <c r="BH48" s="75">
        <f>_xlfn.SUMIFS(BH51:BH67,$AC51:$AC67,$AC48)</f>
        <v>0</v>
      </c>
      <c r="BI48" s="75">
        <f>_xlfn.SUMIFS(BI51:BI67,$AC51:$AC67,$AC48)</f>
        <v>0</v>
      </c>
      <c r="BJ48" s="75">
        <f>_xlfn.SUMIFS(BJ51:BJ67,$AC51:$AC67,$AC48)</f>
        <v>0</v>
      </c>
      <c r="BK48" s="75">
        <f>_xlfn.SUMIFS(BK51:BK67,$AC51:$AC67,$AC48)</f>
        <v>0</v>
      </c>
      <c r="BL48" s="75">
        <f>_xlfn.SUMIFS(BL51:BL67,$AC51:$AC67,$AC48)</f>
        <v>0</v>
      </c>
      <c r="BM48" s="75">
        <f>_xlfn.SUMIFS(BM51:BM67,$AC51:$AC67,$AC48)</f>
        <v>0</v>
      </c>
      <c r="BN48" s="75">
        <f>_xlfn.SUMIFS(BN51:BN67,$AC51:$AC67,$AC48)</f>
        <v>0</v>
      </c>
      <c r="BO48" s="75">
        <f>_xlfn.SUMIFS(BO51:BO67,$AC51:$AC67,$AC48)</f>
        <v>0</v>
      </c>
      <c r="BP48" s="75">
        <f>_xlfn.SUMIFS(BP51:BP67,$AC51:$AC67,$AC48)</f>
        <v>0</v>
      </c>
      <c r="BQ48" s="75">
        <f>_xlfn.SUMIFS(BQ51:BQ67,$AC51:$AC67,$AC48)</f>
        <v>0</v>
      </c>
      <c r="BR48" s="75">
        <f>_xlfn.SUMIFS(BR51:BR67,$AC51:$AC67,$AC48)</f>
        <v>0</v>
      </c>
      <c r="BS48" s="75">
        <f>_xlfn.SUMIFS(BS51:BS67,$AC51:$AC67,$AC48)</f>
        <v>0</v>
      </c>
      <c r="BT48" s="75">
        <f>_xlfn.SUMIFS(BT51:BT67,$AC51:$AC67,$AC48)</f>
        <v>0</v>
      </c>
      <c r="BU48" s="75">
        <f>_xlfn.SUMIFS(BU51:BU67,$AC51:$AC67,$AC48)</f>
        <v>0</v>
      </c>
      <c r="BV48" s="75">
        <f>_xlfn.SUMIFS(BV51:BV67,$AC51:$AC67,$AC48)</f>
        <v>0</v>
      </c>
      <c r="BW48" s="75">
        <f>_xlfn.SUMIFS(BW51:BW67,$AC51:$AC67,$AC48)</f>
        <v>0</v>
      </c>
      <c r="BX48" s="85"/>
      <c r="CA48" s="489" t="s">
        <v>1095</v>
      </c>
      <c r="CB48" s="489"/>
      <c r="CC48" s="489"/>
      <c r="CD48" s="489"/>
      <c r="CE48" s="546"/>
      <c r="CF48" s="546"/>
      <c r="CH48" s="1501" cm="1" t="str">
        <f t="array" ref="CH48:CH48">CH47</f>
        <v>0</v>
      </c>
      <c r="CI48" s="1501" t="s">
        <v>1090</v>
      </c>
      <c r="CJ48" s="1501"/>
      <c r="CK48" s="1501" t="s">
        <v>862</v>
      </c>
      <c r="CL48" s="1501"/>
      <c r="CM48" s="1501"/>
      <c r="CN48" s="1501"/>
      <c r="CO48" s="1501" t="s">
        <v>303</v>
      </c>
      <c r="CP48" s="1501" t="s">
        <v>1044</v>
      </c>
      <c r="CQ48" s="1501" t="s">
        <v>1045</v>
      </c>
    </row>
    <row s="969" customFormat="1" customHeight="1" ht="14.625" hidden="1">
      <c r="E49" s="180">
        <v>15</v>
      </c>
      <c r="F49" s="175" cm="1" t="str">
        <f t="array" ref="F49:F49">OFFSET(G49,-1,-1)</f>
        <v>0</v>
      </c>
      <c r="T49" s="973" cm="1" t="str">
        <f t="array" ref="T49:T49">T47</f>
        <v>false</v>
      </c>
      <c r="AB49" s="559">
        <v>2.1</v>
      </c>
      <c r="AC49" s="961" t="s">
        <v>1096</v>
      </c>
      <c r="AD49" s="964"/>
      <c r="AE49" s="962" t="s">
        <v>629</v>
      </c>
      <c r="AF49" s="346">
        <f>SUMIF($AE51:$AE67,$AE49,AF51:AF67)</f>
        <v>0</v>
      </c>
      <c r="AG49" s="346">
        <f>SUMIF($AE51:$AE67,$AE49,AG51:AG67)</f>
        <v>0</v>
      </c>
      <c r="AH49" s="346">
        <f>SUMIF($AE51:$AE67,$AE49,AH51:AH67)</f>
        <v>0</v>
      </c>
      <c r="AI49" s="346">
        <f>SUMIF($AE51:$AE67,$AE49,AI51:AI67)</f>
        <v>0</v>
      </c>
      <c r="AJ49" s="346">
        <f>SUMIF($AE51:$AE67,$AE49,AJ51:AJ67)</f>
        <v>0</v>
      </c>
      <c r="AK49" s="68">
        <f>SUMIF($AE51:$AE67,$AE49,AK51:AK67)</f>
        <v>0</v>
      </c>
      <c r="AL49" s="68">
        <f>SUMIF($AE51:$AE67,$AE49,AL51:AL67)</f>
        <v>0</v>
      </c>
      <c r="AM49" s="68">
        <f>SUMIF($AE51:$AE67,$AE49,AM51:AM67)</f>
        <v>0</v>
      </c>
      <c r="AN49" s="68">
        <f>SUMIF($AE51:$AE67,$AE49,AN51:AN67)</f>
        <v>0</v>
      </c>
      <c r="AO49" s="68">
        <f>SUMIF($AE51:$AE67,$AE49,AO51:AO67)</f>
        <v>0</v>
      </c>
      <c r="AP49" s="68">
        <f>SUMIF($AE51:$AE67,$AE49,AP51:AP67)</f>
        <v>0</v>
      </c>
      <c r="AQ49" s="68">
        <f>SUMIF($AE51:$AE67,$AE49,AQ51:AQ67)</f>
        <v>0</v>
      </c>
      <c r="AR49" s="68">
        <f>SUMIF($AE51:$AE67,$AE49,AR51:AR67)</f>
        <v>0</v>
      </c>
      <c r="AS49" s="68">
        <f>SUMIF($AE51:$AE67,$AE49,AS51:AS67)</f>
        <v>0</v>
      </c>
      <c r="AT49" s="68">
        <f>SUMIF($AE51:$AE67,$AE49,AT51:AT67)</f>
        <v>0</v>
      </c>
      <c r="AU49" s="68">
        <f>SUMIF($AE51:$AE67,$AE49,AU51:AU67)</f>
        <v>0</v>
      </c>
      <c r="AV49" s="68">
        <f>SUMIF($AE51:$AE67,$AE49,AV51:AV67)</f>
        <v>0</v>
      </c>
      <c r="AW49" s="68">
        <f>SUMIF($AE51:$AE67,$AE49,AW51:AW67)</f>
        <v>0</v>
      </c>
      <c r="AX49" s="68">
        <f>SUMIF($AE51:$AE67,$AE49,AX51:AX67)</f>
        <v>0</v>
      </c>
      <c r="AY49" s="68">
        <f>SUMIF($AE51:$AE67,$AE49,AY51:AY67)</f>
        <v>0</v>
      </c>
      <c r="AZ49" s="68">
        <f>SUMIF($AE51:$AE67,$AE49,AZ51:AZ67)</f>
        <v>0</v>
      </c>
      <c r="BA49" s="68">
        <f>SUMIF($AE51:$AE67,$AE49,BA51:BA67)</f>
        <v>0</v>
      </c>
      <c r="BB49" s="68">
        <f>SUMIF($AE51:$AE67,$AE49,BB51:BB67)</f>
        <v>0</v>
      </c>
      <c r="BC49" s="68">
        <f>SUMIF($AE51:$AE67,$AE49,BC51:BC67)</f>
        <v>0</v>
      </c>
      <c r="BD49" s="346">
        <f>SUMIF($AE51:$AE67,$AE49,BD51:BD67)</f>
        <v>0</v>
      </c>
      <c r="BE49" s="68">
        <f>SUMIF($AE51:$AE67,$AE49,BE51:BE67)</f>
        <v>0</v>
      </c>
      <c r="BF49" s="68">
        <f>SUMIF($AE51:$AE67,$AE49,BF51:BF67)</f>
        <v>0</v>
      </c>
      <c r="BG49" s="68">
        <f>SUMIF($AE51:$AE67,$AE49,BG51:BG67)</f>
        <v>0</v>
      </c>
      <c r="BH49" s="68">
        <f>SUMIF($AE51:$AE67,$AE49,BH51:BH67)</f>
        <v>0</v>
      </c>
      <c r="BI49" s="68">
        <f>SUMIF($AE51:$AE67,$AE49,BI51:BI67)</f>
        <v>0</v>
      </c>
      <c r="BJ49" s="68">
        <f>SUMIF($AE51:$AE67,$AE49,BJ51:BJ67)</f>
        <v>0</v>
      </c>
      <c r="BK49" s="68">
        <f>SUMIF($AE51:$AE67,$AE49,BK51:BK67)</f>
        <v>0</v>
      </c>
      <c r="BL49" s="68">
        <f>SUMIF($AE51:$AE67,$AE49,BL51:BL67)</f>
        <v>0</v>
      </c>
      <c r="BM49" s="68">
        <f>SUMIF($AE51:$AE67,$AE49,BM51:BM67)</f>
        <v>0</v>
      </c>
      <c r="BN49" s="68">
        <f>SUMIF($AE51:$AE67,$AE49,BN51:BN67)</f>
        <v>0</v>
      </c>
      <c r="BO49" s="68">
        <f>SUMIF($AE51:$AE67,$AE49,BO51:BO67)</f>
        <v>0</v>
      </c>
      <c r="BP49" s="68">
        <f>SUMIF($AE51:$AE67,$AE49,BP51:BP67)</f>
        <v>0</v>
      </c>
      <c r="BQ49" s="68">
        <f>SUMIF($AE51:$AE67,$AE49,BQ51:BQ67)</f>
        <v>0</v>
      </c>
      <c r="BR49" s="68">
        <f>SUMIF($AE51:$AE67,$AE49,BR51:BR67)</f>
        <v>0</v>
      </c>
      <c r="BS49" s="68">
        <f>SUMIF($AE51:$AE67,$AE49,BS51:BS67)</f>
        <v>0</v>
      </c>
      <c r="BT49" s="68">
        <f>SUMIF($AE51:$AE67,$AE49,BT51:BT67)</f>
        <v>0</v>
      </c>
      <c r="BU49" s="68">
        <f>SUMIF($AE51:$AE67,$AE49,BU51:BU67)</f>
        <v>0</v>
      </c>
      <c r="BV49" s="68">
        <f>SUMIF($AE51:$AE67,$AE49,BV51:BV67)</f>
        <v>0</v>
      </c>
      <c r="BW49" s="68">
        <f>SUMIF($AE51:$AE67,$AE49,BW51:BW67)</f>
        <v>0</v>
      </c>
      <c r="BX49" s="85"/>
      <c r="CA49" s="489" t="s">
        <v>1097</v>
      </c>
      <c r="CB49" s="489"/>
      <c r="CC49" s="489"/>
      <c r="CD49" s="489"/>
      <c r="CE49" s="546"/>
      <c r="CF49" s="546"/>
      <c r="CH49" s="1501" cm="1" t="str">
        <f t="array" ref="CH49:CH49">CH48</f>
        <v>0</v>
      </c>
      <c r="CI49" s="1501" t="s">
        <v>1090</v>
      </c>
      <c r="CJ49" s="1501"/>
      <c r="CK49" s="1501"/>
      <c r="CL49" s="1501"/>
      <c r="CM49" s="1501" t="s">
        <v>255</v>
      </c>
      <c r="CN49" s="1501"/>
      <c r="CO49" s="1501" t="s">
        <v>303</v>
      </c>
      <c r="CP49" s="1501" t="s">
        <v>679</v>
      </c>
      <c r="CQ49" s="1501" t="s">
        <v>680</v>
      </c>
    </row>
    <row s="969" customFormat="1" customHeight="1" ht="14.625" hidden="1">
      <c r="E50" s="180">
        <v>15</v>
      </c>
      <c r="F50" s="175" cm="1" t="str">
        <f t="array" ref="F50:F50">OFFSET(G50,-1,-1)</f>
        <v>0</v>
      </c>
      <c r="T50" s="973" cm="1" t="str">
        <f t="array" ref="T50:T50">T49</f>
        <v>false</v>
      </c>
      <c r="AB50" s="559">
        <v>2.2</v>
      </c>
      <c r="AC50" s="961" t="s">
        <v>1053</v>
      </c>
      <c r="AD50" s="964"/>
      <c r="AE50" s="962" t="s">
        <v>1098</v>
      </c>
      <c r="AF50" s="346">
        <f>IF(AF49=0,0,AF47/AF49)*1000</f>
        <v>0</v>
      </c>
      <c r="AG50" s="346">
        <f>IF(AG49=0,0,AG47/AG49)*1000</f>
        <v>0</v>
      </c>
      <c r="AH50" s="346">
        <f>IF(AH49=0,0,AH47/AH49)*1000</f>
        <v>0</v>
      </c>
      <c r="AI50" s="346">
        <f>IF(AI49=0,0,AI47/AI49)*1000</f>
        <v>0</v>
      </c>
      <c r="AJ50" s="346">
        <f>IF(AJ49=0,0,AJ47/AJ49)*1000</f>
        <v>0</v>
      </c>
      <c r="AK50" s="68">
        <f>IF(AK49=0,0,AK47/AK49)*1000</f>
        <v>0</v>
      </c>
      <c r="AL50" s="68">
        <f>IF(AL49=0,0,AL47/AL49)*1000</f>
        <v>0</v>
      </c>
      <c r="AM50" s="68">
        <f>IF(AM49=0,0,AM47/AM49)*1000</f>
        <v>0</v>
      </c>
      <c r="AN50" s="68">
        <f>IF(AN49=0,0,AN47/AN49)*1000</f>
        <v>0</v>
      </c>
      <c r="AO50" s="68">
        <f>IF(AO49=0,0,AO47/AO49)*1000</f>
        <v>0</v>
      </c>
      <c r="AP50" s="68">
        <f>IF(AP49=0,0,AP47/AP49)*1000</f>
        <v>0</v>
      </c>
      <c r="AQ50" s="68">
        <f>IF(AQ49=0,0,AQ47/AQ49)*1000</f>
        <v>0</v>
      </c>
      <c r="AR50" s="68">
        <f>IF(AR49=0,0,AR47/AR49)*1000</f>
        <v>0</v>
      </c>
      <c r="AS50" s="68">
        <f>IF(AS49=0,0,AS47/AS49)*1000</f>
        <v>0</v>
      </c>
      <c r="AT50" s="68">
        <f>IF(AT49=0,0,AT47/AT49)*1000</f>
        <v>0</v>
      </c>
      <c r="AU50" s="68">
        <f>IF(AU49=0,0,AU47/AU49)*1000</f>
        <v>0</v>
      </c>
      <c r="AV50" s="68">
        <f>IF(AV49=0,0,AV47/AV49)*1000</f>
        <v>0</v>
      </c>
      <c r="AW50" s="68">
        <f>IF(AW49=0,0,AW47/AW49)*1000</f>
        <v>0</v>
      </c>
      <c r="AX50" s="68">
        <f>IF(AX49=0,0,AX47/AX49)*1000</f>
        <v>0</v>
      </c>
      <c r="AY50" s="68">
        <f>IF(AY49=0,0,AY47/AY49)*1000</f>
        <v>0</v>
      </c>
      <c r="AZ50" s="68">
        <f>IF(AZ49=0,0,AZ47/AZ49)*1000</f>
        <v>0</v>
      </c>
      <c r="BA50" s="68">
        <f>IF(BA49=0,0,BA47/BA49)*1000</f>
        <v>0</v>
      </c>
      <c r="BB50" s="68">
        <f>IF(BB49=0,0,BB47/BB49)*1000</f>
        <v>0</v>
      </c>
      <c r="BC50" s="68">
        <f>IF(BC49=0,0,BC47/BC49)*1000</f>
        <v>0</v>
      </c>
      <c r="BD50" s="346">
        <f>IF(BD49=0,0,BD47/BD49)*1000</f>
        <v>0</v>
      </c>
      <c r="BE50" s="68">
        <f>IF(BE49=0,0,BE47/BE49)*1000</f>
        <v>0</v>
      </c>
      <c r="BF50" s="68">
        <f>IF(BF49=0,0,BF47/BF49)*1000</f>
        <v>0</v>
      </c>
      <c r="BG50" s="68">
        <f>IF(BG49=0,0,BG47/BG49)*1000</f>
        <v>0</v>
      </c>
      <c r="BH50" s="68">
        <f>IF(BH49=0,0,BH47/BH49)*1000</f>
        <v>0</v>
      </c>
      <c r="BI50" s="68">
        <f>IF(BI49=0,0,BI47/BI49)*1000</f>
        <v>0</v>
      </c>
      <c r="BJ50" s="68">
        <f>IF(BJ49=0,0,BJ47/BJ49)*1000</f>
        <v>0</v>
      </c>
      <c r="BK50" s="68">
        <f>IF(BK49=0,0,BK47/BK49)*1000</f>
        <v>0</v>
      </c>
      <c r="BL50" s="68">
        <f>IF(BL49=0,0,BL47/BL49)*1000</f>
        <v>0</v>
      </c>
      <c r="BM50" s="68">
        <f>IF(BM49=0,0,BM47/BM49)*1000</f>
        <v>0</v>
      </c>
      <c r="BN50" s="68">
        <f>IF(BN49=0,0,BN47/BN49)*1000</f>
        <v>0</v>
      </c>
      <c r="BO50" s="68">
        <f>IF(BO49=0,0,BO47/BO49)*1000</f>
        <v>0</v>
      </c>
      <c r="BP50" s="68">
        <f>IF(BP49=0,0,BP47/BP49)*1000</f>
        <v>0</v>
      </c>
      <c r="BQ50" s="68">
        <f>IF(BQ49=0,0,BQ47/BQ49)*1000</f>
        <v>0</v>
      </c>
      <c r="BR50" s="68">
        <f>IF(BR49=0,0,BR47/BR49)*1000</f>
        <v>0</v>
      </c>
      <c r="BS50" s="68">
        <f>IF(BS49=0,0,BS47/BS49)*1000</f>
        <v>0</v>
      </c>
      <c r="BT50" s="68">
        <f>IF(BT49=0,0,BT47/BT49)*1000</f>
        <v>0</v>
      </c>
      <c r="BU50" s="68">
        <f>IF(BU49=0,0,BU47/BU49)*1000</f>
        <v>0</v>
      </c>
      <c r="BV50" s="68">
        <f>IF(BV49=0,0,BV47/BV49)*1000</f>
        <v>0</v>
      </c>
      <c r="BW50" s="68">
        <f>IF(BW49=0,0,BW47/BW49)*1000</f>
        <v>0</v>
      </c>
      <c r="BX50" s="85"/>
      <c r="CA50" s="489" t="s">
        <v>1099</v>
      </c>
      <c r="CB50" s="489"/>
      <c r="CC50" s="489"/>
      <c r="CD50" s="489"/>
      <c r="CE50" s="546"/>
      <c r="CF50" s="546"/>
      <c r="CH50" s="1501" cm="1" t="str">
        <f t="array" ref="CH50:CH50">CH49</f>
        <v>0</v>
      </c>
      <c r="CI50" s="1501" t="s">
        <v>1090</v>
      </c>
      <c r="CJ50" s="1501"/>
      <c r="CK50" s="1501"/>
      <c r="CL50" s="1501"/>
      <c r="CM50" s="1501" t="s">
        <v>449</v>
      </c>
      <c r="CN50" s="1501"/>
      <c r="CO50" s="1501" t="s">
        <v>303</v>
      </c>
      <c r="CP50" s="1501" t="s">
        <v>1100</v>
      </c>
      <c r="CQ50" s="1501" t="s">
        <v>1101</v>
      </c>
    </row>
    <row s="969" customFormat="1" customHeight="1" ht="14.625" hidden="1">
      <c r="E51" s="180">
        <v>15</v>
      </c>
      <c r="F51" s="175" cm="1" t="str">
        <f t="array" ref="F51:F51">OFFSET(G51,-1,-1)</f>
        <v>0</v>
      </c>
      <c r="T51" s="973" cm="1" t="str">
        <f t="array" ref="T51:T51">T49</f>
        <v>false</v>
      </c>
      <c r="AB51" s="593"/>
      <c r="AC51" s="282" t="s">
        <v>1059</v>
      </c>
      <c r="AD51" s="282"/>
      <c r="AE51" s="283"/>
      <c r="AF51" s="565"/>
      <c r="AG51" s="565"/>
      <c r="AH51" s="565"/>
      <c r="AI51" s="565"/>
      <c r="AJ51" s="565"/>
      <c r="AK51" s="565"/>
      <c r="AL51" s="565"/>
      <c r="AM51" s="565"/>
      <c r="AN51" s="565"/>
      <c r="AO51" s="565"/>
      <c r="AP51" s="565"/>
      <c r="AQ51" s="565"/>
      <c r="AR51" s="565"/>
      <c r="AS51" s="565"/>
      <c r="AT51" s="565"/>
      <c r="AU51" s="565"/>
      <c r="AV51" s="565"/>
      <c r="AW51" s="565"/>
      <c r="AX51" s="565"/>
      <c r="AY51" s="565"/>
      <c r="AZ51" s="565"/>
      <c r="BA51" s="565"/>
      <c r="BB51" s="565"/>
      <c r="BC51" s="565"/>
      <c r="BD51" s="565"/>
      <c r="BE51" s="565"/>
      <c r="BF51" s="565"/>
      <c r="BG51" s="565"/>
      <c r="BH51" s="565"/>
      <c r="BI51" s="565"/>
      <c r="BJ51" s="565"/>
      <c r="BK51" s="565"/>
      <c r="BL51" s="565"/>
      <c r="BM51" s="565"/>
      <c r="BN51" s="565"/>
      <c r="BO51" s="565"/>
      <c r="BP51" s="565"/>
      <c r="BQ51" s="565"/>
      <c r="BR51" s="565"/>
      <c r="BS51" s="565"/>
      <c r="BT51" s="565"/>
      <c r="BU51" s="565"/>
      <c r="BV51" s="565"/>
      <c r="BW51" s="565"/>
      <c r="BX51" s="566"/>
      <c r="CA51" s="489"/>
      <c r="CB51" s="489"/>
      <c r="CC51" s="489"/>
      <c r="CD51" s="489"/>
      <c r="CE51" s="546"/>
      <c r="CF51" s="546"/>
      <c r="CH51" s="1501" cm="1" t="str">
        <f t="array" ref="CH51:CH51">CH50</f>
        <v>0</v>
      </c>
      <c r="CI51" s="1501"/>
      <c r="CJ51" s="1501"/>
      <c r="CK51" s="1501"/>
      <c r="CL51" s="1501"/>
      <c r="CM51" s="1501"/>
      <c r="CN51" s="1501"/>
      <c r="CO51" s="1501"/>
      <c r="CP51" s="1501"/>
      <c r="CQ51" s="1501"/>
    </row>
    <row s="969" customFormat="1" customHeight="1" ht="17.25" hidden="1">
      <c r="E52" s="965">
        <v>0</v>
      </c>
      <c r="F52" s="175" cm="1" t="str">
        <f t="array" ref="F52:F52">OFFSET(G52,-1,-1)</f>
        <v>0</v>
      </c>
      <c r="T52" s="973" cm="1" t="str">
        <f t="array" ref="T52:T52">T51</f>
        <v>false</v>
      </c>
      <c r="AB52" s="554"/>
      <c r="AC52" s="555"/>
      <c r="AD52" s="594"/>
      <c r="AE52" s="595"/>
      <c r="AF52" s="596"/>
      <c r="AG52" s="596"/>
      <c r="AH52" s="596"/>
      <c r="AI52" s="596"/>
      <c r="AJ52" s="596"/>
      <c r="AK52" s="596"/>
      <c r="AL52" s="596"/>
      <c r="AM52" s="596"/>
      <c r="AN52" s="596"/>
      <c r="AO52" s="596"/>
      <c r="AP52" s="596"/>
      <c r="AQ52" s="596"/>
      <c r="AR52" s="596"/>
      <c r="AS52" s="596"/>
      <c r="AT52" s="596"/>
      <c r="AU52" s="596"/>
      <c r="AV52" s="596"/>
      <c r="AW52" s="596"/>
      <c r="AX52" s="596"/>
      <c r="AY52" s="596"/>
      <c r="AZ52" s="596"/>
      <c r="BA52" s="596"/>
      <c r="BB52" s="596"/>
      <c r="BC52" s="596"/>
      <c r="BD52" s="596"/>
      <c r="BE52" s="596"/>
      <c r="BF52" s="596"/>
      <c r="BG52" s="596"/>
      <c r="BH52" s="596"/>
      <c r="BI52" s="596"/>
      <c r="BJ52" s="596"/>
      <c r="BK52" s="596"/>
      <c r="BL52" s="596"/>
      <c r="BM52" s="596"/>
      <c r="BN52" s="596"/>
      <c r="BO52" s="596"/>
      <c r="BP52" s="596"/>
      <c r="BQ52" s="596"/>
      <c r="BR52" s="596"/>
      <c r="BS52" s="596"/>
      <c r="BT52" s="596"/>
      <c r="BU52" s="596"/>
      <c r="BV52" s="596"/>
      <c r="BW52" s="596"/>
      <c r="BX52" s="597"/>
      <c r="CA52" s="489"/>
      <c r="CB52" s="489"/>
      <c r="CC52" s="489"/>
      <c r="CD52" s="489"/>
      <c r="CE52" s="546"/>
      <c r="CF52" s="546"/>
      <c r="CH52" s="1502" cm="1" t="str">
        <f t="array" ref="CH52:CH52">OFFSET(CI52,-1,-1)</f>
        <v>0</v>
      </c>
      <c r="CI52" s="1501"/>
      <c r="CJ52" s="1501"/>
      <c r="CK52" s="1501"/>
      <c r="CL52" s="1501"/>
      <c r="CM52" s="1501"/>
      <c r="CN52" s="1501"/>
      <c r="CO52" s="1501"/>
      <c r="CP52" s="1501"/>
      <c r="CQ52" s="1501"/>
    </row>
    <row s="969" customFormat="1" customHeight="1" ht="14.625" hidden="1">
      <c r="A53" s="978" t="str">
        <f>"checkCosts_4."&amp;F53&amp;"."&amp;Y53</f>
        <v>checkCosts_4.0.0</v>
      </c>
      <c r="E53" s="180">
        <v>15</v>
      </c>
      <c r="F53" s="175" cm="1" t="str">
        <f t="array" ref="F53:F53">OFFSET(G53,-1,-1)</f>
        <v>0</v>
      </c>
      <c r="H53" s="193" cm="1" t="str">
        <f t="array" ref="H53:H53">AC53</f>
        <v>0</v>
      </c>
      <c r="I53" s="308" t="s">
        <v>1040</v>
      </c>
      <c r="T53" s="973">
        <f>AND(F53&gt;0,Y53&gt;0)</f>
        <v>0</v>
      </c>
      <c r="W53" s="176" t="s">
        <v>189</v>
      </c>
      <c r="Y53" s="175">
        <v>0</v>
      </c>
      <c r="AA53" s="1660" t="s">
        <v>171</v>
      </c>
      <c r="AB53" s="360" t="str">
        <f>"2.3."&amp;Y53</f>
        <v>2.3.0</v>
      </c>
      <c r="AC53" s="598"/>
      <c r="AD53" s="2277"/>
      <c r="AE53" s="591" t="s">
        <v>917</v>
      </c>
      <c r="AF53" s="71">
        <f>AF55*AF56/1000</f>
        <v>0</v>
      </c>
      <c r="AG53" s="71"/>
      <c r="AH53" s="71"/>
      <c r="AI53" s="71">
        <f>AI55*AI56/1000</f>
        <v>0</v>
      </c>
      <c r="AJ53" s="353"/>
      <c r="AK53" s="71"/>
      <c r="AL53" s="71"/>
      <c r="AM53" s="71"/>
      <c r="AN53" s="71"/>
      <c r="AO53" s="71"/>
      <c r="AP53" s="71"/>
      <c r="AQ53" s="71"/>
      <c r="AR53" s="71"/>
      <c r="AS53" s="71"/>
      <c r="AT53" s="71"/>
      <c r="AU53" s="71"/>
      <c r="AV53" s="71"/>
      <c r="AW53" s="71"/>
      <c r="AX53" s="71"/>
      <c r="AY53" s="71"/>
      <c r="AZ53" s="71"/>
      <c r="BA53" s="71"/>
      <c r="BB53" s="71"/>
      <c r="BC53" s="71"/>
      <c r="BD53" s="353">
        <f>BD55*BD56/1000</f>
        <v>0</v>
      </c>
      <c r="BE53" s="71">
        <f>BE55*BE56/1000</f>
        <v>0</v>
      </c>
      <c r="BF53" s="71">
        <f>BF55*BF56/1000</f>
        <v>0</v>
      </c>
      <c r="BG53" s="71">
        <f>BG55*BG56/1000</f>
        <v>0</v>
      </c>
      <c r="BH53" s="71">
        <f>BH55*BH56/1000</f>
        <v>0</v>
      </c>
      <c r="BI53" s="71">
        <f>BI55*BI56/1000</f>
        <v>0</v>
      </c>
      <c r="BJ53" s="71">
        <f>BJ55*BJ56/1000</f>
        <v>0</v>
      </c>
      <c r="BK53" s="71">
        <f>BK55*BK56/1000</f>
        <v>0</v>
      </c>
      <c r="BL53" s="71">
        <f>BL55*BL56/1000</f>
        <v>0</v>
      </c>
      <c r="BM53" s="71">
        <f>BM55*BM56/1000</f>
        <v>0</v>
      </c>
      <c r="BN53" s="71">
        <f>BN55*BN56/1000</f>
        <v>0</v>
      </c>
      <c r="BO53" s="71">
        <f>BO55*BO56/1000</f>
        <v>0</v>
      </c>
      <c r="BP53" s="71">
        <f>BP55*BP56/1000</f>
        <v>0</v>
      </c>
      <c r="BQ53" s="71">
        <f>BQ55*BQ56/1000</f>
        <v>0</v>
      </c>
      <c r="BR53" s="71">
        <f>BR55*BR56/1000</f>
        <v>0</v>
      </c>
      <c r="BS53" s="71">
        <f>BS55*BS56/1000</f>
        <v>0</v>
      </c>
      <c r="BT53" s="71">
        <f>BT55*BT56/1000</f>
        <v>0</v>
      </c>
      <c r="BU53" s="71">
        <f>BU55*BU56/1000</f>
        <v>0</v>
      </c>
      <c r="BV53" s="71">
        <f>BV55*BV56/1000</f>
        <v>0</v>
      </c>
      <c r="BW53" s="71">
        <f>BW55*BW56/1000</f>
        <v>0</v>
      </c>
      <c r="BX53" s="107"/>
      <c r="CA53" s="489" t="s">
        <v>1102</v>
      </c>
      <c r="CB53" s="489" t="s">
        <v>1103</v>
      </c>
      <c r="CC53" s="489" cm="1" t="str">
        <f t="array" ref="CC53:CC53">AC53</f>
        <v>0</v>
      </c>
      <c r="CD53" s="984" cm="1" t="str">
        <f t="array" ref="CD53:CD53">AD53</f>
        <v>0</v>
      </c>
      <c r="CE53" s="546"/>
      <c r="CF53" s="546" t="b">
        <v>1</v>
      </c>
      <c r="CH53" s="1502" cm="1" t="str">
        <f t="array" ref="CH53:CH53">OFFSET(CI53,-1,-1)</f>
        <v>0</v>
      </c>
      <c r="CI53" s="1501" t="s">
        <v>1090</v>
      </c>
      <c r="CJ53" s="1501" t="s">
        <v>1062</v>
      </c>
      <c r="CK53" s="1501"/>
      <c r="CL53" s="1501"/>
      <c r="CM53" s="1501" t="s">
        <v>219</v>
      </c>
      <c r="CN53" s="1501" cm="1" t="str">
        <f t="array" ref="CN53:CN53">$AC53</f>
        <v>0</v>
      </c>
      <c r="CO53" s="1501" t="s">
        <v>303</v>
      </c>
      <c r="CP53" s="1501" t="s">
        <v>1044</v>
      </c>
      <c r="CQ53" s="1501" t="s">
        <v>1045</v>
      </c>
    </row>
    <row s="969" customFormat="1" customHeight="1" ht="14.625" hidden="1">
      <c r="E54" s="180">
        <v>15</v>
      </c>
      <c r="F54" s="175" cm="1" t="str">
        <f t="array" ref="F54:F54">OFFSET(G54,-1,-1)</f>
        <v>0</v>
      </c>
      <c r="L54" s="193" cm="1" t="str">
        <f t="array" ref="L54:L54">INDEX('Общие сведения'!$AK$169:$AK$202,MATCH($F54,'Общие сведения'!$Y$169:$Y$202,0))</f>
        <v>0</v>
      </c>
      <c r="R54" s="193" t="s">
        <v>1092</v>
      </c>
      <c r="T54" s="973">
        <f>AND(T53,L54="двухставочный")</f>
        <v>0</v>
      </c>
      <c r="AA54" s="1661"/>
      <c r="AB54" s="360"/>
      <c r="AC54" s="589" t="s">
        <v>1094</v>
      </c>
      <c r="AD54" s="590"/>
      <c r="AE54" s="591" t="s">
        <v>917</v>
      </c>
      <c r="AF54" s="75"/>
      <c r="AG54" s="75"/>
      <c r="AH54" s="75"/>
      <c r="AI54" s="75"/>
      <c r="AJ54" s="370"/>
      <c r="AK54" s="75"/>
      <c r="AL54" s="75"/>
      <c r="AM54" s="75"/>
      <c r="AN54" s="75"/>
      <c r="AO54" s="75"/>
      <c r="AP54" s="75"/>
      <c r="AQ54" s="75"/>
      <c r="AR54" s="75"/>
      <c r="AS54" s="75"/>
      <c r="AT54" s="75"/>
      <c r="AU54" s="75"/>
      <c r="AV54" s="75"/>
      <c r="AW54" s="75"/>
      <c r="AX54" s="75"/>
      <c r="AY54" s="75"/>
      <c r="AZ54" s="75"/>
      <c r="BA54" s="75"/>
      <c r="BB54" s="75"/>
      <c r="BC54" s="75"/>
      <c r="BD54" s="370"/>
      <c r="BE54" s="75"/>
      <c r="BF54" s="75"/>
      <c r="BG54" s="75"/>
      <c r="BH54" s="75"/>
      <c r="BI54" s="75"/>
      <c r="BJ54" s="75"/>
      <c r="BK54" s="75"/>
      <c r="BL54" s="75"/>
      <c r="BM54" s="75"/>
      <c r="BN54" s="75"/>
      <c r="BO54" s="75"/>
      <c r="BP54" s="75"/>
      <c r="BQ54" s="75"/>
      <c r="BR54" s="75"/>
      <c r="BS54" s="75"/>
      <c r="BT54" s="75"/>
      <c r="BU54" s="75"/>
      <c r="BV54" s="75"/>
      <c r="BW54" s="75"/>
      <c r="BX54" s="108"/>
      <c r="CA54" s="489" t="s">
        <v>1104</v>
      </c>
      <c r="CB54" s="489" t="s">
        <v>1103</v>
      </c>
      <c r="CC54" s="489" cm="1" t="str">
        <f t="array" ref="CC54:CC54">CC53</f>
        <v>0</v>
      </c>
      <c r="CD54" s="984" cm="1" t="str">
        <f t="array" ref="CD54:CD54">CD53</f>
        <v>0</v>
      </c>
      <c r="CE54" s="546"/>
      <c r="CF54" s="546"/>
      <c r="CH54" s="1501" cm="1" t="str">
        <f t="array" ref="CH54:CH54">CH53</f>
        <v>0</v>
      </c>
      <c r="CI54" s="1501" t="s">
        <v>1090</v>
      </c>
      <c r="CJ54" s="1501" t="s">
        <v>1062</v>
      </c>
      <c r="CK54" s="1501" t="s">
        <v>862</v>
      </c>
      <c r="CL54" s="1501"/>
      <c r="CM54" s="1501"/>
      <c r="CN54" s="1501" cm="1" t="str">
        <f t="array" ref="CN54:CN54">CN53</f>
        <v>0</v>
      </c>
      <c r="CO54" s="1501" t="s">
        <v>303</v>
      </c>
      <c r="CP54" s="1501" t="s">
        <v>1044</v>
      </c>
      <c r="CQ54" s="1501" t="s">
        <v>1045</v>
      </c>
    </row>
    <row s="969" customFormat="1" customHeight="1" ht="14.625" hidden="1">
      <c r="E55" s="180">
        <v>15</v>
      </c>
      <c r="F55" s="175" cm="1" t="str">
        <f t="array" ref="F55:F55">OFFSET(G55,-1,-1)</f>
        <v>0</v>
      </c>
      <c r="H55" s="193" cm="1" t="str">
        <f t="array" ref="H55:H55">H53</f>
        <v>0</v>
      </c>
      <c r="T55" s="973" cm="1" t="str">
        <f t="array" ref="T55:T55">T53</f>
        <v>false</v>
      </c>
      <c r="AA55" s="1661"/>
      <c r="AB55" s="360" t="str">
        <f>AB53&amp;".1"</f>
        <v>2.3.0.1</v>
      </c>
      <c r="AC55" s="589" t="s">
        <v>1063</v>
      </c>
      <c r="AD55" s="589"/>
      <c r="AE55" s="320" t="s">
        <v>1098</v>
      </c>
      <c r="AF55" s="75"/>
      <c r="AG55" s="592">
        <f>IF(AG56=0,0,AG53/AG56*1000)</f>
        <v>0</v>
      </c>
      <c r="AH55" s="592">
        <f>IF(AH56=0,0,AH53/AH56*1000)</f>
        <v>0</v>
      </c>
      <c r="AI55" s="75"/>
      <c r="AJ55" s="592">
        <f>IF(AJ56=0,0,AJ53/AJ56*1000)</f>
        <v>0</v>
      </c>
      <c r="AK55" s="592">
        <f>IF(AK56=0,0,AK53/AK56*1000)</f>
        <v>0</v>
      </c>
      <c r="AL55" s="592">
        <f>IF(AL56=0,0,AL53/AL56*1000)</f>
        <v>0</v>
      </c>
      <c r="AM55" s="592">
        <f>IF(AM56=0,0,AM53/AM56*1000)</f>
        <v>0</v>
      </c>
      <c r="AN55" s="592">
        <f>IF(AN56=0,0,AN53/AN56*1000)</f>
        <v>0</v>
      </c>
      <c r="AO55" s="592">
        <f>IF(AO56=0,0,AO53/AO56*1000)</f>
        <v>0</v>
      </c>
      <c r="AP55" s="592">
        <f>IF(AP56=0,0,AP53/AP56*1000)</f>
        <v>0</v>
      </c>
      <c r="AQ55" s="592">
        <f>IF(AQ56=0,0,AQ53/AQ56*1000)</f>
        <v>0</v>
      </c>
      <c r="AR55" s="592">
        <f>IF(AR56=0,0,AR53/AR56*1000)</f>
        <v>0</v>
      </c>
      <c r="AS55" s="592">
        <f>IF(AS56=0,0,AS53/AS56*1000)</f>
        <v>0</v>
      </c>
      <c r="AT55" s="592">
        <f>IF(AT56=0,0,AT53/AT56*1000)</f>
        <v>0</v>
      </c>
      <c r="AU55" s="592">
        <f>IF(AU56=0,0,AU53/AU56*1000)</f>
        <v>0</v>
      </c>
      <c r="AV55" s="592">
        <f>IF(AV56=0,0,AV53/AV56*1000)</f>
        <v>0</v>
      </c>
      <c r="AW55" s="592">
        <f>IF(AW56=0,0,AW53/AW56*1000)</f>
        <v>0</v>
      </c>
      <c r="AX55" s="592">
        <f>IF(AX56=0,0,AX53/AX56*1000)</f>
        <v>0</v>
      </c>
      <c r="AY55" s="592">
        <f>IF(AY56=0,0,AY53/AY56*1000)</f>
        <v>0</v>
      </c>
      <c r="AZ55" s="592">
        <f>IF(AZ56=0,0,AZ53/AZ56*1000)</f>
        <v>0</v>
      </c>
      <c r="BA55" s="592">
        <f>IF(BA56=0,0,BA53/BA56*1000)</f>
        <v>0</v>
      </c>
      <c r="BB55" s="592">
        <f>IF(BB56=0,0,BB53/BB56*1000)</f>
        <v>0</v>
      </c>
      <c r="BC55" s="592">
        <f>IF(BC56=0,0,BC53/BC56*1000)</f>
        <v>0</v>
      </c>
      <c r="BD55" s="370"/>
      <c r="BE55" s="75"/>
      <c r="BF55" s="75"/>
      <c r="BG55" s="75"/>
      <c r="BH55" s="75"/>
      <c r="BI55" s="75"/>
      <c r="BJ55" s="75"/>
      <c r="BK55" s="75"/>
      <c r="BL55" s="75"/>
      <c r="BM55" s="75"/>
      <c r="BN55" s="75"/>
      <c r="BO55" s="75"/>
      <c r="BP55" s="75"/>
      <c r="BQ55" s="75"/>
      <c r="BR55" s="75"/>
      <c r="BS55" s="75"/>
      <c r="BT55" s="75"/>
      <c r="BU55" s="75"/>
      <c r="BV55" s="75"/>
      <c r="BW55" s="75"/>
      <c r="BX55" s="83"/>
      <c r="CA55" s="489" t="s">
        <v>1105</v>
      </c>
      <c r="CB55" s="489" t="s">
        <v>1103</v>
      </c>
      <c r="CC55" s="489" cm="1" t="str">
        <f t="array" ref="CC55:CC55">CC54</f>
        <v>0</v>
      </c>
      <c r="CD55" s="984" cm="1" t="str">
        <f t="array" ref="CD55:CD55">CD54</f>
        <v>0</v>
      </c>
      <c r="CE55" s="546"/>
      <c r="CF55" s="546"/>
      <c r="CH55" s="1501" cm="1" t="str">
        <f t="array" ref="CH55:CH55">CH54</f>
        <v>0</v>
      </c>
      <c r="CI55" s="1501" t="s">
        <v>1090</v>
      </c>
      <c r="CJ55" s="1501" t="s">
        <v>1062</v>
      </c>
      <c r="CK55" s="1501"/>
      <c r="CL55" s="1501"/>
      <c r="CM55" s="1501" t="s">
        <v>255</v>
      </c>
      <c r="CN55" s="1501" cm="1" t="str">
        <f t="array" ref="CN55:CN55">CN54</f>
        <v>0</v>
      </c>
      <c r="CO55" s="1501" t="s">
        <v>303</v>
      </c>
      <c r="CP55" s="1501" t="s">
        <v>1106</v>
      </c>
      <c r="CQ55" s="1501" t="s">
        <v>1107</v>
      </c>
    </row>
    <row s="969" customFormat="1" customHeight="1" ht="14.625" hidden="1">
      <c r="A56" s="978" t="str">
        <f>"checkVolume_4."&amp;F56&amp;"."&amp;Y53</f>
        <v>checkVolume_4.0.0</v>
      </c>
      <c r="E56" s="180">
        <v>15</v>
      </c>
      <c r="F56" s="175" cm="1" t="str">
        <f t="array" ref="F56:F56">OFFSET(G56,-1,-1)</f>
        <v>0</v>
      </c>
      <c r="H56" s="193" cm="1" t="str">
        <f t="array" ref="H56:H56">H53</f>
        <v>0</v>
      </c>
      <c r="T56" s="973" cm="1" t="str">
        <f t="array" ref="T56:T56">T53</f>
        <v>false</v>
      </c>
      <c r="AA56" s="1661"/>
      <c r="AB56" s="360" t="str">
        <f>AB53&amp;".2"</f>
        <v>2.3.0.2</v>
      </c>
      <c r="AC56" s="589" t="s">
        <v>1108</v>
      </c>
      <c r="AD56" s="589"/>
      <c r="AE56" s="320" t="s">
        <v>629</v>
      </c>
      <c r="AF56" s="75"/>
      <c r="AG56" s="75"/>
      <c r="AH56" s="75"/>
      <c r="AI56" s="75"/>
      <c r="AJ56" s="370"/>
      <c r="AK56" s="75"/>
      <c r="AL56" s="75"/>
      <c r="AM56" s="75"/>
      <c r="AN56" s="75"/>
      <c r="AO56" s="75"/>
      <c r="AP56" s="75"/>
      <c r="AQ56" s="75"/>
      <c r="AR56" s="75"/>
      <c r="AS56" s="75"/>
      <c r="AT56" s="75"/>
      <c r="AU56" s="75"/>
      <c r="AV56" s="75"/>
      <c r="AW56" s="75"/>
      <c r="AX56" s="75"/>
      <c r="AY56" s="75"/>
      <c r="AZ56" s="75"/>
      <c r="BA56" s="75"/>
      <c r="BB56" s="75"/>
      <c r="BC56" s="75"/>
      <c r="BD56" s="370"/>
      <c r="BE56" s="75"/>
      <c r="BF56" s="75"/>
      <c r="BG56" s="75"/>
      <c r="BH56" s="75"/>
      <c r="BI56" s="75"/>
      <c r="BJ56" s="75"/>
      <c r="BK56" s="75"/>
      <c r="BL56" s="75"/>
      <c r="BM56" s="75"/>
      <c r="BN56" s="75"/>
      <c r="BO56" s="75"/>
      <c r="BP56" s="75"/>
      <c r="BQ56" s="75"/>
      <c r="BR56" s="75"/>
      <c r="BS56" s="75"/>
      <c r="BT56" s="75"/>
      <c r="BU56" s="75"/>
      <c r="BV56" s="75"/>
      <c r="BW56" s="75"/>
      <c r="BX56" s="83"/>
      <c r="CA56" s="489" t="s">
        <v>1109</v>
      </c>
      <c r="CB56" s="489" t="s">
        <v>1103</v>
      </c>
      <c r="CC56" s="489" cm="1" t="str">
        <f t="array" ref="CC56:CC56">CC54</f>
        <v>0</v>
      </c>
      <c r="CD56" s="984" cm="1" t="str">
        <f t="array" ref="CD56:CD56">CD55</f>
        <v>0</v>
      </c>
      <c r="CE56" s="546"/>
      <c r="CF56" s="546"/>
      <c r="CH56" s="1501" cm="1" t="str">
        <f t="array" ref="CH56:CH56">CH55</f>
        <v>0</v>
      </c>
      <c r="CI56" s="1501" t="s">
        <v>1090</v>
      </c>
      <c r="CJ56" s="1501" t="s">
        <v>1062</v>
      </c>
      <c r="CK56" s="1501"/>
      <c r="CL56" s="1501"/>
      <c r="CM56" s="1501" t="s">
        <v>449</v>
      </c>
      <c r="CN56" s="1501" cm="1" t="str">
        <f t="array" ref="CN56:CN56">CN55</f>
        <v>0</v>
      </c>
      <c r="CO56" s="1501" t="s">
        <v>303</v>
      </c>
      <c r="CP56" s="1501" t="s">
        <v>679</v>
      </c>
      <c r="CQ56" s="1501" t="s">
        <v>680</v>
      </c>
    </row>
    <row s="969" customFormat="1" customHeight="1" ht="14.625" hidden="1">
      <c r="E57" s="180">
        <v>15</v>
      </c>
      <c r="F57" s="175" cm="1" t="str">
        <f t="array" ref="F57:F57">OFFSET(G57,-1,-1)</f>
        <v>0</v>
      </c>
      <c r="T57" s="973">
        <f>F57&gt;0</f>
        <v>0</v>
      </c>
      <c r="W57" s="176" t="s">
        <v>1110</v>
      </c>
      <c r="AB57" s="600"/>
      <c r="AC57" s="601" t="s">
        <v>1111</v>
      </c>
      <c r="AD57" s="601"/>
      <c r="AE57" s="601"/>
      <c r="AF57" s="407"/>
      <c r="AG57" s="407"/>
      <c r="AH57" s="407"/>
      <c r="AI57" s="407"/>
      <c r="AJ57" s="407"/>
      <c r="AK57" s="407"/>
      <c r="AL57" s="407"/>
      <c r="AM57" s="407"/>
      <c r="AN57" s="407"/>
      <c r="AO57" s="407"/>
      <c r="AP57" s="407"/>
      <c r="AQ57" s="407"/>
      <c r="AR57" s="407"/>
      <c r="AS57" s="407"/>
      <c r="AT57" s="407"/>
      <c r="AU57" s="407"/>
      <c r="AV57" s="407"/>
      <c r="AW57" s="407"/>
      <c r="AX57" s="407"/>
      <c r="AY57" s="407"/>
      <c r="AZ57" s="407"/>
      <c r="BA57" s="407"/>
      <c r="BB57" s="407"/>
      <c r="BC57" s="407"/>
      <c r="BD57" s="407"/>
      <c r="BE57" s="407"/>
      <c r="BF57" s="407"/>
      <c r="BG57" s="407"/>
      <c r="BH57" s="407"/>
      <c r="BI57" s="407"/>
      <c r="BJ57" s="407"/>
      <c r="BK57" s="407"/>
      <c r="BL57" s="407"/>
      <c r="BM57" s="407"/>
      <c r="BN57" s="407"/>
      <c r="BO57" s="407"/>
      <c r="BP57" s="407"/>
      <c r="BQ57" s="407"/>
      <c r="BR57" s="407"/>
      <c r="BS57" s="407"/>
      <c r="BT57" s="407"/>
      <c r="BU57" s="407"/>
      <c r="BV57" s="407"/>
      <c r="BW57" s="407"/>
      <c r="BX57" s="602"/>
      <c r="CA57" s="489"/>
      <c r="CB57" s="489"/>
      <c r="CC57" s="489"/>
      <c r="CD57" s="489"/>
      <c r="CE57" s="546" t="s">
        <v>1103</v>
      </c>
      <c r="CF57" s="546"/>
      <c r="CH57" s="1502" cm="1" t="str">
        <f t="array" ref="CH57:CH57">OFFSET(CI57,-1,-1)</f>
        <v>0</v>
      </c>
      <c r="CI57" s="1501"/>
      <c r="CJ57" s="1501"/>
      <c r="CK57" s="1501"/>
      <c r="CL57" s="1501"/>
      <c r="CM57" s="1501"/>
      <c r="CN57" s="1501"/>
      <c r="CO57" s="1501"/>
      <c r="CP57" s="1501"/>
      <c r="CQ57" s="1501"/>
    </row>
    <row s="969" customFormat="1" customHeight="1" ht="14.625" hidden="1">
      <c r="E58" s="180">
        <v>15</v>
      </c>
      <c r="F58" s="175" cm="1" t="str">
        <f t="array" ref="F58:F58">OFFSET(G58,-1,-1)</f>
        <v>0</v>
      </c>
      <c r="T58" s="973">
        <f>F58&gt;0</f>
        <v>0</v>
      </c>
      <c r="AB58" s="593"/>
      <c r="AC58" s="282" t="s">
        <v>1071</v>
      </c>
      <c r="AD58" s="282"/>
      <c r="AE58" s="283"/>
      <c r="AF58" s="565"/>
      <c r="AG58" s="565"/>
      <c r="AH58" s="565"/>
      <c r="AI58" s="565"/>
      <c r="AJ58" s="565"/>
      <c r="AK58" s="565"/>
      <c r="AL58" s="565"/>
      <c r="AM58" s="565"/>
      <c r="AN58" s="565"/>
      <c r="AO58" s="565"/>
      <c r="AP58" s="565"/>
      <c r="AQ58" s="565"/>
      <c r="AR58" s="565"/>
      <c r="AS58" s="565"/>
      <c r="AT58" s="565"/>
      <c r="AU58" s="565"/>
      <c r="AV58" s="565"/>
      <c r="AW58" s="565"/>
      <c r="AX58" s="565"/>
      <c r="AY58" s="565"/>
      <c r="AZ58" s="565"/>
      <c r="BA58" s="565"/>
      <c r="BB58" s="565"/>
      <c r="BC58" s="565"/>
      <c r="BD58" s="565"/>
      <c r="BE58" s="565"/>
      <c r="BF58" s="565"/>
      <c r="BG58" s="565"/>
      <c r="BH58" s="565"/>
      <c r="BI58" s="565"/>
      <c r="BJ58" s="565"/>
      <c r="BK58" s="565"/>
      <c r="BL58" s="565"/>
      <c r="BM58" s="565"/>
      <c r="BN58" s="565"/>
      <c r="BO58" s="565"/>
      <c r="BP58" s="565"/>
      <c r="BQ58" s="565"/>
      <c r="BR58" s="565"/>
      <c r="BS58" s="565"/>
      <c r="BT58" s="565"/>
      <c r="BU58" s="565"/>
      <c r="BV58" s="565"/>
      <c r="BW58" s="565"/>
      <c r="BX58" s="959"/>
      <c r="CA58" s="489"/>
      <c r="CB58" s="489"/>
      <c r="CC58" s="489"/>
      <c r="CD58" s="489"/>
      <c r="CE58" s="546"/>
      <c r="CF58" s="546"/>
      <c r="CH58" s="1502" cm="1" t="str">
        <f t="array" ref="CH58:CH58">OFFSET(CI58,-1,-1)</f>
        <v>0</v>
      </c>
      <c r="CI58" s="1501"/>
      <c r="CJ58" s="1501"/>
      <c r="CK58" s="1501"/>
      <c r="CL58" s="1501"/>
      <c r="CM58" s="1501"/>
      <c r="CN58" s="1501"/>
      <c r="CO58" s="1501"/>
      <c r="CP58" s="1501"/>
      <c r="CQ58" s="1501"/>
    </row>
    <row s="969" customFormat="1" customHeight="1" ht="17.25" hidden="1">
      <c r="E59" s="965">
        <v>0</v>
      </c>
      <c r="F59" s="175" cm="1" t="str">
        <f t="array" ref="F59:F59">OFFSET(G59,-1,-1)</f>
        <v>0</v>
      </c>
      <c r="T59" s="973">
        <f>F59&gt;0</f>
        <v>0</v>
      </c>
      <c r="AB59" s="554"/>
      <c r="AC59" s="555"/>
      <c r="AD59" s="555"/>
      <c r="AE59" s="556"/>
      <c r="AF59" s="603"/>
      <c r="AG59" s="603"/>
      <c r="AH59" s="603"/>
      <c r="AI59" s="603"/>
      <c r="AJ59" s="603"/>
      <c r="AK59" s="603"/>
      <c r="AL59" s="603"/>
      <c r="AM59" s="603"/>
      <c r="AN59" s="603"/>
      <c r="AO59" s="603"/>
      <c r="AP59" s="603"/>
      <c r="AQ59" s="603"/>
      <c r="AR59" s="603"/>
      <c r="AS59" s="603"/>
      <c r="AT59" s="603"/>
      <c r="AU59" s="603"/>
      <c r="AV59" s="603"/>
      <c r="AW59" s="603"/>
      <c r="AX59" s="603"/>
      <c r="AY59" s="603"/>
      <c r="AZ59" s="603"/>
      <c r="BA59" s="603"/>
      <c r="BB59" s="603"/>
      <c r="BC59" s="603"/>
      <c r="BD59" s="603"/>
      <c r="BE59" s="603"/>
      <c r="BF59" s="603"/>
      <c r="BG59" s="603"/>
      <c r="BH59" s="603"/>
      <c r="BI59" s="603"/>
      <c r="BJ59" s="603"/>
      <c r="BK59" s="603"/>
      <c r="BL59" s="603"/>
      <c r="BM59" s="603"/>
      <c r="BN59" s="603"/>
      <c r="BO59" s="603"/>
      <c r="BP59" s="603"/>
      <c r="BQ59" s="603"/>
      <c r="BR59" s="603"/>
      <c r="BS59" s="603"/>
      <c r="BT59" s="603"/>
      <c r="BU59" s="603"/>
      <c r="BV59" s="603"/>
      <c r="BW59" s="603"/>
      <c r="BX59" s="109"/>
      <c r="CA59" s="489"/>
      <c r="CB59" s="489"/>
      <c r="CC59" s="489"/>
      <c r="CD59" s="489"/>
      <c r="CE59" s="546"/>
      <c r="CF59" s="546"/>
      <c r="CH59" s="1501" cm="1" t="str">
        <f t="array" ref="CH59:CH59">CH58</f>
        <v>0</v>
      </c>
      <c r="CI59" s="1501"/>
      <c r="CJ59" s="1501"/>
      <c r="CK59" s="1501"/>
      <c r="CL59" s="1501"/>
      <c r="CM59" s="1501"/>
      <c r="CN59" s="1501"/>
      <c r="CO59" s="1501"/>
      <c r="CP59" s="1501"/>
      <c r="CQ59" s="1501"/>
    </row>
    <row s="969" customFormat="1" customHeight="1" ht="14.625" hidden="1">
      <c r="E60" s="180">
        <v>15</v>
      </c>
      <c r="F60" s="175" cm="1" t="str">
        <f t="array" ref="F60:F60">OFFSET(G60,-1,-1)</f>
        <v>0</v>
      </c>
      <c r="H60" s="193" cm="1" t="str">
        <f t="array" ref="H60:H60">AC60</f>
        <v>0</v>
      </c>
      <c r="I60" s="193" t="s">
        <v>1040</v>
      </c>
      <c r="T60" s="973">
        <f>AND(F60&gt;0,Y60&gt;0)</f>
        <v>0</v>
      </c>
      <c r="W60" s="176" t="s">
        <v>189</v>
      </c>
      <c r="Y60" s="175">
        <v>0</v>
      </c>
      <c r="AA60" s="1660" t="s">
        <v>171</v>
      </c>
      <c r="AB60" s="320" t="str">
        <f>"2.4."&amp;Y60</f>
        <v>2.4.0</v>
      </c>
      <c r="AC60" s="598"/>
      <c r="AD60" s="2278"/>
      <c r="AE60" s="320" t="s">
        <v>917</v>
      </c>
      <c r="AF60" s="74">
        <f>AF63+AF65</f>
        <v>0</v>
      </c>
      <c r="AG60" s="74">
        <f>AG63+AG65</f>
        <v>0</v>
      </c>
      <c r="AH60" s="74">
        <f>AH63+AH65</f>
        <v>0</v>
      </c>
      <c r="AI60" s="74">
        <f>AI63+AI65</f>
        <v>0</v>
      </c>
      <c r="AJ60" s="359">
        <f>AJ63+AJ65</f>
        <v>0</v>
      </c>
      <c r="AK60" s="74">
        <f>AK63+AK65</f>
        <v>0</v>
      </c>
      <c r="AL60" s="74">
        <f>AL63+AL65</f>
        <v>0</v>
      </c>
      <c r="AM60" s="74">
        <f>AM63+AM65</f>
        <v>0</v>
      </c>
      <c r="AN60" s="74">
        <f>AN63+AN65</f>
        <v>0</v>
      </c>
      <c r="AO60" s="74">
        <f>AO63+AO65</f>
        <v>0</v>
      </c>
      <c r="AP60" s="74">
        <f>AP63+AP65</f>
        <v>0</v>
      </c>
      <c r="AQ60" s="74">
        <f>AQ63+AQ65</f>
        <v>0</v>
      </c>
      <c r="AR60" s="74">
        <f>AR63+AR65</f>
        <v>0</v>
      </c>
      <c r="AS60" s="74">
        <f>AS63+AS65</f>
        <v>0</v>
      </c>
      <c r="AT60" s="74">
        <f>AT63+AT65</f>
        <v>0</v>
      </c>
      <c r="AU60" s="74">
        <f>AU63+AU65</f>
        <v>0</v>
      </c>
      <c r="AV60" s="74">
        <f>AV63+AV65</f>
        <v>0</v>
      </c>
      <c r="AW60" s="74">
        <f>AW63+AW65</f>
        <v>0</v>
      </c>
      <c r="AX60" s="74">
        <f>AX63+AX65</f>
        <v>0</v>
      </c>
      <c r="AY60" s="74">
        <f>AY63+AY65</f>
        <v>0</v>
      </c>
      <c r="AZ60" s="74">
        <f>AZ63+AZ65</f>
        <v>0</v>
      </c>
      <c r="BA60" s="74">
        <f>BA63+BA65</f>
        <v>0</v>
      </c>
      <c r="BB60" s="74">
        <f>BB63+BB65</f>
        <v>0</v>
      </c>
      <c r="BC60" s="74">
        <f>BC63+BC65</f>
        <v>0</v>
      </c>
      <c r="BD60" s="359">
        <f>BD63+BD65</f>
        <v>0</v>
      </c>
      <c r="BE60" s="74">
        <f>BE63+BE65</f>
        <v>0</v>
      </c>
      <c r="BF60" s="74">
        <f>BF63+BF65</f>
        <v>0</v>
      </c>
      <c r="BG60" s="74">
        <f>BG63+BG65</f>
        <v>0</v>
      </c>
      <c r="BH60" s="74">
        <f>BH63+BH65</f>
        <v>0</v>
      </c>
      <c r="BI60" s="74">
        <f>BI63+BI65</f>
        <v>0</v>
      </c>
      <c r="BJ60" s="74">
        <f>BJ63+BJ65</f>
        <v>0</v>
      </c>
      <c r="BK60" s="74">
        <f>BK63+BK65</f>
        <v>0</v>
      </c>
      <c r="BL60" s="74">
        <f>BL63+BL65</f>
        <v>0</v>
      </c>
      <c r="BM60" s="74">
        <f>BM63+BM65</f>
        <v>0</v>
      </c>
      <c r="BN60" s="74">
        <f>BN63+BN65</f>
        <v>0</v>
      </c>
      <c r="BO60" s="74">
        <f>BO63+BO65</f>
        <v>0</v>
      </c>
      <c r="BP60" s="74">
        <f>BP63+BP65</f>
        <v>0</v>
      </c>
      <c r="BQ60" s="74">
        <f>BQ63+BQ65</f>
        <v>0</v>
      </c>
      <c r="BR60" s="74">
        <f>BR63+BR65</f>
        <v>0</v>
      </c>
      <c r="BS60" s="74">
        <f>BS63+BS65</f>
        <v>0</v>
      </c>
      <c r="BT60" s="74">
        <f>BT63+BT65</f>
        <v>0</v>
      </c>
      <c r="BU60" s="74">
        <f>BU63+BU65</f>
        <v>0</v>
      </c>
      <c r="BV60" s="74">
        <f>BV63+BV65</f>
        <v>0</v>
      </c>
      <c r="BW60" s="74">
        <f>BW63+BW65</f>
        <v>0</v>
      </c>
      <c r="BX60" s="86"/>
      <c r="CA60" s="489" t="s">
        <v>1102</v>
      </c>
      <c r="CB60" s="489" t="s">
        <v>1112</v>
      </c>
      <c r="CC60" s="489" cm="1" t="str">
        <f t="array" ref="CC60:CC60">AC60</f>
        <v>0</v>
      </c>
      <c r="CD60" s="984" cm="1" t="str">
        <f t="array" ref="CD60:CD60">AD60</f>
        <v>0</v>
      </c>
      <c r="CE60" s="546"/>
      <c r="CF60" s="546" t="b">
        <v>1</v>
      </c>
      <c r="CH60" s="1501" cm="1" t="str">
        <f t="array" ref="CH60:CH60">CH59</f>
        <v>0</v>
      </c>
      <c r="CI60" s="1501" t="s">
        <v>1090</v>
      </c>
      <c r="CJ60" s="1501" t="s">
        <v>1074</v>
      </c>
      <c r="CK60" s="1501"/>
      <c r="CL60" s="1501"/>
      <c r="CM60" s="1501" t="s">
        <v>219</v>
      </c>
      <c r="CN60" s="1501" cm="1" t="str">
        <f t="array" ref="CN60:CN60">$AC60</f>
        <v>0</v>
      </c>
      <c r="CO60" s="1501" t="s">
        <v>303</v>
      </c>
      <c r="CP60" s="1501" t="s">
        <v>1044</v>
      </c>
      <c r="CQ60" s="1501" t="s">
        <v>1045</v>
      </c>
    </row>
    <row s="969" customFormat="1" customHeight="1" ht="14.625" hidden="1">
      <c r="E61" s="180">
        <v>15</v>
      </c>
      <c r="F61" s="175" cm="1" t="str">
        <f t="array" ref="F61:F61">OFFSET(G61,-1,-1)</f>
        <v>0</v>
      </c>
      <c r="L61" s="193" cm="1" t="str">
        <f t="array" ref="L61:L61">INDEX('Общие сведения'!$AK$169:$AK$202,MATCH($F61,'Общие сведения'!$Y$169:$Y$202,0))</f>
        <v>0</v>
      </c>
      <c r="R61" s="193" t="s">
        <v>1092</v>
      </c>
      <c r="T61" s="973">
        <f>AND(T60,L61="двухставочный")</f>
        <v>0</v>
      </c>
      <c r="AA61" s="1661"/>
      <c r="AB61" s="360"/>
      <c r="AC61" s="589" t="s">
        <v>1094</v>
      </c>
      <c r="AD61" s="590"/>
      <c r="AE61" s="591" t="s">
        <v>917</v>
      </c>
      <c r="AF61" s="75"/>
      <c r="AG61" s="75"/>
      <c r="AH61" s="75"/>
      <c r="AI61" s="75"/>
      <c r="AJ61" s="370"/>
      <c r="AK61" s="75"/>
      <c r="AL61" s="75"/>
      <c r="AM61" s="75"/>
      <c r="AN61" s="75"/>
      <c r="AO61" s="75"/>
      <c r="AP61" s="75"/>
      <c r="AQ61" s="75"/>
      <c r="AR61" s="75"/>
      <c r="AS61" s="75"/>
      <c r="AT61" s="75"/>
      <c r="AU61" s="75"/>
      <c r="AV61" s="75"/>
      <c r="AW61" s="75"/>
      <c r="AX61" s="75"/>
      <c r="AY61" s="75"/>
      <c r="AZ61" s="75"/>
      <c r="BA61" s="75"/>
      <c r="BB61" s="75"/>
      <c r="BC61" s="75"/>
      <c r="BD61" s="370"/>
      <c r="BE61" s="75"/>
      <c r="BF61" s="75"/>
      <c r="BG61" s="75"/>
      <c r="BH61" s="75"/>
      <c r="BI61" s="75"/>
      <c r="BJ61" s="75"/>
      <c r="BK61" s="75"/>
      <c r="BL61" s="75"/>
      <c r="BM61" s="75"/>
      <c r="BN61" s="75"/>
      <c r="BO61" s="75"/>
      <c r="BP61" s="75"/>
      <c r="BQ61" s="75"/>
      <c r="BR61" s="75"/>
      <c r="BS61" s="75"/>
      <c r="BT61" s="75"/>
      <c r="BU61" s="75"/>
      <c r="BV61" s="75"/>
      <c r="BW61" s="75"/>
      <c r="BX61" s="108"/>
      <c r="CA61" s="489" t="s">
        <v>1104</v>
      </c>
      <c r="CB61" s="489" t="s">
        <v>1112</v>
      </c>
      <c r="CC61" s="489" cm="1" t="str">
        <f t="array" ref="CC61:CC61">CC60</f>
        <v>0</v>
      </c>
      <c r="CD61" s="984" cm="1" t="str">
        <f t="array" ref="CD61:CD61">CD60</f>
        <v>0</v>
      </c>
      <c r="CE61" s="546"/>
      <c r="CF61" s="546"/>
      <c r="CH61" s="1501" cm="1" t="str">
        <f t="array" ref="CH61:CH61">CH60</f>
        <v>0</v>
      </c>
      <c r="CI61" s="1501" t="s">
        <v>1090</v>
      </c>
      <c r="CJ61" s="1501" t="s">
        <v>1074</v>
      </c>
      <c r="CK61" s="1501" t="s">
        <v>862</v>
      </c>
      <c r="CL61" s="1501"/>
      <c r="CM61" s="1501"/>
      <c r="CN61" s="1501" cm="1" t="str">
        <f t="array" ref="CN61:CN61">CN60</f>
        <v>0</v>
      </c>
      <c r="CO61" s="1501" t="s">
        <v>303</v>
      </c>
      <c r="CP61" s="1501" t="s">
        <v>1044</v>
      </c>
      <c r="CQ61" s="1501" t="s">
        <v>1045</v>
      </c>
    </row>
    <row s="969" customFormat="1" customHeight="1" ht="14.625" hidden="1">
      <c r="E62" s="180">
        <v>15</v>
      </c>
      <c r="F62" s="175" cm="1" t="str">
        <f t="array" ref="F62:F62">OFFSET(G62,-1,-1)</f>
        <v>0</v>
      </c>
      <c r="H62" s="193" cm="1" t="str">
        <f t="array" ref="H62:H62">H60</f>
        <v>0</v>
      </c>
      <c r="T62" s="973" cm="1" t="str">
        <f t="array" ref="T62:T62">T60</f>
        <v>false</v>
      </c>
      <c r="AA62" s="1661"/>
      <c r="AB62" s="360" t="str">
        <f>AB60&amp;".1"</f>
        <v>2.4.0.1</v>
      </c>
      <c r="AC62" s="589" t="s">
        <v>1063</v>
      </c>
      <c r="AD62" s="589"/>
      <c r="AE62" s="320" t="s">
        <v>1098</v>
      </c>
      <c r="AF62" s="74"/>
      <c r="AG62" s="604">
        <f>IF(AG64=0,0,AG63/AG64*1000)</f>
        <v>0</v>
      </c>
      <c r="AH62" s="604">
        <f>IF(AH64=0,0,AH63/AH64*1000)</f>
        <v>0</v>
      </c>
      <c r="AI62" s="74"/>
      <c r="AJ62" s="604">
        <f>IF(AJ64=0,0,AJ63/AJ64*1000)</f>
        <v>0</v>
      </c>
      <c r="AK62" s="604">
        <f>IF(AK64=0,0,AK63/AK64*1000)</f>
        <v>0</v>
      </c>
      <c r="AL62" s="604">
        <f>IF(AL64=0,0,AL63/AL64*1000)</f>
        <v>0</v>
      </c>
      <c r="AM62" s="604">
        <f>IF(AM64=0,0,AM63/AM64*1000)</f>
        <v>0</v>
      </c>
      <c r="AN62" s="604">
        <f>IF(AN64=0,0,AN63/AN64*1000)</f>
        <v>0</v>
      </c>
      <c r="AO62" s="604">
        <f>IF(AO64=0,0,AO63/AO64*1000)</f>
        <v>0</v>
      </c>
      <c r="AP62" s="604">
        <f>IF(AP64=0,0,AP63/AP64*1000)</f>
        <v>0</v>
      </c>
      <c r="AQ62" s="604">
        <f>IF(AQ64=0,0,AQ63/AQ64*1000)</f>
        <v>0</v>
      </c>
      <c r="AR62" s="604">
        <f>IF(AR64=0,0,AR63/AR64*1000)</f>
        <v>0</v>
      </c>
      <c r="AS62" s="604">
        <f>IF(AS64=0,0,AS63/AS64*1000)</f>
        <v>0</v>
      </c>
      <c r="AT62" s="604">
        <f>IF(AT64=0,0,AT63/AT64*1000)</f>
        <v>0</v>
      </c>
      <c r="AU62" s="604">
        <f>IF(AU64=0,0,AU63/AU64*1000)</f>
        <v>0</v>
      </c>
      <c r="AV62" s="604">
        <f>IF(AV64=0,0,AV63/AV64*1000)</f>
        <v>0</v>
      </c>
      <c r="AW62" s="604">
        <f>IF(AW64=0,0,AW63/AW64*1000)</f>
        <v>0</v>
      </c>
      <c r="AX62" s="604">
        <f>IF(AX64=0,0,AX63/AX64*1000)</f>
        <v>0</v>
      </c>
      <c r="AY62" s="604">
        <f>IF(AY64=0,0,AY63/AY64*1000)</f>
        <v>0</v>
      </c>
      <c r="AZ62" s="604">
        <f>IF(AZ64=0,0,AZ63/AZ64*1000)</f>
        <v>0</v>
      </c>
      <c r="BA62" s="604">
        <f>IF(BA64=0,0,BA63/BA64*1000)</f>
        <v>0</v>
      </c>
      <c r="BB62" s="604">
        <f>IF(BB64=0,0,BB63/BB64*1000)</f>
        <v>0</v>
      </c>
      <c r="BC62" s="604">
        <f>IF(BC64=0,0,BC63/BC64*1000)</f>
        <v>0</v>
      </c>
      <c r="BD62" s="359"/>
      <c r="BE62" s="74"/>
      <c r="BF62" s="74"/>
      <c r="BG62" s="74"/>
      <c r="BH62" s="74"/>
      <c r="BI62" s="74"/>
      <c r="BJ62" s="74"/>
      <c r="BK62" s="74"/>
      <c r="BL62" s="74"/>
      <c r="BM62" s="74"/>
      <c r="BN62" s="74"/>
      <c r="BO62" s="74"/>
      <c r="BP62" s="74"/>
      <c r="BQ62" s="74"/>
      <c r="BR62" s="74"/>
      <c r="BS62" s="74"/>
      <c r="BT62" s="74"/>
      <c r="BU62" s="74"/>
      <c r="BV62" s="74"/>
      <c r="BW62" s="74"/>
      <c r="BX62" s="83"/>
      <c r="CA62" s="489" t="s">
        <v>1105</v>
      </c>
      <c r="CB62" s="489" t="s">
        <v>1112</v>
      </c>
      <c r="CC62" s="489" cm="1" t="str">
        <f t="array" ref="CC62:CC62">CC61</f>
        <v>0</v>
      </c>
      <c r="CD62" s="984" cm="1" t="str">
        <f t="array" ref="CD62:CD62">CD61</f>
        <v>0</v>
      </c>
      <c r="CE62" s="546"/>
      <c r="CF62" s="546"/>
      <c r="CH62" s="1501" cm="1" t="str">
        <f t="array" ref="CH62:CH62">CH61</f>
        <v>0</v>
      </c>
      <c r="CI62" s="1501" t="s">
        <v>1090</v>
      </c>
      <c r="CJ62" s="1501" t="s">
        <v>1074</v>
      </c>
      <c r="CK62" s="1501"/>
      <c r="CL62" s="1501"/>
      <c r="CM62" s="1501" t="s">
        <v>255</v>
      </c>
      <c r="CN62" s="1501" cm="1" t="str">
        <f t="array" ref="CN62:CN62">CN61</f>
        <v>0</v>
      </c>
      <c r="CO62" s="1501" t="s">
        <v>303</v>
      </c>
      <c r="CP62" s="1501" t="s">
        <v>1106</v>
      </c>
      <c r="CQ62" s="1501" t="s">
        <v>1107</v>
      </c>
    </row>
    <row s="969" customFormat="1" customHeight="1" ht="14.625" hidden="1">
      <c r="A63" s="978" t="str">
        <f>"checkCosts_5."&amp;F63&amp;"."&amp;Y60</f>
        <v>checkCosts_5.0.0</v>
      </c>
      <c r="E63" s="180">
        <v>15</v>
      </c>
      <c r="F63" s="175" cm="1" t="str">
        <f t="array" ref="F63:F63">OFFSET(G63,-1,-1)</f>
        <v>0</v>
      </c>
      <c r="T63" s="973" cm="1" t="str">
        <f t="array" ref="T63:T63">T60</f>
        <v>false</v>
      </c>
      <c r="AA63" s="1661"/>
      <c r="AB63" s="360" t="str">
        <f>AB60&amp;".2"</f>
        <v>2.4.0.2</v>
      </c>
      <c r="AC63" s="589" t="s">
        <v>1113</v>
      </c>
      <c r="AD63" s="589"/>
      <c r="AE63" s="320" t="s">
        <v>917</v>
      </c>
      <c r="AF63" s="74"/>
      <c r="AG63" s="74"/>
      <c r="AH63" s="74"/>
      <c r="AI63" s="74"/>
      <c r="AJ63" s="359"/>
      <c r="AK63" s="74"/>
      <c r="AL63" s="74"/>
      <c r="AM63" s="74"/>
      <c r="AN63" s="74"/>
      <c r="AO63" s="74"/>
      <c r="AP63" s="74"/>
      <c r="AQ63" s="74"/>
      <c r="AR63" s="74"/>
      <c r="AS63" s="74"/>
      <c r="AT63" s="74"/>
      <c r="AU63" s="74"/>
      <c r="AV63" s="74"/>
      <c r="AW63" s="74"/>
      <c r="AX63" s="74"/>
      <c r="AY63" s="74"/>
      <c r="AZ63" s="74"/>
      <c r="BA63" s="74"/>
      <c r="BB63" s="74"/>
      <c r="BC63" s="74"/>
      <c r="BD63" s="359"/>
      <c r="BE63" s="74"/>
      <c r="BF63" s="74"/>
      <c r="BG63" s="74"/>
      <c r="BH63" s="74"/>
      <c r="BI63" s="74"/>
      <c r="BJ63" s="74"/>
      <c r="BK63" s="74"/>
      <c r="BL63" s="74"/>
      <c r="BM63" s="74"/>
      <c r="BN63" s="74"/>
      <c r="BO63" s="74"/>
      <c r="BP63" s="74"/>
      <c r="BQ63" s="74"/>
      <c r="BR63" s="74"/>
      <c r="BS63" s="74"/>
      <c r="BT63" s="74"/>
      <c r="BU63" s="74"/>
      <c r="BV63" s="74"/>
      <c r="BW63" s="74"/>
      <c r="BX63" s="83"/>
      <c r="CA63" s="489" t="s">
        <v>1114</v>
      </c>
      <c r="CB63" s="489" t="s">
        <v>1112</v>
      </c>
      <c r="CC63" s="489" cm="1" t="str">
        <f t="array" ref="CC63:CC63">CC61</f>
        <v>0</v>
      </c>
      <c r="CD63" s="984" cm="1" t="str">
        <f t="array" ref="CD63:CD63">CD62</f>
        <v>0</v>
      </c>
      <c r="CE63" s="546"/>
      <c r="CF63" s="546"/>
      <c r="CH63" s="1501" cm="1" t="str">
        <f t="array" ref="CH63:CH63">CH62</f>
        <v>0</v>
      </c>
      <c r="CI63" s="1501" t="s">
        <v>1090</v>
      </c>
      <c r="CJ63" s="1501" t="s">
        <v>1074</v>
      </c>
      <c r="CK63" s="1501"/>
      <c r="CL63" s="1501" t="s">
        <v>1076</v>
      </c>
      <c r="CM63" s="1501" t="s">
        <v>219</v>
      </c>
      <c r="CN63" s="1501" cm="1" t="str">
        <f t="array" ref="CN63:CN63">CN62</f>
        <v>0</v>
      </c>
      <c r="CO63" s="1501" t="s">
        <v>303</v>
      </c>
      <c r="CP63" s="1501" t="s">
        <v>1044</v>
      </c>
      <c r="CQ63" s="1501" t="s">
        <v>1045</v>
      </c>
    </row>
    <row s="969" customFormat="1" customHeight="1" ht="14.625" hidden="1">
      <c r="A64" s="978" t="str">
        <f>"checkVolume_5."&amp;F64&amp;"."&amp;Y60</f>
        <v>checkVolume_5.0.0</v>
      </c>
      <c r="E64" s="180">
        <v>15</v>
      </c>
      <c r="F64" s="175" cm="1" t="str">
        <f t="array" ref="F64:F64">OFFSET(G64,-1,-1)</f>
        <v>0</v>
      </c>
      <c r="T64" s="973" cm="1" t="str">
        <f t="array" ref="T64:T64">T63</f>
        <v>false</v>
      </c>
      <c r="AA64" s="1661"/>
      <c r="AB64" s="605" t="str">
        <f>AB63&amp;".1"</f>
        <v>2.4.0.2.1</v>
      </c>
      <c r="AC64" s="606" t="s">
        <v>1108</v>
      </c>
      <c r="AD64" s="606"/>
      <c r="AE64" s="320" t="s">
        <v>629</v>
      </c>
      <c r="AF64" s="74"/>
      <c r="AG64" s="74"/>
      <c r="AH64" s="74"/>
      <c r="AI64" s="74"/>
      <c r="AJ64" s="359"/>
      <c r="AK64" s="74"/>
      <c r="AL64" s="74"/>
      <c r="AM64" s="74"/>
      <c r="AN64" s="74"/>
      <c r="AO64" s="74"/>
      <c r="AP64" s="74"/>
      <c r="AQ64" s="74"/>
      <c r="AR64" s="74"/>
      <c r="AS64" s="74"/>
      <c r="AT64" s="74"/>
      <c r="AU64" s="74"/>
      <c r="AV64" s="74"/>
      <c r="AW64" s="74"/>
      <c r="AX64" s="74"/>
      <c r="AY64" s="74"/>
      <c r="AZ64" s="74"/>
      <c r="BA64" s="74"/>
      <c r="BB64" s="74"/>
      <c r="BC64" s="74"/>
      <c r="BD64" s="359"/>
      <c r="BE64" s="74"/>
      <c r="BF64" s="74"/>
      <c r="BG64" s="74"/>
      <c r="BH64" s="74"/>
      <c r="BI64" s="74"/>
      <c r="BJ64" s="74"/>
      <c r="BK64" s="74"/>
      <c r="BL64" s="74"/>
      <c r="BM64" s="74"/>
      <c r="BN64" s="74"/>
      <c r="BO64" s="74"/>
      <c r="BP64" s="74"/>
      <c r="BQ64" s="74"/>
      <c r="BR64" s="74"/>
      <c r="BS64" s="74"/>
      <c r="BT64" s="74"/>
      <c r="BU64" s="74"/>
      <c r="BV64" s="74"/>
      <c r="BW64" s="74"/>
      <c r="BX64" s="83"/>
      <c r="CA64" s="489" t="s">
        <v>1115</v>
      </c>
      <c r="CB64" s="489" t="s">
        <v>1112</v>
      </c>
      <c r="CC64" s="489" cm="1" t="str">
        <f t="array" ref="CC64:CC64">CC63</f>
        <v>0</v>
      </c>
      <c r="CD64" s="984" cm="1" t="str">
        <f t="array" ref="CD64:CD64">CD63</f>
        <v>0</v>
      </c>
      <c r="CE64" s="546"/>
      <c r="CF64" s="546"/>
      <c r="CH64" s="1501" cm="1" t="str">
        <f t="array" ref="CH64:CH64">CH63</f>
        <v>0</v>
      </c>
      <c r="CI64" s="1501" t="s">
        <v>1090</v>
      </c>
      <c r="CJ64" s="1501" t="s">
        <v>1074</v>
      </c>
      <c r="CK64" s="1501"/>
      <c r="CL64" s="1501" t="s">
        <v>1076</v>
      </c>
      <c r="CM64" s="1501" t="s">
        <v>255</v>
      </c>
      <c r="CN64" s="1501" cm="1" t="str">
        <f t="array" ref="CN64:CN64">CN63</f>
        <v>0</v>
      </c>
      <c r="CO64" s="1501" t="s">
        <v>303</v>
      </c>
      <c r="CP64" s="1501" t="s">
        <v>679</v>
      </c>
      <c r="CQ64" s="1501" t="s">
        <v>680</v>
      </c>
    </row>
    <row s="969" customFormat="1" customHeight="1" ht="14.625" hidden="1">
      <c r="A65" s="978" t="str">
        <f>"checkCosts_6."&amp;F65&amp;"."&amp;Y60</f>
        <v>checkCosts_6.0.0</v>
      </c>
      <c r="E65" s="180">
        <v>15</v>
      </c>
      <c r="F65" s="175" cm="1" t="str">
        <f t="array" ref="F65:F65">OFFSET(G65,-1,-1)</f>
        <v>0</v>
      </c>
      <c r="T65" s="973" cm="1" t="str">
        <f t="array" ref="T65:T65">T64</f>
        <v>false</v>
      </c>
      <c r="AA65" s="1661"/>
      <c r="AB65" s="360" t="str">
        <f>AB60&amp;".3"</f>
        <v>2.4.0.3</v>
      </c>
      <c r="AC65" s="589" t="s">
        <v>1116</v>
      </c>
      <c r="AD65" s="589"/>
      <c r="AE65" s="320" t="s">
        <v>1078</v>
      </c>
      <c r="AF65" s="74"/>
      <c r="AG65" s="74"/>
      <c r="AH65" s="74"/>
      <c r="AI65" s="74"/>
      <c r="AJ65" s="359"/>
      <c r="AK65" s="74"/>
      <c r="AL65" s="74"/>
      <c r="AM65" s="74"/>
      <c r="AN65" s="74"/>
      <c r="AO65" s="74"/>
      <c r="AP65" s="74"/>
      <c r="AQ65" s="74"/>
      <c r="AR65" s="74"/>
      <c r="AS65" s="74"/>
      <c r="AT65" s="74"/>
      <c r="AU65" s="74"/>
      <c r="AV65" s="74"/>
      <c r="AW65" s="74"/>
      <c r="AX65" s="74"/>
      <c r="AY65" s="74"/>
      <c r="AZ65" s="74"/>
      <c r="BA65" s="74"/>
      <c r="BB65" s="74"/>
      <c r="BC65" s="74"/>
      <c r="BD65" s="359"/>
      <c r="BE65" s="74"/>
      <c r="BF65" s="74"/>
      <c r="BG65" s="74"/>
      <c r="BH65" s="74"/>
      <c r="BI65" s="74"/>
      <c r="BJ65" s="74"/>
      <c r="BK65" s="74"/>
      <c r="BL65" s="74"/>
      <c r="BM65" s="74"/>
      <c r="BN65" s="74"/>
      <c r="BO65" s="74"/>
      <c r="BP65" s="74"/>
      <c r="BQ65" s="74"/>
      <c r="BR65" s="74"/>
      <c r="BS65" s="74"/>
      <c r="BT65" s="74"/>
      <c r="BU65" s="74"/>
      <c r="BV65" s="74"/>
      <c r="BW65" s="74"/>
      <c r="BX65" s="83"/>
      <c r="CA65" s="489" t="s">
        <v>1117</v>
      </c>
      <c r="CB65" s="489" t="s">
        <v>1112</v>
      </c>
      <c r="CC65" s="489" cm="1" t="str">
        <f t="array" ref="CC65:CC65">CC64</f>
        <v>0</v>
      </c>
      <c r="CD65" s="984" cm="1" t="str">
        <f t="array" ref="CD65:CD65">CD64</f>
        <v>0</v>
      </c>
      <c r="CE65" s="546"/>
      <c r="CF65" s="546"/>
      <c r="CH65" s="1501" cm="1" t="str">
        <f t="array" ref="CH65:CH65">CH64</f>
        <v>0</v>
      </c>
      <c r="CI65" s="1501" t="s">
        <v>1090</v>
      </c>
      <c r="CJ65" s="1501" t="s">
        <v>1074</v>
      </c>
      <c r="CK65" s="1501"/>
      <c r="CL65" s="1501" t="s">
        <v>1080</v>
      </c>
      <c r="CM65" s="1501" t="s">
        <v>219</v>
      </c>
      <c r="CN65" s="1501" cm="1" t="str">
        <f t="array" ref="CN65:CN65">CN64</f>
        <v>0</v>
      </c>
      <c r="CO65" s="1501" t="s">
        <v>303</v>
      </c>
      <c r="CP65" s="1501" t="s">
        <v>1044</v>
      </c>
      <c r="CQ65" s="1501" t="s">
        <v>1045</v>
      </c>
    </row>
    <row s="969" customFormat="1" customHeight="1" ht="14.625" hidden="1">
      <c r="A66" s="978" t="str">
        <f>"checkVolume_6."&amp;F66&amp;"."&amp;Y60</f>
        <v>checkVolume_6.0.0</v>
      </c>
      <c r="E66" s="180">
        <v>15</v>
      </c>
      <c r="F66" s="175" cm="1" t="str">
        <f t="array" ref="F66:F66">OFFSET(G66,-1,-1)</f>
        <v>0</v>
      </c>
      <c r="H66" s="193" cm="1" t="str">
        <f t="array" ref="H66:H66">H60</f>
        <v>0</v>
      </c>
      <c r="T66" s="973" cm="1" t="str">
        <f t="array" ref="T66:T66">T65</f>
        <v>false</v>
      </c>
      <c r="AA66" s="1661"/>
      <c r="AB66" s="605" t="str">
        <f>AB65&amp;".1"</f>
        <v>2.4.0.3.1</v>
      </c>
      <c r="AC66" s="607" t="s">
        <v>1118</v>
      </c>
      <c r="AD66" s="607"/>
      <c r="AE66" s="320" t="s">
        <v>752</v>
      </c>
      <c r="AF66" s="74"/>
      <c r="AG66" s="74"/>
      <c r="AH66" s="74"/>
      <c r="AI66" s="74"/>
      <c r="AJ66" s="359"/>
      <c r="AK66" s="74"/>
      <c r="AL66" s="74"/>
      <c r="AM66" s="74"/>
      <c r="AN66" s="74"/>
      <c r="AO66" s="74"/>
      <c r="AP66" s="74"/>
      <c r="AQ66" s="74"/>
      <c r="AR66" s="74"/>
      <c r="AS66" s="74"/>
      <c r="AT66" s="74"/>
      <c r="AU66" s="74"/>
      <c r="AV66" s="74"/>
      <c r="AW66" s="74"/>
      <c r="AX66" s="74"/>
      <c r="AY66" s="74"/>
      <c r="AZ66" s="74"/>
      <c r="BA66" s="74"/>
      <c r="BB66" s="74"/>
      <c r="BC66" s="74"/>
      <c r="BD66" s="359"/>
      <c r="BE66" s="74"/>
      <c r="BF66" s="74"/>
      <c r="BG66" s="74"/>
      <c r="BH66" s="74"/>
      <c r="BI66" s="74"/>
      <c r="BJ66" s="74"/>
      <c r="BK66" s="74"/>
      <c r="BL66" s="74"/>
      <c r="BM66" s="74"/>
      <c r="BN66" s="74"/>
      <c r="BO66" s="74"/>
      <c r="BP66" s="74"/>
      <c r="BQ66" s="74"/>
      <c r="BR66" s="74"/>
      <c r="BS66" s="74"/>
      <c r="BT66" s="74"/>
      <c r="BU66" s="74"/>
      <c r="BV66" s="74"/>
      <c r="BW66" s="74"/>
      <c r="BX66" s="83"/>
      <c r="CA66" s="489" t="s">
        <v>1119</v>
      </c>
      <c r="CB66" s="489" t="s">
        <v>1112</v>
      </c>
      <c r="CC66" s="489" cm="1" t="str">
        <f t="array" ref="CC66:CC66">CC65</f>
        <v>0</v>
      </c>
      <c r="CD66" s="984" cm="1" t="str">
        <f t="array" ref="CD66:CD66">CD65</f>
        <v>0</v>
      </c>
      <c r="CE66" s="546"/>
      <c r="CF66" s="546"/>
      <c r="CH66" s="1501" cm="1" t="str">
        <f t="array" ref="CH66:CH66">CH65</f>
        <v>0</v>
      </c>
      <c r="CI66" s="1501" t="s">
        <v>1090</v>
      </c>
      <c r="CJ66" s="1501" t="s">
        <v>1074</v>
      </c>
      <c r="CK66" s="1501"/>
      <c r="CL66" s="1501" t="s">
        <v>1080</v>
      </c>
      <c r="CM66" s="1501" t="s">
        <v>255</v>
      </c>
      <c r="CN66" s="1501" cm="1" t="str">
        <f t="array" ref="CN66:CN66">CN65</f>
        <v>0</v>
      </c>
      <c r="CO66" s="1501" t="s">
        <v>303</v>
      </c>
      <c r="CP66" s="1501" t="s">
        <v>679</v>
      </c>
      <c r="CQ66" s="1501" t="s">
        <v>680</v>
      </c>
    </row>
    <row s="969" customFormat="1" customHeight="1" ht="10.725000000000001" hidden="1">
      <c r="E67" s="180">
        <v>11</v>
      </c>
      <c r="F67" s="175" cm="1" t="str">
        <f t="array" ref="F67:F67">OFFSET(G67,-1,-1)</f>
        <v>0</v>
      </c>
      <c r="T67" s="973">
        <f>F67&gt;0</f>
        <v>0</v>
      </c>
      <c r="W67" s="176" t="s">
        <v>1120</v>
      </c>
      <c r="AB67" s="608"/>
      <c r="AC67" s="609" t="s">
        <v>1111</v>
      </c>
      <c r="AD67" s="609"/>
      <c r="AE67" s="609"/>
      <c r="AF67" s="407"/>
      <c r="AG67" s="407"/>
      <c r="AH67" s="407"/>
      <c r="AI67" s="407"/>
      <c r="AJ67" s="407"/>
      <c r="AK67" s="407"/>
      <c r="AL67" s="407"/>
      <c r="AM67" s="407"/>
      <c r="AN67" s="407"/>
      <c r="AO67" s="407"/>
      <c r="AP67" s="407"/>
      <c r="AQ67" s="407"/>
      <c r="AR67" s="407"/>
      <c r="AS67" s="407"/>
      <c r="AT67" s="407"/>
      <c r="AU67" s="407"/>
      <c r="AV67" s="407"/>
      <c r="AW67" s="407"/>
      <c r="AX67" s="407"/>
      <c r="AY67" s="407"/>
      <c r="AZ67" s="407"/>
      <c r="BA67" s="407"/>
      <c r="BB67" s="407"/>
      <c r="BC67" s="407"/>
      <c r="BD67" s="407"/>
      <c r="BE67" s="407"/>
      <c r="BF67" s="407"/>
      <c r="BG67" s="407"/>
      <c r="BH67" s="407"/>
      <c r="BI67" s="407"/>
      <c r="BJ67" s="407"/>
      <c r="BK67" s="407"/>
      <c r="BL67" s="407"/>
      <c r="BM67" s="407"/>
      <c r="BN67" s="407"/>
      <c r="BO67" s="407"/>
      <c r="BP67" s="407"/>
      <c r="BQ67" s="407"/>
      <c r="BR67" s="407"/>
      <c r="BS67" s="407"/>
      <c r="BT67" s="407"/>
      <c r="BU67" s="407"/>
      <c r="BV67" s="407"/>
      <c r="BW67" s="407"/>
      <c r="BX67" s="610"/>
      <c r="CA67" s="489"/>
      <c r="CB67" s="489"/>
      <c r="CC67" s="489"/>
      <c r="CD67" s="489"/>
      <c r="CE67" s="546" t="s">
        <v>1112</v>
      </c>
      <c r="CF67" s="546"/>
    </row>
    <row s="308" customFormat="1" customHeight="1" ht="18">
      <c r="A68" s="308"/>
      <c r="B68" s="308"/>
      <c r="C68" s="308"/>
      <c r="D68" s="308"/>
      <c r="E68" s="284">
        <v>19</v>
      </c>
      <c r="F68" s="175" cm="1" t="str">
        <f t="array" ref="F68:F68">X68</f>
        <v>1</v>
      </c>
      <c r="G68" s="308"/>
      <c r="H68" s="308"/>
      <c r="I68" s="308"/>
      <c r="J68" s="308"/>
      <c r="K68" s="193" cm="1" t="str">
        <f t="array" ref="K68:K68">INDEX('Общие сведения'!$AL$169:$AL$202,MATCH($F68,'Общие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L68" s="193" cm="1" t="str">
        <f t="array" ref="L68:L68">INDEX('Общие сведения'!$AK$169:$AK$202,MATCH($F68,'Общие сведения'!$Y$169:$Y$202,0))</f>
        <v>одноставочный</v>
      </c>
      <c r="M68" s="308"/>
      <c r="N68" s="308"/>
      <c r="O68" s="308"/>
      <c r="P68" s="308"/>
      <c r="Q68" s="308"/>
      <c r="R68" s="308"/>
      <c r="S68" s="308"/>
      <c r="T68" s="753">
        <f>X68&gt;0</f>
        <v>1</v>
      </c>
      <c r="U68" s="308"/>
      <c r="V68" s="176" cm="1" t="str">
        <f t="array" ref="V68:V68">'Топливо 4.4'!$AB$139</f>
        <v>Тариф 1 (Теплоснабжение) - Тариф на тепловую энергию (мощность), поставляемую потребителям (Доп. признак не требуется)</v>
      </c>
      <c r="W68" s="308"/>
      <c r="X68" s="176" t="s">
        <v>308</v>
      </c>
      <c r="Y68" s="308"/>
      <c r="Z68" s="308"/>
      <c r="AA68" s="308"/>
      <c r="AB68" s="319" cm="1" t="str">
        <f t="array" ref="AB68:AB68">IF(ISBLANK('Топливо 4.4'!$AB$139),"",'Топливо 4.4'!$AB$139)</f>
        <v>Тариф 1 (Теплоснабжение) - Тариф на тепловую энергию (мощность), поставляемую потребителям (Доп. признак не требуется)</v>
      </c>
      <c r="AC68" s="298"/>
      <c r="AD68" s="298"/>
      <c r="AE68" s="299"/>
      <c r="AF68" s="552">
        <f>AF69+AF91</f>
        <v>1174</v>
      </c>
      <c r="AG68" s="552">
        <f>AG69+AG91</f>
        <v>2292.35</v>
      </c>
      <c r="AH68" s="552">
        <f>AH69+AH91</f>
        <v>1348.45</v>
      </c>
      <c r="AI68" s="552">
        <f>AI69+AI91</f>
        <v>1209</v>
      </c>
      <c r="AJ68" s="552">
        <f>AJ69+AJ91</f>
        <v>2780</v>
      </c>
      <c r="AK68" s="552">
        <f>AK69+AK91</f>
        <v>0</v>
      </c>
      <c r="AL68" s="552">
        <f>AL69+AL91</f>
        <v>0</v>
      </c>
      <c r="AM68" s="552">
        <f>AM69+AM91</f>
        <v>0</v>
      </c>
      <c r="AN68" s="552">
        <f>AN69+AN91</f>
        <v>0</v>
      </c>
      <c r="AO68" s="552">
        <f>AO69+AO91</f>
        <v>0</v>
      </c>
      <c r="AP68" s="552">
        <f>AP69+AP91</f>
        <v>0</v>
      </c>
      <c r="AQ68" s="552">
        <f>AQ69+AQ91</f>
        <v>0</v>
      </c>
      <c r="AR68" s="552">
        <f>AR69+AR91</f>
        <v>0</v>
      </c>
      <c r="AS68" s="552">
        <f>AS69+AS91</f>
        <v>0</v>
      </c>
      <c r="AT68" s="552">
        <f>AT69+AT91</f>
        <v>0</v>
      </c>
      <c r="AU68" s="552">
        <f>AU69+AU91</f>
        <v>0</v>
      </c>
      <c r="AV68" s="552">
        <f>AV69+AV91</f>
        <v>0</v>
      </c>
      <c r="AW68" s="552">
        <f>AW69+AW91</f>
        <v>0</v>
      </c>
      <c r="AX68" s="552">
        <f>AX69+AX91</f>
        <v>0</v>
      </c>
      <c r="AY68" s="552">
        <f>AY69+AY91</f>
        <v>0</v>
      </c>
      <c r="AZ68" s="552">
        <f>AZ69+AZ91</f>
        <v>0</v>
      </c>
      <c r="BA68" s="552">
        <f>BA69+BA91</f>
        <v>0</v>
      </c>
      <c r="BB68" s="552">
        <f>BB69+BB91</f>
        <v>0</v>
      </c>
      <c r="BC68" s="552">
        <f>BC69+BC91</f>
        <v>0</v>
      </c>
      <c r="BD68" s="552">
        <f>BD69+BD91</f>
        <v>1610.2404632</v>
      </c>
      <c r="BE68" s="552">
        <f>BE69+BE91</f>
        <v>0</v>
      </c>
      <c r="BF68" s="552">
        <f>BF69+BF91</f>
        <v>0</v>
      </c>
      <c r="BG68" s="552">
        <f>BG69+BG91</f>
        <v>0</v>
      </c>
      <c r="BH68" s="552">
        <f>BH69+BH91</f>
        <v>0</v>
      </c>
      <c r="BI68" s="552">
        <f>BI69+BI91</f>
        <v>0</v>
      </c>
      <c r="BJ68" s="552">
        <f>BJ69+BJ91</f>
        <v>0</v>
      </c>
      <c r="BK68" s="552">
        <f>BK69+BK91</f>
        <v>0</v>
      </c>
      <c r="BL68" s="552">
        <f>BL69+BL91</f>
        <v>0</v>
      </c>
      <c r="BM68" s="552">
        <f>BM69+BM91</f>
        <v>0</v>
      </c>
      <c r="BN68" s="552">
        <f>BN69+BN91</f>
        <v>0</v>
      </c>
      <c r="BO68" s="552">
        <f>BO69+BO91</f>
        <v>0</v>
      </c>
      <c r="BP68" s="552">
        <f>BP69+BP91</f>
        <v>0</v>
      </c>
      <c r="BQ68" s="552">
        <f>BQ69+BQ91</f>
        <v>0</v>
      </c>
      <c r="BR68" s="552">
        <f>BR69+BR91</f>
        <v>0</v>
      </c>
      <c r="BS68" s="552">
        <f>BS69+BS91</f>
        <v>0</v>
      </c>
      <c r="BT68" s="552">
        <f>BT69+BT91</f>
        <v>0</v>
      </c>
      <c r="BU68" s="552">
        <f>BU69+BU91</f>
        <v>0</v>
      </c>
      <c r="BV68" s="552">
        <f>BV69+BV91</f>
        <v>0</v>
      </c>
      <c r="BW68" s="552">
        <f>BW69+BW91</f>
        <v>0</v>
      </c>
      <c r="BX68" s="553"/>
      <c r="BY68" s="308"/>
      <c r="BZ68" s="308"/>
      <c r="CA68" s="489"/>
      <c r="CB68" s="984"/>
      <c r="CC68" s="984"/>
      <c r="CD68" s="984"/>
      <c r="CE68" s="985"/>
      <c r="CF68" s="985"/>
      <c r="CG68" s="308"/>
      <c r="CH68" s="308"/>
      <c r="CI68" s="308"/>
      <c r="CJ68" s="308"/>
      <c r="CK68" s="308"/>
      <c r="CL68" s="308"/>
      <c r="CM68" s="308"/>
      <c r="CN68" s="308"/>
      <c r="CO68" s="308"/>
      <c r="CP68" s="308"/>
      <c r="CQ68" s="308"/>
      <c r="CR68" s="308"/>
      <c r="CS68" s="308"/>
      <c r="CT68" s="308"/>
      <c r="CU68" s="308"/>
    </row>
    <row s="1721" customFormat="1" customHeight="1" ht="16.5">
      <c r="A69" s="1721"/>
      <c r="B69" s="1721"/>
      <c r="C69" s="1721"/>
      <c r="D69" s="1721"/>
      <c r="E69" s="284">
        <v>17</v>
      </c>
      <c r="F69" s="175" cm="1" t="str">
        <f t="array" ref="F69:F69">OFFSET(G69,-1,-1)</f>
        <v>1</v>
      </c>
      <c r="G69" s="193" t="s">
        <v>1039</v>
      </c>
      <c r="H69" s="1721"/>
      <c r="I69" s="308" t="s">
        <v>1040</v>
      </c>
      <c r="J69" s="1721"/>
      <c r="K69" s="1721"/>
      <c r="L69" s="1721"/>
      <c r="M69" s="1721"/>
      <c r="N69" s="1721"/>
      <c r="O69" s="1721"/>
      <c r="P69" s="1721"/>
      <c r="Q69" s="1721"/>
      <c r="R69" s="1721"/>
      <c r="S69" s="1721"/>
      <c r="T69" s="973" cm="1" t="str">
        <f t="array" ref="T69:T69">T68</f>
        <v>true</v>
      </c>
      <c r="U69" s="1721"/>
      <c r="V69" s="1721"/>
      <c r="W69" s="1721"/>
      <c r="X69" s="1721"/>
      <c r="Y69" s="1721"/>
      <c r="Z69" s="1721"/>
      <c r="AA69" s="1721"/>
      <c r="AB69" s="554">
        <v>1</v>
      </c>
      <c r="AC69" s="555" t="s">
        <v>1041</v>
      </c>
      <c r="AD69" s="555"/>
      <c r="AE69" s="556" t="s">
        <v>917</v>
      </c>
      <c r="AF69" s="557">
        <f>SUMIF($I74:$I89,$I69,AF74:AF89)</f>
        <v>1174</v>
      </c>
      <c r="AG69" s="557">
        <f>SUMIF($I74:$I89,$I69,AG74:AG89)</f>
        <v>2292.35</v>
      </c>
      <c r="AH69" s="557">
        <f>SUMIF($I74:$I89,$I69,AH74:AH89)</f>
        <v>1348.45</v>
      </c>
      <c r="AI69" s="557">
        <f>SUMIF($I74:$I89,$I69,AI74:AI89)</f>
        <v>1209</v>
      </c>
      <c r="AJ69" s="557">
        <f>SUMIF($I74:$I89,$I69,AJ74:AJ89)</f>
        <v>2780</v>
      </c>
      <c r="AK69" s="2279">
        <f>SUMIF($I74:$I89,$I69,AK74:AK89)</f>
        <v>0</v>
      </c>
      <c r="AL69" s="2279">
        <f>SUMIF($I74:$I89,$I69,AL74:AL89)</f>
        <v>0</v>
      </c>
      <c r="AM69" s="2279">
        <f>SUMIF($I74:$I89,$I69,AM74:AM89)</f>
        <v>0</v>
      </c>
      <c r="AN69" s="2279">
        <f>SUMIF($I74:$I89,$I69,AN74:AN89)</f>
        <v>0</v>
      </c>
      <c r="AO69" s="2279">
        <f>SUMIF($I74:$I89,$I69,AO74:AO89)</f>
        <v>0</v>
      </c>
      <c r="AP69" s="2279">
        <f>SUMIF($I74:$I89,$I69,AP74:AP89)</f>
        <v>0</v>
      </c>
      <c r="AQ69" s="2279">
        <f>SUMIF($I74:$I89,$I69,AQ74:AQ89)</f>
        <v>0</v>
      </c>
      <c r="AR69" s="2279">
        <f>SUMIF($I74:$I89,$I69,AR74:AR89)</f>
        <v>0</v>
      </c>
      <c r="AS69" s="2279">
        <f>SUMIF($I74:$I89,$I69,AS74:AS89)</f>
        <v>0</v>
      </c>
      <c r="AT69" s="2279">
        <f>SUMIF($I74:$I89,$I69,AT74:AT89)</f>
        <v>0</v>
      </c>
      <c r="AU69" s="2279">
        <f>SUMIF($I74:$I89,$I69,AU74:AU89)</f>
        <v>0</v>
      </c>
      <c r="AV69" s="2279">
        <f>SUMIF($I74:$I89,$I69,AV74:AV89)</f>
        <v>0</v>
      </c>
      <c r="AW69" s="2279">
        <f>SUMIF($I74:$I89,$I69,AW74:AW89)</f>
        <v>0</v>
      </c>
      <c r="AX69" s="2279">
        <f>SUMIF($I74:$I89,$I69,AX74:AX89)</f>
        <v>0</v>
      </c>
      <c r="AY69" s="2279">
        <f>SUMIF($I74:$I89,$I69,AY74:AY89)</f>
        <v>0</v>
      </c>
      <c r="AZ69" s="2279">
        <f>SUMIF($I74:$I89,$I69,AZ74:AZ89)</f>
        <v>0</v>
      </c>
      <c r="BA69" s="2279">
        <f>SUMIF($I74:$I89,$I69,BA74:BA89)</f>
        <v>0</v>
      </c>
      <c r="BB69" s="2279">
        <f>SUMIF($I74:$I89,$I69,BB74:BB89)</f>
        <v>0</v>
      </c>
      <c r="BC69" s="2279">
        <f>SUMIF($I74:$I89,$I69,BC74:BC89)</f>
        <v>0</v>
      </c>
      <c r="BD69" s="557">
        <f>SUMIF($I74:$I89,$I69,BD74:BD89)</f>
        <v>1610.2404632</v>
      </c>
      <c r="BE69" s="2279">
        <f>SUMIF($I74:$I89,$I69,BE74:BE89)</f>
        <v>0</v>
      </c>
      <c r="BF69" s="2279">
        <f>SUMIF($I74:$I89,$I69,BF74:BF89)</f>
        <v>0</v>
      </c>
      <c r="BG69" s="2279">
        <f>SUMIF($I74:$I89,$I69,BG74:BG89)</f>
        <v>0</v>
      </c>
      <c r="BH69" s="2279">
        <f>SUMIF($I74:$I89,$I69,BH74:BH89)</f>
        <v>0</v>
      </c>
      <c r="BI69" s="2279">
        <f>SUMIF($I74:$I89,$I69,BI74:BI89)</f>
        <v>0</v>
      </c>
      <c r="BJ69" s="2279">
        <f>SUMIF($I74:$I89,$I69,BJ74:BJ89)</f>
        <v>0</v>
      </c>
      <c r="BK69" s="2279">
        <f>SUMIF($I74:$I89,$I69,BK74:BK89)</f>
        <v>0</v>
      </c>
      <c r="BL69" s="2279">
        <f>SUMIF($I74:$I89,$I69,BL74:BL89)</f>
        <v>0</v>
      </c>
      <c r="BM69" s="2279">
        <f>SUMIF($I74:$I89,$I69,BM74:BM89)</f>
        <v>0</v>
      </c>
      <c r="BN69" s="2279">
        <f>SUMIF($I74:$I89,$I69,BN74:BN89)</f>
        <v>0</v>
      </c>
      <c r="BO69" s="2279">
        <f>SUMIF($I74:$I89,$I69,BO74:BO89)</f>
        <v>0</v>
      </c>
      <c r="BP69" s="2279">
        <f>SUMIF($I74:$I89,$I69,BP74:BP89)</f>
        <v>0</v>
      </c>
      <c r="BQ69" s="2279">
        <f>SUMIF($I74:$I89,$I69,BQ74:BQ89)</f>
        <v>0</v>
      </c>
      <c r="BR69" s="2279">
        <f>SUMIF($I74:$I89,$I69,BR74:BR89)</f>
        <v>0</v>
      </c>
      <c r="BS69" s="2279">
        <f>SUMIF($I74:$I89,$I69,BS74:BS89)</f>
        <v>0</v>
      </c>
      <c r="BT69" s="2279">
        <f>SUMIF($I74:$I89,$I69,BT74:BT89)</f>
        <v>0</v>
      </c>
      <c r="BU69" s="2279">
        <f>SUMIF($I74:$I89,$I69,BU74:BU89)</f>
        <v>0</v>
      </c>
      <c r="BV69" s="2279">
        <f>SUMIF($I74:$I89,$I69,BV74:BV89)</f>
        <v>0</v>
      </c>
      <c r="BW69" s="2279">
        <f>SUMIF($I74:$I89,$I69,BW74:BW89)</f>
        <v>0</v>
      </c>
      <c r="BX69" s="1908"/>
      <c r="BY69" s="1721"/>
      <c r="BZ69" s="1721"/>
      <c r="CA69" s="489" t="s">
        <v>1042</v>
      </c>
      <c r="CB69" s="984"/>
      <c r="CC69" s="984"/>
      <c r="CD69" s="984"/>
      <c r="CE69" s="985"/>
      <c r="CF69" s="985"/>
      <c r="CG69" s="1721"/>
      <c r="CH69" s="1500" cm="1" t="str">
        <f t="array" ref="CH69:CH69">INDEX('Общие сведения'!$N$170:$N$202,MATCH($F69,'Общие сведения'!$Y$170:$Y$202,0)+1)</f>
        <v>ТЭ.42.31656254.0001</v>
      </c>
      <c r="CI69" s="1501" t="s">
        <v>1043</v>
      </c>
      <c r="CJ69" s="1501"/>
      <c r="CK69" s="1501"/>
      <c r="CL69" s="1501"/>
      <c r="CM69" s="1501" t="s">
        <v>219</v>
      </c>
      <c r="CN69" s="1501"/>
      <c r="CO69" s="1501" t="s">
        <v>303</v>
      </c>
      <c r="CP69" s="1501" t="s">
        <v>1044</v>
      </c>
      <c r="CQ69" s="1501" t="s">
        <v>1045</v>
      </c>
      <c r="CR69" s="1721"/>
      <c r="CS69" s="1721"/>
      <c r="CT69" s="1721"/>
      <c r="CU69" s="1721"/>
    </row>
    <row s="1721" customFormat="1" customHeight="1" ht="16.5">
      <c r="A70" s="1721"/>
      <c r="B70" s="1721"/>
      <c r="C70" s="1721"/>
      <c r="D70" s="1721"/>
      <c r="E70" s="284">
        <v>17</v>
      </c>
      <c r="F70" s="175" cm="1" t="str">
        <f t="array" ref="F70:F70">OFFSET(G70,-1,-1)</f>
        <v>1</v>
      </c>
      <c r="G70" s="1721"/>
      <c r="H70" s="1721"/>
      <c r="I70" s="1721"/>
      <c r="J70" s="1721"/>
      <c r="K70" s="1721"/>
      <c r="L70" s="1721"/>
      <c r="M70" s="1721"/>
      <c r="N70" s="1721"/>
      <c r="O70" s="1721"/>
      <c r="P70" s="1721"/>
      <c r="Q70" s="1721"/>
      <c r="R70" s="1721"/>
      <c r="S70" s="1721"/>
      <c r="T70" s="973" cm="1" t="str">
        <f t="array" ref="T70:T70">T69</f>
        <v>true</v>
      </c>
      <c r="U70" s="1721"/>
      <c r="V70" s="1721"/>
      <c r="W70" s="1721"/>
      <c r="X70" s="1721"/>
      <c r="Y70" s="1721"/>
      <c r="Z70" s="1721"/>
      <c r="AA70" s="1721"/>
      <c r="AB70" s="559">
        <v>1.1</v>
      </c>
      <c r="AC70" s="560" t="s">
        <v>1046</v>
      </c>
      <c r="AD70" s="560"/>
      <c r="AE70" s="328" t="s">
        <v>807</v>
      </c>
      <c r="AF70" s="346">
        <f>SUMIF($AE74:$AE89,$AE70,AF74:AF89)</f>
        <v>181.96</v>
      </c>
      <c r="AG70" s="346">
        <f>SUMIF($AE74:$AE89,$AE70,AG74:AG89)</f>
        <v>327</v>
      </c>
      <c r="AH70" s="346">
        <f>SUMIF($AE74:$AE89,$AE70,AH74:AH89)</f>
        <v>192.504795801962</v>
      </c>
      <c r="AI70" s="346">
        <f>SUMIF($AE74:$AE89,$AE70,AI74:AI89)</f>
        <v>181.96</v>
      </c>
      <c r="AJ70" s="346">
        <f>SUMIF($AE74:$AE89,$AE70,AJ74:AJ89)</f>
        <v>327</v>
      </c>
      <c r="AK70" s="1859">
        <f>SUMIF($AE74:$AE89,$AE70,AK74:AK89)</f>
        <v>0</v>
      </c>
      <c r="AL70" s="1859">
        <f>SUMIF($AE74:$AE89,$AE70,AL74:AL89)</f>
        <v>0</v>
      </c>
      <c r="AM70" s="1859">
        <f>SUMIF($AE74:$AE89,$AE70,AM74:AM89)</f>
        <v>0</v>
      </c>
      <c r="AN70" s="1859">
        <f>SUMIF($AE74:$AE89,$AE70,AN74:AN89)</f>
        <v>0</v>
      </c>
      <c r="AO70" s="1859">
        <f>SUMIF($AE74:$AE89,$AE70,AO74:AO89)</f>
        <v>0</v>
      </c>
      <c r="AP70" s="1859">
        <f>SUMIF($AE74:$AE89,$AE70,AP74:AP89)</f>
        <v>0</v>
      </c>
      <c r="AQ70" s="1859">
        <f>SUMIF($AE74:$AE89,$AE70,AQ74:AQ89)</f>
        <v>0</v>
      </c>
      <c r="AR70" s="1859">
        <f>SUMIF($AE74:$AE89,$AE70,AR74:AR89)</f>
        <v>0</v>
      </c>
      <c r="AS70" s="1859">
        <f>SUMIF($AE74:$AE89,$AE70,AS74:AS89)</f>
        <v>0</v>
      </c>
      <c r="AT70" s="1859">
        <f>SUMIF($AE74:$AE89,$AE70,AT74:AT89)</f>
        <v>0</v>
      </c>
      <c r="AU70" s="1859">
        <f>SUMIF($AE74:$AE89,$AE70,AU74:AU89)</f>
        <v>0</v>
      </c>
      <c r="AV70" s="1859">
        <f>SUMIF($AE74:$AE89,$AE70,AV74:AV89)</f>
        <v>0</v>
      </c>
      <c r="AW70" s="1859">
        <f>SUMIF($AE74:$AE89,$AE70,AW74:AW89)</f>
        <v>0</v>
      </c>
      <c r="AX70" s="1859">
        <f>SUMIF($AE74:$AE89,$AE70,AX74:AX89)</f>
        <v>0</v>
      </c>
      <c r="AY70" s="1859">
        <f>SUMIF($AE74:$AE89,$AE70,AY74:AY89)</f>
        <v>0</v>
      </c>
      <c r="AZ70" s="1859">
        <f>SUMIF($AE74:$AE89,$AE70,AZ74:AZ89)</f>
        <v>0</v>
      </c>
      <c r="BA70" s="1859">
        <f>SUMIF($AE74:$AE89,$AE70,BA74:BA89)</f>
        <v>0</v>
      </c>
      <c r="BB70" s="1859">
        <f>SUMIF($AE74:$AE89,$AE70,BB74:BB89)</f>
        <v>0</v>
      </c>
      <c r="BC70" s="1859">
        <f>SUMIF($AE74:$AE89,$AE70,BC74:BC89)</f>
        <v>0</v>
      </c>
      <c r="BD70" s="346">
        <f>SUMIF($AE74:$AE89,$AE70,BD74:BD89)</f>
        <v>181.96</v>
      </c>
      <c r="BE70" s="1859">
        <f>SUMIF($AE74:$AE89,$AE70,BE74:BE89)</f>
        <v>0</v>
      </c>
      <c r="BF70" s="1859">
        <f>SUMIF($AE74:$AE89,$AE70,BF74:BF89)</f>
        <v>0</v>
      </c>
      <c r="BG70" s="1859">
        <f>SUMIF($AE74:$AE89,$AE70,BG74:BG89)</f>
        <v>0</v>
      </c>
      <c r="BH70" s="1859">
        <f>SUMIF($AE74:$AE89,$AE70,BH74:BH89)</f>
        <v>0</v>
      </c>
      <c r="BI70" s="1859">
        <f>SUMIF($AE74:$AE89,$AE70,BI74:BI89)</f>
        <v>0</v>
      </c>
      <c r="BJ70" s="1859">
        <f>SUMIF($AE74:$AE89,$AE70,BJ74:BJ89)</f>
        <v>0</v>
      </c>
      <c r="BK70" s="1859">
        <f>SUMIF($AE74:$AE89,$AE70,BK74:BK89)</f>
        <v>0</v>
      </c>
      <c r="BL70" s="1859">
        <f>SUMIF($AE74:$AE89,$AE70,BL74:BL89)</f>
        <v>0</v>
      </c>
      <c r="BM70" s="1859">
        <f>SUMIF($AE74:$AE89,$AE70,BM74:BM89)</f>
        <v>0</v>
      </c>
      <c r="BN70" s="1859">
        <f>SUMIF($AE74:$AE89,$AE70,BN74:BN89)</f>
        <v>0</v>
      </c>
      <c r="BO70" s="1859">
        <f>SUMIF($AE74:$AE89,$AE70,BO74:BO89)</f>
        <v>0</v>
      </c>
      <c r="BP70" s="1859">
        <f>SUMIF($AE74:$AE89,$AE70,BP74:BP89)</f>
        <v>0</v>
      </c>
      <c r="BQ70" s="1859">
        <f>SUMIF($AE74:$AE89,$AE70,BQ74:BQ89)</f>
        <v>0</v>
      </c>
      <c r="BR70" s="1859">
        <f>SUMIF($AE74:$AE89,$AE70,BR74:BR89)</f>
        <v>0</v>
      </c>
      <c r="BS70" s="1859">
        <f>SUMIF($AE74:$AE89,$AE70,BS74:BS89)</f>
        <v>0</v>
      </c>
      <c r="BT70" s="1859">
        <f>SUMIF($AE74:$AE89,$AE70,BT74:BT89)</f>
        <v>0</v>
      </c>
      <c r="BU70" s="1859">
        <f>SUMIF($AE74:$AE89,$AE70,BU74:BU89)</f>
        <v>0</v>
      </c>
      <c r="BV70" s="1859">
        <f>SUMIF($AE74:$AE89,$AE70,BV74:BV89)</f>
        <v>0</v>
      </c>
      <c r="BW70" s="1859">
        <f>SUMIF($AE74:$AE89,$AE70,BW74:BW89)</f>
        <v>0</v>
      </c>
      <c r="BX70" s="1897"/>
      <c r="BY70" s="1721"/>
      <c r="BZ70" s="1721"/>
      <c r="CA70" s="489" t="s">
        <v>1047</v>
      </c>
      <c r="CB70" s="984"/>
      <c r="CC70" s="984"/>
      <c r="CD70" s="984"/>
      <c r="CE70" s="985"/>
      <c r="CF70" s="985"/>
      <c r="CG70" s="1721"/>
      <c r="CH70" s="1501" cm="1" t="str">
        <f t="array" ref="CH70:CH70">CH69</f>
        <v>ТЭ.42.31656254.0001</v>
      </c>
      <c r="CI70" s="1501" t="s">
        <v>1043</v>
      </c>
      <c r="CJ70" s="1501"/>
      <c r="CK70" s="1501"/>
      <c r="CL70" s="1501"/>
      <c r="CM70" s="1501" t="s">
        <v>255</v>
      </c>
      <c r="CN70" s="1501"/>
      <c r="CO70" s="1501" t="s">
        <v>303</v>
      </c>
      <c r="CP70" s="1501" t="s">
        <v>1048</v>
      </c>
      <c r="CQ70" s="1501" t="s">
        <v>1049</v>
      </c>
      <c r="CR70" s="1721"/>
      <c r="CS70" s="1721"/>
      <c r="CT70" s="1721"/>
      <c r="CU70" s="1721"/>
    </row>
    <row s="1721" customFormat="1" customHeight="1" ht="16.5">
      <c r="A71" s="1721"/>
      <c r="B71" s="1721"/>
      <c r="C71" s="1721"/>
      <c r="D71" s="1721"/>
      <c r="E71" s="284">
        <v>17</v>
      </c>
      <c r="F71" s="175" cm="1" t="str">
        <f t="array" ref="F71:F71">OFFSET(G71,-1,-1)</f>
        <v>1</v>
      </c>
      <c r="G71" s="1721"/>
      <c r="H71" s="1721"/>
      <c r="I71" s="1721"/>
      <c r="J71" s="1721"/>
      <c r="K71" s="1721"/>
      <c r="L71" s="1721"/>
      <c r="M71" s="1721"/>
      <c r="N71" s="1721"/>
      <c r="O71" s="1721"/>
      <c r="P71" s="1721"/>
      <c r="Q71" s="1721"/>
      <c r="R71" s="1721"/>
      <c r="S71" s="1721"/>
      <c r="T71" s="973" cm="1" t="str">
        <f t="array" ref="T71:T71">T70</f>
        <v>true</v>
      </c>
      <c r="U71" s="1721"/>
      <c r="V71" s="1721"/>
      <c r="W71" s="1721"/>
      <c r="X71" s="1721"/>
      <c r="Y71" s="1721"/>
      <c r="Z71" s="1721"/>
      <c r="AA71" s="1721"/>
      <c r="AB71" s="559">
        <v>1.2</v>
      </c>
      <c r="AC71" s="560" t="s">
        <v>1050</v>
      </c>
      <c r="AD71" s="560"/>
      <c r="AE71" s="328" t="s">
        <v>629</v>
      </c>
      <c r="AF71" s="2280">
        <f>IF($K68="передача тепловой энергии",_xlfn.SUMIFS('Баланс Тр'!AE$27:AE$43,'Баланс Тр'!$F$27:$F$43,$F71,'Баланс Тр'!$AB$27:$AB$43,"3"),_xlfn.SUMIFS('Баланс Пр'!AE$27:AE$165,'Баланс Пр'!$F$27:$F$165,$F71,'Баланс Пр'!$AB$27:$AB$165,"9.1"))</f>
        <v>4383</v>
      </c>
      <c r="AG71" s="2280">
        <f>IF($K68="передача тепловой энергии",_xlfn.SUMIFS('Баланс Тр'!AF$27:AF$43,'Баланс Тр'!$F$27:$F$43,$F71,'Баланс Тр'!$AB$27:$AB$43,"3"),_xlfn.SUMIFS('Баланс Пр'!AF$27:AF$165,'Баланс Пр'!$F$27:$F$165,$F71,'Баланс Пр'!$AB$27:$AB$165,"9.1"))</f>
        <v>4637</v>
      </c>
      <c r="AH71" s="2280">
        <f>IF($K68="передача тепловой энергии",_xlfn.SUMIFS('Баланс Тр'!AG$27:AG$43,'Баланс Тр'!$F$27:$F$43,$F71,'Баланс Тр'!$AB$27:$AB$43,"3"),_xlfn.SUMIFS('Баланс Пр'!AG$27:AG$165,'Баланс Пр'!$F$27:$F$165,$F71,'Баланс Пр'!$AB$27:$AB$165,"9.1"))</f>
        <v>4637</v>
      </c>
      <c r="AI71" s="2280">
        <f>IF($K68="передача тепловой энергии",_xlfn.SUMIFS('Баланс Тр'!AH$27:AH$43,'Баланс Тр'!$F$27:$F$43,$F71,'Баланс Тр'!$AB$27:$AB$43,"3"),_xlfn.SUMIFS('Баланс Пр'!AH$27:AH$165,'Баланс Пр'!$F$27:$F$165,$F71,'Баланс Пр'!$AB$27:$AB$165,"9.1"))</f>
        <v>4671</v>
      </c>
      <c r="AJ71" s="561">
        <f>IF($K68="передача тепловой энергии",_xlfn.SUMIFS('Баланс Тр'!AI$27:AI$43,'Баланс Тр'!$F$27:$F$43,$F71,'Баланс Тр'!$AB$27:$AB$43,"3"),_xlfn.SUMIFS('Баланс Пр'!AI$27:AI$165,'Баланс Пр'!$F$27:$F$165,$F71,'Баланс Пр'!$AB$27:$AB$165,"9.1"))</f>
        <v>4637</v>
      </c>
      <c r="AK71" s="2280">
        <f>IF($K68="передача тепловой энергии",_xlfn.SUMIFS('Баланс Тр'!AJ$27:AJ$43,'Баланс Тр'!$F$27:$F$43,$F71,'Баланс Тр'!$AB$27:$AB$43,"3"),_xlfn.SUMIFS('Баланс Пр'!AJ$27:AJ$165,'Баланс Пр'!$F$27:$F$165,$F71,'Баланс Пр'!$AB$27:$AB$165,"9.1"))</f>
        <v>0</v>
      </c>
      <c r="AL71" s="2280">
        <f>IF($K68="передача тепловой энергии",_xlfn.SUMIFS('Баланс Тр'!AK$27:AK$43,'Баланс Тр'!$F$27:$F$43,$F71,'Баланс Тр'!$AB$27:$AB$43,"3"),_xlfn.SUMIFS('Баланс Пр'!AK$27:AK$165,'Баланс Пр'!$F$27:$F$165,$F71,'Баланс Пр'!$AB$27:$AB$165,"9.1"))</f>
        <v>0</v>
      </c>
      <c r="AM71" s="2280">
        <f>IF($K68="передача тепловой энергии",_xlfn.SUMIFS('Баланс Тр'!AL$27:AL$43,'Баланс Тр'!$F$27:$F$43,$F71,'Баланс Тр'!$AB$27:$AB$43,"3"),_xlfn.SUMIFS('Баланс Пр'!AL$27:AL$165,'Баланс Пр'!$F$27:$F$165,$F71,'Баланс Пр'!$AB$27:$AB$165,"9.1"))</f>
        <v>0</v>
      </c>
      <c r="AN71" s="2280">
        <f>IF($K68="передача тепловой энергии",_xlfn.SUMIFS('Баланс Тр'!AM$27:AM$43,'Баланс Тр'!$F$27:$F$43,$F71,'Баланс Тр'!$AB$27:$AB$43,"3"),_xlfn.SUMIFS('Баланс Пр'!AM$27:AM$165,'Баланс Пр'!$F$27:$F$165,$F71,'Баланс Пр'!$AB$27:$AB$165,"9.1"))</f>
        <v>0</v>
      </c>
      <c r="AO71" s="2280">
        <f>IF($K68="передача тепловой энергии",_xlfn.SUMIFS('Баланс Тр'!AN$27:AN$43,'Баланс Тр'!$F$27:$F$43,$F71,'Баланс Тр'!$AB$27:$AB$43,"3"),_xlfn.SUMIFS('Баланс Пр'!AN$27:AN$165,'Баланс Пр'!$F$27:$F$165,$F71,'Баланс Пр'!$AB$27:$AB$165,"9.1"))</f>
        <v>0</v>
      </c>
      <c r="AP71" s="2280">
        <f>IF($K68="передача тепловой энергии",_xlfn.SUMIFS('Баланс Тр'!AO$27:AO$43,'Баланс Тр'!$F$27:$F$43,$F71,'Баланс Тр'!$AB$27:$AB$43,"3"),_xlfn.SUMIFS('Баланс Пр'!AO$27:AO$165,'Баланс Пр'!$F$27:$F$165,$F71,'Баланс Пр'!$AB$27:$AB$165,"9.1"))</f>
        <v>0</v>
      </c>
      <c r="AQ71" s="2280">
        <f>IF($K68="передача тепловой энергии",_xlfn.SUMIFS('Баланс Тр'!AP$27:AP$43,'Баланс Тр'!$F$27:$F$43,$F71,'Баланс Тр'!$AB$27:$AB$43,"3"),_xlfn.SUMIFS('Баланс Пр'!AP$27:AP$165,'Баланс Пр'!$F$27:$F$165,$F71,'Баланс Пр'!$AB$27:$AB$165,"9.1"))</f>
        <v>0</v>
      </c>
      <c r="AR71" s="2280">
        <f>IF($K68="передача тепловой энергии",_xlfn.SUMIFS('Баланс Тр'!AQ$27:AQ$43,'Баланс Тр'!$F$27:$F$43,$F71,'Баланс Тр'!$AB$27:$AB$43,"3"),_xlfn.SUMIFS('Баланс Пр'!AQ$27:AQ$165,'Баланс Пр'!$F$27:$F$165,$F71,'Баланс Пр'!$AB$27:$AB$165,"9.1"))</f>
        <v>0</v>
      </c>
      <c r="AS71" s="2280">
        <f>IF($K68="передача тепловой энергии",_xlfn.SUMIFS('Баланс Тр'!AR$27:AR$43,'Баланс Тр'!$F$27:$F$43,$F71,'Баланс Тр'!$AB$27:$AB$43,"3"),_xlfn.SUMIFS('Баланс Пр'!AR$27:AR$165,'Баланс Пр'!$F$27:$F$165,$F71,'Баланс Пр'!$AB$27:$AB$165,"9.1"))</f>
        <v>0</v>
      </c>
      <c r="AT71" s="2280">
        <f>IF($K68="передача тепловой энергии",_xlfn.SUMIFS('Баланс Тр'!AS$27:AS$43,'Баланс Тр'!$F$27:$F$43,$F71,'Баланс Тр'!$AB$27:$AB$43,"3"),_xlfn.SUMIFS('Баланс Пр'!AS$27:AS$165,'Баланс Пр'!$F$27:$F$165,$F71,'Баланс Пр'!$AB$27:$AB$165,"9.1"))</f>
        <v>0</v>
      </c>
      <c r="AU71" s="2280">
        <f>IF($K68="передача тепловой энергии",_xlfn.SUMIFS('Баланс Тр'!AT$27:AT$43,'Баланс Тр'!$F$27:$F$43,$F71,'Баланс Тр'!$AB$27:$AB$43,"3"),_xlfn.SUMIFS('Баланс Пр'!AT$27:AT$165,'Баланс Пр'!$F$27:$F$165,$F71,'Баланс Пр'!$AB$27:$AB$165,"9.1"))</f>
        <v>0</v>
      </c>
      <c r="AV71" s="2280">
        <f>IF($K68="передача тепловой энергии",_xlfn.SUMIFS('Баланс Тр'!AU$27:AU$43,'Баланс Тр'!$F$27:$F$43,$F71,'Баланс Тр'!$AB$27:$AB$43,"3"),_xlfn.SUMIFS('Баланс Пр'!AU$27:AU$165,'Баланс Пр'!$F$27:$F$165,$F71,'Баланс Пр'!$AB$27:$AB$165,"9.1"))</f>
        <v>0</v>
      </c>
      <c r="AW71" s="2280">
        <f>IF($K68="передача тепловой энергии",_xlfn.SUMIFS('Баланс Тр'!AV$27:AV$43,'Баланс Тр'!$F$27:$F$43,$F71,'Баланс Тр'!$AB$27:$AB$43,"3"),_xlfn.SUMIFS('Баланс Пр'!AV$27:AV$165,'Баланс Пр'!$F$27:$F$165,$F71,'Баланс Пр'!$AB$27:$AB$165,"9.1"))</f>
        <v>0</v>
      </c>
      <c r="AX71" s="2280">
        <f>IF($K68="передача тепловой энергии",_xlfn.SUMIFS('Баланс Тр'!AW$27:AW$43,'Баланс Тр'!$F$27:$F$43,$F71,'Баланс Тр'!$AB$27:$AB$43,"3"),_xlfn.SUMIFS('Баланс Пр'!AW$27:AW$165,'Баланс Пр'!$F$27:$F$165,$F71,'Баланс Пр'!$AB$27:$AB$165,"9.1"))</f>
        <v>0</v>
      </c>
      <c r="AY71" s="2280">
        <f>IF($K68="передача тепловой энергии",_xlfn.SUMIFS('Баланс Тр'!AX$27:AX$43,'Баланс Тр'!$F$27:$F$43,$F71,'Баланс Тр'!$AB$27:$AB$43,"3"),_xlfn.SUMIFS('Баланс Пр'!AX$27:AX$165,'Баланс Пр'!$F$27:$F$165,$F71,'Баланс Пр'!$AB$27:$AB$165,"9.1"))</f>
        <v>0</v>
      </c>
      <c r="AZ71" s="2280">
        <f>IF($K68="передача тепловой энергии",_xlfn.SUMIFS('Баланс Тр'!AY$27:AY$43,'Баланс Тр'!$F$27:$F$43,$F71,'Баланс Тр'!$AB$27:$AB$43,"3"),_xlfn.SUMIFS('Баланс Пр'!AY$27:AY$165,'Баланс Пр'!$F$27:$F$165,$F71,'Баланс Пр'!$AB$27:$AB$165,"9.1"))</f>
        <v>0</v>
      </c>
      <c r="BA71" s="2280">
        <f>IF($K68="передача тепловой энергии",_xlfn.SUMIFS('Баланс Тр'!AZ$27:AZ$43,'Баланс Тр'!$F$27:$F$43,$F71,'Баланс Тр'!$AB$27:$AB$43,"3"),_xlfn.SUMIFS('Баланс Пр'!AZ$27:AZ$165,'Баланс Пр'!$F$27:$F$165,$F71,'Баланс Пр'!$AB$27:$AB$165,"9.1"))</f>
        <v>0</v>
      </c>
      <c r="BB71" s="2280">
        <f>IF($K68="передача тепловой энергии",_xlfn.SUMIFS('Баланс Тр'!BA$27:BA$43,'Баланс Тр'!$F$27:$F$43,$F71,'Баланс Тр'!$AB$27:$AB$43,"3"),_xlfn.SUMIFS('Баланс Пр'!BA$27:BA$165,'Баланс Пр'!$F$27:$F$165,$F71,'Баланс Пр'!$AB$27:$AB$165,"9.1"))</f>
        <v>0</v>
      </c>
      <c r="BC71" s="2280">
        <f>IF($K68="передача тепловой энергии",_xlfn.SUMIFS('Баланс Тр'!BB$27:BB$43,'Баланс Тр'!$F$27:$F$43,$F71,'Баланс Тр'!$AB$27:$AB$43,"3"),_xlfn.SUMIFS('Баланс Пр'!BB$27:BB$165,'Баланс Пр'!$F$27:$F$165,$F71,'Баланс Пр'!$AB$27:$AB$165,"9.1"))</f>
        <v>0</v>
      </c>
      <c r="BD71" s="561">
        <f>IF($K68="передача тепловой энергии",_xlfn.SUMIFS('Баланс Тр'!BC$27:BC$43,'Баланс Тр'!$F$27:$F$43,$F71,'Баланс Тр'!$AB$27:$AB$43,"3"),_xlfn.SUMIFS('Баланс Пр'!BC$27:BC$165,'Баланс Пр'!$F$27:$F$165,$F71,'Баланс Пр'!$AB$27:$AB$165,"9.1"))</f>
        <v>4637</v>
      </c>
      <c r="BE71" s="2280">
        <f>IF($K68="передача тепловой энергии",_xlfn.SUMIFS('Баланс Тр'!BD$27:BD$43,'Баланс Тр'!$F$27:$F$43,$F71,'Баланс Тр'!$AB$27:$AB$43,"3"),_xlfn.SUMIFS('Баланс Пр'!BD$27:BD$165,'Баланс Пр'!$F$27:$F$165,$F71,'Баланс Пр'!$AB$27:$AB$165,"9.1"))</f>
        <v>0</v>
      </c>
      <c r="BF71" s="2280">
        <f>IF($K68="передача тепловой энергии",_xlfn.SUMIFS('Баланс Тр'!BE$27:BE$43,'Баланс Тр'!$F$27:$F$43,$F71,'Баланс Тр'!$AB$27:$AB$43,"3"),_xlfn.SUMIFS('Баланс Пр'!BE$27:BE$165,'Баланс Пр'!$F$27:$F$165,$F71,'Баланс Пр'!$AB$27:$AB$165,"9.1"))</f>
        <v>0</v>
      </c>
      <c r="BG71" s="2280">
        <f>IF($K68="передача тепловой энергии",_xlfn.SUMIFS('Баланс Тр'!BF$27:BF$43,'Баланс Тр'!$F$27:$F$43,$F71,'Баланс Тр'!$AB$27:$AB$43,"3"),_xlfn.SUMIFS('Баланс Пр'!BF$27:BF$165,'Баланс Пр'!$F$27:$F$165,$F71,'Баланс Пр'!$AB$27:$AB$165,"9.1"))</f>
        <v>0</v>
      </c>
      <c r="BH71" s="2280">
        <f>IF($K68="передача тепловой энергии",_xlfn.SUMIFS('Баланс Тр'!BG$27:BG$43,'Баланс Тр'!$F$27:$F$43,$F71,'Баланс Тр'!$AB$27:$AB$43,"3"),_xlfn.SUMIFS('Баланс Пр'!BG$27:BG$165,'Баланс Пр'!$F$27:$F$165,$F71,'Баланс Пр'!$AB$27:$AB$165,"9.1"))</f>
        <v>0</v>
      </c>
      <c r="BI71" s="2280">
        <f>IF($K68="передача тепловой энергии",_xlfn.SUMIFS('Баланс Тр'!BH$27:BH$43,'Баланс Тр'!$F$27:$F$43,$F71,'Баланс Тр'!$AB$27:$AB$43,"3"),_xlfn.SUMIFS('Баланс Пр'!BH$27:BH$165,'Баланс Пр'!$F$27:$F$165,$F71,'Баланс Пр'!$AB$27:$AB$165,"9.1"))</f>
        <v>0</v>
      </c>
      <c r="BJ71" s="2280">
        <f>IF($K68="передача тепловой энергии",_xlfn.SUMIFS('Баланс Тр'!BI$27:BI$43,'Баланс Тр'!$F$27:$F$43,$F71,'Баланс Тр'!$AB$27:$AB$43,"3"),_xlfn.SUMIFS('Баланс Пр'!BI$27:BI$165,'Баланс Пр'!$F$27:$F$165,$F71,'Баланс Пр'!$AB$27:$AB$165,"9.1"))</f>
        <v>0</v>
      </c>
      <c r="BK71" s="2280">
        <f>IF($K68="передача тепловой энергии",_xlfn.SUMIFS('Баланс Тр'!BJ$27:BJ$43,'Баланс Тр'!$F$27:$F$43,$F71,'Баланс Тр'!$AB$27:$AB$43,"3"),_xlfn.SUMIFS('Баланс Пр'!BJ$27:BJ$165,'Баланс Пр'!$F$27:$F$165,$F71,'Баланс Пр'!$AB$27:$AB$165,"9.1"))</f>
        <v>0</v>
      </c>
      <c r="BL71" s="2280">
        <f>IF($K68="передача тепловой энергии",_xlfn.SUMIFS('Баланс Тр'!BK$27:BK$43,'Баланс Тр'!$F$27:$F$43,$F71,'Баланс Тр'!$AB$27:$AB$43,"3"),_xlfn.SUMIFS('Баланс Пр'!BK$27:BK$165,'Баланс Пр'!$F$27:$F$165,$F71,'Баланс Пр'!$AB$27:$AB$165,"9.1"))</f>
        <v>0</v>
      </c>
      <c r="BM71" s="2280">
        <f>IF($K68="передача тепловой энергии",_xlfn.SUMIFS('Баланс Тр'!BL$27:BL$43,'Баланс Тр'!$F$27:$F$43,$F71,'Баланс Тр'!$AB$27:$AB$43,"3"),_xlfn.SUMIFS('Баланс Пр'!BL$27:BL$165,'Баланс Пр'!$F$27:$F$165,$F71,'Баланс Пр'!$AB$27:$AB$165,"9.1"))</f>
        <v>0</v>
      </c>
      <c r="BN71" s="2280">
        <f>IF($K68="передача тепловой энергии",_xlfn.SUMIFS('Баланс Тр'!BM$27:BM$43,'Баланс Тр'!$F$27:$F$43,$F71,'Баланс Тр'!$AB$27:$AB$43,"3"),_xlfn.SUMIFS('Баланс Пр'!BM$27:BM$165,'Баланс Пр'!$F$27:$F$165,$F71,'Баланс Пр'!$AB$27:$AB$165,"9.1"))</f>
        <v>0</v>
      </c>
      <c r="BO71" s="2280">
        <f>IF($K68="передача тепловой энергии",_xlfn.SUMIFS('Баланс Тр'!BN$27:BN$43,'Баланс Тр'!$F$27:$F$43,$F71,'Баланс Тр'!$AB$27:$AB$43,"3"),_xlfn.SUMIFS('Баланс Пр'!BN$27:BN$165,'Баланс Пр'!$F$27:$F$165,$F71,'Баланс Пр'!$AB$27:$AB$165,"9.1"))</f>
        <v>0</v>
      </c>
      <c r="BP71" s="2280">
        <f>IF($K68="передача тепловой энергии",_xlfn.SUMIFS('Баланс Тр'!BO$27:BO$43,'Баланс Тр'!$F$27:$F$43,$F71,'Баланс Тр'!$AB$27:$AB$43,"3"),_xlfn.SUMIFS('Баланс Пр'!BO$27:BO$165,'Баланс Пр'!$F$27:$F$165,$F71,'Баланс Пр'!$AB$27:$AB$165,"9.1"))</f>
        <v>0</v>
      </c>
      <c r="BQ71" s="2280">
        <f>IF($K68="передача тепловой энергии",_xlfn.SUMIFS('Баланс Тр'!BP$27:BP$43,'Баланс Тр'!$F$27:$F$43,$F71,'Баланс Тр'!$AB$27:$AB$43,"3"),_xlfn.SUMIFS('Баланс Пр'!BP$27:BP$165,'Баланс Пр'!$F$27:$F$165,$F71,'Баланс Пр'!$AB$27:$AB$165,"9.1"))</f>
        <v>0</v>
      </c>
      <c r="BR71" s="2280">
        <f>IF($K68="передача тепловой энергии",_xlfn.SUMIFS('Баланс Тр'!BQ$27:BQ$43,'Баланс Тр'!$F$27:$F$43,$F71,'Баланс Тр'!$AB$27:$AB$43,"3"),_xlfn.SUMIFS('Баланс Пр'!BQ$27:BQ$165,'Баланс Пр'!$F$27:$F$165,$F71,'Баланс Пр'!$AB$27:$AB$165,"9.1"))</f>
        <v>0</v>
      </c>
      <c r="BS71" s="2280">
        <f>IF($K68="передача тепловой энергии",_xlfn.SUMIFS('Баланс Тр'!BR$27:BR$43,'Баланс Тр'!$F$27:$F$43,$F71,'Баланс Тр'!$AB$27:$AB$43,"3"),_xlfn.SUMIFS('Баланс Пр'!BR$27:BR$165,'Баланс Пр'!$F$27:$F$165,$F71,'Баланс Пр'!$AB$27:$AB$165,"9.1"))</f>
        <v>0</v>
      </c>
      <c r="BT71" s="2280">
        <f>IF($K68="передача тепловой энергии",_xlfn.SUMIFS('Баланс Тр'!BS$27:BS$43,'Баланс Тр'!$F$27:$F$43,$F71,'Баланс Тр'!$AB$27:$AB$43,"3"),_xlfn.SUMIFS('Баланс Пр'!BS$27:BS$165,'Баланс Пр'!$F$27:$F$165,$F71,'Баланс Пр'!$AB$27:$AB$165,"9.1"))</f>
        <v>0</v>
      </c>
      <c r="BU71" s="2280">
        <f>IF($K68="передача тепловой энергии",_xlfn.SUMIFS('Баланс Тр'!BT$27:BT$43,'Баланс Тр'!$F$27:$F$43,$F71,'Баланс Тр'!$AB$27:$AB$43,"3"),_xlfn.SUMIFS('Баланс Пр'!BT$27:BT$165,'Баланс Пр'!$F$27:$F$165,$F71,'Баланс Пр'!$AB$27:$AB$165,"9.1"))</f>
        <v>0</v>
      </c>
      <c r="BV71" s="2280">
        <f>IF($K68="передача тепловой энергии",_xlfn.SUMIFS('Баланс Тр'!BU$27:BU$43,'Баланс Тр'!$F$27:$F$43,$F71,'Баланс Тр'!$AB$27:$AB$43,"3"),_xlfn.SUMIFS('Баланс Пр'!BU$27:BU$165,'Баланс Пр'!$F$27:$F$165,$F71,'Баланс Пр'!$AB$27:$AB$165,"9.1"))</f>
        <v>0</v>
      </c>
      <c r="BW71" s="2280">
        <f>IF($K68="передача тепловой энергии",_xlfn.SUMIFS('Баланс Тр'!BV$27:BV$43,'Баланс Тр'!$F$27:$F$43,$F71,'Баланс Тр'!$AB$27:$AB$43,"3"),_xlfn.SUMIFS('Баланс Пр'!BV$27:BV$165,'Баланс Пр'!$F$27:$F$165,$F71,'Баланс Пр'!$AB$27:$AB$165,"9.1"))</f>
        <v>0</v>
      </c>
      <c r="BX71" s="1897"/>
      <c r="BY71" s="1721"/>
      <c r="BZ71" s="1721"/>
      <c r="CA71" s="489" t="s">
        <v>844</v>
      </c>
      <c r="CB71" s="984"/>
      <c r="CC71" s="984"/>
      <c r="CD71" s="984"/>
      <c r="CE71" s="985"/>
      <c r="CF71" s="985"/>
      <c r="CG71" s="1721"/>
      <c r="CH71" s="1501" cm="1" t="str">
        <f t="array" ref="CH71:CH71">CH70</f>
        <v>ТЭ.42.31656254.0001</v>
      </c>
      <c r="CI71" s="1501" t="s">
        <v>1043</v>
      </c>
      <c r="CJ71" s="1501"/>
      <c r="CK71" s="1501"/>
      <c r="CL71" s="1501"/>
      <c r="CM71" s="1501" t="s">
        <v>449</v>
      </c>
      <c r="CN71" s="1501"/>
      <c r="CO71" s="1501" t="s">
        <v>303</v>
      </c>
      <c r="CP71" s="1501" t="s">
        <v>1051</v>
      </c>
      <c r="CQ71" s="1501" t="s">
        <v>1052</v>
      </c>
      <c r="CR71" s="1721"/>
      <c r="CS71" s="1721"/>
      <c r="CT71" s="1721"/>
      <c r="CU71" s="1721"/>
    </row>
    <row s="1721" customFormat="1" customHeight="1" ht="16.5">
      <c r="A72" s="1721"/>
      <c r="B72" s="1721"/>
      <c r="C72" s="1721"/>
      <c r="D72" s="1721"/>
      <c r="E72" s="284">
        <v>17</v>
      </c>
      <c r="F72" s="175" cm="1" t="str">
        <f t="array" ref="F72:F72">OFFSET(G72,-1,-1)</f>
        <v>1</v>
      </c>
      <c r="G72" s="1721"/>
      <c r="H72" s="1721"/>
      <c r="I72" s="1721"/>
      <c r="J72" s="1721"/>
      <c r="K72" s="1721"/>
      <c r="L72" s="1721"/>
      <c r="M72" s="1721"/>
      <c r="N72" s="1721"/>
      <c r="O72" s="1721"/>
      <c r="P72" s="1721"/>
      <c r="Q72" s="1721"/>
      <c r="R72" s="1721"/>
      <c r="S72" s="1721"/>
      <c r="T72" s="973" cm="1" t="str">
        <f t="array" ref="T72:T72">T71</f>
        <v>true</v>
      </c>
      <c r="U72" s="1721"/>
      <c r="V72" s="1721"/>
      <c r="W72" s="1721"/>
      <c r="X72" s="1721"/>
      <c r="Y72" s="1721"/>
      <c r="Z72" s="1721"/>
      <c r="AA72" s="1721"/>
      <c r="AB72" s="559">
        <v>1.3</v>
      </c>
      <c r="AC72" s="560" t="s">
        <v>1053</v>
      </c>
      <c r="AD72" s="560"/>
      <c r="AE72" s="328" t="s">
        <v>1054</v>
      </c>
      <c r="AF72" s="346">
        <f>IF(AF70=0,0,AF69/AF70)</f>
        <v>6.45196746537701</v>
      </c>
      <c r="AG72" s="346">
        <f>IF(AG70=0,0,AG69/AG70)</f>
        <v>7.01024464831804</v>
      </c>
      <c r="AH72" s="346">
        <f>IF(AH70=0,0,AH69/AH70)</f>
        <v>7.00476055353555</v>
      </c>
      <c r="AI72" s="346">
        <f>IF(AI70=0,0,AI69/AI70)</f>
        <v>6.64431743240273</v>
      </c>
      <c r="AJ72" s="346">
        <f>IF(AJ70=0,0,AJ69/AJ70)</f>
        <v>8.50152905198777</v>
      </c>
      <c r="AK72" s="1859">
        <f>IF(AK70=0,0,AK69/AK70)</f>
        <v>0</v>
      </c>
      <c r="AL72" s="1859">
        <f>IF(AL70=0,0,AL69/AL70)</f>
        <v>0</v>
      </c>
      <c r="AM72" s="1859">
        <f>IF(AM70=0,0,AM69/AM70)</f>
        <v>0</v>
      </c>
      <c r="AN72" s="1859">
        <f>IF(AN70=0,0,AN69/AN70)</f>
        <v>0</v>
      </c>
      <c r="AO72" s="1859">
        <f>IF(AO70=0,0,AO69/AO70)</f>
        <v>0</v>
      </c>
      <c r="AP72" s="1859">
        <f>IF(AP70=0,0,AP69/AP70)</f>
        <v>0</v>
      </c>
      <c r="AQ72" s="1859">
        <f>IF(AQ70=0,0,AQ69/AQ70)</f>
        <v>0</v>
      </c>
      <c r="AR72" s="1859">
        <f>IF(AR70=0,0,AR69/AR70)</f>
        <v>0</v>
      </c>
      <c r="AS72" s="1859">
        <f>IF(AS70=0,0,AS69/AS70)</f>
        <v>0</v>
      </c>
      <c r="AT72" s="1859">
        <f>IF(AT70=0,0,AT69/AT70)</f>
        <v>0</v>
      </c>
      <c r="AU72" s="1859">
        <f>IF(AU70=0,0,AU69/AU70)</f>
        <v>0</v>
      </c>
      <c r="AV72" s="1859">
        <f>IF(AV70=0,0,AV69/AV70)</f>
        <v>0</v>
      </c>
      <c r="AW72" s="1859">
        <f>IF(AW70=0,0,AW69/AW70)</f>
        <v>0</v>
      </c>
      <c r="AX72" s="1859">
        <f>IF(AX70=0,0,AX69/AX70)</f>
        <v>0</v>
      </c>
      <c r="AY72" s="1859">
        <f>IF(AY70=0,0,AY69/AY70)</f>
        <v>0</v>
      </c>
      <c r="AZ72" s="1859">
        <f>IF(AZ70=0,0,AZ69/AZ70)</f>
        <v>0</v>
      </c>
      <c r="BA72" s="1859">
        <f>IF(BA70=0,0,BA69/BA70)</f>
        <v>0</v>
      </c>
      <c r="BB72" s="1859">
        <f>IF(BB70=0,0,BB69/BB70)</f>
        <v>0</v>
      </c>
      <c r="BC72" s="1859">
        <f>IF(BC70=0,0,BC69/BC70)</f>
        <v>0</v>
      </c>
      <c r="BD72" s="346">
        <f>IF(BD70=0,0,BD69/BD70)</f>
        <v>8.84942</v>
      </c>
      <c r="BE72" s="1859">
        <f>IF(BE70=0,0,BE69/BE70)</f>
        <v>0</v>
      </c>
      <c r="BF72" s="1859">
        <f>IF(BF70=0,0,BF69/BF70)</f>
        <v>0</v>
      </c>
      <c r="BG72" s="1859">
        <f>IF(BG70=0,0,BG69/BG70)</f>
        <v>0</v>
      </c>
      <c r="BH72" s="1859">
        <f>IF(BH70=0,0,BH69/BH70)</f>
        <v>0</v>
      </c>
      <c r="BI72" s="1859">
        <f>IF(BI70=0,0,BI69/BI70)</f>
        <v>0</v>
      </c>
      <c r="BJ72" s="1859">
        <f>IF(BJ70=0,0,BJ69/BJ70)</f>
        <v>0</v>
      </c>
      <c r="BK72" s="1859">
        <f>IF(BK70=0,0,BK69/BK70)</f>
        <v>0</v>
      </c>
      <c r="BL72" s="1859">
        <f>IF(BL70=0,0,BL69/BL70)</f>
        <v>0</v>
      </c>
      <c r="BM72" s="1859">
        <f>IF(BM70=0,0,BM69/BM70)</f>
        <v>0</v>
      </c>
      <c r="BN72" s="1859">
        <f>IF(BN70=0,0,BN69/BN70)</f>
        <v>0</v>
      </c>
      <c r="BO72" s="1859">
        <f>IF(BO70=0,0,BO69/BO70)</f>
        <v>0</v>
      </c>
      <c r="BP72" s="1859">
        <f>IF(BP70=0,0,BP69/BP70)</f>
        <v>0</v>
      </c>
      <c r="BQ72" s="1859">
        <f>IF(BQ70=0,0,BQ69/BQ70)</f>
        <v>0</v>
      </c>
      <c r="BR72" s="1859">
        <f>IF(BR70=0,0,BR69/BR70)</f>
        <v>0</v>
      </c>
      <c r="BS72" s="1859">
        <f>IF(BS70=0,0,BS69/BS70)</f>
        <v>0</v>
      </c>
      <c r="BT72" s="1859">
        <f>IF(BT70=0,0,BT69/BT70)</f>
        <v>0</v>
      </c>
      <c r="BU72" s="1859">
        <f>IF(BU70=0,0,BU69/BU70)</f>
        <v>0</v>
      </c>
      <c r="BV72" s="1859">
        <f>IF(BV70=0,0,BV69/BV70)</f>
        <v>0</v>
      </c>
      <c r="BW72" s="1859">
        <f>IF(BW70=0,0,BW69/BW70)</f>
        <v>0</v>
      </c>
      <c r="BX72" s="1897"/>
      <c r="BY72" s="1721"/>
      <c r="BZ72" s="1721"/>
      <c r="CA72" s="489" t="s">
        <v>1055</v>
      </c>
      <c r="CB72" s="984"/>
      <c r="CC72" s="984"/>
      <c r="CD72" s="984"/>
      <c r="CE72" s="985"/>
      <c r="CF72" s="985"/>
      <c r="CG72" s="1721"/>
      <c r="CH72" s="1501" cm="1" t="str">
        <f t="array" ref="CH72:CH72">CH71</f>
        <v>ТЭ.42.31656254.0001</v>
      </c>
      <c r="CI72" s="1501" t="s">
        <v>1043</v>
      </c>
      <c r="CJ72" s="1501"/>
      <c r="CK72" s="1501"/>
      <c r="CL72" s="1501"/>
      <c r="CM72" s="1501" t="s">
        <v>883</v>
      </c>
      <c r="CN72" s="1501"/>
      <c r="CO72" s="1501" t="s">
        <v>303</v>
      </c>
      <c r="CP72" s="1501" t="s">
        <v>1056</v>
      </c>
      <c r="CQ72" s="1501" t="s">
        <v>1057</v>
      </c>
      <c r="CR72" s="1721"/>
      <c r="CS72" s="1721"/>
      <c r="CT72" s="1721"/>
      <c r="CU72" s="1721"/>
    </row>
    <row s="1721" customFormat="1" customHeight="1" ht="16.5">
      <c r="A73" s="1721"/>
      <c r="B73" s="1721"/>
      <c r="C73" s="1721"/>
      <c r="D73" s="1721"/>
      <c r="E73" s="284">
        <v>17</v>
      </c>
      <c r="F73" s="175" cm="1" t="str">
        <f t="array" ref="F73:F73">OFFSET(G73,-1,-1)</f>
        <v>1</v>
      </c>
      <c r="G73" s="1721"/>
      <c r="H73" s="1721"/>
      <c r="I73" s="1721"/>
      <c r="J73" s="1721"/>
      <c r="K73" s="1721"/>
      <c r="L73" s="1721"/>
      <c r="M73" s="1721"/>
      <c r="N73" s="1721"/>
      <c r="O73" s="1721"/>
      <c r="P73" s="1721"/>
      <c r="Q73" s="1721"/>
      <c r="R73" s="1721"/>
      <c r="S73" s="1721"/>
      <c r="T73" s="973" cm="1" t="str">
        <f t="array" ref="T73:T73">T72</f>
        <v>true</v>
      </c>
      <c r="U73" s="1721"/>
      <c r="V73" s="1721"/>
      <c r="W73" s="1721"/>
      <c r="X73" s="1721"/>
      <c r="Y73" s="1721"/>
      <c r="Z73" s="1721"/>
      <c r="AA73" s="1721"/>
      <c r="AB73" s="559">
        <v>1.4</v>
      </c>
      <c r="AC73" s="560" t="s">
        <v>1058</v>
      </c>
      <c r="AD73" s="560"/>
      <c r="AE73" s="328" t="s">
        <v>826</v>
      </c>
      <c r="AF73" s="562">
        <f>IF(AF71=0,0,AF70/AF71)*1000</f>
        <v>41.5149441022131</v>
      </c>
      <c r="AG73" s="562">
        <f>IF(AG71=0,0,AG70/AG71)*1000</f>
        <v>70.5197325857235</v>
      </c>
      <c r="AH73" s="562">
        <f>IF(AH71=0,0,AH70/AH71)*1000</f>
        <v>41.5149441022131</v>
      </c>
      <c r="AI73" s="562">
        <f>IF(AI71=0,0,AI70/AI71)*1000</f>
        <v>38.9552558338685</v>
      </c>
      <c r="AJ73" s="562">
        <f>IF(AJ71=0,0,AJ70/AJ71)*1000</f>
        <v>70.5197325857235</v>
      </c>
      <c r="AK73" s="2282">
        <f>IF(AK71=0,0,AK70/AK71)*1000</f>
        <v>0</v>
      </c>
      <c r="AL73" s="2282">
        <f>IF(AL71=0,0,AL70/AL71)*1000</f>
        <v>0</v>
      </c>
      <c r="AM73" s="2282">
        <f>IF(AM71=0,0,AM70/AM71)*1000</f>
        <v>0</v>
      </c>
      <c r="AN73" s="2282">
        <f>IF(AN71=0,0,AN70/AN71)*1000</f>
        <v>0</v>
      </c>
      <c r="AO73" s="2282">
        <f>IF(AO71=0,0,AO70/AO71)*1000</f>
        <v>0</v>
      </c>
      <c r="AP73" s="2282">
        <f>IF(AP71=0,0,AP70/AP71)*1000</f>
        <v>0</v>
      </c>
      <c r="AQ73" s="2282">
        <f>IF(AQ71=0,0,AQ70/AQ71)*1000</f>
        <v>0</v>
      </c>
      <c r="AR73" s="2282">
        <f>IF(AR71=0,0,AR70/AR71)*1000</f>
        <v>0</v>
      </c>
      <c r="AS73" s="2282">
        <f>IF(AS71=0,0,AS70/AS71)*1000</f>
        <v>0</v>
      </c>
      <c r="AT73" s="2282">
        <f>IF(AT71=0,0,AT70/AT71)*1000</f>
        <v>0</v>
      </c>
      <c r="AU73" s="2282">
        <f>IF(AU71=0,0,AU70/AU71)*1000</f>
        <v>0</v>
      </c>
      <c r="AV73" s="2282">
        <f>IF(AV71=0,0,AV70/AV71)*1000</f>
        <v>0</v>
      </c>
      <c r="AW73" s="2282">
        <f>IF(AW71=0,0,AW70/AW71)*1000</f>
        <v>0</v>
      </c>
      <c r="AX73" s="2282">
        <f>IF(AX71=0,0,AX70/AX71)*1000</f>
        <v>0</v>
      </c>
      <c r="AY73" s="2282">
        <f>IF(AY71=0,0,AY70/AY71)*1000</f>
        <v>0</v>
      </c>
      <c r="AZ73" s="2282">
        <f>IF(AZ71=0,0,AZ70/AZ71)*1000</f>
        <v>0</v>
      </c>
      <c r="BA73" s="2282">
        <f>IF(BA71=0,0,BA70/BA71)*1000</f>
        <v>0</v>
      </c>
      <c r="BB73" s="2282">
        <f>IF(BB71=0,0,BB70/BB71)*1000</f>
        <v>0</v>
      </c>
      <c r="BC73" s="2282">
        <f>IF(BC71=0,0,BC70/BC71)*1000</f>
        <v>0</v>
      </c>
      <c r="BD73" s="562">
        <f>IF(BD71=0,0,BD70/BD71)*1000</f>
        <v>39.2408885054992</v>
      </c>
      <c r="BE73" s="2282">
        <f>IF(BE71=0,0,BE70/BE71)*1000</f>
        <v>0</v>
      </c>
      <c r="BF73" s="2282">
        <f>IF(BF71=0,0,BF70/BF71)*1000</f>
        <v>0</v>
      </c>
      <c r="BG73" s="2282">
        <f>IF(BG71=0,0,BG70/BG71)*1000</f>
        <v>0</v>
      </c>
      <c r="BH73" s="2282">
        <f>IF(BH71=0,0,BH70/BH71)*1000</f>
        <v>0</v>
      </c>
      <c r="BI73" s="2282">
        <f>IF(BI71=0,0,BI70/BI71)*1000</f>
        <v>0</v>
      </c>
      <c r="BJ73" s="2282">
        <f>IF(BJ71=0,0,BJ70/BJ71)*1000</f>
        <v>0</v>
      </c>
      <c r="BK73" s="2282">
        <f>IF(BK71=0,0,BK70/BK71)*1000</f>
        <v>0</v>
      </c>
      <c r="BL73" s="2282">
        <f>IF(BL71=0,0,BL70/BL71)*1000</f>
        <v>0</v>
      </c>
      <c r="BM73" s="2282">
        <f>IF(BM71=0,0,BM70/BM71)*1000</f>
        <v>0</v>
      </c>
      <c r="BN73" s="2282">
        <f>IF(BN71=0,0,BN70/BN71)*1000</f>
        <v>0</v>
      </c>
      <c r="BO73" s="2282">
        <f>IF(BO71=0,0,BO70/BO71)*1000</f>
        <v>0</v>
      </c>
      <c r="BP73" s="2282">
        <f>IF(BP71=0,0,BP70/BP71)*1000</f>
        <v>0</v>
      </c>
      <c r="BQ73" s="2282">
        <f>IF(BQ71=0,0,BQ70/BQ71)*1000</f>
        <v>0</v>
      </c>
      <c r="BR73" s="2282">
        <f>IF(BR71=0,0,BR70/BR71)*1000</f>
        <v>0</v>
      </c>
      <c r="BS73" s="2282">
        <f>IF(BS71=0,0,BS70/BS71)*1000</f>
        <v>0</v>
      </c>
      <c r="BT73" s="2282">
        <f>IF(BT71=0,0,BT70/BT71)*1000</f>
        <v>0</v>
      </c>
      <c r="BU73" s="2282">
        <f>IF(BU71=0,0,BU70/BU71)*1000</f>
        <v>0</v>
      </c>
      <c r="BV73" s="2282">
        <f>IF(BV71=0,0,BV70/BV71)*1000</f>
        <v>0</v>
      </c>
      <c r="BW73" s="2282">
        <f>IF(BW71=0,0,BW70/BW71)*1000</f>
        <v>0</v>
      </c>
      <c r="BX73" s="1897"/>
      <c r="BY73" s="1721"/>
      <c r="BZ73" s="1721"/>
      <c r="CA73" s="489" t="s">
        <v>812</v>
      </c>
      <c r="CB73" s="984"/>
      <c r="CC73" s="984"/>
      <c r="CD73" s="984"/>
      <c r="CE73" s="985"/>
      <c r="CF73" s="985"/>
      <c r="CG73" s="1721"/>
      <c r="CH73" s="1501" cm="1" t="str">
        <f t="array" ref="CH73:CH73">CH72</f>
        <v>ТЭ.42.31656254.0001</v>
      </c>
      <c r="CI73" s="1501" t="s">
        <v>1043</v>
      </c>
      <c r="CJ73" s="1501"/>
      <c r="CK73" s="1501"/>
      <c r="CL73" s="1501"/>
      <c r="CM73" s="1501" t="s">
        <v>886</v>
      </c>
      <c r="CN73" s="1501"/>
      <c r="CO73" s="1501" t="s">
        <v>303</v>
      </c>
      <c r="CP73" s="1501" t="s">
        <v>828</v>
      </c>
      <c r="CQ73" s="1501" t="s">
        <v>829</v>
      </c>
      <c r="CR73" s="1721"/>
      <c r="CS73" s="1721"/>
      <c r="CT73" s="1721"/>
      <c r="CU73" s="1721"/>
    </row>
    <row s="1721" customFormat="1" customHeight="1" ht="16.5">
      <c r="A74" s="1721"/>
      <c r="B74" s="1721"/>
      <c r="C74" s="1721"/>
      <c r="D74" s="1721"/>
      <c r="E74" s="284">
        <v>17</v>
      </c>
      <c r="F74" s="175" cm="1" t="str">
        <f t="array" ref="F74:F74">OFFSET(G74,-1,-1)</f>
        <v>1</v>
      </c>
      <c r="G74" s="1721"/>
      <c r="H74" s="1721"/>
      <c r="I74" s="1721"/>
      <c r="J74" s="1721"/>
      <c r="K74" s="1721"/>
      <c r="L74" s="1721"/>
      <c r="M74" s="1721"/>
      <c r="N74" s="1721"/>
      <c r="O74" s="1721"/>
      <c r="P74" s="1721"/>
      <c r="Q74" s="1721"/>
      <c r="R74" s="1721"/>
      <c r="S74" s="982"/>
      <c r="T74" s="973" cm="1" t="str">
        <f t="array" ref="T74:T74">T73</f>
        <v>true</v>
      </c>
      <c r="U74" s="1721"/>
      <c r="V74" s="1721"/>
      <c r="W74" s="1721"/>
      <c r="X74" s="1721"/>
      <c r="Y74" s="1721"/>
      <c r="Z74" s="1721"/>
      <c r="AA74" s="1721"/>
      <c r="AB74" s="564"/>
      <c r="AC74" s="282" t="s">
        <v>1059</v>
      </c>
      <c r="AD74" s="282"/>
      <c r="AE74" s="283"/>
      <c r="AF74" s="565"/>
      <c r="AG74" s="565"/>
      <c r="AH74" s="565"/>
      <c r="AI74" s="565"/>
      <c r="AJ74" s="565"/>
      <c r="AK74" s="565"/>
      <c r="AL74" s="565"/>
      <c r="AM74" s="565"/>
      <c r="AN74" s="565"/>
      <c r="AO74" s="565"/>
      <c r="AP74" s="565"/>
      <c r="AQ74" s="565"/>
      <c r="AR74" s="565"/>
      <c r="AS74" s="565"/>
      <c r="AT74" s="565"/>
      <c r="AU74" s="565"/>
      <c r="AV74" s="565"/>
      <c r="AW74" s="565"/>
      <c r="AX74" s="565"/>
      <c r="AY74" s="565"/>
      <c r="AZ74" s="565"/>
      <c r="BA74" s="565"/>
      <c r="BB74" s="565"/>
      <c r="BC74" s="565"/>
      <c r="BD74" s="565"/>
      <c r="BE74" s="565"/>
      <c r="BF74" s="565"/>
      <c r="BG74" s="565"/>
      <c r="BH74" s="565"/>
      <c r="BI74" s="565"/>
      <c r="BJ74" s="565"/>
      <c r="BK74" s="565"/>
      <c r="BL74" s="565"/>
      <c r="BM74" s="565"/>
      <c r="BN74" s="565"/>
      <c r="BO74" s="565"/>
      <c r="BP74" s="565"/>
      <c r="BQ74" s="565"/>
      <c r="BR74" s="565"/>
      <c r="BS74" s="565"/>
      <c r="BT74" s="565"/>
      <c r="BU74" s="565"/>
      <c r="BV74" s="565"/>
      <c r="BW74" s="565"/>
      <c r="BX74" s="566"/>
      <c r="BY74" s="1721"/>
      <c r="BZ74" s="1721"/>
      <c r="CA74" s="489"/>
      <c r="CB74" s="984"/>
      <c r="CC74" s="984"/>
      <c r="CD74" s="984"/>
      <c r="CE74" s="985"/>
      <c r="CF74" s="985"/>
      <c r="CG74" s="1721"/>
      <c r="CH74" s="1502" cm="1" t="str">
        <f t="array" ref="CH74:CH74">OFFSET(CI74,-1,-1)</f>
        <v>ТЭ.42.31656254.0001</v>
      </c>
      <c r="CI74" s="1501"/>
      <c r="CJ74" s="1501"/>
      <c r="CK74" s="1501"/>
      <c r="CL74" s="1501"/>
      <c r="CM74" s="1501"/>
      <c r="CN74" s="1501"/>
      <c r="CO74" s="1501"/>
      <c r="CP74" s="1501"/>
      <c r="CQ74" s="1501"/>
      <c r="CR74" s="1721"/>
      <c r="CS74" s="1721"/>
      <c r="CT74" s="1721"/>
      <c r="CU74" s="1721"/>
    </row>
    <row s="1721" customFormat="1" customHeight="1" ht="16.5" hidden="1">
      <c r="A75" s="978" t="str">
        <f>"checkCosts_1."&amp;F75&amp;"."&amp;Y75</f>
        <v>checkCosts_1.1.0</v>
      </c>
      <c r="E75" s="284">
        <v>17</v>
      </c>
      <c r="F75" s="175" cm="1" t="str">
        <f t="array" ref="F75:F75">OFFSET(G75,-1,-1)</f>
        <v>1</v>
      </c>
      <c r="H75" s="193" cm="1" t="str">
        <f t="array" ref="H75:H75">AC75</f>
        <v>0</v>
      </c>
      <c r="I75" s="308" t="s">
        <v>1040</v>
      </c>
      <c r="S75" s="982"/>
      <c r="T75" s="973">
        <f>AND(F75&gt;0,Y75&gt;0)</f>
        <v>0</v>
      </c>
      <c r="W75" s="176" t="s">
        <v>189</v>
      </c>
      <c r="Y75" s="176">
        <v>0</v>
      </c>
      <c r="AA75" s="1532" t="s">
        <v>171</v>
      </c>
      <c r="AB75" s="559" t="str">
        <f>"1.5."&amp;Y75</f>
        <v>1.5.0</v>
      </c>
      <c r="AC75" s="102"/>
      <c r="AD75" s="2276"/>
      <c r="AE75" s="551" t="s">
        <v>917</v>
      </c>
      <c r="AF75" s="68">
        <f>AF76*AF77</f>
        <v>0</v>
      </c>
      <c r="AG75" s="68"/>
      <c r="AH75" s="68"/>
      <c r="AI75" s="68">
        <f>AI76*AI77</f>
        <v>0</v>
      </c>
      <c r="AJ75" s="340"/>
      <c r="AK75" s="68"/>
      <c r="AL75" s="68"/>
      <c r="AM75" s="68"/>
      <c r="AN75" s="68"/>
      <c r="AO75" s="68"/>
      <c r="AP75" s="68"/>
      <c r="AQ75" s="68"/>
      <c r="AR75" s="68"/>
      <c r="AS75" s="68"/>
      <c r="AT75" s="68"/>
      <c r="AU75" s="68"/>
      <c r="AV75" s="68"/>
      <c r="AW75" s="68"/>
      <c r="AX75" s="68"/>
      <c r="AY75" s="68"/>
      <c r="AZ75" s="68"/>
      <c r="BA75" s="68"/>
      <c r="BB75" s="68"/>
      <c r="BC75" s="68"/>
      <c r="BD75" s="340">
        <f>BD76*BD77</f>
        <v>0</v>
      </c>
      <c r="BE75" s="68">
        <f>BE76*BE77</f>
        <v>0</v>
      </c>
      <c r="BF75" s="68">
        <f>BF76*BF77</f>
        <v>0</v>
      </c>
      <c r="BG75" s="68">
        <f>BG76*BG77</f>
        <v>0</v>
      </c>
      <c r="BH75" s="68">
        <f>BH76*BH77</f>
        <v>0</v>
      </c>
      <c r="BI75" s="68">
        <f>BI76*BI77</f>
        <v>0</v>
      </c>
      <c r="BJ75" s="68">
        <f>BJ76*BJ77</f>
        <v>0</v>
      </c>
      <c r="BK75" s="68">
        <f>BK76*BK77</f>
        <v>0</v>
      </c>
      <c r="BL75" s="68">
        <f>BL76*BL77</f>
        <v>0</v>
      </c>
      <c r="BM75" s="68">
        <f>BM76*BM77</f>
        <v>0</v>
      </c>
      <c r="BN75" s="68">
        <f>BN76*BN77</f>
        <v>0</v>
      </c>
      <c r="BO75" s="68">
        <f>BO76*BO77</f>
        <v>0</v>
      </c>
      <c r="BP75" s="68">
        <f>BP76*BP77</f>
        <v>0</v>
      </c>
      <c r="BQ75" s="68">
        <f>BQ76*BQ77</f>
        <v>0</v>
      </c>
      <c r="BR75" s="68">
        <f>BR76*BR77</f>
        <v>0</v>
      </c>
      <c r="BS75" s="68">
        <f>BS76*BS77</f>
        <v>0</v>
      </c>
      <c r="BT75" s="68">
        <f>BT76*BT77</f>
        <v>0</v>
      </c>
      <c r="BU75" s="68">
        <f>BU76*BU77</f>
        <v>0</v>
      </c>
      <c r="BV75" s="68">
        <f>BV76*BV77</f>
        <v>0</v>
      </c>
      <c r="BW75" s="68">
        <f>BW76*BW77</f>
        <v>0</v>
      </c>
      <c r="BX75" s="83"/>
      <c r="CA75" s="489" t="s">
        <v>1060</v>
      </c>
      <c r="CB75" s="984" t="s">
        <v>1061</v>
      </c>
      <c r="CC75" s="984" cm="1" t="str">
        <f t="array" ref="CC75:CC75">AC75</f>
        <v>0</v>
      </c>
      <c r="CD75" s="984" cm="1" t="str">
        <f t="array" ref="CD75:CD75">AD75</f>
        <v>0</v>
      </c>
      <c r="CE75" s="985"/>
      <c r="CF75" s="985" t="b">
        <v>1</v>
      </c>
      <c r="CH75" s="1502" cm="1" t="str">
        <f t="array" ref="CH75:CH75">OFFSET(CI75,-1,-1)</f>
        <v>ТЭ.42.31656254.0001</v>
      </c>
      <c r="CI75" s="1501" t="s">
        <v>1043</v>
      </c>
      <c r="CJ75" s="1501" t="s">
        <v>1062</v>
      </c>
      <c r="CK75" s="1501"/>
      <c r="CL75" s="1501"/>
      <c r="CM75" s="1501" t="s">
        <v>219</v>
      </c>
      <c r="CN75" s="1501" cm="1" t="str">
        <f t="array" ref="CN75:CN75">$AC75</f>
        <v>0</v>
      </c>
      <c r="CO75" s="1501" t="s">
        <v>303</v>
      </c>
      <c r="CP75" s="1501" t="s">
        <v>919</v>
      </c>
      <c r="CQ75" s="1501" t="s">
        <v>920</v>
      </c>
    </row>
    <row s="1721" customFormat="1" customHeight="1" ht="16.5" hidden="1">
      <c r="E76" s="284">
        <v>17</v>
      </c>
      <c r="F76" s="175" cm="1" t="str">
        <f t="array" ref="F76:F76">OFFSET(G76,-1,-1)</f>
        <v>1</v>
      </c>
      <c r="H76" s="193" cm="1" t="str">
        <f t="array" ref="H76:H76">H75</f>
        <v>0</v>
      </c>
      <c r="S76" s="982"/>
      <c r="T76" s="973" cm="1" t="str">
        <f t="array" ref="T76:T76">T75</f>
        <v>false</v>
      </c>
      <c r="AA76" s="1533"/>
      <c r="AB76" s="569" t="str">
        <f>AB75&amp;".1"</f>
        <v>1.5.0.1</v>
      </c>
      <c r="AC76" s="570" t="s">
        <v>1063</v>
      </c>
      <c r="AD76" s="570"/>
      <c r="AE76" s="330" t="s">
        <v>1064</v>
      </c>
      <c r="AF76" s="104"/>
      <c r="AG76" s="572">
        <f>IF(AG77=0,0,AG75/AG77)</f>
        <v>0</v>
      </c>
      <c r="AH76" s="572">
        <f>IF(AH77=0,0,AH75/AH77)</f>
        <v>0</v>
      </c>
      <c r="AI76" s="104"/>
      <c r="AJ76" s="572">
        <f>IF(AJ77=0,0,AJ75/AJ77)</f>
        <v>0</v>
      </c>
      <c r="AK76" s="572">
        <f>IF(AK77=0,0,AK75/AK77)</f>
        <v>0</v>
      </c>
      <c r="AL76" s="572">
        <f>IF(AL77=0,0,AL75/AL77)</f>
        <v>0</v>
      </c>
      <c r="AM76" s="572">
        <f>IF(AM77=0,0,AM75/AM77)</f>
        <v>0</v>
      </c>
      <c r="AN76" s="572">
        <f>IF(AN77=0,0,AN75/AN77)</f>
        <v>0</v>
      </c>
      <c r="AO76" s="572">
        <f>IF(AO77=0,0,AO75/AO77)</f>
        <v>0</v>
      </c>
      <c r="AP76" s="572">
        <f>IF(AP77=0,0,AP75/AP77)</f>
        <v>0</v>
      </c>
      <c r="AQ76" s="572">
        <f>IF(AQ77=0,0,AQ75/AQ77)</f>
        <v>0</v>
      </c>
      <c r="AR76" s="572">
        <f>IF(AR77=0,0,AR75/AR77)</f>
        <v>0</v>
      </c>
      <c r="AS76" s="572">
        <f>IF(AS77=0,0,AS75/AS77)</f>
        <v>0</v>
      </c>
      <c r="AT76" s="572">
        <f>IF(AT77=0,0,AT75/AT77)</f>
        <v>0</v>
      </c>
      <c r="AU76" s="572">
        <f>IF(AU77=0,0,AU75/AU77)</f>
        <v>0</v>
      </c>
      <c r="AV76" s="572">
        <f>IF(AV77=0,0,AV75/AV77)</f>
        <v>0</v>
      </c>
      <c r="AW76" s="572">
        <f>IF(AW77=0,0,AW75/AW77)</f>
        <v>0</v>
      </c>
      <c r="AX76" s="572">
        <f>IF(AX77=0,0,AX75/AX77)</f>
        <v>0</v>
      </c>
      <c r="AY76" s="572">
        <f>IF(AY77=0,0,AY75/AY77)</f>
        <v>0</v>
      </c>
      <c r="AZ76" s="572">
        <f>IF(AZ77=0,0,AZ75/AZ77)</f>
        <v>0</v>
      </c>
      <c r="BA76" s="572">
        <f>IF(BA77=0,0,BA75/BA77)</f>
        <v>0</v>
      </c>
      <c r="BB76" s="572">
        <f>IF(BB77=0,0,BB75/BB77)</f>
        <v>0</v>
      </c>
      <c r="BC76" s="572">
        <f>IF(BC77=0,0,BC75/BC77)</f>
        <v>0</v>
      </c>
      <c r="BD76" s="571"/>
      <c r="BE76" s="104"/>
      <c r="BF76" s="104"/>
      <c r="BG76" s="104"/>
      <c r="BH76" s="104"/>
      <c r="BI76" s="104"/>
      <c r="BJ76" s="104"/>
      <c r="BK76" s="104"/>
      <c r="BL76" s="104"/>
      <c r="BM76" s="104"/>
      <c r="BN76" s="104"/>
      <c r="BO76" s="104"/>
      <c r="BP76" s="104"/>
      <c r="BQ76" s="104"/>
      <c r="BR76" s="104"/>
      <c r="BS76" s="104"/>
      <c r="BT76" s="104"/>
      <c r="BU76" s="104"/>
      <c r="BV76" s="104"/>
      <c r="BW76" s="104"/>
      <c r="BX76" s="84"/>
      <c r="CA76" s="489" t="s">
        <v>1065</v>
      </c>
      <c r="CB76" s="984" t="s">
        <v>1061</v>
      </c>
      <c r="CC76" s="984" cm="1" t="str">
        <f t="array" ref="CC76:CC76">CC75</f>
        <v>0</v>
      </c>
      <c r="CD76" s="984" cm="1" t="str">
        <f t="array" ref="CD76:CD76">CD75</f>
        <v>0</v>
      </c>
      <c r="CE76" s="985"/>
      <c r="CF76" s="985"/>
      <c r="CH76" s="1501" cm="1" t="str">
        <f t="array" ref="CH76:CH76">CH75</f>
        <v>ТЭ.42.31656254.0001</v>
      </c>
      <c r="CI76" s="1501" t="s">
        <v>1043</v>
      </c>
      <c r="CJ76" s="1501" t="s">
        <v>1062</v>
      </c>
      <c r="CK76" s="1501"/>
      <c r="CL76" s="1501"/>
      <c r="CM76" s="1501" t="s">
        <v>255</v>
      </c>
      <c r="CN76" s="1501" cm="1" t="str">
        <f t="array" ref="CN76:CN76">CN75</f>
        <v>0</v>
      </c>
      <c r="CO76" s="1501" t="s">
        <v>303</v>
      </c>
      <c r="CP76" s="1501" t="s">
        <v>1066</v>
      </c>
      <c r="CQ76" s="1501" t="s">
        <v>1067</v>
      </c>
    </row>
    <row s="1721" customFormat="1" customHeight="1" ht="16.5" hidden="1">
      <c r="A77" s="978" t="str">
        <f>"checkVolume_1."&amp;F77&amp;"."&amp;Y75</f>
        <v>checkVolume_1.1.0</v>
      </c>
      <c r="E77" s="284">
        <v>17</v>
      </c>
      <c r="F77" s="175" cm="1" t="str">
        <f t="array" ref="F77:F77">OFFSET(G77,-1,-1)</f>
        <v>1</v>
      </c>
      <c r="H77" s="193" cm="1" t="str">
        <f t="array" ref="H77:H77">H75</f>
        <v>0</v>
      </c>
      <c r="S77" s="982"/>
      <c r="T77" s="973" cm="1" t="str">
        <f t="array" ref="T77:T77">T75</f>
        <v>false</v>
      </c>
      <c r="AA77" s="1533"/>
      <c r="AB77" s="569" t="str">
        <f>AB75&amp;".2"</f>
        <v>1.5.0.2</v>
      </c>
      <c r="AC77" s="570" t="s">
        <v>1068</v>
      </c>
      <c r="AD77" s="570"/>
      <c r="AE77" s="330" t="s">
        <v>807</v>
      </c>
      <c r="AF77" s="104"/>
      <c r="AG77" s="104"/>
      <c r="AH77" s="104"/>
      <c r="AI77" s="104"/>
      <c r="AJ77" s="571"/>
      <c r="AK77" s="104"/>
      <c r="AL77" s="104"/>
      <c r="AM77" s="104"/>
      <c r="AN77" s="104"/>
      <c r="AO77" s="104"/>
      <c r="AP77" s="104"/>
      <c r="AQ77" s="104"/>
      <c r="AR77" s="104"/>
      <c r="AS77" s="104"/>
      <c r="AT77" s="104"/>
      <c r="AU77" s="104"/>
      <c r="AV77" s="104"/>
      <c r="AW77" s="104"/>
      <c r="AX77" s="104"/>
      <c r="AY77" s="104"/>
      <c r="AZ77" s="104"/>
      <c r="BA77" s="104"/>
      <c r="BB77" s="104"/>
      <c r="BC77" s="104"/>
      <c r="BD77" s="571"/>
      <c r="BE77" s="104"/>
      <c r="BF77" s="104"/>
      <c r="BG77" s="104"/>
      <c r="BH77" s="104"/>
      <c r="BI77" s="104"/>
      <c r="BJ77" s="104"/>
      <c r="BK77" s="104"/>
      <c r="BL77" s="104"/>
      <c r="BM77" s="104"/>
      <c r="BN77" s="104"/>
      <c r="BO77" s="104"/>
      <c r="BP77" s="104"/>
      <c r="BQ77" s="104"/>
      <c r="BR77" s="104"/>
      <c r="BS77" s="104"/>
      <c r="BT77" s="104"/>
      <c r="BU77" s="104"/>
      <c r="BV77" s="104"/>
      <c r="BW77" s="104"/>
      <c r="BX77" s="84"/>
      <c r="CA77" s="489" t="s">
        <v>1069</v>
      </c>
      <c r="CB77" s="984" t="s">
        <v>1061</v>
      </c>
      <c r="CC77" s="984" cm="1" t="str">
        <f t="array" ref="CC77:CC77">CC75</f>
        <v>0</v>
      </c>
      <c r="CD77" s="984" cm="1" t="str">
        <f t="array" ref="CD77:CD77">CD76</f>
        <v>0</v>
      </c>
      <c r="CE77" s="985"/>
      <c r="CF77" s="985"/>
      <c r="CH77" s="1501" cm="1" t="str">
        <f t="array" ref="CH77:CH77">CH76</f>
        <v>ТЭ.42.31656254.0001</v>
      </c>
      <c r="CI77" s="1501" t="s">
        <v>1043</v>
      </c>
      <c r="CJ77" s="1501" t="s">
        <v>1062</v>
      </c>
      <c r="CK77" s="1501"/>
      <c r="CL77" s="1501"/>
      <c r="CM77" s="1501" t="s">
        <v>449</v>
      </c>
      <c r="CN77" s="1501" cm="1" t="str">
        <f t="array" ref="CN77:CN77">CN76</f>
        <v>0</v>
      </c>
      <c r="CO77" s="1501" t="s">
        <v>303</v>
      </c>
      <c r="CP77" s="1501" t="s">
        <v>1048</v>
      </c>
      <c r="CQ77" s="1501" t="s">
        <v>1049</v>
      </c>
    </row>
    <row s="1721" customFormat="1" customHeight="1" ht="16.5">
      <c r="A78" s="978" t="str">
        <f>"checkCosts_1."&amp;F78&amp;"."&amp;Y78</f>
        <v>checkCosts_1.1.1</v>
      </c>
      <c r="B78" s="1721"/>
      <c r="C78" s="1721"/>
      <c r="D78" s="1721"/>
      <c r="E78" s="284">
        <v>17</v>
      </c>
      <c r="F78" s="175" cm="1" t="str">
        <f t="array" ref="F78:F78">OFFSET(G78,-1,-1)</f>
        <v>1</v>
      </c>
      <c r="G78" s="1721"/>
      <c r="H78" s="193" cm="1" t="str">
        <f t="array" ref="H78:H78">AC78</f>
        <v>СН2</v>
      </c>
      <c r="I78" s="308" t="s">
        <v>1040</v>
      </c>
      <c r="J78" s="1721"/>
      <c r="K78" s="1721"/>
      <c r="L78" s="1721"/>
      <c r="M78" s="1721"/>
      <c r="N78" s="1721"/>
      <c r="O78" s="1721"/>
      <c r="P78" s="1721"/>
      <c r="Q78" s="1721"/>
      <c r="R78" s="1721"/>
      <c r="S78" s="982"/>
      <c r="T78" s="973">
        <f>AND(F78&gt;0,Y78&gt;0)</f>
        <v>1</v>
      </c>
      <c r="U78" s="1721"/>
      <c r="V78" s="1721"/>
      <c r="W78" s="176"/>
      <c r="X78" s="1721"/>
      <c r="Y78" s="176" t="s">
        <v>308</v>
      </c>
      <c r="Z78" s="1721"/>
      <c r="AA78" s="1532" t="s">
        <v>171</v>
      </c>
      <c r="AB78" s="559" t="str">
        <f>"1.5."&amp;Y78</f>
        <v>1.5.1</v>
      </c>
      <c r="AC78" s="2283" t="s">
        <v>1121</v>
      </c>
      <c r="AD78" s="2276"/>
      <c r="AE78" s="551" t="s">
        <v>917</v>
      </c>
      <c r="AF78" s="1859">
        <f>AF79*AF80</f>
        <v>1174</v>
      </c>
      <c r="AG78" s="1859">
        <v>2292.35</v>
      </c>
      <c r="AH78" s="1859">
        <v>1348.45</v>
      </c>
      <c r="AI78" s="1859">
        <f>AI79*AI80</f>
        <v>1209</v>
      </c>
      <c r="AJ78" s="340">
        <v>2780</v>
      </c>
      <c r="AK78" s="1859"/>
      <c r="AL78" s="1859"/>
      <c r="AM78" s="1859"/>
      <c r="AN78" s="1859"/>
      <c r="AO78" s="1859"/>
      <c r="AP78" s="1859"/>
      <c r="AQ78" s="1859"/>
      <c r="AR78" s="1859"/>
      <c r="AS78" s="1859"/>
      <c r="AT78" s="1859"/>
      <c r="AU78" s="1859"/>
      <c r="AV78" s="1859"/>
      <c r="AW78" s="1859"/>
      <c r="AX78" s="1859"/>
      <c r="AY78" s="1859"/>
      <c r="AZ78" s="1859"/>
      <c r="BA78" s="1859"/>
      <c r="BB78" s="1859"/>
      <c r="BC78" s="1859"/>
      <c r="BD78" s="340">
        <f>BD79*BD80</f>
        <v>1610.2404632</v>
      </c>
      <c r="BE78" s="1859">
        <f>BE79*BE80</f>
        <v>0</v>
      </c>
      <c r="BF78" s="1859">
        <f>BF79*BF80</f>
        <v>0</v>
      </c>
      <c r="BG78" s="1859">
        <f>BG79*BG80</f>
        <v>0</v>
      </c>
      <c r="BH78" s="1859">
        <f>BH79*BH80</f>
        <v>0</v>
      </c>
      <c r="BI78" s="1859">
        <f>BI79*BI80</f>
        <v>0</v>
      </c>
      <c r="BJ78" s="1859">
        <f>BJ79*BJ80</f>
        <v>0</v>
      </c>
      <c r="BK78" s="1859">
        <f>BK79*BK80</f>
        <v>0</v>
      </c>
      <c r="BL78" s="1859">
        <f>BL79*BL80</f>
        <v>0</v>
      </c>
      <c r="BM78" s="1859">
        <f>BM79*BM80</f>
        <v>0</v>
      </c>
      <c r="BN78" s="1859">
        <f>BN79*BN80</f>
        <v>0</v>
      </c>
      <c r="BO78" s="1859">
        <f>BO79*BO80</f>
        <v>0</v>
      </c>
      <c r="BP78" s="1859">
        <f>BP79*BP80</f>
        <v>0</v>
      </c>
      <c r="BQ78" s="1859">
        <f>BQ79*BQ80</f>
        <v>0</v>
      </c>
      <c r="BR78" s="1859">
        <f>BR79*BR80</f>
        <v>0</v>
      </c>
      <c r="BS78" s="1859">
        <f>BS79*BS80</f>
        <v>0</v>
      </c>
      <c r="BT78" s="1859">
        <f>BT79*BT80</f>
        <v>0</v>
      </c>
      <c r="BU78" s="1859">
        <f>BU79*BU80</f>
        <v>0</v>
      </c>
      <c r="BV78" s="1859">
        <f>BV79*BV80</f>
        <v>0</v>
      </c>
      <c r="BW78" s="1859">
        <f>BW79*BW80</f>
        <v>0</v>
      </c>
      <c r="BX78" s="1897"/>
      <c r="BY78" s="1721"/>
      <c r="BZ78" s="1721"/>
      <c r="CA78" s="489" t="s">
        <v>1060</v>
      </c>
      <c r="CB78" s="984" t="s">
        <v>1061</v>
      </c>
      <c r="CC78" s="984" cm="1" t="str">
        <f t="array" ref="CC78:CC78">AC78</f>
        <v>СН2</v>
      </c>
      <c r="CD78" s="984" cm="1" t="str">
        <f t="array" ref="CD78:CD78">AD78</f>
        <v>0</v>
      </c>
      <c r="CE78" s="985"/>
      <c r="CF78" s="985" t="b">
        <v>1</v>
      </c>
      <c r="CG78" s="1721"/>
      <c r="CH78" s="1502" cm="1" t="str">
        <f t="array" ref="CH78:CH78">OFFSET(CI78,-1,-1)</f>
        <v>ТЭ.42.31656254.0001</v>
      </c>
      <c r="CI78" s="1501" t="s">
        <v>1043</v>
      </c>
      <c r="CJ78" s="1501" t="s">
        <v>1062</v>
      </c>
      <c r="CK78" s="1501"/>
      <c r="CL78" s="1501"/>
      <c r="CM78" s="1501" t="s">
        <v>219</v>
      </c>
      <c r="CN78" s="1501" cm="1" t="str">
        <f t="array" ref="CN78:CN78">$AC78</f>
        <v>СН2</v>
      </c>
      <c r="CO78" s="1501" t="s">
        <v>303</v>
      </c>
      <c r="CP78" s="1501" t="s">
        <v>919</v>
      </c>
      <c r="CQ78" s="1501" t="s">
        <v>920</v>
      </c>
      <c r="CR78" s="1721"/>
      <c r="CS78" s="1721"/>
      <c r="CT78" s="1721"/>
      <c r="CU78" s="1721"/>
    </row>
    <row s="1721" customFormat="1" customHeight="1" ht="16.5">
      <c r="A79" s="1721"/>
      <c r="B79" s="1721"/>
      <c r="C79" s="1721"/>
      <c r="D79" s="1721"/>
      <c r="E79" s="284">
        <v>17</v>
      </c>
      <c r="F79" s="175" cm="1" t="str">
        <f t="array" ref="F79:F79">OFFSET(G79,-1,-1)</f>
        <v>1</v>
      </c>
      <c r="G79" s="1721"/>
      <c r="H79" s="193" cm="1" t="str">
        <f t="array" ref="H79:H79">H78</f>
        <v>СН2</v>
      </c>
      <c r="I79" s="1721"/>
      <c r="J79" s="1721"/>
      <c r="K79" s="1721"/>
      <c r="L79" s="1721"/>
      <c r="M79" s="1721"/>
      <c r="N79" s="1721"/>
      <c r="O79" s="1721"/>
      <c r="P79" s="1721"/>
      <c r="Q79" s="1721"/>
      <c r="R79" s="1721"/>
      <c r="S79" s="982"/>
      <c r="T79" s="973" cm="1" t="str">
        <f t="array" ref="T79:T79">T78</f>
        <v>true</v>
      </c>
      <c r="U79" s="1721"/>
      <c r="V79" s="1721"/>
      <c r="W79" s="1721"/>
      <c r="X79" s="1721"/>
      <c r="Y79" s="1721"/>
      <c r="Z79" s="1721"/>
      <c r="AA79" s="1533"/>
      <c r="AB79" s="569" t="str">
        <f>AB78&amp;".1"</f>
        <v>1.5.1.1</v>
      </c>
      <c r="AC79" s="570" t="s">
        <v>1063</v>
      </c>
      <c r="AD79" s="570"/>
      <c r="AE79" s="330" t="s">
        <v>1064</v>
      </c>
      <c r="AF79" s="2284">
        <v>6.45196746537701</v>
      </c>
      <c r="AG79" s="572">
        <f>IF(AG80=0,0,AG78/AG80)</f>
        <v>7.01024464831804</v>
      </c>
      <c r="AH79" s="572">
        <f>IF(AH80=0,0,AH78/AH80)</f>
        <v>7.00476055353555</v>
      </c>
      <c r="AI79" s="2284">
        <f>1209/181.96</f>
        <v>6.64431743240273</v>
      </c>
      <c r="AJ79" s="572">
        <f>IF(AJ80=0,0,AJ78/AJ80)</f>
        <v>8.50152905198777</v>
      </c>
      <c r="AK79" s="572">
        <f>IF(AK80=0,0,AK78/AK80)</f>
        <v>0</v>
      </c>
      <c r="AL79" s="572">
        <f>IF(AL80=0,0,AL78/AL80)</f>
        <v>0</v>
      </c>
      <c r="AM79" s="572">
        <f>IF(AM80=0,0,AM78/AM80)</f>
        <v>0</v>
      </c>
      <c r="AN79" s="572">
        <f>IF(AN80=0,0,AN78/AN80)</f>
        <v>0</v>
      </c>
      <c r="AO79" s="572">
        <f>IF(AO80=0,0,AO78/AO80)</f>
        <v>0</v>
      </c>
      <c r="AP79" s="572">
        <f>IF(AP80=0,0,AP78/AP80)</f>
        <v>0</v>
      </c>
      <c r="AQ79" s="572">
        <f>IF(AQ80=0,0,AQ78/AQ80)</f>
        <v>0</v>
      </c>
      <c r="AR79" s="572">
        <f>IF(AR80=0,0,AR78/AR80)</f>
        <v>0</v>
      </c>
      <c r="AS79" s="572">
        <f>IF(AS80=0,0,AS78/AS80)</f>
        <v>0</v>
      </c>
      <c r="AT79" s="572">
        <f>IF(AT80=0,0,AT78/AT80)</f>
        <v>0</v>
      </c>
      <c r="AU79" s="572">
        <f>IF(AU80=0,0,AU78/AU80)</f>
        <v>0</v>
      </c>
      <c r="AV79" s="572">
        <f>IF(AV80=0,0,AV78/AV80)</f>
        <v>0</v>
      </c>
      <c r="AW79" s="572">
        <f>IF(AW80=0,0,AW78/AW80)</f>
        <v>0</v>
      </c>
      <c r="AX79" s="572">
        <f>IF(AX80=0,0,AX78/AX80)</f>
        <v>0</v>
      </c>
      <c r="AY79" s="572">
        <f>IF(AY80=0,0,AY78/AY80)</f>
        <v>0</v>
      </c>
      <c r="AZ79" s="572">
        <f>IF(AZ80=0,0,AZ78/AZ80)</f>
        <v>0</v>
      </c>
      <c r="BA79" s="572">
        <f>IF(BA80=0,0,BA78/BA80)</f>
        <v>0</v>
      </c>
      <c r="BB79" s="572">
        <f>IF(BB80=0,0,BB78/BB80)</f>
        <v>0</v>
      </c>
      <c r="BC79" s="572">
        <f>IF(BC80=0,0,BC78/BC80)</f>
        <v>0</v>
      </c>
      <c r="BD79" s="571">
        <v>8.84942</v>
      </c>
      <c r="BE79" s="2284"/>
      <c r="BF79" s="2284"/>
      <c r="BG79" s="2284"/>
      <c r="BH79" s="2284"/>
      <c r="BI79" s="2284"/>
      <c r="BJ79" s="2284"/>
      <c r="BK79" s="2284"/>
      <c r="BL79" s="2284"/>
      <c r="BM79" s="2284"/>
      <c r="BN79" s="2284"/>
      <c r="BO79" s="2284"/>
      <c r="BP79" s="2284"/>
      <c r="BQ79" s="2284"/>
      <c r="BR79" s="2284"/>
      <c r="BS79" s="2284"/>
      <c r="BT79" s="2284"/>
      <c r="BU79" s="2284"/>
      <c r="BV79" s="2284"/>
      <c r="BW79" s="2284"/>
      <c r="BX79" s="1906"/>
      <c r="BY79" s="1721"/>
      <c r="BZ79" s="1721"/>
      <c r="CA79" s="489" t="s">
        <v>1065</v>
      </c>
      <c r="CB79" s="984" t="s">
        <v>1061</v>
      </c>
      <c r="CC79" s="984" cm="1" t="str">
        <f t="array" ref="CC79:CC79">CC78</f>
        <v>СН2</v>
      </c>
      <c r="CD79" s="984" cm="1" t="str">
        <f t="array" ref="CD79:CD79">CD78</f>
        <v>0</v>
      </c>
      <c r="CE79" s="985"/>
      <c r="CF79" s="985"/>
      <c r="CG79" s="1721"/>
      <c r="CH79" s="1501" cm="1" t="str">
        <f t="array" ref="CH79:CH79">CH78</f>
        <v>ТЭ.42.31656254.0001</v>
      </c>
      <c r="CI79" s="1501" t="s">
        <v>1043</v>
      </c>
      <c r="CJ79" s="1501" t="s">
        <v>1062</v>
      </c>
      <c r="CK79" s="1501"/>
      <c r="CL79" s="1501"/>
      <c r="CM79" s="1501" t="s">
        <v>255</v>
      </c>
      <c r="CN79" s="1501" cm="1" t="str">
        <f t="array" ref="CN79:CN79">CN78</f>
        <v>СН2</v>
      </c>
      <c r="CO79" s="1501" t="s">
        <v>303</v>
      </c>
      <c r="CP79" s="1501" t="s">
        <v>1066</v>
      </c>
      <c r="CQ79" s="1501" t="s">
        <v>1067</v>
      </c>
      <c r="CR79" s="1721"/>
      <c r="CS79" s="1721"/>
      <c r="CT79" s="1721"/>
      <c r="CU79" s="1721"/>
    </row>
    <row s="1721" customFormat="1" customHeight="1" ht="16.5">
      <c r="A80" s="978" t="str">
        <f>"checkVolume_1."&amp;F80&amp;"."&amp;Y78</f>
        <v>checkVolume_1.1.1</v>
      </c>
      <c r="B80" s="1721"/>
      <c r="C80" s="1721"/>
      <c r="D80" s="1721"/>
      <c r="E80" s="284">
        <v>17</v>
      </c>
      <c r="F80" s="175" cm="1" t="str">
        <f t="array" ref="F80:F80">OFFSET(G80,-1,-1)</f>
        <v>1</v>
      </c>
      <c r="G80" s="1721"/>
      <c r="H80" s="193" cm="1" t="str">
        <f t="array" ref="H80:H80">H78</f>
        <v>СН2</v>
      </c>
      <c r="I80" s="1721"/>
      <c r="J80" s="1721"/>
      <c r="K80" s="1721"/>
      <c r="L80" s="1721"/>
      <c r="M80" s="1721"/>
      <c r="N80" s="1721"/>
      <c r="O80" s="1721"/>
      <c r="P80" s="1721"/>
      <c r="Q80" s="1721"/>
      <c r="R80" s="1721"/>
      <c r="S80" s="982"/>
      <c r="T80" s="973" cm="1" t="str">
        <f t="array" ref="T80:T80">T78</f>
        <v>true</v>
      </c>
      <c r="U80" s="1721"/>
      <c r="V80" s="1721"/>
      <c r="W80" s="1721"/>
      <c r="X80" s="1721"/>
      <c r="Y80" s="1721"/>
      <c r="Z80" s="1721"/>
      <c r="AA80" s="1533"/>
      <c r="AB80" s="569" t="str">
        <f>AB78&amp;".2"</f>
        <v>1.5.1.2</v>
      </c>
      <c r="AC80" s="570" t="s">
        <v>1068</v>
      </c>
      <c r="AD80" s="570"/>
      <c r="AE80" s="330" t="s">
        <v>807</v>
      </c>
      <c r="AF80" s="2284">
        <v>181.96</v>
      </c>
      <c r="AG80" s="2284">
        <v>327</v>
      </c>
      <c r="AH80" s="2284">
        <f>181.96/4.383*4.637</f>
        <v>192.504795801962</v>
      </c>
      <c r="AI80" s="2284">
        <v>181.96</v>
      </c>
      <c r="AJ80" s="571">
        <v>327</v>
      </c>
      <c r="AK80" s="2284"/>
      <c r="AL80" s="2284"/>
      <c r="AM80" s="2284"/>
      <c r="AN80" s="2284"/>
      <c r="AO80" s="2284"/>
      <c r="AP80" s="2284"/>
      <c r="AQ80" s="2284"/>
      <c r="AR80" s="2284"/>
      <c r="AS80" s="2284"/>
      <c r="AT80" s="2284"/>
      <c r="AU80" s="2284"/>
      <c r="AV80" s="2284"/>
      <c r="AW80" s="2284"/>
      <c r="AX80" s="2284"/>
      <c r="AY80" s="2284"/>
      <c r="AZ80" s="2284"/>
      <c r="BA80" s="2284"/>
      <c r="BB80" s="2284"/>
      <c r="BC80" s="2284"/>
      <c r="BD80" s="571">
        <v>181.96</v>
      </c>
      <c r="BE80" s="2284"/>
      <c r="BF80" s="2284"/>
      <c r="BG80" s="2284"/>
      <c r="BH80" s="2284"/>
      <c r="BI80" s="2284"/>
      <c r="BJ80" s="2284"/>
      <c r="BK80" s="2284"/>
      <c r="BL80" s="2284"/>
      <c r="BM80" s="2284"/>
      <c r="BN80" s="2284"/>
      <c r="BO80" s="2284"/>
      <c r="BP80" s="2284"/>
      <c r="BQ80" s="2284"/>
      <c r="BR80" s="2284"/>
      <c r="BS80" s="2284"/>
      <c r="BT80" s="2284"/>
      <c r="BU80" s="2284"/>
      <c r="BV80" s="2284"/>
      <c r="BW80" s="2284"/>
      <c r="BX80" s="1906"/>
      <c r="BY80" s="1721"/>
      <c r="BZ80" s="1721"/>
      <c r="CA80" s="489" t="s">
        <v>1069</v>
      </c>
      <c r="CB80" s="984" t="s">
        <v>1061</v>
      </c>
      <c r="CC80" s="984" cm="1" t="str">
        <f t="array" ref="CC80:CC80">CC78</f>
        <v>СН2</v>
      </c>
      <c r="CD80" s="984" cm="1" t="str">
        <f t="array" ref="CD80:CD80">CD79</f>
        <v>0</v>
      </c>
      <c r="CE80" s="985"/>
      <c r="CF80" s="985"/>
      <c r="CG80" s="1721"/>
      <c r="CH80" s="1501" cm="1" t="str">
        <f t="array" ref="CH80:CH80">CH79</f>
        <v>ТЭ.42.31656254.0001</v>
      </c>
      <c r="CI80" s="1501" t="s">
        <v>1043</v>
      </c>
      <c r="CJ80" s="1501" t="s">
        <v>1062</v>
      </c>
      <c r="CK80" s="1501"/>
      <c r="CL80" s="1501"/>
      <c r="CM80" s="1501" t="s">
        <v>449</v>
      </c>
      <c r="CN80" s="1501" cm="1" t="str">
        <f t="array" ref="CN80:CN80">CN79</f>
        <v>СН2</v>
      </c>
      <c r="CO80" s="1501" t="s">
        <v>303</v>
      </c>
      <c r="CP80" s="1501" t="s">
        <v>1048</v>
      </c>
      <c r="CQ80" s="1501" t="s">
        <v>1049</v>
      </c>
      <c r="CR80" s="1721"/>
      <c r="CS80" s="1721"/>
      <c r="CT80" s="1721"/>
      <c r="CU80" s="1721"/>
    </row>
    <row s="1659" customFormat="1" customHeight="1" ht="16.5">
      <c r="A81" s="1659"/>
      <c r="B81" s="1659"/>
      <c r="C81" s="1659"/>
      <c r="D81" s="1659"/>
      <c r="E81" s="180">
        <v>17</v>
      </c>
      <c r="F81" s="175" cm="1" t="str">
        <f t="array" ref="F81:F81">OFFSET(G81,-1,-1)</f>
        <v>1</v>
      </c>
      <c r="G81" s="1659"/>
      <c r="H81" s="1659"/>
      <c r="I81" s="1659"/>
      <c r="J81" s="1659"/>
      <c r="K81" s="1659"/>
      <c r="L81" s="1659"/>
      <c r="M81" s="1659"/>
      <c r="N81" s="1659"/>
      <c r="O81" s="1659"/>
      <c r="P81" s="1659"/>
      <c r="Q81" s="1659"/>
      <c r="R81" s="1659"/>
      <c r="S81" s="1659"/>
      <c r="T81" s="973">
        <f>F81&gt;0</f>
        <v>1</v>
      </c>
      <c r="U81" s="1659"/>
      <c r="V81" s="1659"/>
      <c r="W81" s="176" t="s">
        <v>1070</v>
      </c>
      <c r="X81" s="1659"/>
      <c r="Y81" s="1659"/>
      <c r="Z81" s="1659"/>
      <c r="AA81" s="1659"/>
      <c r="AB81" s="573"/>
      <c r="AC81" s="574" t="s">
        <v>191</v>
      </c>
      <c r="AD81" s="574"/>
      <c r="AE81" s="574"/>
      <c r="AF81" s="574"/>
      <c r="AG81" s="574"/>
      <c r="AH81" s="574"/>
      <c r="AI81" s="574"/>
      <c r="AJ81" s="574"/>
      <c r="AK81" s="574"/>
      <c r="AL81" s="574"/>
      <c r="AM81" s="574"/>
      <c r="AN81" s="574"/>
      <c r="AO81" s="574"/>
      <c r="AP81" s="574"/>
      <c r="AQ81" s="574"/>
      <c r="AR81" s="574"/>
      <c r="AS81" s="574"/>
      <c r="AT81" s="574"/>
      <c r="AU81" s="574"/>
      <c r="AV81" s="574"/>
      <c r="AW81" s="574"/>
      <c r="AX81" s="574"/>
      <c r="AY81" s="574"/>
      <c r="AZ81" s="574"/>
      <c r="BA81" s="574"/>
      <c r="BB81" s="574"/>
      <c r="BC81" s="574"/>
      <c r="BD81" s="574"/>
      <c r="BE81" s="574"/>
      <c r="BF81" s="574"/>
      <c r="BG81" s="574"/>
      <c r="BH81" s="574"/>
      <c r="BI81" s="574"/>
      <c r="BJ81" s="574"/>
      <c r="BK81" s="574"/>
      <c r="BL81" s="574"/>
      <c r="BM81" s="574"/>
      <c r="BN81" s="574"/>
      <c r="BO81" s="574"/>
      <c r="BP81" s="574"/>
      <c r="BQ81" s="574"/>
      <c r="BR81" s="574"/>
      <c r="BS81" s="574"/>
      <c r="BT81" s="574"/>
      <c r="BU81" s="574"/>
      <c r="BV81" s="574"/>
      <c r="BW81" s="574"/>
      <c r="BX81" s="575"/>
      <c r="BY81" s="1659"/>
      <c r="BZ81" s="1659"/>
      <c r="CA81" s="489"/>
      <c r="CB81" s="489"/>
      <c r="CC81" s="489"/>
      <c r="CD81" s="489"/>
      <c r="CE81" s="546" t="s">
        <v>1061</v>
      </c>
      <c r="CF81" s="546"/>
      <c r="CG81" s="1659"/>
      <c r="CH81" s="1502" cm="1" t="str">
        <f t="array" ref="CH81:CH81">OFFSET(CI81,-1,-1)</f>
        <v>ТЭ.42.31656254.0001</v>
      </c>
      <c r="CI81" s="1501"/>
      <c r="CJ81" s="1501"/>
      <c r="CK81" s="1501"/>
      <c r="CL81" s="1501"/>
      <c r="CM81" s="1501"/>
      <c r="CN81" s="1501"/>
      <c r="CO81" s="1501"/>
      <c r="CP81" s="1501"/>
      <c r="CQ81" s="1501"/>
      <c r="CR81" s="1659"/>
      <c r="CS81" s="1659"/>
      <c r="CT81" s="1659"/>
      <c r="CU81" s="1659"/>
    </row>
    <row s="1721" customFormat="1" customHeight="1" ht="16.5">
      <c r="A82" s="1721"/>
      <c r="B82" s="1721"/>
      <c r="C82" s="1721"/>
      <c r="D82" s="1721"/>
      <c r="E82" s="284">
        <v>17</v>
      </c>
      <c r="F82" s="175" cm="1" t="str">
        <f t="array" ref="F82:F82">OFFSET(G82,-1,-1)</f>
        <v>1</v>
      </c>
      <c r="G82" s="1721"/>
      <c r="H82" s="1721"/>
      <c r="I82" s="1721"/>
      <c r="J82" s="1721"/>
      <c r="K82" s="1721"/>
      <c r="L82" s="1721"/>
      <c r="M82" s="1721"/>
      <c r="N82" s="1721"/>
      <c r="O82" s="1721"/>
      <c r="P82" s="1721"/>
      <c r="Q82" s="1721"/>
      <c r="R82" s="1721"/>
      <c r="S82" s="982"/>
      <c r="T82" s="973">
        <f>F82&gt;0</f>
        <v>1</v>
      </c>
      <c r="U82" s="1721"/>
      <c r="V82" s="1721"/>
      <c r="W82" s="1721"/>
      <c r="X82" s="1721"/>
      <c r="Y82" s="1721"/>
      <c r="Z82" s="1721"/>
      <c r="AA82" s="1721"/>
      <c r="AB82" s="576"/>
      <c r="AC82" s="282" t="s">
        <v>1071</v>
      </c>
      <c r="AD82" s="282"/>
      <c r="AE82" s="283"/>
      <c r="AF82" s="565"/>
      <c r="AG82" s="565"/>
      <c r="AH82" s="565"/>
      <c r="AI82" s="565"/>
      <c r="AJ82" s="565"/>
      <c r="AK82" s="565"/>
      <c r="AL82" s="565"/>
      <c r="AM82" s="565"/>
      <c r="AN82" s="565"/>
      <c r="AO82" s="565"/>
      <c r="AP82" s="565"/>
      <c r="AQ82" s="565"/>
      <c r="AR82" s="565"/>
      <c r="AS82" s="565"/>
      <c r="AT82" s="565"/>
      <c r="AU82" s="565"/>
      <c r="AV82" s="565"/>
      <c r="AW82" s="565"/>
      <c r="AX82" s="565"/>
      <c r="AY82" s="565"/>
      <c r="AZ82" s="565"/>
      <c r="BA82" s="565"/>
      <c r="BB82" s="565"/>
      <c r="BC82" s="565"/>
      <c r="BD82" s="565"/>
      <c r="BE82" s="565"/>
      <c r="BF82" s="565"/>
      <c r="BG82" s="565"/>
      <c r="BH82" s="565"/>
      <c r="BI82" s="565"/>
      <c r="BJ82" s="565"/>
      <c r="BK82" s="565"/>
      <c r="BL82" s="565"/>
      <c r="BM82" s="565"/>
      <c r="BN82" s="565"/>
      <c r="BO82" s="565"/>
      <c r="BP82" s="565"/>
      <c r="BQ82" s="565"/>
      <c r="BR82" s="565"/>
      <c r="BS82" s="565"/>
      <c r="BT82" s="565"/>
      <c r="BU82" s="565"/>
      <c r="BV82" s="565"/>
      <c r="BW82" s="565"/>
      <c r="BX82" s="577"/>
      <c r="BY82" s="1721"/>
      <c r="BZ82" s="1721"/>
      <c r="CA82" s="489"/>
      <c r="CB82" s="984"/>
      <c r="CC82" s="984"/>
      <c r="CD82" s="984"/>
      <c r="CE82" s="985"/>
      <c r="CF82" s="985"/>
      <c r="CG82" s="1721"/>
      <c r="CH82" s="1502" cm="1" t="str">
        <f t="array" ref="CH82:CH82">OFFSET(CI82,-1,-1)</f>
        <v>ТЭ.42.31656254.0001</v>
      </c>
      <c r="CI82" s="1501"/>
      <c r="CJ82" s="1501"/>
      <c r="CK82" s="1501"/>
      <c r="CL82" s="1501"/>
      <c r="CM82" s="1501"/>
      <c r="CN82" s="1501"/>
      <c r="CO82" s="1501"/>
      <c r="CP82" s="1501"/>
      <c r="CQ82" s="1501"/>
      <c r="CR82" s="1721"/>
      <c r="CS82" s="1721"/>
      <c r="CT82" s="1721"/>
      <c r="CU82" s="1721"/>
    </row>
    <row s="1721" customFormat="1" customHeight="1" ht="16.5" hidden="1">
      <c r="A83" s="1721"/>
      <c r="B83" s="1721"/>
      <c r="C83" s="1721"/>
      <c r="D83" s="1721"/>
      <c r="E83" s="284">
        <v>17</v>
      </c>
      <c r="F83" s="175" cm="1" t="str">
        <f t="array" ref="F83:F83">OFFSET(G83,-1,-1)</f>
        <v>1</v>
      </c>
      <c r="G83" s="1721"/>
      <c r="H83" s="193" cm="1" t="str">
        <f t="array" ref="H83:H83">AC83</f>
        <v>0</v>
      </c>
      <c r="I83" s="308" t="s">
        <v>1040</v>
      </c>
      <c r="J83" s="1721"/>
      <c r="K83" s="1721"/>
      <c r="L83" s="1721"/>
      <c r="M83" s="1721"/>
      <c r="N83" s="1721"/>
      <c r="O83" s="1721"/>
      <c r="P83" s="1721"/>
      <c r="Q83" s="1721"/>
      <c r="R83" s="1721"/>
      <c r="S83" s="982"/>
      <c r="T83" s="973">
        <f>AND(F83&gt;0,Y83&gt;0)</f>
        <v>0</v>
      </c>
      <c r="U83" s="1721"/>
      <c r="V83" s="1721"/>
      <c r="W83" s="176" t="s">
        <v>189</v>
      </c>
      <c r="X83" s="1721"/>
      <c r="Y83" s="176">
        <v>0</v>
      </c>
      <c r="Z83" s="1721"/>
      <c r="AA83" s="1532" t="s">
        <v>171</v>
      </c>
      <c r="AB83" s="559" t="str">
        <f>"1.6."&amp;Y83</f>
        <v>1.6.0</v>
      </c>
      <c r="AC83" s="102"/>
      <c r="AD83" s="2276"/>
      <c r="AE83" s="551" t="s">
        <v>917</v>
      </c>
      <c r="AF83" s="68">
        <f>AF85+AF87</f>
        <v>0</v>
      </c>
      <c r="AG83" s="68">
        <f>AG85+AG87</f>
        <v>0</v>
      </c>
      <c r="AH83" s="68">
        <f>AH85+AH87</f>
        <v>0</v>
      </c>
      <c r="AI83" s="68">
        <f>AI85+AI87</f>
        <v>0</v>
      </c>
      <c r="AJ83" s="340">
        <f>AJ85+AJ87</f>
        <v>0</v>
      </c>
      <c r="AK83" s="68">
        <f>AK85+AK87</f>
        <v>0</v>
      </c>
      <c r="AL83" s="68">
        <f>AL85+AL87</f>
        <v>0</v>
      </c>
      <c r="AM83" s="68">
        <f>AM85+AM87</f>
        <v>0</v>
      </c>
      <c r="AN83" s="68">
        <f>AN85+AN87</f>
        <v>0</v>
      </c>
      <c r="AO83" s="68">
        <f>AO85+AO87</f>
        <v>0</v>
      </c>
      <c r="AP83" s="68">
        <f>AP85+AP87</f>
        <v>0</v>
      </c>
      <c r="AQ83" s="68">
        <f>AQ85+AQ87</f>
        <v>0</v>
      </c>
      <c r="AR83" s="68">
        <f>AR85+AR87</f>
        <v>0</v>
      </c>
      <c r="AS83" s="68">
        <f>AS85+AS87</f>
        <v>0</v>
      </c>
      <c r="AT83" s="68">
        <f>AT85+AT87</f>
        <v>0</v>
      </c>
      <c r="AU83" s="68">
        <f>AU85+AU87</f>
        <v>0</v>
      </c>
      <c r="AV83" s="68">
        <f>AV85+AV87</f>
        <v>0</v>
      </c>
      <c r="AW83" s="68">
        <f>AW85+AW87</f>
        <v>0</v>
      </c>
      <c r="AX83" s="68">
        <f>AX85+AX87</f>
        <v>0</v>
      </c>
      <c r="AY83" s="68">
        <f>AY85+AY87</f>
        <v>0</v>
      </c>
      <c r="AZ83" s="68">
        <f>AZ85+AZ87</f>
        <v>0</v>
      </c>
      <c r="BA83" s="68">
        <f>BA85+BA87</f>
        <v>0</v>
      </c>
      <c r="BB83" s="68">
        <f>BB85+BB87</f>
        <v>0</v>
      </c>
      <c r="BC83" s="68">
        <f>BC85+BC87</f>
        <v>0</v>
      </c>
      <c r="BD83" s="340">
        <f>BD85+BD87</f>
        <v>0</v>
      </c>
      <c r="BE83" s="68">
        <f>BE85+BE87</f>
        <v>0</v>
      </c>
      <c r="BF83" s="68">
        <f>BF85+BF87</f>
        <v>0</v>
      </c>
      <c r="BG83" s="68">
        <f>BG85+BG87</f>
        <v>0</v>
      </c>
      <c r="BH83" s="68">
        <f>BH85+BH87</f>
        <v>0</v>
      </c>
      <c r="BI83" s="68">
        <f>BI85+BI87</f>
        <v>0</v>
      </c>
      <c r="BJ83" s="68">
        <f>BJ85+BJ87</f>
        <v>0</v>
      </c>
      <c r="BK83" s="68">
        <f>BK85+BK87</f>
        <v>0</v>
      </c>
      <c r="BL83" s="68">
        <f>BL85+BL87</f>
        <v>0</v>
      </c>
      <c r="BM83" s="68">
        <f>BM85+BM87</f>
        <v>0</v>
      </c>
      <c r="BN83" s="68">
        <f>BN85+BN87</f>
        <v>0</v>
      </c>
      <c r="BO83" s="68">
        <f>BO85+BO87</f>
        <v>0</v>
      </c>
      <c r="BP83" s="68">
        <f>BP85+BP87</f>
        <v>0</v>
      </c>
      <c r="BQ83" s="68">
        <f>BQ85+BQ87</f>
        <v>0</v>
      </c>
      <c r="BR83" s="68">
        <f>BR85+BR87</f>
        <v>0</v>
      </c>
      <c r="BS83" s="68">
        <f>BS85+BS87</f>
        <v>0</v>
      </c>
      <c r="BT83" s="68">
        <f>BT85+BT87</f>
        <v>0</v>
      </c>
      <c r="BU83" s="68">
        <f>BU85+BU87</f>
        <v>0</v>
      </c>
      <c r="BV83" s="68">
        <f>BV85+BV87</f>
        <v>0</v>
      </c>
      <c r="BW83" s="68">
        <f>BW85+BW87</f>
        <v>0</v>
      </c>
      <c r="BX83" s="83"/>
      <c r="BY83" s="1721"/>
      <c r="BZ83" s="1721"/>
      <c r="CA83" s="489" t="s">
        <v>1072</v>
      </c>
      <c r="CB83" s="984" t="s">
        <v>1073</v>
      </c>
      <c r="CC83" s="984" cm="1" t="str">
        <f t="array" ref="CC83:CC83">AC83</f>
        <v>0</v>
      </c>
      <c r="CD83" s="984" cm="1" t="str">
        <f t="array" ref="CD83:CD83">AD83</f>
        <v>0</v>
      </c>
      <c r="CE83" s="985"/>
      <c r="CF83" s="985" t="b">
        <v>1</v>
      </c>
      <c r="CG83" s="1721"/>
      <c r="CH83" s="1501" cm="1" t="str">
        <f t="array" ref="CH83:CH83">CH82</f>
        <v>ТЭ.42.31656254.0001</v>
      </c>
      <c r="CI83" s="1501" t="s">
        <v>1043</v>
      </c>
      <c r="CJ83" s="1501" t="s">
        <v>1074</v>
      </c>
      <c r="CK83" s="1501"/>
      <c r="CL83" s="1501"/>
      <c r="CM83" s="1501" t="s">
        <v>219</v>
      </c>
      <c r="CN83" s="1501" cm="1" t="str">
        <f t="array" ref="CN83:CN83">$AC83</f>
        <v>0</v>
      </c>
      <c r="CO83" s="1501" t="s">
        <v>303</v>
      </c>
      <c r="CP83" s="1501" t="s">
        <v>919</v>
      </c>
      <c r="CQ83" s="1501" t="s">
        <v>920</v>
      </c>
      <c r="CR83" s="1721"/>
      <c r="CS83" s="1721"/>
      <c r="CT83" s="1721"/>
      <c r="CU83" s="1721"/>
    </row>
    <row s="1721" customFormat="1" customHeight="1" ht="16.5" hidden="1">
      <c r="A84" s="1721"/>
      <c r="B84" s="1721"/>
      <c r="C84" s="1721"/>
      <c r="D84" s="1721"/>
      <c r="E84" s="284">
        <v>17</v>
      </c>
      <c r="F84" s="175" cm="1" t="str">
        <f t="array" ref="F84:F84">OFFSET(G84,-1,-1)</f>
        <v>1</v>
      </c>
      <c r="G84" s="1721"/>
      <c r="H84" s="193" cm="1" t="str">
        <f t="array" ref="H84:H84">H83</f>
        <v>0</v>
      </c>
      <c r="I84" s="1721"/>
      <c r="J84" s="1721"/>
      <c r="K84" s="1721"/>
      <c r="L84" s="1721"/>
      <c r="M84" s="1721"/>
      <c r="N84" s="1721"/>
      <c r="O84" s="1721"/>
      <c r="P84" s="1721"/>
      <c r="Q84" s="1721"/>
      <c r="R84" s="1721"/>
      <c r="S84" s="982"/>
      <c r="T84" s="973" cm="1" t="str">
        <f t="array" ref="T84:T84">T83</f>
        <v>false</v>
      </c>
      <c r="U84" s="1721"/>
      <c r="V84" s="1721"/>
      <c r="W84" s="1721"/>
      <c r="X84" s="1721"/>
      <c r="Y84" s="1721"/>
      <c r="Z84" s="1721"/>
      <c r="AA84" s="1533"/>
      <c r="AB84" s="559" t="str">
        <f>AB83&amp;".1"</f>
        <v>1.6.0.1</v>
      </c>
      <c r="AC84" s="560" t="s">
        <v>1063</v>
      </c>
      <c r="AD84" s="560"/>
      <c r="AE84" s="551" t="s">
        <v>1064</v>
      </c>
      <c r="AF84" s="68"/>
      <c r="AG84" s="346">
        <f>IF(AG86=0,0,AG85/AG86)</f>
        <v>0</v>
      </c>
      <c r="AH84" s="346">
        <f>IF(AH86=0,0,AH85/AH86)</f>
        <v>0</v>
      </c>
      <c r="AI84" s="68"/>
      <c r="AJ84" s="346">
        <f>IF(AJ86=0,0,AJ85/AJ86)</f>
        <v>0</v>
      </c>
      <c r="AK84" s="346">
        <f>IF(AK86=0,0,AK85/AK86)</f>
        <v>0</v>
      </c>
      <c r="AL84" s="346">
        <f>IF(AL86=0,0,AL85/AL86)</f>
        <v>0</v>
      </c>
      <c r="AM84" s="346">
        <f>IF(AM86=0,0,AM85/AM86)</f>
        <v>0</v>
      </c>
      <c r="AN84" s="346">
        <f>IF(AN86=0,0,AN85/AN86)</f>
        <v>0</v>
      </c>
      <c r="AO84" s="346">
        <f>IF(AO86=0,0,AO85/AO86)</f>
        <v>0</v>
      </c>
      <c r="AP84" s="346">
        <f>IF(AP86=0,0,AP85/AP86)</f>
        <v>0</v>
      </c>
      <c r="AQ84" s="346">
        <f>IF(AQ86=0,0,AQ85/AQ86)</f>
        <v>0</v>
      </c>
      <c r="AR84" s="346">
        <f>IF(AR86=0,0,AR85/AR86)</f>
        <v>0</v>
      </c>
      <c r="AS84" s="346">
        <f>IF(AS86=0,0,AS85/AS86)</f>
        <v>0</v>
      </c>
      <c r="AT84" s="346">
        <f>IF(AT86=0,0,AT85/AT86)</f>
        <v>0</v>
      </c>
      <c r="AU84" s="346">
        <f>IF(AU86=0,0,AU85/AU86)</f>
        <v>0</v>
      </c>
      <c r="AV84" s="346">
        <f>IF(AV86=0,0,AV85/AV86)</f>
        <v>0</v>
      </c>
      <c r="AW84" s="346">
        <f>IF(AW86=0,0,AW85/AW86)</f>
        <v>0</v>
      </c>
      <c r="AX84" s="346">
        <f>IF(AX86=0,0,AX85/AX86)</f>
        <v>0</v>
      </c>
      <c r="AY84" s="346">
        <f>IF(AY86=0,0,AY85/AY86)</f>
        <v>0</v>
      </c>
      <c r="AZ84" s="346">
        <f>IF(AZ86=0,0,AZ85/AZ86)</f>
        <v>0</v>
      </c>
      <c r="BA84" s="346">
        <f>IF(BA86=0,0,BA85/BA86)</f>
        <v>0</v>
      </c>
      <c r="BB84" s="346">
        <f>IF(BB86=0,0,BB85/BB86)</f>
        <v>0</v>
      </c>
      <c r="BC84" s="346">
        <f>IF(BC86=0,0,BC85/BC86)</f>
        <v>0</v>
      </c>
      <c r="BD84" s="340"/>
      <c r="BE84" s="68"/>
      <c r="BF84" s="68"/>
      <c r="BG84" s="68"/>
      <c r="BH84" s="68"/>
      <c r="BI84" s="68"/>
      <c r="BJ84" s="68"/>
      <c r="BK84" s="68"/>
      <c r="BL84" s="68"/>
      <c r="BM84" s="68"/>
      <c r="BN84" s="68"/>
      <c r="BO84" s="68"/>
      <c r="BP84" s="68"/>
      <c r="BQ84" s="68"/>
      <c r="BR84" s="68"/>
      <c r="BS84" s="68"/>
      <c r="BT84" s="68"/>
      <c r="BU84" s="68"/>
      <c r="BV84" s="68"/>
      <c r="BW84" s="68"/>
      <c r="BX84" s="83"/>
      <c r="BY84" s="1721"/>
      <c r="BZ84" s="1721"/>
      <c r="CA84" s="489" t="s">
        <v>1065</v>
      </c>
      <c r="CB84" s="984" t="s">
        <v>1073</v>
      </c>
      <c r="CC84" s="984" cm="1" t="str">
        <f t="array" ref="CC84:CC84">CC83</f>
        <v>0</v>
      </c>
      <c r="CD84" s="984" cm="1" t="str">
        <f t="array" ref="CD84:CD84">CD83</f>
        <v>0</v>
      </c>
      <c r="CE84" s="985"/>
      <c r="CF84" s="985"/>
      <c r="CG84" s="1721"/>
      <c r="CH84" s="1501" cm="1" t="str">
        <f t="array" ref="CH84:CH84">CH83</f>
        <v>ТЭ.42.31656254.0001</v>
      </c>
      <c r="CI84" s="1501" t="s">
        <v>1043</v>
      </c>
      <c r="CJ84" s="1501" t="s">
        <v>1074</v>
      </c>
      <c r="CK84" s="1501"/>
      <c r="CL84" s="1501"/>
      <c r="CM84" s="1501" t="s">
        <v>255</v>
      </c>
      <c r="CN84" s="1501" cm="1" t="str">
        <f t="array" ref="CN84:CN84">CN83</f>
        <v>0</v>
      </c>
      <c r="CO84" s="1501" t="s">
        <v>303</v>
      </c>
      <c r="CP84" s="1501" t="s">
        <v>1066</v>
      </c>
      <c r="CQ84" s="1501" t="s">
        <v>1067</v>
      </c>
      <c r="CR84" s="1721"/>
      <c r="CS84" s="1721"/>
      <c r="CT84" s="1721"/>
      <c r="CU84" s="1721"/>
    </row>
    <row s="1721" customFormat="1" customHeight="1" ht="16.5" hidden="1">
      <c r="A85" s="978" t="str">
        <f>"checkCosts_2."&amp;F85&amp;"."&amp;Y83</f>
        <v>checkCosts_2.1.0</v>
      </c>
      <c r="B85" s="1721"/>
      <c r="C85" s="1721"/>
      <c r="D85" s="1721"/>
      <c r="E85" s="284">
        <v>17</v>
      </c>
      <c r="F85" s="175" cm="1" t="str">
        <f t="array" ref="F85:F85">OFFSET(G85,-1,-1)</f>
        <v>1</v>
      </c>
      <c r="G85" s="1721"/>
      <c r="H85" s="193" cm="1" t="str">
        <f t="array" ref="H85:H85">H83</f>
        <v>0</v>
      </c>
      <c r="I85" s="1721"/>
      <c r="J85" s="1721"/>
      <c r="K85" s="1721"/>
      <c r="L85" s="1721"/>
      <c r="M85" s="1721"/>
      <c r="N85" s="1721"/>
      <c r="O85" s="1721"/>
      <c r="P85" s="1721"/>
      <c r="Q85" s="1721"/>
      <c r="R85" s="1721"/>
      <c r="S85" s="982"/>
      <c r="T85" s="973" cm="1" t="str">
        <f t="array" ref="T85:T85">T83</f>
        <v>false</v>
      </c>
      <c r="U85" s="1721"/>
      <c r="V85" s="1721"/>
      <c r="W85" s="1721"/>
      <c r="X85" s="1721"/>
      <c r="Y85" s="1721"/>
      <c r="Z85" s="1721"/>
      <c r="AA85" s="1533"/>
      <c r="AB85" s="559" t="str">
        <f>AB83&amp;".2"</f>
        <v>1.6.0.2</v>
      </c>
      <c r="AC85" s="560" t="s">
        <v>1075</v>
      </c>
      <c r="AD85" s="560"/>
      <c r="AE85" s="551" t="s">
        <v>917</v>
      </c>
      <c r="AF85" s="68"/>
      <c r="AG85" s="68"/>
      <c r="AH85" s="68"/>
      <c r="AI85" s="68"/>
      <c r="AJ85" s="340"/>
      <c r="AK85" s="68"/>
      <c r="AL85" s="68"/>
      <c r="AM85" s="68"/>
      <c r="AN85" s="68"/>
      <c r="AO85" s="68"/>
      <c r="AP85" s="68"/>
      <c r="AQ85" s="68"/>
      <c r="AR85" s="68"/>
      <c r="AS85" s="68"/>
      <c r="AT85" s="68"/>
      <c r="AU85" s="68"/>
      <c r="AV85" s="68"/>
      <c r="AW85" s="68"/>
      <c r="AX85" s="68"/>
      <c r="AY85" s="68"/>
      <c r="AZ85" s="68"/>
      <c r="BA85" s="68"/>
      <c r="BB85" s="68"/>
      <c r="BC85" s="68"/>
      <c r="BD85" s="340"/>
      <c r="BE85" s="68"/>
      <c r="BF85" s="68"/>
      <c r="BG85" s="68"/>
      <c r="BH85" s="68"/>
      <c r="BI85" s="68"/>
      <c r="BJ85" s="68"/>
      <c r="BK85" s="68"/>
      <c r="BL85" s="68"/>
      <c r="BM85" s="68"/>
      <c r="BN85" s="68"/>
      <c r="BO85" s="68"/>
      <c r="BP85" s="68"/>
      <c r="BQ85" s="68"/>
      <c r="BR85" s="68"/>
      <c r="BS85" s="68"/>
      <c r="BT85" s="68"/>
      <c r="BU85" s="68"/>
      <c r="BV85" s="68"/>
      <c r="BW85" s="68"/>
      <c r="BX85" s="83"/>
      <c r="BY85" s="1721"/>
      <c r="BZ85" s="1721"/>
      <c r="CA85" s="489" t="s">
        <v>1060</v>
      </c>
      <c r="CB85" s="984" t="s">
        <v>1073</v>
      </c>
      <c r="CC85" s="984" cm="1" t="str">
        <f t="array" ref="CC85:CC85">CC83</f>
        <v>0</v>
      </c>
      <c r="CD85" s="984" cm="1" t="str">
        <f t="array" ref="CD85:CD85">CD84</f>
        <v>0</v>
      </c>
      <c r="CE85" s="985"/>
      <c r="CF85" s="985"/>
      <c r="CG85" s="1721"/>
      <c r="CH85" s="1501" cm="1" t="str">
        <f t="array" ref="CH85:CH85">CH84</f>
        <v>ТЭ.42.31656254.0001</v>
      </c>
      <c r="CI85" s="1501" t="s">
        <v>1043</v>
      </c>
      <c r="CJ85" s="1501" t="s">
        <v>1074</v>
      </c>
      <c r="CK85" s="1501"/>
      <c r="CL85" s="1501" t="s">
        <v>1076</v>
      </c>
      <c r="CM85" s="1501"/>
      <c r="CN85" s="1501" cm="1" t="str">
        <f t="array" ref="CN85:CN85">CN84</f>
        <v>0</v>
      </c>
      <c r="CO85" s="1501" t="s">
        <v>303</v>
      </c>
      <c r="CP85" s="1501" t="s">
        <v>1044</v>
      </c>
      <c r="CQ85" s="1501" t="s">
        <v>1045</v>
      </c>
      <c r="CR85" s="1721"/>
      <c r="CS85" s="1721"/>
      <c r="CT85" s="1721"/>
      <c r="CU85" s="1721"/>
    </row>
    <row s="1721" customFormat="1" customHeight="1" ht="16.5" hidden="1">
      <c r="A86" s="978" t="str">
        <f>"checkVolume_2."&amp;F86&amp;"."&amp;Y83</f>
        <v>checkVolume_2.1.0</v>
      </c>
      <c r="B86" s="1721"/>
      <c r="C86" s="1721"/>
      <c r="D86" s="1721"/>
      <c r="E86" s="284">
        <v>17</v>
      </c>
      <c r="F86" s="175" cm="1" t="str">
        <f t="array" ref="F86:F86">OFFSET(G86,-1,-1)</f>
        <v>1</v>
      </c>
      <c r="G86" s="1721"/>
      <c r="H86" s="193" cm="1" t="str">
        <f t="array" ref="H86:H86">H85</f>
        <v>0</v>
      </c>
      <c r="I86" s="1721"/>
      <c r="J86" s="1721"/>
      <c r="K86" s="1721"/>
      <c r="L86" s="1721"/>
      <c r="M86" s="1721"/>
      <c r="N86" s="1721"/>
      <c r="O86" s="1721"/>
      <c r="P86" s="1721"/>
      <c r="Q86" s="1721"/>
      <c r="R86" s="1721"/>
      <c r="S86" s="982"/>
      <c r="T86" s="973" cm="1" t="str">
        <f t="array" ref="T86:T86">T85</f>
        <v>false</v>
      </c>
      <c r="U86" s="1721"/>
      <c r="V86" s="1721"/>
      <c r="W86" s="1721"/>
      <c r="X86" s="1721"/>
      <c r="Y86" s="1721"/>
      <c r="Z86" s="1721"/>
      <c r="AA86" s="1533"/>
      <c r="AB86" s="559" t="str">
        <f>AB83&amp;".2.1"</f>
        <v>1.6.0.2.1</v>
      </c>
      <c r="AC86" s="474" t="s">
        <v>1068</v>
      </c>
      <c r="AD86" s="474"/>
      <c r="AE86" s="328" t="s">
        <v>807</v>
      </c>
      <c r="AF86" s="68"/>
      <c r="AG86" s="68"/>
      <c r="AH86" s="68"/>
      <c r="AI86" s="68"/>
      <c r="AJ86" s="340"/>
      <c r="AK86" s="68"/>
      <c r="AL86" s="68"/>
      <c r="AM86" s="68"/>
      <c r="AN86" s="68"/>
      <c r="AO86" s="68"/>
      <c r="AP86" s="68"/>
      <c r="AQ86" s="68"/>
      <c r="AR86" s="68"/>
      <c r="AS86" s="68"/>
      <c r="AT86" s="68"/>
      <c r="AU86" s="68"/>
      <c r="AV86" s="68"/>
      <c r="AW86" s="68"/>
      <c r="AX86" s="68"/>
      <c r="AY86" s="68"/>
      <c r="AZ86" s="68"/>
      <c r="BA86" s="68"/>
      <c r="BB86" s="68"/>
      <c r="BC86" s="68"/>
      <c r="BD86" s="340"/>
      <c r="BE86" s="68"/>
      <c r="BF86" s="68"/>
      <c r="BG86" s="68"/>
      <c r="BH86" s="68"/>
      <c r="BI86" s="68"/>
      <c r="BJ86" s="68"/>
      <c r="BK86" s="68"/>
      <c r="BL86" s="68"/>
      <c r="BM86" s="68"/>
      <c r="BN86" s="68"/>
      <c r="BO86" s="68"/>
      <c r="BP86" s="68"/>
      <c r="BQ86" s="68"/>
      <c r="BR86" s="68"/>
      <c r="BS86" s="68"/>
      <c r="BT86" s="68"/>
      <c r="BU86" s="68"/>
      <c r="BV86" s="68"/>
      <c r="BW86" s="68"/>
      <c r="BX86" s="83"/>
      <c r="BY86" s="1721"/>
      <c r="BZ86" s="1721"/>
      <c r="CA86" s="489" t="s">
        <v>1069</v>
      </c>
      <c r="CB86" s="984" t="s">
        <v>1073</v>
      </c>
      <c r="CC86" s="984" cm="1" t="str">
        <f t="array" ref="CC86:CC86">CC85</f>
        <v>0</v>
      </c>
      <c r="CD86" s="984" cm="1" t="str">
        <f t="array" ref="CD86:CD86">CD85</f>
        <v>0</v>
      </c>
      <c r="CE86" s="985"/>
      <c r="CF86" s="985"/>
      <c r="CG86" s="1721"/>
      <c r="CH86" s="1501" cm="1" t="str">
        <f t="array" ref="CH86:CH86">CH85</f>
        <v>ТЭ.42.31656254.0001</v>
      </c>
      <c r="CI86" s="1501" t="s">
        <v>1043</v>
      </c>
      <c r="CJ86" s="1501" t="s">
        <v>1074</v>
      </c>
      <c r="CK86" s="1501"/>
      <c r="CL86" s="1501"/>
      <c r="CM86" s="1501" t="s">
        <v>449</v>
      </c>
      <c r="CN86" s="1501" cm="1" t="str">
        <f t="array" ref="CN86:CN86">CN85</f>
        <v>0</v>
      </c>
      <c r="CO86" s="1501" t="s">
        <v>303</v>
      </c>
      <c r="CP86" s="1501" t="s">
        <v>1048</v>
      </c>
      <c r="CQ86" s="1501" t="s">
        <v>1049</v>
      </c>
      <c r="CR86" s="1721"/>
      <c r="CS86" s="1721"/>
      <c r="CT86" s="1721"/>
      <c r="CU86" s="1721"/>
    </row>
    <row s="1721" customFormat="1" customHeight="1" ht="16.5" hidden="1">
      <c r="A87" s="978" t="str">
        <f>"checkCosts_3."&amp;F87&amp;"."&amp;Y83</f>
        <v>checkCosts_3.1.0</v>
      </c>
      <c r="B87" s="1721"/>
      <c r="C87" s="1721"/>
      <c r="D87" s="1721"/>
      <c r="E87" s="284">
        <v>17</v>
      </c>
      <c r="F87" s="175" cm="1" t="str">
        <f t="array" ref="F87:F87">OFFSET(G87,-1,-1)</f>
        <v>1</v>
      </c>
      <c r="G87" s="1721"/>
      <c r="H87" s="193" cm="1" t="str">
        <f t="array" ref="H87:H87">H86</f>
        <v>0</v>
      </c>
      <c r="I87" s="1721"/>
      <c r="J87" s="1721"/>
      <c r="K87" s="1721"/>
      <c r="L87" s="1721"/>
      <c r="M87" s="1721"/>
      <c r="N87" s="1721"/>
      <c r="O87" s="1721"/>
      <c r="P87" s="1721"/>
      <c r="Q87" s="1721"/>
      <c r="R87" s="1721"/>
      <c r="S87" s="982"/>
      <c r="T87" s="973" cm="1" t="str">
        <f t="array" ref="T87:T87">T86</f>
        <v>false</v>
      </c>
      <c r="U87" s="1721"/>
      <c r="V87" s="1721"/>
      <c r="W87" s="1721"/>
      <c r="X87" s="1721"/>
      <c r="Y87" s="1721"/>
      <c r="Z87" s="1721"/>
      <c r="AA87" s="1533"/>
      <c r="AB87" s="559" t="str">
        <f>AB83&amp;".3"</f>
        <v>1.6.0.3</v>
      </c>
      <c r="AC87" s="560" t="s">
        <v>1077</v>
      </c>
      <c r="AD87" s="560"/>
      <c r="AE87" s="551" t="s">
        <v>1078</v>
      </c>
      <c r="AF87" s="68"/>
      <c r="AG87" s="68"/>
      <c r="AH87" s="68"/>
      <c r="AI87" s="68"/>
      <c r="AJ87" s="340"/>
      <c r="AK87" s="68"/>
      <c r="AL87" s="68"/>
      <c r="AM87" s="68"/>
      <c r="AN87" s="68"/>
      <c r="AO87" s="68"/>
      <c r="AP87" s="68"/>
      <c r="AQ87" s="68"/>
      <c r="AR87" s="68"/>
      <c r="AS87" s="68"/>
      <c r="AT87" s="68"/>
      <c r="AU87" s="68"/>
      <c r="AV87" s="68"/>
      <c r="AW87" s="68"/>
      <c r="AX87" s="68"/>
      <c r="AY87" s="68"/>
      <c r="AZ87" s="68"/>
      <c r="BA87" s="68"/>
      <c r="BB87" s="68"/>
      <c r="BC87" s="68"/>
      <c r="BD87" s="340"/>
      <c r="BE87" s="68"/>
      <c r="BF87" s="68"/>
      <c r="BG87" s="68"/>
      <c r="BH87" s="68"/>
      <c r="BI87" s="68"/>
      <c r="BJ87" s="68"/>
      <c r="BK87" s="68"/>
      <c r="BL87" s="68"/>
      <c r="BM87" s="68"/>
      <c r="BN87" s="68"/>
      <c r="BO87" s="68"/>
      <c r="BP87" s="68"/>
      <c r="BQ87" s="68"/>
      <c r="BR87" s="68"/>
      <c r="BS87" s="68"/>
      <c r="BT87" s="68"/>
      <c r="BU87" s="68"/>
      <c r="BV87" s="68"/>
      <c r="BW87" s="68"/>
      <c r="BX87" s="83"/>
      <c r="BY87" s="1721"/>
      <c r="BZ87" s="1721"/>
      <c r="CA87" s="489" t="s">
        <v>1079</v>
      </c>
      <c r="CB87" s="984" t="s">
        <v>1073</v>
      </c>
      <c r="CC87" s="984" cm="1" t="str">
        <f t="array" ref="CC87:CC87">CC86</f>
        <v>0</v>
      </c>
      <c r="CD87" s="984" cm="1" t="str">
        <f t="array" ref="CD87:CD87">CD86</f>
        <v>0</v>
      </c>
      <c r="CE87" s="985"/>
      <c r="CF87" s="985"/>
      <c r="CG87" s="1721"/>
      <c r="CH87" s="1501" cm="1" t="str">
        <f t="array" ref="CH87:CH87">CH86</f>
        <v>ТЭ.42.31656254.0001</v>
      </c>
      <c r="CI87" s="1501" t="s">
        <v>1043</v>
      </c>
      <c r="CJ87" s="1501" t="s">
        <v>1074</v>
      </c>
      <c r="CK87" s="1501"/>
      <c r="CL87" s="1501" t="s">
        <v>1080</v>
      </c>
      <c r="CM87" s="1501"/>
      <c r="CN87" s="1501" cm="1" t="str">
        <f t="array" ref="CN87:CN87">CN86</f>
        <v>0</v>
      </c>
      <c r="CO87" s="1501" t="s">
        <v>303</v>
      </c>
      <c r="CP87" s="1501" t="s">
        <v>1044</v>
      </c>
      <c r="CQ87" s="1501" t="s">
        <v>1045</v>
      </c>
      <c r="CR87" s="1721"/>
      <c r="CS87" s="1721"/>
      <c r="CT87" s="1721"/>
      <c r="CU87" s="1721"/>
    </row>
    <row s="1721" customFormat="1" customHeight="1" ht="16.5" hidden="1">
      <c r="A88" s="978" t="str">
        <f>"checkVolume_3."&amp;F88&amp;"."&amp;Y83</f>
        <v>checkVolume_3.1.0</v>
      </c>
      <c r="B88" s="1721"/>
      <c r="C88" s="1721"/>
      <c r="D88" s="1721"/>
      <c r="E88" s="284">
        <v>17</v>
      </c>
      <c r="F88" s="175" cm="1" t="str">
        <f t="array" ref="F88:F88">OFFSET(G88,-1,-1)</f>
        <v>1</v>
      </c>
      <c r="G88" s="1721"/>
      <c r="H88" s="193" cm="1" t="str">
        <f t="array" ref="H88:H88">H87</f>
        <v>0</v>
      </c>
      <c r="I88" s="1721"/>
      <c r="J88" s="1721"/>
      <c r="K88" s="1721"/>
      <c r="L88" s="1721"/>
      <c r="M88" s="1721"/>
      <c r="N88" s="1721"/>
      <c r="O88" s="1721"/>
      <c r="P88" s="1721"/>
      <c r="Q88" s="1721"/>
      <c r="R88" s="1721"/>
      <c r="S88" s="982"/>
      <c r="T88" s="973" cm="1" t="str">
        <f t="array" ref="T88:T88">T87</f>
        <v>false</v>
      </c>
      <c r="U88" s="1721"/>
      <c r="V88" s="1721"/>
      <c r="W88" s="1721"/>
      <c r="X88" s="1721"/>
      <c r="Y88" s="1721"/>
      <c r="Z88" s="1721"/>
      <c r="AA88" s="1533"/>
      <c r="AB88" s="569" t="str">
        <f>AB83&amp;".3.1"</f>
        <v>1.6.0.3.1</v>
      </c>
      <c r="AC88" s="578" t="s">
        <v>1081</v>
      </c>
      <c r="AD88" s="578"/>
      <c r="AE88" s="330" t="s">
        <v>1082</v>
      </c>
      <c r="AF88" s="104"/>
      <c r="AG88" s="104"/>
      <c r="AH88" s="104"/>
      <c r="AI88" s="104"/>
      <c r="AJ88" s="571"/>
      <c r="AK88" s="104"/>
      <c r="AL88" s="104"/>
      <c r="AM88" s="104"/>
      <c r="AN88" s="104"/>
      <c r="AO88" s="104"/>
      <c r="AP88" s="104"/>
      <c r="AQ88" s="104"/>
      <c r="AR88" s="104"/>
      <c r="AS88" s="104"/>
      <c r="AT88" s="104"/>
      <c r="AU88" s="104"/>
      <c r="AV88" s="104"/>
      <c r="AW88" s="104"/>
      <c r="AX88" s="104"/>
      <c r="AY88" s="104"/>
      <c r="AZ88" s="104"/>
      <c r="BA88" s="104"/>
      <c r="BB88" s="104"/>
      <c r="BC88" s="104"/>
      <c r="BD88" s="571"/>
      <c r="BE88" s="104"/>
      <c r="BF88" s="104"/>
      <c r="BG88" s="104"/>
      <c r="BH88" s="104"/>
      <c r="BI88" s="104"/>
      <c r="BJ88" s="104"/>
      <c r="BK88" s="104"/>
      <c r="BL88" s="104"/>
      <c r="BM88" s="104"/>
      <c r="BN88" s="104"/>
      <c r="BO88" s="104"/>
      <c r="BP88" s="104"/>
      <c r="BQ88" s="104"/>
      <c r="BR88" s="104"/>
      <c r="BS88" s="104"/>
      <c r="BT88" s="104"/>
      <c r="BU88" s="104"/>
      <c r="BV88" s="104"/>
      <c r="BW88" s="104"/>
      <c r="BX88" s="84"/>
      <c r="BY88" s="1721"/>
      <c r="BZ88" s="1721"/>
      <c r="CA88" s="489" t="s">
        <v>1083</v>
      </c>
      <c r="CB88" s="984" t="s">
        <v>1073</v>
      </c>
      <c r="CC88" s="984" cm="1" t="str">
        <f t="array" ref="CC88:CC88">CC87</f>
        <v>0</v>
      </c>
      <c r="CD88" s="984" cm="1" t="str">
        <f t="array" ref="CD88:CD88">CD87</f>
        <v>0</v>
      </c>
      <c r="CE88" s="985"/>
      <c r="CF88" s="985"/>
      <c r="CG88" s="1721"/>
      <c r="CH88" s="1501" cm="1" t="str">
        <f t="array" ref="CH88:CH88">CH87</f>
        <v>ТЭ.42.31656254.0001</v>
      </c>
      <c r="CI88" s="1501" t="s">
        <v>1043</v>
      </c>
      <c r="CJ88" s="1501" t="s">
        <v>1074</v>
      </c>
      <c r="CK88" s="1501"/>
      <c r="CL88" s="1501"/>
      <c r="CM88" s="1501" t="s">
        <v>883</v>
      </c>
      <c r="CN88" s="1501" cm="1" t="str">
        <f t="array" ref="CN88:CN88">CN87</f>
        <v>0</v>
      </c>
      <c r="CO88" s="1501" t="s">
        <v>303</v>
      </c>
      <c r="CP88" s="1501" t="s">
        <v>1084</v>
      </c>
      <c r="CQ88" s="1501" t="s">
        <v>1085</v>
      </c>
      <c r="CR88" s="1721"/>
      <c r="CS88" s="1721"/>
      <c r="CT88" s="1721"/>
      <c r="CU88" s="1721"/>
    </row>
    <row s="1659" customFormat="1" customHeight="1" ht="16.5">
      <c r="A89" s="1659"/>
      <c r="B89" s="1659"/>
      <c r="C89" s="1659"/>
      <c r="D89" s="1659"/>
      <c r="E89" s="180">
        <v>17</v>
      </c>
      <c r="F89" s="175" cm="1" t="str">
        <f t="array" ref="F89:F89">OFFSET(G89,-1,-1)</f>
        <v>1</v>
      </c>
      <c r="G89" s="1659"/>
      <c r="H89" s="1659"/>
      <c r="I89" s="1659"/>
      <c r="J89" s="1659"/>
      <c r="K89" s="1659"/>
      <c r="L89" s="1659"/>
      <c r="M89" s="1659"/>
      <c r="N89" s="1659"/>
      <c r="O89" s="1659"/>
      <c r="P89" s="1659"/>
      <c r="Q89" s="1659"/>
      <c r="R89" s="1659"/>
      <c r="S89" s="1659"/>
      <c r="T89" s="973">
        <f>F89&gt;0</f>
        <v>1</v>
      </c>
      <c r="U89" s="1659"/>
      <c r="V89" s="1659"/>
      <c r="W89" s="176" t="s">
        <v>1086</v>
      </c>
      <c r="X89" s="1659"/>
      <c r="Y89" s="1659"/>
      <c r="Z89" s="1659"/>
      <c r="AA89" s="1659"/>
      <c r="AB89" s="573"/>
      <c r="AC89" s="574" t="s">
        <v>1087</v>
      </c>
      <c r="AD89" s="574"/>
      <c r="AE89" s="574"/>
      <c r="AF89" s="574"/>
      <c r="AG89" s="574"/>
      <c r="AH89" s="574"/>
      <c r="AI89" s="574"/>
      <c r="AJ89" s="574"/>
      <c r="AK89" s="574"/>
      <c r="AL89" s="574"/>
      <c r="AM89" s="574"/>
      <c r="AN89" s="574"/>
      <c r="AO89" s="574"/>
      <c r="AP89" s="574"/>
      <c r="AQ89" s="574"/>
      <c r="AR89" s="574"/>
      <c r="AS89" s="574"/>
      <c r="AT89" s="574"/>
      <c r="AU89" s="574"/>
      <c r="AV89" s="574"/>
      <c r="AW89" s="574"/>
      <c r="AX89" s="574"/>
      <c r="AY89" s="574"/>
      <c r="AZ89" s="574"/>
      <c r="BA89" s="574"/>
      <c r="BB89" s="574"/>
      <c r="BC89" s="574"/>
      <c r="BD89" s="574"/>
      <c r="BE89" s="574"/>
      <c r="BF89" s="574"/>
      <c r="BG89" s="574"/>
      <c r="BH89" s="574"/>
      <c r="BI89" s="574"/>
      <c r="BJ89" s="574"/>
      <c r="BK89" s="574"/>
      <c r="BL89" s="574"/>
      <c r="BM89" s="574"/>
      <c r="BN89" s="574"/>
      <c r="BO89" s="574"/>
      <c r="BP89" s="574"/>
      <c r="BQ89" s="574"/>
      <c r="BR89" s="574"/>
      <c r="BS89" s="574"/>
      <c r="BT89" s="574"/>
      <c r="BU89" s="574"/>
      <c r="BV89" s="574"/>
      <c r="BW89" s="574"/>
      <c r="BX89" s="575"/>
      <c r="BY89" s="1659"/>
      <c r="BZ89" s="1659"/>
      <c r="CA89" s="489"/>
      <c r="CB89" s="489"/>
      <c r="CC89" s="489"/>
      <c r="CD89" s="489"/>
      <c r="CE89" s="546" t="s">
        <v>1073</v>
      </c>
      <c r="CF89" s="546"/>
      <c r="CG89" s="1659"/>
      <c r="CH89" s="1502" cm="1" t="str">
        <f t="array" ref="CH89:CH89">OFFSET(CI89,-1,-1)</f>
        <v>ТЭ.42.31656254.0001</v>
      </c>
      <c r="CI89" s="1501"/>
      <c r="CJ89" s="1501"/>
      <c r="CK89" s="1501"/>
      <c r="CL89" s="1501"/>
      <c r="CM89" s="1501"/>
      <c r="CN89" s="1501"/>
      <c r="CO89" s="1501"/>
      <c r="CP89" s="1501"/>
      <c r="CQ89" s="1501"/>
      <c r="CR89" s="1659"/>
      <c r="CS89" s="1659"/>
      <c r="CT89" s="1659"/>
      <c r="CU89" s="1659"/>
    </row>
    <row s="1659" customFormat="1" customHeight="1" ht="12" hidden="1">
      <c r="A90" s="1659"/>
      <c r="B90" s="1659"/>
      <c r="C90" s="1659"/>
      <c r="D90" s="1659"/>
      <c r="E90" s="965">
        <v>0</v>
      </c>
      <c r="F90" s="175" cm="1" t="str">
        <f t="array" ref="F90:F90">OFFSET(G90,-1,-1)</f>
        <v>1</v>
      </c>
      <c r="G90" s="1659"/>
      <c r="H90" s="1659"/>
      <c r="I90" s="1659"/>
      <c r="J90" s="1659"/>
      <c r="K90" s="1659"/>
      <c r="L90" s="1659"/>
      <c r="M90" s="1659"/>
      <c r="N90" s="1659"/>
      <c r="O90" s="1659"/>
      <c r="P90" s="1659"/>
      <c r="Q90" s="1659"/>
      <c r="R90" s="1659"/>
      <c r="S90" s="1659"/>
      <c r="T90" s="973">
        <f>F90&gt;0</f>
        <v>1</v>
      </c>
      <c r="U90" s="1659"/>
      <c r="V90" s="1659"/>
      <c r="W90" s="1659"/>
      <c r="X90" s="1659"/>
      <c r="Y90" s="1659"/>
      <c r="Z90" s="1659"/>
      <c r="AA90" s="1659"/>
      <c r="AB90" s="1659"/>
      <c r="AC90" s="1659"/>
      <c r="AD90" s="1659"/>
      <c r="AE90" s="1659"/>
      <c r="AF90" s="1659"/>
      <c r="AG90" s="1659"/>
      <c r="AH90" s="1659"/>
      <c r="AI90" s="1659"/>
      <c r="AJ90" s="1659"/>
      <c r="AK90" s="1659"/>
      <c r="AL90" s="1659"/>
      <c r="AM90" s="1659"/>
      <c r="AN90" s="1659"/>
      <c r="AO90" s="1659"/>
      <c r="AP90" s="1659"/>
      <c r="AQ90" s="1659"/>
      <c r="AR90" s="1659"/>
      <c r="AS90" s="1659"/>
      <c r="AT90" s="1659"/>
      <c r="AU90" s="1659"/>
      <c r="AV90" s="1659"/>
      <c r="AW90" s="1659"/>
      <c r="AX90" s="1659"/>
      <c r="AY90" s="1659"/>
      <c r="AZ90" s="1659"/>
      <c r="BA90" s="1659"/>
      <c r="BB90" s="1659"/>
      <c r="BC90" s="1659"/>
      <c r="BD90" s="1659"/>
      <c r="BE90" s="1659"/>
      <c r="BF90" s="1659"/>
      <c r="BG90" s="1659"/>
      <c r="BH90" s="1659"/>
      <c r="BI90" s="1659"/>
      <c r="BJ90" s="1659"/>
      <c r="BK90" s="1659"/>
      <c r="BL90" s="1659"/>
      <c r="BM90" s="1659"/>
      <c r="BN90" s="1659"/>
      <c r="BO90" s="1659"/>
      <c r="BP90" s="1659"/>
      <c r="BQ90" s="1659"/>
      <c r="BR90" s="1659"/>
      <c r="BS90" s="1659"/>
      <c r="BT90" s="1659"/>
      <c r="BU90" s="1659"/>
      <c r="BV90" s="1659"/>
      <c r="BW90" s="1659"/>
      <c r="BX90" s="1659"/>
      <c r="BY90" s="1659"/>
      <c r="BZ90" s="1659"/>
      <c r="CA90" s="489"/>
      <c r="CB90" s="489"/>
      <c r="CC90" s="489"/>
      <c r="CD90" s="489"/>
      <c r="CE90" s="546"/>
      <c r="CF90" s="546"/>
      <c r="CG90" s="1659"/>
      <c r="CH90" s="1502" cm="1" t="str">
        <f t="array" ref="CH90:CH90">OFFSET(CI90,-1,-1)</f>
        <v>ТЭ.42.31656254.0001</v>
      </c>
      <c r="CI90" s="1501"/>
      <c r="CJ90" s="1501"/>
      <c r="CK90" s="1501"/>
      <c r="CL90" s="1501"/>
      <c r="CM90" s="1501"/>
      <c r="CN90" s="1501"/>
      <c r="CO90" s="1501"/>
      <c r="CP90" s="1501"/>
      <c r="CQ90" s="1501"/>
      <c r="CR90" s="1659"/>
      <c r="CS90" s="1659"/>
      <c r="CT90" s="1659"/>
      <c r="CU90" s="1659"/>
    </row>
    <row s="969" customFormat="1" customHeight="1" ht="14.25">
      <c r="A91" s="969"/>
      <c r="B91" s="969"/>
      <c r="C91" s="969"/>
      <c r="D91" s="969"/>
      <c r="E91" s="180">
        <v>15</v>
      </c>
      <c r="F91" s="175" cm="1" t="str">
        <f t="array" ref="F91:F91">OFFSET(G91,-1,-1)</f>
        <v>1</v>
      </c>
      <c r="G91" s="193" t="s">
        <v>1088</v>
      </c>
      <c r="H91" s="969"/>
      <c r="I91" s="308" t="s">
        <v>1040</v>
      </c>
      <c r="J91" s="969"/>
      <c r="K91" s="969"/>
      <c r="L91" s="969"/>
      <c r="M91" s="969"/>
      <c r="N91" s="969"/>
      <c r="O91" s="969"/>
      <c r="P91" s="969"/>
      <c r="Q91" s="969"/>
      <c r="R91" s="969"/>
      <c r="S91" s="969"/>
      <c r="T91" s="973">
        <f>F91&gt;0</f>
        <v>1</v>
      </c>
      <c r="U91" s="969"/>
      <c r="V91" s="969"/>
      <c r="W91" s="969"/>
      <c r="X91" s="969"/>
      <c r="Y91" s="969"/>
      <c r="Z91" s="969"/>
      <c r="AA91" s="969"/>
      <c r="AB91" s="583">
        <v>2</v>
      </c>
      <c r="AC91" s="584" t="s">
        <v>1089</v>
      </c>
      <c r="AD91" s="585"/>
      <c r="AE91" s="586" t="s">
        <v>917</v>
      </c>
      <c r="AF91" s="587">
        <f>SUMIF($I95:$I111,$I91,AF95:AF111)</f>
        <v>0</v>
      </c>
      <c r="AG91" s="587">
        <f>SUMIF($I95:$I111,$I91,AG95:AG111)</f>
        <v>0</v>
      </c>
      <c r="AH91" s="587">
        <f>SUMIF($I95:$I111,$I91,AH95:AH111)</f>
        <v>0</v>
      </c>
      <c r="AI91" s="587">
        <f>SUMIF($I95:$I111,$I91,AI95:AI111)</f>
        <v>0</v>
      </c>
      <c r="AJ91" s="587">
        <f>SUMIF($I95:$I111,$I91,AJ95:AJ111)</f>
        <v>0</v>
      </c>
      <c r="AK91" s="2286">
        <f>SUMIF($I95:$I111,$I91,AK95:AK111)</f>
        <v>0</v>
      </c>
      <c r="AL91" s="2286">
        <f>SUMIF($I95:$I111,$I91,AL95:AL111)</f>
        <v>0</v>
      </c>
      <c r="AM91" s="2286">
        <f>SUMIF($I95:$I111,$I91,AM95:AM111)</f>
        <v>0</v>
      </c>
      <c r="AN91" s="2286">
        <f>SUMIF($I95:$I111,$I91,AN95:AN111)</f>
        <v>0</v>
      </c>
      <c r="AO91" s="2286">
        <f>SUMIF($I95:$I111,$I91,AO95:AO111)</f>
        <v>0</v>
      </c>
      <c r="AP91" s="2286">
        <f>SUMIF($I95:$I111,$I91,AP95:AP111)</f>
        <v>0</v>
      </c>
      <c r="AQ91" s="2286">
        <f>SUMIF($I95:$I111,$I91,AQ95:AQ111)</f>
        <v>0</v>
      </c>
      <c r="AR91" s="2286">
        <f>SUMIF($I95:$I111,$I91,AR95:AR111)</f>
        <v>0</v>
      </c>
      <c r="AS91" s="2286">
        <f>SUMIF($I95:$I111,$I91,AS95:AS111)</f>
        <v>0</v>
      </c>
      <c r="AT91" s="2286">
        <f>SUMIF($I95:$I111,$I91,AT95:AT111)</f>
        <v>0</v>
      </c>
      <c r="AU91" s="2286">
        <f>SUMIF($I95:$I111,$I91,AU95:AU111)</f>
        <v>0</v>
      </c>
      <c r="AV91" s="2286">
        <f>SUMIF($I95:$I111,$I91,AV95:AV111)</f>
        <v>0</v>
      </c>
      <c r="AW91" s="2286">
        <f>SUMIF($I95:$I111,$I91,AW95:AW111)</f>
        <v>0</v>
      </c>
      <c r="AX91" s="2286">
        <f>SUMIF($I95:$I111,$I91,AX95:AX111)</f>
        <v>0</v>
      </c>
      <c r="AY91" s="2286">
        <f>SUMIF($I95:$I111,$I91,AY95:AY111)</f>
        <v>0</v>
      </c>
      <c r="AZ91" s="2286">
        <f>SUMIF($I95:$I111,$I91,AZ95:AZ111)</f>
        <v>0</v>
      </c>
      <c r="BA91" s="2286">
        <f>SUMIF($I95:$I111,$I91,BA95:BA111)</f>
        <v>0</v>
      </c>
      <c r="BB91" s="2286">
        <f>SUMIF($I95:$I111,$I91,BB95:BB111)</f>
        <v>0</v>
      </c>
      <c r="BC91" s="2286">
        <f>SUMIF($I95:$I111,$I91,BC95:BC111)</f>
        <v>0</v>
      </c>
      <c r="BD91" s="587">
        <f>SUMIF($I95:$I111,$I91,BD95:BD111)</f>
        <v>0</v>
      </c>
      <c r="BE91" s="2286">
        <f>SUMIF($I95:$I111,$I91,BE95:BE111)</f>
        <v>0</v>
      </c>
      <c r="BF91" s="2286">
        <f>SUMIF($I95:$I111,$I91,BF95:BF111)</f>
        <v>0</v>
      </c>
      <c r="BG91" s="2286">
        <f>SUMIF($I95:$I111,$I91,BG95:BG111)</f>
        <v>0</v>
      </c>
      <c r="BH91" s="2286">
        <f>SUMIF($I95:$I111,$I91,BH95:BH111)</f>
        <v>0</v>
      </c>
      <c r="BI91" s="2286">
        <f>SUMIF($I95:$I111,$I91,BI95:BI111)</f>
        <v>0</v>
      </c>
      <c r="BJ91" s="2286">
        <f>SUMIF($I95:$I111,$I91,BJ95:BJ111)</f>
        <v>0</v>
      </c>
      <c r="BK91" s="2286">
        <f>SUMIF($I95:$I111,$I91,BK95:BK111)</f>
        <v>0</v>
      </c>
      <c r="BL91" s="2286">
        <f>SUMIF($I95:$I111,$I91,BL95:BL111)</f>
        <v>0</v>
      </c>
      <c r="BM91" s="2286">
        <f>SUMIF($I95:$I111,$I91,BM95:BM111)</f>
        <v>0</v>
      </c>
      <c r="BN91" s="2286">
        <f>SUMIF($I95:$I111,$I91,BN95:BN111)</f>
        <v>0</v>
      </c>
      <c r="BO91" s="2286">
        <f>SUMIF($I95:$I111,$I91,BO95:BO111)</f>
        <v>0</v>
      </c>
      <c r="BP91" s="2286">
        <f>SUMIF($I95:$I111,$I91,BP95:BP111)</f>
        <v>0</v>
      </c>
      <c r="BQ91" s="2286">
        <f>SUMIF($I95:$I111,$I91,BQ95:BQ111)</f>
        <v>0</v>
      </c>
      <c r="BR91" s="2286">
        <f>SUMIF($I95:$I111,$I91,BR95:BR111)</f>
        <v>0</v>
      </c>
      <c r="BS91" s="2286">
        <f>SUMIF($I95:$I111,$I91,BS95:BS111)</f>
        <v>0</v>
      </c>
      <c r="BT91" s="2286">
        <f>SUMIF($I95:$I111,$I91,BT95:BT111)</f>
        <v>0</v>
      </c>
      <c r="BU91" s="2286">
        <f>SUMIF($I95:$I111,$I91,BU95:BU111)</f>
        <v>0</v>
      </c>
      <c r="BV91" s="2286">
        <f>SUMIF($I95:$I111,$I91,BV95:BV111)</f>
        <v>0</v>
      </c>
      <c r="BW91" s="2286">
        <f>SUMIF($I95:$I111,$I91,BW95:BW111)</f>
        <v>0</v>
      </c>
      <c r="BX91" s="1907"/>
      <c r="BY91" s="969"/>
      <c r="BZ91" s="969"/>
      <c r="CA91" s="489" t="s">
        <v>729</v>
      </c>
      <c r="CB91" s="489"/>
      <c r="CC91" s="489"/>
      <c r="CD91" s="489"/>
      <c r="CE91" s="546"/>
      <c r="CF91" s="546"/>
      <c r="CG91" s="969"/>
      <c r="CH91" s="1501" cm="1" t="str">
        <f t="array" ref="CH91:CH91">CH90</f>
        <v>ТЭ.42.31656254.0001</v>
      </c>
      <c r="CI91" s="1501" t="s">
        <v>1090</v>
      </c>
      <c r="CJ91" s="1501"/>
      <c r="CK91" s="1501"/>
      <c r="CL91" s="1501"/>
      <c r="CM91" s="1501" t="s">
        <v>219</v>
      </c>
      <c r="CN91" s="1501"/>
      <c r="CO91" s="1501" t="s">
        <v>303</v>
      </c>
      <c r="CP91" s="1501" t="s">
        <v>1044</v>
      </c>
      <c r="CQ91" s="1501" t="s">
        <v>1045</v>
      </c>
      <c r="CR91" s="969"/>
      <c r="CS91" s="969"/>
      <c r="CT91" s="969"/>
      <c r="CU91" s="969"/>
    </row>
    <row s="969" customFormat="1" customHeight="1" ht="14.25" hidden="1">
      <c r="A92" s="969"/>
      <c r="B92" s="969"/>
      <c r="C92" s="969"/>
      <c r="D92" s="969"/>
      <c r="E92" s="180">
        <v>15</v>
      </c>
      <c r="F92" s="175" cm="1" t="str">
        <f t="array" ref="F92:F92">OFFSET(G92,-1,-1)</f>
        <v>1</v>
      </c>
      <c r="G92" s="193" t="s">
        <v>1091</v>
      </c>
      <c r="H92" s="969"/>
      <c r="I92" s="969"/>
      <c r="J92" s="969"/>
      <c r="K92" s="969"/>
      <c r="L92" s="193" cm="1" t="str">
        <f t="array" ref="L92:L92">INDEX('Общие сведения'!$AK$169:$AK$202,MATCH($F92,'Общие сведения'!$Y$169:$Y$202,0))</f>
        <v>одноставочный</v>
      </c>
      <c r="M92" s="969"/>
      <c r="N92" s="969"/>
      <c r="O92" s="969"/>
      <c r="P92" s="969"/>
      <c r="Q92" s="969"/>
      <c r="R92" s="193" t="s">
        <v>1092</v>
      </c>
      <c r="S92" s="969"/>
      <c r="T92" s="973">
        <f>AND(F92&gt;0,L92="двухставочный")</f>
        <v>0</v>
      </c>
      <c r="U92" s="969"/>
      <c r="V92" s="969"/>
      <c r="W92" s="969"/>
      <c r="X92" s="969"/>
      <c r="Y92" s="969"/>
      <c r="Z92" s="969"/>
      <c r="AA92" s="477" t="s">
        <v>1093</v>
      </c>
      <c r="AB92" s="360" t="s">
        <v>1093</v>
      </c>
      <c r="AC92" s="589" t="s">
        <v>1094</v>
      </c>
      <c r="AD92" s="963"/>
      <c r="AE92" s="591" t="s">
        <v>917</v>
      </c>
      <c r="AF92" s="592">
        <f>_xlfn.SUMIFS(AF95:AF111,$AC95:$AC111,$AC92)</f>
        <v>0</v>
      </c>
      <c r="AG92" s="592">
        <f>_xlfn.SUMIFS(AG95:AG111,$AC95:$AC111,$AC92)</f>
        <v>0</v>
      </c>
      <c r="AH92" s="592">
        <f>_xlfn.SUMIFS(AH95:AH111,$AC95:$AC111,$AC92)</f>
        <v>0</v>
      </c>
      <c r="AI92" s="592">
        <f>_xlfn.SUMIFS(AI95:AI111,$AC95:$AC111,$AC92)</f>
        <v>0</v>
      </c>
      <c r="AJ92" s="592">
        <f>_xlfn.SUMIFS(AJ95:AJ111,$AC95:$AC111,$AC92)</f>
        <v>0</v>
      </c>
      <c r="AK92" s="75">
        <f>_xlfn.SUMIFS(AK95:AK111,$AC95:$AC111,$AC92)</f>
        <v>0</v>
      </c>
      <c r="AL92" s="75">
        <f>_xlfn.SUMIFS(AL95:AL111,$AC95:$AC111,$AC92)</f>
        <v>0</v>
      </c>
      <c r="AM92" s="75">
        <f>_xlfn.SUMIFS(AM95:AM111,$AC95:$AC111,$AC92)</f>
        <v>0</v>
      </c>
      <c r="AN92" s="75">
        <f>_xlfn.SUMIFS(AN95:AN111,$AC95:$AC111,$AC92)</f>
        <v>0</v>
      </c>
      <c r="AO92" s="75">
        <f>_xlfn.SUMIFS(AO95:AO111,$AC95:$AC111,$AC92)</f>
        <v>0</v>
      </c>
      <c r="AP92" s="75">
        <f>_xlfn.SUMIFS(AP95:AP111,$AC95:$AC111,$AC92)</f>
        <v>0</v>
      </c>
      <c r="AQ92" s="75">
        <f>_xlfn.SUMIFS(AQ95:AQ111,$AC95:$AC111,$AC92)</f>
        <v>0</v>
      </c>
      <c r="AR92" s="75">
        <f>_xlfn.SUMIFS(AR95:AR111,$AC95:$AC111,$AC92)</f>
        <v>0</v>
      </c>
      <c r="AS92" s="75">
        <f>_xlfn.SUMIFS(AS95:AS111,$AC95:$AC111,$AC92)</f>
        <v>0</v>
      </c>
      <c r="AT92" s="75">
        <f>_xlfn.SUMIFS(AT95:AT111,$AC95:$AC111,$AC92)</f>
        <v>0</v>
      </c>
      <c r="AU92" s="75">
        <f>_xlfn.SUMIFS(AU95:AU111,$AC95:$AC111,$AC92)</f>
        <v>0</v>
      </c>
      <c r="AV92" s="75">
        <f>_xlfn.SUMIFS(AV95:AV111,$AC95:$AC111,$AC92)</f>
        <v>0</v>
      </c>
      <c r="AW92" s="75">
        <f>_xlfn.SUMIFS(AW95:AW111,$AC95:$AC111,$AC92)</f>
        <v>0</v>
      </c>
      <c r="AX92" s="75">
        <f>_xlfn.SUMIFS(AX95:AX111,$AC95:$AC111,$AC92)</f>
        <v>0</v>
      </c>
      <c r="AY92" s="75">
        <f>_xlfn.SUMIFS(AY95:AY111,$AC95:$AC111,$AC92)</f>
        <v>0</v>
      </c>
      <c r="AZ92" s="75">
        <f>_xlfn.SUMIFS(AZ95:AZ111,$AC95:$AC111,$AC92)</f>
        <v>0</v>
      </c>
      <c r="BA92" s="75">
        <f>_xlfn.SUMIFS(BA95:BA111,$AC95:$AC111,$AC92)</f>
        <v>0</v>
      </c>
      <c r="BB92" s="75">
        <f>_xlfn.SUMIFS(BB95:BB111,$AC95:$AC111,$AC92)</f>
        <v>0</v>
      </c>
      <c r="BC92" s="75">
        <f>_xlfn.SUMIFS(BC95:BC111,$AC95:$AC111,$AC92)</f>
        <v>0</v>
      </c>
      <c r="BD92" s="592">
        <f>_xlfn.SUMIFS(BD95:BD111,$AC95:$AC111,$AC92)</f>
        <v>0</v>
      </c>
      <c r="BE92" s="75">
        <f>_xlfn.SUMIFS(BE95:BE111,$AC95:$AC111,$AC92)</f>
        <v>0</v>
      </c>
      <c r="BF92" s="75">
        <f>_xlfn.SUMIFS(BF95:BF111,$AC95:$AC111,$AC92)</f>
        <v>0</v>
      </c>
      <c r="BG92" s="75">
        <f>_xlfn.SUMIFS(BG95:BG111,$AC95:$AC111,$AC92)</f>
        <v>0</v>
      </c>
      <c r="BH92" s="75">
        <f>_xlfn.SUMIFS(BH95:BH111,$AC95:$AC111,$AC92)</f>
        <v>0</v>
      </c>
      <c r="BI92" s="75">
        <f>_xlfn.SUMIFS(BI95:BI111,$AC95:$AC111,$AC92)</f>
        <v>0</v>
      </c>
      <c r="BJ92" s="75">
        <f>_xlfn.SUMIFS(BJ95:BJ111,$AC95:$AC111,$AC92)</f>
        <v>0</v>
      </c>
      <c r="BK92" s="75">
        <f>_xlfn.SUMIFS(BK95:BK111,$AC95:$AC111,$AC92)</f>
        <v>0</v>
      </c>
      <c r="BL92" s="75">
        <f>_xlfn.SUMIFS(BL95:BL111,$AC95:$AC111,$AC92)</f>
        <v>0</v>
      </c>
      <c r="BM92" s="75">
        <f>_xlfn.SUMIFS(BM95:BM111,$AC95:$AC111,$AC92)</f>
        <v>0</v>
      </c>
      <c r="BN92" s="75">
        <f>_xlfn.SUMIFS(BN95:BN111,$AC95:$AC111,$AC92)</f>
        <v>0</v>
      </c>
      <c r="BO92" s="75">
        <f>_xlfn.SUMIFS(BO95:BO111,$AC95:$AC111,$AC92)</f>
        <v>0</v>
      </c>
      <c r="BP92" s="75">
        <f>_xlfn.SUMIFS(BP95:BP111,$AC95:$AC111,$AC92)</f>
        <v>0</v>
      </c>
      <c r="BQ92" s="75">
        <f>_xlfn.SUMIFS(BQ95:BQ111,$AC95:$AC111,$AC92)</f>
        <v>0</v>
      </c>
      <c r="BR92" s="75">
        <f>_xlfn.SUMIFS(BR95:BR111,$AC95:$AC111,$AC92)</f>
        <v>0</v>
      </c>
      <c r="BS92" s="75">
        <f>_xlfn.SUMIFS(BS95:BS111,$AC95:$AC111,$AC92)</f>
        <v>0</v>
      </c>
      <c r="BT92" s="75">
        <f>_xlfn.SUMIFS(BT95:BT111,$AC95:$AC111,$AC92)</f>
        <v>0</v>
      </c>
      <c r="BU92" s="75">
        <f>_xlfn.SUMIFS(BU95:BU111,$AC95:$AC111,$AC92)</f>
        <v>0</v>
      </c>
      <c r="BV92" s="75">
        <f>_xlfn.SUMIFS(BV95:BV111,$AC95:$AC111,$AC92)</f>
        <v>0</v>
      </c>
      <c r="BW92" s="75">
        <f>_xlfn.SUMIFS(BW95:BW111,$AC95:$AC111,$AC92)</f>
        <v>0</v>
      </c>
      <c r="BX92" s="85"/>
      <c r="BY92" s="969"/>
      <c r="BZ92" s="969"/>
      <c r="CA92" s="489" t="s">
        <v>1095</v>
      </c>
      <c r="CB92" s="489"/>
      <c r="CC92" s="489"/>
      <c r="CD92" s="489"/>
      <c r="CE92" s="546"/>
      <c r="CF92" s="546"/>
      <c r="CG92" s="969"/>
      <c r="CH92" s="1501" cm="1" t="str">
        <f t="array" ref="CH92:CH92">CH91</f>
        <v>ТЭ.42.31656254.0001</v>
      </c>
      <c r="CI92" s="1501" t="s">
        <v>1090</v>
      </c>
      <c r="CJ92" s="1501"/>
      <c r="CK92" s="1501" t="s">
        <v>862</v>
      </c>
      <c r="CL92" s="1501"/>
      <c r="CM92" s="1501"/>
      <c r="CN92" s="1501"/>
      <c r="CO92" s="1501" t="s">
        <v>303</v>
      </c>
      <c r="CP92" s="1501" t="s">
        <v>1044</v>
      </c>
      <c r="CQ92" s="1501" t="s">
        <v>1045</v>
      </c>
      <c r="CR92" s="969"/>
      <c r="CS92" s="969"/>
      <c r="CT92" s="969"/>
      <c r="CU92" s="969"/>
    </row>
    <row s="969" customFormat="1" customHeight="1" ht="14.25">
      <c r="A93" s="969"/>
      <c r="B93" s="969"/>
      <c r="C93" s="969"/>
      <c r="D93" s="969"/>
      <c r="E93" s="180">
        <v>15</v>
      </c>
      <c r="F93" s="175" cm="1" t="str">
        <f t="array" ref="F93:F93">OFFSET(G93,-1,-1)</f>
        <v>1</v>
      </c>
      <c r="G93" s="969"/>
      <c r="H93" s="969"/>
      <c r="I93" s="969"/>
      <c r="J93" s="969"/>
      <c r="K93" s="969"/>
      <c r="L93" s="969"/>
      <c r="M93" s="969"/>
      <c r="N93" s="969"/>
      <c r="O93" s="969"/>
      <c r="P93" s="969"/>
      <c r="Q93" s="969"/>
      <c r="R93" s="969"/>
      <c r="S93" s="969"/>
      <c r="T93" s="973" cm="1" t="str">
        <f t="array" ref="T93:T93">T91</f>
        <v>true</v>
      </c>
      <c r="U93" s="969"/>
      <c r="V93" s="969"/>
      <c r="W93" s="969"/>
      <c r="X93" s="969"/>
      <c r="Y93" s="969"/>
      <c r="Z93" s="969"/>
      <c r="AA93" s="969"/>
      <c r="AB93" s="559">
        <v>2.1</v>
      </c>
      <c r="AC93" s="961" t="s">
        <v>1096</v>
      </c>
      <c r="AD93" s="964"/>
      <c r="AE93" s="962" t="s">
        <v>629</v>
      </c>
      <c r="AF93" s="346">
        <f>SUMIF($AE95:$AE111,$AE93,AF95:AF111)</f>
        <v>0</v>
      </c>
      <c r="AG93" s="346">
        <f>SUMIF($AE95:$AE111,$AE93,AG95:AG111)</f>
        <v>0</v>
      </c>
      <c r="AH93" s="346">
        <f>SUMIF($AE95:$AE111,$AE93,AH95:AH111)</f>
        <v>0</v>
      </c>
      <c r="AI93" s="346">
        <f>SUMIF($AE95:$AE111,$AE93,AI95:AI111)</f>
        <v>0</v>
      </c>
      <c r="AJ93" s="346">
        <f>SUMIF($AE95:$AE111,$AE93,AJ95:AJ111)</f>
        <v>0</v>
      </c>
      <c r="AK93" s="1859">
        <f>SUMIF($AE95:$AE111,$AE93,AK95:AK111)</f>
        <v>0</v>
      </c>
      <c r="AL93" s="1859">
        <f>SUMIF($AE95:$AE111,$AE93,AL95:AL111)</f>
        <v>0</v>
      </c>
      <c r="AM93" s="1859">
        <f>SUMIF($AE95:$AE111,$AE93,AM95:AM111)</f>
        <v>0</v>
      </c>
      <c r="AN93" s="1859">
        <f>SUMIF($AE95:$AE111,$AE93,AN95:AN111)</f>
        <v>0</v>
      </c>
      <c r="AO93" s="1859">
        <f>SUMIF($AE95:$AE111,$AE93,AO95:AO111)</f>
        <v>0</v>
      </c>
      <c r="AP93" s="1859">
        <f>SUMIF($AE95:$AE111,$AE93,AP95:AP111)</f>
        <v>0</v>
      </c>
      <c r="AQ93" s="1859">
        <f>SUMIF($AE95:$AE111,$AE93,AQ95:AQ111)</f>
        <v>0</v>
      </c>
      <c r="AR93" s="1859">
        <f>SUMIF($AE95:$AE111,$AE93,AR95:AR111)</f>
        <v>0</v>
      </c>
      <c r="AS93" s="1859">
        <f>SUMIF($AE95:$AE111,$AE93,AS95:AS111)</f>
        <v>0</v>
      </c>
      <c r="AT93" s="1859">
        <f>SUMIF($AE95:$AE111,$AE93,AT95:AT111)</f>
        <v>0</v>
      </c>
      <c r="AU93" s="1859">
        <f>SUMIF($AE95:$AE111,$AE93,AU95:AU111)</f>
        <v>0</v>
      </c>
      <c r="AV93" s="1859">
        <f>SUMIF($AE95:$AE111,$AE93,AV95:AV111)</f>
        <v>0</v>
      </c>
      <c r="AW93" s="1859">
        <f>SUMIF($AE95:$AE111,$AE93,AW95:AW111)</f>
        <v>0</v>
      </c>
      <c r="AX93" s="1859">
        <f>SUMIF($AE95:$AE111,$AE93,AX95:AX111)</f>
        <v>0</v>
      </c>
      <c r="AY93" s="1859">
        <f>SUMIF($AE95:$AE111,$AE93,AY95:AY111)</f>
        <v>0</v>
      </c>
      <c r="AZ93" s="1859">
        <f>SUMIF($AE95:$AE111,$AE93,AZ95:AZ111)</f>
        <v>0</v>
      </c>
      <c r="BA93" s="1859">
        <f>SUMIF($AE95:$AE111,$AE93,BA95:BA111)</f>
        <v>0</v>
      </c>
      <c r="BB93" s="1859">
        <f>SUMIF($AE95:$AE111,$AE93,BB95:BB111)</f>
        <v>0</v>
      </c>
      <c r="BC93" s="1859">
        <f>SUMIF($AE95:$AE111,$AE93,BC95:BC111)</f>
        <v>0</v>
      </c>
      <c r="BD93" s="346">
        <f>SUMIF($AE95:$AE111,$AE93,BD95:BD111)</f>
        <v>0</v>
      </c>
      <c r="BE93" s="1859">
        <f>SUMIF($AE95:$AE111,$AE93,BE95:BE111)</f>
        <v>0</v>
      </c>
      <c r="BF93" s="1859">
        <f>SUMIF($AE95:$AE111,$AE93,BF95:BF111)</f>
        <v>0</v>
      </c>
      <c r="BG93" s="1859">
        <f>SUMIF($AE95:$AE111,$AE93,BG95:BG111)</f>
        <v>0</v>
      </c>
      <c r="BH93" s="1859">
        <f>SUMIF($AE95:$AE111,$AE93,BH95:BH111)</f>
        <v>0</v>
      </c>
      <c r="BI93" s="1859">
        <f>SUMIF($AE95:$AE111,$AE93,BI95:BI111)</f>
        <v>0</v>
      </c>
      <c r="BJ93" s="1859">
        <f>SUMIF($AE95:$AE111,$AE93,BJ95:BJ111)</f>
        <v>0</v>
      </c>
      <c r="BK93" s="1859">
        <f>SUMIF($AE95:$AE111,$AE93,BK95:BK111)</f>
        <v>0</v>
      </c>
      <c r="BL93" s="1859">
        <f>SUMIF($AE95:$AE111,$AE93,BL95:BL111)</f>
        <v>0</v>
      </c>
      <c r="BM93" s="1859">
        <f>SUMIF($AE95:$AE111,$AE93,BM95:BM111)</f>
        <v>0</v>
      </c>
      <c r="BN93" s="1859">
        <f>SUMIF($AE95:$AE111,$AE93,BN95:BN111)</f>
        <v>0</v>
      </c>
      <c r="BO93" s="1859">
        <f>SUMIF($AE95:$AE111,$AE93,BO95:BO111)</f>
        <v>0</v>
      </c>
      <c r="BP93" s="1859">
        <f>SUMIF($AE95:$AE111,$AE93,BP95:BP111)</f>
        <v>0</v>
      </c>
      <c r="BQ93" s="1859">
        <f>SUMIF($AE95:$AE111,$AE93,BQ95:BQ111)</f>
        <v>0</v>
      </c>
      <c r="BR93" s="1859">
        <f>SUMIF($AE95:$AE111,$AE93,BR95:BR111)</f>
        <v>0</v>
      </c>
      <c r="BS93" s="1859">
        <f>SUMIF($AE95:$AE111,$AE93,BS95:BS111)</f>
        <v>0</v>
      </c>
      <c r="BT93" s="1859">
        <f>SUMIF($AE95:$AE111,$AE93,BT95:BT111)</f>
        <v>0</v>
      </c>
      <c r="BU93" s="1859">
        <f>SUMIF($AE95:$AE111,$AE93,BU95:BU111)</f>
        <v>0</v>
      </c>
      <c r="BV93" s="1859">
        <f>SUMIF($AE95:$AE111,$AE93,BV95:BV111)</f>
        <v>0</v>
      </c>
      <c r="BW93" s="1859">
        <f>SUMIF($AE95:$AE111,$AE93,BW95:BW111)</f>
        <v>0</v>
      </c>
      <c r="BX93" s="1907"/>
      <c r="BY93" s="969"/>
      <c r="BZ93" s="969"/>
      <c r="CA93" s="489" t="s">
        <v>1097</v>
      </c>
      <c r="CB93" s="489"/>
      <c r="CC93" s="489"/>
      <c r="CD93" s="489"/>
      <c r="CE93" s="546"/>
      <c r="CF93" s="546"/>
      <c r="CG93" s="969"/>
      <c r="CH93" s="1501" cm="1" t="str">
        <f t="array" ref="CH93:CH93">CH92</f>
        <v>ТЭ.42.31656254.0001</v>
      </c>
      <c r="CI93" s="1501" t="s">
        <v>1090</v>
      </c>
      <c r="CJ93" s="1501"/>
      <c r="CK93" s="1501"/>
      <c r="CL93" s="1501"/>
      <c r="CM93" s="1501" t="s">
        <v>255</v>
      </c>
      <c r="CN93" s="1501"/>
      <c r="CO93" s="1501" t="s">
        <v>303</v>
      </c>
      <c r="CP93" s="1501" t="s">
        <v>679</v>
      </c>
      <c r="CQ93" s="1501" t="s">
        <v>680</v>
      </c>
      <c r="CR93" s="969"/>
      <c r="CS93" s="969"/>
      <c r="CT93" s="969"/>
      <c r="CU93" s="969"/>
    </row>
    <row s="969" customFormat="1" customHeight="1" ht="14.25">
      <c r="A94" s="969"/>
      <c r="B94" s="969"/>
      <c r="C94" s="969"/>
      <c r="D94" s="969"/>
      <c r="E94" s="180">
        <v>15</v>
      </c>
      <c r="F94" s="175" cm="1" t="str">
        <f t="array" ref="F94:F94">OFFSET(G94,-1,-1)</f>
        <v>1</v>
      </c>
      <c r="G94" s="969"/>
      <c r="H94" s="969"/>
      <c r="I94" s="969"/>
      <c r="J94" s="969"/>
      <c r="K94" s="969"/>
      <c r="L94" s="969"/>
      <c r="M94" s="969"/>
      <c r="N94" s="969"/>
      <c r="O94" s="969"/>
      <c r="P94" s="969"/>
      <c r="Q94" s="969"/>
      <c r="R94" s="969"/>
      <c r="S94" s="969"/>
      <c r="T94" s="973" cm="1" t="str">
        <f t="array" ref="T94:T94">T93</f>
        <v>true</v>
      </c>
      <c r="U94" s="969"/>
      <c r="V94" s="969"/>
      <c r="W94" s="969"/>
      <c r="X94" s="969"/>
      <c r="Y94" s="969"/>
      <c r="Z94" s="969"/>
      <c r="AA94" s="969"/>
      <c r="AB94" s="559">
        <v>2.2</v>
      </c>
      <c r="AC94" s="961" t="s">
        <v>1053</v>
      </c>
      <c r="AD94" s="964"/>
      <c r="AE94" s="962" t="s">
        <v>1098</v>
      </c>
      <c r="AF94" s="346">
        <f>IF(AF93=0,0,AF91/AF93)*1000</f>
        <v>0</v>
      </c>
      <c r="AG94" s="346">
        <f>IF(AG93=0,0,AG91/AG93)*1000</f>
        <v>0</v>
      </c>
      <c r="AH94" s="346">
        <f>IF(AH93=0,0,AH91/AH93)*1000</f>
        <v>0</v>
      </c>
      <c r="AI94" s="346">
        <f>IF(AI93=0,0,AI91/AI93)*1000</f>
        <v>0</v>
      </c>
      <c r="AJ94" s="346">
        <f>IF(AJ93=0,0,AJ91/AJ93)*1000</f>
        <v>0</v>
      </c>
      <c r="AK94" s="1859">
        <f>IF(AK93=0,0,AK91/AK93)*1000</f>
        <v>0</v>
      </c>
      <c r="AL94" s="1859">
        <f>IF(AL93=0,0,AL91/AL93)*1000</f>
        <v>0</v>
      </c>
      <c r="AM94" s="1859">
        <f>IF(AM93=0,0,AM91/AM93)*1000</f>
        <v>0</v>
      </c>
      <c r="AN94" s="1859">
        <f>IF(AN93=0,0,AN91/AN93)*1000</f>
        <v>0</v>
      </c>
      <c r="AO94" s="1859">
        <f>IF(AO93=0,0,AO91/AO93)*1000</f>
        <v>0</v>
      </c>
      <c r="AP94" s="1859">
        <f>IF(AP93=0,0,AP91/AP93)*1000</f>
        <v>0</v>
      </c>
      <c r="AQ94" s="1859">
        <f>IF(AQ93=0,0,AQ91/AQ93)*1000</f>
        <v>0</v>
      </c>
      <c r="AR94" s="1859">
        <f>IF(AR93=0,0,AR91/AR93)*1000</f>
        <v>0</v>
      </c>
      <c r="AS94" s="1859">
        <f>IF(AS93=0,0,AS91/AS93)*1000</f>
        <v>0</v>
      </c>
      <c r="AT94" s="1859">
        <f>IF(AT93=0,0,AT91/AT93)*1000</f>
        <v>0</v>
      </c>
      <c r="AU94" s="1859">
        <f>IF(AU93=0,0,AU91/AU93)*1000</f>
        <v>0</v>
      </c>
      <c r="AV94" s="1859">
        <f>IF(AV93=0,0,AV91/AV93)*1000</f>
        <v>0</v>
      </c>
      <c r="AW94" s="1859">
        <f>IF(AW93=0,0,AW91/AW93)*1000</f>
        <v>0</v>
      </c>
      <c r="AX94" s="1859">
        <f>IF(AX93=0,0,AX91/AX93)*1000</f>
        <v>0</v>
      </c>
      <c r="AY94" s="1859">
        <f>IF(AY93=0,0,AY91/AY93)*1000</f>
        <v>0</v>
      </c>
      <c r="AZ94" s="1859">
        <f>IF(AZ93=0,0,AZ91/AZ93)*1000</f>
        <v>0</v>
      </c>
      <c r="BA94" s="1859">
        <f>IF(BA93=0,0,BA91/BA93)*1000</f>
        <v>0</v>
      </c>
      <c r="BB94" s="1859">
        <f>IF(BB93=0,0,BB91/BB93)*1000</f>
        <v>0</v>
      </c>
      <c r="BC94" s="1859">
        <f>IF(BC93=0,0,BC91/BC93)*1000</f>
        <v>0</v>
      </c>
      <c r="BD94" s="346">
        <f>IF(BD93=0,0,BD91/BD93)*1000</f>
        <v>0</v>
      </c>
      <c r="BE94" s="1859">
        <f>IF(BE93=0,0,BE91/BE93)*1000</f>
        <v>0</v>
      </c>
      <c r="BF94" s="1859">
        <f>IF(BF93=0,0,BF91/BF93)*1000</f>
        <v>0</v>
      </c>
      <c r="BG94" s="1859">
        <f>IF(BG93=0,0,BG91/BG93)*1000</f>
        <v>0</v>
      </c>
      <c r="BH94" s="1859">
        <f>IF(BH93=0,0,BH91/BH93)*1000</f>
        <v>0</v>
      </c>
      <c r="BI94" s="1859">
        <f>IF(BI93=0,0,BI91/BI93)*1000</f>
        <v>0</v>
      </c>
      <c r="BJ94" s="1859">
        <f>IF(BJ93=0,0,BJ91/BJ93)*1000</f>
        <v>0</v>
      </c>
      <c r="BK94" s="1859">
        <f>IF(BK93=0,0,BK91/BK93)*1000</f>
        <v>0</v>
      </c>
      <c r="BL94" s="1859">
        <f>IF(BL93=0,0,BL91/BL93)*1000</f>
        <v>0</v>
      </c>
      <c r="BM94" s="1859">
        <f>IF(BM93=0,0,BM91/BM93)*1000</f>
        <v>0</v>
      </c>
      <c r="BN94" s="1859">
        <f>IF(BN93=0,0,BN91/BN93)*1000</f>
        <v>0</v>
      </c>
      <c r="BO94" s="1859">
        <f>IF(BO93=0,0,BO91/BO93)*1000</f>
        <v>0</v>
      </c>
      <c r="BP94" s="1859">
        <f>IF(BP93=0,0,BP91/BP93)*1000</f>
        <v>0</v>
      </c>
      <c r="BQ94" s="1859">
        <f>IF(BQ93=0,0,BQ91/BQ93)*1000</f>
        <v>0</v>
      </c>
      <c r="BR94" s="1859">
        <f>IF(BR93=0,0,BR91/BR93)*1000</f>
        <v>0</v>
      </c>
      <c r="BS94" s="1859">
        <f>IF(BS93=0,0,BS91/BS93)*1000</f>
        <v>0</v>
      </c>
      <c r="BT94" s="1859">
        <f>IF(BT93=0,0,BT91/BT93)*1000</f>
        <v>0</v>
      </c>
      <c r="BU94" s="1859">
        <f>IF(BU93=0,0,BU91/BU93)*1000</f>
        <v>0</v>
      </c>
      <c r="BV94" s="1859">
        <f>IF(BV93=0,0,BV91/BV93)*1000</f>
        <v>0</v>
      </c>
      <c r="BW94" s="1859">
        <f>IF(BW93=0,0,BW91/BW93)*1000</f>
        <v>0</v>
      </c>
      <c r="BX94" s="1907"/>
      <c r="BY94" s="969"/>
      <c r="BZ94" s="969"/>
      <c r="CA94" s="489" t="s">
        <v>1099</v>
      </c>
      <c r="CB94" s="489"/>
      <c r="CC94" s="489"/>
      <c r="CD94" s="489"/>
      <c r="CE94" s="546"/>
      <c r="CF94" s="546"/>
      <c r="CG94" s="969"/>
      <c r="CH94" s="1501" cm="1" t="str">
        <f t="array" ref="CH94:CH94">CH93</f>
        <v>ТЭ.42.31656254.0001</v>
      </c>
      <c r="CI94" s="1501" t="s">
        <v>1090</v>
      </c>
      <c r="CJ94" s="1501"/>
      <c r="CK94" s="1501"/>
      <c r="CL94" s="1501"/>
      <c r="CM94" s="1501" t="s">
        <v>449</v>
      </c>
      <c r="CN94" s="1501"/>
      <c r="CO94" s="1501" t="s">
        <v>303</v>
      </c>
      <c r="CP94" s="1501" t="s">
        <v>1100</v>
      </c>
      <c r="CQ94" s="1501" t="s">
        <v>1101</v>
      </c>
      <c r="CR94" s="969"/>
      <c r="CS94" s="969"/>
      <c r="CT94" s="969"/>
      <c r="CU94" s="969"/>
    </row>
    <row s="969" customFormat="1" customHeight="1" ht="14.25">
      <c r="A95" s="969"/>
      <c r="B95" s="969"/>
      <c r="C95" s="969"/>
      <c r="D95" s="969"/>
      <c r="E95" s="180">
        <v>15</v>
      </c>
      <c r="F95" s="175" cm="1" t="str">
        <f t="array" ref="F95:F95">OFFSET(G95,-1,-1)</f>
        <v>1</v>
      </c>
      <c r="G95" s="969"/>
      <c r="H95" s="969"/>
      <c r="I95" s="969"/>
      <c r="J95" s="969"/>
      <c r="K95" s="969"/>
      <c r="L95" s="969"/>
      <c r="M95" s="969"/>
      <c r="N95" s="969"/>
      <c r="O95" s="969"/>
      <c r="P95" s="969"/>
      <c r="Q95" s="969"/>
      <c r="R95" s="969"/>
      <c r="S95" s="969"/>
      <c r="T95" s="973" cm="1" t="str">
        <f t="array" ref="T95:T95">T93</f>
        <v>true</v>
      </c>
      <c r="U95" s="969"/>
      <c r="V95" s="969"/>
      <c r="W95" s="969"/>
      <c r="X95" s="969"/>
      <c r="Y95" s="969"/>
      <c r="Z95" s="969"/>
      <c r="AA95" s="969"/>
      <c r="AB95" s="593"/>
      <c r="AC95" s="282" t="s">
        <v>1059</v>
      </c>
      <c r="AD95" s="282"/>
      <c r="AE95" s="283"/>
      <c r="AF95" s="565"/>
      <c r="AG95" s="565"/>
      <c r="AH95" s="565"/>
      <c r="AI95" s="565"/>
      <c r="AJ95" s="565"/>
      <c r="AK95" s="565"/>
      <c r="AL95" s="565"/>
      <c r="AM95" s="565"/>
      <c r="AN95" s="565"/>
      <c r="AO95" s="565"/>
      <c r="AP95" s="565"/>
      <c r="AQ95" s="565"/>
      <c r="AR95" s="565"/>
      <c r="AS95" s="565"/>
      <c r="AT95" s="565"/>
      <c r="AU95" s="565"/>
      <c r="AV95" s="565"/>
      <c r="AW95" s="565"/>
      <c r="AX95" s="565"/>
      <c r="AY95" s="565"/>
      <c r="AZ95" s="565"/>
      <c r="BA95" s="565"/>
      <c r="BB95" s="565"/>
      <c r="BC95" s="565"/>
      <c r="BD95" s="565"/>
      <c r="BE95" s="565"/>
      <c r="BF95" s="565"/>
      <c r="BG95" s="565"/>
      <c r="BH95" s="565"/>
      <c r="BI95" s="565"/>
      <c r="BJ95" s="565"/>
      <c r="BK95" s="565"/>
      <c r="BL95" s="565"/>
      <c r="BM95" s="565"/>
      <c r="BN95" s="565"/>
      <c r="BO95" s="565"/>
      <c r="BP95" s="565"/>
      <c r="BQ95" s="565"/>
      <c r="BR95" s="565"/>
      <c r="BS95" s="565"/>
      <c r="BT95" s="565"/>
      <c r="BU95" s="565"/>
      <c r="BV95" s="565"/>
      <c r="BW95" s="565"/>
      <c r="BX95" s="566"/>
      <c r="BY95" s="969"/>
      <c r="BZ95" s="969"/>
      <c r="CA95" s="489"/>
      <c r="CB95" s="489"/>
      <c r="CC95" s="489"/>
      <c r="CD95" s="489"/>
      <c r="CE95" s="546"/>
      <c r="CF95" s="546"/>
      <c r="CG95" s="969"/>
      <c r="CH95" s="1501" cm="1" t="str">
        <f t="array" ref="CH95:CH95">CH94</f>
        <v>ТЭ.42.31656254.0001</v>
      </c>
      <c r="CI95" s="1501"/>
      <c r="CJ95" s="1501"/>
      <c r="CK95" s="1501"/>
      <c r="CL95" s="1501"/>
      <c r="CM95" s="1501"/>
      <c r="CN95" s="1501"/>
      <c r="CO95" s="1501"/>
      <c r="CP95" s="1501"/>
      <c r="CQ95" s="1501"/>
      <c r="CR95" s="969"/>
      <c r="CS95" s="969"/>
      <c r="CT95" s="969"/>
      <c r="CU95" s="969"/>
    </row>
    <row s="969" customFormat="1" customHeight="1" ht="17.25" hidden="1">
      <c r="A96" s="969"/>
      <c r="B96" s="969"/>
      <c r="C96" s="969"/>
      <c r="D96" s="969"/>
      <c r="E96" s="965">
        <v>0</v>
      </c>
      <c r="F96" s="175" cm="1" t="str">
        <f t="array" ref="F96:F96">OFFSET(G96,-1,-1)</f>
        <v>1</v>
      </c>
      <c r="G96" s="969"/>
      <c r="H96" s="969"/>
      <c r="I96" s="969"/>
      <c r="J96" s="969"/>
      <c r="K96" s="969"/>
      <c r="L96" s="969"/>
      <c r="M96" s="969"/>
      <c r="N96" s="969"/>
      <c r="O96" s="969"/>
      <c r="P96" s="969"/>
      <c r="Q96" s="969"/>
      <c r="R96" s="969"/>
      <c r="S96" s="969"/>
      <c r="T96" s="973" cm="1" t="str">
        <f t="array" ref="T96:T96">T95</f>
        <v>true</v>
      </c>
      <c r="U96" s="969"/>
      <c r="V96" s="969"/>
      <c r="W96" s="969"/>
      <c r="X96" s="969"/>
      <c r="Y96" s="969"/>
      <c r="Z96" s="969"/>
      <c r="AA96" s="969"/>
      <c r="AB96" s="554"/>
      <c r="AC96" s="555"/>
      <c r="AD96" s="594"/>
      <c r="AE96" s="595"/>
      <c r="AF96" s="596"/>
      <c r="AG96" s="596"/>
      <c r="AH96" s="596"/>
      <c r="AI96" s="596"/>
      <c r="AJ96" s="596"/>
      <c r="AK96" s="596"/>
      <c r="AL96" s="596"/>
      <c r="AM96" s="596"/>
      <c r="AN96" s="596"/>
      <c r="AO96" s="596"/>
      <c r="AP96" s="596"/>
      <c r="AQ96" s="596"/>
      <c r="AR96" s="596"/>
      <c r="AS96" s="596"/>
      <c r="AT96" s="596"/>
      <c r="AU96" s="596"/>
      <c r="AV96" s="596"/>
      <c r="AW96" s="596"/>
      <c r="AX96" s="596"/>
      <c r="AY96" s="596"/>
      <c r="AZ96" s="596"/>
      <c r="BA96" s="596"/>
      <c r="BB96" s="596"/>
      <c r="BC96" s="596"/>
      <c r="BD96" s="596"/>
      <c r="BE96" s="596"/>
      <c r="BF96" s="596"/>
      <c r="BG96" s="596"/>
      <c r="BH96" s="596"/>
      <c r="BI96" s="596"/>
      <c r="BJ96" s="596"/>
      <c r="BK96" s="596"/>
      <c r="BL96" s="596"/>
      <c r="BM96" s="596"/>
      <c r="BN96" s="596"/>
      <c r="BO96" s="596"/>
      <c r="BP96" s="596"/>
      <c r="BQ96" s="596"/>
      <c r="BR96" s="596"/>
      <c r="BS96" s="596"/>
      <c r="BT96" s="596"/>
      <c r="BU96" s="596"/>
      <c r="BV96" s="596"/>
      <c r="BW96" s="596"/>
      <c r="BX96" s="597"/>
      <c r="BY96" s="969"/>
      <c r="BZ96" s="969"/>
      <c r="CA96" s="489"/>
      <c r="CB96" s="489"/>
      <c r="CC96" s="489"/>
      <c r="CD96" s="489"/>
      <c r="CE96" s="546"/>
      <c r="CF96" s="546"/>
      <c r="CG96" s="969"/>
      <c r="CH96" s="1502" cm="1" t="str">
        <f t="array" ref="CH96:CH96">OFFSET(CI96,-1,-1)</f>
        <v>ТЭ.42.31656254.0001</v>
      </c>
      <c r="CI96" s="1501"/>
      <c r="CJ96" s="1501"/>
      <c r="CK96" s="1501"/>
      <c r="CL96" s="1501"/>
      <c r="CM96" s="1501"/>
      <c r="CN96" s="1501"/>
      <c r="CO96" s="1501"/>
      <c r="CP96" s="1501"/>
      <c r="CQ96" s="1501"/>
      <c r="CR96" s="969"/>
      <c r="CS96" s="969"/>
      <c r="CT96" s="969"/>
      <c r="CU96" s="969"/>
    </row>
    <row s="969" customFormat="1" customHeight="1" ht="14.25" hidden="1">
      <c r="A97" s="978" t="str">
        <f>"checkCosts_4."&amp;F97&amp;"."&amp;Y97</f>
        <v>checkCosts_4.1.0</v>
      </c>
      <c r="B97" s="969"/>
      <c r="C97" s="969"/>
      <c r="D97" s="969"/>
      <c r="E97" s="180">
        <v>15</v>
      </c>
      <c r="F97" s="175" cm="1" t="str">
        <f t="array" ref="F97:F97">OFFSET(G97,-1,-1)</f>
        <v>1</v>
      </c>
      <c r="G97" s="969"/>
      <c r="H97" s="193" cm="1" t="str">
        <f t="array" ref="H97:H97">AC97</f>
        <v>0</v>
      </c>
      <c r="I97" s="308" t="s">
        <v>1040</v>
      </c>
      <c r="J97" s="969"/>
      <c r="K97" s="969"/>
      <c r="L97" s="969"/>
      <c r="M97" s="969"/>
      <c r="N97" s="969"/>
      <c r="O97" s="969"/>
      <c r="P97" s="969"/>
      <c r="Q97" s="969"/>
      <c r="R97" s="969"/>
      <c r="S97" s="969"/>
      <c r="T97" s="973">
        <f>AND(F97&gt;0,Y97&gt;0)</f>
        <v>0</v>
      </c>
      <c r="U97" s="969"/>
      <c r="V97" s="969"/>
      <c r="W97" s="176" t="s">
        <v>189</v>
      </c>
      <c r="X97" s="969"/>
      <c r="Y97" s="175">
        <v>0</v>
      </c>
      <c r="Z97" s="969"/>
      <c r="AA97" s="1660" t="s">
        <v>171</v>
      </c>
      <c r="AB97" s="360" t="str">
        <f>"2.3."&amp;Y97</f>
        <v>2.3.0</v>
      </c>
      <c r="AC97" s="598"/>
      <c r="AD97" s="2277"/>
      <c r="AE97" s="591" t="s">
        <v>917</v>
      </c>
      <c r="AF97" s="71">
        <f>AF99*AF100/1000</f>
        <v>0</v>
      </c>
      <c r="AG97" s="71"/>
      <c r="AH97" s="71"/>
      <c r="AI97" s="71">
        <f>AI99*AI100/1000</f>
        <v>0</v>
      </c>
      <c r="AJ97" s="353"/>
      <c r="AK97" s="71"/>
      <c r="AL97" s="71"/>
      <c r="AM97" s="71"/>
      <c r="AN97" s="71"/>
      <c r="AO97" s="71"/>
      <c r="AP97" s="71"/>
      <c r="AQ97" s="71"/>
      <c r="AR97" s="71"/>
      <c r="AS97" s="71"/>
      <c r="AT97" s="71"/>
      <c r="AU97" s="71"/>
      <c r="AV97" s="71"/>
      <c r="AW97" s="71"/>
      <c r="AX97" s="71"/>
      <c r="AY97" s="71"/>
      <c r="AZ97" s="71"/>
      <c r="BA97" s="71"/>
      <c r="BB97" s="71"/>
      <c r="BC97" s="71"/>
      <c r="BD97" s="353">
        <f>BD99*BD100/1000</f>
        <v>0</v>
      </c>
      <c r="BE97" s="71">
        <f>BE99*BE100/1000</f>
        <v>0</v>
      </c>
      <c r="BF97" s="71">
        <f>BF99*BF100/1000</f>
        <v>0</v>
      </c>
      <c r="BG97" s="71">
        <f>BG99*BG100/1000</f>
        <v>0</v>
      </c>
      <c r="BH97" s="71">
        <f>BH99*BH100/1000</f>
        <v>0</v>
      </c>
      <c r="BI97" s="71">
        <f>BI99*BI100/1000</f>
        <v>0</v>
      </c>
      <c r="BJ97" s="71">
        <f>BJ99*BJ100/1000</f>
        <v>0</v>
      </c>
      <c r="BK97" s="71">
        <f>BK99*BK100/1000</f>
        <v>0</v>
      </c>
      <c r="BL97" s="71">
        <f>BL99*BL100/1000</f>
        <v>0</v>
      </c>
      <c r="BM97" s="71">
        <f>BM99*BM100/1000</f>
        <v>0</v>
      </c>
      <c r="BN97" s="71">
        <f>BN99*BN100/1000</f>
        <v>0</v>
      </c>
      <c r="BO97" s="71">
        <f>BO99*BO100/1000</f>
        <v>0</v>
      </c>
      <c r="BP97" s="71">
        <f>BP99*BP100/1000</f>
        <v>0</v>
      </c>
      <c r="BQ97" s="71">
        <f>BQ99*BQ100/1000</f>
        <v>0</v>
      </c>
      <c r="BR97" s="71">
        <f>BR99*BR100/1000</f>
        <v>0</v>
      </c>
      <c r="BS97" s="71">
        <f>BS99*BS100/1000</f>
        <v>0</v>
      </c>
      <c r="BT97" s="71">
        <f>BT99*BT100/1000</f>
        <v>0</v>
      </c>
      <c r="BU97" s="71">
        <f>BU99*BU100/1000</f>
        <v>0</v>
      </c>
      <c r="BV97" s="71">
        <f>BV99*BV100/1000</f>
        <v>0</v>
      </c>
      <c r="BW97" s="71">
        <f>BW99*BW100/1000</f>
        <v>0</v>
      </c>
      <c r="BX97" s="107"/>
      <c r="BY97" s="969"/>
      <c r="BZ97" s="969"/>
      <c r="CA97" s="489" t="s">
        <v>1102</v>
      </c>
      <c r="CB97" s="489" t="s">
        <v>1103</v>
      </c>
      <c r="CC97" s="489" cm="1" t="str">
        <f t="array" ref="CC97:CC97">AC97</f>
        <v>0</v>
      </c>
      <c r="CD97" s="984" cm="1" t="str">
        <f t="array" ref="CD97:CD97">AD97</f>
        <v>0</v>
      </c>
      <c r="CE97" s="546"/>
      <c r="CF97" s="546" t="b">
        <v>1</v>
      </c>
      <c r="CG97" s="969"/>
      <c r="CH97" s="1502" cm="1" t="str">
        <f t="array" ref="CH97:CH97">OFFSET(CI97,-1,-1)</f>
        <v>ТЭ.42.31656254.0001</v>
      </c>
      <c r="CI97" s="1501" t="s">
        <v>1090</v>
      </c>
      <c r="CJ97" s="1501" t="s">
        <v>1062</v>
      </c>
      <c r="CK97" s="1501"/>
      <c r="CL97" s="1501"/>
      <c r="CM97" s="1501" t="s">
        <v>219</v>
      </c>
      <c r="CN97" s="1501" cm="1" t="str">
        <f t="array" ref="CN97:CN97">$AC97</f>
        <v>0</v>
      </c>
      <c r="CO97" s="1501" t="s">
        <v>303</v>
      </c>
      <c r="CP97" s="1501" t="s">
        <v>1044</v>
      </c>
      <c r="CQ97" s="1501" t="s">
        <v>1045</v>
      </c>
      <c r="CR97" s="969"/>
      <c r="CS97" s="969"/>
      <c r="CT97" s="969"/>
      <c r="CU97" s="969"/>
    </row>
    <row s="969" customFormat="1" customHeight="1" ht="14.25" hidden="1">
      <c r="A98" s="969"/>
      <c r="B98" s="969"/>
      <c r="C98" s="969"/>
      <c r="D98" s="969"/>
      <c r="E98" s="180">
        <v>15</v>
      </c>
      <c r="F98" s="175" cm="1" t="str">
        <f t="array" ref="F98:F98">OFFSET(G98,-1,-1)</f>
        <v>1</v>
      </c>
      <c r="G98" s="969"/>
      <c r="H98" s="969"/>
      <c r="I98" s="969"/>
      <c r="J98" s="969"/>
      <c r="K98" s="969"/>
      <c r="L98" s="193" cm="1" t="str">
        <f t="array" ref="L98:L98">INDEX('Общие сведения'!$AK$169:$AK$202,MATCH($F98,'Общие сведения'!$Y$169:$Y$202,0))</f>
        <v>одноставочный</v>
      </c>
      <c r="M98" s="969"/>
      <c r="N98" s="969"/>
      <c r="O98" s="969"/>
      <c r="P98" s="969"/>
      <c r="Q98" s="969"/>
      <c r="R98" s="193" t="s">
        <v>1092</v>
      </c>
      <c r="S98" s="969"/>
      <c r="T98" s="973">
        <f>AND(T97,L98="двухставочный")</f>
        <v>0</v>
      </c>
      <c r="U98" s="969"/>
      <c r="V98" s="969"/>
      <c r="W98" s="969"/>
      <c r="X98" s="969"/>
      <c r="Y98" s="969"/>
      <c r="Z98" s="969"/>
      <c r="AA98" s="1661"/>
      <c r="AB98" s="360"/>
      <c r="AC98" s="589" t="s">
        <v>1094</v>
      </c>
      <c r="AD98" s="590"/>
      <c r="AE98" s="591" t="s">
        <v>917</v>
      </c>
      <c r="AF98" s="75"/>
      <c r="AG98" s="75"/>
      <c r="AH98" s="75"/>
      <c r="AI98" s="75"/>
      <c r="AJ98" s="370"/>
      <c r="AK98" s="75"/>
      <c r="AL98" s="75"/>
      <c r="AM98" s="75"/>
      <c r="AN98" s="75"/>
      <c r="AO98" s="75"/>
      <c r="AP98" s="75"/>
      <c r="AQ98" s="75"/>
      <c r="AR98" s="75"/>
      <c r="AS98" s="75"/>
      <c r="AT98" s="75"/>
      <c r="AU98" s="75"/>
      <c r="AV98" s="75"/>
      <c r="AW98" s="75"/>
      <c r="AX98" s="75"/>
      <c r="AY98" s="75"/>
      <c r="AZ98" s="75"/>
      <c r="BA98" s="75"/>
      <c r="BB98" s="75"/>
      <c r="BC98" s="75"/>
      <c r="BD98" s="370"/>
      <c r="BE98" s="75"/>
      <c r="BF98" s="75"/>
      <c r="BG98" s="75"/>
      <c r="BH98" s="75"/>
      <c r="BI98" s="75"/>
      <c r="BJ98" s="75"/>
      <c r="BK98" s="75"/>
      <c r="BL98" s="75"/>
      <c r="BM98" s="75"/>
      <c r="BN98" s="75"/>
      <c r="BO98" s="75"/>
      <c r="BP98" s="75"/>
      <c r="BQ98" s="75"/>
      <c r="BR98" s="75"/>
      <c r="BS98" s="75"/>
      <c r="BT98" s="75"/>
      <c r="BU98" s="75"/>
      <c r="BV98" s="75"/>
      <c r="BW98" s="75"/>
      <c r="BX98" s="108"/>
      <c r="BY98" s="969"/>
      <c r="BZ98" s="969"/>
      <c r="CA98" s="489" t="s">
        <v>1104</v>
      </c>
      <c r="CB98" s="489" t="s">
        <v>1103</v>
      </c>
      <c r="CC98" s="489" cm="1" t="str">
        <f t="array" ref="CC98:CC98">CC97</f>
        <v>0</v>
      </c>
      <c r="CD98" s="984" cm="1" t="str">
        <f t="array" ref="CD98:CD98">CD97</f>
        <v>0</v>
      </c>
      <c r="CE98" s="546"/>
      <c r="CF98" s="546"/>
      <c r="CG98" s="969"/>
      <c r="CH98" s="1501" cm="1" t="str">
        <f t="array" ref="CH98:CH98">CH97</f>
        <v>ТЭ.42.31656254.0001</v>
      </c>
      <c r="CI98" s="1501" t="s">
        <v>1090</v>
      </c>
      <c r="CJ98" s="1501" t="s">
        <v>1062</v>
      </c>
      <c r="CK98" s="1501" t="s">
        <v>862</v>
      </c>
      <c r="CL98" s="1501"/>
      <c r="CM98" s="1501"/>
      <c r="CN98" s="1501" cm="1" t="str">
        <f t="array" ref="CN98:CN98">CN97</f>
        <v>0</v>
      </c>
      <c r="CO98" s="1501" t="s">
        <v>303</v>
      </c>
      <c r="CP98" s="1501" t="s">
        <v>1044</v>
      </c>
      <c r="CQ98" s="1501" t="s">
        <v>1045</v>
      </c>
      <c r="CR98" s="969"/>
      <c r="CS98" s="969"/>
      <c r="CT98" s="969"/>
      <c r="CU98" s="969"/>
    </row>
    <row s="969" customFormat="1" customHeight="1" ht="14.25" hidden="1">
      <c r="A99" s="969"/>
      <c r="B99" s="969"/>
      <c r="C99" s="969"/>
      <c r="D99" s="969"/>
      <c r="E99" s="180">
        <v>15</v>
      </c>
      <c r="F99" s="175" cm="1" t="str">
        <f t="array" ref="F99:F99">OFFSET(G99,-1,-1)</f>
        <v>1</v>
      </c>
      <c r="G99" s="969"/>
      <c r="H99" s="193" cm="1" t="str">
        <f t="array" ref="H99:H99">H97</f>
        <v>0</v>
      </c>
      <c r="I99" s="969"/>
      <c r="J99" s="969"/>
      <c r="K99" s="969"/>
      <c r="L99" s="969"/>
      <c r="M99" s="969"/>
      <c r="N99" s="969"/>
      <c r="O99" s="969"/>
      <c r="P99" s="969"/>
      <c r="Q99" s="969"/>
      <c r="R99" s="969"/>
      <c r="S99" s="969"/>
      <c r="T99" s="973" cm="1" t="str">
        <f t="array" ref="T99:T99">T97</f>
        <v>false</v>
      </c>
      <c r="U99" s="969"/>
      <c r="V99" s="969"/>
      <c r="W99" s="969"/>
      <c r="X99" s="969"/>
      <c r="Y99" s="969"/>
      <c r="Z99" s="969"/>
      <c r="AA99" s="1661"/>
      <c r="AB99" s="360" t="str">
        <f>AB97&amp;".1"</f>
        <v>2.3.0.1</v>
      </c>
      <c r="AC99" s="589" t="s">
        <v>1063</v>
      </c>
      <c r="AD99" s="589"/>
      <c r="AE99" s="320" t="s">
        <v>1098</v>
      </c>
      <c r="AF99" s="75"/>
      <c r="AG99" s="592">
        <f>IF(AG100=0,0,AG97/AG100*1000)</f>
        <v>0</v>
      </c>
      <c r="AH99" s="592">
        <f>IF(AH100=0,0,AH97/AH100*1000)</f>
        <v>0</v>
      </c>
      <c r="AI99" s="75"/>
      <c r="AJ99" s="592">
        <f>IF(AJ100=0,0,AJ97/AJ100*1000)</f>
        <v>0</v>
      </c>
      <c r="AK99" s="592">
        <f>IF(AK100=0,0,AK97/AK100*1000)</f>
        <v>0</v>
      </c>
      <c r="AL99" s="592">
        <f>IF(AL100=0,0,AL97/AL100*1000)</f>
        <v>0</v>
      </c>
      <c r="AM99" s="592">
        <f>IF(AM100=0,0,AM97/AM100*1000)</f>
        <v>0</v>
      </c>
      <c r="AN99" s="592">
        <f>IF(AN100=0,0,AN97/AN100*1000)</f>
        <v>0</v>
      </c>
      <c r="AO99" s="592">
        <f>IF(AO100=0,0,AO97/AO100*1000)</f>
        <v>0</v>
      </c>
      <c r="AP99" s="592">
        <f>IF(AP100=0,0,AP97/AP100*1000)</f>
        <v>0</v>
      </c>
      <c r="AQ99" s="592">
        <f>IF(AQ100=0,0,AQ97/AQ100*1000)</f>
        <v>0</v>
      </c>
      <c r="AR99" s="592">
        <f>IF(AR100=0,0,AR97/AR100*1000)</f>
        <v>0</v>
      </c>
      <c r="AS99" s="592">
        <f>IF(AS100=0,0,AS97/AS100*1000)</f>
        <v>0</v>
      </c>
      <c r="AT99" s="592">
        <f>IF(AT100=0,0,AT97/AT100*1000)</f>
        <v>0</v>
      </c>
      <c r="AU99" s="592">
        <f>IF(AU100=0,0,AU97/AU100*1000)</f>
        <v>0</v>
      </c>
      <c r="AV99" s="592">
        <f>IF(AV100=0,0,AV97/AV100*1000)</f>
        <v>0</v>
      </c>
      <c r="AW99" s="592">
        <f>IF(AW100=0,0,AW97/AW100*1000)</f>
        <v>0</v>
      </c>
      <c r="AX99" s="592">
        <f>IF(AX100=0,0,AX97/AX100*1000)</f>
        <v>0</v>
      </c>
      <c r="AY99" s="592">
        <f>IF(AY100=0,0,AY97/AY100*1000)</f>
        <v>0</v>
      </c>
      <c r="AZ99" s="592">
        <f>IF(AZ100=0,0,AZ97/AZ100*1000)</f>
        <v>0</v>
      </c>
      <c r="BA99" s="592">
        <f>IF(BA100=0,0,BA97/BA100*1000)</f>
        <v>0</v>
      </c>
      <c r="BB99" s="592">
        <f>IF(BB100=0,0,BB97/BB100*1000)</f>
        <v>0</v>
      </c>
      <c r="BC99" s="592">
        <f>IF(BC100=0,0,BC97/BC100*1000)</f>
        <v>0</v>
      </c>
      <c r="BD99" s="370"/>
      <c r="BE99" s="75"/>
      <c r="BF99" s="75"/>
      <c r="BG99" s="75"/>
      <c r="BH99" s="75"/>
      <c r="BI99" s="75"/>
      <c r="BJ99" s="75"/>
      <c r="BK99" s="75"/>
      <c r="BL99" s="75"/>
      <c r="BM99" s="75"/>
      <c r="BN99" s="75"/>
      <c r="BO99" s="75"/>
      <c r="BP99" s="75"/>
      <c r="BQ99" s="75"/>
      <c r="BR99" s="75"/>
      <c r="BS99" s="75"/>
      <c r="BT99" s="75"/>
      <c r="BU99" s="75"/>
      <c r="BV99" s="75"/>
      <c r="BW99" s="75"/>
      <c r="BX99" s="83"/>
      <c r="BY99" s="969"/>
      <c r="BZ99" s="969"/>
      <c r="CA99" s="489" t="s">
        <v>1105</v>
      </c>
      <c r="CB99" s="489" t="s">
        <v>1103</v>
      </c>
      <c r="CC99" s="489" cm="1" t="str">
        <f t="array" ref="CC99:CC99">CC98</f>
        <v>0</v>
      </c>
      <c r="CD99" s="984" cm="1" t="str">
        <f t="array" ref="CD99:CD99">CD98</f>
        <v>0</v>
      </c>
      <c r="CE99" s="546"/>
      <c r="CF99" s="546"/>
      <c r="CG99" s="969"/>
      <c r="CH99" s="1501" cm="1" t="str">
        <f t="array" ref="CH99:CH99">CH98</f>
        <v>ТЭ.42.31656254.0001</v>
      </c>
      <c r="CI99" s="1501" t="s">
        <v>1090</v>
      </c>
      <c r="CJ99" s="1501" t="s">
        <v>1062</v>
      </c>
      <c r="CK99" s="1501"/>
      <c r="CL99" s="1501"/>
      <c r="CM99" s="1501" t="s">
        <v>255</v>
      </c>
      <c r="CN99" s="1501" cm="1" t="str">
        <f t="array" ref="CN99:CN99">CN98</f>
        <v>0</v>
      </c>
      <c r="CO99" s="1501" t="s">
        <v>303</v>
      </c>
      <c r="CP99" s="1501" t="s">
        <v>1106</v>
      </c>
      <c r="CQ99" s="1501" t="s">
        <v>1107</v>
      </c>
      <c r="CR99" s="969"/>
      <c r="CS99" s="969"/>
      <c r="CT99" s="969"/>
      <c r="CU99" s="969"/>
    </row>
    <row s="969" customFormat="1" customHeight="1" ht="14.25" hidden="1">
      <c r="A100" s="978" t="str">
        <f>"checkVolume_4."&amp;F100&amp;"."&amp;Y97</f>
        <v>checkVolume_4.1.0</v>
      </c>
      <c r="B100" s="969"/>
      <c r="C100" s="969"/>
      <c r="D100" s="969"/>
      <c r="E100" s="180">
        <v>15</v>
      </c>
      <c r="F100" s="175" cm="1" t="str">
        <f t="array" ref="F100:F100">OFFSET(G100,-1,-1)</f>
        <v>1</v>
      </c>
      <c r="G100" s="969"/>
      <c r="H100" s="193" cm="1" t="str">
        <f t="array" ref="H100:H100">H97</f>
        <v>0</v>
      </c>
      <c r="I100" s="969"/>
      <c r="J100" s="969"/>
      <c r="K100" s="969"/>
      <c r="L100" s="969"/>
      <c r="M100" s="969"/>
      <c r="N100" s="969"/>
      <c r="O100" s="969"/>
      <c r="P100" s="969"/>
      <c r="Q100" s="969"/>
      <c r="R100" s="969"/>
      <c r="S100" s="969"/>
      <c r="T100" s="973" cm="1" t="str">
        <f t="array" ref="T100:T100">T97</f>
        <v>false</v>
      </c>
      <c r="U100" s="969"/>
      <c r="V100" s="969"/>
      <c r="W100" s="969"/>
      <c r="X100" s="969"/>
      <c r="Y100" s="969"/>
      <c r="Z100" s="969"/>
      <c r="AA100" s="1661"/>
      <c r="AB100" s="360" t="str">
        <f>AB97&amp;".2"</f>
        <v>2.3.0.2</v>
      </c>
      <c r="AC100" s="589" t="s">
        <v>1108</v>
      </c>
      <c r="AD100" s="589"/>
      <c r="AE100" s="320" t="s">
        <v>629</v>
      </c>
      <c r="AF100" s="75"/>
      <c r="AG100" s="75"/>
      <c r="AH100" s="75"/>
      <c r="AI100" s="75"/>
      <c r="AJ100" s="370"/>
      <c r="AK100" s="75"/>
      <c r="AL100" s="75"/>
      <c r="AM100" s="75"/>
      <c r="AN100" s="75"/>
      <c r="AO100" s="75"/>
      <c r="AP100" s="75"/>
      <c r="AQ100" s="75"/>
      <c r="AR100" s="75"/>
      <c r="AS100" s="75"/>
      <c r="AT100" s="75"/>
      <c r="AU100" s="75"/>
      <c r="AV100" s="75"/>
      <c r="AW100" s="75"/>
      <c r="AX100" s="75"/>
      <c r="AY100" s="75"/>
      <c r="AZ100" s="75"/>
      <c r="BA100" s="75"/>
      <c r="BB100" s="75"/>
      <c r="BC100" s="75"/>
      <c r="BD100" s="370"/>
      <c r="BE100" s="75"/>
      <c r="BF100" s="75"/>
      <c r="BG100" s="75"/>
      <c r="BH100" s="75"/>
      <c r="BI100" s="75"/>
      <c r="BJ100" s="75"/>
      <c r="BK100" s="75"/>
      <c r="BL100" s="75"/>
      <c r="BM100" s="75"/>
      <c r="BN100" s="75"/>
      <c r="BO100" s="75"/>
      <c r="BP100" s="75"/>
      <c r="BQ100" s="75"/>
      <c r="BR100" s="75"/>
      <c r="BS100" s="75"/>
      <c r="BT100" s="75"/>
      <c r="BU100" s="75"/>
      <c r="BV100" s="75"/>
      <c r="BW100" s="75"/>
      <c r="BX100" s="83"/>
      <c r="BY100" s="969"/>
      <c r="BZ100" s="969"/>
      <c r="CA100" s="489" t="s">
        <v>1109</v>
      </c>
      <c r="CB100" s="489" t="s">
        <v>1103</v>
      </c>
      <c r="CC100" s="489" cm="1" t="str">
        <f t="array" ref="CC100:CC100">CC98</f>
        <v>0</v>
      </c>
      <c r="CD100" s="984" cm="1" t="str">
        <f t="array" ref="CD100:CD100">CD99</f>
        <v>0</v>
      </c>
      <c r="CE100" s="546"/>
      <c r="CF100" s="546"/>
      <c r="CG100" s="969"/>
      <c r="CH100" s="1501" cm="1" t="str">
        <f t="array" ref="CH100:CH100">CH99</f>
        <v>ТЭ.42.31656254.0001</v>
      </c>
      <c r="CI100" s="1501" t="s">
        <v>1090</v>
      </c>
      <c r="CJ100" s="1501" t="s">
        <v>1062</v>
      </c>
      <c r="CK100" s="1501"/>
      <c r="CL100" s="1501"/>
      <c r="CM100" s="1501" t="s">
        <v>449</v>
      </c>
      <c r="CN100" s="1501" cm="1" t="str">
        <f t="array" ref="CN100:CN100">CN99</f>
        <v>0</v>
      </c>
      <c r="CO100" s="1501" t="s">
        <v>303</v>
      </c>
      <c r="CP100" s="1501" t="s">
        <v>679</v>
      </c>
      <c r="CQ100" s="1501" t="s">
        <v>680</v>
      </c>
      <c r="CR100" s="969"/>
      <c r="CS100" s="969"/>
      <c r="CT100" s="969"/>
      <c r="CU100" s="969"/>
    </row>
    <row s="969" customFormat="1" customHeight="1" ht="14.25">
      <c r="A101" s="969"/>
      <c r="B101" s="969"/>
      <c r="C101" s="969"/>
      <c r="D101" s="969"/>
      <c r="E101" s="180">
        <v>15</v>
      </c>
      <c r="F101" s="175" cm="1" t="str">
        <f t="array" ref="F101:F101">OFFSET(G101,-1,-1)</f>
        <v>1</v>
      </c>
      <c r="G101" s="969"/>
      <c r="H101" s="969"/>
      <c r="I101" s="969"/>
      <c r="J101" s="969"/>
      <c r="K101" s="969"/>
      <c r="L101" s="969"/>
      <c r="M101" s="969"/>
      <c r="N101" s="969"/>
      <c r="O101" s="969"/>
      <c r="P101" s="969"/>
      <c r="Q101" s="969"/>
      <c r="R101" s="969"/>
      <c r="S101" s="969"/>
      <c r="T101" s="973">
        <f>F101&gt;0</f>
        <v>1</v>
      </c>
      <c r="U101" s="969"/>
      <c r="V101" s="969"/>
      <c r="W101" s="176" t="s">
        <v>1110</v>
      </c>
      <c r="X101" s="969"/>
      <c r="Y101" s="969"/>
      <c r="Z101" s="969"/>
      <c r="AA101" s="969"/>
      <c r="AB101" s="600"/>
      <c r="AC101" s="601" t="s">
        <v>1111</v>
      </c>
      <c r="AD101" s="601"/>
      <c r="AE101" s="601"/>
      <c r="AF101" s="407"/>
      <c r="AG101" s="407"/>
      <c r="AH101" s="407"/>
      <c r="AI101" s="407"/>
      <c r="AJ101" s="407"/>
      <c r="AK101" s="407"/>
      <c r="AL101" s="407"/>
      <c r="AM101" s="407"/>
      <c r="AN101" s="407"/>
      <c r="AO101" s="407"/>
      <c r="AP101" s="407"/>
      <c r="AQ101" s="407"/>
      <c r="AR101" s="407"/>
      <c r="AS101" s="407"/>
      <c r="AT101" s="407"/>
      <c r="AU101" s="407"/>
      <c r="AV101" s="407"/>
      <c r="AW101" s="407"/>
      <c r="AX101" s="407"/>
      <c r="AY101" s="407"/>
      <c r="AZ101" s="407"/>
      <c r="BA101" s="407"/>
      <c r="BB101" s="407"/>
      <c r="BC101" s="407"/>
      <c r="BD101" s="407"/>
      <c r="BE101" s="407"/>
      <c r="BF101" s="407"/>
      <c r="BG101" s="407"/>
      <c r="BH101" s="407"/>
      <c r="BI101" s="407"/>
      <c r="BJ101" s="407"/>
      <c r="BK101" s="407"/>
      <c r="BL101" s="407"/>
      <c r="BM101" s="407"/>
      <c r="BN101" s="407"/>
      <c r="BO101" s="407"/>
      <c r="BP101" s="407"/>
      <c r="BQ101" s="407"/>
      <c r="BR101" s="407"/>
      <c r="BS101" s="407"/>
      <c r="BT101" s="407"/>
      <c r="BU101" s="407"/>
      <c r="BV101" s="407"/>
      <c r="BW101" s="407"/>
      <c r="BX101" s="602"/>
      <c r="BY101" s="969"/>
      <c r="BZ101" s="969"/>
      <c r="CA101" s="489"/>
      <c r="CB101" s="489"/>
      <c r="CC101" s="489"/>
      <c r="CD101" s="489"/>
      <c r="CE101" s="546" t="s">
        <v>1103</v>
      </c>
      <c r="CF101" s="546"/>
      <c r="CG101" s="969"/>
      <c r="CH101" s="1502" cm="1" t="str">
        <f t="array" ref="CH101:CH101">OFFSET(CI101,-1,-1)</f>
        <v>ТЭ.42.31656254.0001</v>
      </c>
      <c r="CI101" s="1501"/>
      <c r="CJ101" s="1501"/>
      <c r="CK101" s="1501"/>
      <c r="CL101" s="1501"/>
      <c r="CM101" s="1501"/>
      <c r="CN101" s="1501"/>
      <c r="CO101" s="1501"/>
      <c r="CP101" s="1501"/>
      <c r="CQ101" s="1501"/>
      <c r="CR101" s="969"/>
      <c r="CS101" s="969"/>
      <c r="CT101" s="969"/>
      <c r="CU101" s="969"/>
    </row>
    <row s="969" customFormat="1" customHeight="1" ht="14.25">
      <c r="A102" s="969"/>
      <c r="B102" s="969"/>
      <c r="C102" s="969"/>
      <c r="D102" s="969"/>
      <c r="E102" s="180">
        <v>15</v>
      </c>
      <c r="F102" s="175" cm="1" t="str">
        <f t="array" ref="F102:F102">OFFSET(G102,-1,-1)</f>
        <v>1</v>
      </c>
      <c r="G102" s="969"/>
      <c r="H102" s="969"/>
      <c r="I102" s="969"/>
      <c r="J102" s="969"/>
      <c r="K102" s="969"/>
      <c r="L102" s="969"/>
      <c r="M102" s="969"/>
      <c r="N102" s="969"/>
      <c r="O102" s="969"/>
      <c r="P102" s="969"/>
      <c r="Q102" s="969"/>
      <c r="R102" s="969"/>
      <c r="S102" s="969"/>
      <c r="T102" s="973">
        <f>F102&gt;0</f>
        <v>1</v>
      </c>
      <c r="U102" s="969"/>
      <c r="V102" s="969"/>
      <c r="W102" s="969"/>
      <c r="X102" s="969"/>
      <c r="Y102" s="969"/>
      <c r="Z102" s="969"/>
      <c r="AA102" s="969"/>
      <c r="AB102" s="593"/>
      <c r="AC102" s="282" t="s">
        <v>1071</v>
      </c>
      <c r="AD102" s="282"/>
      <c r="AE102" s="283"/>
      <c r="AF102" s="565"/>
      <c r="AG102" s="565"/>
      <c r="AH102" s="565"/>
      <c r="AI102" s="565"/>
      <c r="AJ102" s="565"/>
      <c r="AK102" s="565"/>
      <c r="AL102" s="565"/>
      <c r="AM102" s="565"/>
      <c r="AN102" s="565"/>
      <c r="AO102" s="565"/>
      <c r="AP102" s="565"/>
      <c r="AQ102" s="565"/>
      <c r="AR102" s="565"/>
      <c r="AS102" s="565"/>
      <c r="AT102" s="565"/>
      <c r="AU102" s="565"/>
      <c r="AV102" s="565"/>
      <c r="AW102" s="565"/>
      <c r="AX102" s="565"/>
      <c r="AY102" s="565"/>
      <c r="AZ102" s="565"/>
      <c r="BA102" s="565"/>
      <c r="BB102" s="565"/>
      <c r="BC102" s="565"/>
      <c r="BD102" s="565"/>
      <c r="BE102" s="565"/>
      <c r="BF102" s="565"/>
      <c r="BG102" s="565"/>
      <c r="BH102" s="565"/>
      <c r="BI102" s="565"/>
      <c r="BJ102" s="565"/>
      <c r="BK102" s="565"/>
      <c r="BL102" s="565"/>
      <c r="BM102" s="565"/>
      <c r="BN102" s="565"/>
      <c r="BO102" s="565"/>
      <c r="BP102" s="565"/>
      <c r="BQ102" s="565"/>
      <c r="BR102" s="565"/>
      <c r="BS102" s="565"/>
      <c r="BT102" s="565"/>
      <c r="BU102" s="565"/>
      <c r="BV102" s="565"/>
      <c r="BW102" s="565"/>
      <c r="BX102" s="959"/>
      <c r="BY102" s="969"/>
      <c r="BZ102" s="969"/>
      <c r="CA102" s="489"/>
      <c r="CB102" s="489"/>
      <c r="CC102" s="489"/>
      <c r="CD102" s="489"/>
      <c r="CE102" s="546"/>
      <c r="CF102" s="546"/>
      <c r="CG102" s="969"/>
      <c r="CH102" s="1502" cm="1" t="str">
        <f t="array" ref="CH102:CH102">OFFSET(CI102,-1,-1)</f>
        <v>ТЭ.42.31656254.0001</v>
      </c>
      <c r="CI102" s="1501"/>
      <c r="CJ102" s="1501"/>
      <c r="CK102" s="1501"/>
      <c r="CL102" s="1501"/>
      <c r="CM102" s="1501"/>
      <c r="CN102" s="1501"/>
      <c r="CO102" s="1501"/>
      <c r="CP102" s="1501"/>
      <c r="CQ102" s="1501"/>
      <c r="CR102" s="969"/>
      <c r="CS102" s="969"/>
      <c r="CT102" s="969"/>
      <c r="CU102" s="969"/>
    </row>
    <row s="969" customFormat="1" customHeight="1" ht="17.25" hidden="1">
      <c r="A103" s="969"/>
      <c r="B103" s="969"/>
      <c r="C103" s="969"/>
      <c r="D103" s="969"/>
      <c r="E103" s="965">
        <v>0</v>
      </c>
      <c r="F103" s="175" cm="1" t="str">
        <f t="array" ref="F103:F103">OFFSET(G103,-1,-1)</f>
        <v>1</v>
      </c>
      <c r="G103" s="969"/>
      <c r="H103" s="969"/>
      <c r="I103" s="969"/>
      <c r="J103" s="969"/>
      <c r="K103" s="969"/>
      <c r="L103" s="969"/>
      <c r="M103" s="969"/>
      <c r="N103" s="969"/>
      <c r="O103" s="969"/>
      <c r="P103" s="969"/>
      <c r="Q103" s="969"/>
      <c r="R103" s="969"/>
      <c r="S103" s="969"/>
      <c r="T103" s="973">
        <f>F103&gt;0</f>
        <v>1</v>
      </c>
      <c r="U103" s="969"/>
      <c r="V103" s="969"/>
      <c r="W103" s="969"/>
      <c r="X103" s="969"/>
      <c r="Y103" s="969"/>
      <c r="Z103" s="969"/>
      <c r="AA103" s="969"/>
      <c r="AB103" s="554"/>
      <c r="AC103" s="555"/>
      <c r="AD103" s="555"/>
      <c r="AE103" s="556"/>
      <c r="AF103" s="603"/>
      <c r="AG103" s="603"/>
      <c r="AH103" s="603"/>
      <c r="AI103" s="603"/>
      <c r="AJ103" s="603"/>
      <c r="AK103" s="603"/>
      <c r="AL103" s="603"/>
      <c r="AM103" s="603"/>
      <c r="AN103" s="603"/>
      <c r="AO103" s="603"/>
      <c r="AP103" s="603"/>
      <c r="AQ103" s="603"/>
      <c r="AR103" s="603"/>
      <c r="AS103" s="603"/>
      <c r="AT103" s="603"/>
      <c r="AU103" s="603"/>
      <c r="AV103" s="603"/>
      <c r="AW103" s="603"/>
      <c r="AX103" s="603"/>
      <c r="AY103" s="603"/>
      <c r="AZ103" s="603"/>
      <c r="BA103" s="603"/>
      <c r="BB103" s="603"/>
      <c r="BC103" s="603"/>
      <c r="BD103" s="603"/>
      <c r="BE103" s="603"/>
      <c r="BF103" s="603"/>
      <c r="BG103" s="603"/>
      <c r="BH103" s="603"/>
      <c r="BI103" s="603"/>
      <c r="BJ103" s="603"/>
      <c r="BK103" s="603"/>
      <c r="BL103" s="603"/>
      <c r="BM103" s="603"/>
      <c r="BN103" s="603"/>
      <c r="BO103" s="603"/>
      <c r="BP103" s="603"/>
      <c r="BQ103" s="603"/>
      <c r="BR103" s="603"/>
      <c r="BS103" s="603"/>
      <c r="BT103" s="603"/>
      <c r="BU103" s="603"/>
      <c r="BV103" s="603"/>
      <c r="BW103" s="603"/>
      <c r="BX103" s="109"/>
      <c r="BY103" s="969"/>
      <c r="BZ103" s="969"/>
      <c r="CA103" s="489"/>
      <c r="CB103" s="489"/>
      <c r="CC103" s="489"/>
      <c r="CD103" s="489"/>
      <c r="CE103" s="546"/>
      <c r="CF103" s="546"/>
      <c r="CG103" s="969"/>
      <c r="CH103" s="1501" cm="1" t="str">
        <f t="array" ref="CH103:CH103">CH102</f>
        <v>ТЭ.42.31656254.0001</v>
      </c>
      <c r="CI103" s="1501"/>
      <c r="CJ103" s="1501"/>
      <c r="CK103" s="1501"/>
      <c r="CL103" s="1501"/>
      <c r="CM103" s="1501"/>
      <c r="CN103" s="1501"/>
      <c r="CO103" s="1501"/>
      <c r="CP103" s="1501"/>
      <c r="CQ103" s="1501"/>
      <c r="CR103" s="969"/>
      <c r="CS103" s="969"/>
      <c r="CT103" s="969"/>
      <c r="CU103" s="969"/>
    </row>
    <row s="969" customFormat="1" customHeight="1" ht="14.25" hidden="1">
      <c r="A104" s="969"/>
      <c r="B104" s="969"/>
      <c r="C104" s="969"/>
      <c r="D104" s="969"/>
      <c r="E104" s="180">
        <v>15</v>
      </c>
      <c r="F104" s="175" cm="1" t="str">
        <f t="array" ref="F104:F104">OFFSET(G104,-1,-1)</f>
        <v>1</v>
      </c>
      <c r="G104" s="969"/>
      <c r="H104" s="193" cm="1" t="str">
        <f t="array" ref="H104:H104">AC104</f>
        <v>0</v>
      </c>
      <c r="I104" s="193" t="s">
        <v>1040</v>
      </c>
      <c r="J104" s="969"/>
      <c r="K104" s="969"/>
      <c r="L104" s="969"/>
      <c r="M104" s="969"/>
      <c r="N104" s="969"/>
      <c r="O104" s="969"/>
      <c r="P104" s="969"/>
      <c r="Q104" s="969"/>
      <c r="R104" s="969"/>
      <c r="S104" s="969"/>
      <c r="T104" s="973">
        <f>AND(F104&gt;0,Y104&gt;0)</f>
        <v>0</v>
      </c>
      <c r="U104" s="969"/>
      <c r="V104" s="969"/>
      <c r="W104" s="176" t="s">
        <v>189</v>
      </c>
      <c r="X104" s="969"/>
      <c r="Y104" s="175">
        <v>0</v>
      </c>
      <c r="Z104" s="969"/>
      <c r="AA104" s="1660" t="s">
        <v>171</v>
      </c>
      <c r="AB104" s="320" t="str">
        <f>"2.4."&amp;Y104</f>
        <v>2.4.0</v>
      </c>
      <c r="AC104" s="598"/>
      <c r="AD104" s="2278"/>
      <c r="AE104" s="320" t="s">
        <v>917</v>
      </c>
      <c r="AF104" s="74">
        <f>AF107+AF109</f>
        <v>0</v>
      </c>
      <c r="AG104" s="74">
        <f>AG107+AG109</f>
        <v>0</v>
      </c>
      <c r="AH104" s="74">
        <f>AH107+AH109</f>
        <v>0</v>
      </c>
      <c r="AI104" s="74">
        <f>AI107+AI109</f>
        <v>0</v>
      </c>
      <c r="AJ104" s="359">
        <f>AJ107+AJ109</f>
        <v>0</v>
      </c>
      <c r="AK104" s="74">
        <f>AK107+AK109</f>
        <v>0</v>
      </c>
      <c r="AL104" s="74">
        <f>AL107+AL109</f>
        <v>0</v>
      </c>
      <c r="AM104" s="74">
        <f>AM107+AM109</f>
        <v>0</v>
      </c>
      <c r="AN104" s="74">
        <f>AN107+AN109</f>
        <v>0</v>
      </c>
      <c r="AO104" s="74">
        <f>AO107+AO109</f>
        <v>0</v>
      </c>
      <c r="AP104" s="74">
        <f>AP107+AP109</f>
        <v>0</v>
      </c>
      <c r="AQ104" s="74">
        <f>AQ107+AQ109</f>
        <v>0</v>
      </c>
      <c r="AR104" s="74">
        <f>AR107+AR109</f>
        <v>0</v>
      </c>
      <c r="AS104" s="74">
        <f>AS107+AS109</f>
        <v>0</v>
      </c>
      <c r="AT104" s="74">
        <f>AT107+AT109</f>
        <v>0</v>
      </c>
      <c r="AU104" s="74">
        <f>AU107+AU109</f>
        <v>0</v>
      </c>
      <c r="AV104" s="74">
        <f>AV107+AV109</f>
        <v>0</v>
      </c>
      <c r="AW104" s="74">
        <f>AW107+AW109</f>
        <v>0</v>
      </c>
      <c r="AX104" s="74">
        <f>AX107+AX109</f>
        <v>0</v>
      </c>
      <c r="AY104" s="74">
        <f>AY107+AY109</f>
        <v>0</v>
      </c>
      <c r="AZ104" s="74">
        <f>AZ107+AZ109</f>
        <v>0</v>
      </c>
      <c r="BA104" s="74">
        <f>BA107+BA109</f>
        <v>0</v>
      </c>
      <c r="BB104" s="74">
        <f>BB107+BB109</f>
        <v>0</v>
      </c>
      <c r="BC104" s="74">
        <f>BC107+BC109</f>
        <v>0</v>
      </c>
      <c r="BD104" s="359">
        <f>BD107+BD109</f>
        <v>0</v>
      </c>
      <c r="BE104" s="74">
        <f>BE107+BE109</f>
        <v>0</v>
      </c>
      <c r="BF104" s="74">
        <f>BF107+BF109</f>
        <v>0</v>
      </c>
      <c r="BG104" s="74">
        <f>BG107+BG109</f>
        <v>0</v>
      </c>
      <c r="BH104" s="74">
        <f>BH107+BH109</f>
        <v>0</v>
      </c>
      <c r="BI104" s="74">
        <f>BI107+BI109</f>
        <v>0</v>
      </c>
      <c r="BJ104" s="74">
        <f>BJ107+BJ109</f>
        <v>0</v>
      </c>
      <c r="BK104" s="74">
        <f>BK107+BK109</f>
        <v>0</v>
      </c>
      <c r="BL104" s="74">
        <f>BL107+BL109</f>
        <v>0</v>
      </c>
      <c r="BM104" s="74">
        <f>BM107+BM109</f>
        <v>0</v>
      </c>
      <c r="BN104" s="74">
        <f>BN107+BN109</f>
        <v>0</v>
      </c>
      <c r="BO104" s="74">
        <f>BO107+BO109</f>
        <v>0</v>
      </c>
      <c r="BP104" s="74">
        <f>BP107+BP109</f>
        <v>0</v>
      </c>
      <c r="BQ104" s="74">
        <f>BQ107+BQ109</f>
        <v>0</v>
      </c>
      <c r="BR104" s="74">
        <f>BR107+BR109</f>
        <v>0</v>
      </c>
      <c r="BS104" s="74">
        <f>BS107+BS109</f>
        <v>0</v>
      </c>
      <c r="BT104" s="74">
        <f>BT107+BT109</f>
        <v>0</v>
      </c>
      <c r="BU104" s="74">
        <f>BU107+BU109</f>
        <v>0</v>
      </c>
      <c r="BV104" s="74">
        <f>BV107+BV109</f>
        <v>0</v>
      </c>
      <c r="BW104" s="74">
        <f>BW107+BW109</f>
        <v>0</v>
      </c>
      <c r="BX104" s="86"/>
      <c r="BY104" s="969"/>
      <c r="BZ104" s="969"/>
      <c r="CA104" s="489" t="s">
        <v>1102</v>
      </c>
      <c r="CB104" s="489" t="s">
        <v>1112</v>
      </c>
      <c r="CC104" s="489" cm="1" t="str">
        <f t="array" ref="CC104:CC104">AC104</f>
        <v>0</v>
      </c>
      <c r="CD104" s="984" cm="1" t="str">
        <f t="array" ref="CD104:CD104">AD104</f>
        <v>0</v>
      </c>
      <c r="CE104" s="546"/>
      <c r="CF104" s="546" t="b">
        <v>1</v>
      </c>
      <c r="CG104" s="969"/>
      <c r="CH104" s="1501" cm="1" t="str">
        <f t="array" ref="CH104:CH104">CH103</f>
        <v>ТЭ.42.31656254.0001</v>
      </c>
      <c r="CI104" s="1501" t="s">
        <v>1090</v>
      </c>
      <c r="CJ104" s="1501" t="s">
        <v>1074</v>
      </c>
      <c r="CK104" s="1501"/>
      <c r="CL104" s="1501"/>
      <c r="CM104" s="1501" t="s">
        <v>219</v>
      </c>
      <c r="CN104" s="1501" cm="1" t="str">
        <f t="array" ref="CN104:CN104">$AC104</f>
        <v>0</v>
      </c>
      <c r="CO104" s="1501" t="s">
        <v>303</v>
      </c>
      <c r="CP104" s="1501" t="s">
        <v>1044</v>
      </c>
      <c r="CQ104" s="1501" t="s">
        <v>1045</v>
      </c>
      <c r="CR104" s="969"/>
      <c r="CS104" s="969"/>
      <c r="CT104" s="969"/>
      <c r="CU104" s="969"/>
    </row>
    <row s="969" customFormat="1" customHeight="1" ht="14.25" hidden="1">
      <c r="A105" s="969"/>
      <c r="B105" s="969"/>
      <c r="C105" s="969"/>
      <c r="D105" s="969"/>
      <c r="E105" s="180">
        <v>15</v>
      </c>
      <c r="F105" s="175" cm="1" t="str">
        <f t="array" ref="F105:F105">OFFSET(G105,-1,-1)</f>
        <v>1</v>
      </c>
      <c r="G105" s="969"/>
      <c r="H105" s="969"/>
      <c r="I105" s="969"/>
      <c r="J105" s="969"/>
      <c r="K105" s="969"/>
      <c r="L105" s="193" cm="1" t="str">
        <f t="array" ref="L105:L105">INDEX('Общие сведения'!$AK$169:$AK$202,MATCH($F105,'Общие сведения'!$Y$169:$Y$202,0))</f>
        <v>одноставочный</v>
      </c>
      <c r="M105" s="969"/>
      <c r="N105" s="969"/>
      <c r="O105" s="969"/>
      <c r="P105" s="969"/>
      <c r="Q105" s="969"/>
      <c r="R105" s="193" t="s">
        <v>1092</v>
      </c>
      <c r="S105" s="969"/>
      <c r="T105" s="973">
        <f>AND(T104,L105="двухставочный")</f>
        <v>0</v>
      </c>
      <c r="U105" s="969"/>
      <c r="V105" s="969"/>
      <c r="W105" s="969"/>
      <c r="X105" s="969"/>
      <c r="Y105" s="969"/>
      <c r="Z105" s="969"/>
      <c r="AA105" s="1661"/>
      <c r="AB105" s="360"/>
      <c r="AC105" s="589" t="s">
        <v>1094</v>
      </c>
      <c r="AD105" s="590"/>
      <c r="AE105" s="591" t="s">
        <v>917</v>
      </c>
      <c r="AF105" s="75"/>
      <c r="AG105" s="75"/>
      <c r="AH105" s="75"/>
      <c r="AI105" s="75"/>
      <c r="AJ105" s="370"/>
      <c r="AK105" s="75"/>
      <c r="AL105" s="75"/>
      <c r="AM105" s="75"/>
      <c r="AN105" s="75"/>
      <c r="AO105" s="75"/>
      <c r="AP105" s="75"/>
      <c r="AQ105" s="75"/>
      <c r="AR105" s="75"/>
      <c r="AS105" s="75"/>
      <c r="AT105" s="75"/>
      <c r="AU105" s="75"/>
      <c r="AV105" s="75"/>
      <c r="AW105" s="75"/>
      <c r="AX105" s="75"/>
      <c r="AY105" s="75"/>
      <c r="AZ105" s="75"/>
      <c r="BA105" s="75"/>
      <c r="BB105" s="75"/>
      <c r="BC105" s="75"/>
      <c r="BD105" s="370"/>
      <c r="BE105" s="75"/>
      <c r="BF105" s="75"/>
      <c r="BG105" s="75"/>
      <c r="BH105" s="75"/>
      <c r="BI105" s="75"/>
      <c r="BJ105" s="75"/>
      <c r="BK105" s="75"/>
      <c r="BL105" s="75"/>
      <c r="BM105" s="75"/>
      <c r="BN105" s="75"/>
      <c r="BO105" s="75"/>
      <c r="BP105" s="75"/>
      <c r="BQ105" s="75"/>
      <c r="BR105" s="75"/>
      <c r="BS105" s="75"/>
      <c r="BT105" s="75"/>
      <c r="BU105" s="75"/>
      <c r="BV105" s="75"/>
      <c r="BW105" s="75"/>
      <c r="BX105" s="108"/>
      <c r="BY105" s="969"/>
      <c r="BZ105" s="969"/>
      <c r="CA105" s="489" t="s">
        <v>1104</v>
      </c>
      <c r="CB105" s="489" t="s">
        <v>1112</v>
      </c>
      <c r="CC105" s="489" cm="1" t="str">
        <f t="array" ref="CC105:CC105">CC104</f>
        <v>0</v>
      </c>
      <c r="CD105" s="984" cm="1" t="str">
        <f t="array" ref="CD105:CD105">CD104</f>
        <v>0</v>
      </c>
      <c r="CE105" s="546"/>
      <c r="CF105" s="546"/>
      <c r="CG105" s="969"/>
      <c r="CH105" s="1501" cm="1" t="str">
        <f t="array" ref="CH105:CH105">CH104</f>
        <v>ТЭ.42.31656254.0001</v>
      </c>
      <c r="CI105" s="1501" t="s">
        <v>1090</v>
      </c>
      <c r="CJ105" s="1501" t="s">
        <v>1074</v>
      </c>
      <c r="CK105" s="1501" t="s">
        <v>862</v>
      </c>
      <c r="CL105" s="1501"/>
      <c r="CM105" s="1501"/>
      <c r="CN105" s="1501" cm="1" t="str">
        <f t="array" ref="CN105:CN105">CN104</f>
        <v>0</v>
      </c>
      <c r="CO105" s="1501" t="s">
        <v>303</v>
      </c>
      <c r="CP105" s="1501" t="s">
        <v>1044</v>
      </c>
      <c r="CQ105" s="1501" t="s">
        <v>1045</v>
      </c>
      <c r="CR105" s="969"/>
      <c r="CS105" s="969"/>
      <c r="CT105" s="969"/>
      <c r="CU105" s="969"/>
    </row>
    <row s="969" customFormat="1" customHeight="1" ht="14.25" hidden="1">
      <c r="A106" s="969"/>
      <c r="B106" s="969"/>
      <c r="C106" s="969"/>
      <c r="D106" s="969"/>
      <c r="E106" s="180">
        <v>15</v>
      </c>
      <c r="F106" s="175" cm="1" t="str">
        <f t="array" ref="F106:F106">OFFSET(G106,-1,-1)</f>
        <v>1</v>
      </c>
      <c r="G106" s="969"/>
      <c r="H106" s="193" cm="1" t="str">
        <f t="array" ref="H106:H106">H104</f>
        <v>0</v>
      </c>
      <c r="I106" s="969"/>
      <c r="J106" s="969"/>
      <c r="K106" s="969"/>
      <c r="L106" s="969"/>
      <c r="M106" s="969"/>
      <c r="N106" s="969"/>
      <c r="O106" s="969"/>
      <c r="P106" s="969"/>
      <c r="Q106" s="969"/>
      <c r="R106" s="969"/>
      <c r="S106" s="969"/>
      <c r="T106" s="973" cm="1" t="str">
        <f t="array" ref="T106:T106">T104</f>
        <v>false</v>
      </c>
      <c r="U106" s="969"/>
      <c r="V106" s="969"/>
      <c r="W106" s="969"/>
      <c r="X106" s="969"/>
      <c r="Y106" s="969"/>
      <c r="Z106" s="969"/>
      <c r="AA106" s="1661"/>
      <c r="AB106" s="360" t="str">
        <f>AB104&amp;".1"</f>
        <v>2.4.0.1</v>
      </c>
      <c r="AC106" s="589" t="s">
        <v>1063</v>
      </c>
      <c r="AD106" s="589"/>
      <c r="AE106" s="320" t="s">
        <v>1098</v>
      </c>
      <c r="AF106" s="74"/>
      <c r="AG106" s="604">
        <f>IF(AG108=0,0,AG107/AG108*1000)</f>
        <v>0</v>
      </c>
      <c r="AH106" s="604">
        <f>IF(AH108=0,0,AH107/AH108*1000)</f>
        <v>0</v>
      </c>
      <c r="AI106" s="74"/>
      <c r="AJ106" s="604">
        <f>IF(AJ108=0,0,AJ107/AJ108*1000)</f>
        <v>0</v>
      </c>
      <c r="AK106" s="604">
        <f>IF(AK108=0,0,AK107/AK108*1000)</f>
        <v>0</v>
      </c>
      <c r="AL106" s="604">
        <f>IF(AL108=0,0,AL107/AL108*1000)</f>
        <v>0</v>
      </c>
      <c r="AM106" s="604">
        <f>IF(AM108=0,0,AM107/AM108*1000)</f>
        <v>0</v>
      </c>
      <c r="AN106" s="604">
        <f>IF(AN108=0,0,AN107/AN108*1000)</f>
        <v>0</v>
      </c>
      <c r="AO106" s="604">
        <f>IF(AO108=0,0,AO107/AO108*1000)</f>
        <v>0</v>
      </c>
      <c r="AP106" s="604">
        <f>IF(AP108=0,0,AP107/AP108*1000)</f>
        <v>0</v>
      </c>
      <c r="AQ106" s="604">
        <f>IF(AQ108=0,0,AQ107/AQ108*1000)</f>
        <v>0</v>
      </c>
      <c r="AR106" s="604">
        <f>IF(AR108=0,0,AR107/AR108*1000)</f>
        <v>0</v>
      </c>
      <c r="AS106" s="604">
        <f>IF(AS108=0,0,AS107/AS108*1000)</f>
        <v>0</v>
      </c>
      <c r="AT106" s="604">
        <f>IF(AT108=0,0,AT107/AT108*1000)</f>
        <v>0</v>
      </c>
      <c r="AU106" s="604">
        <f>IF(AU108=0,0,AU107/AU108*1000)</f>
        <v>0</v>
      </c>
      <c r="AV106" s="604">
        <f>IF(AV108=0,0,AV107/AV108*1000)</f>
        <v>0</v>
      </c>
      <c r="AW106" s="604">
        <f>IF(AW108=0,0,AW107/AW108*1000)</f>
        <v>0</v>
      </c>
      <c r="AX106" s="604">
        <f>IF(AX108=0,0,AX107/AX108*1000)</f>
        <v>0</v>
      </c>
      <c r="AY106" s="604">
        <f>IF(AY108=0,0,AY107/AY108*1000)</f>
        <v>0</v>
      </c>
      <c r="AZ106" s="604">
        <f>IF(AZ108=0,0,AZ107/AZ108*1000)</f>
        <v>0</v>
      </c>
      <c r="BA106" s="604">
        <f>IF(BA108=0,0,BA107/BA108*1000)</f>
        <v>0</v>
      </c>
      <c r="BB106" s="604">
        <f>IF(BB108=0,0,BB107/BB108*1000)</f>
        <v>0</v>
      </c>
      <c r="BC106" s="604">
        <f>IF(BC108=0,0,BC107/BC108*1000)</f>
        <v>0</v>
      </c>
      <c r="BD106" s="359"/>
      <c r="BE106" s="74"/>
      <c r="BF106" s="74"/>
      <c r="BG106" s="74"/>
      <c r="BH106" s="74"/>
      <c r="BI106" s="74"/>
      <c r="BJ106" s="74"/>
      <c r="BK106" s="74"/>
      <c r="BL106" s="74"/>
      <c r="BM106" s="74"/>
      <c r="BN106" s="74"/>
      <c r="BO106" s="74"/>
      <c r="BP106" s="74"/>
      <c r="BQ106" s="74"/>
      <c r="BR106" s="74"/>
      <c r="BS106" s="74"/>
      <c r="BT106" s="74"/>
      <c r="BU106" s="74"/>
      <c r="BV106" s="74"/>
      <c r="BW106" s="74"/>
      <c r="BX106" s="83"/>
      <c r="BY106" s="969"/>
      <c r="BZ106" s="969"/>
      <c r="CA106" s="489" t="s">
        <v>1105</v>
      </c>
      <c r="CB106" s="489" t="s">
        <v>1112</v>
      </c>
      <c r="CC106" s="489" cm="1" t="str">
        <f t="array" ref="CC106:CC106">CC105</f>
        <v>0</v>
      </c>
      <c r="CD106" s="984" cm="1" t="str">
        <f t="array" ref="CD106:CD106">CD105</f>
        <v>0</v>
      </c>
      <c r="CE106" s="546"/>
      <c r="CF106" s="546"/>
      <c r="CG106" s="969"/>
      <c r="CH106" s="1501" cm="1" t="str">
        <f t="array" ref="CH106:CH106">CH105</f>
        <v>ТЭ.42.31656254.0001</v>
      </c>
      <c r="CI106" s="1501" t="s">
        <v>1090</v>
      </c>
      <c r="CJ106" s="1501" t="s">
        <v>1074</v>
      </c>
      <c r="CK106" s="1501"/>
      <c r="CL106" s="1501"/>
      <c r="CM106" s="1501" t="s">
        <v>255</v>
      </c>
      <c r="CN106" s="1501" cm="1" t="str">
        <f t="array" ref="CN106:CN106">CN105</f>
        <v>0</v>
      </c>
      <c r="CO106" s="1501" t="s">
        <v>303</v>
      </c>
      <c r="CP106" s="1501" t="s">
        <v>1106</v>
      </c>
      <c r="CQ106" s="1501" t="s">
        <v>1107</v>
      </c>
      <c r="CR106" s="969"/>
      <c r="CS106" s="969"/>
      <c r="CT106" s="969"/>
      <c r="CU106" s="969"/>
    </row>
    <row s="969" customFormat="1" customHeight="1" ht="14.25" hidden="1">
      <c r="A107" s="978" t="str">
        <f>"checkCosts_5."&amp;F107&amp;"."&amp;Y104</f>
        <v>checkCosts_5.1.0</v>
      </c>
      <c r="B107" s="969"/>
      <c r="C107" s="969"/>
      <c r="D107" s="969"/>
      <c r="E107" s="180">
        <v>15</v>
      </c>
      <c r="F107" s="175" cm="1" t="str">
        <f t="array" ref="F107:F107">OFFSET(G107,-1,-1)</f>
        <v>1</v>
      </c>
      <c r="G107" s="969"/>
      <c r="H107" s="969"/>
      <c r="I107" s="969"/>
      <c r="J107" s="969"/>
      <c r="K107" s="969"/>
      <c r="L107" s="969"/>
      <c r="M107" s="969"/>
      <c r="N107" s="969"/>
      <c r="O107" s="969"/>
      <c r="P107" s="969"/>
      <c r="Q107" s="969"/>
      <c r="R107" s="969"/>
      <c r="S107" s="969"/>
      <c r="T107" s="973" cm="1" t="str">
        <f t="array" ref="T107:T107">T104</f>
        <v>false</v>
      </c>
      <c r="U107" s="969"/>
      <c r="V107" s="969"/>
      <c r="W107" s="969"/>
      <c r="X107" s="969"/>
      <c r="Y107" s="969"/>
      <c r="Z107" s="969"/>
      <c r="AA107" s="1661"/>
      <c r="AB107" s="360" t="str">
        <f>AB104&amp;".2"</f>
        <v>2.4.0.2</v>
      </c>
      <c r="AC107" s="589" t="s">
        <v>1113</v>
      </c>
      <c r="AD107" s="589"/>
      <c r="AE107" s="320" t="s">
        <v>917</v>
      </c>
      <c r="AF107" s="74"/>
      <c r="AG107" s="74"/>
      <c r="AH107" s="74"/>
      <c r="AI107" s="74"/>
      <c r="AJ107" s="359"/>
      <c r="AK107" s="74"/>
      <c r="AL107" s="74"/>
      <c r="AM107" s="74"/>
      <c r="AN107" s="74"/>
      <c r="AO107" s="74"/>
      <c r="AP107" s="74"/>
      <c r="AQ107" s="74"/>
      <c r="AR107" s="74"/>
      <c r="AS107" s="74"/>
      <c r="AT107" s="74"/>
      <c r="AU107" s="74"/>
      <c r="AV107" s="74"/>
      <c r="AW107" s="74"/>
      <c r="AX107" s="74"/>
      <c r="AY107" s="74"/>
      <c r="AZ107" s="74"/>
      <c r="BA107" s="74"/>
      <c r="BB107" s="74"/>
      <c r="BC107" s="74"/>
      <c r="BD107" s="359"/>
      <c r="BE107" s="74"/>
      <c r="BF107" s="74"/>
      <c r="BG107" s="74"/>
      <c r="BH107" s="74"/>
      <c r="BI107" s="74"/>
      <c r="BJ107" s="74"/>
      <c r="BK107" s="74"/>
      <c r="BL107" s="74"/>
      <c r="BM107" s="74"/>
      <c r="BN107" s="74"/>
      <c r="BO107" s="74"/>
      <c r="BP107" s="74"/>
      <c r="BQ107" s="74"/>
      <c r="BR107" s="74"/>
      <c r="BS107" s="74"/>
      <c r="BT107" s="74"/>
      <c r="BU107" s="74"/>
      <c r="BV107" s="74"/>
      <c r="BW107" s="74"/>
      <c r="BX107" s="83"/>
      <c r="BY107" s="969"/>
      <c r="BZ107" s="969"/>
      <c r="CA107" s="489" t="s">
        <v>1114</v>
      </c>
      <c r="CB107" s="489" t="s">
        <v>1112</v>
      </c>
      <c r="CC107" s="489" cm="1" t="str">
        <f t="array" ref="CC107:CC107">CC105</f>
        <v>0</v>
      </c>
      <c r="CD107" s="984" cm="1" t="str">
        <f t="array" ref="CD107:CD107">CD106</f>
        <v>0</v>
      </c>
      <c r="CE107" s="546"/>
      <c r="CF107" s="546"/>
      <c r="CG107" s="969"/>
      <c r="CH107" s="1501" cm="1" t="str">
        <f t="array" ref="CH107:CH107">CH106</f>
        <v>ТЭ.42.31656254.0001</v>
      </c>
      <c r="CI107" s="1501" t="s">
        <v>1090</v>
      </c>
      <c r="CJ107" s="1501" t="s">
        <v>1074</v>
      </c>
      <c r="CK107" s="1501"/>
      <c r="CL107" s="1501" t="s">
        <v>1076</v>
      </c>
      <c r="CM107" s="1501" t="s">
        <v>219</v>
      </c>
      <c r="CN107" s="1501" cm="1" t="str">
        <f t="array" ref="CN107:CN107">CN106</f>
        <v>0</v>
      </c>
      <c r="CO107" s="1501" t="s">
        <v>303</v>
      </c>
      <c r="CP107" s="1501" t="s">
        <v>1044</v>
      </c>
      <c r="CQ107" s="1501" t="s">
        <v>1045</v>
      </c>
      <c r="CR107" s="969"/>
      <c r="CS107" s="969"/>
      <c r="CT107" s="969"/>
      <c r="CU107" s="969"/>
    </row>
    <row s="969" customFormat="1" customHeight="1" ht="14.25" hidden="1">
      <c r="A108" s="978" t="str">
        <f>"checkVolume_5."&amp;F108&amp;"."&amp;Y104</f>
        <v>checkVolume_5.1.0</v>
      </c>
      <c r="B108" s="969"/>
      <c r="C108" s="969"/>
      <c r="D108" s="969"/>
      <c r="E108" s="180">
        <v>15</v>
      </c>
      <c r="F108" s="175" cm="1" t="str">
        <f t="array" ref="F108:F108">OFFSET(G108,-1,-1)</f>
        <v>1</v>
      </c>
      <c r="G108" s="969"/>
      <c r="H108" s="969"/>
      <c r="I108" s="969"/>
      <c r="J108" s="969"/>
      <c r="K108" s="969"/>
      <c r="L108" s="969"/>
      <c r="M108" s="969"/>
      <c r="N108" s="969"/>
      <c r="O108" s="969"/>
      <c r="P108" s="969"/>
      <c r="Q108" s="969"/>
      <c r="R108" s="969"/>
      <c r="S108" s="969"/>
      <c r="T108" s="973" cm="1" t="str">
        <f t="array" ref="T108:T108">T107</f>
        <v>false</v>
      </c>
      <c r="U108" s="969"/>
      <c r="V108" s="969"/>
      <c r="W108" s="969"/>
      <c r="X108" s="969"/>
      <c r="Y108" s="969"/>
      <c r="Z108" s="969"/>
      <c r="AA108" s="1661"/>
      <c r="AB108" s="605" t="str">
        <f>AB107&amp;".1"</f>
        <v>2.4.0.2.1</v>
      </c>
      <c r="AC108" s="606" t="s">
        <v>1108</v>
      </c>
      <c r="AD108" s="606"/>
      <c r="AE108" s="320" t="s">
        <v>629</v>
      </c>
      <c r="AF108" s="74"/>
      <c r="AG108" s="74"/>
      <c r="AH108" s="74"/>
      <c r="AI108" s="74"/>
      <c r="AJ108" s="359"/>
      <c r="AK108" s="74"/>
      <c r="AL108" s="74"/>
      <c r="AM108" s="74"/>
      <c r="AN108" s="74"/>
      <c r="AO108" s="74"/>
      <c r="AP108" s="74"/>
      <c r="AQ108" s="74"/>
      <c r="AR108" s="74"/>
      <c r="AS108" s="74"/>
      <c r="AT108" s="74"/>
      <c r="AU108" s="74"/>
      <c r="AV108" s="74"/>
      <c r="AW108" s="74"/>
      <c r="AX108" s="74"/>
      <c r="AY108" s="74"/>
      <c r="AZ108" s="74"/>
      <c r="BA108" s="74"/>
      <c r="BB108" s="74"/>
      <c r="BC108" s="74"/>
      <c r="BD108" s="359"/>
      <c r="BE108" s="74"/>
      <c r="BF108" s="74"/>
      <c r="BG108" s="74"/>
      <c r="BH108" s="74"/>
      <c r="BI108" s="74"/>
      <c r="BJ108" s="74"/>
      <c r="BK108" s="74"/>
      <c r="BL108" s="74"/>
      <c r="BM108" s="74"/>
      <c r="BN108" s="74"/>
      <c r="BO108" s="74"/>
      <c r="BP108" s="74"/>
      <c r="BQ108" s="74"/>
      <c r="BR108" s="74"/>
      <c r="BS108" s="74"/>
      <c r="BT108" s="74"/>
      <c r="BU108" s="74"/>
      <c r="BV108" s="74"/>
      <c r="BW108" s="74"/>
      <c r="BX108" s="83"/>
      <c r="BY108" s="969"/>
      <c r="BZ108" s="969"/>
      <c r="CA108" s="489" t="s">
        <v>1115</v>
      </c>
      <c r="CB108" s="489" t="s">
        <v>1112</v>
      </c>
      <c r="CC108" s="489" cm="1" t="str">
        <f t="array" ref="CC108:CC108">CC107</f>
        <v>0</v>
      </c>
      <c r="CD108" s="984" cm="1" t="str">
        <f t="array" ref="CD108:CD108">CD107</f>
        <v>0</v>
      </c>
      <c r="CE108" s="546"/>
      <c r="CF108" s="546"/>
      <c r="CG108" s="969"/>
      <c r="CH108" s="1501" cm="1" t="str">
        <f t="array" ref="CH108:CH108">CH107</f>
        <v>ТЭ.42.31656254.0001</v>
      </c>
      <c r="CI108" s="1501" t="s">
        <v>1090</v>
      </c>
      <c r="CJ108" s="1501" t="s">
        <v>1074</v>
      </c>
      <c r="CK108" s="1501"/>
      <c r="CL108" s="1501" t="s">
        <v>1076</v>
      </c>
      <c r="CM108" s="1501" t="s">
        <v>255</v>
      </c>
      <c r="CN108" s="1501" cm="1" t="str">
        <f t="array" ref="CN108:CN108">CN107</f>
        <v>0</v>
      </c>
      <c r="CO108" s="1501" t="s">
        <v>303</v>
      </c>
      <c r="CP108" s="1501" t="s">
        <v>679</v>
      </c>
      <c r="CQ108" s="1501" t="s">
        <v>680</v>
      </c>
      <c r="CR108" s="969"/>
      <c r="CS108" s="969"/>
      <c r="CT108" s="969"/>
      <c r="CU108" s="969"/>
    </row>
    <row s="969" customFormat="1" customHeight="1" ht="14.25" hidden="1">
      <c r="A109" s="978" t="str">
        <f>"checkCosts_6."&amp;F109&amp;"."&amp;Y104</f>
        <v>checkCosts_6.1.0</v>
      </c>
      <c r="B109" s="969"/>
      <c r="C109" s="969"/>
      <c r="D109" s="969"/>
      <c r="E109" s="180">
        <v>15</v>
      </c>
      <c r="F109" s="175" cm="1" t="str">
        <f t="array" ref="F109:F109">OFFSET(G109,-1,-1)</f>
        <v>1</v>
      </c>
      <c r="G109" s="969"/>
      <c r="H109" s="969"/>
      <c r="I109" s="969"/>
      <c r="J109" s="969"/>
      <c r="K109" s="969"/>
      <c r="L109" s="969"/>
      <c r="M109" s="969"/>
      <c r="N109" s="969"/>
      <c r="O109" s="969"/>
      <c r="P109" s="969"/>
      <c r="Q109" s="969"/>
      <c r="R109" s="969"/>
      <c r="S109" s="969"/>
      <c r="T109" s="973" cm="1" t="str">
        <f t="array" ref="T109:T109">T108</f>
        <v>false</v>
      </c>
      <c r="U109" s="969"/>
      <c r="V109" s="969"/>
      <c r="W109" s="969"/>
      <c r="X109" s="969"/>
      <c r="Y109" s="969"/>
      <c r="Z109" s="969"/>
      <c r="AA109" s="1661"/>
      <c r="AB109" s="360" t="str">
        <f>AB104&amp;".3"</f>
        <v>2.4.0.3</v>
      </c>
      <c r="AC109" s="589" t="s">
        <v>1116</v>
      </c>
      <c r="AD109" s="589"/>
      <c r="AE109" s="320" t="s">
        <v>1078</v>
      </c>
      <c r="AF109" s="74"/>
      <c r="AG109" s="74"/>
      <c r="AH109" s="74"/>
      <c r="AI109" s="74"/>
      <c r="AJ109" s="359"/>
      <c r="AK109" s="74"/>
      <c r="AL109" s="74"/>
      <c r="AM109" s="74"/>
      <c r="AN109" s="74"/>
      <c r="AO109" s="74"/>
      <c r="AP109" s="74"/>
      <c r="AQ109" s="74"/>
      <c r="AR109" s="74"/>
      <c r="AS109" s="74"/>
      <c r="AT109" s="74"/>
      <c r="AU109" s="74"/>
      <c r="AV109" s="74"/>
      <c r="AW109" s="74"/>
      <c r="AX109" s="74"/>
      <c r="AY109" s="74"/>
      <c r="AZ109" s="74"/>
      <c r="BA109" s="74"/>
      <c r="BB109" s="74"/>
      <c r="BC109" s="74"/>
      <c r="BD109" s="359"/>
      <c r="BE109" s="74"/>
      <c r="BF109" s="74"/>
      <c r="BG109" s="74"/>
      <c r="BH109" s="74"/>
      <c r="BI109" s="74"/>
      <c r="BJ109" s="74"/>
      <c r="BK109" s="74"/>
      <c r="BL109" s="74"/>
      <c r="BM109" s="74"/>
      <c r="BN109" s="74"/>
      <c r="BO109" s="74"/>
      <c r="BP109" s="74"/>
      <c r="BQ109" s="74"/>
      <c r="BR109" s="74"/>
      <c r="BS109" s="74"/>
      <c r="BT109" s="74"/>
      <c r="BU109" s="74"/>
      <c r="BV109" s="74"/>
      <c r="BW109" s="74"/>
      <c r="BX109" s="83"/>
      <c r="BY109" s="969"/>
      <c r="BZ109" s="969"/>
      <c r="CA109" s="489" t="s">
        <v>1117</v>
      </c>
      <c r="CB109" s="489" t="s">
        <v>1112</v>
      </c>
      <c r="CC109" s="489" cm="1" t="str">
        <f t="array" ref="CC109:CC109">CC108</f>
        <v>0</v>
      </c>
      <c r="CD109" s="984" cm="1" t="str">
        <f t="array" ref="CD109:CD109">CD108</f>
        <v>0</v>
      </c>
      <c r="CE109" s="546"/>
      <c r="CF109" s="546"/>
      <c r="CG109" s="969"/>
      <c r="CH109" s="1501" cm="1" t="str">
        <f t="array" ref="CH109:CH109">CH108</f>
        <v>ТЭ.42.31656254.0001</v>
      </c>
      <c r="CI109" s="1501" t="s">
        <v>1090</v>
      </c>
      <c r="CJ109" s="1501" t="s">
        <v>1074</v>
      </c>
      <c r="CK109" s="1501"/>
      <c r="CL109" s="1501" t="s">
        <v>1080</v>
      </c>
      <c r="CM109" s="1501" t="s">
        <v>219</v>
      </c>
      <c r="CN109" s="1501" cm="1" t="str">
        <f t="array" ref="CN109:CN109">CN108</f>
        <v>0</v>
      </c>
      <c r="CO109" s="1501" t="s">
        <v>303</v>
      </c>
      <c r="CP109" s="1501" t="s">
        <v>1044</v>
      </c>
      <c r="CQ109" s="1501" t="s">
        <v>1045</v>
      </c>
      <c r="CR109" s="969"/>
      <c r="CS109" s="969"/>
      <c r="CT109" s="969"/>
      <c r="CU109" s="969"/>
    </row>
    <row s="969" customFormat="1" customHeight="1" ht="14.25" hidden="1">
      <c r="A110" s="978" t="str">
        <f>"checkVolume_6."&amp;F110&amp;"."&amp;Y104</f>
        <v>checkVolume_6.1.0</v>
      </c>
      <c r="B110" s="969"/>
      <c r="C110" s="969"/>
      <c r="D110" s="969"/>
      <c r="E110" s="180">
        <v>15</v>
      </c>
      <c r="F110" s="175" cm="1" t="str">
        <f t="array" ref="F110:F110">OFFSET(G110,-1,-1)</f>
        <v>1</v>
      </c>
      <c r="G110" s="969"/>
      <c r="H110" s="193" cm="1" t="str">
        <f t="array" ref="H110:H110">H104</f>
        <v>0</v>
      </c>
      <c r="I110" s="969"/>
      <c r="J110" s="969"/>
      <c r="K110" s="969"/>
      <c r="L110" s="969"/>
      <c r="M110" s="969"/>
      <c r="N110" s="969"/>
      <c r="O110" s="969"/>
      <c r="P110" s="969"/>
      <c r="Q110" s="969"/>
      <c r="R110" s="969"/>
      <c r="S110" s="969"/>
      <c r="T110" s="973" cm="1" t="str">
        <f t="array" ref="T110:T110">T109</f>
        <v>false</v>
      </c>
      <c r="U110" s="969"/>
      <c r="V110" s="969"/>
      <c r="W110" s="969"/>
      <c r="X110" s="969"/>
      <c r="Y110" s="969"/>
      <c r="Z110" s="969"/>
      <c r="AA110" s="1661"/>
      <c r="AB110" s="605" t="str">
        <f>AB109&amp;".1"</f>
        <v>2.4.0.3.1</v>
      </c>
      <c r="AC110" s="607" t="s">
        <v>1118</v>
      </c>
      <c r="AD110" s="607"/>
      <c r="AE110" s="320" t="s">
        <v>752</v>
      </c>
      <c r="AF110" s="74"/>
      <c r="AG110" s="74"/>
      <c r="AH110" s="74"/>
      <c r="AI110" s="74"/>
      <c r="AJ110" s="359"/>
      <c r="AK110" s="74"/>
      <c r="AL110" s="74"/>
      <c r="AM110" s="74"/>
      <c r="AN110" s="74"/>
      <c r="AO110" s="74"/>
      <c r="AP110" s="74"/>
      <c r="AQ110" s="74"/>
      <c r="AR110" s="74"/>
      <c r="AS110" s="74"/>
      <c r="AT110" s="74"/>
      <c r="AU110" s="74"/>
      <c r="AV110" s="74"/>
      <c r="AW110" s="74"/>
      <c r="AX110" s="74"/>
      <c r="AY110" s="74"/>
      <c r="AZ110" s="74"/>
      <c r="BA110" s="74"/>
      <c r="BB110" s="74"/>
      <c r="BC110" s="74"/>
      <c r="BD110" s="359"/>
      <c r="BE110" s="74"/>
      <c r="BF110" s="74"/>
      <c r="BG110" s="74"/>
      <c r="BH110" s="74"/>
      <c r="BI110" s="74"/>
      <c r="BJ110" s="74"/>
      <c r="BK110" s="74"/>
      <c r="BL110" s="74"/>
      <c r="BM110" s="74"/>
      <c r="BN110" s="74"/>
      <c r="BO110" s="74"/>
      <c r="BP110" s="74"/>
      <c r="BQ110" s="74"/>
      <c r="BR110" s="74"/>
      <c r="BS110" s="74"/>
      <c r="BT110" s="74"/>
      <c r="BU110" s="74"/>
      <c r="BV110" s="74"/>
      <c r="BW110" s="74"/>
      <c r="BX110" s="83"/>
      <c r="BY110" s="969"/>
      <c r="BZ110" s="969"/>
      <c r="CA110" s="489" t="s">
        <v>1119</v>
      </c>
      <c r="CB110" s="489" t="s">
        <v>1112</v>
      </c>
      <c r="CC110" s="489" cm="1" t="str">
        <f t="array" ref="CC110:CC110">CC109</f>
        <v>0</v>
      </c>
      <c r="CD110" s="984" cm="1" t="str">
        <f t="array" ref="CD110:CD110">CD109</f>
        <v>0</v>
      </c>
      <c r="CE110" s="546"/>
      <c r="CF110" s="546"/>
      <c r="CG110" s="969"/>
      <c r="CH110" s="1501" cm="1" t="str">
        <f t="array" ref="CH110:CH110">CH109</f>
        <v>ТЭ.42.31656254.0001</v>
      </c>
      <c r="CI110" s="1501" t="s">
        <v>1090</v>
      </c>
      <c r="CJ110" s="1501" t="s">
        <v>1074</v>
      </c>
      <c r="CK110" s="1501"/>
      <c r="CL110" s="1501" t="s">
        <v>1080</v>
      </c>
      <c r="CM110" s="1501" t="s">
        <v>255</v>
      </c>
      <c r="CN110" s="1501" cm="1" t="str">
        <f t="array" ref="CN110:CN110">CN109</f>
        <v>0</v>
      </c>
      <c r="CO110" s="1501" t="s">
        <v>303</v>
      </c>
      <c r="CP110" s="1501" t="s">
        <v>679</v>
      </c>
      <c r="CQ110" s="1501" t="s">
        <v>680</v>
      </c>
      <c r="CR110" s="969"/>
      <c r="CS110" s="969"/>
      <c r="CT110" s="969"/>
      <c r="CU110" s="969"/>
    </row>
    <row s="969" customFormat="1" customHeight="1" ht="10.5">
      <c r="A111" s="969"/>
      <c r="B111" s="969"/>
      <c r="C111" s="969"/>
      <c r="D111" s="969"/>
      <c r="E111" s="180">
        <v>11</v>
      </c>
      <c r="F111" s="175" cm="1" t="str">
        <f t="array" ref="F111:F111">OFFSET(G111,-1,-1)</f>
        <v>1</v>
      </c>
      <c r="G111" s="969"/>
      <c r="H111" s="969"/>
      <c r="I111" s="969"/>
      <c r="J111" s="969"/>
      <c r="K111" s="969"/>
      <c r="L111" s="969"/>
      <c r="M111" s="969"/>
      <c r="N111" s="969"/>
      <c r="O111" s="969"/>
      <c r="P111" s="969"/>
      <c r="Q111" s="969"/>
      <c r="R111" s="969"/>
      <c r="S111" s="969"/>
      <c r="T111" s="973">
        <f>F111&gt;0</f>
        <v>1</v>
      </c>
      <c r="U111" s="969"/>
      <c r="V111" s="969"/>
      <c r="W111" s="176" t="s">
        <v>1120</v>
      </c>
      <c r="X111" s="969"/>
      <c r="Y111" s="969"/>
      <c r="Z111" s="969"/>
      <c r="AA111" s="969"/>
      <c r="AB111" s="608"/>
      <c r="AC111" s="609" t="s">
        <v>1111</v>
      </c>
      <c r="AD111" s="609"/>
      <c r="AE111" s="609"/>
      <c r="AF111" s="407"/>
      <c r="AG111" s="407"/>
      <c r="AH111" s="407"/>
      <c r="AI111" s="407"/>
      <c r="AJ111" s="407"/>
      <c r="AK111" s="407"/>
      <c r="AL111" s="407"/>
      <c r="AM111" s="407"/>
      <c r="AN111" s="407"/>
      <c r="AO111" s="407"/>
      <c r="AP111" s="407"/>
      <c r="AQ111" s="407"/>
      <c r="AR111" s="407"/>
      <c r="AS111" s="407"/>
      <c r="AT111" s="407"/>
      <c r="AU111" s="407"/>
      <c r="AV111" s="407"/>
      <c r="AW111" s="407"/>
      <c r="AX111" s="407"/>
      <c r="AY111" s="407"/>
      <c r="AZ111" s="407"/>
      <c r="BA111" s="407"/>
      <c r="BB111" s="407"/>
      <c r="BC111" s="407"/>
      <c r="BD111" s="407"/>
      <c r="BE111" s="407"/>
      <c r="BF111" s="407"/>
      <c r="BG111" s="407"/>
      <c r="BH111" s="407"/>
      <c r="BI111" s="407"/>
      <c r="BJ111" s="407"/>
      <c r="BK111" s="407"/>
      <c r="BL111" s="407"/>
      <c r="BM111" s="407"/>
      <c r="BN111" s="407"/>
      <c r="BO111" s="407"/>
      <c r="BP111" s="407"/>
      <c r="BQ111" s="407"/>
      <c r="BR111" s="407"/>
      <c r="BS111" s="407"/>
      <c r="BT111" s="407"/>
      <c r="BU111" s="407"/>
      <c r="BV111" s="407"/>
      <c r="BW111" s="407"/>
      <c r="BX111" s="610"/>
      <c r="BY111" s="969"/>
      <c r="BZ111" s="969"/>
      <c r="CA111" s="489"/>
      <c r="CB111" s="489"/>
      <c r="CC111" s="489"/>
      <c r="CD111" s="489"/>
      <c r="CE111" s="546" t="s">
        <v>1112</v>
      </c>
      <c r="CF111" s="546"/>
      <c r="CG111" s="969"/>
      <c r="CH111" s="969"/>
      <c r="CI111" s="969"/>
      <c r="CJ111" s="969"/>
      <c r="CK111" s="969"/>
      <c r="CL111" s="969"/>
      <c r="CM111" s="969"/>
      <c r="CN111" s="969"/>
      <c r="CO111" s="969"/>
      <c r="CP111" s="969"/>
      <c r="CQ111" s="969"/>
      <c r="CR111" s="969"/>
      <c r="CS111" s="969"/>
      <c r="CT111" s="969"/>
      <c r="CU111" s="969"/>
    </row>
    <row s="1659" customFormat="1" customHeight="1" ht="10.725000000000001">
      <c r="A112" s="371"/>
      <c r="B112" s="175"/>
      <c r="C112" s="175"/>
      <c r="D112" s="175"/>
      <c r="E112" s="180">
        <v>11</v>
      </c>
      <c r="F112" s="175"/>
      <c r="T112" s="175"/>
      <c r="U112" s="175" t="s">
        <v>191</v>
      </c>
      <c r="V112" s="176" t="s">
        <v>1122</v>
      </c>
      <c r="W112" s="175"/>
      <c r="X112" s="175"/>
      <c r="Y112" s="175"/>
      <c r="Z112" s="175"/>
      <c r="AA112" s="181"/>
      <c r="AB112" s="286"/>
      <c r="AC112" s="286"/>
      <c r="AD112" s="286"/>
      <c r="AE112" s="286"/>
      <c r="AF112" s="286"/>
      <c r="AG112" s="286"/>
      <c r="AH112" s="286"/>
      <c r="AI112" s="286"/>
      <c r="AJ112" s="286"/>
      <c r="AK112" s="286"/>
      <c r="AL112" s="286"/>
      <c r="AM112" s="286"/>
      <c r="AN112" s="286"/>
      <c r="AO112" s="286"/>
      <c r="AP112" s="286"/>
      <c r="AQ112" s="286"/>
      <c r="AR112" s="286"/>
      <c r="AS112" s="286"/>
      <c r="AT112" s="286"/>
      <c r="AU112" s="286"/>
      <c r="AV112" s="286"/>
      <c r="AW112" s="286"/>
      <c r="AX112" s="286"/>
      <c r="AY112" s="286"/>
      <c r="AZ112" s="286"/>
      <c r="BA112" s="286"/>
      <c r="BB112" s="286"/>
      <c r="BC112" s="286"/>
      <c r="BD112" s="286"/>
      <c r="BE112" s="286"/>
      <c r="BF112" s="286"/>
      <c r="BG112" s="286"/>
      <c r="BH112" s="286"/>
      <c r="BI112" s="286"/>
      <c r="BJ112" s="286"/>
      <c r="BK112" s="286"/>
      <c r="BL112" s="286"/>
      <c r="BM112" s="286"/>
      <c r="BN112" s="286"/>
      <c r="BO112" s="286"/>
      <c r="BP112" s="286"/>
      <c r="BQ112" s="286"/>
      <c r="BR112" s="286"/>
      <c r="BS112" s="286"/>
      <c r="BT112" s="286"/>
      <c r="BU112" s="286"/>
      <c r="BV112" s="286"/>
      <c r="BW112" s="286"/>
      <c r="BX112" s="286"/>
      <c r="BY112" s="181"/>
      <c r="CA112" s="489"/>
      <c r="CB112" s="489"/>
      <c r="CC112" s="489"/>
      <c r="CD112" s="489"/>
      <c r="CE112" s="546"/>
      <c r="CF112" s="546"/>
      <c r="CH112" s="0"/>
      <c r="CI112" s="0"/>
      <c r="CJ112" s="0"/>
      <c r="CK112" s="0"/>
      <c r="CL112" s="0"/>
      <c r="CM112" s="0"/>
      <c r="CN112" s="0"/>
      <c r="CO112" s="0"/>
      <c r="CP112" s="0"/>
      <c r="CQ112" s="0"/>
      <c r="CR112" s="0"/>
      <c r="CS112" s="0"/>
      <c r="CT112" s="0"/>
      <c r="CU112" s="0"/>
    </row>
    <row s="1659" customFormat="1" customHeight="1" ht="11.25" hidden="1">
      <c r="A113" s="371"/>
      <c r="B113" s="175"/>
      <c r="C113" s="175"/>
      <c r="D113" s="175"/>
      <c r="E113" s="965">
        <v>0</v>
      </c>
      <c r="F113" s="175"/>
      <c r="T113" s="175"/>
      <c r="U113" s="175"/>
      <c r="V113" s="176"/>
      <c r="W113" s="175"/>
      <c r="X113" s="175"/>
      <c r="Y113" s="175"/>
      <c r="Z113" s="175"/>
      <c r="AA113" s="181"/>
      <c r="AB113" s="286"/>
      <c r="AC113" s="286"/>
      <c r="AD113" s="286"/>
      <c r="AE113" s="286"/>
      <c r="AF113" s="286"/>
      <c r="AG113" s="286"/>
      <c r="AH113" s="286"/>
      <c r="AI113" s="286"/>
      <c r="AJ113" s="286"/>
      <c r="AK113" s="286"/>
      <c r="AL113" s="286"/>
      <c r="AM113" s="286"/>
      <c r="AN113" s="286"/>
      <c r="AO113" s="286"/>
      <c r="AP113" s="286"/>
      <c r="AQ113" s="286"/>
      <c r="AR113" s="286"/>
      <c r="AS113" s="286"/>
      <c r="AT113" s="286"/>
      <c r="AU113" s="286"/>
      <c r="AV113" s="286"/>
      <c r="AW113" s="286"/>
      <c r="AX113" s="286"/>
      <c r="AY113" s="286"/>
      <c r="AZ113" s="286"/>
      <c r="BA113" s="286"/>
      <c r="BB113" s="286"/>
      <c r="BC113" s="286"/>
      <c r="BD113" s="286"/>
      <c r="BE113" s="286"/>
      <c r="BF113" s="286"/>
      <c r="BG113" s="286"/>
      <c r="BH113" s="286"/>
      <c r="BI113" s="286"/>
      <c r="BJ113" s="286"/>
      <c r="BK113" s="286"/>
      <c r="BL113" s="286"/>
      <c r="BM113" s="286"/>
      <c r="BN113" s="286"/>
      <c r="BO113" s="286"/>
      <c r="BP113" s="286"/>
      <c r="BQ113" s="286"/>
      <c r="BR113" s="286"/>
      <c r="BS113" s="286"/>
      <c r="BT113" s="286"/>
      <c r="BU113" s="286"/>
      <c r="BV113" s="286"/>
      <c r="BW113" s="286"/>
      <c r="BX113" s="286"/>
      <c r="BY113" s="181"/>
      <c r="CA113" s="489"/>
      <c r="CB113" s="489"/>
      <c r="CC113" s="489"/>
      <c r="CD113" s="489"/>
      <c r="CE113" s="546"/>
      <c r="CF113" s="546"/>
      <c r="CH113" s="0"/>
      <c r="CI113" s="0"/>
      <c r="CJ113" s="0"/>
      <c r="CK113" s="0"/>
      <c r="CL113" s="0"/>
      <c r="CM113" s="0"/>
      <c r="CN113" s="0"/>
      <c r="CO113" s="0"/>
      <c r="CP113" s="0"/>
      <c r="CQ113" s="0"/>
      <c r="CR113" s="0"/>
      <c r="CS113" s="0"/>
      <c r="CT113" s="0"/>
      <c r="CU113" s="0"/>
    </row>
    <row customHeight="1" ht="14.625">
      <c r="E114" s="180">
        <v>15</v>
      </c>
      <c r="AB114" s="1653" t="s">
        <v>765</v>
      </c>
      <c r="AC114" s="1653"/>
      <c r="AD114" s="1653"/>
      <c r="AE114" s="1653"/>
      <c r="AF114" s="1653"/>
      <c r="AG114" s="1653"/>
      <c r="AH114" s="1653"/>
      <c r="AI114" s="1653"/>
      <c r="AJ114" s="1654"/>
      <c r="AK114" s="1654"/>
      <c r="AL114" s="1654"/>
      <c r="AM114" s="1654"/>
      <c r="AN114" s="1654"/>
      <c r="AO114" s="1654"/>
      <c r="AP114" s="1654"/>
      <c r="AQ114" s="1654"/>
      <c r="AR114" s="1654"/>
      <c r="AS114" s="1654"/>
      <c r="AT114" s="1654"/>
      <c r="AU114" s="1654"/>
      <c r="AV114" s="1654"/>
      <c r="AW114" s="1654"/>
      <c r="AX114" s="1654"/>
      <c r="AY114" s="1654"/>
      <c r="AZ114" s="1654"/>
      <c r="BA114" s="1654"/>
      <c r="BB114" s="1654"/>
      <c r="BC114" s="1654"/>
      <c r="BD114" s="1654"/>
      <c r="BE114" s="1654"/>
      <c r="BF114" s="1654"/>
      <c r="BG114" s="1654"/>
      <c r="BH114" s="1654"/>
      <c r="BI114" s="1654"/>
      <c r="BJ114" s="1654"/>
      <c r="BK114" s="1654"/>
      <c r="BL114" s="1654"/>
      <c r="BM114" s="1654"/>
      <c r="BN114" s="1654"/>
      <c r="BO114" s="1654"/>
      <c r="BP114" s="1654"/>
      <c r="BQ114" s="1654"/>
      <c r="BR114" s="1654"/>
      <c r="BS114" s="1654"/>
      <c r="BT114" s="1654"/>
      <c r="BU114" s="1654"/>
      <c r="BV114" s="1654"/>
      <c r="BW114" s="1654"/>
      <c r="BX114" s="1654"/>
    </row>
    <row customHeight="1" ht="14.625">
      <c r="E115" s="180">
        <v>15</v>
      </c>
      <c r="AA115" s="477"/>
      <c r="AB115" s="1655"/>
      <c r="AC115" s="1655"/>
      <c r="AD115" s="1655"/>
      <c r="AE115" s="1655"/>
      <c r="AF115" s="1655"/>
      <c r="AG115" s="1655"/>
      <c r="AH115" s="1655"/>
      <c r="AI115" s="1655"/>
      <c r="AJ115" s="1656"/>
      <c r="AK115" s="2292"/>
      <c r="AL115" s="2292"/>
      <c r="AM115" s="2292"/>
      <c r="AN115" s="2292"/>
      <c r="AO115" s="2292"/>
      <c r="AP115" s="2292"/>
      <c r="AQ115" s="2292"/>
      <c r="AR115" s="2292"/>
      <c r="AS115" s="2292"/>
      <c r="AT115" s="2292"/>
      <c r="AU115" s="2292"/>
      <c r="AV115" s="2292"/>
      <c r="AW115" s="2292"/>
      <c r="AX115" s="2292"/>
      <c r="AY115" s="2292"/>
      <c r="AZ115" s="2292"/>
      <c r="BA115" s="2292"/>
      <c r="BB115" s="2292"/>
      <c r="BC115" s="2292"/>
      <c r="BD115" s="1656"/>
      <c r="BE115" s="2292"/>
      <c r="BF115" s="2292"/>
      <c r="BG115" s="2292"/>
      <c r="BH115" s="2292"/>
      <c r="BI115" s="2292"/>
      <c r="BJ115" s="2292"/>
      <c r="BK115" s="2292"/>
      <c r="BL115" s="2292"/>
      <c r="BM115" s="2292"/>
      <c r="BN115" s="2292"/>
      <c r="BO115" s="2292"/>
      <c r="BP115" s="2292"/>
      <c r="BQ115" s="2292"/>
      <c r="BR115" s="2292"/>
      <c r="BS115" s="2292"/>
      <c r="BT115" s="2292"/>
      <c r="BU115" s="2292"/>
      <c r="BV115" s="2292"/>
      <c r="BW115" s="2292"/>
      <c r="BX115" s="1657"/>
    </row>
    <row customHeight="1" ht="14.625" hidden="1">
      <c r="A116" s="371"/>
      <c r="B116" s="1548"/>
      <c r="C116" s="1548"/>
      <c r="D116" s="1548"/>
      <c r="E116" s="180">
        <v>15</v>
      </c>
      <c r="F116" s="1548"/>
      <c r="G116" s="1659"/>
      <c r="H116" s="1659"/>
      <c r="I116" s="1659"/>
      <c r="J116" s="1659"/>
      <c r="K116" s="1659"/>
      <c r="L116" s="1659"/>
      <c r="M116" s="1659"/>
      <c r="N116" s="1659"/>
      <c r="O116" s="1659"/>
      <c r="P116" s="1659"/>
      <c r="Q116" s="1659"/>
      <c r="R116" s="1659"/>
      <c r="S116" s="1659"/>
      <c r="T116" s="753">
        <f>ROW(W116)&gt;ROW(W$116)</f>
        <v>0</v>
      </c>
      <c r="U116" s="1548"/>
      <c r="V116" s="1548"/>
      <c r="W116" s="175" t="s">
        <v>189</v>
      </c>
      <c r="X116" s="1548"/>
      <c r="Y116" s="1548"/>
      <c r="Z116" s="1548"/>
      <c r="AA116" s="477" t="s">
        <v>171</v>
      </c>
      <c r="AB116" s="2293"/>
      <c r="AC116" s="2293"/>
      <c r="AD116" s="1655"/>
      <c r="AE116" s="2293"/>
      <c r="AF116" s="2293"/>
      <c r="AG116" s="2293"/>
      <c r="AH116" s="2293"/>
      <c r="AI116" s="2293"/>
      <c r="AJ116" s="1656"/>
      <c r="AK116" s="2292"/>
      <c r="AL116" s="2292"/>
      <c r="AM116" s="2292"/>
      <c r="AN116" s="2292"/>
      <c r="AO116" s="2292"/>
      <c r="AP116" s="2292"/>
      <c r="AQ116" s="2292"/>
      <c r="AR116" s="2292"/>
      <c r="AS116" s="2292"/>
      <c r="AT116" s="2292"/>
      <c r="AU116" s="2292"/>
      <c r="AV116" s="2292"/>
      <c r="AW116" s="2292"/>
      <c r="AX116" s="2292"/>
      <c r="AY116" s="2292"/>
      <c r="AZ116" s="2292"/>
      <c r="BA116" s="2292"/>
      <c r="BB116" s="2292"/>
      <c r="BC116" s="2292"/>
      <c r="BD116" s="1656"/>
      <c r="BE116" s="2292"/>
      <c r="BF116" s="2292"/>
      <c r="BG116" s="2292"/>
      <c r="BH116" s="2292"/>
      <c r="BI116" s="2292"/>
      <c r="BJ116" s="2292"/>
      <c r="BK116" s="2292"/>
      <c r="BL116" s="2292"/>
      <c r="BM116" s="2292"/>
      <c r="BN116" s="2292"/>
      <c r="BO116" s="2292"/>
      <c r="BP116" s="2292"/>
      <c r="BQ116" s="2292"/>
      <c r="BR116" s="2292"/>
      <c r="BS116" s="2292"/>
      <c r="BT116" s="2292"/>
      <c r="BU116" s="2292"/>
      <c r="BV116" s="2292"/>
      <c r="BW116" s="2292"/>
      <c r="BX116" s="2294"/>
      <c r="BY116" s="286"/>
      <c r="BZ116" s="1659"/>
      <c r="CA116" s="1125"/>
      <c r="CB116" s="1125"/>
      <c r="CC116" s="1125"/>
      <c r="CD116" s="1125"/>
      <c r="CE116" s="1126"/>
      <c r="CF116" s="1126"/>
      <c r="CG116" s="1506"/>
      <c r="CH116" s="1752"/>
      <c r="CI116" s="1752"/>
      <c r="CJ116" s="1752"/>
      <c r="CK116" s="1752"/>
      <c r="CL116" s="1752"/>
      <c r="CM116" s="1752"/>
      <c r="CN116" s="1752"/>
      <c r="CO116" s="1752"/>
      <c r="CP116" s="1752"/>
      <c r="CQ116" s="1752"/>
      <c r="CR116" s="1752"/>
      <c r="CS116" s="1752"/>
      <c r="CT116" s="1752"/>
      <c r="CU116" s="1752"/>
    </row>
    <row customHeight="1" ht="14.625">
      <c r="E117" s="180">
        <v>15</v>
      </c>
      <c r="W117" s="176" t="s">
        <v>1123</v>
      </c>
      <c r="AB117" s="478" t="s">
        <v>766</v>
      </c>
      <c r="AC117" s="479"/>
      <c r="AD117" s="479"/>
      <c r="AE117" s="480"/>
      <c r="AF117" s="480"/>
      <c r="AG117" s="481"/>
      <c r="AH117" s="481"/>
      <c r="AI117" s="481"/>
      <c r="AJ117" s="481"/>
      <c r="AK117" s="481"/>
      <c r="AL117" s="481"/>
      <c r="AM117" s="481"/>
      <c r="AN117" s="481"/>
      <c r="AO117" s="481"/>
      <c r="AP117" s="481"/>
      <c r="AQ117" s="481"/>
      <c r="AR117" s="481"/>
      <c r="AS117" s="481"/>
      <c r="AT117" s="481"/>
      <c r="AU117" s="481"/>
      <c r="AV117" s="481"/>
      <c r="AW117" s="481"/>
      <c r="AX117" s="481"/>
      <c r="AY117" s="481"/>
      <c r="AZ117" s="481"/>
      <c r="BA117" s="481"/>
      <c r="BB117" s="481"/>
      <c r="BC117" s="481"/>
      <c r="BD117" s="481"/>
      <c r="BE117" s="481"/>
      <c r="BF117" s="481"/>
      <c r="BG117" s="481"/>
      <c r="BH117" s="481"/>
      <c r="BI117" s="481"/>
      <c r="BJ117" s="481"/>
      <c r="BK117" s="481"/>
      <c r="BL117" s="481"/>
      <c r="BM117" s="481"/>
      <c r="BN117" s="481"/>
      <c r="BO117" s="481"/>
      <c r="BP117" s="481"/>
      <c r="BQ117" s="481"/>
      <c r="BR117" s="481"/>
      <c r="BS117" s="481"/>
      <c r="BT117" s="481"/>
      <c r="BU117" s="481"/>
      <c r="BV117" s="481"/>
      <c r="BW117" s="481"/>
      <c r="BX117" s="611"/>
    </row>
    <row customHeight="1" ht="11.25">
      <c r="AD118" s="286"/>
      <c r="AJ118" s="286"/>
      <c r="AK118" s="286"/>
      <c r="AL118" s="286"/>
      <c r="AM118" s="286"/>
      <c r="AN118" s="286"/>
      <c r="AO118" s="286"/>
      <c r="AP118" s="286"/>
      <c r="AQ118" s="286"/>
      <c r="AR118" s="286"/>
      <c r="AS118" s="286"/>
      <c r="AT118" s="286"/>
      <c r="AU118" s="286"/>
      <c r="AV118" s="286"/>
      <c r="AW118" s="286"/>
      <c r="AX118" s="286"/>
      <c r="AY118" s="286"/>
      <c r="AZ118" s="286"/>
      <c r="BA118" s="286"/>
      <c r="BB118" s="286"/>
      <c r="BC118" s="286"/>
      <c r="BD118" s="286"/>
      <c r="BE118" s="286"/>
      <c r="BF118" s="286"/>
      <c r="BG118" s="286"/>
      <c r="BH118" s="286"/>
      <c r="BI118" s="286"/>
      <c r="BJ118" s="286"/>
      <c r="BK118" s="286"/>
      <c r="BL118" s="286"/>
      <c r="BM118" s="286"/>
      <c r="BN118" s="286"/>
      <c r="BO118" s="286"/>
      <c r="BP118" s="286"/>
      <c r="BQ118" s="286"/>
      <c r="BR118" s="286"/>
      <c r="BS118" s="286"/>
      <c r="BT118" s="286"/>
      <c r="BU118" s="286"/>
      <c r="BV118" s="286"/>
      <c r="BW118" s="286"/>
      <c r="BY118" s="286"/>
    </row>
    <row customHeight="1" ht="11.25" hidden="1">
      <c r="AD119" s="286"/>
      <c r="AJ119" s="286"/>
      <c r="AK119" s="286"/>
      <c r="AL119" s="286"/>
      <c r="AM119" s="286"/>
      <c r="AN119" s="286"/>
      <c r="AO119" s="286"/>
      <c r="AP119" s="286"/>
      <c r="AQ119" s="286"/>
      <c r="AR119" s="286"/>
      <c r="AS119" s="286"/>
      <c r="AT119" s="286"/>
      <c r="AU119" s="286"/>
      <c r="AV119" s="286"/>
      <c r="AW119" s="286"/>
      <c r="AX119" s="286"/>
      <c r="AY119" s="286"/>
      <c r="AZ119" s="286"/>
      <c r="BA119" s="286"/>
      <c r="BB119" s="286"/>
      <c r="BC119" s="286"/>
      <c r="BD119" s="286"/>
      <c r="BE119" s="286"/>
      <c r="BF119" s="286"/>
      <c r="BG119" s="286"/>
      <c r="BH119" s="286"/>
      <c r="BI119" s="286"/>
      <c r="BJ119" s="286"/>
      <c r="BK119" s="286"/>
      <c r="BL119" s="286"/>
      <c r="BM119" s="286"/>
      <c r="BN119" s="286"/>
      <c r="BO119" s="286"/>
      <c r="BP119" s="286"/>
      <c r="BQ119" s="286"/>
      <c r="BR119" s="286"/>
      <c r="BS119" s="286"/>
      <c r="BT119" s="286"/>
      <c r="BU119" s="286"/>
      <c r="BV119" s="286"/>
      <c r="BW119" s="286"/>
    </row>
    <row customHeight="1" ht="11.25" hidden="1">
      <c r="AD120" s="286"/>
      <c r="AJ120" s="286"/>
      <c r="AK120" s="286"/>
      <c r="AL120" s="286"/>
      <c r="AM120" s="286"/>
      <c r="AN120" s="286"/>
      <c r="AO120" s="286"/>
      <c r="AP120" s="286"/>
      <c r="AQ120" s="286"/>
      <c r="AR120" s="286"/>
      <c r="AS120" s="286"/>
      <c r="AT120" s="286"/>
      <c r="AU120" s="286"/>
      <c r="AV120" s="286"/>
      <c r="AW120" s="286"/>
      <c r="AX120" s="286"/>
      <c r="AY120" s="286"/>
      <c r="AZ120" s="286"/>
      <c r="BA120" s="286"/>
      <c r="BB120" s="286"/>
      <c r="BC120" s="286"/>
      <c r="BD120" s="286"/>
      <c r="BE120" s="286"/>
      <c r="BF120" s="286"/>
      <c r="BG120" s="286"/>
      <c r="BH120" s="286"/>
      <c r="BI120" s="286"/>
      <c r="BJ120" s="286"/>
      <c r="BK120" s="286"/>
      <c r="BL120" s="286"/>
      <c r="BM120" s="286"/>
      <c r="BN120" s="286"/>
      <c r="BO120" s="286"/>
      <c r="BP120" s="286"/>
      <c r="BQ120" s="286"/>
      <c r="BR120" s="286"/>
      <c r="BS120" s="286"/>
      <c r="BT120" s="286"/>
      <c r="BU120" s="286"/>
      <c r="BV120" s="286"/>
      <c r="BW120" s="286"/>
    </row>
    <row customHeight="1" ht="11.25" hidden="1">
      <c r="A121" s="1497" t="s">
        <v>109</v>
      </c>
      <c r="AD121" s="286"/>
      <c r="AF121" s="1492" t="str">
        <f>"389.0."&amp;AF$9-2010&amp;"."</f>
        <v>389.0.15.</v>
      </c>
      <c r="AG121" s="1492" t="str">
        <f>"389.0."&amp;AG9-2010&amp;"."</f>
        <v>389.0.15.</v>
      </c>
      <c r="AH121" s="1492" t="str">
        <f>"389.0."&amp;AH9-2010&amp;"."</f>
        <v>389.0.15.</v>
      </c>
      <c r="AI121" s="1492" t="str">
        <f>"389.0."&amp;AI9-2010&amp;"."</f>
        <v>389.0.16.</v>
      </c>
      <c r="AJ121" s="1492" t="str">
        <f>"389.0."&amp;AJ9-2010&amp;"."</f>
        <v>389.0.17.</v>
      </c>
      <c r="AK121" s="1492" t="str">
        <f>"389.0."&amp;AK9-2010&amp;"."</f>
        <v>389.0.18.</v>
      </c>
      <c r="AL121" s="1492" t="str">
        <f>"389.0."&amp;AL9-2010&amp;"."</f>
        <v>389.0.19.</v>
      </c>
      <c r="AM121" s="1492" t="str">
        <f>"389.0."&amp;AM9-2010&amp;"."</f>
        <v>389.0.20.</v>
      </c>
      <c r="AN121" s="1492" t="str">
        <f>"389.0."&amp;AN9-2010&amp;"."</f>
        <v>389.0.21.</v>
      </c>
      <c r="AO121" s="1492" t="str">
        <f>"389.0."&amp;AO9-2010&amp;"."</f>
        <v>389.0.22.</v>
      </c>
      <c r="AP121" s="1492" t="str">
        <f>"389.0."&amp;AP9-2010&amp;"."</f>
        <v>389.0.23.</v>
      </c>
      <c r="AQ121" s="1492" t="str">
        <f>"389.0."&amp;AQ9-2010&amp;"."</f>
        <v>389.0.24.</v>
      </c>
      <c r="AR121" s="1492" t="str">
        <f>"389.0."&amp;AR9-2010&amp;"."</f>
        <v>389.0.25.</v>
      </c>
      <c r="AS121" s="1492" t="str">
        <f>"389.0."&amp;AS9-2010&amp;"."</f>
        <v>389.0.26.</v>
      </c>
      <c r="AT121" s="1492" t="str">
        <f>"389.0."&amp;AT9-2010&amp;"."</f>
        <v>389.0.27.</v>
      </c>
      <c r="AU121" s="1492" t="str">
        <f>"389.0."&amp;AU9-2010&amp;"."</f>
        <v>389.0.28.</v>
      </c>
      <c r="AV121" s="1492" t="str">
        <f>"389.0."&amp;AV9-2010&amp;"."</f>
        <v>389.0.29.</v>
      </c>
      <c r="AW121" s="1492" t="str">
        <f>"389.0."&amp;AW9-2010&amp;"."</f>
        <v>389.0.30.</v>
      </c>
      <c r="AX121" s="1492" t="str">
        <f>"389.0."&amp;AX9-2010&amp;"."</f>
        <v>389.0.31.</v>
      </c>
      <c r="AY121" s="1492" t="str">
        <f>"389.0."&amp;AY9-2010&amp;"."</f>
        <v>389.0.32.</v>
      </c>
      <c r="AZ121" s="1492" t="str">
        <f>"389.0."&amp;AZ9-2010&amp;"."</f>
        <v>389.0.33.</v>
      </c>
      <c r="BA121" s="1492" t="str">
        <f>"389.0."&amp;BA9-2010&amp;"."</f>
        <v>389.0.34.</v>
      </c>
      <c r="BB121" s="1492" t="str">
        <f>"389.0."&amp;BB9-2010&amp;"."</f>
        <v>389.0.35.</v>
      </c>
      <c r="BC121" s="1492" t="str">
        <f>"389.0."&amp;BC9-2010&amp;"."</f>
        <v>389.0.36.</v>
      </c>
      <c r="BD121" s="1492" t="str">
        <f>"389.0."&amp;BD9-2010&amp;"."</f>
        <v>389.0.17.</v>
      </c>
      <c r="BE121" s="1492" t="str">
        <f>"389.0."&amp;BE9-2010&amp;"."</f>
        <v>389.0.18.</v>
      </c>
      <c r="BF121" s="1492" t="str">
        <f>"389.0."&amp;BF9-2010&amp;"."</f>
        <v>389.0.19.</v>
      </c>
      <c r="BG121" s="1492" t="str">
        <f>"389.0."&amp;BG9-2010&amp;"."</f>
        <v>389.0.20.</v>
      </c>
      <c r="BH121" s="1492" t="str">
        <f>"389.0."&amp;BH9-2010&amp;"."</f>
        <v>389.0.21.</v>
      </c>
      <c r="BI121" s="1492" t="str">
        <f>"389.0."&amp;BI9-2010&amp;"."</f>
        <v>389.0.22.</v>
      </c>
      <c r="BJ121" s="1492" t="str">
        <f>"389.0."&amp;BJ9-2010&amp;"."</f>
        <v>389.0.23.</v>
      </c>
      <c r="BK121" s="1492" t="str">
        <f>"389.0."&amp;BK9-2010&amp;"."</f>
        <v>389.0.24.</v>
      </c>
      <c r="BL121" s="1492" t="str">
        <f>"389.0."&amp;BL9-2010&amp;"."</f>
        <v>389.0.25.</v>
      </c>
      <c r="BM121" s="1492" t="str">
        <f>"389.0."&amp;BM9-2010&amp;"."</f>
        <v>389.0.26.</v>
      </c>
      <c r="BN121" s="1492" t="str">
        <f>"389.0."&amp;BN9-2010&amp;"."</f>
        <v>389.0.27.</v>
      </c>
      <c r="BO121" s="1492" t="str">
        <f>"389.0."&amp;BO9-2010&amp;"."</f>
        <v>389.0.28.</v>
      </c>
      <c r="BP121" s="1492" t="str">
        <f>"389.0."&amp;BP9-2010&amp;"."</f>
        <v>389.0.29.</v>
      </c>
      <c r="BQ121" s="1492" t="str">
        <f>"389.0."&amp;BQ9-2010&amp;"."</f>
        <v>389.0.30.</v>
      </c>
      <c r="BR121" s="1492" t="str">
        <f>"389.0."&amp;BR9-2010&amp;"."</f>
        <v>389.0.31.</v>
      </c>
      <c r="BS121" s="1492" t="str">
        <f>"389.0."&amp;BS9-2010&amp;"."</f>
        <v>389.0.32.</v>
      </c>
      <c r="BT121" s="1492" t="str">
        <f>"389.0."&amp;BT9-2010&amp;"."</f>
        <v>389.0.33.</v>
      </c>
      <c r="BU121" s="1492" t="str">
        <f>"389.0."&amp;BU9-2010&amp;"."</f>
        <v>389.0.34.</v>
      </c>
      <c r="BV121" s="1492" t="str">
        <f>"389.0."&amp;BV9-2010&amp;"."</f>
        <v>389.0.35.</v>
      </c>
      <c r="BW121" s="1492" t="str">
        <f>"389.0."&amp;BW9-2010&amp;"."</f>
        <v>389.0.36.</v>
      </c>
    </row>
    <row customHeight="1" ht="11.25" hidden="1">
      <c r="A122" s="1497" t="s">
        <v>794</v>
      </c>
      <c r="AD122" s="286"/>
      <c r="AJ122" s="286"/>
      <c r="AK122" s="286"/>
      <c r="AL122" s="286"/>
      <c r="AM122" s="286"/>
      <c r="AN122" s="286"/>
      <c r="AO122" s="286"/>
      <c r="AP122" s="286"/>
      <c r="AQ122" s="286"/>
      <c r="AR122" s="286"/>
      <c r="AS122" s="286"/>
      <c r="AT122" s="286"/>
      <c r="AU122" s="286"/>
      <c r="AV122" s="286"/>
      <c r="AW122" s="286"/>
      <c r="AX122" s="286"/>
      <c r="AY122" s="286"/>
      <c r="AZ122" s="286"/>
      <c r="BA122" s="286"/>
      <c r="BB122" s="286"/>
      <c r="BC122" s="286"/>
      <c r="BD122" s="286"/>
      <c r="BE122" s="286"/>
      <c r="BF122" s="286"/>
      <c r="BG122" s="286"/>
      <c r="BH122" s="286"/>
      <c r="BI122" s="286"/>
      <c r="BJ122" s="286"/>
      <c r="BK122" s="286"/>
      <c r="BL122" s="286"/>
      <c r="BM122" s="286"/>
      <c r="BN122" s="286"/>
      <c r="BO122" s="286"/>
      <c r="BP122" s="286"/>
      <c r="BQ122" s="286"/>
      <c r="BR122" s="286"/>
      <c r="BS122" s="286"/>
      <c r="BT122" s="286"/>
      <c r="BU122" s="286"/>
      <c r="BV122" s="286"/>
      <c r="BW122" s="286"/>
    </row>
    <row customHeight="1" ht="11.25" hidden="1">
      <c r="A123" s="1497" t="s">
        <v>406</v>
      </c>
      <c r="AD123" s="286"/>
      <c r="AF123" s="286" cm="1" t="str">
        <f t="array" ref="AF123:AF123">IF($A123="uni_org_reg_NAME",INDEX(org_reg_values,MATCH(AF$10,org_reg_codes,0),1),IF($A123="uni_pf_NAME",INDEX(pf_codes_values,MATCH(AF$10,pf_codes,0),1),""))</f>
        <v>328.0.2.</v>
      </c>
      <c r="AG123" s="286" cm="1" t="str">
        <f t="array" ref="AG123:AG123">IF($A123="uni_org_reg_NAME",INDEX(org_reg_values,MATCH(AG$10,org_reg_codes,0),1),IF($A123="uni_pf_NAME",INDEX(pf_codes_values,MATCH(AG$10,pf_codes,0),1),""))</f>
        <v>328.0.1.</v>
      </c>
      <c r="AH123" s="286" cm="1" t="str">
        <f t="array" ref="AH123:AH123">IF($A123="uni_org_reg_NAME",INDEX(org_reg_values,MATCH(AH$10,org_reg_codes,0),1),IF($A123="uni_pf_NAME",INDEX(pf_codes_values,MATCH(AH$10,pf_codes,0),1),""))</f>
        <v>328.0.2.</v>
      </c>
      <c r="AI123" s="286" cm="1" t="str">
        <f t="array" ref="AI123:AI123">IF($A123="uni_org_reg_NAME",INDEX(org_reg_values,MATCH(AI$10,org_reg_codes,0),1),IF($A123="uni_pf_NAME",INDEX(pf_codes_values,MATCH(AI$10,pf_codes,0),1),""))</f>
        <v>328.0.2.</v>
      </c>
      <c r="AJ123" s="286" cm="1" t="str">
        <f t="array" ref="AJ123:AJ123">IF($A123="uni_org_reg_NAME",INDEX(org_reg_values,MATCH(AJ$10,org_reg_codes,0),1),IF($A123="uni_pf_NAME",INDEX(pf_codes_values,MATCH(AJ$10,pf_codes,0),1),""))</f>
        <v>328.0.1.</v>
      </c>
      <c r="AK123" s="286" cm="1" t="str">
        <f t="array" ref="AK123:AK123">IF($A123="uni_org_reg_NAME",INDEX(org_reg_values,MATCH(AK$10,org_reg_codes,0),1),IF($A123="uni_pf_NAME",INDEX(pf_codes_values,MATCH(AK$10,pf_codes,0),1),""))</f>
        <v>328.0.1.</v>
      </c>
      <c r="AL123" s="286" cm="1" t="str">
        <f t="array" ref="AL123:AL123">IF($A123="uni_org_reg_NAME",INDEX(org_reg_values,MATCH(AL$10,org_reg_codes,0),1),IF($A123="uni_pf_NAME",INDEX(pf_codes_values,MATCH(AL$10,pf_codes,0),1),""))</f>
        <v>328.0.1.</v>
      </c>
      <c r="AM123" s="286" cm="1" t="str">
        <f t="array" ref="AM123:AM123">IF($A123="uni_org_reg_NAME",INDEX(org_reg_values,MATCH(AM$10,org_reg_codes,0),1),IF($A123="uni_pf_NAME",INDEX(pf_codes_values,MATCH(AM$10,pf_codes,0),1),""))</f>
        <v>328.0.1.</v>
      </c>
      <c r="AN123" s="286" cm="1" t="str">
        <f t="array" ref="AN123:AN123">IF($A123="uni_org_reg_NAME",INDEX(org_reg_values,MATCH(AN$10,org_reg_codes,0),1),IF($A123="uni_pf_NAME",INDEX(pf_codes_values,MATCH(AN$10,pf_codes,0),1),""))</f>
        <v>328.0.1.</v>
      </c>
      <c r="AO123" s="286" cm="1" t="str">
        <f t="array" ref="AO123:AO123">IF($A123="uni_org_reg_NAME",INDEX(org_reg_values,MATCH(AO$10,org_reg_codes,0),1),IF($A123="uni_pf_NAME",INDEX(pf_codes_values,MATCH(AO$10,pf_codes,0),1),""))</f>
        <v>328.0.1.</v>
      </c>
      <c r="AP123" s="286" cm="1" t="str">
        <f t="array" ref="AP123:AP123">IF($A123="uni_org_reg_NAME",INDEX(org_reg_values,MATCH(AP$10,org_reg_codes,0),1),IF($A123="uni_pf_NAME",INDEX(pf_codes_values,MATCH(AP$10,pf_codes,0),1),""))</f>
        <v>328.0.1.</v>
      </c>
      <c r="AQ123" s="286" cm="1" t="str">
        <f t="array" ref="AQ123:AQ123">IF($A123="uni_org_reg_NAME",INDEX(org_reg_values,MATCH(AQ$10,org_reg_codes,0),1),IF($A123="uni_pf_NAME",INDEX(pf_codes_values,MATCH(AQ$10,pf_codes,0),1),""))</f>
        <v>328.0.1.</v>
      </c>
      <c r="AR123" s="286" cm="1" t="str">
        <f t="array" ref="AR123:AR123">IF($A123="uni_org_reg_NAME",INDEX(org_reg_values,MATCH(AR$10,org_reg_codes,0),1),IF($A123="uni_pf_NAME",INDEX(pf_codes_values,MATCH(AR$10,pf_codes,0),1),""))</f>
        <v>328.0.1.</v>
      </c>
      <c r="AS123" s="286" cm="1" t="str">
        <f t="array" ref="AS123:AS123">IF($A123="uni_org_reg_NAME",INDEX(org_reg_values,MATCH(AS$10,org_reg_codes,0),1),IF($A123="uni_pf_NAME",INDEX(pf_codes_values,MATCH(AS$10,pf_codes,0),1),""))</f>
        <v>328.0.1.</v>
      </c>
      <c r="AT123" s="286" cm="1" t="str">
        <f t="array" ref="AT123:AT123">IF($A123="uni_org_reg_NAME",INDEX(org_reg_values,MATCH(AT$10,org_reg_codes,0),1),IF($A123="uni_pf_NAME",INDEX(pf_codes_values,MATCH(AT$10,pf_codes,0),1),""))</f>
        <v>328.0.1.</v>
      </c>
      <c r="AU123" s="286" cm="1" t="str">
        <f t="array" ref="AU123:AU123">IF($A123="uni_org_reg_NAME",INDEX(org_reg_values,MATCH(AU$10,org_reg_codes,0),1),IF($A123="uni_pf_NAME",INDEX(pf_codes_values,MATCH(AU$10,pf_codes,0),1),""))</f>
        <v>328.0.1.</v>
      </c>
      <c r="AV123" s="286" cm="1" t="str">
        <f t="array" ref="AV123:AV123">IF($A123="uni_org_reg_NAME",INDEX(org_reg_values,MATCH(AV$10,org_reg_codes,0),1),IF($A123="uni_pf_NAME",INDEX(pf_codes_values,MATCH(AV$10,pf_codes,0),1),""))</f>
        <v>328.0.1.</v>
      </c>
      <c r="AW123" s="286" cm="1" t="str">
        <f t="array" ref="AW123:AW123">IF($A123="uni_org_reg_NAME",INDEX(org_reg_values,MATCH(AW$10,org_reg_codes,0),1),IF($A123="uni_pf_NAME",INDEX(pf_codes_values,MATCH(AW$10,pf_codes,0),1),""))</f>
        <v>328.0.1.</v>
      </c>
      <c r="AX123" s="286" cm="1" t="str">
        <f t="array" ref="AX123:AX123">IF($A123="uni_org_reg_NAME",INDEX(org_reg_values,MATCH(AX$10,org_reg_codes,0),1),IF($A123="uni_pf_NAME",INDEX(pf_codes_values,MATCH(AX$10,pf_codes,0),1),""))</f>
        <v>328.0.1.</v>
      </c>
      <c r="AY123" s="286" cm="1" t="str">
        <f t="array" ref="AY123:AY123">IF($A123="uni_org_reg_NAME",INDEX(org_reg_values,MATCH(AY$10,org_reg_codes,0),1),IF($A123="uni_pf_NAME",INDEX(pf_codes_values,MATCH(AY$10,pf_codes,0),1),""))</f>
        <v>328.0.1.</v>
      </c>
      <c r="AZ123" s="286" cm="1" t="str">
        <f t="array" ref="AZ123:AZ123">IF($A123="uni_org_reg_NAME",INDEX(org_reg_values,MATCH(AZ$10,org_reg_codes,0),1),IF($A123="uni_pf_NAME",INDEX(pf_codes_values,MATCH(AZ$10,pf_codes,0),1),""))</f>
        <v>328.0.1.</v>
      </c>
      <c r="BA123" s="286" cm="1" t="str">
        <f t="array" ref="BA123:BA123">IF($A123="uni_org_reg_NAME",INDEX(org_reg_values,MATCH(BA$10,org_reg_codes,0),1),IF($A123="uni_pf_NAME",INDEX(pf_codes_values,MATCH(BA$10,pf_codes,0),1),""))</f>
        <v>328.0.1.</v>
      </c>
      <c r="BB123" s="286" cm="1" t="str">
        <f t="array" ref="BB123:BB123">IF($A123="uni_org_reg_NAME",INDEX(org_reg_values,MATCH(BB$10,org_reg_codes,0),1),IF($A123="uni_pf_NAME",INDEX(pf_codes_values,MATCH(BB$10,pf_codes,0),1),""))</f>
        <v>328.0.1.</v>
      </c>
      <c r="BC123" s="286" cm="1" t="str">
        <f t="array" ref="BC123:BC123">IF($A123="uni_org_reg_NAME",INDEX(org_reg_values,MATCH(BC$10,org_reg_codes,0),1),IF($A123="uni_pf_NAME",INDEX(pf_codes_values,MATCH(BC$10,pf_codes,0),1),""))</f>
        <v>328.0.1.</v>
      </c>
      <c r="BD123" s="286" cm="1" t="str">
        <f t="array" ref="BD123:BD123">IF($A123="uni_org_reg_NAME",INDEX(org_reg_values,MATCH(BD$10,org_reg_codes,0),1),IF($A123="uni_pf_NAME",INDEX(pf_codes_values,MATCH(BD$10,pf_codes,0),1),""))</f>
        <v>328.0.2.</v>
      </c>
      <c r="BE123" s="286" cm="1" t="str">
        <f t="array" ref="BE123:BE123">IF($A123="uni_org_reg_NAME",INDEX(org_reg_values,MATCH(BE$10,org_reg_codes,0),1),IF($A123="uni_pf_NAME",INDEX(pf_codes_values,MATCH(BE$10,pf_codes,0),1),""))</f>
        <v>328.0.2.</v>
      </c>
      <c r="BF123" s="286" cm="1" t="str">
        <f t="array" ref="BF123:BF123">IF($A123="uni_org_reg_NAME",INDEX(org_reg_values,MATCH(BF$10,org_reg_codes,0),1),IF($A123="uni_pf_NAME",INDEX(pf_codes_values,MATCH(BF$10,pf_codes,0),1),""))</f>
        <v>328.0.2.</v>
      </c>
      <c r="BG123" s="286" cm="1" t="str">
        <f t="array" ref="BG123:BG123">IF($A123="uni_org_reg_NAME",INDEX(org_reg_values,MATCH(BG$10,org_reg_codes,0),1),IF($A123="uni_pf_NAME",INDEX(pf_codes_values,MATCH(BG$10,pf_codes,0),1),""))</f>
        <v>328.0.2.</v>
      </c>
      <c r="BH123" s="286" cm="1" t="str">
        <f t="array" ref="BH123:BH123">IF($A123="uni_org_reg_NAME",INDEX(org_reg_values,MATCH(BH$10,org_reg_codes,0),1),IF($A123="uni_pf_NAME",INDEX(pf_codes_values,MATCH(BH$10,pf_codes,0),1),""))</f>
        <v>328.0.2.</v>
      </c>
      <c r="BI123" s="286" cm="1" t="str">
        <f t="array" ref="BI123:BI123">IF($A123="uni_org_reg_NAME",INDEX(org_reg_values,MATCH(BI$10,org_reg_codes,0),1),IF($A123="uni_pf_NAME",INDEX(pf_codes_values,MATCH(BI$10,pf_codes,0),1),""))</f>
        <v>328.0.2.</v>
      </c>
      <c r="BJ123" s="286" cm="1" t="str">
        <f t="array" ref="BJ123:BJ123">IF($A123="uni_org_reg_NAME",INDEX(org_reg_values,MATCH(BJ$10,org_reg_codes,0),1),IF($A123="uni_pf_NAME",INDEX(pf_codes_values,MATCH(BJ$10,pf_codes,0),1),""))</f>
        <v>328.0.2.</v>
      </c>
      <c r="BK123" s="286" cm="1" t="str">
        <f t="array" ref="BK123:BK123">IF($A123="uni_org_reg_NAME",INDEX(org_reg_values,MATCH(BK$10,org_reg_codes,0),1),IF($A123="uni_pf_NAME",INDEX(pf_codes_values,MATCH(BK$10,pf_codes,0),1),""))</f>
        <v>328.0.2.</v>
      </c>
      <c r="BL123" s="286" cm="1" t="str">
        <f t="array" ref="BL123:BL123">IF($A123="uni_org_reg_NAME",INDEX(org_reg_values,MATCH(BL$10,org_reg_codes,0),1),IF($A123="uni_pf_NAME",INDEX(pf_codes_values,MATCH(BL$10,pf_codes,0),1),""))</f>
        <v>328.0.2.</v>
      </c>
      <c r="BM123" s="286" cm="1" t="str">
        <f t="array" ref="BM123:BM123">IF($A123="uni_org_reg_NAME",INDEX(org_reg_values,MATCH(BM$10,org_reg_codes,0),1),IF($A123="uni_pf_NAME",INDEX(pf_codes_values,MATCH(BM$10,pf_codes,0),1),""))</f>
        <v>328.0.2.</v>
      </c>
      <c r="BN123" s="286" cm="1" t="str">
        <f t="array" ref="BN123:BN123">IF($A123="uni_org_reg_NAME",INDEX(org_reg_values,MATCH(BN$10,org_reg_codes,0),1),IF($A123="uni_pf_NAME",INDEX(pf_codes_values,MATCH(BN$10,pf_codes,0),1),""))</f>
        <v>328.0.2.</v>
      </c>
      <c r="BO123" s="286" cm="1" t="str">
        <f t="array" ref="BO123:BO123">IF($A123="uni_org_reg_NAME",INDEX(org_reg_values,MATCH(BO$10,org_reg_codes,0),1),IF($A123="uni_pf_NAME",INDEX(pf_codes_values,MATCH(BO$10,pf_codes,0),1),""))</f>
        <v>328.0.2.</v>
      </c>
      <c r="BP123" s="286" cm="1" t="str">
        <f t="array" ref="BP123:BP123">IF($A123="uni_org_reg_NAME",INDEX(org_reg_values,MATCH(BP$10,org_reg_codes,0),1),IF($A123="uni_pf_NAME",INDEX(pf_codes_values,MATCH(BP$10,pf_codes,0),1),""))</f>
        <v>328.0.2.</v>
      </c>
      <c r="BQ123" s="286" cm="1" t="str">
        <f t="array" ref="BQ123:BQ123">IF($A123="uni_org_reg_NAME",INDEX(org_reg_values,MATCH(BQ$10,org_reg_codes,0),1),IF($A123="uni_pf_NAME",INDEX(pf_codes_values,MATCH(BQ$10,pf_codes,0),1),""))</f>
        <v>328.0.2.</v>
      </c>
      <c r="BR123" s="286" cm="1" t="str">
        <f t="array" ref="BR123:BR123">IF($A123="uni_org_reg_NAME",INDEX(org_reg_values,MATCH(BR$10,org_reg_codes,0),1),IF($A123="uni_pf_NAME",INDEX(pf_codes_values,MATCH(BR$10,pf_codes,0),1),""))</f>
        <v>328.0.2.</v>
      </c>
      <c r="BS123" s="286" cm="1" t="str">
        <f t="array" ref="BS123:BS123">IF($A123="uni_org_reg_NAME",INDEX(org_reg_values,MATCH(BS$10,org_reg_codes,0),1),IF($A123="uni_pf_NAME",INDEX(pf_codes_values,MATCH(BS$10,pf_codes,0),1),""))</f>
        <v>328.0.2.</v>
      </c>
      <c r="BT123" s="286" cm="1" t="str">
        <f t="array" ref="BT123:BT123">IF($A123="uni_org_reg_NAME",INDEX(org_reg_values,MATCH(BT$10,org_reg_codes,0),1),IF($A123="uni_pf_NAME",INDEX(pf_codes_values,MATCH(BT$10,pf_codes,0),1),""))</f>
        <v>328.0.2.</v>
      </c>
      <c r="BU123" s="286" cm="1" t="str">
        <f t="array" ref="BU123:BU123">IF($A123="uni_org_reg_NAME",INDEX(org_reg_values,MATCH(BU$10,org_reg_codes,0),1),IF($A123="uni_pf_NAME",INDEX(pf_codes_values,MATCH(BU$10,pf_codes,0),1),""))</f>
        <v>328.0.2.</v>
      </c>
      <c r="BV123" s="286" cm="1" t="str">
        <f t="array" ref="BV123:BV123">IF($A123="uni_org_reg_NAME",INDEX(org_reg_values,MATCH(BV$10,org_reg_codes,0),1),IF($A123="uni_pf_NAME",INDEX(pf_codes_values,MATCH(BV$10,pf_codes,0),1),""))</f>
        <v>328.0.2.</v>
      </c>
      <c r="BW123" s="286" cm="1" t="str">
        <f t="array" ref="BW123:BW123">IF($A123="uni_org_reg_NAME",INDEX(org_reg_values,MATCH(BW$10,org_reg_codes,0),1),IF($A123="uni_pf_NAME",INDEX(pf_codes_values,MATCH(BW$10,pf_codes,0),1),""))</f>
        <v>328.0.2.</v>
      </c>
    </row>
    <row customHeight="1" ht="11.25" hidden="1">
      <c r="A124" s="1497" t="s">
        <v>409</v>
      </c>
      <c r="AD124" s="286"/>
      <c r="AF124" s="286" cm="1" t="str">
        <f t="array" ref="AF124:AF124">IF($A124="uni_org_reg_NAME",INDEX(org_reg_values,MATCH(AF$10,org_reg_codes,0),1),IF($A124="uni_pf_NAME",INDEX(pf_codes_values,MATCH(AF$10,pf_codes,0),1),""))</f>
        <v>36.0.7.</v>
      </c>
      <c r="AG124" s="286" cm="1" t="str">
        <f t="array" ref="AG124:AG124">IF($A124="uni_org_reg_NAME",INDEX(org_reg_values,MATCH(AG$10,org_reg_codes,0),1),IF($A124="uni_pf_NAME",INDEX(pf_codes_values,MATCH(AG$10,pf_codes,0),1),""))</f>
        <v>36.0.1.</v>
      </c>
      <c r="AH124" s="286" cm="1" t="str">
        <f t="array" ref="AH124:AH124">IF($A124="uni_org_reg_NAME",INDEX(org_reg_values,MATCH(AH$10,org_reg_codes,0),1),IF($A124="uni_pf_NAME",INDEX(pf_codes_values,MATCH(AH$10,pf_codes,0),1),""))</f>
        <v>36.0.1.</v>
      </c>
      <c r="AI124" s="286" cm="1" t="str">
        <f t="array" ref="AI124:AI124">IF($A124="uni_org_reg_NAME",INDEX(org_reg_values,MATCH(AI$10,org_reg_codes,0),1),IF($A124="uni_pf_NAME",INDEX(pf_codes_values,MATCH(AI$10,pf_codes,0),1),""))</f>
        <v>36.0.7.</v>
      </c>
      <c r="AJ124" s="286" cm="1" t="str">
        <f t="array" ref="AJ124:AJ124">IF($A124="uni_org_reg_NAME",INDEX(org_reg_values,MATCH(AJ$10,org_reg_codes,0),1),IF($A124="uni_pf_NAME",INDEX(pf_codes_values,MATCH(AJ$10,pf_codes,0),1),""))</f>
        <v>36.0.3.</v>
      </c>
      <c r="AK124" s="286" cm="1" t="str">
        <f t="array" ref="AK124:AK124">IF($A124="uni_org_reg_NAME",INDEX(org_reg_values,MATCH(AK$10,org_reg_codes,0),1),IF($A124="uni_pf_NAME",INDEX(pf_codes_values,MATCH(AK$10,pf_codes,0),1),""))</f>
        <v>36.0.3.</v>
      </c>
      <c r="AL124" s="286" cm="1" t="str">
        <f t="array" ref="AL124:AL124">IF($A124="uni_org_reg_NAME",INDEX(org_reg_values,MATCH(AL$10,org_reg_codes,0),1),IF($A124="uni_pf_NAME",INDEX(pf_codes_values,MATCH(AL$10,pf_codes,0),1),""))</f>
        <v>36.0.3.</v>
      </c>
      <c r="AM124" s="286" cm="1" t="str">
        <f t="array" ref="AM124:AM124">IF($A124="uni_org_reg_NAME",INDEX(org_reg_values,MATCH(AM$10,org_reg_codes,0),1),IF($A124="uni_pf_NAME",INDEX(pf_codes_values,MATCH(AM$10,pf_codes,0),1),""))</f>
        <v>36.0.3.</v>
      </c>
      <c r="AN124" s="286" cm="1" t="str">
        <f t="array" ref="AN124:AN124">IF($A124="uni_org_reg_NAME",INDEX(org_reg_values,MATCH(AN$10,org_reg_codes,0),1),IF($A124="uni_pf_NAME",INDEX(pf_codes_values,MATCH(AN$10,pf_codes,0),1),""))</f>
        <v>36.0.3.</v>
      </c>
      <c r="AO124" s="286" cm="1" t="str">
        <f t="array" ref="AO124:AO124">IF($A124="uni_org_reg_NAME",INDEX(org_reg_values,MATCH(AO$10,org_reg_codes,0),1),IF($A124="uni_pf_NAME",INDEX(pf_codes_values,MATCH(AO$10,pf_codes,0),1),""))</f>
        <v>36.0.3.</v>
      </c>
      <c r="AP124" s="286" cm="1" t="str">
        <f t="array" ref="AP124:AP124">IF($A124="uni_org_reg_NAME",INDEX(org_reg_values,MATCH(AP$10,org_reg_codes,0),1),IF($A124="uni_pf_NAME",INDEX(pf_codes_values,MATCH(AP$10,pf_codes,0),1),""))</f>
        <v>36.0.3.</v>
      </c>
      <c r="AQ124" s="286" cm="1" t="str">
        <f t="array" ref="AQ124:AQ124">IF($A124="uni_org_reg_NAME",INDEX(org_reg_values,MATCH(AQ$10,org_reg_codes,0),1),IF($A124="uni_pf_NAME",INDEX(pf_codes_values,MATCH(AQ$10,pf_codes,0),1),""))</f>
        <v>36.0.3.</v>
      </c>
      <c r="AR124" s="286" cm="1" t="str">
        <f t="array" ref="AR124:AR124">IF($A124="uni_org_reg_NAME",INDEX(org_reg_values,MATCH(AR$10,org_reg_codes,0),1),IF($A124="uni_pf_NAME",INDEX(pf_codes_values,MATCH(AR$10,pf_codes,0),1),""))</f>
        <v>36.0.3.</v>
      </c>
      <c r="AS124" s="286" cm="1" t="str">
        <f t="array" ref="AS124:AS124">IF($A124="uni_org_reg_NAME",INDEX(org_reg_values,MATCH(AS$10,org_reg_codes,0),1),IF($A124="uni_pf_NAME",INDEX(pf_codes_values,MATCH(AS$10,pf_codes,0),1),""))</f>
        <v>36.0.3.</v>
      </c>
      <c r="AT124" s="286" cm="1" t="str">
        <f t="array" ref="AT124:AT124">IF($A124="uni_org_reg_NAME",INDEX(org_reg_values,MATCH(AT$10,org_reg_codes,0),1),IF($A124="uni_pf_NAME",INDEX(pf_codes_values,MATCH(AT$10,pf_codes,0),1),""))</f>
        <v>36.0.3.</v>
      </c>
      <c r="AU124" s="286" cm="1" t="str">
        <f t="array" ref="AU124:AU124">IF($A124="uni_org_reg_NAME",INDEX(org_reg_values,MATCH(AU$10,org_reg_codes,0),1),IF($A124="uni_pf_NAME",INDEX(pf_codes_values,MATCH(AU$10,pf_codes,0),1),""))</f>
        <v>36.0.3.</v>
      </c>
      <c r="AV124" s="286" cm="1" t="str">
        <f t="array" ref="AV124:AV124">IF($A124="uni_org_reg_NAME",INDEX(org_reg_values,MATCH(AV$10,org_reg_codes,0),1),IF($A124="uni_pf_NAME",INDEX(pf_codes_values,MATCH(AV$10,pf_codes,0),1),""))</f>
        <v>36.0.3.</v>
      </c>
      <c r="AW124" s="286" cm="1" t="str">
        <f t="array" ref="AW124:AW124">IF($A124="uni_org_reg_NAME",INDEX(org_reg_values,MATCH(AW$10,org_reg_codes,0),1),IF($A124="uni_pf_NAME",INDEX(pf_codes_values,MATCH(AW$10,pf_codes,0),1),""))</f>
        <v>36.0.3.</v>
      </c>
      <c r="AX124" s="286" cm="1" t="str">
        <f t="array" ref="AX124:AX124">IF($A124="uni_org_reg_NAME",INDEX(org_reg_values,MATCH(AX$10,org_reg_codes,0),1),IF($A124="uni_pf_NAME",INDEX(pf_codes_values,MATCH(AX$10,pf_codes,0),1),""))</f>
        <v>36.0.3.</v>
      </c>
      <c r="AY124" s="286" cm="1" t="str">
        <f t="array" ref="AY124:AY124">IF($A124="uni_org_reg_NAME",INDEX(org_reg_values,MATCH(AY$10,org_reg_codes,0),1),IF($A124="uni_pf_NAME",INDEX(pf_codes_values,MATCH(AY$10,pf_codes,0),1),""))</f>
        <v>36.0.3.</v>
      </c>
      <c r="AZ124" s="286" cm="1" t="str">
        <f t="array" ref="AZ124:AZ124">IF($A124="uni_org_reg_NAME",INDEX(org_reg_values,MATCH(AZ$10,org_reg_codes,0),1),IF($A124="uni_pf_NAME",INDEX(pf_codes_values,MATCH(AZ$10,pf_codes,0),1),""))</f>
        <v>36.0.3.</v>
      </c>
      <c r="BA124" s="286" cm="1" t="str">
        <f t="array" ref="BA124:BA124">IF($A124="uni_org_reg_NAME",INDEX(org_reg_values,MATCH(BA$10,org_reg_codes,0),1),IF($A124="uni_pf_NAME",INDEX(pf_codes_values,MATCH(BA$10,pf_codes,0),1),""))</f>
        <v>36.0.3.</v>
      </c>
      <c r="BB124" s="286" cm="1" t="str">
        <f t="array" ref="BB124:BB124">IF($A124="uni_org_reg_NAME",INDEX(org_reg_values,MATCH(BB$10,org_reg_codes,0),1),IF($A124="uni_pf_NAME",INDEX(pf_codes_values,MATCH(BB$10,pf_codes,0),1),""))</f>
        <v>36.0.3.</v>
      </c>
      <c r="BC124" s="286" cm="1" t="str">
        <f t="array" ref="BC124:BC124">IF($A124="uni_org_reg_NAME",INDEX(org_reg_values,MATCH(BC$10,org_reg_codes,0),1),IF($A124="uni_pf_NAME",INDEX(pf_codes_values,MATCH(BC$10,pf_codes,0),1),""))</f>
        <v>36.0.3.</v>
      </c>
      <c r="BD124" s="286" cm="1" t="str">
        <f t="array" ref="BD124:BD124">IF($A124="uni_org_reg_NAME",INDEX(org_reg_values,MATCH(BD$10,org_reg_codes,0),1),IF($A124="uni_pf_NAME",INDEX(pf_codes_values,MATCH(BD$10,pf_codes,0),1),""))</f>
        <v>36.0.7.</v>
      </c>
      <c r="BE124" s="286" cm="1" t="str">
        <f t="array" ref="BE124:BE124">IF($A124="uni_org_reg_NAME",INDEX(org_reg_values,MATCH(BE$10,org_reg_codes,0),1),IF($A124="uni_pf_NAME",INDEX(pf_codes_values,MATCH(BE$10,pf_codes,0),1),""))</f>
        <v>36.0.7.</v>
      </c>
      <c r="BF124" s="286" cm="1" t="str">
        <f t="array" ref="BF124:BF124">IF($A124="uni_org_reg_NAME",INDEX(org_reg_values,MATCH(BF$10,org_reg_codes,0),1),IF($A124="uni_pf_NAME",INDEX(pf_codes_values,MATCH(BF$10,pf_codes,0),1),""))</f>
        <v>36.0.7.</v>
      </c>
      <c r="BG124" s="286" cm="1" t="str">
        <f t="array" ref="BG124:BG124">IF($A124="uni_org_reg_NAME",INDEX(org_reg_values,MATCH(BG$10,org_reg_codes,0),1),IF($A124="uni_pf_NAME",INDEX(pf_codes_values,MATCH(BG$10,pf_codes,0),1),""))</f>
        <v>36.0.7.</v>
      </c>
      <c r="BH124" s="286" cm="1" t="str">
        <f t="array" ref="BH124:BH124">IF($A124="uni_org_reg_NAME",INDEX(org_reg_values,MATCH(BH$10,org_reg_codes,0),1),IF($A124="uni_pf_NAME",INDEX(pf_codes_values,MATCH(BH$10,pf_codes,0),1),""))</f>
        <v>36.0.7.</v>
      </c>
      <c r="BI124" s="286" cm="1" t="str">
        <f t="array" ref="BI124:BI124">IF($A124="uni_org_reg_NAME",INDEX(org_reg_values,MATCH(BI$10,org_reg_codes,0),1),IF($A124="uni_pf_NAME",INDEX(pf_codes_values,MATCH(BI$10,pf_codes,0),1),""))</f>
        <v>36.0.7.</v>
      </c>
      <c r="BJ124" s="286" cm="1" t="str">
        <f t="array" ref="BJ124:BJ124">IF($A124="uni_org_reg_NAME",INDEX(org_reg_values,MATCH(BJ$10,org_reg_codes,0),1),IF($A124="uni_pf_NAME",INDEX(pf_codes_values,MATCH(BJ$10,pf_codes,0),1),""))</f>
        <v>36.0.7.</v>
      </c>
      <c r="BK124" s="286" cm="1" t="str">
        <f t="array" ref="BK124:BK124">IF($A124="uni_org_reg_NAME",INDEX(org_reg_values,MATCH(BK$10,org_reg_codes,0),1),IF($A124="uni_pf_NAME",INDEX(pf_codes_values,MATCH(BK$10,pf_codes,0),1),""))</f>
        <v>36.0.7.</v>
      </c>
      <c r="BL124" s="286" cm="1" t="str">
        <f t="array" ref="BL124:BL124">IF($A124="uni_org_reg_NAME",INDEX(org_reg_values,MATCH(BL$10,org_reg_codes,0),1),IF($A124="uni_pf_NAME",INDEX(pf_codes_values,MATCH(BL$10,pf_codes,0),1),""))</f>
        <v>36.0.7.</v>
      </c>
      <c r="BM124" s="286" cm="1" t="str">
        <f t="array" ref="BM124:BM124">IF($A124="uni_org_reg_NAME",INDEX(org_reg_values,MATCH(BM$10,org_reg_codes,0),1),IF($A124="uni_pf_NAME",INDEX(pf_codes_values,MATCH(BM$10,pf_codes,0),1),""))</f>
        <v>36.0.7.</v>
      </c>
      <c r="BN124" s="286" cm="1" t="str">
        <f t="array" ref="BN124:BN124">IF($A124="uni_org_reg_NAME",INDEX(org_reg_values,MATCH(BN$10,org_reg_codes,0),1),IF($A124="uni_pf_NAME",INDEX(pf_codes_values,MATCH(BN$10,pf_codes,0),1),""))</f>
        <v>36.0.7.</v>
      </c>
      <c r="BO124" s="286" cm="1" t="str">
        <f t="array" ref="BO124:BO124">IF($A124="uni_org_reg_NAME",INDEX(org_reg_values,MATCH(BO$10,org_reg_codes,0),1),IF($A124="uni_pf_NAME",INDEX(pf_codes_values,MATCH(BO$10,pf_codes,0),1),""))</f>
        <v>36.0.7.</v>
      </c>
      <c r="BP124" s="286" cm="1" t="str">
        <f t="array" ref="BP124:BP124">IF($A124="uni_org_reg_NAME",INDEX(org_reg_values,MATCH(BP$10,org_reg_codes,0),1),IF($A124="uni_pf_NAME",INDEX(pf_codes_values,MATCH(BP$10,pf_codes,0),1),""))</f>
        <v>36.0.7.</v>
      </c>
      <c r="BQ124" s="286" cm="1" t="str">
        <f t="array" ref="BQ124:BQ124">IF($A124="uni_org_reg_NAME",INDEX(org_reg_values,MATCH(BQ$10,org_reg_codes,0),1),IF($A124="uni_pf_NAME",INDEX(pf_codes_values,MATCH(BQ$10,pf_codes,0),1),""))</f>
        <v>36.0.7.</v>
      </c>
      <c r="BR124" s="286" cm="1" t="str">
        <f t="array" ref="BR124:BR124">IF($A124="uni_org_reg_NAME",INDEX(org_reg_values,MATCH(BR$10,org_reg_codes,0),1),IF($A124="uni_pf_NAME",INDEX(pf_codes_values,MATCH(BR$10,pf_codes,0),1),""))</f>
        <v>36.0.7.</v>
      </c>
      <c r="BS124" s="286" cm="1" t="str">
        <f t="array" ref="BS124:BS124">IF($A124="uni_org_reg_NAME",INDEX(org_reg_values,MATCH(BS$10,org_reg_codes,0),1),IF($A124="uni_pf_NAME",INDEX(pf_codes_values,MATCH(BS$10,pf_codes,0),1),""))</f>
        <v>36.0.7.</v>
      </c>
      <c r="BT124" s="286" cm="1" t="str">
        <f t="array" ref="BT124:BT124">IF($A124="uni_org_reg_NAME",INDEX(org_reg_values,MATCH(BT$10,org_reg_codes,0),1),IF($A124="uni_pf_NAME",INDEX(pf_codes_values,MATCH(BT$10,pf_codes,0),1),""))</f>
        <v>36.0.7.</v>
      </c>
      <c r="BU124" s="286" cm="1" t="str">
        <f t="array" ref="BU124:BU124">IF($A124="uni_org_reg_NAME",INDEX(org_reg_values,MATCH(BU$10,org_reg_codes,0),1),IF($A124="uni_pf_NAME",INDEX(pf_codes_values,MATCH(BU$10,pf_codes,0),1),""))</f>
        <v>36.0.7.</v>
      </c>
      <c r="BV124" s="286" cm="1" t="str">
        <f t="array" ref="BV124:BV124">IF($A124="uni_org_reg_NAME",INDEX(org_reg_values,MATCH(BV$10,org_reg_codes,0),1),IF($A124="uni_pf_NAME",INDEX(pf_codes_values,MATCH(BV$10,pf_codes,0),1),""))</f>
        <v>36.0.7.</v>
      </c>
      <c r="BW124" s="286" cm="1" t="str">
        <f t="array" ref="BW124:BW124">IF($A124="uni_org_reg_NAME",INDEX(org_reg_values,MATCH(BW$10,org_reg_codes,0),1),IF($A124="uni_pf_NAME",INDEX(pf_codes_values,MATCH(BW$10,pf_codes,0),1),""))</f>
        <v>36.0.7.</v>
      </c>
    </row>
    <row customHeight="1" ht="11.25" hidden="1">
      <c r="A125" s="1498" t="s">
        <v>351</v>
      </c>
      <c r="AD125" s="286"/>
      <c r="AJ125" s="286"/>
      <c r="AK125" s="286"/>
      <c r="AL125" s="286"/>
      <c r="AM125" s="286"/>
      <c r="AN125" s="286"/>
      <c r="AO125" s="286"/>
      <c r="AP125" s="286"/>
      <c r="AQ125" s="286"/>
      <c r="AR125" s="286"/>
      <c r="AS125" s="286"/>
      <c r="AT125" s="286"/>
      <c r="AU125" s="286"/>
      <c r="AV125" s="286"/>
      <c r="AW125" s="286"/>
      <c r="AX125" s="286"/>
      <c r="AY125" s="286"/>
      <c r="AZ125" s="286"/>
      <c r="BA125" s="286"/>
      <c r="BB125" s="286"/>
      <c r="BC125" s="286"/>
      <c r="BD125" s="286"/>
      <c r="BE125" s="286"/>
      <c r="BF125" s="286"/>
      <c r="BG125" s="286"/>
      <c r="BH125" s="286"/>
      <c r="BI125" s="286"/>
      <c r="BJ125" s="286"/>
      <c r="BK125" s="286"/>
      <c r="BL125" s="286"/>
      <c r="BM125" s="286"/>
      <c r="BN125" s="286"/>
      <c r="BO125" s="286"/>
      <c r="BP125" s="286"/>
      <c r="BQ125" s="286"/>
      <c r="BR125" s="286"/>
      <c r="BS125" s="286"/>
      <c r="BT125" s="286"/>
      <c r="BU125" s="286"/>
      <c r="BV125" s="286"/>
      <c r="BW125" s="286"/>
    </row>
    <row customHeight="1" ht="11.25" hidden="1">
      <c r="A126" s="1497" t="s">
        <v>352</v>
      </c>
      <c r="AD126" s="286"/>
      <c r="AJ126" s="286"/>
      <c r="AK126" s="286"/>
      <c r="AL126" s="286"/>
      <c r="AM126" s="286"/>
      <c r="AN126" s="286"/>
      <c r="AO126" s="286"/>
      <c r="AP126" s="286"/>
      <c r="AQ126" s="286"/>
      <c r="AR126" s="286"/>
      <c r="AS126" s="286"/>
      <c r="AT126" s="286"/>
      <c r="AU126" s="286"/>
      <c r="AV126" s="286"/>
      <c r="AW126" s="286"/>
      <c r="AX126" s="286"/>
      <c r="AY126" s="286"/>
      <c r="AZ126" s="286"/>
      <c r="BA126" s="286"/>
      <c r="BB126" s="286"/>
      <c r="BC126" s="286"/>
      <c r="BD126" s="286"/>
      <c r="BE126" s="286"/>
      <c r="BF126" s="286"/>
      <c r="BG126" s="286"/>
      <c r="BH126" s="286"/>
      <c r="BI126" s="286"/>
      <c r="BJ126" s="286"/>
      <c r="BK126" s="286"/>
      <c r="BL126" s="286"/>
      <c r="BM126" s="286"/>
      <c r="BN126" s="286"/>
      <c r="BO126" s="286"/>
      <c r="BP126" s="286"/>
      <c r="BQ126" s="286"/>
      <c r="BR126" s="286"/>
      <c r="BS126" s="286"/>
      <c r="BT126" s="286"/>
      <c r="BU126" s="286"/>
      <c r="BV126" s="286"/>
      <c r="BW126" s="286"/>
    </row>
    <row customHeight="1" ht="11.25" hidden="1">
      <c r="A127" s="1497" t="s">
        <v>379</v>
      </c>
      <c r="AD127" s="286"/>
      <c r="AJ127" s="286"/>
      <c r="AK127" s="286"/>
      <c r="AL127" s="286"/>
      <c r="AM127" s="286"/>
      <c r="AN127" s="286"/>
      <c r="AO127" s="286"/>
      <c r="AP127" s="286"/>
      <c r="AQ127" s="286"/>
      <c r="AR127" s="286"/>
      <c r="AS127" s="286"/>
      <c r="AT127" s="286"/>
      <c r="AU127" s="286"/>
      <c r="AV127" s="286"/>
      <c r="AW127" s="286"/>
      <c r="AX127" s="286"/>
      <c r="AY127" s="286"/>
      <c r="AZ127" s="286"/>
      <c r="BA127" s="286"/>
      <c r="BB127" s="286"/>
      <c r="BC127" s="286"/>
      <c r="BD127" s="286"/>
      <c r="BE127" s="286"/>
      <c r="BF127" s="286"/>
      <c r="BG127" s="286"/>
      <c r="BH127" s="286"/>
      <c r="BI127" s="286"/>
      <c r="BJ127" s="286"/>
      <c r="BK127" s="286"/>
      <c r="BL127" s="286"/>
      <c r="BM127" s="286"/>
      <c r="BN127" s="286"/>
      <c r="BO127" s="286"/>
      <c r="BP127" s="286"/>
      <c r="BQ127" s="286"/>
      <c r="BR127" s="286"/>
      <c r="BS127" s="286"/>
      <c r="BT127" s="286"/>
      <c r="BU127" s="286"/>
      <c r="BV127" s="286"/>
      <c r="BW127" s="286"/>
    </row>
  </sheetData>
  <sheetProtection formatColumns="0" formatRows="0" insertRows="0" deleteColumns="0" deleteRows="0" sort="0" autoFilter="0" insertColumns="1"/>
  <mergeCells count="38">
    <mergeCell ref="AB116:BX116"/>
    <mergeCell ref="Z27:Z67"/>
    <mergeCell ref="X27:X67"/>
    <mergeCell ref="Y34:Y36"/>
    <mergeCell ref="Y39:Y44"/>
    <mergeCell ref="Y53:Y56"/>
    <mergeCell ref="Y60:Y66"/>
    <mergeCell ref="S39:S44"/>
    <mergeCell ref="AB114:BX114"/>
    <mergeCell ref="AB115:BX115"/>
    <mergeCell ref="AB24:AB25"/>
    <mergeCell ref="AE24:AE25"/>
    <mergeCell ref="BX24:BX25"/>
    <mergeCell ref="S34:S36"/>
    <mergeCell ref="S53:S56"/>
    <mergeCell ref="S60:S66"/>
    <mergeCell ref="AA60:AA66"/>
    <mergeCell ref="AA53:AA56"/>
    <mergeCell ref="AA39:AA44"/>
    <mergeCell ref="AA34:AA36"/>
    <mergeCell ref="AC24:AD25"/>
    <mergeCell ref="Z68:Z111"/>
    <mergeCell ref="X68:X111"/>
    <mergeCell ref="Y75:Y77"/>
    <mergeCell ref="Y83:Y88"/>
    <mergeCell ref="Y97:Y100"/>
    <mergeCell ref="Y104:Y110"/>
    <mergeCell ref="S83:S88"/>
    <mergeCell ref="S75:S77"/>
    <mergeCell ref="S97:S100"/>
    <mergeCell ref="S104:S110"/>
    <mergeCell ref="AA104:AA110"/>
    <mergeCell ref="AA97:AA100"/>
    <mergeCell ref="AA83:AA88"/>
    <mergeCell ref="AA75:AA77"/>
    <mergeCell ref="Y78:Y80"/>
    <mergeCell ref="S78:S80"/>
    <mergeCell ref="AA78:AA80"/>
  </mergeCells>
  <conditionalFormatting sqref="CA53:CA55">
    <cfRule type="duplicateValues" dxfId="0" priority="8">
      <formula>AND(COUNTIF($CA$53:$CA$55,CA53)&gt;1,NOT(ISBLANK(CA53)))</formula>
    </cfRule>
  </conditionalFormatting>
  <conditionalFormatting sqref="CA60:CA62">
    <cfRule type="duplicateValues" dxfId="1" priority="7">
      <formula>AND(COUNTIF($CA$60:$CA$62,CA60)&gt;1,NOT(ISBLANK(CA60)))</formula>
    </cfRule>
  </conditionalFormatting>
  <conditionalFormatting sqref="CA62">
    <cfRule type="duplicateValues" dxfId="2" priority="5">
      <formula>AND(COUNTIF($CA$62:$CA$62,CA62)&gt;1,NOT(ISBLANK(CA62)))</formula>
    </cfRule>
  </conditionalFormatting>
  <conditionalFormatting sqref="CA63">
    <cfRule type="duplicateValues" dxfId="3" priority="6">
      <formula>AND(COUNTIF($CA$63:$CA$63,CA63)&gt;1,NOT(ISBLANK(CA63)))</formula>
    </cfRule>
  </conditionalFormatting>
  <conditionalFormatting sqref="CA97:CA99">
    <cfRule type="duplicateValues" dxfId="4" priority="4">
      <formula>AND(COUNTIF($CA$97:$CA$99,CA97)&gt;1,NOT(ISBLANK(CA97)))</formula>
    </cfRule>
  </conditionalFormatting>
  <conditionalFormatting sqref="CA104:CA106">
    <cfRule type="duplicateValues" dxfId="5" priority="3">
      <formula>AND(COUNTIF($CA$104:$CA$106,CA104)&gt;1,NOT(ISBLANK(CA104)))</formula>
    </cfRule>
  </conditionalFormatting>
  <conditionalFormatting sqref="CA106">
    <cfRule type="duplicateValues" dxfId="6" priority="2">
      <formula>AND(COUNTIF($CA$106:$CA$106,CA106)&gt;1,NOT(ISBLANK(CA106)))</formula>
    </cfRule>
  </conditionalFormatting>
  <conditionalFormatting sqref="CA107">
    <cfRule type="duplicateValues" dxfId="7" priority="1">
      <formula>AND(COUNTIF($CA$107:$CA$107,CA107)&gt;1,NOT(ISBLANK(CA107)))</formula>
    </cfRule>
  </conditionalFormatting>
  <dataValidations count="1">
    <dataValidation type="list" allowBlank="1" showInputMessage="1" showErrorMessage="1" errorTitle="Ошибка" error="Выберите значение из списка" prompt="Выберите значение из списка" sqref="AC34 AC39 AC75 AC83 AC78">
      <formula1>VOLTAGE_LEVEL_list</formula1>
    </dataValidation>
  </dataValidations>
  <printOptions horizontalCentered="1"/>
  <pageMargins left="0.35" right="0.35" top="0.40" bottom="0.40" header="0.08" footer="0.08"/>
  <pageSetup paperSize="9" scale="17"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3019E8-4DA8-BBC7-3059-04ED37E0F0A2}" mc:Ignorable="x14ac xr xr2 xr3">
  <sheetPr>
    <tabColor rgb="FFFFC000"/>
  </sheetPr>
  <dimension ref="A1:B22"/>
  <sheetViews>
    <sheetView topLeftCell="A1" workbookViewId="0">
      <selection activeCell="A1" sqref="A1"/>
    </sheetView>
  </sheetViews>
  <sheetFormatPr customHeight="1" defaultRowHeight="11.25"/>
  <cols>
    <col min="1" max="1" style="1751" width="118.00390625" customWidth="1"/>
  </cols>
  <sheetData>
    <row customHeight="1" ht="11.25">
      <c r="A1" s="0" t="s">
        <v>415</v>
      </c>
      <c r="B1" s="0" t="s">
        <v>410</v>
      </c>
    </row>
    <row customHeight="1" ht="11.25">
      <c r="A2" s="1751" t="s">
        <v>626</v>
      </c>
      <c r="B2" s="0" t="s">
        <v>621</v>
      </c>
    </row>
    <row customHeight="1" ht="11.25">
      <c r="A3" s="1751" t="s">
        <v>1124</v>
      </c>
      <c r="B3" s="0" t="s">
        <v>1125</v>
      </c>
    </row>
    <row customHeight="1" ht="11.25">
      <c r="A4" s="1751" t="s">
        <v>627</v>
      </c>
      <c r="B4" s="0" t="s">
        <v>621</v>
      </c>
    </row>
    <row customHeight="1" ht="11.25">
      <c r="A5" s="1751" t="s">
        <v>416</v>
      </c>
      <c r="B5" s="0" t="s">
        <v>411</v>
      </c>
    </row>
    <row customHeight="1" ht="11.25">
      <c r="A6" s="1751" t="s">
        <v>1126</v>
      </c>
      <c r="B6" s="0" t="s">
        <v>411</v>
      </c>
    </row>
    <row customHeight="1" ht="11.25">
      <c r="A7" s="1751" t="s">
        <v>1127</v>
      </c>
      <c r="B7" s="0" t="s">
        <v>621</v>
      </c>
    </row>
    <row customHeight="1" ht="11.25">
      <c r="A8" s="1751" t="s">
        <v>1128</v>
      </c>
      <c r="B8" s="0" t="s">
        <v>621</v>
      </c>
    </row>
    <row customHeight="1" ht="11.25">
      <c r="A9" s="1751" t="s">
        <v>1129</v>
      </c>
      <c r="B9" s="0" t="s">
        <v>411</v>
      </c>
    </row>
    <row customHeight="1" ht="11.25"/>
    <row customHeight="1" ht="11.25"/>
    <row customHeight="1" ht="11.25">
      <c r="A12" s="1751" t="s">
        <v>415</v>
      </c>
      <c r="B12" s="0" t="s">
        <v>407</v>
      </c>
    </row>
    <row customHeight="1" ht="11.25">
      <c r="A13" s="1751" t="s">
        <v>626</v>
      </c>
      <c r="B13" s="0" t="s">
        <v>408</v>
      </c>
    </row>
    <row customHeight="1" ht="11.25">
      <c r="A14" s="1751" t="s">
        <v>627</v>
      </c>
      <c r="B14" s="0" t="s">
        <v>407</v>
      </c>
    </row>
    <row customHeight="1" ht="11.25">
      <c r="A15" s="1751" t="s">
        <v>416</v>
      </c>
      <c r="B15" s="0" t="s">
        <v>408</v>
      </c>
    </row>
    <row customHeight="1" ht="11.25">
      <c r="A16" s="1751" t="s">
        <v>1127</v>
      </c>
      <c r="B16" s="0" t="s">
        <v>408</v>
      </c>
    </row>
    <row customHeight="1" ht="11.25">
      <c r="A17" s="1751" t="s">
        <v>1128</v>
      </c>
      <c r="B17" s="0" t="s">
        <v>407</v>
      </c>
    </row>
    <row customHeight="1" ht="11.25">
      <c r="A18" s="1751" t="s">
        <v>1130</v>
      </c>
      <c r="B18" s="0" t="s">
        <v>1131</v>
      </c>
    </row>
    <row customHeight="1" ht="11.25">
      <c r="A19" s="1751" t="s">
        <v>1129</v>
      </c>
      <c r="B19" s="0" t="s">
        <v>408</v>
      </c>
    </row>
    <row customHeight="1" ht="11.25">
      <c r="A20" s="1751" t="s">
        <v>1132</v>
      </c>
      <c r="B20" s="0" t="s">
        <v>408</v>
      </c>
    </row>
    <row customHeight="1" ht="11.25">
      <c r="A21" s="1751" t="s">
        <v>1133</v>
      </c>
      <c r="B21" s="0" t="s">
        <v>407</v>
      </c>
    </row>
    <row customHeight="1" ht="11.25">
      <c r="A22" s="1751" t="s">
        <v>1134</v>
      </c>
      <c r="B22" s="0" t="s">
        <v>408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9A190D-32FC-20E6-4D68-964507B248CF}" mc:Ignorable="x14ac xr xr2 xr3">
  <sheetPr>
    <tabColor rgb="FFFFC000"/>
    <outlinePr summaryRight="0" summaryBelow="0"/>
    <pageSetUpPr fitToPage="1"/>
  </sheetPr>
  <dimension ref="A1:CP68"/>
  <sheetViews>
    <sheetView showGridLines="0" workbookViewId="0">
      <pane xSplit="31" ySplit="26" topLeftCell="AF40" activePane="bottomRight" state="frozen"/>
      <selection pane="bottomLeft" activeCell="A27" sqref="A27"/>
      <selection pane="topRight" activeCell="AF1" sqref="AF1"/>
      <selection pane="bottomRight" activeCell="AA21" sqref="AA21"/>
    </sheetView>
  </sheetViews>
  <sheetFormatPr defaultColWidth="8.710937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7.85156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183" width="3.00390625" customWidth="1"/>
    <col min="28" max="28" style="183" width="11.00390625" customWidth="1"/>
    <col min="29" max="29" style="183" width="47.00390625" customWidth="1"/>
    <col min="30" max="30" style="183" width="30.00390625" hidden="1" customWidth="1"/>
    <col min="31" max="31" style="183" width="12.00390625" customWidth="1"/>
    <col min="32" max="36" style="183" width="13.00390625" customWidth="1"/>
    <col min="37" max="55" style="183" width="13.00390625" hidden="1" customWidth="1"/>
    <col min="56" max="56" style="183" width="13.00390625" customWidth="1"/>
    <col min="57" max="75" style="183" width="13.00390625" hidden="1" customWidth="1"/>
    <col min="76" max="76" style="183" width="20.00390625" customWidth="1"/>
    <col min="77" max="77" style="183" width="3.00390625" customWidth="1"/>
    <col min="78" max="78" style="969" width="8.7109375" hidden="1"/>
    <col min="79" max="81" style="1125" width="8.7109375" hidden="1"/>
    <col min="82" max="82" style="1125" width="13.28125" hidden="1" customWidth="1"/>
    <col min="83" max="84" style="1126" width="8.7109375" hidden="1"/>
    <col min="85" max="85" style="1506" width="8.7109375" hidden="1"/>
    <col min="86" max="94" width="8.710937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C1" s="753" t="s">
        <v>92</v>
      </c>
      <c r="AD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W1" s="1548"/>
      <c r="CA1" s="489" t="s">
        <v>336</v>
      </c>
      <c r="CB1" s="489" t="s">
        <v>337</v>
      </c>
      <c r="CC1" s="489" t="s">
        <v>338</v>
      </c>
      <c r="CD1" s="489" t="s">
        <v>788</v>
      </c>
      <c r="CE1" s="546" t="s">
        <v>341</v>
      </c>
      <c r="CF1" s="546" t="s">
        <v>342</v>
      </c>
      <c r="CH1" s="0" t="s">
        <v>94</v>
      </c>
      <c r="CI1" s="0" t="s">
        <v>789</v>
      </c>
      <c r="CJ1" s="0" t="s">
        <v>110</v>
      </c>
      <c r="CK1" s="0" t="s">
        <v>111</v>
      </c>
      <c r="CL1" s="0" t="s">
        <v>112</v>
      </c>
      <c r="CM1" s="0" t="s">
        <v>113</v>
      </c>
      <c r="CN1" s="0" t="s">
        <v>114</v>
      </c>
      <c r="CO1" s="0"/>
      <c r="CP1" s="0"/>
    </row>
    <row s="1548" customFormat="1" customHeight="1" ht="11.25" hidden="1">
      <c r="A2" s="371"/>
      <c r="B2" s="179" t="s">
        <v>16</v>
      </c>
      <c r="G2" s="193"/>
      <c r="H2" s="193"/>
      <c r="I2" s="193"/>
      <c r="J2" s="193"/>
      <c r="K2" s="193"/>
      <c r="L2" s="193"/>
      <c r="M2" s="193"/>
      <c r="N2" s="193"/>
      <c r="O2" s="193"/>
      <c r="P2" s="193"/>
      <c r="Q2" s="193"/>
      <c r="R2" s="193"/>
      <c r="S2" s="193"/>
      <c r="AD2" s="179">
        <f>_xlfn.COUNTIFS(Y27:Y53,"&lt;&gt;",Y27:Y53,"&lt;&gt;0")&gt;0</f>
        <v>0</v>
      </c>
      <c r="AG2" s="179" cm="1" t="str">
        <f t="array" ref="AG2:AG2">isOrgDeclare</f>
        <v>true</v>
      </c>
      <c r="AJ2" s="179">
        <f>AND(AJ9&lt;=last_year_vis,isOrgDeclare)</f>
        <v>1</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AND(BC9&lt;=last_year_vis,isOrgDeclare)</f>
        <v>0</v>
      </c>
      <c r="BD2" s="179">
        <f>BD9&lt;=last_year_vis</f>
        <v>1</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W2" s="179">
        <f>BW9&lt;=last_year_vis</f>
        <v>0</v>
      </c>
      <c r="CA2" s="489"/>
      <c r="CB2" s="489"/>
      <c r="CC2" s="489"/>
      <c r="CD2" s="489"/>
      <c r="CE2" s="546"/>
      <c r="CF2" s="546"/>
      <c r="CH2" s="0"/>
      <c r="CI2" s="0"/>
      <c r="CJ2" s="0"/>
      <c r="CK2" s="0"/>
      <c r="CL2" s="0"/>
      <c r="CM2" s="0"/>
      <c r="CN2" s="0"/>
      <c r="CO2" s="0"/>
      <c r="CP2" s="0"/>
    </row>
    <row s="1548" customFormat="1" customHeight="1" ht="11.25" hidden="1">
      <c r="A3" s="371"/>
      <c r="G3" s="193"/>
      <c r="H3" s="193"/>
      <c r="I3" s="193"/>
      <c r="J3" s="193"/>
      <c r="K3" s="193"/>
      <c r="L3" s="193"/>
      <c r="M3" s="193"/>
      <c r="N3" s="193"/>
      <c r="O3" s="193"/>
      <c r="P3" s="193"/>
      <c r="Q3" s="193"/>
      <c r="R3" s="193"/>
      <c r="S3" s="193"/>
      <c r="AD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W3" s="1548"/>
      <c r="CA3" s="489"/>
      <c r="CB3" s="489"/>
      <c r="CC3" s="489"/>
      <c r="CD3" s="489"/>
      <c r="CE3" s="546"/>
      <c r="CF3" s="546"/>
      <c r="CH3" s="0"/>
      <c r="CI3" s="0"/>
      <c r="CJ3" s="0"/>
      <c r="CK3" s="0"/>
      <c r="CL3" s="0"/>
      <c r="CM3" s="0"/>
      <c r="CN3" s="0"/>
      <c r="CO3" s="0"/>
      <c r="CP3" s="0"/>
    </row>
    <row s="1548" customFormat="1" customHeight="1" ht="11.25" hidden="1">
      <c r="A4" s="371"/>
      <c r="G4" s="193"/>
      <c r="H4" s="193"/>
      <c r="I4" s="193"/>
      <c r="J4" s="193"/>
      <c r="K4" s="193"/>
      <c r="L4" s="193"/>
      <c r="M4" s="193"/>
      <c r="N4" s="193"/>
      <c r="O4" s="193"/>
      <c r="P4" s="193"/>
      <c r="Q4" s="193"/>
      <c r="R4" s="193"/>
      <c r="S4" s="193"/>
      <c r="AD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W4" s="1548"/>
      <c r="CA4" s="489"/>
      <c r="CB4" s="489"/>
      <c r="CC4" s="489"/>
      <c r="CD4" s="489"/>
      <c r="CE4" s="546"/>
      <c r="CF4" s="546"/>
      <c r="CH4" s="0"/>
      <c r="CI4" s="0"/>
      <c r="CJ4" s="0"/>
      <c r="CK4" s="0"/>
      <c r="CL4" s="0"/>
      <c r="CM4" s="0"/>
      <c r="CN4" s="0"/>
      <c r="CO4" s="0"/>
      <c r="CP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11</v>
      </c>
      <c r="AC5" s="180">
        <v>47</v>
      </c>
      <c r="AD5" s="180">
        <v>30</v>
      </c>
      <c r="AE5" s="180">
        <v>12</v>
      </c>
      <c r="AF5" s="180">
        <v>13</v>
      </c>
      <c r="AG5" s="180">
        <v>13</v>
      </c>
      <c r="AH5" s="180">
        <v>13</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180">
        <v>13</v>
      </c>
      <c r="BX5" s="180">
        <v>20</v>
      </c>
      <c r="BY5" s="180">
        <v>3</v>
      </c>
      <c r="CA5" s="489"/>
      <c r="CB5" s="489"/>
      <c r="CC5" s="489"/>
      <c r="CD5" s="489"/>
      <c r="CE5" s="546"/>
      <c r="CF5" s="546"/>
      <c r="CH5" s="1729"/>
      <c r="CI5" s="1729"/>
      <c r="CJ5" s="1729"/>
      <c r="CK5" s="1729"/>
      <c r="CL5" s="1729"/>
      <c r="CM5" s="1729"/>
      <c r="CN5" s="1729"/>
      <c r="CO5" s="1729"/>
      <c r="CP5" s="1729"/>
    </row>
    <row s="1548" customFormat="1" customHeight="1" ht="11.25" hidden="1">
      <c r="A6" s="371"/>
      <c r="E6" s="180"/>
      <c r="G6" s="193"/>
      <c r="H6" s="193"/>
      <c r="I6" s="193"/>
      <c r="J6" s="193"/>
      <c r="K6" s="193"/>
      <c r="L6" s="193"/>
      <c r="M6" s="193"/>
      <c r="N6" s="193"/>
      <c r="O6" s="193"/>
      <c r="P6" s="193"/>
      <c r="Q6" s="193"/>
      <c r="R6" s="193"/>
      <c r="S6" s="193"/>
      <c r="AD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W6" s="1548"/>
      <c r="CA6" s="489"/>
      <c r="CB6" s="489"/>
      <c r="CC6" s="489"/>
      <c r="CD6" s="489"/>
      <c r="CE6" s="546"/>
      <c r="CF6" s="546"/>
      <c r="CH6" s="0"/>
      <c r="CI6" s="0"/>
      <c r="CJ6" s="0"/>
      <c r="CK6" s="0"/>
      <c r="CL6" s="0"/>
      <c r="CM6" s="0"/>
      <c r="CN6" s="0"/>
      <c r="CO6" s="0"/>
      <c r="CP6" s="0"/>
    </row>
    <row s="1659" customFormat="1" customHeight="1" ht="11.25" hidden="1">
      <c r="A7" s="371"/>
      <c r="B7" s="175"/>
      <c r="C7" s="175"/>
      <c r="D7" s="175"/>
      <c r="E7" s="180"/>
      <c r="AD7" s="1659"/>
      <c r="AJ7" s="1659"/>
      <c r="AK7" s="1659"/>
      <c r="AL7" s="1659"/>
      <c r="AM7" s="1659"/>
      <c r="AN7" s="1659"/>
      <c r="AO7" s="1659"/>
      <c r="AP7" s="1659"/>
      <c r="AQ7" s="1659"/>
      <c r="AR7" s="1659"/>
      <c r="AS7" s="1659"/>
      <c r="AT7" s="1659"/>
      <c r="AU7" s="1659"/>
      <c r="AV7" s="1659"/>
      <c r="AW7" s="1659"/>
      <c r="AX7" s="1659"/>
      <c r="AY7" s="1659"/>
      <c r="AZ7" s="1659"/>
      <c r="BA7" s="1659"/>
      <c r="BB7" s="1659"/>
      <c r="BC7" s="1659"/>
      <c r="BD7" s="1659"/>
      <c r="BE7" s="1659"/>
      <c r="BF7" s="1659"/>
      <c r="BG7" s="1659"/>
      <c r="BH7" s="1659"/>
      <c r="BI7" s="1659"/>
      <c r="BJ7" s="1659"/>
      <c r="BK7" s="1659"/>
      <c r="BL7" s="1659"/>
      <c r="BM7" s="1659"/>
      <c r="BN7" s="1659"/>
      <c r="BO7" s="1659"/>
      <c r="BP7" s="1659"/>
      <c r="BQ7" s="1659"/>
      <c r="BR7" s="1659"/>
      <c r="BS7" s="1659"/>
      <c r="BT7" s="1659"/>
      <c r="BU7" s="1659"/>
      <c r="BV7" s="1659"/>
      <c r="BW7" s="1659"/>
      <c r="CA7" s="489"/>
      <c r="CB7" s="489"/>
      <c r="CC7" s="489"/>
      <c r="CD7" s="489"/>
      <c r="CE7" s="546"/>
      <c r="CF7" s="546"/>
      <c r="CH7" s="0"/>
      <c r="CI7" s="0"/>
      <c r="CJ7" s="0"/>
      <c r="CK7" s="0"/>
      <c r="CL7" s="0"/>
      <c r="CM7" s="0"/>
      <c r="CN7" s="0"/>
      <c r="CO7" s="0"/>
      <c r="CP7" s="0"/>
    </row>
    <row s="1659" customFormat="1" customHeight="1" ht="11.25" hidden="1">
      <c r="A8" s="371"/>
      <c r="B8" s="175"/>
      <c r="C8" s="175"/>
      <c r="D8" s="175"/>
      <c r="E8" s="180"/>
      <c r="AD8" s="1659"/>
      <c r="AJ8" s="1659"/>
      <c r="AK8" s="1659"/>
      <c r="AL8" s="1659"/>
      <c r="AM8" s="1659"/>
      <c r="AN8" s="1659"/>
      <c r="AO8" s="1659"/>
      <c r="AP8" s="1659"/>
      <c r="AQ8" s="1659"/>
      <c r="AR8" s="1659"/>
      <c r="AS8" s="1659"/>
      <c r="AT8" s="1659"/>
      <c r="AU8" s="1659"/>
      <c r="AV8" s="1659"/>
      <c r="AW8" s="1659"/>
      <c r="AX8" s="1659"/>
      <c r="AY8" s="1659"/>
      <c r="AZ8" s="1659"/>
      <c r="BA8" s="1659"/>
      <c r="BB8" s="1659"/>
      <c r="BC8" s="1659"/>
      <c r="BD8" s="1659"/>
      <c r="BE8" s="1659"/>
      <c r="BF8" s="1659"/>
      <c r="BG8" s="1659"/>
      <c r="BH8" s="1659"/>
      <c r="BI8" s="1659"/>
      <c r="BJ8" s="1659"/>
      <c r="BK8" s="1659"/>
      <c r="BL8" s="1659"/>
      <c r="BM8" s="1659"/>
      <c r="BN8" s="1659"/>
      <c r="BO8" s="1659"/>
      <c r="BP8" s="1659"/>
      <c r="BQ8" s="1659"/>
      <c r="BR8" s="1659"/>
      <c r="BS8" s="1659"/>
      <c r="BT8" s="1659"/>
      <c r="BU8" s="1659"/>
      <c r="BV8" s="1659"/>
      <c r="BW8" s="1659"/>
      <c r="CA8" s="489"/>
      <c r="CB8" s="489"/>
      <c r="CC8" s="489"/>
      <c r="CD8" s="489"/>
      <c r="CE8" s="546"/>
      <c r="CF8" s="546"/>
      <c r="CH8" s="0"/>
      <c r="CI8" s="0"/>
      <c r="CJ8" s="0"/>
      <c r="CK8" s="0"/>
      <c r="CL8" s="0"/>
      <c r="CM8" s="0"/>
      <c r="CN8" s="0"/>
      <c r="CO8" s="0"/>
      <c r="CP8" s="0"/>
    </row>
    <row s="1143" customFormat="1" customHeight="1" ht="11.25" hidden="1">
      <c r="A9" s="309" t="s">
        <v>403</v>
      </c>
      <c r="AD9" s="1143"/>
      <c r="AF9" s="312">
        <f>god-2</f>
        <v>2025</v>
      </c>
      <c r="AG9" s="312">
        <f>god-2</f>
        <v>2025</v>
      </c>
      <c r="AH9" s="312">
        <f>god-2</f>
        <v>2025</v>
      </c>
      <c r="AI9" s="312">
        <f>god-1</f>
        <v>2026</v>
      </c>
      <c r="AJ9" s="312" cm="1" t="str">
        <f t="array" ref="AJ9:AJ9">god</f>
        <v>2027</v>
      </c>
      <c r="AK9" s="312">
        <f>god+1</f>
        <v>2028</v>
      </c>
      <c r="AL9" s="312">
        <f>god+2</f>
        <v>2029</v>
      </c>
      <c r="AM9" s="312">
        <f>god+3</f>
        <v>2030</v>
      </c>
      <c r="AN9" s="312">
        <f>god+4</f>
        <v>2031</v>
      </c>
      <c r="AO9" s="312">
        <f>god+5</f>
        <v>2032</v>
      </c>
      <c r="AP9" s="312">
        <f>god+6</f>
        <v>2033</v>
      </c>
      <c r="AQ9" s="312">
        <f>god+7</f>
        <v>2034</v>
      </c>
      <c r="AR9" s="312">
        <f>god+8</f>
        <v>2035</v>
      </c>
      <c r="AS9" s="312">
        <f>god+9</f>
        <v>2036</v>
      </c>
      <c r="AT9" s="312">
        <f>god+10</f>
        <v>2037</v>
      </c>
      <c r="AU9" s="312">
        <f>god+11</f>
        <v>2038</v>
      </c>
      <c r="AV9" s="312">
        <f>god+12</f>
        <v>2039</v>
      </c>
      <c r="AW9" s="312">
        <f>god+13</f>
        <v>2040</v>
      </c>
      <c r="AX9" s="312">
        <f>god+14</f>
        <v>2041</v>
      </c>
      <c r="AY9" s="312">
        <f>god+15</f>
        <v>2042</v>
      </c>
      <c r="AZ9" s="312">
        <f>god+16</f>
        <v>2043</v>
      </c>
      <c r="BA9" s="312">
        <f>god+17</f>
        <v>2044</v>
      </c>
      <c r="BB9" s="312">
        <f>god+18</f>
        <v>2045</v>
      </c>
      <c r="BC9" s="312">
        <f>god+19</f>
        <v>2046</v>
      </c>
      <c r="BD9" s="312" cm="1" t="str">
        <f t="array" ref="BD9:BD9">god</f>
        <v>2027</v>
      </c>
      <c r="BE9" s="312">
        <f>god+1</f>
        <v>2028</v>
      </c>
      <c r="BF9" s="312">
        <f>god+2</f>
        <v>2029</v>
      </c>
      <c r="BG9" s="312">
        <f>god+3</f>
        <v>2030</v>
      </c>
      <c r="BH9" s="312">
        <f>god+4</f>
        <v>2031</v>
      </c>
      <c r="BI9" s="312">
        <f>god+5</f>
        <v>2032</v>
      </c>
      <c r="BJ9" s="312">
        <f>god+6</f>
        <v>2033</v>
      </c>
      <c r="BK9" s="312">
        <f>god+7</f>
        <v>2034</v>
      </c>
      <c r="BL9" s="312">
        <f>god+8</f>
        <v>2035</v>
      </c>
      <c r="BM9" s="312">
        <f>god+9</f>
        <v>2036</v>
      </c>
      <c r="BN9" s="312">
        <f>god+10</f>
        <v>2037</v>
      </c>
      <c r="BO9" s="312">
        <f>god+11</f>
        <v>2038</v>
      </c>
      <c r="BP9" s="312">
        <f>god+12</f>
        <v>2039</v>
      </c>
      <c r="BQ9" s="312">
        <f>god+13</f>
        <v>2040</v>
      </c>
      <c r="BR9" s="312">
        <f>god+14</f>
        <v>2041</v>
      </c>
      <c r="BS9" s="312">
        <f>god+15</f>
        <v>2042</v>
      </c>
      <c r="BT9" s="312">
        <f>god+16</f>
        <v>2043</v>
      </c>
      <c r="BU9" s="312">
        <f>god+17</f>
        <v>2044</v>
      </c>
      <c r="BV9" s="312">
        <f>god+18</f>
        <v>2045</v>
      </c>
      <c r="BW9" s="312">
        <f>god+19</f>
        <v>2046</v>
      </c>
      <c r="CA9" s="489"/>
      <c r="CB9" s="489"/>
      <c r="CC9" s="489"/>
      <c r="CD9" s="489"/>
      <c r="CE9" s="546"/>
      <c r="CF9" s="546"/>
      <c r="CH9" s="1730"/>
      <c r="CI9" s="1730"/>
      <c r="CJ9" s="1730"/>
      <c r="CK9" s="1730"/>
      <c r="CL9" s="1730"/>
      <c r="CM9" s="1730"/>
      <c r="CN9" s="1730"/>
      <c r="CO9" s="1730"/>
      <c r="CP9" s="1730"/>
    </row>
    <row s="1143" customFormat="1" customHeight="1" ht="11.25" hidden="1">
      <c r="A10" s="309" t="s">
        <v>404</v>
      </c>
      <c r="AD10" s="1143"/>
      <c r="AF10" s="312" cm="1" t="str">
        <f t="array" ref="AF10:AF10">AF25</f>
        <v>Принято органом регулирования</v>
      </c>
      <c r="AG10" s="312" cm="1" t="str">
        <f t="array" ref="AG10:AG10">AG25</f>
        <v>Факт по данным организации</v>
      </c>
      <c r="AH10" s="312" cm="1" t="str">
        <f t="array" ref="AH10:AH10">AH25</f>
        <v>Факт, принятый органом регулирования</v>
      </c>
      <c r="AI10" s="312" cm="1" t="str">
        <f t="array" ref="AI10:AI10">AI25</f>
        <v>Принято органом регулирования</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Предложение организации</v>
      </c>
      <c r="AZ10" s="312" cm="1" t="str">
        <f t="array" ref="AZ10:AZ10">AZ25</f>
        <v>Предложение организации</v>
      </c>
      <c r="BA10" s="312" cm="1" t="str">
        <f t="array" ref="BA10:BA10">BA25</f>
        <v>Предложение организации</v>
      </c>
      <c r="BB10" s="312" cm="1" t="str">
        <f t="array" ref="BB10:BB10">BB25</f>
        <v>Предложение организации</v>
      </c>
      <c r="BC10" s="312" cm="1" t="str">
        <f t="array" ref="BC10:BC10">BC25</f>
        <v>Предложение организации</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S10" s="312" cm="1" t="str">
        <f t="array" ref="BS10:BS10">BS25</f>
        <v>Принято органом регулирования</v>
      </c>
      <c r="BT10" s="312" cm="1" t="str">
        <f t="array" ref="BT10:BT10">BT25</f>
        <v>Принято органом регулирования</v>
      </c>
      <c r="BU10" s="312" cm="1" t="str">
        <f t="array" ref="BU10:BU10">BU25</f>
        <v>Принято органом регулирования</v>
      </c>
      <c r="BV10" s="312" cm="1" t="str">
        <f t="array" ref="BV10:BV10">BV25</f>
        <v>Принято органом регулирования</v>
      </c>
      <c r="BW10" s="312" cm="1" t="str">
        <f t="array" ref="BW10:BW10">BW25</f>
        <v>Принято органом регулирования</v>
      </c>
      <c r="CA10" s="489"/>
      <c r="CB10" s="489"/>
      <c r="CC10" s="489"/>
      <c r="CD10" s="489"/>
      <c r="CE10" s="546"/>
      <c r="CF10" s="546"/>
      <c r="CH10" s="1730"/>
      <c r="CI10" s="1730"/>
      <c r="CJ10" s="1730"/>
      <c r="CK10" s="1730"/>
      <c r="CL10" s="1730"/>
      <c r="CM10" s="1730"/>
      <c r="CN10" s="1730"/>
      <c r="CO10" s="1730"/>
      <c r="CP10" s="1730"/>
    </row>
    <row s="1143" customFormat="1" customHeight="1" ht="11.25" hidden="1">
      <c r="A11" s="309" t="s">
        <v>405</v>
      </c>
      <c r="G11" s="483"/>
      <c r="H11" s="483"/>
      <c r="I11" s="483"/>
      <c r="J11" s="483"/>
      <c r="K11" s="483"/>
      <c r="L11" s="483"/>
      <c r="M11" s="483"/>
      <c r="N11" s="483"/>
      <c r="O11" s="483"/>
      <c r="P11" s="483"/>
      <c r="Q11" s="483"/>
      <c r="R11" s="483"/>
      <c r="S11" s="483"/>
      <c r="AD11" s="1143"/>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1143"/>
      <c r="BX11" s="312" cm="1" t="str">
        <f t="array" ref="BX11:BX11">BX24</f>
        <v>Ссылка на правовую норму (основание для принятия показателя в расчет тарифа)</v>
      </c>
      <c r="CA11" s="489"/>
      <c r="CB11" s="489"/>
      <c r="CC11" s="489"/>
      <c r="CD11" s="489"/>
      <c r="CE11" s="489"/>
      <c r="CF11" s="489"/>
      <c r="CH11" s="1730"/>
      <c r="CI11" s="1730"/>
      <c r="CJ11" s="1730"/>
      <c r="CK11" s="1730"/>
      <c r="CL11" s="1730"/>
      <c r="CM11" s="1730"/>
      <c r="CN11" s="1730"/>
      <c r="CO11" s="1730"/>
      <c r="CP11" s="1730"/>
    </row>
    <row s="1143" customFormat="1" customHeight="1" ht="11.25" hidden="1">
      <c r="A12" s="309" t="s">
        <v>350</v>
      </c>
      <c r="G12" s="483"/>
      <c r="H12" s="483"/>
      <c r="I12" s="483"/>
      <c r="J12" s="483"/>
      <c r="K12" s="483"/>
      <c r="L12" s="483"/>
      <c r="M12" s="483"/>
      <c r="N12" s="483"/>
      <c r="O12" s="483"/>
      <c r="P12" s="483"/>
      <c r="Q12" s="483"/>
      <c r="R12" s="483"/>
      <c r="S12" s="483"/>
      <c r="AC12" s="312" t="s">
        <v>338</v>
      </c>
      <c r="AD12" s="312" t="s">
        <v>788</v>
      </c>
      <c r="AJ12" s="1143"/>
      <c r="AK12" s="1143"/>
      <c r="AL12" s="1143"/>
      <c r="AM12" s="1143"/>
      <c r="AN12" s="1143"/>
      <c r="AO12" s="1143"/>
      <c r="AP12" s="1143"/>
      <c r="AQ12" s="1143"/>
      <c r="AR12" s="1143"/>
      <c r="AS12" s="1143"/>
      <c r="AT12" s="1143"/>
      <c r="AU12" s="1143"/>
      <c r="AV12" s="1143"/>
      <c r="AW12" s="1143"/>
      <c r="AX12" s="1143"/>
      <c r="AY12" s="1143"/>
      <c r="AZ12" s="1143"/>
      <c r="BA12" s="1143"/>
      <c r="BB12" s="1143"/>
      <c r="BC12" s="1143"/>
      <c r="BD12" s="1143"/>
      <c r="BE12" s="1143"/>
      <c r="BF12" s="1143"/>
      <c r="BG12" s="1143"/>
      <c r="BH12" s="1143"/>
      <c r="BI12" s="1143"/>
      <c r="BJ12" s="1143"/>
      <c r="BK12" s="1143"/>
      <c r="BL12" s="1143"/>
      <c r="BM12" s="1143"/>
      <c r="BN12" s="1143"/>
      <c r="BO12" s="1143"/>
      <c r="BP12" s="1143"/>
      <c r="BQ12" s="1143"/>
      <c r="BR12" s="1143"/>
      <c r="BS12" s="1143"/>
      <c r="BT12" s="1143"/>
      <c r="BU12" s="1143"/>
      <c r="BV12" s="1143"/>
      <c r="BW12" s="1143"/>
      <c r="CA12" s="489"/>
      <c r="CB12" s="489"/>
      <c r="CC12" s="489"/>
      <c r="CD12" s="489"/>
      <c r="CE12" s="489"/>
      <c r="CF12" s="489"/>
      <c r="CH12" s="1730"/>
      <c r="CI12" s="1730"/>
      <c r="CJ12" s="1730"/>
      <c r="CK12" s="1730"/>
      <c r="CL12" s="1730"/>
      <c r="CM12" s="1730"/>
      <c r="CN12" s="1730"/>
      <c r="CO12" s="1730"/>
      <c r="CP12" s="1730"/>
    </row>
    <row s="1548" customFormat="1" customHeight="1" ht="11.25" hidden="1">
      <c r="A13" s="371"/>
      <c r="E13" s="180"/>
      <c r="G13" s="193"/>
      <c r="H13" s="193"/>
      <c r="I13" s="193"/>
      <c r="J13" s="193"/>
      <c r="K13" s="193"/>
      <c r="L13" s="193"/>
      <c r="M13" s="193"/>
      <c r="N13" s="193"/>
      <c r="O13" s="193"/>
      <c r="P13" s="193"/>
      <c r="Q13" s="193"/>
      <c r="R13" s="193"/>
      <c r="S13" s="193"/>
      <c r="AD13" s="1548"/>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S13" s="1548"/>
      <c r="BT13" s="1548"/>
      <c r="BU13" s="1548"/>
      <c r="BV13" s="1548"/>
      <c r="BW13" s="1548"/>
      <c r="CA13" s="489"/>
      <c r="CB13" s="489"/>
      <c r="CC13" s="489"/>
      <c r="CD13" s="489"/>
      <c r="CE13" s="546"/>
      <c r="CF13" s="546"/>
      <c r="CH13" s="0"/>
      <c r="CI13" s="0"/>
      <c r="CJ13" s="0"/>
      <c r="CK13" s="0"/>
      <c r="CL13" s="0"/>
      <c r="CM13" s="0"/>
      <c r="CN13" s="0"/>
      <c r="CO13" s="0"/>
      <c r="CP13" s="0"/>
    </row>
    <row s="1548" customFormat="1" customHeight="1" ht="11.25" hidden="1">
      <c r="A14" s="371"/>
      <c r="E14" s="180"/>
      <c r="G14" s="193"/>
      <c r="H14" s="193"/>
      <c r="I14" s="193"/>
      <c r="J14" s="193"/>
      <c r="K14" s="193"/>
      <c r="L14" s="193"/>
      <c r="M14" s="193"/>
      <c r="N14" s="193"/>
      <c r="O14" s="193"/>
      <c r="P14" s="193"/>
      <c r="Q14" s="193"/>
      <c r="R14" s="193"/>
      <c r="S14" s="193"/>
      <c r="AD14" s="1548"/>
      <c r="AJ14" s="1548"/>
      <c r="AK14" s="1548"/>
      <c r="AL14" s="1548"/>
      <c r="AM14" s="1548"/>
      <c r="AN14" s="1548"/>
      <c r="AO14" s="1548"/>
      <c r="AP14" s="1548"/>
      <c r="AQ14" s="1548"/>
      <c r="AR14" s="1548"/>
      <c r="AS14" s="1548"/>
      <c r="AT14" s="1548"/>
      <c r="AU14" s="1548"/>
      <c r="AV14" s="1548"/>
      <c r="AW14" s="1548"/>
      <c r="AX14" s="1548"/>
      <c r="AY14" s="1548"/>
      <c r="AZ14" s="1548"/>
      <c r="BA14" s="1548"/>
      <c r="BB14" s="1548"/>
      <c r="BC14" s="1548"/>
      <c r="BD14" s="1548"/>
      <c r="BE14" s="1548"/>
      <c r="BF14" s="1548"/>
      <c r="BG14" s="1548"/>
      <c r="BH14" s="1548"/>
      <c r="BI14" s="1548"/>
      <c r="BJ14" s="1548"/>
      <c r="BK14" s="1548"/>
      <c r="BL14" s="1548"/>
      <c r="BM14" s="1548"/>
      <c r="BN14" s="1548"/>
      <c r="BO14" s="1548"/>
      <c r="BP14" s="1548"/>
      <c r="BQ14" s="1548"/>
      <c r="BR14" s="1548"/>
      <c r="BS14" s="1548"/>
      <c r="BT14" s="1548"/>
      <c r="BU14" s="1548"/>
      <c r="BV14" s="1548"/>
      <c r="BW14" s="1548"/>
      <c r="CA14" s="489"/>
      <c r="CB14" s="489"/>
      <c r="CC14" s="489"/>
      <c r="CD14" s="489"/>
      <c r="CE14" s="546"/>
      <c r="CF14" s="546"/>
      <c r="CH14" s="0"/>
      <c r="CI14" s="0"/>
      <c r="CJ14" s="0"/>
      <c r="CK14" s="0"/>
      <c r="CL14" s="0"/>
      <c r="CM14" s="0"/>
      <c r="CN14" s="0"/>
      <c r="CO14" s="0"/>
      <c r="CP14" s="0"/>
    </row>
    <row s="1548" customFormat="1" customHeight="1" ht="11.25" hidden="1">
      <c r="A15" s="371"/>
      <c r="E15" s="180"/>
      <c r="G15" s="193"/>
      <c r="H15" s="193"/>
      <c r="I15" s="193"/>
      <c r="J15" s="193"/>
      <c r="K15" s="193"/>
      <c r="L15" s="193"/>
      <c r="M15" s="193"/>
      <c r="N15" s="193"/>
      <c r="O15" s="193"/>
      <c r="P15" s="193"/>
      <c r="Q15" s="193"/>
      <c r="R15" s="193"/>
      <c r="S15" s="193"/>
      <c r="AD15" s="1548"/>
      <c r="AJ15" s="1548"/>
      <c r="AK15" s="1548"/>
      <c r="AL15" s="1548"/>
      <c r="AM15" s="1548"/>
      <c r="AN15" s="1548"/>
      <c r="AO15" s="1548"/>
      <c r="AP15" s="1548"/>
      <c r="AQ15" s="1548"/>
      <c r="AR15" s="1548"/>
      <c r="AS15" s="1548"/>
      <c r="AT15" s="1548"/>
      <c r="AU15" s="1548"/>
      <c r="AV15" s="1548"/>
      <c r="AW15" s="1548"/>
      <c r="AX15" s="1548"/>
      <c r="AY15" s="1548"/>
      <c r="AZ15" s="1548"/>
      <c r="BA15" s="1548"/>
      <c r="BB15" s="1548"/>
      <c r="BC15" s="1548"/>
      <c r="BD15" s="1548"/>
      <c r="BE15" s="1548"/>
      <c r="BF15" s="1548"/>
      <c r="BG15" s="1548"/>
      <c r="BH15" s="1548"/>
      <c r="BI15" s="1548"/>
      <c r="BJ15" s="1548"/>
      <c r="BK15" s="1548"/>
      <c r="BL15" s="1548"/>
      <c r="BM15" s="1548"/>
      <c r="BN15" s="1548"/>
      <c r="BO15" s="1548"/>
      <c r="BP15" s="1548"/>
      <c r="BQ15" s="1548"/>
      <c r="BR15" s="1548"/>
      <c r="BS15" s="1548"/>
      <c r="BT15" s="1548"/>
      <c r="BU15" s="1548"/>
      <c r="BV15" s="1548"/>
      <c r="BW15" s="1548"/>
      <c r="CA15" s="489"/>
      <c r="CB15" s="489"/>
      <c r="CC15" s="489"/>
      <c r="CD15" s="489"/>
      <c r="CE15" s="546"/>
      <c r="CF15" s="546"/>
      <c r="CH15" s="0"/>
      <c r="CI15" s="0"/>
      <c r="CJ15" s="0"/>
      <c r="CK15" s="0"/>
      <c r="CL15" s="0"/>
      <c r="CM15" s="0"/>
      <c r="CN15" s="0"/>
      <c r="CO15" s="0"/>
      <c r="CP15" s="0"/>
    </row>
    <row s="1548" customFormat="1" customHeight="1" ht="11.25" hidden="1">
      <c r="A16" s="371"/>
      <c r="E16" s="180"/>
      <c r="G16" s="193"/>
      <c r="H16" s="193"/>
      <c r="I16" s="193"/>
      <c r="J16" s="193"/>
      <c r="K16" s="193"/>
      <c r="L16" s="193"/>
      <c r="M16" s="193"/>
      <c r="N16" s="193"/>
      <c r="O16" s="193"/>
      <c r="P16" s="193"/>
      <c r="Q16" s="193"/>
      <c r="R16" s="193"/>
      <c r="S16" s="193"/>
      <c r="AD16" s="1548"/>
      <c r="AJ16" s="1548"/>
      <c r="AK16" s="1548"/>
      <c r="AL16" s="1548"/>
      <c r="AM16" s="1548"/>
      <c r="AN16" s="1548"/>
      <c r="AO16" s="1548"/>
      <c r="AP16" s="1548"/>
      <c r="AQ16" s="1548"/>
      <c r="AR16" s="1548"/>
      <c r="AS16" s="1548"/>
      <c r="AT16" s="1548"/>
      <c r="AU16" s="1548"/>
      <c r="AV16" s="1548"/>
      <c r="AW16" s="1548"/>
      <c r="AX16" s="1548"/>
      <c r="AY16" s="1548"/>
      <c r="AZ16" s="1548"/>
      <c r="BA16" s="1548"/>
      <c r="BB16" s="1548"/>
      <c r="BC16" s="1548"/>
      <c r="BD16" s="1548"/>
      <c r="BE16" s="1548"/>
      <c r="BF16" s="1548"/>
      <c r="BG16" s="1548"/>
      <c r="BH16" s="1548"/>
      <c r="BI16" s="1548"/>
      <c r="BJ16" s="1548"/>
      <c r="BK16" s="1548"/>
      <c r="BL16" s="1548"/>
      <c r="BM16" s="1548"/>
      <c r="BN16" s="1548"/>
      <c r="BO16" s="1548"/>
      <c r="BP16" s="1548"/>
      <c r="BQ16" s="1548"/>
      <c r="BR16" s="1548"/>
      <c r="BS16" s="1548"/>
      <c r="BT16" s="1548"/>
      <c r="BU16" s="1548"/>
      <c r="BV16" s="1548"/>
      <c r="BW16" s="1548"/>
      <c r="CA16" s="489"/>
      <c r="CB16" s="489"/>
      <c r="CC16" s="489"/>
      <c r="CD16" s="489"/>
      <c r="CE16" s="546"/>
      <c r="CF16" s="546"/>
      <c r="CH16" s="0"/>
      <c r="CI16" s="0"/>
      <c r="CJ16" s="0"/>
      <c r="CK16" s="0"/>
      <c r="CL16" s="0"/>
      <c r="CM16" s="0"/>
      <c r="CN16" s="0"/>
      <c r="CO16" s="0"/>
      <c r="CP16" s="0"/>
    </row>
    <row s="1548" customFormat="1" customHeight="1" ht="11.25" hidden="1">
      <c r="A17" s="371"/>
      <c r="E17" s="180"/>
      <c r="G17" s="193"/>
      <c r="H17" s="193"/>
      <c r="I17" s="193"/>
      <c r="J17" s="193"/>
      <c r="K17" s="193"/>
      <c r="L17" s="193"/>
      <c r="M17" s="193"/>
      <c r="N17" s="193"/>
      <c r="O17" s="193"/>
      <c r="P17" s="193"/>
      <c r="Q17" s="193"/>
      <c r="R17" s="193"/>
      <c r="S17" s="193"/>
      <c r="AD17" s="1548"/>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S17" s="1548"/>
      <c r="BT17" s="1548"/>
      <c r="BU17" s="1548"/>
      <c r="BV17" s="1548"/>
      <c r="BW17" s="1548"/>
      <c r="CA17" s="489"/>
      <c r="CB17" s="489"/>
      <c r="CC17" s="489"/>
      <c r="CD17" s="489"/>
      <c r="CE17" s="546"/>
      <c r="CF17" s="546"/>
      <c r="CH17" s="0"/>
      <c r="CI17" s="0"/>
      <c r="CJ17" s="0"/>
      <c r="CK17" s="0"/>
      <c r="CL17" s="0"/>
      <c r="CM17" s="0"/>
      <c r="CN17" s="0"/>
      <c r="CO17" s="0"/>
      <c r="CP17" s="0"/>
    </row>
    <row s="1548" customFormat="1" customHeight="1" ht="11.25" hidden="1">
      <c r="A18" s="978" t="s">
        <v>492</v>
      </c>
      <c r="E18" s="180"/>
      <c r="G18" s="193"/>
      <c r="H18" s="193"/>
      <c r="I18" s="193"/>
      <c r="J18" s="193"/>
      <c r="K18" s="193"/>
      <c r="L18" s="193"/>
      <c r="M18" s="193"/>
      <c r="N18" s="193"/>
      <c r="O18" s="193"/>
      <c r="P18" s="193"/>
      <c r="Q18" s="193"/>
      <c r="R18" s="193"/>
      <c r="S18" s="193"/>
      <c r="AC18" s="1072" t="s">
        <v>175</v>
      </c>
      <c r="AD18" s="1072" t="s">
        <v>793</v>
      </c>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S18" s="1548"/>
      <c r="BT18" s="1548"/>
      <c r="BU18" s="1548"/>
      <c r="BV18" s="1548"/>
      <c r="BW18" s="1548"/>
      <c r="CA18" s="489"/>
      <c r="CB18" s="489"/>
      <c r="CC18" s="489"/>
      <c r="CD18" s="489"/>
      <c r="CE18" s="546"/>
      <c r="CF18" s="546"/>
      <c r="CH18" s="0"/>
      <c r="CI18" s="0"/>
      <c r="CJ18" s="0"/>
      <c r="CK18" s="0"/>
      <c r="CL18" s="0"/>
      <c r="CM18" s="0"/>
      <c r="CN18" s="0"/>
      <c r="CO18" s="0"/>
      <c r="CP18" s="0"/>
    </row>
    <row s="1548" customFormat="1" customHeight="1" ht="11.25" hidden="1">
      <c r="A19" s="371"/>
      <c r="E19" s="180"/>
      <c r="G19" s="193"/>
      <c r="H19" s="193"/>
      <c r="I19" s="193"/>
      <c r="J19" s="193"/>
      <c r="K19" s="193"/>
      <c r="L19" s="193"/>
      <c r="M19" s="193"/>
      <c r="N19" s="193"/>
      <c r="O19" s="193"/>
      <c r="P19" s="193"/>
      <c r="Q19" s="193"/>
      <c r="R19" s="193"/>
      <c r="S19" s="193"/>
      <c r="AD19" s="1548"/>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T19" s="1548"/>
      <c r="BU19" s="1548"/>
      <c r="BV19" s="1548"/>
      <c r="BW19" s="1548"/>
      <c r="CA19" s="489"/>
      <c r="CB19" s="489"/>
      <c r="CC19" s="489"/>
      <c r="CD19" s="489"/>
      <c r="CE19" s="546"/>
      <c r="CF19" s="546"/>
      <c r="CH19" s="0"/>
      <c r="CI19" s="0"/>
      <c r="CJ19" s="0"/>
      <c r="CK19" s="0"/>
      <c r="CL19" s="0"/>
      <c r="CM19" s="0"/>
      <c r="CN19" s="0"/>
      <c r="CO19" s="0"/>
      <c r="CP19" s="0"/>
    </row>
    <row s="1548" customFormat="1" customHeight="1" ht="11.25" hidden="1">
      <c r="A20" s="371"/>
      <c r="E20" s="180"/>
      <c r="G20" s="193"/>
      <c r="H20" s="193"/>
      <c r="I20" s="193"/>
      <c r="J20" s="193"/>
      <c r="K20" s="193"/>
      <c r="L20" s="193"/>
      <c r="M20" s="193"/>
      <c r="N20" s="193"/>
      <c r="O20" s="193"/>
      <c r="P20" s="193"/>
      <c r="Q20" s="193"/>
      <c r="R20" s="193"/>
      <c r="S20" s="193"/>
      <c r="AD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W20" s="1548"/>
      <c r="CA20" s="489"/>
      <c r="CB20" s="489"/>
      <c r="CC20" s="489"/>
      <c r="CD20" s="489"/>
      <c r="CE20" s="546"/>
      <c r="CF20" s="546"/>
      <c r="CH20" s="0"/>
      <c r="CI20" s="0"/>
      <c r="CJ20" s="0"/>
      <c r="CK20" s="0"/>
      <c r="CL20" s="0"/>
      <c r="CM20" s="0"/>
      <c r="CN20" s="0"/>
      <c r="CO20" s="0"/>
      <c r="CP20" s="0"/>
    </row>
    <row customHeight="1" ht="14.625">
      <c r="E21" s="180">
        <v>15</v>
      </c>
      <c r="AA21" s="182"/>
      <c r="AB21" s="582"/>
      <c r="AC21" s="278" cm="1" t="str">
        <f t="array" ref="AC21:AC21">tpl_title</f>
        <v>Кемеровская область / 2027 / ООО "КК-ИНВЕСТ" (ИНН:1901133713, КПП:190101001) / ДПР: 2025-2027</v>
      </c>
      <c r="AD21" s="278"/>
      <c r="AE21" s="582"/>
      <c r="AF21" s="582"/>
      <c r="AG21" s="582"/>
      <c r="AH21" s="582"/>
      <c r="AI21" s="582"/>
      <c r="AJ21" s="582"/>
      <c r="AK21" s="582"/>
      <c r="AL21" s="582"/>
      <c r="AM21" s="582"/>
      <c r="AN21" s="582"/>
      <c r="AO21" s="582"/>
      <c r="AP21" s="582"/>
      <c r="AQ21" s="582"/>
      <c r="AR21" s="582"/>
      <c r="AS21" s="582"/>
      <c r="AT21" s="582"/>
      <c r="AU21" s="582"/>
      <c r="AV21" s="582"/>
      <c r="AW21" s="582"/>
      <c r="AX21" s="582"/>
      <c r="AY21" s="582"/>
      <c r="AZ21" s="582"/>
      <c r="BA21" s="582"/>
      <c r="BB21" s="582"/>
      <c r="BC21" s="582"/>
      <c r="BD21" s="582"/>
      <c r="BE21" s="582"/>
      <c r="BF21" s="582"/>
      <c r="BG21" s="582"/>
      <c r="BH21" s="582"/>
      <c r="BI21" s="582"/>
      <c r="BJ21" s="582"/>
      <c r="BK21" s="582"/>
      <c r="BL21" s="582"/>
      <c r="BM21" s="582"/>
      <c r="BN21" s="582"/>
      <c r="BO21" s="582"/>
      <c r="BP21" s="582"/>
      <c r="BQ21" s="582"/>
      <c r="BR21" s="582"/>
      <c r="BS21" s="582"/>
      <c r="BT21" s="582"/>
      <c r="BU21" s="582"/>
      <c r="BV21" s="582"/>
      <c r="BW21" s="582"/>
      <c r="BX21" s="582"/>
      <c r="BY21" s="582"/>
    </row>
    <row customHeight="1" ht="19.5">
      <c r="E22" s="180">
        <v>20</v>
      </c>
      <c r="AA22" s="582"/>
      <c r="AB22" s="547" t="s">
        <v>42</v>
      </c>
      <c r="AC22" s="612"/>
      <c r="AD22" s="612"/>
      <c r="AE22" s="612"/>
      <c r="AF22" s="612"/>
      <c r="AG22" s="612"/>
      <c r="AH22" s="612"/>
      <c r="AI22" s="612"/>
      <c r="AJ22" s="612"/>
      <c r="AK22" s="612"/>
      <c r="AL22" s="612"/>
      <c r="AM22" s="612"/>
      <c r="AN22" s="612"/>
      <c r="AO22" s="612"/>
      <c r="AP22" s="612"/>
      <c r="AQ22" s="612"/>
      <c r="AR22" s="612"/>
      <c r="AS22" s="612"/>
      <c r="AT22" s="612"/>
      <c r="AU22" s="612"/>
      <c r="AV22" s="612"/>
      <c r="AW22" s="612"/>
      <c r="AX22" s="612"/>
      <c r="AY22" s="612"/>
      <c r="AZ22" s="612"/>
      <c r="BA22" s="612"/>
      <c r="BB22" s="612"/>
      <c r="BC22" s="612"/>
      <c r="BD22" s="612"/>
      <c r="BE22" s="612"/>
      <c r="BF22" s="612"/>
      <c r="BG22" s="612"/>
      <c r="BH22" s="612"/>
      <c r="BI22" s="612"/>
      <c r="BJ22" s="612"/>
      <c r="BK22" s="612"/>
      <c r="BL22" s="612"/>
      <c r="BM22" s="612"/>
      <c r="BN22" s="612"/>
      <c r="BO22" s="612"/>
      <c r="BP22" s="612"/>
      <c r="BQ22" s="612"/>
      <c r="BR22" s="612"/>
      <c r="BS22" s="612"/>
      <c r="BT22" s="612"/>
      <c r="BU22" s="612"/>
      <c r="BV22" s="612"/>
      <c r="BW22" s="612"/>
      <c r="BX22" s="613"/>
      <c r="BY22" s="582"/>
    </row>
    <row customHeight="1" ht="10.725000000000001">
      <c r="E23" s="180">
        <v>11</v>
      </c>
      <c r="AA23" s="582"/>
      <c r="AB23" s="614"/>
      <c r="AC23" s="615"/>
      <c r="AD23" s="615"/>
      <c r="AE23" s="615"/>
      <c r="AF23" s="615"/>
      <c r="AG23" s="615"/>
      <c r="AH23" s="615"/>
      <c r="AI23" s="615"/>
      <c r="AJ23" s="615"/>
      <c r="AK23" s="615"/>
      <c r="AL23" s="615"/>
      <c r="AM23" s="615"/>
      <c r="AN23" s="615"/>
      <c r="AO23" s="615"/>
      <c r="AP23" s="615"/>
      <c r="AQ23" s="615"/>
      <c r="AR23" s="615"/>
      <c r="AS23" s="615"/>
      <c r="AT23" s="615"/>
      <c r="AU23" s="615"/>
      <c r="AV23" s="615"/>
      <c r="AW23" s="615"/>
      <c r="AX23" s="615"/>
      <c r="AY23" s="615"/>
      <c r="AZ23" s="615"/>
      <c r="BA23" s="615"/>
      <c r="BB23" s="615"/>
      <c r="BC23" s="615"/>
      <c r="BD23" s="615"/>
      <c r="BE23" s="599"/>
      <c r="BF23" s="599"/>
      <c r="BG23" s="599"/>
      <c r="BH23" s="599"/>
      <c r="BI23" s="599"/>
      <c r="BJ23" s="599"/>
      <c r="BK23" s="599"/>
      <c r="BL23" s="599"/>
      <c r="BM23" s="599"/>
      <c r="BN23" s="599"/>
      <c r="BO23" s="599"/>
      <c r="BP23" s="599"/>
      <c r="BQ23" s="599"/>
      <c r="BR23" s="599"/>
      <c r="BS23" s="599"/>
      <c r="BT23" s="599"/>
      <c r="BU23" s="599"/>
      <c r="BV23" s="599"/>
      <c r="BW23" s="599"/>
      <c r="BX23" s="582"/>
      <c r="BY23" s="582"/>
    </row>
    <row customHeight="1" ht="14.625">
      <c r="E24" s="180">
        <v>15</v>
      </c>
      <c r="AA24" s="582"/>
      <c r="AB24" s="1653" t="s">
        <v>1135</v>
      </c>
      <c r="AC24" s="1666" t="s">
        <v>175</v>
      </c>
      <c r="AD24" s="1667"/>
      <c r="AE24" s="1653" t="s">
        <v>413</v>
      </c>
      <c r="AF24" s="432" t="str">
        <f>god-2&amp;" год"</f>
        <v>2025 год</v>
      </c>
      <c r="AG24" s="433" t="str">
        <f>god-2&amp;" год"</f>
        <v>2025 год</v>
      </c>
      <c r="AH24" s="432" t="str">
        <f>god-2&amp;" год"</f>
        <v>2025 год</v>
      </c>
      <c r="AI24" s="330" t="str">
        <f>god-1&amp;" год"</f>
        <v>2026 год</v>
      </c>
      <c r="AJ24" s="329" t="str">
        <f>god&amp;" год"</f>
        <v>2027 год</v>
      </c>
      <c r="AK24" s="329" t="str">
        <f>god+1&amp;" год"</f>
        <v>2028 год</v>
      </c>
      <c r="AL24" s="329" t="str">
        <f>god+2&amp;" год"</f>
        <v>2029 год</v>
      </c>
      <c r="AM24" s="329" t="str">
        <f>god+3&amp;" год"</f>
        <v>2030 год</v>
      </c>
      <c r="AN24" s="329" t="str">
        <f>god+4&amp;" год"</f>
        <v>2031 год</v>
      </c>
      <c r="AO24" s="329" t="str">
        <f>god+5&amp;" год"</f>
        <v>2032 год</v>
      </c>
      <c r="AP24" s="329" t="str">
        <f>god+6&amp;" год"</f>
        <v>2033 год</v>
      </c>
      <c r="AQ24" s="329" t="str">
        <f>god+7&amp;" год"</f>
        <v>2034 год</v>
      </c>
      <c r="AR24" s="329" t="str">
        <f>god+8&amp;" год"</f>
        <v>2035 год</v>
      </c>
      <c r="AS24" s="329" t="str">
        <f>god+9&amp;" год"</f>
        <v>2036 год</v>
      </c>
      <c r="AT24" s="329" t="str">
        <f>god+10&amp;" год"</f>
        <v>2037 год</v>
      </c>
      <c r="AU24" s="329" t="str">
        <f>god+11&amp;" год"</f>
        <v>2038 год</v>
      </c>
      <c r="AV24" s="329" t="str">
        <f>god+12&amp;" год"</f>
        <v>2039 год</v>
      </c>
      <c r="AW24" s="329" t="str">
        <f>god+13&amp;" год"</f>
        <v>2040 год</v>
      </c>
      <c r="AX24" s="329" t="str">
        <f>god+14&amp;" год"</f>
        <v>2041 год</v>
      </c>
      <c r="AY24" s="329" t="str">
        <f>god+15&amp;" год"</f>
        <v>2042 год</v>
      </c>
      <c r="AZ24" s="329" t="str">
        <f>god+16&amp;" год"</f>
        <v>2043 год</v>
      </c>
      <c r="BA24" s="329" t="str">
        <f>god+17&amp;" год"</f>
        <v>2044 год</v>
      </c>
      <c r="BB24" s="329" t="str">
        <f>god+18&amp;" год"</f>
        <v>2045 год</v>
      </c>
      <c r="BC24" s="329" t="str">
        <f>god+19&amp;" год"</f>
        <v>2046 год</v>
      </c>
      <c r="BD24" s="328" t="str">
        <f>god&amp;" год"</f>
        <v>2027 год</v>
      </c>
      <c r="BE24" s="328" t="str">
        <f>god+1&amp;" год"</f>
        <v>2028 год</v>
      </c>
      <c r="BF24" s="328" t="str">
        <f>god+2&amp;" год"</f>
        <v>2029 год</v>
      </c>
      <c r="BG24" s="328" t="str">
        <f>god+3&amp;" год"</f>
        <v>2030 год</v>
      </c>
      <c r="BH24" s="328" t="str">
        <f>god+4&amp;" год"</f>
        <v>2031 год</v>
      </c>
      <c r="BI24" s="328" t="str">
        <f>god+5&amp;" год"</f>
        <v>2032 год</v>
      </c>
      <c r="BJ24" s="328" t="str">
        <f>god+6&amp;" год"</f>
        <v>2033 год</v>
      </c>
      <c r="BK24" s="328" t="str">
        <f>god+7&amp;" год"</f>
        <v>2034 год</v>
      </c>
      <c r="BL24" s="328" t="str">
        <f>god+8&amp;" год"</f>
        <v>2035 год</v>
      </c>
      <c r="BM24" s="328" t="str">
        <f>god+9&amp;" год"</f>
        <v>2036 год</v>
      </c>
      <c r="BN24" s="328" t="str">
        <f>god+10&amp;" год"</f>
        <v>2037 год</v>
      </c>
      <c r="BO24" s="328" t="str">
        <f>god+11&amp;" год"</f>
        <v>2038 год</v>
      </c>
      <c r="BP24" s="328" t="str">
        <f>god+12&amp;" год"</f>
        <v>2039 год</v>
      </c>
      <c r="BQ24" s="328" t="str">
        <f>god+13&amp;" год"</f>
        <v>2040 год</v>
      </c>
      <c r="BR24" s="328" t="str">
        <f>god+14&amp;" год"</f>
        <v>2041 год</v>
      </c>
      <c r="BS24" s="328" t="str">
        <f>god+15&amp;" год"</f>
        <v>2042 год</v>
      </c>
      <c r="BT24" s="328" t="str">
        <f>god+16&amp;" год"</f>
        <v>2043 год</v>
      </c>
      <c r="BU24" s="328" t="str">
        <f>god+17&amp;" год"</f>
        <v>2044 год</v>
      </c>
      <c r="BV24" s="328" t="str">
        <f>god+18&amp;" год"</f>
        <v>2045 год</v>
      </c>
      <c r="BW24" s="328" t="str">
        <f>god+19&amp;" год"</f>
        <v>2046 год</v>
      </c>
      <c r="BX24" s="1596" t="s">
        <v>625</v>
      </c>
      <c r="BY24" s="582"/>
    </row>
    <row customHeight="1" ht="48.75">
      <c r="E25" s="180">
        <v>50</v>
      </c>
      <c r="AA25" s="582"/>
      <c r="AB25" s="1665"/>
      <c r="AC25" s="1668"/>
      <c r="AD25" s="1669"/>
      <c r="AE25" s="1665"/>
      <c r="AF25" s="328" t="s">
        <v>415</v>
      </c>
      <c r="AG25" s="329" t="s">
        <v>626</v>
      </c>
      <c r="AH25" s="328" t="s">
        <v>627</v>
      </c>
      <c r="AI25" s="328" t="s">
        <v>415</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331" t="s">
        <v>416</v>
      </c>
      <c r="AZ25" s="331" t="s">
        <v>416</v>
      </c>
      <c r="BA25" s="331" t="s">
        <v>416</v>
      </c>
      <c r="BB25" s="331" t="s">
        <v>416</v>
      </c>
      <c r="BC25" s="331" t="s">
        <v>416</v>
      </c>
      <c r="BD25" s="424" t="s">
        <v>415</v>
      </c>
      <c r="BE25" s="424" t="s">
        <v>415</v>
      </c>
      <c r="BF25" s="424" t="s">
        <v>415</v>
      </c>
      <c r="BG25" s="424" t="s">
        <v>415</v>
      </c>
      <c r="BH25" s="424" t="s">
        <v>415</v>
      </c>
      <c r="BI25" s="424" t="s">
        <v>415</v>
      </c>
      <c r="BJ25" s="424" t="s">
        <v>415</v>
      </c>
      <c r="BK25" s="424" t="s">
        <v>415</v>
      </c>
      <c r="BL25" s="424" t="s">
        <v>415</v>
      </c>
      <c r="BM25" s="424" t="s">
        <v>415</v>
      </c>
      <c r="BN25" s="424" t="s">
        <v>415</v>
      </c>
      <c r="BO25" s="424" t="s">
        <v>415</v>
      </c>
      <c r="BP25" s="424" t="s">
        <v>415</v>
      </c>
      <c r="BQ25" s="424" t="s">
        <v>415</v>
      </c>
      <c r="BR25" s="424" t="s">
        <v>415</v>
      </c>
      <c r="BS25" s="424" t="s">
        <v>415</v>
      </c>
      <c r="BT25" s="424" t="s">
        <v>415</v>
      </c>
      <c r="BU25" s="424" t="s">
        <v>415</v>
      </c>
      <c r="BV25" s="424" t="s">
        <v>415</v>
      </c>
      <c r="BW25" s="424" t="s">
        <v>415</v>
      </c>
      <c r="BX25" s="1665"/>
      <c r="BY25" s="582"/>
    </row>
    <row customHeight="1" ht="50.25" hidden="1">
      <c r="E26" s="965">
        <v>0</v>
      </c>
      <c r="AA26" s="582"/>
      <c r="AB26" s="618"/>
      <c r="AC26" s="619"/>
      <c r="AD26" s="619"/>
      <c r="AE26" s="61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620"/>
      <c r="BY26" s="582"/>
    </row>
    <row customHeight="1" ht="14.625" hidden="1">
      <c r="E27" s="180">
        <v>15</v>
      </c>
      <c r="F27" s="175" cm="1" t="str">
        <f t="array" ref="F27:F27">X27</f>
        <v>0</v>
      </c>
      <c r="T27" s="753">
        <f>X27&gt;0</f>
        <v>0</v>
      </c>
      <c r="V27" s="175" t="s">
        <v>266</v>
      </c>
      <c r="X27" s="175">
        <v>0</v>
      </c>
      <c r="AB27" s="621" cm="1" t="str">
        <f t="array" ref="AB27:AB27">INDEX('Общие сведения'!$AG$169:$AG$202,MATCH($F27,'Общие сведения'!$Y$169:$Y$202,0))</f>
        <v>Тариф 0 (Теплоснабжение) - </v>
      </c>
      <c r="AC27" s="298"/>
      <c r="AD27" s="298"/>
      <c r="AE27" s="298"/>
      <c r="AF27" s="552">
        <f>AF28+AF34</f>
        <v>0</v>
      </c>
      <c r="AG27" s="552">
        <f>AG28+AG34</f>
        <v>0</v>
      </c>
      <c r="AH27" s="552">
        <f>AH28+AH34</f>
        <v>0</v>
      </c>
      <c r="AI27" s="552">
        <f>AI28+AI34</f>
        <v>0</v>
      </c>
      <c r="AJ27" s="552">
        <f>AJ28+AJ34</f>
        <v>0</v>
      </c>
      <c r="AK27" s="552">
        <f>AK28+AK34</f>
        <v>0</v>
      </c>
      <c r="AL27" s="552">
        <f>AL28+AL34</f>
        <v>0</v>
      </c>
      <c r="AM27" s="552">
        <f>AM28+AM34</f>
        <v>0</v>
      </c>
      <c r="AN27" s="552">
        <f>AN28+AN34</f>
        <v>0</v>
      </c>
      <c r="AO27" s="552">
        <f>AO28+AO34</f>
        <v>0</v>
      </c>
      <c r="AP27" s="552">
        <f>AP28+AP34</f>
        <v>0</v>
      </c>
      <c r="AQ27" s="552">
        <f>AQ28+AQ34</f>
        <v>0</v>
      </c>
      <c r="AR27" s="552">
        <f>AR28+AR34</f>
        <v>0</v>
      </c>
      <c r="AS27" s="552">
        <f>AS28+AS34</f>
        <v>0</v>
      </c>
      <c r="AT27" s="552">
        <f>AT28+AT34</f>
        <v>0</v>
      </c>
      <c r="AU27" s="552">
        <f>AU28+AU34</f>
        <v>0</v>
      </c>
      <c r="AV27" s="552">
        <f>AV28+AV34</f>
        <v>0</v>
      </c>
      <c r="AW27" s="552">
        <f>AW28+AW34</f>
        <v>0</v>
      </c>
      <c r="AX27" s="552">
        <f>AX28+AX34</f>
        <v>0</v>
      </c>
      <c r="AY27" s="552">
        <f>AY28+AY34</f>
        <v>0</v>
      </c>
      <c r="AZ27" s="552">
        <f>AZ28+AZ34</f>
        <v>0</v>
      </c>
      <c r="BA27" s="552">
        <f>BA28+BA34</f>
        <v>0</v>
      </c>
      <c r="BB27" s="552">
        <f>BB28+BB34</f>
        <v>0</v>
      </c>
      <c r="BC27" s="552">
        <f>BC28+BC34</f>
        <v>0</v>
      </c>
      <c r="BD27" s="552">
        <f>BD28+BD34</f>
        <v>0</v>
      </c>
      <c r="BE27" s="552">
        <f>BE28+BE34</f>
        <v>0</v>
      </c>
      <c r="BF27" s="552">
        <f>BF28+BF34</f>
        <v>0</v>
      </c>
      <c r="BG27" s="552">
        <f>BG28+BG34</f>
        <v>0</v>
      </c>
      <c r="BH27" s="552">
        <f>BH28+BH34</f>
        <v>0</v>
      </c>
      <c r="BI27" s="552">
        <f>BI28+BI34</f>
        <v>0</v>
      </c>
      <c r="BJ27" s="552">
        <f>BJ28+BJ34</f>
        <v>0</v>
      </c>
      <c r="BK27" s="552">
        <f>BK28+BK34</f>
        <v>0</v>
      </c>
      <c r="BL27" s="552">
        <f>BL28+BL34</f>
        <v>0</v>
      </c>
      <c r="BM27" s="552">
        <f>BM28+BM34</f>
        <v>0</v>
      </c>
      <c r="BN27" s="552">
        <f>BN28+BN34</f>
        <v>0</v>
      </c>
      <c r="BO27" s="552">
        <f>BO28+BO34</f>
        <v>0</v>
      </c>
      <c r="BP27" s="552">
        <f>BP28+BP34</f>
        <v>0</v>
      </c>
      <c r="BQ27" s="552">
        <f>BQ28+BQ34</f>
        <v>0</v>
      </c>
      <c r="BR27" s="552">
        <f>BR28+BR34</f>
        <v>0</v>
      </c>
      <c r="BS27" s="552">
        <f>BS28+BS34</f>
        <v>0</v>
      </c>
      <c r="BT27" s="552">
        <f>BT28+BT34</f>
        <v>0</v>
      </c>
      <c r="BU27" s="552">
        <f>BU28+BU34</f>
        <v>0</v>
      </c>
      <c r="BV27" s="552">
        <f>BV28+BV34</f>
        <v>0</v>
      </c>
      <c r="BW27" s="552">
        <f>BW28+BW34</f>
        <v>0</v>
      </c>
      <c r="BX27" s="622"/>
    </row>
    <row customHeight="1" ht="14.625" hidden="1">
      <c r="E28" s="180">
        <v>15</v>
      </c>
      <c r="F28" s="175" cm="1" t="str">
        <f t="array" ref="F28:F28">F27</f>
        <v>0</v>
      </c>
      <c r="G28" s="193" t="s">
        <v>1136</v>
      </c>
      <c r="T28" s="753" cm="1" t="str">
        <f t="array" ref="T28:T28">T27</f>
        <v>false</v>
      </c>
      <c r="AB28" s="554">
        <v>1</v>
      </c>
      <c r="AC28" s="555" t="s">
        <v>1137</v>
      </c>
      <c r="AD28" s="555"/>
      <c r="AE28" s="556" t="s">
        <v>917</v>
      </c>
      <c r="AF28" s="587">
        <f>SUMIF($AE29:$AE33,$AE28,AF29:AF33)</f>
        <v>0</v>
      </c>
      <c r="AG28" s="587">
        <f>SUMIF($AE29:$AE33,$AE28,AG29:AG33)</f>
        <v>0</v>
      </c>
      <c r="AH28" s="587">
        <f>SUMIF($AE29:$AE33,$AE28,AH29:AH33)</f>
        <v>0</v>
      </c>
      <c r="AI28" s="587">
        <f>SUMIF($AE29:$AE33,$AE28,AI29:AI33)</f>
        <v>0</v>
      </c>
      <c r="AJ28" s="587">
        <f>SUMIF($AE29:$AE33,$AE28,AJ29:AJ33)</f>
        <v>0</v>
      </c>
      <c r="AK28" s="105">
        <f>SUMIF($AE29:$AE33,$AE28,AK29:AK33)</f>
        <v>0</v>
      </c>
      <c r="AL28" s="105">
        <f>SUMIF($AE29:$AE33,$AE28,AL29:AL33)</f>
        <v>0</v>
      </c>
      <c r="AM28" s="105">
        <f>SUMIF($AE29:$AE33,$AE28,AM29:AM33)</f>
        <v>0</v>
      </c>
      <c r="AN28" s="105">
        <f>SUMIF($AE29:$AE33,$AE28,AN29:AN33)</f>
        <v>0</v>
      </c>
      <c r="AO28" s="105">
        <f>SUMIF($AE29:$AE33,$AE28,AO29:AO33)</f>
        <v>0</v>
      </c>
      <c r="AP28" s="105">
        <f>SUMIF($AE29:$AE33,$AE28,AP29:AP33)</f>
        <v>0</v>
      </c>
      <c r="AQ28" s="105">
        <f>SUMIF($AE29:$AE33,$AE28,AQ29:AQ33)</f>
        <v>0</v>
      </c>
      <c r="AR28" s="105">
        <f>SUMIF($AE29:$AE33,$AE28,AR29:AR33)</f>
        <v>0</v>
      </c>
      <c r="AS28" s="105">
        <f>SUMIF($AE29:$AE33,$AE28,AS29:AS33)</f>
        <v>0</v>
      </c>
      <c r="AT28" s="105">
        <f>SUMIF($AE29:$AE33,$AE28,AT29:AT33)</f>
        <v>0</v>
      </c>
      <c r="AU28" s="105">
        <f>SUMIF($AE29:$AE33,$AE28,AU29:AU33)</f>
        <v>0</v>
      </c>
      <c r="AV28" s="105">
        <f>SUMIF($AE29:$AE33,$AE28,AV29:AV33)</f>
        <v>0</v>
      </c>
      <c r="AW28" s="105">
        <f>SUMIF($AE29:$AE33,$AE28,AW29:AW33)</f>
        <v>0</v>
      </c>
      <c r="AX28" s="105">
        <f>SUMIF($AE29:$AE33,$AE28,AX29:AX33)</f>
        <v>0</v>
      </c>
      <c r="AY28" s="105">
        <f>SUMIF($AE29:$AE33,$AE28,AY29:AY33)</f>
        <v>0</v>
      </c>
      <c r="AZ28" s="105">
        <f>SUMIF($AE29:$AE33,$AE28,AZ29:AZ33)</f>
        <v>0</v>
      </c>
      <c r="BA28" s="105">
        <f>SUMIF($AE29:$AE33,$AE28,BA29:BA33)</f>
        <v>0</v>
      </c>
      <c r="BB28" s="105">
        <f>SUMIF($AE29:$AE33,$AE28,BB29:BB33)</f>
        <v>0</v>
      </c>
      <c r="BC28" s="105">
        <f>SUMIF($AE29:$AE33,$AE28,BC29:BC33)</f>
        <v>0</v>
      </c>
      <c r="BD28" s="587">
        <f>SUMIF($AE29:$AE33,$AE28,BD29:BD33)</f>
        <v>0</v>
      </c>
      <c r="BE28" s="105">
        <f>SUMIF($AE29:$AE33,$AE28,BE29:BE33)</f>
        <v>0</v>
      </c>
      <c r="BF28" s="105">
        <f>SUMIF($AE29:$AE33,$AE28,BF29:BF33)</f>
        <v>0</v>
      </c>
      <c r="BG28" s="105">
        <f>SUMIF($AE29:$AE33,$AE28,BG29:BG33)</f>
        <v>0</v>
      </c>
      <c r="BH28" s="105">
        <f>SUMIF($AE29:$AE33,$AE28,BH29:BH33)</f>
        <v>0</v>
      </c>
      <c r="BI28" s="105">
        <f>SUMIF($AE29:$AE33,$AE28,BI29:BI33)</f>
        <v>0</v>
      </c>
      <c r="BJ28" s="105">
        <f>SUMIF($AE29:$AE33,$AE28,BJ29:BJ33)</f>
        <v>0</v>
      </c>
      <c r="BK28" s="105">
        <f>SUMIF($AE29:$AE33,$AE28,BK29:BK33)</f>
        <v>0</v>
      </c>
      <c r="BL28" s="105">
        <f>SUMIF($AE29:$AE33,$AE28,BL29:BL33)</f>
        <v>0</v>
      </c>
      <c r="BM28" s="105">
        <f>SUMIF($AE29:$AE33,$AE28,BM29:BM33)</f>
        <v>0</v>
      </c>
      <c r="BN28" s="105">
        <f>SUMIF($AE29:$AE33,$AE28,BN29:BN33)</f>
        <v>0</v>
      </c>
      <c r="BO28" s="105">
        <f>SUMIF($AE29:$AE33,$AE28,BO29:BO33)</f>
        <v>0</v>
      </c>
      <c r="BP28" s="105">
        <f>SUMIF($AE29:$AE33,$AE28,BP29:BP33)</f>
        <v>0</v>
      </c>
      <c r="BQ28" s="105">
        <f>SUMIF($AE29:$AE33,$AE28,BQ29:BQ33)</f>
        <v>0</v>
      </c>
      <c r="BR28" s="105">
        <f>SUMIF($AE29:$AE33,$AE28,BR29:BR33)</f>
        <v>0</v>
      </c>
      <c r="BS28" s="105">
        <f>SUMIF($AE29:$AE33,$AE28,BS29:BS33)</f>
        <v>0</v>
      </c>
      <c r="BT28" s="105">
        <f>SUMIF($AE29:$AE33,$AE28,BT29:BT33)</f>
        <v>0</v>
      </c>
      <c r="BU28" s="105">
        <f>SUMIF($AE29:$AE33,$AE28,BU29:BU33)</f>
        <v>0</v>
      </c>
      <c r="BV28" s="105">
        <f>SUMIF($AE29:$AE33,$AE28,BV29:BV33)</f>
        <v>0</v>
      </c>
      <c r="BW28" s="105">
        <f>SUMIF($AE29:$AE33,$AE28,BW29:BW33)</f>
        <v>0</v>
      </c>
      <c r="BX28" s="83"/>
      <c r="CA28" s="489" t="s">
        <v>1138</v>
      </c>
      <c r="CH28" s="1501" cm="1" t="str">
        <f t="array" ref="CH28:CH28">INDEX('Общие сведения'!$N$170:$N$202,MATCH($F28,'Общие сведения'!$Y$170:$Y$202,0)+1)</f>
        <v>0</v>
      </c>
      <c r="CI28" s="1501" t="s">
        <v>1139</v>
      </c>
      <c r="CJ28" s="1501"/>
      <c r="CK28" s="1501"/>
      <c r="CL28" s="1501" t="s">
        <v>303</v>
      </c>
      <c r="CM28" s="1501" t="s">
        <v>1044</v>
      </c>
      <c r="CN28" s="1501" t="s">
        <v>1045</v>
      </c>
    </row>
    <row customHeight="1" ht="18.75" hidden="1">
      <c r="E29" s="180">
        <v>0</v>
      </c>
      <c r="F29" s="175" cm="1" t="str">
        <f t="array" ref="F29:F29">F28</f>
        <v>0</v>
      </c>
      <c r="T29" s="753" cm="1" t="str">
        <f t="array" ref="T29:T29">T28</f>
        <v>false</v>
      </c>
      <c r="AB29" s="554"/>
      <c r="AC29" s="555"/>
      <c r="AD29" s="555"/>
      <c r="AE29" s="556"/>
      <c r="AF29" s="596"/>
      <c r="AG29" s="596"/>
      <c r="AH29" s="596"/>
      <c r="AI29" s="596"/>
      <c r="AJ29" s="596"/>
      <c r="AK29" s="596"/>
      <c r="AL29" s="596"/>
      <c r="AM29" s="596"/>
      <c r="AN29" s="596"/>
      <c r="AO29" s="596"/>
      <c r="AP29" s="596"/>
      <c r="AQ29" s="596"/>
      <c r="AR29" s="596"/>
      <c r="AS29" s="596"/>
      <c r="AT29" s="596"/>
      <c r="AU29" s="596"/>
      <c r="AV29" s="596"/>
      <c r="AW29" s="596"/>
      <c r="AX29" s="596"/>
      <c r="AY29" s="596"/>
      <c r="AZ29" s="596"/>
      <c r="BA29" s="596"/>
      <c r="BB29" s="596"/>
      <c r="BC29" s="596"/>
      <c r="BD29" s="596"/>
      <c r="BE29" s="596"/>
      <c r="BF29" s="596"/>
      <c r="BG29" s="596"/>
      <c r="BH29" s="596"/>
      <c r="BI29" s="596"/>
      <c r="BJ29" s="596"/>
      <c r="BK29" s="596"/>
      <c r="BL29" s="596"/>
      <c r="BM29" s="596"/>
      <c r="BN29" s="596"/>
      <c r="BO29" s="596"/>
      <c r="BP29" s="596"/>
      <c r="BQ29" s="596"/>
      <c r="BR29" s="596"/>
      <c r="BS29" s="596"/>
      <c r="BT29" s="596"/>
      <c r="BU29" s="596"/>
      <c r="BV29" s="596"/>
      <c r="BW29" s="596"/>
      <c r="BX29" s="597"/>
      <c r="CA29" s="489" t="str">
        <f>IF(AND(ISNUMBER(VALUE(TRIM(SUBSTITUTE(AB29,".","")))),TRIM(SUBSTITUTE(AB29,".",""))&lt;&gt;""),"P"&amp;SUBSTITUTE(AB29,".",""),"")</f>
        <v/>
      </c>
      <c r="CH29" s="1501" cm="1" t="str">
        <f t="array" ref="CH29:CH29">OFFSET(CI29,-1,-1)</f>
        <v>0</v>
      </c>
      <c r="CI29" s="1501"/>
      <c r="CJ29" s="1501"/>
      <c r="CK29" s="1501"/>
      <c r="CL29" s="1501"/>
      <c r="CM29" s="1501"/>
      <c r="CN29" s="1501"/>
    </row>
    <row customHeight="1" ht="14.625" hidden="1">
      <c r="A30" s="978" t="str">
        <f>"checkCosts_1."&amp;F30&amp;"."&amp;Y30</f>
        <v>checkCosts_1.0.0</v>
      </c>
      <c r="E30" s="180">
        <v>15</v>
      </c>
      <c r="F30" s="175" cm="1" t="str">
        <f t="array" ref="F30:F30">OFFSET(G30,-1,-1)</f>
        <v>0</v>
      </c>
      <c r="H30" s="193" cm="1" t="str">
        <f t="array" ref="H30:H30">AC30</f>
        <v>0</v>
      </c>
      <c r="T30" s="973">
        <f>AND(F30&gt;0,Y30&gt;0)</f>
        <v>0</v>
      </c>
      <c r="W30" s="175" t="s">
        <v>189</v>
      </c>
      <c r="Y30" s="175">
        <v>0</v>
      </c>
      <c r="AA30" s="1660" t="s">
        <v>171</v>
      </c>
      <c r="AB30" s="360" t="str">
        <f>"1."&amp;Y30</f>
        <v>1.0</v>
      </c>
      <c r="AC30" s="322"/>
      <c r="AD30" s="111"/>
      <c r="AE30" s="556" t="s">
        <v>917</v>
      </c>
      <c r="AF30" s="71">
        <f>AF31*AF32</f>
        <v>0</v>
      </c>
      <c r="AG30" s="71"/>
      <c r="AH30" s="71"/>
      <c r="AI30" s="71">
        <f>AI31*AI32</f>
        <v>0</v>
      </c>
      <c r="AJ30" s="353"/>
      <c r="AK30" s="71"/>
      <c r="AL30" s="71"/>
      <c r="AM30" s="71"/>
      <c r="AN30" s="71"/>
      <c r="AO30" s="71"/>
      <c r="AP30" s="71"/>
      <c r="AQ30" s="71"/>
      <c r="AR30" s="71"/>
      <c r="AS30" s="71"/>
      <c r="AT30" s="71"/>
      <c r="AU30" s="71"/>
      <c r="AV30" s="71"/>
      <c r="AW30" s="71"/>
      <c r="AX30" s="71"/>
      <c r="AY30" s="71"/>
      <c r="AZ30" s="71"/>
      <c r="BA30" s="71"/>
      <c r="BB30" s="71"/>
      <c r="BC30" s="71"/>
      <c r="BD30" s="353">
        <f>BD31*BD32</f>
        <v>0</v>
      </c>
      <c r="BE30" s="71">
        <f>BE31*BE32</f>
        <v>0</v>
      </c>
      <c r="BF30" s="71">
        <f>BF31*BF32</f>
        <v>0</v>
      </c>
      <c r="BG30" s="71">
        <f>BG31*BG32</f>
        <v>0</v>
      </c>
      <c r="BH30" s="71">
        <f>BH31*BH32</f>
        <v>0</v>
      </c>
      <c r="BI30" s="71">
        <f>BI31*BI32</f>
        <v>0</v>
      </c>
      <c r="BJ30" s="71">
        <f>BJ31*BJ32</f>
        <v>0</v>
      </c>
      <c r="BK30" s="71">
        <f>BK31*BK32</f>
        <v>0</v>
      </c>
      <c r="BL30" s="71">
        <f>BL31*BL32</f>
        <v>0</v>
      </c>
      <c r="BM30" s="71">
        <f>BM31*BM32</f>
        <v>0</v>
      </c>
      <c r="BN30" s="71">
        <f>BN31*BN32</f>
        <v>0</v>
      </c>
      <c r="BO30" s="71">
        <f>BO31*BO32</f>
        <v>0</v>
      </c>
      <c r="BP30" s="71">
        <f>BP31*BP32</f>
        <v>0</v>
      </c>
      <c r="BQ30" s="71">
        <f>BQ31*BQ32</f>
        <v>0</v>
      </c>
      <c r="BR30" s="71">
        <f>BR31*BR32</f>
        <v>0</v>
      </c>
      <c r="BS30" s="71">
        <f>BS31*BS32</f>
        <v>0</v>
      </c>
      <c r="BT30" s="71">
        <f>BT31*BT32</f>
        <v>0</v>
      </c>
      <c r="BU30" s="71">
        <f>BU31*BU32</f>
        <v>0</v>
      </c>
      <c r="BV30" s="71">
        <f>BV31*BV32</f>
        <v>0</v>
      </c>
      <c r="BW30" s="71">
        <f>BW31*BW32</f>
        <v>0</v>
      </c>
      <c r="BX30" s="83"/>
      <c r="CA30" s="489" t="s">
        <v>1140</v>
      </c>
      <c r="CB30" s="489" t="s">
        <v>1141</v>
      </c>
      <c r="CC30" s="489" cm="1" t="str">
        <f t="array" ref="CC30:CC30">AC30</f>
        <v>0</v>
      </c>
      <c r="CD30" s="489" cm="1" t="str">
        <f t="array" ref="CD30:CD30">AD30</f>
        <v>0</v>
      </c>
      <c r="CF30" s="546" t="b">
        <v>1</v>
      </c>
      <c r="CH30" s="1501" cm="1" t="str">
        <f t="array" ref="CH30:CH30">OFFSET(CI30,-1,-1)</f>
        <v>0</v>
      </c>
      <c r="CI30" s="1501" t="s">
        <v>1139</v>
      </c>
      <c r="CJ30" s="1501" t="s">
        <v>219</v>
      </c>
      <c r="CK30" s="1501" cm="1" t="str">
        <f t="array" ref="CK30:CK30">$AC30</f>
        <v>0</v>
      </c>
      <c r="CL30" s="1501" t="s">
        <v>303</v>
      </c>
      <c r="CM30" s="1501" t="s">
        <v>1142</v>
      </c>
      <c r="CN30" s="1501" t="s">
        <v>1143</v>
      </c>
    </row>
    <row customHeight="1" ht="14.625" hidden="1">
      <c r="E31" s="180">
        <v>15</v>
      </c>
      <c r="F31" s="175" cm="1" t="str">
        <f t="array" ref="F31:F31">F29</f>
        <v>0</v>
      </c>
      <c r="H31" s="193" cm="1" t="str">
        <f t="array" ref="H31:H31">H30</f>
        <v>0</v>
      </c>
      <c r="T31" s="973" cm="1" t="str">
        <f t="array" ref="T31:T31">T30</f>
        <v>false</v>
      </c>
      <c r="AA31" s="1661"/>
      <c r="AB31" s="360" t="str">
        <f>AB30&amp;".1"</f>
        <v>1.0.1</v>
      </c>
      <c r="AC31" s="624" t="s">
        <v>1063</v>
      </c>
      <c r="AD31" s="624"/>
      <c r="AE31" s="320" t="s">
        <v>1144</v>
      </c>
      <c r="AF31" s="71"/>
      <c r="AG31" s="625">
        <f>IF(AG32=0,0,AG30/AG32)</f>
        <v>0</v>
      </c>
      <c r="AH31" s="625">
        <f>IF(AH32=0,0,AH30/AH32)</f>
        <v>0</v>
      </c>
      <c r="AI31" s="71"/>
      <c r="AJ31" s="625">
        <f>IF(AJ32=0,0,AJ30/AJ32)</f>
        <v>0</v>
      </c>
      <c r="AK31" s="625">
        <f>IF(AK32=0,0,AK30/AK32)</f>
        <v>0</v>
      </c>
      <c r="AL31" s="625">
        <f>IF(AL32=0,0,AL30/AL32)</f>
        <v>0</v>
      </c>
      <c r="AM31" s="625">
        <f>IF(AM32=0,0,AM30/AM32)</f>
        <v>0</v>
      </c>
      <c r="AN31" s="625">
        <f>IF(AN32=0,0,AN30/AN32)</f>
        <v>0</v>
      </c>
      <c r="AO31" s="625">
        <f>IF(AO32=0,0,AO30/AO32)</f>
        <v>0</v>
      </c>
      <c r="AP31" s="625">
        <f>IF(AP32=0,0,AP30/AP32)</f>
        <v>0</v>
      </c>
      <c r="AQ31" s="625">
        <f>IF(AQ32=0,0,AQ30/AQ32)</f>
        <v>0</v>
      </c>
      <c r="AR31" s="625">
        <f>IF(AR32=0,0,AR30/AR32)</f>
        <v>0</v>
      </c>
      <c r="AS31" s="625">
        <f>IF(AS32=0,0,AS30/AS32)</f>
        <v>0</v>
      </c>
      <c r="AT31" s="625">
        <f>IF(AT32=0,0,AT30/AT32)</f>
        <v>0</v>
      </c>
      <c r="AU31" s="625">
        <f>IF(AU32=0,0,AU30/AU32)</f>
        <v>0</v>
      </c>
      <c r="AV31" s="625">
        <f>IF(AV32=0,0,AV30/AV32)</f>
        <v>0</v>
      </c>
      <c r="AW31" s="625">
        <f>IF(AW32=0,0,AW30/AW32)</f>
        <v>0</v>
      </c>
      <c r="AX31" s="625">
        <f>IF(AX32=0,0,AX30/AX32)</f>
        <v>0</v>
      </c>
      <c r="AY31" s="625">
        <f>IF(AY32=0,0,AY30/AY32)</f>
        <v>0</v>
      </c>
      <c r="AZ31" s="625">
        <f>IF(AZ32=0,0,AZ30/AZ32)</f>
        <v>0</v>
      </c>
      <c r="BA31" s="625">
        <f>IF(BA32=0,0,BA30/BA32)</f>
        <v>0</v>
      </c>
      <c r="BB31" s="625">
        <f>IF(BB32=0,0,BB30/BB32)</f>
        <v>0</v>
      </c>
      <c r="BC31" s="625">
        <f>IF(BC32=0,0,BC30/BC32)</f>
        <v>0</v>
      </c>
      <c r="BD31" s="353"/>
      <c r="BE31" s="71"/>
      <c r="BF31" s="71"/>
      <c r="BG31" s="71"/>
      <c r="BH31" s="71"/>
      <c r="BI31" s="71"/>
      <c r="BJ31" s="71"/>
      <c r="BK31" s="71"/>
      <c r="BL31" s="71"/>
      <c r="BM31" s="71"/>
      <c r="BN31" s="71"/>
      <c r="BO31" s="71"/>
      <c r="BP31" s="71"/>
      <c r="BQ31" s="71"/>
      <c r="BR31" s="71"/>
      <c r="BS31" s="71"/>
      <c r="BT31" s="71"/>
      <c r="BU31" s="71"/>
      <c r="BV31" s="71"/>
      <c r="BW31" s="71"/>
      <c r="BX31" s="83"/>
      <c r="CA31" s="489" t="s">
        <v>1145</v>
      </c>
      <c r="CB31" s="489" t="s">
        <v>1141</v>
      </c>
      <c r="CC31" s="489" cm="1" t="str">
        <f t="array" ref="CC31:CC31">CC30</f>
        <v>0</v>
      </c>
      <c r="CD31" s="489" cm="1" t="str">
        <f t="array" ref="CD31:CD31">CD30</f>
        <v>0</v>
      </c>
      <c r="CH31" s="1501" cm="1" t="str">
        <f t="array" ref="CH31:CH31">CH30</f>
        <v>0</v>
      </c>
      <c r="CI31" s="1501" t="s">
        <v>1139</v>
      </c>
      <c r="CJ31" s="1501" t="s">
        <v>255</v>
      </c>
      <c r="CK31" s="1501" cm="1" t="str">
        <f t="array" ref="CK31:CK31">CK30</f>
        <v>0</v>
      </c>
      <c r="CL31" s="1501" t="s">
        <v>303</v>
      </c>
      <c r="CM31" s="1501" t="s">
        <v>1146</v>
      </c>
      <c r="CN31" s="1501" t="s">
        <v>1147</v>
      </c>
    </row>
    <row customHeight="1" ht="14.625" hidden="1">
      <c r="A32" s="978" t="str">
        <f>"checkVolume_1."&amp;F32&amp;"."&amp;Y30</f>
        <v>checkVolume_1.0.0</v>
      </c>
      <c r="E32" s="180">
        <v>15</v>
      </c>
      <c r="F32" s="175" cm="1" t="str">
        <f t="array" ref="F32:F32">F30</f>
        <v>0</v>
      </c>
      <c r="H32" s="193" cm="1" t="str">
        <f t="array" ref="H32:H32">H30</f>
        <v>0</v>
      </c>
      <c r="T32" s="973" cm="1" t="str">
        <f t="array" ref="T32:T32">T30</f>
        <v>false</v>
      </c>
      <c r="AA32" s="1661"/>
      <c r="AB32" s="360" t="str">
        <f>AB30&amp;".2"</f>
        <v>1.0.2</v>
      </c>
      <c r="AC32" s="624" t="s">
        <v>1148</v>
      </c>
      <c r="AD32" s="624"/>
      <c r="AE32" s="320" t="s">
        <v>1149</v>
      </c>
      <c r="AF32" s="71"/>
      <c r="AG32" s="71"/>
      <c r="AH32" s="71"/>
      <c r="AI32" s="71"/>
      <c r="AJ32" s="353"/>
      <c r="AK32" s="71"/>
      <c r="AL32" s="71"/>
      <c r="AM32" s="71"/>
      <c r="AN32" s="71"/>
      <c r="AO32" s="71"/>
      <c r="AP32" s="71"/>
      <c r="AQ32" s="71"/>
      <c r="AR32" s="71"/>
      <c r="AS32" s="71"/>
      <c r="AT32" s="71"/>
      <c r="AU32" s="71"/>
      <c r="AV32" s="71"/>
      <c r="AW32" s="71"/>
      <c r="AX32" s="71"/>
      <c r="AY32" s="71"/>
      <c r="AZ32" s="71"/>
      <c r="BA32" s="71"/>
      <c r="BB32" s="71"/>
      <c r="BC32" s="71"/>
      <c r="BD32" s="353"/>
      <c r="BE32" s="71"/>
      <c r="BF32" s="71"/>
      <c r="BG32" s="71"/>
      <c r="BH32" s="71"/>
      <c r="BI32" s="71"/>
      <c r="BJ32" s="71"/>
      <c r="BK32" s="71"/>
      <c r="BL32" s="71"/>
      <c r="BM32" s="71"/>
      <c r="BN32" s="71"/>
      <c r="BO32" s="71"/>
      <c r="BP32" s="71"/>
      <c r="BQ32" s="71"/>
      <c r="BR32" s="71"/>
      <c r="BS32" s="71"/>
      <c r="BT32" s="71"/>
      <c r="BU32" s="71"/>
      <c r="BV32" s="71"/>
      <c r="BW32" s="71"/>
      <c r="BX32" s="83"/>
      <c r="CA32" s="489" t="s">
        <v>1150</v>
      </c>
      <c r="CB32" s="489" t="s">
        <v>1141</v>
      </c>
      <c r="CC32" s="489" cm="1" t="str">
        <f t="array" ref="CC32:CC32">CC30</f>
        <v>0</v>
      </c>
      <c r="CD32" s="489" cm="1" t="str">
        <f t="array" ref="CD32:CD32">CD31</f>
        <v>0</v>
      </c>
      <c r="CH32" s="1501" cm="1" t="str">
        <f t="array" ref="CH32:CH32">CH31</f>
        <v>0</v>
      </c>
      <c r="CI32" s="1501" t="s">
        <v>1139</v>
      </c>
      <c r="CJ32" s="1501" t="s">
        <v>449</v>
      </c>
      <c r="CK32" s="1501" cm="1" t="str">
        <f t="array" ref="CK32:CK32">CK31</f>
        <v>0</v>
      </c>
      <c r="CL32" s="1501" t="s">
        <v>303</v>
      </c>
      <c r="CM32" s="1501" t="s">
        <v>1151</v>
      </c>
      <c r="CN32" s="1501" t="s">
        <v>1152</v>
      </c>
    </row>
    <row customHeight="1" ht="14.625" hidden="1">
      <c r="E33" s="180">
        <v>15</v>
      </c>
      <c r="F33" s="175" cm="1" t="str">
        <f t="array" ref="F33:F33">F29</f>
        <v>0</v>
      </c>
      <c r="T33" s="753">
        <f>F33&gt;0</f>
        <v>0</v>
      </c>
      <c r="W33" s="176" t="s">
        <v>1153</v>
      </c>
      <c r="AB33" s="405"/>
      <c r="AC33" s="407" t="s">
        <v>1111</v>
      </c>
      <c r="AD33" s="407"/>
      <c r="AE33" s="407"/>
      <c r="AF33" s="407"/>
      <c r="AG33" s="407"/>
      <c r="AH33" s="407"/>
      <c r="AI33" s="407"/>
      <c r="AJ33" s="407"/>
      <c r="AK33" s="407"/>
      <c r="AL33" s="407"/>
      <c r="AM33" s="407"/>
      <c r="AN33" s="407"/>
      <c r="AO33" s="407"/>
      <c r="AP33" s="407"/>
      <c r="AQ33" s="407"/>
      <c r="AR33" s="407"/>
      <c r="AS33" s="407"/>
      <c r="AT33" s="407"/>
      <c r="AU33" s="407"/>
      <c r="AV33" s="407"/>
      <c r="AW33" s="407"/>
      <c r="AX33" s="407"/>
      <c r="AY33" s="407"/>
      <c r="AZ33" s="407"/>
      <c r="BA33" s="407"/>
      <c r="BB33" s="407"/>
      <c r="BC33" s="407"/>
      <c r="BD33" s="407"/>
      <c r="BE33" s="407"/>
      <c r="BF33" s="407"/>
      <c r="BG33" s="407"/>
      <c r="BH33" s="407"/>
      <c r="BI33" s="407"/>
      <c r="BJ33" s="407"/>
      <c r="BK33" s="407"/>
      <c r="BL33" s="407"/>
      <c r="BM33" s="407"/>
      <c r="BN33" s="407"/>
      <c r="BO33" s="407"/>
      <c r="BP33" s="407"/>
      <c r="BQ33" s="407"/>
      <c r="BR33" s="407"/>
      <c r="BS33" s="407"/>
      <c r="BT33" s="407"/>
      <c r="BU33" s="407"/>
      <c r="BV33" s="407"/>
      <c r="BW33" s="407"/>
      <c r="BX33" s="610"/>
      <c r="CA33" s="489" t="str">
        <f>IF(AND(ISNUMBER(VALUE(TRIM(SUBSTITUTE(AB33,".","")))),TRIM(SUBSTITUTE(AB33,".",""))&lt;&gt;""),"P"&amp;SUBSTITUTE(AB33,".",""),"")</f>
        <v/>
      </c>
      <c r="CE33" s="546" t="s">
        <v>1141</v>
      </c>
      <c r="CH33" s="1501" cm="1" t="str">
        <f t="array" ref="CH33:CH33">OFFSET(CI33,-1,-1)</f>
        <v>0</v>
      </c>
      <c r="CI33" s="1501"/>
      <c r="CJ33" s="1501"/>
      <c r="CK33" s="1501"/>
      <c r="CL33" s="1501"/>
      <c r="CM33" s="1501"/>
      <c r="CN33" s="1501"/>
    </row>
    <row customHeight="1" ht="14.625" hidden="1">
      <c r="E34" s="180">
        <v>15</v>
      </c>
      <c r="F34" s="175" cm="1" t="str">
        <f t="array" ref="F34:F34">F33</f>
        <v>0</v>
      </c>
      <c r="G34" s="193" t="s">
        <v>1154</v>
      </c>
      <c r="T34" s="753">
        <f>F34&gt;0</f>
        <v>0</v>
      </c>
      <c r="AB34" s="554">
        <v>2</v>
      </c>
      <c r="AC34" s="555" t="s">
        <v>1155</v>
      </c>
      <c r="AD34" s="555"/>
      <c r="AE34" s="556" t="s">
        <v>917</v>
      </c>
      <c r="AF34" s="587">
        <f>SUMIF($AE35:$AE39,$AE34,AF35:AF39)</f>
        <v>0</v>
      </c>
      <c r="AG34" s="587">
        <f>SUMIF($AE35:$AE39,$AE34,AG35:AG39)</f>
        <v>0</v>
      </c>
      <c r="AH34" s="587">
        <f>SUMIF($AE35:$AE39,$AE34,AH35:AH39)</f>
        <v>0</v>
      </c>
      <c r="AI34" s="587">
        <f>SUMIF($AE35:$AE39,$AE34,AI35:AI39)</f>
        <v>0</v>
      </c>
      <c r="AJ34" s="587">
        <f>SUMIF($AE35:$AE39,$AE34,AJ35:AJ39)</f>
        <v>0</v>
      </c>
      <c r="AK34" s="105">
        <f>SUMIF($AE35:$AE39,$AE34,AK35:AK39)</f>
        <v>0</v>
      </c>
      <c r="AL34" s="105">
        <f>SUMIF($AE35:$AE39,$AE34,AL35:AL39)</f>
        <v>0</v>
      </c>
      <c r="AM34" s="105">
        <f>SUMIF($AE35:$AE39,$AE34,AM35:AM39)</f>
        <v>0</v>
      </c>
      <c r="AN34" s="105">
        <f>SUMIF($AE35:$AE39,$AE34,AN35:AN39)</f>
        <v>0</v>
      </c>
      <c r="AO34" s="105">
        <f>SUMIF($AE35:$AE39,$AE34,AO35:AO39)</f>
        <v>0</v>
      </c>
      <c r="AP34" s="105">
        <f>SUMIF($AE35:$AE39,$AE34,AP35:AP39)</f>
        <v>0</v>
      </c>
      <c r="AQ34" s="105">
        <f>SUMIF($AE35:$AE39,$AE34,AQ35:AQ39)</f>
        <v>0</v>
      </c>
      <c r="AR34" s="105">
        <f>SUMIF($AE35:$AE39,$AE34,AR35:AR39)</f>
        <v>0</v>
      </c>
      <c r="AS34" s="105">
        <f>SUMIF($AE35:$AE39,$AE34,AS35:AS39)</f>
        <v>0</v>
      </c>
      <c r="AT34" s="105">
        <f>SUMIF($AE35:$AE39,$AE34,AT35:AT39)</f>
        <v>0</v>
      </c>
      <c r="AU34" s="105">
        <f>SUMIF($AE35:$AE39,$AE34,AU35:AU39)</f>
        <v>0</v>
      </c>
      <c r="AV34" s="105">
        <f>SUMIF($AE35:$AE39,$AE34,AV35:AV39)</f>
        <v>0</v>
      </c>
      <c r="AW34" s="105">
        <f>SUMIF($AE35:$AE39,$AE34,AW35:AW39)</f>
        <v>0</v>
      </c>
      <c r="AX34" s="105">
        <f>SUMIF($AE35:$AE39,$AE34,AX35:AX39)</f>
        <v>0</v>
      </c>
      <c r="AY34" s="105">
        <f>SUMIF($AE35:$AE39,$AE34,AY35:AY39)</f>
        <v>0</v>
      </c>
      <c r="AZ34" s="105">
        <f>SUMIF($AE35:$AE39,$AE34,AZ35:AZ39)</f>
        <v>0</v>
      </c>
      <c r="BA34" s="105">
        <f>SUMIF($AE35:$AE39,$AE34,BA35:BA39)</f>
        <v>0</v>
      </c>
      <c r="BB34" s="105">
        <f>SUMIF($AE35:$AE39,$AE34,BB35:BB39)</f>
        <v>0</v>
      </c>
      <c r="BC34" s="105">
        <f>SUMIF($AE35:$AE39,$AE34,BC35:BC39)</f>
        <v>0</v>
      </c>
      <c r="BD34" s="587">
        <f>SUMIF($AE35:$AE39,$AE34,BD35:BD39)</f>
        <v>0</v>
      </c>
      <c r="BE34" s="105">
        <f>SUMIF($AE35:$AE39,$AE34,BE35:BE39)</f>
        <v>0</v>
      </c>
      <c r="BF34" s="105">
        <f>SUMIF($AE35:$AE39,$AE34,BF35:BF39)</f>
        <v>0</v>
      </c>
      <c r="BG34" s="105">
        <f>SUMIF($AE35:$AE39,$AE34,BG35:BG39)</f>
        <v>0</v>
      </c>
      <c r="BH34" s="105">
        <f>SUMIF($AE35:$AE39,$AE34,BH35:BH39)</f>
        <v>0</v>
      </c>
      <c r="BI34" s="105">
        <f>SUMIF($AE35:$AE39,$AE34,BI35:BI39)</f>
        <v>0</v>
      </c>
      <c r="BJ34" s="105">
        <f>SUMIF($AE35:$AE39,$AE34,BJ35:BJ39)</f>
        <v>0</v>
      </c>
      <c r="BK34" s="105">
        <f>SUMIF($AE35:$AE39,$AE34,BK35:BK39)</f>
        <v>0</v>
      </c>
      <c r="BL34" s="105">
        <f>SUMIF($AE35:$AE39,$AE34,BL35:BL39)</f>
        <v>0</v>
      </c>
      <c r="BM34" s="105">
        <f>SUMIF($AE35:$AE39,$AE34,BM35:BM39)</f>
        <v>0</v>
      </c>
      <c r="BN34" s="105">
        <f>SUMIF($AE35:$AE39,$AE34,BN35:BN39)</f>
        <v>0</v>
      </c>
      <c r="BO34" s="105">
        <f>SUMIF($AE35:$AE39,$AE34,BO35:BO39)</f>
        <v>0</v>
      </c>
      <c r="BP34" s="105">
        <f>SUMIF($AE35:$AE39,$AE34,BP35:BP39)</f>
        <v>0</v>
      </c>
      <c r="BQ34" s="105">
        <f>SUMIF($AE35:$AE39,$AE34,BQ35:BQ39)</f>
        <v>0</v>
      </c>
      <c r="BR34" s="105">
        <f>SUMIF($AE35:$AE39,$AE34,BR35:BR39)</f>
        <v>0</v>
      </c>
      <c r="BS34" s="105">
        <f>SUMIF($AE35:$AE39,$AE34,BS35:BS39)</f>
        <v>0</v>
      </c>
      <c r="BT34" s="105">
        <f>SUMIF($AE35:$AE39,$AE34,BT35:BT39)</f>
        <v>0</v>
      </c>
      <c r="BU34" s="105">
        <f>SUMIF($AE35:$AE39,$AE34,BU35:BU39)</f>
        <v>0</v>
      </c>
      <c r="BV34" s="105">
        <f>SUMIF($AE35:$AE39,$AE34,BV35:BV39)</f>
        <v>0</v>
      </c>
      <c r="BW34" s="105">
        <f>SUMIF($AE35:$AE39,$AE34,BW35:BW39)</f>
        <v>0</v>
      </c>
      <c r="BX34" s="83"/>
      <c r="CA34" s="489" t="s">
        <v>1156</v>
      </c>
      <c r="CH34" s="1501" cm="1" t="str">
        <f t="array" ref="CH34:CH34">OFFSET(CI34,-1,-1)</f>
        <v>0</v>
      </c>
      <c r="CI34" s="1501" t="s">
        <v>1157</v>
      </c>
      <c r="CJ34" s="1501"/>
      <c r="CK34" s="1501"/>
      <c r="CL34" s="1501" t="s">
        <v>303</v>
      </c>
      <c r="CM34" s="1501" t="s">
        <v>1044</v>
      </c>
      <c r="CN34" s="1501" t="s">
        <v>1045</v>
      </c>
    </row>
    <row customHeight="1" ht="18.75" hidden="1">
      <c r="E35" s="180">
        <v>0</v>
      </c>
      <c r="F35" s="175" cm="1" t="str">
        <f t="array" ref="F35:F35">OFFSET(G35,-1,-1)</f>
        <v>0</v>
      </c>
      <c r="T35" s="753">
        <f>F35&gt;0</f>
        <v>0</v>
      </c>
      <c r="AB35" s="554"/>
      <c r="AC35" s="555"/>
      <c r="AD35" s="555"/>
      <c r="AE35" s="556"/>
      <c r="AF35" s="596"/>
      <c r="AG35" s="596"/>
      <c r="AH35" s="596"/>
      <c r="AI35" s="596"/>
      <c r="AJ35" s="596"/>
      <c r="AK35" s="596"/>
      <c r="AL35" s="596"/>
      <c r="AM35" s="596"/>
      <c r="AN35" s="596"/>
      <c r="AO35" s="596"/>
      <c r="AP35" s="596"/>
      <c r="AQ35" s="596"/>
      <c r="AR35" s="596"/>
      <c r="AS35" s="596"/>
      <c r="AT35" s="596"/>
      <c r="AU35" s="596"/>
      <c r="AV35" s="596"/>
      <c r="AW35" s="596"/>
      <c r="AX35" s="596"/>
      <c r="AY35" s="596"/>
      <c r="AZ35" s="596"/>
      <c r="BA35" s="596"/>
      <c r="BB35" s="596"/>
      <c r="BC35" s="596"/>
      <c r="BD35" s="596"/>
      <c r="BE35" s="596"/>
      <c r="BF35" s="596"/>
      <c r="BG35" s="596"/>
      <c r="BH35" s="596"/>
      <c r="BI35" s="596"/>
      <c r="BJ35" s="596"/>
      <c r="BK35" s="596"/>
      <c r="BL35" s="596"/>
      <c r="BM35" s="596"/>
      <c r="BN35" s="596"/>
      <c r="BO35" s="596"/>
      <c r="BP35" s="596"/>
      <c r="BQ35" s="596"/>
      <c r="BR35" s="596"/>
      <c r="BS35" s="596"/>
      <c r="BT35" s="596"/>
      <c r="BU35" s="596"/>
      <c r="BV35" s="596"/>
      <c r="BW35" s="596"/>
      <c r="BX35" s="597"/>
      <c r="CA35" s="489" t="str">
        <f>IF(AND(ISNUMBER(VALUE(TRIM(SUBSTITUTE(AB35,".","")))),TRIM(SUBSTITUTE(AB35,".",""))&lt;&gt;""),"P"&amp;SUBSTITUTE(AB35,".",""),"")</f>
        <v/>
      </c>
      <c r="CH35" s="1501" cm="1" t="str">
        <f t="array" ref="CH35:CH35">OFFSET(CI35,-1,-1)</f>
        <v>0</v>
      </c>
      <c r="CI35" s="1501"/>
      <c r="CJ35" s="1501"/>
      <c r="CK35" s="1501"/>
      <c r="CL35" s="1501"/>
      <c r="CM35" s="1501"/>
      <c r="CN35" s="1501"/>
    </row>
    <row customHeight="1" ht="14.625" hidden="1">
      <c r="A36" s="978" t="str">
        <f>"checkCosts_2."&amp;F36&amp;"."&amp;Y36</f>
        <v>checkCosts_2.0.0</v>
      </c>
      <c r="E36" s="180">
        <v>15</v>
      </c>
      <c r="F36" s="175" cm="1" t="str">
        <f t="array" ref="F36:F36">OFFSET(G36,-1,-1)</f>
        <v>0</v>
      </c>
      <c r="H36" s="193" cm="1" t="str">
        <f t="array" ref="H36:H36">AC36</f>
        <v>0</v>
      </c>
      <c r="T36" s="973">
        <f>AND(F36&gt;0,Y36&gt;0)</f>
        <v>0</v>
      </c>
      <c r="W36" s="175" t="s">
        <v>189</v>
      </c>
      <c r="Y36" s="175">
        <v>0</v>
      </c>
      <c r="AA36" s="1660" t="s">
        <v>171</v>
      </c>
      <c r="AB36" s="360" t="str">
        <f>"2."&amp;Y36</f>
        <v>2.0</v>
      </c>
      <c r="AC36" s="322"/>
      <c r="AD36" s="111"/>
      <c r="AE36" s="556" t="s">
        <v>917</v>
      </c>
      <c r="AF36" s="71">
        <f>AF37*AF38</f>
        <v>0</v>
      </c>
      <c r="AG36" s="71"/>
      <c r="AH36" s="71"/>
      <c r="AI36" s="71">
        <f>AI37*AI38</f>
        <v>0</v>
      </c>
      <c r="AJ36" s="353"/>
      <c r="AK36" s="71"/>
      <c r="AL36" s="71"/>
      <c r="AM36" s="71"/>
      <c r="AN36" s="71"/>
      <c r="AO36" s="71"/>
      <c r="AP36" s="71"/>
      <c r="AQ36" s="71"/>
      <c r="AR36" s="71"/>
      <c r="AS36" s="71"/>
      <c r="AT36" s="71"/>
      <c r="AU36" s="71"/>
      <c r="AV36" s="71"/>
      <c r="AW36" s="71"/>
      <c r="AX36" s="71"/>
      <c r="AY36" s="71"/>
      <c r="AZ36" s="71"/>
      <c r="BA36" s="71"/>
      <c r="BB36" s="71"/>
      <c r="BC36" s="71"/>
      <c r="BD36" s="353">
        <f>BD37*BD38</f>
        <v>0</v>
      </c>
      <c r="BE36" s="71">
        <f>BE37*BE38</f>
        <v>0</v>
      </c>
      <c r="BF36" s="71">
        <f>BF37*BF38</f>
        <v>0</v>
      </c>
      <c r="BG36" s="71">
        <f>BG37*BG38</f>
        <v>0</v>
      </c>
      <c r="BH36" s="71">
        <f>BH37*BH38</f>
        <v>0</v>
      </c>
      <c r="BI36" s="71">
        <f>BI37*BI38</f>
        <v>0</v>
      </c>
      <c r="BJ36" s="71">
        <f>BJ37*BJ38</f>
        <v>0</v>
      </c>
      <c r="BK36" s="71">
        <f>BK37*BK38</f>
        <v>0</v>
      </c>
      <c r="BL36" s="71">
        <f>BL37*BL38</f>
        <v>0</v>
      </c>
      <c r="BM36" s="71">
        <f>BM37*BM38</f>
        <v>0</v>
      </c>
      <c r="BN36" s="71">
        <f>BN37*BN38</f>
        <v>0</v>
      </c>
      <c r="BO36" s="71">
        <f>BO37*BO38</f>
        <v>0</v>
      </c>
      <c r="BP36" s="71">
        <f>BP37*BP38</f>
        <v>0</v>
      </c>
      <c r="BQ36" s="71">
        <f>BQ37*BQ38</f>
        <v>0</v>
      </c>
      <c r="BR36" s="71">
        <f>BR37*BR38</f>
        <v>0</v>
      </c>
      <c r="BS36" s="71">
        <f>BS37*BS38</f>
        <v>0</v>
      </c>
      <c r="BT36" s="71">
        <f>BT37*BT38</f>
        <v>0</v>
      </c>
      <c r="BU36" s="71">
        <f>BU37*BU38</f>
        <v>0</v>
      </c>
      <c r="BV36" s="71">
        <f>BV37*BV38</f>
        <v>0</v>
      </c>
      <c r="BW36" s="71">
        <f>BW37*BW38</f>
        <v>0</v>
      </c>
      <c r="BX36" s="83"/>
      <c r="CA36" s="489" t="s">
        <v>1158</v>
      </c>
      <c r="CB36" s="489" t="s">
        <v>1159</v>
      </c>
      <c r="CC36" s="489" cm="1" t="str">
        <f t="array" ref="CC36:CC36">AC36</f>
        <v>0</v>
      </c>
      <c r="CD36" s="489" cm="1" t="str">
        <f t="array" ref="CD36:CD36">AD36</f>
        <v>0</v>
      </c>
      <c r="CF36" s="546" t="b">
        <v>1</v>
      </c>
      <c r="CH36" s="1501" cm="1" t="str">
        <f t="array" ref="CH36:CH36">OFFSET(CI36,-1,-1)</f>
        <v>0</v>
      </c>
      <c r="CI36" s="1501" t="s">
        <v>1157</v>
      </c>
      <c r="CJ36" s="1501" t="s">
        <v>219</v>
      </c>
      <c r="CK36" s="1501" cm="1" t="str">
        <f t="array" ref="CK36:CK36">$AC36</f>
        <v>0</v>
      </c>
      <c r="CL36" s="1501" t="s">
        <v>303</v>
      </c>
      <c r="CM36" s="1501" t="s">
        <v>1142</v>
      </c>
      <c r="CN36" s="1501" t="s">
        <v>1143</v>
      </c>
    </row>
    <row customHeight="1" ht="14.625" hidden="1">
      <c r="E37" s="180">
        <v>15</v>
      </c>
      <c r="F37" s="175" cm="1" t="str">
        <f t="array" ref="F37:F37">OFFSET(G37,-1,-1)</f>
        <v>0</v>
      </c>
      <c r="H37" s="193" cm="1" t="str">
        <f t="array" ref="H37:H37">H36</f>
        <v>0</v>
      </c>
      <c r="T37" s="973" cm="1" t="str">
        <f t="array" ref="T37:T37">T36</f>
        <v>false</v>
      </c>
      <c r="AA37" s="1661"/>
      <c r="AB37" s="360" t="str">
        <f>AB36&amp;".1"</f>
        <v>2.0.1</v>
      </c>
      <c r="AC37" s="624" t="s">
        <v>1063</v>
      </c>
      <c r="AD37" s="624"/>
      <c r="AE37" s="320" t="s">
        <v>1144</v>
      </c>
      <c r="AF37" s="71"/>
      <c r="AG37" s="625">
        <f>IF(AG38=0,0,AG36/AG38)</f>
        <v>0</v>
      </c>
      <c r="AH37" s="625">
        <f>IF(AH38=0,0,AH36/AH38)</f>
        <v>0</v>
      </c>
      <c r="AI37" s="71"/>
      <c r="AJ37" s="625">
        <f>IF(AJ38=0,0,AJ36/AJ38)</f>
        <v>0</v>
      </c>
      <c r="AK37" s="625">
        <f>IF(AK38=0,0,AK36/AK38)</f>
        <v>0</v>
      </c>
      <c r="AL37" s="625">
        <f>IF(AL38=0,0,AL36/AL38)</f>
        <v>0</v>
      </c>
      <c r="AM37" s="625">
        <f>IF(AM38=0,0,AM36/AM38)</f>
        <v>0</v>
      </c>
      <c r="AN37" s="625">
        <f>IF(AN38=0,0,AN36/AN38)</f>
        <v>0</v>
      </c>
      <c r="AO37" s="625">
        <f>IF(AO38=0,0,AO36/AO38)</f>
        <v>0</v>
      </c>
      <c r="AP37" s="625">
        <f>IF(AP38=0,0,AP36/AP38)</f>
        <v>0</v>
      </c>
      <c r="AQ37" s="625">
        <f>IF(AQ38=0,0,AQ36/AQ38)</f>
        <v>0</v>
      </c>
      <c r="AR37" s="625">
        <f>IF(AR38=0,0,AR36/AR38)</f>
        <v>0</v>
      </c>
      <c r="AS37" s="625">
        <f>IF(AS38=0,0,AS36/AS38)</f>
        <v>0</v>
      </c>
      <c r="AT37" s="625">
        <f>IF(AT38=0,0,AT36/AT38)</f>
        <v>0</v>
      </c>
      <c r="AU37" s="625">
        <f>IF(AU38=0,0,AU36/AU38)</f>
        <v>0</v>
      </c>
      <c r="AV37" s="625">
        <f>IF(AV38=0,0,AV36/AV38)</f>
        <v>0</v>
      </c>
      <c r="AW37" s="625">
        <f>IF(AW38=0,0,AW36/AW38)</f>
        <v>0</v>
      </c>
      <c r="AX37" s="625">
        <f>IF(AX38=0,0,AX36/AX38)</f>
        <v>0</v>
      </c>
      <c r="AY37" s="625">
        <f>IF(AY38=0,0,AY36/AY38)</f>
        <v>0</v>
      </c>
      <c r="AZ37" s="625">
        <f>IF(AZ38=0,0,AZ36/AZ38)</f>
        <v>0</v>
      </c>
      <c r="BA37" s="625">
        <f>IF(BA38=0,0,BA36/BA38)</f>
        <v>0</v>
      </c>
      <c r="BB37" s="625">
        <f>IF(BB38=0,0,BB36/BB38)</f>
        <v>0</v>
      </c>
      <c r="BC37" s="625">
        <f>IF(BC38=0,0,BC36/BC38)</f>
        <v>0</v>
      </c>
      <c r="BD37" s="353"/>
      <c r="BE37" s="71"/>
      <c r="BF37" s="71"/>
      <c r="BG37" s="71"/>
      <c r="BH37" s="71"/>
      <c r="BI37" s="71"/>
      <c r="BJ37" s="71"/>
      <c r="BK37" s="71"/>
      <c r="BL37" s="71"/>
      <c r="BM37" s="71"/>
      <c r="BN37" s="71"/>
      <c r="BO37" s="71"/>
      <c r="BP37" s="71"/>
      <c r="BQ37" s="71"/>
      <c r="BR37" s="71"/>
      <c r="BS37" s="71"/>
      <c r="BT37" s="71"/>
      <c r="BU37" s="71"/>
      <c r="BV37" s="71"/>
      <c r="BW37" s="71"/>
      <c r="BX37" s="83"/>
      <c r="CA37" s="489" t="s">
        <v>1160</v>
      </c>
      <c r="CB37" s="489" t="s">
        <v>1159</v>
      </c>
      <c r="CC37" s="489" cm="1" t="str">
        <f t="array" ref="CC37:CC37">CC36</f>
        <v>0</v>
      </c>
      <c r="CD37" s="489" cm="1" t="str">
        <f t="array" ref="CD37:CD37">CD36</f>
        <v>0</v>
      </c>
      <c r="CH37" s="1501" cm="1" t="str">
        <f t="array" ref="CH37:CH37">CH36</f>
        <v>0</v>
      </c>
      <c r="CI37" s="1501" t="s">
        <v>1157</v>
      </c>
      <c r="CJ37" s="1501" t="s">
        <v>255</v>
      </c>
      <c r="CK37" s="1501" cm="1" t="str">
        <f t="array" ref="CK37:CK37">CK36</f>
        <v>0</v>
      </c>
      <c r="CL37" s="1501" t="s">
        <v>303</v>
      </c>
      <c r="CM37" s="1501" t="s">
        <v>1146</v>
      </c>
      <c r="CN37" s="1501" t="s">
        <v>1147</v>
      </c>
    </row>
    <row customHeight="1" ht="14.625" hidden="1">
      <c r="A38" s="978" t="str">
        <f>"checkVolume_2."&amp;F38&amp;"."&amp;Y36</f>
        <v>checkVolume_2.0.0</v>
      </c>
      <c r="E38" s="180">
        <v>15</v>
      </c>
      <c r="F38" s="175" cm="1" t="str">
        <f t="array" ref="F38:F38">OFFSET(G38,-1,-1)</f>
        <v>0</v>
      </c>
      <c r="H38" s="193" cm="1" t="str">
        <f t="array" ref="H38:H38">H36</f>
        <v>0</v>
      </c>
      <c r="T38" s="973" cm="1" t="str">
        <f t="array" ref="T38:T38">T36</f>
        <v>false</v>
      </c>
      <c r="AA38" s="1661"/>
      <c r="AB38" s="360" t="str">
        <f>AB36&amp;".2"</f>
        <v>2.0.2</v>
      </c>
      <c r="AC38" s="624" t="s">
        <v>1161</v>
      </c>
      <c r="AD38" s="624"/>
      <c r="AE38" s="320" t="s">
        <v>1149</v>
      </c>
      <c r="AF38" s="71"/>
      <c r="AG38" s="71"/>
      <c r="AH38" s="71"/>
      <c r="AI38" s="71"/>
      <c r="AJ38" s="353"/>
      <c r="AK38" s="71"/>
      <c r="AL38" s="71"/>
      <c r="AM38" s="71"/>
      <c r="AN38" s="71"/>
      <c r="AO38" s="71"/>
      <c r="AP38" s="71"/>
      <c r="AQ38" s="71"/>
      <c r="AR38" s="71"/>
      <c r="AS38" s="71"/>
      <c r="AT38" s="71"/>
      <c r="AU38" s="71"/>
      <c r="AV38" s="71"/>
      <c r="AW38" s="71"/>
      <c r="AX38" s="71"/>
      <c r="AY38" s="71"/>
      <c r="AZ38" s="71"/>
      <c r="BA38" s="71"/>
      <c r="BB38" s="71"/>
      <c r="BC38" s="71"/>
      <c r="BD38" s="353"/>
      <c r="BE38" s="71"/>
      <c r="BF38" s="71"/>
      <c r="BG38" s="71"/>
      <c r="BH38" s="71"/>
      <c r="BI38" s="71"/>
      <c r="BJ38" s="71"/>
      <c r="BK38" s="71"/>
      <c r="BL38" s="71"/>
      <c r="BM38" s="71"/>
      <c r="BN38" s="71"/>
      <c r="BO38" s="71"/>
      <c r="BP38" s="71"/>
      <c r="BQ38" s="71"/>
      <c r="BR38" s="71"/>
      <c r="BS38" s="71"/>
      <c r="BT38" s="71"/>
      <c r="BU38" s="71"/>
      <c r="BV38" s="71"/>
      <c r="BW38" s="71"/>
      <c r="BX38" s="83"/>
      <c r="CA38" s="489" t="s">
        <v>1162</v>
      </c>
      <c r="CB38" s="489" t="s">
        <v>1159</v>
      </c>
      <c r="CC38" s="489" cm="1" t="str">
        <f t="array" ref="CC38:CC38">CC36</f>
        <v>0</v>
      </c>
      <c r="CD38" s="489" cm="1" t="str">
        <f t="array" ref="CD38:CD38">CD37</f>
        <v>0</v>
      </c>
      <c r="CH38" s="1501" cm="1" t="str">
        <f t="array" ref="CH38:CH38">CH37</f>
        <v>0</v>
      </c>
      <c r="CI38" s="1501" t="s">
        <v>1157</v>
      </c>
      <c r="CJ38" s="1501" t="s">
        <v>449</v>
      </c>
      <c r="CK38" s="1501" cm="1" t="str">
        <f t="array" ref="CK38:CK38">CK37</f>
        <v>0</v>
      </c>
      <c r="CL38" s="1501" t="s">
        <v>303</v>
      </c>
      <c r="CM38" s="1501" t="s">
        <v>1163</v>
      </c>
      <c r="CN38" s="1501" t="s">
        <v>1164</v>
      </c>
    </row>
    <row customHeight="1" ht="14.625" hidden="1">
      <c r="E39" s="180">
        <v>15</v>
      </c>
      <c r="F39" s="175" cm="1" t="str">
        <f t="array" ref="F39:F39">OFFSET(G39,-1,-1)</f>
        <v>0</v>
      </c>
      <c r="T39" s="753">
        <f>F39&gt;0</f>
        <v>0</v>
      </c>
      <c r="W39" s="176" t="s">
        <v>1165</v>
      </c>
      <c r="AB39" s="405"/>
      <c r="AC39" s="407" t="s">
        <v>1111</v>
      </c>
      <c r="AD39" s="407"/>
      <c r="AE39" s="407"/>
      <c r="AF39" s="407"/>
      <c r="AG39" s="407"/>
      <c r="AH39" s="407"/>
      <c r="AI39" s="407"/>
      <c r="AJ39" s="407"/>
      <c r="AK39" s="407"/>
      <c r="AL39" s="407"/>
      <c r="AM39" s="407"/>
      <c r="AN39" s="407"/>
      <c r="AO39" s="407"/>
      <c r="AP39" s="407"/>
      <c r="AQ39" s="407"/>
      <c r="AR39" s="407"/>
      <c r="AS39" s="407"/>
      <c r="AT39" s="407"/>
      <c r="AU39" s="407"/>
      <c r="AV39" s="407"/>
      <c r="AW39" s="407"/>
      <c r="AX39" s="407"/>
      <c r="AY39" s="407"/>
      <c r="AZ39" s="407"/>
      <c r="BA39" s="407"/>
      <c r="BB39" s="407"/>
      <c r="BC39" s="407"/>
      <c r="BD39" s="407"/>
      <c r="BE39" s="407"/>
      <c r="BF39" s="407"/>
      <c r="BG39" s="407"/>
      <c r="BH39" s="407"/>
      <c r="BI39" s="407"/>
      <c r="BJ39" s="407"/>
      <c r="BK39" s="407"/>
      <c r="BL39" s="407"/>
      <c r="BM39" s="407"/>
      <c r="BN39" s="407"/>
      <c r="BO39" s="407"/>
      <c r="BP39" s="407"/>
      <c r="BQ39" s="407"/>
      <c r="BR39" s="407"/>
      <c r="BS39" s="407"/>
      <c r="BT39" s="407"/>
      <c r="BU39" s="407"/>
      <c r="BV39" s="407"/>
      <c r="BW39" s="407"/>
      <c r="BX39" s="408"/>
      <c r="CE39" s="546" t="s">
        <v>1159</v>
      </c>
    </row>
    <row s="1751" customFormat="1" customHeight="1" ht="14.25">
      <c r="A40" s="371"/>
      <c r="B40" s="1548"/>
      <c r="C40" s="1548"/>
      <c r="D40" s="1548"/>
      <c r="E40" s="180">
        <v>15</v>
      </c>
      <c r="F40" s="175" cm="1" t="str">
        <f t="array" ref="F40:F40">X40</f>
        <v>1</v>
      </c>
      <c r="G40" s="1659"/>
      <c r="H40" s="1659"/>
      <c r="I40" s="1659"/>
      <c r="J40" s="1659"/>
      <c r="K40" s="1659"/>
      <c r="L40" s="1659"/>
      <c r="M40" s="1659"/>
      <c r="N40" s="1659"/>
      <c r="O40" s="1659"/>
      <c r="P40" s="1659"/>
      <c r="Q40" s="1659"/>
      <c r="R40" s="1659"/>
      <c r="S40" s="1659"/>
      <c r="T40" s="753">
        <f>X40&gt;0</f>
        <v>1</v>
      </c>
      <c r="U40" s="1548"/>
      <c r="V40" s="175" cm="1" t="str">
        <f t="array" ref="V40:V40">ЭнергоРесурсы!$AB$68</f>
        <v>Тариф 1 (Теплоснабжение) - Тариф на тепловую энергию (мощность), поставляемую потребителям (Доп. признак не требуется)</v>
      </c>
      <c r="W40" s="1548"/>
      <c r="X40" s="175" t="s">
        <v>308</v>
      </c>
      <c r="Y40" s="1548"/>
      <c r="Z40" s="1548"/>
      <c r="AA40" s="183"/>
      <c r="AB40" s="621" cm="1" t="str">
        <f t="array" ref="AB40:AB40">IF(ISBLANK(ЭнергоРесурсы!$AB$68),"",ЭнергоРесурсы!$AB$68)</f>
        <v>Тариф 1 (Теплоснабжение) - Тариф на тепловую энергию (мощность), поставляемую потребителям (Доп. признак не требуется)</v>
      </c>
      <c r="AC40" s="298"/>
      <c r="AD40" s="298"/>
      <c r="AE40" s="298"/>
      <c r="AF40" s="552">
        <f>AF41+AF47</f>
        <v>0</v>
      </c>
      <c r="AG40" s="552">
        <f>AG41+AG47</f>
        <v>0</v>
      </c>
      <c r="AH40" s="552">
        <f>AH41+AH47</f>
        <v>0</v>
      </c>
      <c r="AI40" s="552">
        <f>AI41+AI47</f>
        <v>0</v>
      </c>
      <c r="AJ40" s="552">
        <f>AJ41+AJ47</f>
        <v>0</v>
      </c>
      <c r="AK40" s="552">
        <f>AK41+AK47</f>
        <v>0</v>
      </c>
      <c r="AL40" s="552">
        <f>AL41+AL47</f>
        <v>0</v>
      </c>
      <c r="AM40" s="552">
        <f>AM41+AM47</f>
        <v>0</v>
      </c>
      <c r="AN40" s="552">
        <f>AN41+AN47</f>
        <v>0</v>
      </c>
      <c r="AO40" s="552">
        <f>AO41+AO47</f>
        <v>0</v>
      </c>
      <c r="AP40" s="552">
        <f>AP41+AP47</f>
        <v>0</v>
      </c>
      <c r="AQ40" s="552">
        <f>AQ41+AQ47</f>
        <v>0</v>
      </c>
      <c r="AR40" s="552">
        <f>AR41+AR47</f>
        <v>0</v>
      </c>
      <c r="AS40" s="552">
        <f>AS41+AS47</f>
        <v>0</v>
      </c>
      <c r="AT40" s="552">
        <f>AT41+AT47</f>
        <v>0</v>
      </c>
      <c r="AU40" s="552">
        <f>AU41+AU47</f>
        <v>0</v>
      </c>
      <c r="AV40" s="552">
        <f>AV41+AV47</f>
        <v>0</v>
      </c>
      <c r="AW40" s="552">
        <f>AW41+AW47</f>
        <v>0</v>
      </c>
      <c r="AX40" s="552">
        <f>AX41+AX47</f>
        <v>0</v>
      </c>
      <c r="AY40" s="552">
        <f>AY41+AY47</f>
        <v>0</v>
      </c>
      <c r="AZ40" s="552">
        <f>AZ41+AZ47</f>
        <v>0</v>
      </c>
      <c r="BA40" s="552">
        <f>BA41+BA47</f>
        <v>0</v>
      </c>
      <c r="BB40" s="552">
        <f>BB41+BB47</f>
        <v>0</v>
      </c>
      <c r="BC40" s="552">
        <f>BC41+BC47</f>
        <v>0</v>
      </c>
      <c r="BD40" s="552">
        <f>BD41+BD47</f>
        <v>0</v>
      </c>
      <c r="BE40" s="552">
        <f>BE41+BE47</f>
        <v>0</v>
      </c>
      <c r="BF40" s="552">
        <f>BF41+BF47</f>
        <v>0</v>
      </c>
      <c r="BG40" s="552">
        <f>BG41+BG47</f>
        <v>0</v>
      </c>
      <c r="BH40" s="552">
        <f>BH41+BH47</f>
        <v>0</v>
      </c>
      <c r="BI40" s="552">
        <f>BI41+BI47</f>
        <v>0</v>
      </c>
      <c r="BJ40" s="552">
        <f>BJ41+BJ47</f>
        <v>0</v>
      </c>
      <c r="BK40" s="552">
        <f>BK41+BK47</f>
        <v>0</v>
      </c>
      <c r="BL40" s="552">
        <f>BL41+BL47</f>
        <v>0</v>
      </c>
      <c r="BM40" s="552">
        <f>BM41+BM47</f>
        <v>0</v>
      </c>
      <c r="BN40" s="552">
        <f>BN41+BN47</f>
        <v>0</v>
      </c>
      <c r="BO40" s="552">
        <f>BO41+BO47</f>
        <v>0</v>
      </c>
      <c r="BP40" s="552">
        <f>BP41+BP47</f>
        <v>0</v>
      </c>
      <c r="BQ40" s="552">
        <f>BQ41+BQ47</f>
        <v>0</v>
      </c>
      <c r="BR40" s="552">
        <f>BR41+BR47</f>
        <v>0</v>
      </c>
      <c r="BS40" s="552">
        <f>BS41+BS47</f>
        <v>0</v>
      </c>
      <c r="BT40" s="552">
        <f>BT41+BT47</f>
        <v>0</v>
      </c>
      <c r="BU40" s="552">
        <f>BU41+BU47</f>
        <v>0</v>
      </c>
      <c r="BV40" s="552">
        <f>BV41+BV47</f>
        <v>0</v>
      </c>
      <c r="BW40" s="552">
        <f>BW41+BW47</f>
        <v>0</v>
      </c>
      <c r="BX40" s="622"/>
      <c r="BY40" s="183"/>
      <c r="BZ40" s="969"/>
      <c r="CA40" s="1125"/>
      <c r="CB40" s="1125"/>
      <c r="CC40" s="1125"/>
      <c r="CD40" s="1125"/>
      <c r="CE40" s="1126"/>
      <c r="CF40" s="1126"/>
      <c r="CG40" s="1506"/>
      <c r="CH40" s="1751"/>
      <c r="CI40" s="1751"/>
      <c r="CJ40" s="1751"/>
      <c r="CK40" s="1751"/>
      <c r="CL40" s="1751"/>
      <c r="CM40" s="1751"/>
      <c r="CN40" s="1751"/>
      <c r="CO40" s="1751"/>
      <c r="CP40" s="1751"/>
    </row>
    <row s="1751" customFormat="1" customHeight="1" ht="14.25">
      <c r="A41" s="371"/>
      <c r="B41" s="1548"/>
      <c r="C41" s="1548"/>
      <c r="D41" s="1548"/>
      <c r="E41" s="180">
        <v>15</v>
      </c>
      <c r="F41" s="175" cm="1" t="str">
        <f t="array" ref="F41:F41">F40</f>
        <v>1</v>
      </c>
      <c r="G41" s="193" t="s">
        <v>1136</v>
      </c>
      <c r="H41" s="1659"/>
      <c r="I41" s="1659"/>
      <c r="J41" s="1659"/>
      <c r="K41" s="1659"/>
      <c r="L41" s="1659"/>
      <c r="M41" s="1659"/>
      <c r="N41" s="1659"/>
      <c r="O41" s="1659"/>
      <c r="P41" s="1659"/>
      <c r="Q41" s="1659"/>
      <c r="R41" s="1659"/>
      <c r="S41" s="1659"/>
      <c r="T41" s="753" cm="1" t="str">
        <f t="array" ref="T41:T41">T40</f>
        <v>true</v>
      </c>
      <c r="U41" s="1548"/>
      <c r="V41" s="1548"/>
      <c r="W41" s="1548"/>
      <c r="X41" s="1548"/>
      <c r="Y41" s="1548"/>
      <c r="Z41" s="1548"/>
      <c r="AA41" s="183"/>
      <c r="AB41" s="554">
        <v>1</v>
      </c>
      <c r="AC41" s="555" t="s">
        <v>1137</v>
      </c>
      <c r="AD41" s="555"/>
      <c r="AE41" s="556" t="s">
        <v>917</v>
      </c>
      <c r="AF41" s="587">
        <f>SUMIF($AE42:$AE46,$AE41,AF42:AF46)</f>
        <v>0</v>
      </c>
      <c r="AG41" s="587">
        <f>SUMIF($AE42:$AE46,$AE41,AG42:AG46)</f>
        <v>0</v>
      </c>
      <c r="AH41" s="587">
        <f>SUMIF($AE42:$AE46,$AE41,AH42:AH46)</f>
        <v>0</v>
      </c>
      <c r="AI41" s="587">
        <f>SUMIF($AE42:$AE46,$AE41,AI42:AI46)</f>
        <v>0</v>
      </c>
      <c r="AJ41" s="587">
        <f>SUMIF($AE42:$AE46,$AE41,AJ42:AJ46)</f>
        <v>0</v>
      </c>
      <c r="AK41" s="2286">
        <f>SUMIF($AE42:$AE46,$AE41,AK42:AK46)</f>
        <v>0</v>
      </c>
      <c r="AL41" s="2286">
        <f>SUMIF($AE42:$AE46,$AE41,AL42:AL46)</f>
        <v>0</v>
      </c>
      <c r="AM41" s="2286">
        <f>SUMIF($AE42:$AE46,$AE41,AM42:AM46)</f>
        <v>0</v>
      </c>
      <c r="AN41" s="2286">
        <f>SUMIF($AE42:$AE46,$AE41,AN42:AN46)</f>
        <v>0</v>
      </c>
      <c r="AO41" s="2286">
        <f>SUMIF($AE42:$AE46,$AE41,AO42:AO46)</f>
        <v>0</v>
      </c>
      <c r="AP41" s="2286">
        <f>SUMIF($AE42:$AE46,$AE41,AP42:AP46)</f>
        <v>0</v>
      </c>
      <c r="AQ41" s="2286">
        <f>SUMIF($AE42:$AE46,$AE41,AQ42:AQ46)</f>
        <v>0</v>
      </c>
      <c r="AR41" s="2286">
        <f>SUMIF($AE42:$AE46,$AE41,AR42:AR46)</f>
        <v>0</v>
      </c>
      <c r="AS41" s="2286">
        <f>SUMIF($AE42:$AE46,$AE41,AS42:AS46)</f>
        <v>0</v>
      </c>
      <c r="AT41" s="2286">
        <f>SUMIF($AE42:$AE46,$AE41,AT42:AT46)</f>
        <v>0</v>
      </c>
      <c r="AU41" s="2286">
        <f>SUMIF($AE42:$AE46,$AE41,AU42:AU46)</f>
        <v>0</v>
      </c>
      <c r="AV41" s="2286">
        <f>SUMIF($AE42:$AE46,$AE41,AV42:AV46)</f>
        <v>0</v>
      </c>
      <c r="AW41" s="2286">
        <f>SUMIF($AE42:$AE46,$AE41,AW42:AW46)</f>
        <v>0</v>
      </c>
      <c r="AX41" s="2286">
        <f>SUMIF($AE42:$AE46,$AE41,AX42:AX46)</f>
        <v>0</v>
      </c>
      <c r="AY41" s="2286">
        <f>SUMIF($AE42:$AE46,$AE41,AY42:AY46)</f>
        <v>0</v>
      </c>
      <c r="AZ41" s="2286">
        <f>SUMIF($AE42:$AE46,$AE41,AZ42:AZ46)</f>
        <v>0</v>
      </c>
      <c r="BA41" s="2286">
        <f>SUMIF($AE42:$AE46,$AE41,BA42:BA46)</f>
        <v>0</v>
      </c>
      <c r="BB41" s="2286">
        <f>SUMIF($AE42:$AE46,$AE41,BB42:BB46)</f>
        <v>0</v>
      </c>
      <c r="BC41" s="2286">
        <f>SUMIF($AE42:$AE46,$AE41,BC42:BC46)</f>
        <v>0</v>
      </c>
      <c r="BD41" s="587">
        <f>SUMIF($AE42:$AE46,$AE41,BD42:BD46)</f>
        <v>0</v>
      </c>
      <c r="BE41" s="2286">
        <f>SUMIF($AE42:$AE46,$AE41,BE42:BE46)</f>
        <v>0</v>
      </c>
      <c r="BF41" s="2286">
        <f>SUMIF($AE42:$AE46,$AE41,BF42:BF46)</f>
        <v>0</v>
      </c>
      <c r="BG41" s="2286">
        <f>SUMIF($AE42:$AE46,$AE41,BG42:BG46)</f>
        <v>0</v>
      </c>
      <c r="BH41" s="2286">
        <f>SUMIF($AE42:$AE46,$AE41,BH42:BH46)</f>
        <v>0</v>
      </c>
      <c r="BI41" s="2286">
        <f>SUMIF($AE42:$AE46,$AE41,BI42:BI46)</f>
        <v>0</v>
      </c>
      <c r="BJ41" s="2286">
        <f>SUMIF($AE42:$AE46,$AE41,BJ42:BJ46)</f>
        <v>0</v>
      </c>
      <c r="BK41" s="2286">
        <f>SUMIF($AE42:$AE46,$AE41,BK42:BK46)</f>
        <v>0</v>
      </c>
      <c r="BL41" s="2286">
        <f>SUMIF($AE42:$AE46,$AE41,BL42:BL46)</f>
        <v>0</v>
      </c>
      <c r="BM41" s="2286">
        <f>SUMIF($AE42:$AE46,$AE41,BM42:BM46)</f>
        <v>0</v>
      </c>
      <c r="BN41" s="2286">
        <f>SUMIF($AE42:$AE46,$AE41,BN42:BN46)</f>
        <v>0</v>
      </c>
      <c r="BO41" s="2286">
        <f>SUMIF($AE42:$AE46,$AE41,BO42:BO46)</f>
        <v>0</v>
      </c>
      <c r="BP41" s="2286">
        <f>SUMIF($AE42:$AE46,$AE41,BP42:BP46)</f>
        <v>0</v>
      </c>
      <c r="BQ41" s="2286">
        <f>SUMIF($AE42:$AE46,$AE41,BQ42:BQ46)</f>
        <v>0</v>
      </c>
      <c r="BR41" s="2286">
        <f>SUMIF($AE42:$AE46,$AE41,BR42:BR46)</f>
        <v>0</v>
      </c>
      <c r="BS41" s="2286">
        <f>SUMIF($AE42:$AE46,$AE41,BS42:BS46)</f>
        <v>0</v>
      </c>
      <c r="BT41" s="2286">
        <f>SUMIF($AE42:$AE46,$AE41,BT42:BT46)</f>
        <v>0</v>
      </c>
      <c r="BU41" s="2286">
        <f>SUMIF($AE42:$AE46,$AE41,BU42:BU46)</f>
        <v>0</v>
      </c>
      <c r="BV41" s="2286">
        <f>SUMIF($AE42:$AE46,$AE41,BV42:BV46)</f>
        <v>0</v>
      </c>
      <c r="BW41" s="2286">
        <f>SUMIF($AE42:$AE46,$AE41,BW42:BW46)</f>
        <v>0</v>
      </c>
      <c r="BX41" s="1897"/>
      <c r="BY41" s="183"/>
      <c r="BZ41" s="969"/>
      <c r="CA41" s="489" t="s">
        <v>1138</v>
      </c>
      <c r="CB41" s="1125"/>
      <c r="CC41" s="1125"/>
      <c r="CD41" s="1125"/>
      <c r="CE41" s="1126"/>
      <c r="CF41" s="1126"/>
      <c r="CG41" s="1506"/>
      <c r="CH41" s="1501" cm="1" t="str">
        <f t="array" ref="CH41:CH41">INDEX('Общие сведения'!$N$170:$N$202,MATCH($F41,'Общие сведения'!$Y$170:$Y$202,0)+1)</f>
        <v>ТЭ.42.31656254.0001</v>
      </c>
      <c r="CI41" s="1501" t="s">
        <v>1139</v>
      </c>
      <c r="CJ41" s="1501"/>
      <c r="CK41" s="1501"/>
      <c r="CL41" s="1501" t="s">
        <v>303</v>
      </c>
      <c r="CM41" s="1501" t="s">
        <v>1044</v>
      </c>
      <c r="CN41" s="1501" t="s">
        <v>1045</v>
      </c>
      <c r="CO41" s="1751"/>
      <c r="CP41" s="1751"/>
    </row>
    <row s="1751" customFormat="1" customHeight="1" ht="18.75" hidden="1">
      <c r="A42" s="371"/>
      <c r="B42" s="1548"/>
      <c r="C42" s="1548"/>
      <c r="D42" s="1548"/>
      <c r="E42" s="180">
        <v>0</v>
      </c>
      <c r="F42" s="175" cm="1" t="str">
        <f t="array" ref="F42:F42">F41</f>
        <v>1</v>
      </c>
      <c r="G42" s="1659"/>
      <c r="H42" s="1659"/>
      <c r="I42" s="1659"/>
      <c r="J42" s="1659"/>
      <c r="K42" s="1659"/>
      <c r="L42" s="1659"/>
      <c r="M42" s="1659"/>
      <c r="N42" s="1659"/>
      <c r="O42" s="1659"/>
      <c r="P42" s="1659"/>
      <c r="Q42" s="1659"/>
      <c r="R42" s="1659"/>
      <c r="S42" s="1659"/>
      <c r="T42" s="753" cm="1" t="str">
        <f t="array" ref="T42:T42">T41</f>
        <v>true</v>
      </c>
      <c r="U42" s="1548"/>
      <c r="V42" s="1548"/>
      <c r="W42" s="1548"/>
      <c r="X42" s="1548"/>
      <c r="Y42" s="1548"/>
      <c r="Z42" s="1548"/>
      <c r="AA42" s="183"/>
      <c r="AB42" s="554"/>
      <c r="AC42" s="555"/>
      <c r="AD42" s="555"/>
      <c r="AE42" s="556"/>
      <c r="AF42" s="596"/>
      <c r="AG42" s="596"/>
      <c r="AH42" s="596"/>
      <c r="AI42" s="596"/>
      <c r="AJ42" s="596"/>
      <c r="AK42" s="596"/>
      <c r="AL42" s="596"/>
      <c r="AM42" s="596"/>
      <c r="AN42" s="596"/>
      <c r="AO42" s="596"/>
      <c r="AP42" s="596"/>
      <c r="AQ42" s="596"/>
      <c r="AR42" s="596"/>
      <c r="AS42" s="596"/>
      <c r="AT42" s="596"/>
      <c r="AU42" s="596"/>
      <c r="AV42" s="596"/>
      <c r="AW42" s="596"/>
      <c r="AX42" s="596"/>
      <c r="AY42" s="596"/>
      <c r="AZ42" s="596"/>
      <c r="BA42" s="596"/>
      <c r="BB42" s="596"/>
      <c r="BC42" s="596"/>
      <c r="BD42" s="596"/>
      <c r="BE42" s="596"/>
      <c r="BF42" s="596"/>
      <c r="BG42" s="596"/>
      <c r="BH42" s="596"/>
      <c r="BI42" s="596"/>
      <c r="BJ42" s="596"/>
      <c r="BK42" s="596"/>
      <c r="BL42" s="596"/>
      <c r="BM42" s="596"/>
      <c r="BN42" s="596"/>
      <c r="BO42" s="596"/>
      <c r="BP42" s="596"/>
      <c r="BQ42" s="596"/>
      <c r="BR42" s="596"/>
      <c r="BS42" s="596"/>
      <c r="BT42" s="596"/>
      <c r="BU42" s="596"/>
      <c r="BV42" s="596"/>
      <c r="BW42" s="596"/>
      <c r="BX42" s="597"/>
      <c r="BY42" s="183"/>
      <c r="BZ42" s="969"/>
      <c r="CA42" s="489" t="str">
        <f>IF(AND(ISNUMBER(VALUE(TRIM(SUBSTITUTE(AB42,".","")))),TRIM(SUBSTITUTE(AB42,".",""))&lt;&gt;""),"P"&amp;SUBSTITUTE(AB42,".",""),"")</f>
        <v/>
      </c>
      <c r="CB42" s="1125"/>
      <c r="CC42" s="1125"/>
      <c r="CD42" s="1125"/>
      <c r="CE42" s="1126"/>
      <c r="CF42" s="1126"/>
      <c r="CG42" s="1506"/>
      <c r="CH42" s="1501" cm="1" t="str">
        <f t="array" ref="CH42:CH42">OFFSET(CI42,-1,-1)</f>
        <v>ТЭ.42.31656254.0001</v>
      </c>
      <c r="CI42" s="1501"/>
      <c r="CJ42" s="1501"/>
      <c r="CK42" s="1501"/>
      <c r="CL42" s="1501"/>
      <c r="CM42" s="1501"/>
      <c r="CN42" s="1501"/>
      <c r="CO42" s="1751"/>
      <c r="CP42" s="1751"/>
    </row>
    <row s="1751" customFormat="1" customHeight="1" ht="14.25" hidden="1">
      <c r="A43" s="978" t="str">
        <f>"checkCosts_1."&amp;F43&amp;"."&amp;Y43</f>
        <v>checkCosts_1.1.0</v>
      </c>
      <c r="B43" s="1548"/>
      <c r="C43" s="1548"/>
      <c r="D43" s="1548"/>
      <c r="E43" s="180">
        <v>15</v>
      </c>
      <c r="F43" s="175" cm="1" t="str">
        <f t="array" ref="F43:F43">OFFSET(G43,-1,-1)</f>
        <v>1</v>
      </c>
      <c r="G43" s="1659"/>
      <c r="H43" s="193" cm="1" t="str">
        <f t="array" ref="H43:H43">AC43</f>
        <v>0</v>
      </c>
      <c r="I43" s="1659"/>
      <c r="J43" s="1659"/>
      <c r="K43" s="1659"/>
      <c r="L43" s="1659"/>
      <c r="M43" s="1659"/>
      <c r="N43" s="1659"/>
      <c r="O43" s="1659"/>
      <c r="P43" s="1659"/>
      <c r="Q43" s="1659"/>
      <c r="R43" s="1659"/>
      <c r="S43" s="1659"/>
      <c r="T43" s="973">
        <f>AND(F43&gt;0,Y43&gt;0)</f>
        <v>0</v>
      </c>
      <c r="U43" s="1548"/>
      <c r="V43" s="1548"/>
      <c r="W43" s="175" t="s">
        <v>189</v>
      </c>
      <c r="X43" s="1548"/>
      <c r="Y43" s="175">
        <v>0</v>
      </c>
      <c r="Z43" s="1548"/>
      <c r="AA43" s="1660" t="s">
        <v>171</v>
      </c>
      <c r="AB43" s="360" t="str">
        <f>"1."&amp;Y43</f>
        <v>1.0</v>
      </c>
      <c r="AC43" s="322"/>
      <c r="AD43" s="111"/>
      <c r="AE43" s="556" t="s">
        <v>917</v>
      </c>
      <c r="AF43" s="71">
        <f>AF44*AF45</f>
        <v>0</v>
      </c>
      <c r="AG43" s="71"/>
      <c r="AH43" s="71"/>
      <c r="AI43" s="71">
        <f>AI44*AI45</f>
        <v>0</v>
      </c>
      <c r="AJ43" s="353"/>
      <c r="AK43" s="71"/>
      <c r="AL43" s="71"/>
      <c r="AM43" s="71"/>
      <c r="AN43" s="71"/>
      <c r="AO43" s="71"/>
      <c r="AP43" s="71"/>
      <c r="AQ43" s="71"/>
      <c r="AR43" s="71"/>
      <c r="AS43" s="71"/>
      <c r="AT43" s="71"/>
      <c r="AU43" s="71"/>
      <c r="AV43" s="71"/>
      <c r="AW43" s="71"/>
      <c r="AX43" s="71"/>
      <c r="AY43" s="71"/>
      <c r="AZ43" s="71"/>
      <c r="BA43" s="71"/>
      <c r="BB43" s="71"/>
      <c r="BC43" s="71"/>
      <c r="BD43" s="353">
        <f>BD44*BD45</f>
        <v>0</v>
      </c>
      <c r="BE43" s="71">
        <f>BE44*BE45</f>
        <v>0</v>
      </c>
      <c r="BF43" s="71">
        <f>BF44*BF45</f>
        <v>0</v>
      </c>
      <c r="BG43" s="71">
        <f>BG44*BG45</f>
        <v>0</v>
      </c>
      <c r="BH43" s="71">
        <f>BH44*BH45</f>
        <v>0</v>
      </c>
      <c r="BI43" s="71">
        <f>BI44*BI45</f>
        <v>0</v>
      </c>
      <c r="BJ43" s="71">
        <f>BJ44*BJ45</f>
        <v>0</v>
      </c>
      <c r="BK43" s="71">
        <f>BK44*BK45</f>
        <v>0</v>
      </c>
      <c r="BL43" s="71">
        <f>BL44*BL45</f>
        <v>0</v>
      </c>
      <c r="BM43" s="71">
        <f>BM44*BM45</f>
        <v>0</v>
      </c>
      <c r="BN43" s="71">
        <f>BN44*BN45</f>
        <v>0</v>
      </c>
      <c r="BO43" s="71">
        <f>BO44*BO45</f>
        <v>0</v>
      </c>
      <c r="BP43" s="71">
        <f>BP44*BP45</f>
        <v>0</v>
      </c>
      <c r="BQ43" s="71">
        <f>BQ44*BQ45</f>
        <v>0</v>
      </c>
      <c r="BR43" s="71">
        <f>BR44*BR45</f>
        <v>0</v>
      </c>
      <c r="BS43" s="71">
        <f>BS44*BS45</f>
        <v>0</v>
      </c>
      <c r="BT43" s="71">
        <f>BT44*BT45</f>
        <v>0</v>
      </c>
      <c r="BU43" s="71">
        <f>BU44*BU45</f>
        <v>0</v>
      </c>
      <c r="BV43" s="71">
        <f>BV44*BV45</f>
        <v>0</v>
      </c>
      <c r="BW43" s="71">
        <f>BW44*BW45</f>
        <v>0</v>
      </c>
      <c r="BX43" s="83"/>
      <c r="BY43" s="183"/>
      <c r="BZ43" s="969"/>
      <c r="CA43" s="489" t="s">
        <v>1140</v>
      </c>
      <c r="CB43" s="489" t="s">
        <v>1141</v>
      </c>
      <c r="CC43" s="489" cm="1" t="str">
        <f t="array" ref="CC43:CC43">AC43</f>
        <v>0</v>
      </c>
      <c r="CD43" s="489" cm="1" t="str">
        <f t="array" ref="CD43:CD43">AD43</f>
        <v>0</v>
      </c>
      <c r="CE43" s="1126"/>
      <c r="CF43" s="546" t="b">
        <v>1</v>
      </c>
      <c r="CG43" s="1506"/>
      <c r="CH43" s="1501" cm="1" t="str">
        <f t="array" ref="CH43:CH43">OFFSET(CI43,-1,-1)</f>
        <v>ТЭ.42.31656254.0001</v>
      </c>
      <c r="CI43" s="1501" t="s">
        <v>1139</v>
      </c>
      <c r="CJ43" s="1501" t="s">
        <v>219</v>
      </c>
      <c r="CK43" s="1501" cm="1" t="str">
        <f t="array" ref="CK43:CK43">$AC43</f>
        <v>0</v>
      </c>
      <c r="CL43" s="1501" t="s">
        <v>303</v>
      </c>
      <c r="CM43" s="1501" t="s">
        <v>1142</v>
      </c>
      <c r="CN43" s="1501" t="s">
        <v>1143</v>
      </c>
      <c r="CO43" s="1751"/>
      <c r="CP43" s="1751"/>
    </row>
    <row s="1751" customFormat="1" customHeight="1" ht="14.25" hidden="1">
      <c r="A44" s="371"/>
      <c r="B44" s="1548"/>
      <c r="C44" s="1548"/>
      <c r="D44" s="1548"/>
      <c r="E44" s="180">
        <v>15</v>
      </c>
      <c r="F44" s="175" cm="1" t="str">
        <f t="array" ref="F44:F44">F42</f>
        <v>1</v>
      </c>
      <c r="G44" s="1659"/>
      <c r="H44" s="193" cm="1" t="str">
        <f t="array" ref="H44:H44">H43</f>
        <v>0</v>
      </c>
      <c r="I44" s="1659"/>
      <c r="J44" s="1659"/>
      <c r="K44" s="1659"/>
      <c r="L44" s="1659"/>
      <c r="M44" s="1659"/>
      <c r="N44" s="1659"/>
      <c r="O44" s="1659"/>
      <c r="P44" s="1659"/>
      <c r="Q44" s="1659"/>
      <c r="R44" s="1659"/>
      <c r="S44" s="1659"/>
      <c r="T44" s="973" cm="1" t="str">
        <f t="array" ref="T44:T44">T43</f>
        <v>false</v>
      </c>
      <c r="U44" s="1548"/>
      <c r="V44" s="1548"/>
      <c r="W44" s="1548"/>
      <c r="X44" s="1548"/>
      <c r="Y44" s="1548"/>
      <c r="Z44" s="1548"/>
      <c r="AA44" s="1661"/>
      <c r="AB44" s="360" t="str">
        <f>AB43&amp;".1"</f>
        <v>1.0.1</v>
      </c>
      <c r="AC44" s="624" t="s">
        <v>1063</v>
      </c>
      <c r="AD44" s="624"/>
      <c r="AE44" s="320" t="s">
        <v>1144</v>
      </c>
      <c r="AF44" s="71"/>
      <c r="AG44" s="625">
        <f>IF(AG45=0,0,AG43/AG45)</f>
        <v>0</v>
      </c>
      <c r="AH44" s="625">
        <f>IF(AH45=0,0,AH43/AH45)</f>
        <v>0</v>
      </c>
      <c r="AI44" s="71"/>
      <c r="AJ44" s="625">
        <f>IF(AJ45=0,0,AJ43/AJ45)</f>
        <v>0</v>
      </c>
      <c r="AK44" s="625">
        <f>IF(AK45=0,0,AK43/AK45)</f>
        <v>0</v>
      </c>
      <c r="AL44" s="625">
        <f>IF(AL45=0,0,AL43/AL45)</f>
        <v>0</v>
      </c>
      <c r="AM44" s="625">
        <f>IF(AM45=0,0,AM43/AM45)</f>
        <v>0</v>
      </c>
      <c r="AN44" s="625">
        <f>IF(AN45=0,0,AN43/AN45)</f>
        <v>0</v>
      </c>
      <c r="AO44" s="625">
        <f>IF(AO45=0,0,AO43/AO45)</f>
        <v>0</v>
      </c>
      <c r="AP44" s="625">
        <f>IF(AP45=0,0,AP43/AP45)</f>
        <v>0</v>
      </c>
      <c r="AQ44" s="625">
        <f>IF(AQ45=0,0,AQ43/AQ45)</f>
        <v>0</v>
      </c>
      <c r="AR44" s="625">
        <f>IF(AR45=0,0,AR43/AR45)</f>
        <v>0</v>
      </c>
      <c r="AS44" s="625">
        <f>IF(AS45=0,0,AS43/AS45)</f>
        <v>0</v>
      </c>
      <c r="AT44" s="625">
        <f>IF(AT45=0,0,AT43/AT45)</f>
        <v>0</v>
      </c>
      <c r="AU44" s="625">
        <f>IF(AU45=0,0,AU43/AU45)</f>
        <v>0</v>
      </c>
      <c r="AV44" s="625">
        <f>IF(AV45=0,0,AV43/AV45)</f>
        <v>0</v>
      </c>
      <c r="AW44" s="625">
        <f>IF(AW45=0,0,AW43/AW45)</f>
        <v>0</v>
      </c>
      <c r="AX44" s="625">
        <f>IF(AX45=0,0,AX43/AX45)</f>
        <v>0</v>
      </c>
      <c r="AY44" s="625">
        <f>IF(AY45=0,0,AY43/AY45)</f>
        <v>0</v>
      </c>
      <c r="AZ44" s="625">
        <f>IF(AZ45=0,0,AZ43/AZ45)</f>
        <v>0</v>
      </c>
      <c r="BA44" s="625">
        <f>IF(BA45=0,0,BA43/BA45)</f>
        <v>0</v>
      </c>
      <c r="BB44" s="625">
        <f>IF(BB45=0,0,BB43/BB45)</f>
        <v>0</v>
      </c>
      <c r="BC44" s="625">
        <f>IF(BC45=0,0,BC43/BC45)</f>
        <v>0</v>
      </c>
      <c r="BD44" s="353"/>
      <c r="BE44" s="71"/>
      <c r="BF44" s="71"/>
      <c r="BG44" s="71"/>
      <c r="BH44" s="71"/>
      <c r="BI44" s="71"/>
      <c r="BJ44" s="71"/>
      <c r="BK44" s="71"/>
      <c r="BL44" s="71"/>
      <c r="BM44" s="71"/>
      <c r="BN44" s="71"/>
      <c r="BO44" s="71"/>
      <c r="BP44" s="71"/>
      <c r="BQ44" s="71"/>
      <c r="BR44" s="71"/>
      <c r="BS44" s="71"/>
      <c r="BT44" s="71"/>
      <c r="BU44" s="71"/>
      <c r="BV44" s="71"/>
      <c r="BW44" s="71"/>
      <c r="BX44" s="83"/>
      <c r="BY44" s="183"/>
      <c r="BZ44" s="969"/>
      <c r="CA44" s="489" t="s">
        <v>1145</v>
      </c>
      <c r="CB44" s="489" t="s">
        <v>1141</v>
      </c>
      <c r="CC44" s="489" cm="1" t="str">
        <f t="array" ref="CC44:CC44">CC43</f>
        <v>0</v>
      </c>
      <c r="CD44" s="489" cm="1" t="str">
        <f t="array" ref="CD44:CD44">CD43</f>
        <v>0</v>
      </c>
      <c r="CE44" s="1126"/>
      <c r="CF44" s="1126"/>
      <c r="CG44" s="1506"/>
      <c r="CH44" s="1501" cm="1" t="str">
        <f t="array" ref="CH44:CH44">CH43</f>
        <v>ТЭ.42.31656254.0001</v>
      </c>
      <c r="CI44" s="1501" t="s">
        <v>1139</v>
      </c>
      <c r="CJ44" s="1501" t="s">
        <v>255</v>
      </c>
      <c r="CK44" s="1501" cm="1" t="str">
        <f t="array" ref="CK44:CK44">CK43</f>
        <v>0</v>
      </c>
      <c r="CL44" s="1501" t="s">
        <v>303</v>
      </c>
      <c r="CM44" s="1501" t="s">
        <v>1146</v>
      </c>
      <c r="CN44" s="1501" t="s">
        <v>1147</v>
      </c>
      <c r="CO44" s="1751"/>
      <c r="CP44" s="1751"/>
    </row>
    <row s="1751" customFormat="1" customHeight="1" ht="14.25" hidden="1">
      <c r="A45" s="978" t="str">
        <f>"checkVolume_1."&amp;F45&amp;"."&amp;Y43</f>
        <v>checkVolume_1.1.0</v>
      </c>
      <c r="B45" s="1548"/>
      <c r="C45" s="1548"/>
      <c r="D45" s="1548"/>
      <c r="E45" s="180">
        <v>15</v>
      </c>
      <c r="F45" s="175" cm="1" t="str">
        <f t="array" ref="F45:F45">F43</f>
        <v>1</v>
      </c>
      <c r="G45" s="1659"/>
      <c r="H45" s="193" cm="1" t="str">
        <f t="array" ref="H45:H45">H43</f>
        <v>0</v>
      </c>
      <c r="I45" s="1659"/>
      <c r="J45" s="1659"/>
      <c r="K45" s="1659"/>
      <c r="L45" s="1659"/>
      <c r="M45" s="1659"/>
      <c r="N45" s="1659"/>
      <c r="O45" s="1659"/>
      <c r="P45" s="1659"/>
      <c r="Q45" s="1659"/>
      <c r="R45" s="1659"/>
      <c r="S45" s="1659"/>
      <c r="T45" s="973" cm="1" t="str">
        <f t="array" ref="T45:T45">T43</f>
        <v>false</v>
      </c>
      <c r="U45" s="1548"/>
      <c r="V45" s="1548"/>
      <c r="W45" s="1548"/>
      <c r="X45" s="1548"/>
      <c r="Y45" s="1548"/>
      <c r="Z45" s="1548"/>
      <c r="AA45" s="1661"/>
      <c r="AB45" s="360" t="str">
        <f>AB43&amp;".2"</f>
        <v>1.0.2</v>
      </c>
      <c r="AC45" s="624" t="s">
        <v>1148</v>
      </c>
      <c r="AD45" s="624"/>
      <c r="AE45" s="320" t="s">
        <v>1149</v>
      </c>
      <c r="AF45" s="71"/>
      <c r="AG45" s="71"/>
      <c r="AH45" s="71"/>
      <c r="AI45" s="71"/>
      <c r="AJ45" s="353"/>
      <c r="AK45" s="71"/>
      <c r="AL45" s="71"/>
      <c r="AM45" s="71"/>
      <c r="AN45" s="71"/>
      <c r="AO45" s="71"/>
      <c r="AP45" s="71"/>
      <c r="AQ45" s="71"/>
      <c r="AR45" s="71"/>
      <c r="AS45" s="71"/>
      <c r="AT45" s="71"/>
      <c r="AU45" s="71"/>
      <c r="AV45" s="71"/>
      <c r="AW45" s="71"/>
      <c r="AX45" s="71"/>
      <c r="AY45" s="71"/>
      <c r="AZ45" s="71"/>
      <c r="BA45" s="71"/>
      <c r="BB45" s="71"/>
      <c r="BC45" s="71"/>
      <c r="BD45" s="353"/>
      <c r="BE45" s="71"/>
      <c r="BF45" s="71"/>
      <c r="BG45" s="71"/>
      <c r="BH45" s="71"/>
      <c r="BI45" s="71"/>
      <c r="BJ45" s="71"/>
      <c r="BK45" s="71"/>
      <c r="BL45" s="71"/>
      <c r="BM45" s="71"/>
      <c r="BN45" s="71"/>
      <c r="BO45" s="71"/>
      <c r="BP45" s="71"/>
      <c r="BQ45" s="71"/>
      <c r="BR45" s="71"/>
      <c r="BS45" s="71"/>
      <c r="BT45" s="71"/>
      <c r="BU45" s="71"/>
      <c r="BV45" s="71"/>
      <c r="BW45" s="71"/>
      <c r="BX45" s="83"/>
      <c r="BY45" s="183"/>
      <c r="BZ45" s="969"/>
      <c r="CA45" s="489" t="s">
        <v>1150</v>
      </c>
      <c r="CB45" s="489" t="s">
        <v>1141</v>
      </c>
      <c r="CC45" s="489" cm="1" t="str">
        <f t="array" ref="CC45:CC45">CC43</f>
        <v>0</v>
      </c>
      <c r="CD45" s="489" cm="1" t="str">
        <f t="array" ref="CD45:CD45">CD44</f>
        <v>0</v>
      </c>
      <c r="CE45" s="1126"/>
      <c r="CF45" s="1126"/>
      <c r="CG45" s="1506"/>
      <c r="CH45" s="1501" cm="1" t="str">
        <f t="array" ref="CH45:CH45">CH44</f>
        <v>ТЭ.42.31656254.0001</v>
      </c>
      <c r="CI45" s="1501" t="s">
        <v>1139</v>
      </c>
      <c r="CJ45" s="1501" t="s">
        <v>449</v>
      </c>
      <c r="CK45" s="1501" cm="1" t="str">
        <f t="array" ref="CK45:CK45">CK44</f>
        <v>0</v>
      </c>
      <c r="CL45" s="1501" t="s">
        <v>303</v>
      </c>
      <c r="CM45" s="1501" t="s">
        <v>1151</v>
      </c>
      <c r="CN45" s="1501" t="s">
        <v>1152</v>
      </c>
      <c r="CO45" s="1751"/>
      <c r="CP45" s="1751"/>
    </row>
    <row s="1751" customFormat="1" customHeight="1" ht="14.25">
      <c r="A46" s="371"/>
      <c r="B46" s="1548"/>
      <c r="C46" s="1548"/>
      <c r="D46" s="1548"/>
      <c r="E46" s="180">
        <v>15</v>
      </c>
      <c r="F46" s="175" cm="1" t="str">
        <f t="array" ref="F46:F46">F42</f>
        <v>1</v>
      </c>
      <c r="G46" s="1659"/>
      <c r="H46" s="1659"/>
      <c r="I46" s="1659"/>
      <c r="J46" s="1659"/>
      <c r="K46" s="1659"/>
      <c r="L46" s="1659"/>
      <c r="M46" s="1659"/>
      <c r="N46" s="1659"/>
      <c r="O46" s="1659"/>
      <c r="P46" s="1659"/>
      <c r="Q46" s="1659"/>
      <c r="R46" s="1659"/>
      <c r="S46" s="1659"/>
      <c r="T46" s="753">
        <f>F46&gt;0</f>
        <v>1</v>
      </c>
      <c r="U46" s="1548"/>
      <c r="V46" s="1548"/>
      <c r="W46" s="176" t="s">
        <v>1153</v>
      </c>
      <c r="X46" s="1548"/>
      <c r="Y46" s="1548"/>
      <c r="Z46" s="1548"/>
      <c r="AA46" s="183"/>
      <c r="AB46" s="405"/>
      <c r="AC46" s="407" t="s">
        <v>1111</v>
      </c>
      <c r="AD46" s="407"/>
      <c r="AE46" s="407"/>
      <c r="AF46" s="407"/>
      <c r="AG46" s="407"/>
      <c r="AH46" s="407"/>
      <c r="AI46" s="407"/>
      <c r="AJ46" s="407"/>
      <c r="AK46" s="407"/>
      <c r="AL46" s="407"/>
      <c r="AM46" s="407"/>
      <c r="AN46" s="407"/>
      <c r="AO46" s="407"/>
      <c r="AP46" s="407"/>
      <c r="AQ46" s="407"/>
      <c r="AR46" s="407"/>
      <c r="AS46" s="407"/>
      <c r="AT46" s="407"/>
      <c r="AU46" s="407"/>
      <c r="AV46" s="407"/>
      <c r="AW46" s="407"/>
      <c r="AX46" s="407"/>
      <c r="AY46" s="407"/>
      <c r="AZ46" s="407"/>
      <c r="BA46" s="407"/>
      <c r="BB46" s="407"/>
      <c r="BC46" s="407"/>
      <c r="BD46" s="407"/>
      <c r="BE46" s="407"/>
      <c r="BF46" s="407"/>
      <c r="BG46" s="407"/>
      <c r="BH46" s="407"/>
      <c r="BI46" s="407"/>
      <c r="BJ46" s="407"/>
      <c r="BK46" s="407"/>
      <c r="BL46" s="407"/>
      <c r="BM46" s="407"/>
      <c r="BN46" s="407"/>
      <c r="BO46" s="407"/>
      <c r="BP46" s="407"/>
      <c r="BQ46" s="407"/>
      <c r="BR46" s="407"/>
      <c r="BS46" s="407"/>
      <c r="BT46" s="407"/>
      <c r="BU46" s="407"/>
      <c r="BV46" s="407"/>
      <c r="BW46" s="407"/>
      <c r="BX46" s="610"/>
      <c r="BY46" s="183"/>
      <c r="BZ46" s="969"/>
      <c r="CA46" s="489" t="str">
        <f>IF(AND(ISNUMBER(VALUE(TRIM(SUBSTITUTE(AB46,".","")))),TRIM(SUBSTITUTE(AB46,".",""))&lt;&gt;""),"P"&amp;SUBSTITUTE(AB46,".",""),"")</f>
        <v/>
      </c>
      <c r="CB46" s="1125"/>
      <c r="CC46" s="1125"/>
      <c r="CD46" s="1125"/>
      <c r="CE46" s="546" t="s">
        <v>1141</v>
      </c>
      <c r="CF46" s="1126"/>
      <c r="CG46" s="1506"/>
      <c r="CH46" s="1501" cm="1" t="str">
        <f t="array" ref="CH46:CH46">OFFSET(CI46,-1,-1)</f>
        <v>ТЭ.42.31656254.0001</v>
      </c>
      <c r="CI46" s="1501"/>
      <c r="CJ46" s="1501"/>
      <c r="CK46" s="1501"/>
      <c r="CL46" s="1501"/>
      <c r="CM46" s="1501"/>
      <c r="CN46" s="1501"/>
      <c r="CO46" s="1751"/>
      <c r="CP46" s="1751"/>
    </row>
    <row s="1751" customFormat="1" customHeight="1" ht="14.25">
      <c r="A47" s="371"/>
      <c r="B47" s="1548"/>
      <c r="C47" s="1548"/>
      <c r="D47" s="1548"/>
      <c r="E47" s="180">
        <v>15</v>
      </c>
      <c r="F47" s="175" cm="1" t="str">
        <f t="array" ref="F47:F47">F46</f>
        <v>1</v>
      </c>
      <c r="G47" s="193" t="s">
        <v>1154</v>
      </c>
      <c r="H47" s="1659"/>
      <c r="I47" s="1659"/>
      <c r="J47" s="1659"/>
      <c r="K47" s="1659"/>
      <c r="L47" s="1659"/>
      <c r="M47" s="1659"/>
      <c r="N47" s="1659"/>
      <c r="O47" s="1659"/>
      <c r="P47" s="1659"/>
      <c r="Q47" s="1659"/>
      <c r="R47" s="1659"/>
      <c r="S47" s="1659"/>
      <c r="T47" s="753">
        <f>F47&gt;0</f>
        <v>1</v>
      </c>
      <c r="U47" s="1548"/>
      <c r="V47" s="1548"/>
      <c r="W47" s="1548"/>
      <c r="X47" s="1548"/>
      <c r="Y47" s="1548"/>
      <c r="Z47" s="1548"/>
      <c r="AA47" s="183"/>
      <c r="AB47" s="554">
        <v>2</v>
      </c>
      <c r="AC47" s="555" t="s">
        <v>1155</v>
      </c>
      <c r="AD47" s="555"/>
      <c r="AE47" s="556" t="s">
        <v>917</v>
      </c>
      <c r="AF47" s="587">
        <f>SUMIF($AE48:$AE52,$AE47,AF48:AF52)</f>
        <v>0</v>
      </c>
      <c r="AG47" s="587">
        <f>SUMIF($AE48:$AE52,$AE47,AG48:AG52)</f>
        <v>0</v>
      </c>
      <c r="AH47" s="587">
        <f>SUMIF($AE48:$AE52,$AE47,AH48:AH52)</f>
        <v>0</v>
      </c>
      <c r="AI47" s="587">
        <f>SUMIF($AE48:$AE52,$AE47,AI48:AI52)</f>
        <v>0</v>
      </c>
      <c r="AJ47" s="587">
        <f>SUMIF($AE48:$AE52,$AE47,AJ48:AJ52)</f>
        <v>0</v>
      </c>
      <c r="AK47" s="2286">
        <f>SUMIF($AE48:$AE52,$AE47,AK48:AK52)</f>
        <v>0</v>
      </c>
      <c r="AL47" s="2286">
        <f>SUMIF($AE48:$AE52,$AE47,AL48:AL52)</f>
        <v>0</v>
      </c>
      <c r="AM47" s="2286">
        <f>SUMIF($AE48:$AE52,$AE47,AM48:AM52)</f>
        <v>0</v>
      </c>
      <c r="AN47" s="2286">
        <f>SUMIF($AE48:$AE52,$AE47,AN48:AN52)</f>
        <v>0</v>
      </c>
      <c r="AO47" s="2286">
        <f>SUMIF($AE48:$AE52,$AE47,AO48:AO52)</f>
        <v>0</v>
      </c>
      <c r="AP47" s="2286">
        <f>SUMIF($AE48:$AE52,$AE47,AP48:AP52)</f>
        <v>0</v>
      </c>
      <c r="AQ47" s="2286">
        <f>SUMIF($AE48:$AE52,$AE47,AQ48:AQ52)</f>
        <v>0</v>
      </c>
      <c r="AR47" s="2286">
        <f>SUMIF($AE48:$AE52,$AE47,AR48:AR52)</f>
        <v>0</v>
      </c>
      <c r="AS47" s="2286">
        <f>SUMIF($AE48:$AE52,$AE47,AS48:AS52)</f>
        <v>0</v>
      </c>
      <c r="AT47" s="2286">
        <f>SUMIF($AE48:$AE52,$AE47,AT48:AT52)</f>
        <v>0</v>
      </c>
      <c r="AU47" s="2286">
        <f>SUMIF($AE48:$AE52,$AE47,AU48:AU52)</f>
        <v>0</v>
      </c>
      <c r="AV47" s="2286">
        <f>SUMIF($AE48:$AE52,$AE47,AV48:AV52)</f>
        <v>0</v>
      </c>
      <c r="AW47" s="2286">
        <f>SUMIF($AE48:$AE52,$AE47,AW48:AW52)</f>
        <v>0</v>
      </c>
      <c r="AX47" s="2286">
        <f>SUMIF($AE48:$AE52,$AE47,AX48:AX52)</f>
        <v>0</v>
      </c>
      <c r="AY47" s="2286">
        <f>SUMIF($AE48:$AE52,$AE47,AY48:AY52)</f>
        <v>0</v>
      </c>
      <c r="AZ47" s="2286">
        <f>SUMIF($AE48:$AE52,$AE47,AZ48:AZ52)</f>
        <v>0</v>
      </c>
      <c r="BA47" s="2286">
        <f>SUMIF($AE48:$AE52,$AE47,BA48:BA52)</f>
        <v>0</v>
      </c>
      <c r="BB47" s="2286">
        <f>SUMIF($AE48:$AE52,$AE47,BB48:BB52)</f>
        <v>0</v>
      </c>
      <c r="BC47" s="2286">
        <f>SUMIF($AE48:$AE52,$AE47,BC48:BC52)</f>
        <v>0</v>
      </c>
      <c r="BD47" s="587">
        <f>SUMIF($AE48:$AE52,$AE47,BD48:BD52)</f>
        <v>0</v>
      </c>
      <c r="BE47" s="2286">
        <f>SUMIF($AE48:$AE52,$AE47,BE48:BE52)</f>
        <v>0</v>
      </c>
      <c r="BF47" s="2286">
        <f>SUMIF($AE48:$AE52,$AE47,BF48:BF52)</f>
        <v>0</v>
      </c>
      <c r="BG47" s="2286">
        <f>SUMIF($AE48:$AE52,$AE47,BG48:BG52)</f>
        <v>0</v>
      </c>
      <c r="BH47" s="2286">
        <f>SUMIF($AE48:$AE52,$AE47,BH48:BH52)</f>
        <v>0</v>
      </c>
      <c r="BI47" s="2286">
        <f>SUMIF($AE48:$AE52,$AE47,BI48:BI52)</f>
        <v>0</v>
      </c>
      <c r="BJ47" s="2286">
        <f>SUMIF($AE48:$AE52,$AE47,BJ48:BJ52)</f>
        <v>0</v>
      </c>
      <c r="BK47" s="2286">
        <f>SUMIF($AE48:$AE52,$AE47,BK48:BK52)</f>
        <v>0</v>
      </c>
      <c r="BL47" s="2286">
        <f>SUMIF($AE48:$AE52,$AE47,BL48:BL52)</f>
        <v>0</v>
      </c>
      <c r="BM47" s="2286">
        <f>SUMIF($AE48:$AE52,$AE47,BM48:BM52)</f>
        <v>0</v>
      </c>
      <c r="BN47" s="2286">
        <f>SUMIF($AE48:$AE52,$AE47,BN48:BN52)</f>
        <v>0</v>
      </c>
      <c r="BO47" s="2286">
        <f>SUMIF($AE48:$AE52,$AE47,BO48:BO52)</f>
        <v>0</v>
      </c>
      <c r="BP47" s="2286">
        <f>SUMIF($AE48:$AE52,$AE47,BP48:BP52)</f>
        <v>0</v>
      </c>
      <c r="BQ47" s="2286">
        <f>SUMIF($AE48:$AE52,$AE47,BQ48:BQ52)</f>
        <v>0</v>
      </c>
      <c r="BR47" s="2286">
        <f>SUMIF($AE48:$AE52,$AE47,BR48:BR52)</f>
        <v>0</v>
      </c>
      <c r="BS47" s="2286">
        <f>SUMIF($AE48:$AE52,$AE47,BS48:BS52)</f>
        <v>0</v>
      </c>
      <c r="BT47" s="2286">
        <f>SUMIF($AE48:$AE52,$AE47,BT48:BT52)</f>
        <v>0</v>
      </c>
      <c r="BU47" s="2286">
        <f>SUMIF($AE48:$AE52,$AE47,BU48:BU52)</f>
        <v>0</v>
      </c>
      <c r="BV47" s="2286">
        <f>SUMIF($AE48:$AE52,$AE47,BV48:BV52)</f>
        <v>0</v>
      </c>
      <c r="BW47" s="2286">
        <f>SUMIF($AE48:$AE52,$AE47,BW48:BW52)</f>
        <v>0</v>
      </c>
      <c r="BX47" s="1897"/>
      <c r="BY47" s="183"/>
      <c r="BZ47" s="969"/>
      <c r="CA47" s="489" t="s">
        <v>1156</v>
      </c>
      <c r="CB47" s="1125"/>
      <c r="CC47" s="1125"/>
      <c r="CD47" s="1125"/>
      <c r="CE47" s="1126"/>
      <c r="CF47" s="1126"/>
      <c r="CG47" s="1506"/>
      <c r="CH47" s="1501" cm="1" t="str">
        <f t="array" ref="CH47:CH47">OFFSET(CI47,-1,-1)</f>
        <v>ТЭ.42.31656254.0001</v>
      </c>
      <c r="CI47" s="1501" t="s">
        <v>1157</v>
      </c>
      <c r="CJ47" s="1501"/>
      <c r="CK47" s="1501"/>
      <c r="CL47" s="1501" t="s">
        <v>303</v>
      </c>
      <c r="CM47" s="1501" t="s">
        <v>1044</v>
      </c>
      <c r="CN47" s="1501" t="s">
        <v>1045</v>
      </c>
      <c r="CO47" s="1751"/>
      <c r="CP47" s="1751"/>
    </row>
    <row s="1751" customFormat="1" customHeight="1" ht="18.75" hidden="1">
      <c r="A48" s="371"/>
      <c r="B48" s="1548"/>
      <c r="C48" s="1548"/>
      <c r="D48" s="1548"/>
      <c r="E48" s="180">
        <v>0</v>
      </c>
      <c r="F48" s="175" cm="1" t="str">
        <f t="array" ref="F48:F48">OFFSET(G48,-1,-1)</f>
        <v>1</v>
      </c>
      <c r="G48" s="1659"/>
      <c r="H48" s="1659"/>
      <c r="I48" s="1659"/>
      <c r="J48" s="1659"/>
      <c r="K48" s="1659"/>
      <c r="L48" s="1659"/>
      <c r="M48" s="1659"/>
      <c r="N48" s="1659"/>
      <c r="O48" s="1659"/>
      <c r="P48" s="1659"/>
      <c r="Q48" s="1659"/>
      <c r="R48" s="1659"/>
      <c r="S48" s="1659"/>
      <c r="T48" s="753">
        <f>F48&gt;0</f>
        <v>1</v>
      </c>
      <c r="U48" s="1548"/>
      <c r="V48" s="1548"/>
      <c r="W48" s="1548"/>
      <c r="X48" s="1548"/>
      <c r="Y48" s="1548"/>
      <c r="Z48" s="1548"/>
      <c r="AA48" s="183"/>
      <c r="AB48" s="554"/>
      <c r="AC48" s="555"/>
      <c r="AD48" s="555"/>
      <c r="AE48" s="556"/>
      <c r="AF48" s="596"/>
      <c r="AG48" s="596"/>
      <c r="AH48" s="596"/>
      <c r="AI48" s="596"/>
      <c r="AJ48" s="596"/>
      <c r="AK48" s="596"/>
      <c r="AL48" s="596"/>
      <c r="AM48" s="596"/>
      <c r="AN48" s="596"/>
      <c r="AO48" s="596"/>
      <c r="AP48" s="596"/>
      <c r="AQ48" s="596"/>
      <c r="AR48" s="596"/>
      <c r="AS48" s="596"/>
      <c r="AT48" s="596"/>
      <c r="AU48" s="596"/>
      <c r="AV48" s="596"/>
      <c r="AW48" s="596"/>
      <c r="AX48" s="596"/>
      <c r="AY48" s="596"/>
      <c r="AZ48" s="596"/>
      <c r="BA48" s="596"/>
      <c r="BB48" s="596"/>
      <c r="BC48" s="596"/>
      <c r="BD48" s="596"/>
      <c r="BE48" s="596"/>
      <c r="BF48" s="596"/>
      <c r="BG48" s="596"/>
      <c r="BH48" s="596"/>
      <c r="BI48" s="596"/>
      <c r="BJ48" s="596"/>
      <c r="BK48" s="596"/>
      <c r="BL48" s="596"/>
      <c r="BM48" s="596"/>
      <c r="BN48" s="596"/>
      <c r="BO48" s="596"/>
      <c r="BP48" s="596"/>
      <c r="BQ48" s="596"/>
      <c r="BR48" s="596"/>
      <c r="BS48" s="596"/>
      <c r="BT48" s="596"/>
      <c r="BU48" s="596"/>
      <c r="BV48" s="596"/>
      <c r="BW48" s="596"/>
      <c r="BX48" s="597"/>
      <c r="BY48" s="183"/>
      <c r="BZ48" s="969"/>
      <c r="CA48" s="489" t="str">
        <f>IF(AND(ISNUMBER(VALUE(TRIM(SUBSTITUTE(AB48,".","")))),TRIM(SUBSTITUTE(AB48,".",""))&lt;&gt;""),"P"&amp;SUBSTITUTE(AB48,".",""),"")</f>
        <v/>
      </c>
      <c r="CB48" s="1125"/>
      <c r="CC48" s="1125"/>
      <c r="CD48" s="1125"/>
      <c r="CE48" s="1126"/>
      <c r="CF48" s="1126"/>
      <c r="CG48" s="1506"/>
      <c r="CH48" s="1501" cm="1" t="str">
        <f t="array" ref="CH48:CH48">OFFSET(CI48,-1,-1)</f>
        <v>ТЭ.42.31656254.0001</v>
      </c>
      <c r="CI48" s="1501"/>
      <c r="CJ48" s="1501"/>
      <c r="CK48" s="1501"/>
      <c r="CL48" s="1501"/>
      <c r="CM48" s="1501"/>
      <c r="CN48" s="1501"/>
      <c r="CO48" s="1751"/>
      <c r="CP48" s="1751"/>
    </row>
    <row s="1751" customFormat="1" customHeight="1" ht="14.25" hidden="1">
      <c r="A49" s="978" t="str">
        <f>"checkCosts_2."&amp;F49&amp;"."&amp;Y49</f>
        <v>checkCosts_2.1.0</v>
      </c>
      <c r="B49" s="1548"/>
      <c r="C49" s="1548"/>
      <c r="D49" s="1548"/>
      <c r="E49" s="180">
        <v>15</v>
      </c>
      <c r="F49" s="175" cm="1" t="str">
        <f t="array" ref="F49:F49">OFFSET(G49,-1,-1)</f>
        <v>1</v>
      </c>
      <c r="G49" s="1659"/>
      <c r="H49" s="193" cm="1" t="str">
        <f t="array" ref="H49:H49">AC49</f>
        <v>0</v>
      </c>
      <c r="I49" s="1659"/>
      <c r="J49" s="1659"/>
      <c r="K49" s="1659"/>
      <c r="L49" s="1659"/>
      <c r="M49" s="1659"/>
      <c r="N49" s="1659"/>
      <c r="O49" s="1659"/>
      <c r="P49" s="1659"/>
      <c r="Q49" s="1659"/>
      <c r="R49" s="1659"/>
      <c r="S49" s="1659"/>
      <c r="T49" s="973">
        <f>AND(F49&gt;0,Y49&gt;0)</f>
        <v>0</v>
      </c>
      <c r="U49" s="1548"/>
      <c r="V49" s="1548"/>
      <c r="W49" s="175" t="s">
        <v>189</v>
      </c>
      <c r="X49" s="1548"/>
      <c r="Y49" s="175">
        <v>0</v>
      </c>
      <c r="Z49" s="1548"/>
      <c r="AA49" s="1660" t="s">
        <v>171</v>
      </c>
      <c r="AB49" s="360" t="str">
        <f>"2."&amp;Y49</f>
        <v>2.0</v>
      </c>
      <c r="AC49" s="322"/>
      <c r="AD49" s="111"/>
      <c r="AE49" s="556" t="s">
        <v>917</v>
      </c>
      <c r="AF49" s="71">
        <f>AF50*AF51</f>
        <v>0</v>
      </c>
      <c r="AG49" s="71"/>
      <c r="AH49" s="71"/>
      <c r="AI49" s="71">
        <f>AI50*AI51</f>
        <v>0</v>
      </c>
      <c r="AJ49" s="353"/>
      <c r="AK49" s="71"/>
      <c r="AL49" s="71"/>
      <c r="AM49" s="71"/>
      <c r="AN49" s="71"/>
      <c r="AO49" s="71"/>
      <c r="AP49" s="71"/>
      <c r="AQ49" s="71"/>
      <c r="AR49" s="71"/>
      <c r="AS49" s="71"/>
      <c r="AT49" s="71"/>
      <c r="AU49" s="71"/>
      <c r="AV49" s="71"/>
      <c r="AW49" s="71"/>
      <c r="AX49" s="71"/>
      <c r="AY49" s="71"/>
      <c r="AZ49" s="71"/>
      <c r="BA49" s="71"/>
      <c r="BB49" s="71"/>
      <c r="BC49" s="71"/>
      <c r="BD49" s="353">
        <f>BD50*BD51</f>
        <v>0</v>
      </c>
      <c r="BE49" s="71">
        <f>BE50*BE51</f>
        <v>0</v>
      </c>
      <c r="BF49" s="71">
        <f>BF50*BF51</f>
        <v>0</v>
      </c>
      <c r="BG49" s="71">
        <f>BG50*BG51</f>
        <v>0</v>
      </c>
      <c r="BH49" s="71">
        <f>BH50*BH51</f>
        <v>0</v>
      </c>
      <c r="BI49" s="71">
        <f>BI50*BI51</f>
        <v>0</v>
      </c>
      <c r="BJ49" s="71">
        <f>BJ50*BJ51</f>
        <v>0</v>
      </c>
      <c r="BK49" s="71">
        <f>BK50*BK51</f>
        <v>0</v>
      </c>
      <c r="BL49" s="71">
        <f>BL50*BL51</f>
        <v>0</v>
      </c>
      <c r="BM49" s="71">
        <f>BM50*BM51</f>
        <v>0</v>
      </c>
      <c r="BN49" s="71">
        <f>BN50*BN51</f>
        <v>0</v>
      </c>
      <c r="BO49" s="71">
        <f>BO50*BO51</f>
        <v>0</v>
      </c>
      <c r="BP49" s="71">
        <f>BP50*BP51</f>
        <v>0</v>
      </c>
      <c r="BQ49" s="71">
        <f>BQ50*BQ51</f>
        <v>0</v>
      </c>
      <c r="BR49" s="71">
        <f>BR50*BR51</f>
        <v>0</v>
      </c>
      <c r="BS49" s="71">
        <f>BS50*BS51</f>
        <v>0</v>
      </c>
      <c r="BT49" s="71">
        <f>BT50*BT51</f>
        <v>0</v>
      </c>
      <c r="BU49" s="71">
        <f>BU50*BU51</f>
        <v>0</v>
      </c>
      <c r="BV49" s="71">
        <f>BV50*BV51</f>
        <v>0</v>
      </c>
      <c r="BW49" s="71">
        <f>BW50*BW51</f>
        <v>0</v>
      </c>
      <c r="BX49" s="83"/>
      <c r="BY49" s="183"/>
      <c r="BZ49" s="969"/>
      <c r="CA49" s="489" t="s">
        <v>1158</v>
      </c>
      <c r="CB49" s="489" t="s">
        <v>1159</v>
      </c>
      <c r="CC49" s="489" cm="1" t="str">
        <f t="array" ref="CC49:CC49">AC49</f>
        <v>0</v>
      </c>
      <c r="CD49" s="489" cm="1" t="str">
        <f t="array" ref="CD49:CD49">AD49</f>
        <v>0</v>
      </c>
      <c r="CE49" s="1126"/>
      <c r="CF49" s="546" t="b">
        <v>1</v>
      </c>
      <c r="CG49" s="1506"/>
      <c r="CH49" s="1501" cm="1" t="str">
        <f t="array" ref="CH49:CH49">OFFSET(CI49,-1,-1)</f>
        <v>ТЭ.42.31656254.0001</v>
      </c>
      <c r="CI49" s="1501" t="s">
        <v>1157</v>
      </c>
      <c r="CJ49" s="1501" t="s">
        <v>219</v>
      </c>
      <c r="CK49" s="1501" cm="1" t="str">
        <f t="array" ref="CK49:CK49">$AC49</f>
        <v>0</v>
      </c>
      <c r="CL49" s="1501" t="s">
        <v>303</v>
      </c>
      <c r="CM49" s="1501" t="s">
        <v>1142</v>
      </c>
      <c r="CN49" s="1501" t="s">
        <v>1143</v>
      </c>
      <c r="CO49" s="1751"/>
      <c r="CP49" s="1751"/>
    </row>
    <row s="1751" customFormat="1" customHeight="1" ht="14.25" hidden="1">
      <c r="A50" s="371"/>
      <c r="B50" s="1548"/>
      <c r="C50" s="1548"/>
      <c r="D50" s="1548"/>
      <c r="E50" s="180">
        <v>15</v>
      </c>
      <c r="F50" s="175" cm="1" t="str">
        <f t="array" ref="F50:F50">OFFSET(G50,-1,-1)</f>
        <v>1</v>
      </c>
      <c r="G50" s="1659"/>
      <c r="H50" s="193" cm="1" t="str">
        <f t="array" ref="H50:H50">H49</f>
        <v>0</v>
      </c>
      <c r="I50" s="1659"/>
      <c r="J50" s="1659"/>
      <c r="K50" s="1659"/>
      <c r="L50" s="1659"/>
      <c r="M50" s="1659"/>
      <c r="N50" s="1659"/>
      <c r="O50" s="1659"/>
      <c r="P50" s="1659"/>
      <c r="Q50" s="1659"/>
      <c r="R50" s="1659"/>
      <c r="S50" s="1659"/>
      <c r="T50" s="973" cm="1" t="str">
        <f t="array" ref="T50:T50">T49</f>
        <v>false</v>
      </c>
      <c r="U50" s="1548"/>
      <c r="V50" s="1548"/>
      <c r="W50" s="1548"/>
      <c r="X50" s="1548"/>
      <c r="Y50" s="1548"/>
      <c r="Z50" s="1548"/>
      <c r="AA50" s="1661"/>
      <c r="AB50" s="360" t="str">
        <f>AB49&amp;".1"</f>
        <v>2.0.1</v>
      </c>
      <c r="AC50" s="624" t="s">
        <v>1063</v>
      </c>
      <c r="AD50" s="624"/>
      <c r="AE50" s="320" t="s">
        <v>1144</v>
      </c>
      <c r="AF50" s="71"/>
      <c r="AG50" s="625">
        <f>IF(AG51=0,0,AG49/AG51)</f>
        <v>0</v>
      </c>
      <c r="AH50" s="625">
        <f>IF(AH51=0,0,AH49/AH51)</f>
        <v>0</v>
      </c>
      <c r="AI50" s="71"/>
      <c r="AJ50" s="625">
        <f>IF(AJ51=0,0,AJ49/AJ51)</f>
        <v>0</v>
      </c>
      <c r="AK50" s="625">
        <f>IF(AK51=0,0,AK49/AK51)</f>
        <v>0</v>
      </c>
      <c r="AL50" s="625">
        <f>IF(AL51=0,0,AL49/AL51)</f>
        <v>0</v>
      </c>
      <c r="AM50" s="625">
        <f>IF(AM51=0,0,AM49/AM51)</f>
        <v>0</v>
      </c>
      <c r="AN50" s="625">
        <f>IF(AN51=0,0,AN49/AN51)</f>
        <v>0</v>
      </c>
      <c r="AO50" s="625">
        <f>IF(AO51=0,0,AO49/AO51)</f>
        <v>0</v>
      </c>
      <c r="AP50" s="625">
        <f>IF(AP51=0,0,AP49/AP51)</f>
        <v>0</v>
      </c>
      <c r="AQ50" s="625">
        <f>IF(AQ51=0,0,AQ49/AQ51)</f>
        <v>0</v>
      </c>
      <c r="AR50" s="625">
        <f>IF(AR51=0,0,AR49/AR51)</f>
        <v>0</v>
      </c>
      <c r="AS50" s="625">
        <f>IF(AS51=0,0,AS49/AS51)</f>
        <v>0</v>
      </c>
      <c r="AT50" s="625">
        <f>IF(AT51=0,0,AT49/AT51)</f>
        <v>0</v>
      </c>
      <c r="AU50" s="625">
        <f>IF(AU51=0,0,AU49/AU51)</f>
        <v>0</v>
      </c>
      <c r="AV50" s="625">
        <f>IF(AV51=0,0,AV49/AV51)</f>
        <v>0</v>
      </c>
      <c r="AW50" s="625">
        <f>IF(AW51=0,0,AW49/AW51)</f>
        <v>0</v>
      </c>
      <c r="AX50" s="625">
        <f>IF(AX51=0,0,AX49/AX51)</f>
        <v>0</v>
      </c>
      <c r="AY50" s="625">
        <f>IF(AY51=0,0,AY49/AY51)</f>
        <v>0</v>
      </c>
      <c r="AZ50" s="625">
        <f>IF(AZ51=0,0,AZ49/AZ51)</f>
        <v>0</v>
      </c>
      <c r="BA50" s="625">
        <f>IF(BA51=0,0,BA49/BA51)</f>
        <v>0</v>
      </c>
      <c r="BB50" s="625">
        <f>IF(BB51=0,0,BB49/BB51)</f>
        <v>0</v>
      </c>
      <c r="BC50" s="625">
        <f>IF(BC51=0,0,BC49/BC51)</f>
        <v>0</v>
      </c>
      <c r="BD50" s="353"/>
      <c r="BE50" s="71"/>
      <c r="BF50" s="71"/>
      <c r="BG50" s="71"/>
      <c r="BH50" s="71"/>
      <c r="BI50" s="71"/>
      <c r="BJ50" s="71"/>
      <c r="BK50" s="71"/>
      <c r="BL50" s="71"/>
      <c r="BM50" s="71"/>
      <c r="BN50" s="71"/>
      <c r="BO50" s="71"/>
      <c r="BP50" s="71"/>
      <c r="BQ50" s="71"/>
      <c r="BR50" s="71"/>
      <c r="BS50" s="71"/>
      <c r="BT50" s="71"/>
      <c r="BU50" s="71"/>
      <c r="BV50" s="71"/>
      <c r="BW50" s="71"/>
      <c r="BX50" s="83"/>
      <c r="BY50" s="183"/>
      <c r="BZ50" s="969"/>
      <c r="CA50" s="489" t="s">
        <v>1160</v>
      </c>
      <c r="CB50" s="489" t="s">
        <v>1159</v>
      </c>
      <c r="CC50" s="489" cm="1" t="str">
        <f t="array" ref="CC50:CC50">CC49</f>
        <v>0</v>
      </c>
      <c r="CD50" s="489" cm="1" t="str">
        <f t="array" ref="CD50:CD50">CD49</f>
        <v>0</v>
      </c>
      <c r="CE50" s="1126"/>
      <c r="CF50" s="1126"/>
      <c r="CG50" s="1506"/>
      <c r="CH50" s="1501" cm="1" t="str">
        <f t="array" ref="CH50:CH50">CH49</f>
        <v>ТЭ.42.31656254.0001</v>
      </c>
      <c r="CI50" s="1501" t="s">
        <v>1157</v>
      </c>
      <c r="CJ50" s="1501" t="s">
        <v>255</v>
      </c>
      <c r="CK50" s="1501" cm="1" t="str">
        <f t="array" ref="CK50:CK50">CK49</f>
        <v>0</v>
      </c>
      <c r="CL50" s="1501" t="s">
        <v>303</v>
      </c>
      <c r="CM50" s="1501" t="s">
        <v>1146</v>
      </c>
      <c r="CN50" s="1501" t="s">
        <v>1147</v>
      </c>
      <c r="CO50" s="1751"/>
      <c r="CP50" s="1751"/>
    </row>
    <row s="1751" customFormat="1" customHeight="1" ht="14.25" hidden="1">
      <c r="A51" s="978" t="str">
        <f>"checkVolume_2."&amp;F51&amp;"."&amp;Y49</f>
        <v>checkVolume_2.1.0</v>
      </c>
      <c r="B51" s="1548"/>
      <c r="C51" s="1548"/>
      <c r="D51" s="1548"/>
      <c r="E51" s="180">
        <v>15</v>
      </c>
      <c r="F51" s="175" cm="1" t="str">
        <f t="array" ref="F51:F51">OFFSET(G51,-1,-1)</f>
        <v>1</v>
      </c>
      <c r="G51" s="1659"/>
      <c r="H51" s="193" cm="1" t="str">
        <f t="array" ref="H51:H51">H49</f>
        <v>0</v>
      </c>
      <c r="I51" s="1659"/>
      <c r="J51" s="1659"/>
      <c r="K51" s="1659"/>
      <c r="L51" s="1659"/>
      <c r="M51" s="1659"/>
      <c r="N51" s="1659"/>
      <c r="O51" s="1659"/>
      <c r="P51" s="1659"/>
      <c r="Q51" s="1659"/>
      <c r="R51" s="1659"/>
      <c r="S51" s="1659"/>
      <c r="T51" s="973" cm="1" t="str">
        <f t="array" ref="T51:T51">T49</f>
        <v>false</v>
      </c>
      <c r="U51" s="1548"/>
      <c r="V51" s="1548"/>
      <c r="W51" s="1548"/>
      <c r="X51" s="1548"/>
      <c r="Y51" s="1548"/>
      <c r="Z51" s="1548"/>
      <c r="AA51" s="1661"/>
      <c r="AB51" s="360" t="str">
        <f>AB49&amp;".2"</f>
        <v>2.0.2</v>
      </c>
      <c r="AC51" s="624" t="s">
        <v>1161</v>
      </c>
      <c r="AD51" s="624"/>
      <c r="AE51" s="320" t="s">
        <v>1149</v>
      </c>
      <c r="AF51" s="71"/>
      <c r="AG51" s="71"/>
      <c r="AH51" s="71"/>
      <c r="AI51" s="71"/>
      <c r="AJ51" s="353"/>
      <c r="AK51" s="71"/>
      <c r="AL51" s="71"/>
      <c r="AM51" s="71"/>
      <c r="AN51" s="71"/>
      <c r="AO51" s="71"/>
      <c r="AP51" s="71"/>
      <c r="AQ51" s="71"/>
      <c r="AR51" s="71"/>
      <c r="AS51" s="71"/>
      <c r="AT51" s="71"/>
      <c r="AU51" s="71"/>
      <c r="AV51" s="71"/>
      <c r="AW51" s="71"/>
      <c r="AX51" s="71"/>
      <c r="AY51" s="71"/>
      <c r="AZ51" s="71"/>
      <c r="BA51" s="71"/>
      <c r="BB51" s="71"/>
      <c r="BC51" s="71"/>
      <c r="BD51" s="353"/>
      <c r="BE51" s="71"/>
      <c r="BF51" s="71"/>
      <c r="BG51" s="71"/>
      <c r="BH51" s="71"/>
      <c r="BI51" s="71"/>
      <c r="BJ51" s="71"/>
      <c r="BK51" s="71"/>
      <c r="BL51" s="71"/>
      <c r="BM51" s="71"/>
      <c r="BN51" s="71"/>
      <c r="BO51" s="71"/>
      <c r="BP51" s="71"/>
      <c r="BQ51" s="71"/>
      <c r="BR51" s="71"/>
      <c r="BS51" s="71"/>
      <c r="BT51" s="71"/>
      <c r="BU51" s="71"/>
      <c r="BV51" s="71"/>
      <c r="BW51" s="71"/>
      <c r="BX51" s="83"/>
      <c r="BY51" s="183"/>
      <c r="BZ51" s="969"/>
      <c r="CA51" s="489" t="s">
        <v>1162</v>
      </c>
      <c r="CB51" s="489" t="s">
        <v>1159</v>
      </c>
      <c r="CC51" s="489" cm="1" t="str">
        <f t="array" ref="CC51:CC51">CC49</f>
        <v>0</v>
      </c>
      <c r="CD51" s="489" cm="1" t="str">
        <f t="array" ref="CD51:CD51">CD50</f>
        <v>0</v>
      </c>
      <c r="CE51" s="1126"/>
      <c r="CF51" s="1126"/>
      <c r="CG51" s="1506"/>
      <c r="CH51" s="1501" cm="1" t="str">
        <f t="array" ref="CH51:CH51">CH50</f>
        <v>ТЭ.42.31656254.0001</v>
      </c>
      <c r="CI51" s="1501" t="s">
        <v>1157</v>
      </c>
      <c r="CJ51" s="1501" t="s">
        <v>449</v>
      </c>
      <c r="CK51" s="1501" cm="1" t="str">
        <f t="array" ref="CK51:CK51">CK50</f>
        <v>0</v>
      </c>
      <c r="CL51" s="1501" t="s">
        <v>303</v>
      </c>
      <c r="CM51" s="1501" t="s">
        <v>1163</v>
      </c>
      <c r="CN51" s="1501" t="s">
        <v>1164</v>
      </c>
      <c r="CO51" s="1751"/>
      <c r="CP51" s="1751"/>
    </row>
    <row s="1751" customFormat="1" customHeight="1" ht="14.25">
      <c r="A52" s="371"/>
      <c r="B52" s="1548"/>
      <c r="C52" s="1548"/>
      <c r="D52" s="1548"/>
      <c r="E52" s="180">
        <v>15</v>
      </c>
      <c r="F52" s="175" cm="1" t="str">
        <f t="array" ref="F52:F52">OFFSET(G52,-1,-1)</f>
        <v>1</v>
      </c>
      <c r="G52" s="1659"/>
      <c r="H52" s="1659"/>
      <c r="I52" s="1659"/>
      <c r="J52" s="1659"/>
      <c r="K52" s="1659"/>
      <c r="L52" s="1659"/>
      <c r="M52" s="1659"/>
      <c r="N52" s="1659"/>
      <c r="O52" s="1659"/>
      <c r="P52" s="1659"/>
      <c r="Q52" s="1659"/>
      <c r="R52" s="1659"/>
      <c r="S52" s="1659"/>
      <c r="T52" s="753">
        <f>F52&gt;0</f>
        <v>1</v>
      </c>
      <c r="U52" s="1548"/>
      <c r="V52" s="1548"/>
      <c r="W52" s="176" t="s">
        <v>1165</v>
      </c>
      <c r="X52" s="1548"/>
      <c r="Y52" s="1548"/>
      <c r="Z52" s="1548"/>
      <c r="AA52" s="183"/>
      <c r="AB52" s="405"/>
      <c r="AC52" s="407" t="s">
        <v>1111</v>
      </c>
      <c r="AD52" s="407"/>
      <c r="AE52" s="407"/>
      <c r="AF52" s="407"/>
      <c r="AG52" s="407"/>
      <c r="AH52" s="407"/>
      <c r="AI52" s="407"/>
      <c r="AJ52" s="407"/>
      <c r="AK52" s="407"/>
      <c r="AL52" s="407"/>
      <c r="AM52" s="407"/>
      <c r="AN52" s="407"/>
      <c r="AO52" s="407"/>
      <c r="AP52" s="407"/>
      <c r="AQ52" s="407"/>
      <c r="AR52" s="407"/>
      <c r="AS52" s="407"/>
      <c r="AT52" s="407"/>
      <c r="AU52" s="407"/>
      <c r="AV52" s="407"/>
      <c r="AW52" s="407"/>
      <c r="AX52" s="407"/>
      <c r="AY52" s="407"/>
      <c r="AZ52" s="407"/>
      <c r="BA52" s="407"/>
      <c r="BB52" s="407"/>
      <c r="BC52" s="407"/>
      <c r="BD52" s="407"/>
      <c r="BE52" s="407"/>
      <c r="BF52" s="407"/>
      <c r="BG52" s="407"/>
      <c r="BH52" s="407"/>
      <c r="BI52" s="407"/>
      <c r="BJ52" s="407"/>
      <c r="BK52" s="407"/>
      <c r="BL52" s="407"/>
      <c r="BM52" s="407"/>
      <c r="BN52" s="407"/>
      <c r="BO52" s="407"/>
      <c r="BP52" s="407"/>
      <c r="BQ52" s="407"/>
      <c r="BR52" s="407"/>
      <c r="BS52" s="407"/>
      <c r="BT52" s="407"/>
      <c r="BU52" s="407"/>
      <c r="BV52" s="407"/>
      <c r="BW52" s="407"/>
      <c r="BX52" s="408"/>
      <c r="BY52" s="183"/>
      <c r="BZ52" s="969"/>
      <c r="CA52" s="1125"/>
      <c r="CB52" s="1125"/>
      <c r="CC52" s="1125"/>
      <c r="CD52" s="1125"/>
      <c r="CE52" s="546" t="s">
        <v>1159</v>
      </c>
      <c r="CF52" s="1126"/>
      <c r="CG52" s="1506"/>
      <c r="CH52" s="1751"/>
      <c r="CI52" s="1751"/>
      <c r="CJ52" s="1751"/>
      <c r="CK52" s="1751"/>
      <c r="CL52" s="1751"/>
      <c r="CM52" s="1751"/>
      <c r="CN52" s="1751"/>
      <c r="CO52" s="1751"/>
      <c r="CP52" s="1751"/>
    </row>
    <row customHeight="1" ht="10.725000000000001">
      <c r="E53" s="180">
        <v>11</v>
      </c>
      <c r="U53" s="175" t="s">
        <v>191</v>
      </c>
      <c r="V53" s="176" t="s">
        <v>1166</v>
      </c>
      <c r="AA53" s="582"/>
      <c r="AB53" s="582"/>
      <c r="AC53" s="582"/>
      <c r="AD53" s="582"/>
      <c r="AE53" s="582"/>
      <c r="AF53" s="582"/>
      <c r="AG53" s="582"/>
      <c r="AH53" s="582"/>
      <c r="AI53" s="582"/>
      <c r="AJ53" s="582"/>
      <c r="AK53" s="582"/>
      <c r="AL53" s="582"/>
      <c r="AM53" s="582"/>
      <c r="AN53" s="582"/>
      <c r="AO53" s="582"/>
      <c r="AP53" s="582"/>
      <c r="AQ53" s="582"/>
      <c r="AR53" s="582"/>
      <c r="AS53" s="582"/>
      <c r="AT53" s="582"/>
      <c r="AU53" s="582"/>
      <c r="AV53" s="582"/>
      <c r="AW53" s="582"/>
      <c r="AX53" s="582"/>
      <c r="AY53" s="582"/>
      <c r="AZ53" s="582"/>
      <c r="BA53" s="582"/>
      <c r="BB53" s="582"/>
      <c r="BC53" s="582"/>
      <c r="BD53" s="582"/>
      <c r="BE53" s="582"/>
      <c r="BF53" s="582"/>
      <c r="BG53" s="582"/>
      <c r="BH53" s="582"/>
      <c r="BI53" s="582"/>
      <c r="BJ53" s="582"/>
      <c r="BK53" s="582"/>
      <c r="BL53" s="582"/>
      <c r="BM53" s="582"/>
      <c r="BN53" s="582"/>
      <c r="BO53" s="582"/>
      <c r="BP53" s="582"/>
      <c r="BQ53" s="582"/>
      <c r="BR53" s="582"/>
      <c r="BS53" s="582"/>
      <c r="BT53" s="582"/>
      <c r="BU53" s="582"/>
      <c r="BV53" s="582"/>
      <c r="BW53" s="582"/>
      <c r="BX53" s="582"/>
      <c r="BY53" s="582"/>
    </row>
    <row customHeight="1" ht="11.25" hidden="1">
      <c r="E54" s="965">
        <v>0</v>
      </c>
      <c r="V54" s="176"/>
      <c r="AA54" s="582"/>
      <c r="AB54" s="582"/>
      <c r="AC54" s="582"/>
      <c r="AD54" s="582"/>
      <c r="AE54" s="582"/>
      <c r="AF54" s="582"/>
      <c r="AG54" s="582"/>
      <c r="AH54" s="582"/>
      <c r="AI54" s="582"/>
      <c r="AJ54" s="582"/>
      <c r="AK54" s="582"/>
      <c r="AL54" s="582"/>
      <c r="AM54" s="582"/>
      <c r="AN54" s="582"/>
      <c r="AO54" s="582"/>
      <c r="AP54" s="582"/>
      <c r="AQ54" s="582"/>
      <c r="AR54" s="582"/>
      <c r="AS54" s="582"/>
      <c r="AT54" s="582"/>
      <c r="AU54" s="582"/>
      <c r="AV54" s="582"/>
      <c r="AW54" s="582"/>
      <c r="AX54" s="582"/>
      <c r="AY54" s="582"/>
      <c r="AZ54" s="582"/>
      <c r="BA54" s="582"/>
      <c r="BB54" s="582"/>
      <c r="BC54" s="582"/>
      <c r="BD54" s="582"/>
      <c r="BE54" s="582"/>
      <c r="BF54" s="582"/>
      <c r="BG54" s="582"/>
      <c r="BH54" s="582"/>
      <c r="BI54" s="582"/>
      <c r="BJ54" s="582"/>
      <c r="BK54" s="582"/>
      <c r="BL54" s="582"/>
      <c r="BM54" s="582"/>
      <c r="BN54" s="582"/>
      <c r="BO54" s="582"/>
      <c r="BP54" s="582"/>
      <c r="BQ54" s="582"/>
      <c r="BR54" s="582"/>
      <c r="BS54" s="582"/>
      <c r="BT54" s="582"/>
      <c r="BU54" s="582"/>
      <c r="BV54" s="582"/>
      <c r="BW54" s="582"/>
      <c r="BX54" s="582"/>
      <c r="BY54" s="582"/>
    </row>
    <row s="1659" customFormat="1" customHeight="1" ht="14.625">
      <c r="A55" s="371"/>
      <c r="B55" s="175"/>
      <c r="C55" s="175"/>
      <c r="D55" s="175"/>
      <c r="E55" s="180">
        <v>15</v>
      </c>
      <c r="F55" s="175"/>
      <c r="T55" s="175"/>
      <c r="U55" s="175"/>
      <c r="V55" s="175"/>
      <c r="W55" s="175"/>
      <c r="X55" s="175"/>
      <c r="Y55" s="175"/>
      <c r="Z55" s="175"/>
      <c r="AA55" s="286"/>
      <c r="AB55" s="1653" t="s">
        <v>765</v>
      </c>
      <c r="AC55" s="1653"/>
      <c r="AD55" s="1653"/>
      <c r="AE55" s="1653"/>
      <c r="AF55" s="1653"/>
      <c r="AG55" s="1653"/>
      <c r="AH55" s="1653"/>
      <c r="AI55" s="1653"/>
      <c r="AJ55" s="1654"/>
      <c r="AK55" s="1654"/>
      <c r="AL55" s="1654"/>
      <c r="AM55" s="1654"/>
      <c r="AN55" s="1654"/>
      <c r="AO55" s="1654"/>
      <c r="AP55" s="1654"/>
      <c r="AQ55" s="1654"/>
      <c r="AR55" s="1654"/>
      <c r="AS55" s="1654"/>
      <c r="AT55" s="1654"/>
      <c r="AU55" s="1654"/>
      <c r="AV55" s="1654"/>
      <c r="AW55" s="1654"/>
      <c r="AX55" s="1654"/>
      <c r="AY55" s="1654"/>
      <c r="AZ55" s="1654"/>
      <c r="BA55" s="1654"/>
      <c r="BB55" s="1654"/>
      <c r="BC55" s="1654"/>
      <c r="BD55" s="1654"/>
      <c r="BE55" s="1654"/>
      <c r="BF55" s="1654"/>
      <c r="BG55" s="1654"/>
      <c r="BH55" s="1654"/>
      <c r="BI55" s="1654"/>
      <c r="BJ55" s="1654"/>
      <c r="BK55" s="1654"/>
      <c r="BL55" s="1654"/>
      <c r="BM55" s="1654"/>
      <c r="BN55" s="1654"/>
      <c r="BO55" s="1654"/>
      <c r="BP55" s="1654"/>
      <c r="BQ55" s="1654"/>
      <c r="BR55" s="1654"/>
      <c r="BS55" s="1654"/>
      <c r="BT55" s="1654"/>
      <c r="BU55" s="1654"/>
      <c r="BV55" s="1654"/>
      <c r="BW55" s="1654"/>
      <c r="BX55" s="1654"/>
      <c r="BY55" s="286"/>
      <c r="CA55" s="489"/>
      <c r="CB55" s="489"/>
      <c r="CC55" s="489"/>
      <c r="CD55" s="489"/>
      <c r="CE55" s="546"/>
      <c r="CF55" s="546"/>
      <c r="CH55" s="0"/>
      <c r="CI55" s="0"/>
      <c r="CJ55" s="0"/>
      <c r="CK55" s="0"/>
      <c r="CL55" s="0"/>
      <c r="CM55" s="0"/>
      <c r="CN55" s="0"/>
      <c r="CO55" s="0"/>
      <c r="CP55" s="0"/>
    </row>
    <row s="1659" customFormat="1" customHeight="1" ht="14.625">
      <c r="A56" s="371"/>
      <c r="B56" s="175"/>
      <c r="C56" s="175"/>
      <c r="D56" s="175"/>
      <c r="E56" s="180">
        <v>15</v>
      </c>
      <c r="F56" s="175"/>
      <c r="T56" s="175"/>
      <c r="U56" s="175"/>
      <c r="V56" s="175"/>
      <c r="W56" s="175"/>
      <c r="X56" s="175"/>
      <c r="Y56" s="175"/>
      <c r="Z56" s="175"/>
      <c r="AA56" s="477"/>
      <c r="AB56" s="1655"/>
      <c r="AC56" s="1655"/>
      <c r="AD56" s="2293"/>
      <c r="AE56" s="1655"/>
      <c r="AF56" s="1655"/>
      <c r="AG56" s="1655"/>
      <c r="AH56" s="1655"/>
      <c r="AI56" s="1655"/>
      <c r="AJ56" s="1656"/>
      <c r="AK56" s="2292"/>
      <c r="AL56" s="2292"/>
      <c r="AM56" s="2292"/>
      <c r="AN56" s="2292"/>
      <c r="AO56" s="2292"/>
      <c r="AP56" s="2292"/>
      <c r="AQ56" s="2292"/>
      <c r="AR56" s="2292"/>
      <c r="AS56" s="2292"/>
      <c r="AT56" s="2292"/>
      <c r="AU56" s="2292"/>
      <c r="AV56" s="2292"/>
      <c r="AW56" s="2292"/>
      <c r="AX56" s="2292"/>
      <c r="AY56" s="2292"/>
      <c r="AZ56" s="2292"/>
      <c r="BA56" s="2292"/>
      <c r="BB56" s="2292"/>
      <c r="BC56" s="2292"/>
      <c r="BD56" s="1656"/>
      <c r="BE56" s="2292"/>
      <c r="BF56" s="2292"/>
      <c r="BG56" s="2292"/>
      <c r="BH56" s="2292"/>
      <c r="BI56" s="2292"/>
      <c r="BJ56" s="2292"/>
      <c r="BK56" s="2292"/>
      <c r="BL56" s="2292"/>
      <c r="BM56" s="2292"/>
      <c r="BN56" s="2292"/>
      <c r="BO56" s="2292"/>
      <c r="BP56" s="2292"/>
      <c r="BQ56" s="2292"/>
      <c r="BR56" s="2292"/>
      <c r="BS56" s="2292"/>
      <c r="BT56" s="2292"/>
      <c r="BU56" s="2292"/>
      <c r="BV56" s="2292"/>
      <c r="BW56" s="2292"/>
      <c r="BX56" s="1657"/>
      <c r="BY56" s="286"/>
      <c r="CA56" s="489"/>
      <c r="CB56" s="489"/>
      <c r="CC56" s="489"/>
      <c r="CD56" s="489"/>
      <c r="CE56" s="546"/>
      <c r="CF56" s="546"/>
      <c r="CH56" s="0"/>
      <c r="CI56" s="0"/>
      <c r="CJ56" s="0"/>
      <c r="CK56" s="0"/>
      <c r="CL56" s="0"/>
      <c r="CM56" s="0"/>
      <c r="CN56" s="0"/>
      <c r="CO56" s="0"/>
      <c r="CP56" s="0"/>
    </row>
    <row s="1659" customFormat="1" customHeight="1" ht="14.625" hidden="1">
      <c r="A57" s="371"/>
      <c r="B57" s="175"/>
      <c r="C57" s="175"/>
      <c r="D57" s="175"/>
      <c r="E57" s="180">
        <v>15</v>
      </c>
      <c r="F57" s="175"/>
      <c r="G57" s="1659"/>
      <c r="H57" s="1659"/>
      <c r="I57" s="1659"/>
      <c r="J57" s="1659"/>
      <c r="K57" s="1659"/>
      <c r="L57" s="1659"/>
      <c r="M57" s="1659"/>
      <c r="N57" s="1659"/>
      <c r="O57" s="1659"/>
      <c r="P57" s="1659"/>
      <c r="Q57" s="1659"/>
      <c r="R57" s="1659"/>
      <c r="S57" s="1659"/>
      <c r="T57" s="753">
        <f>ROW(W57)&gt;ROW(W$57)</f>
        <v>0</v>
      </c>
      <c r="U57" s="175"/>
      <c r="V57" s="175"/>
      <c r="W57" s="175" t="s">
        <v>189</v>
      </c>
      <c r="X57" s="175"/>
      <c r="Y57" s="175"/>
      <c r="Z57" s="175"/>
      <c r="AA57" s="477" t="s">
        <v>171</v>
      </c>
      <c r="AB57" s="2293"/>
      <c r="AC57" s="2293"/>
      <c r="AD57" s="2293"/>
      <c r="AE57" s="2293"/>
      <c r="AF57" s="2293"/>
      <c r="AG57" s="2293"/>
      <c r="AH57" s="2293"/>
      <c r="AI57" s="2293"/>
      <c r="AJ57" s="1656"/>
      <c r="AK57" s="2292"/>
      <c r="AL57" s="2292"/>
      <c r="AM57" s="2292"/>
      <c r="AN57" s="2292"/>
      <c r="AO57" s="2292"/>
      <c r="AP57" s="2292"/>
      <c r="AQ57" s="2292"/>
      <c r="AR57" s="2292"/>
      <c r="AS57" s="2292"/>
      <c r="AT57" s="2292"/>
      <c r="AU57" s="2292"/>
      <c r="AV57" s="2292"/>
      <c r="AW57" s="2292"/>
      <c r="AX57" s="2292"/>
      <c r="AY57" s="2292"/>
      <c r="AZ57" s="2292"/>
      <c r="BA57" s="2292"/>
      <c r="BB57" s="2292"/>
      <c r="BC57" s="2292"/>
      <c r="BD57" s="1656"/>
      <c r="BE57" s="2292"/>
      <c r="BF57" s="2292"/>
      <c r="BG57" s="2292"/>
      <c r="BH57" s="2292"/>
      <c r="BI57" s="2292"/>
      <c r="BJ57" s="2292"/>
      <c r="BK57" s="2292"/>
      <c r="BL57" s="2292"/>
      <c r="BM57" s="2292"/>
      <c r="BN57" s="2292"/>
      <c r="BO57" s="2292"/>
      <c r="BP57" s="2292"/>
      <c r="BQ57" s="2292"/>
      <c r="BR57" s="2292"/>
      <c r="BS57" s="2292"/>
      <c r="BT57" s="2292"/>
      <c r="BU57" s="2292"/>
      <c r="BV57" s="2292"/>
      <c r="BW57" s="2292"/>
      <c r="BX57" s="2294"/>
      <c r="BY57" s="286"/>
      <c r="BZ57" s="1659"/>
      <c r="CA57" s="489"/>
      <c r="CB57" s="489"/>
      <c r="CC57" s="489"/>
      <c r="CD57" s="489"/>
      <c r="CE57" s="546"/>
      <c r="CF57" s="546"/>
      <c r="CG57" s="1659"/>
      <c r="CH57" s="0"/>
      <c r="CI57" s="0"/>
      <c r="CJ57" s="0"/>
      <c r="CK57" s="0"/>
      <c r="CL57" s="0"/>
      <c r="CM57" s="0"/>
      <c r="CN57" s="0"/>
      <c r="CO57" s="0"/>
      <c r="CP57" s="0"/>
    </row>
    <row s="1659" customFormat="1" customHeight="1" ht="14.625">
      <c r="A58" s="371"/>
      <c r="B58" s="175"/>
      <c r="C58" s="175"/>
      <c r="D58" s="175"/>
      <c r="E58" s="180">
        <v>15</v>
      </c>
      <c r="F58" s="175"/>
      <c r="T58" s="175"/>
      <c r="U58" s="175"/>
      <c r="V58" s="175"/>
      <c r="W58" s="176" t="s">
        <v>1167</v>
      </c>
      <c r="X58" s="175"/>
      <c r="Y58" s="175"/>
      <c r="Z58" s="175"/>
      <c r="AA58" s="286"/>
      <c r="AB58" s="1599" t="s">
        <v>766</v>
      </c>
      <c r="AC58" s="1600"/>
      <c r="AD58" s="479"/>
      <c r="AE58" s="480"/>
      <c r="AF58" s="480"/>
      <c r="AG58" s="481"/>
      <c r="AH58" s="481"/>
      <c r="AI58" s="481"/>
      <c r="AJ58" s="481"/>
      <c r="AK58" s="481"/>
      <c r="AL58" s="481"/>
      <c r="AM58" s="481"/>
      <c r="AN58" s="481"/>
      <c r="AO58" s="481"/>
      <c r="AP58" s="481"/>
      <c r="AQ58" s="481"/>
      <c r="AR58" s="481"/>
      <c r="AS58" s="481"/>
      <c r="AT58" s="481"/>
      <c r="AU58" s="481"/>
      <c r="AV58" s="481"/>
      <c r="AW58" s="481"/>
      <c r="AX58" s="481"/>
      <c r="AY58" s="481"/>
      <c r="AZ58" s="481"/>
      <c r="BA58" s="481"/>
      <c r="BB58" s="481"/>
      <c r="BC58" s="481"/>
      <c r="BD58" s="481"/>
      <c r="BE58" s="481"/>
      <c r="BF58" s="481"/>
      <c r="BG58" s="481"/>
      <c r="BH58" s="481"/>
      <c r="BI58" s="481"/>
      <c r="BJ58" s="481"/>
      <c r="BK58" s="481"/>
      <c r="BL58" s="481"/>
      <c r="BM58" s="481"/>
      <c r="BN58" s="481"/>
      <c r="BO58" s="481"/>
      <c r="BP58" s="481"/>
      <c r="BQ58" s="481"/>
      <c r="BR58" s="481"/>
      <c r="BS58" s="481"/>
      <c r="BT58" s="481"/>
      <c r="BU58" s="481"/>
      <c r="BV58" s="481"/>
      <c r="BW58" s="481"/>
      <c r="BX58" s="611"/>
      <c r="BY58" s="286"/>
      <c r="CA58" s="489"/>
      <c r="CB58" s="489"/>
      <c r="CC58" s="489"/>
      <c r="CD58" s="489"/>
      <c r="CE58" s="546"/>
      <c r="CF58" s="546"/>
      <c r="CH58" s="0"/>
      <c r="CI58" s="0"/>
      <c r="CJ58" s="0"/>
      <c r="CK58" s="0"/>
      <c r="CL58" s="0"/>
      <c r="CM58" s="0"/>
      <c r="CN58" s="0"/>
      <c r="CO58" s="0"/>
      <c r="CP58" s="0"/>
    </row>
    <row customHeight="1" ht="11.25">
      <c r="AA59" s="582"/>
      <c r="AB59" s="582"/>
      <c r="AC59" s="582"/>
      <c r="AD59" s="582"/>
      <c r="AE59" s="582"/>
      <c r="AF59" s="582"/>
      <c r="AG59" s="582"/>
      <c r="AH59" s="582"/>
      <c r="AI59" s="582"/>
      <c r="AJ59" s="582"/>
      <c r="AK59" s="582"/>
      <c r="AL59" s="582"/>
      <c r="AM59" s="582"/>
      <c r="AN59" s="582"/>
      <c r="AO59" s="582"/>
      <c r="AP59" s="582"/>
      <c r="AQ59" s="582"/>
      <c r="AR59" s="582"/>
      <c r="AS59" s="582"/>
      <c r="AT59" s="582"/>
      <c r="AU59" s="582"/>
      <c r="AV59" s="582"/>
      <c r="AW59" s="582"/>
      <c r="AX59" s="582"/>
      <c r="AY59" s="582"/>
      <c r="AZ59" s="582"/>
      <c r="BA59" s="582"/>
      <c r="BB59" s="582"/>
      <c r="BC59" s="582"/>
      <c r="BD59" s="582"/>
      <c r="BE59" s="582"/>
      <c r="BF59" s="582"/>
      <c r="BG59" s="582"/>
      <c r="BH59" s="582"/>
      <c r="BI59" s="582"/>
      <c r="BJ59" s="582"/>
      <c r="BK59" s="582"/>
      <c r="BL59" s="582"/>
      <c r="BM59" s="582"/>
      <c r="BN59" s="582"/>
      <c r="BO59" s="582"/>
      <c r="BP59" s="582"/>
      <c r="BQ59" s="582"/>
      <c r="BR59" s="582"/>
      <c r="BS59" s="582"/>
      <c r="BT59" s="582"/>
      <c r="BU59" s="582"/>
      <c r="BV59" s="582"/>
      <c r="BW59" s="582"/>
      <c r="BX59" s="582"/>
      <c r="BY59" s="582"/>
    </row>
    <row customHeight="1" ht="11.25" hidden="1">
      <c r="AD60" s="183"/>
      <c r="AJ60" s="183"/>
      <c r="AK60" s="183"/>
      <c r="AL60" s="183"/>
      <c r="AM60" s="183"/>
      <c r="AN60" s="183"/>
      <c r="AO60" s="183"/>
      <c r="AP60" s="183"/>
      <c r="AQ60" s="183"/>
      <c r="AR60" s="183"/>
      <c r="AS60" s="183"/>
      <c r="AT60" s="183"/>
      <c r="AU60" s="183"/>
      <c r="AV60" s="183"/>
      <c r="AW60" s="183"/>
      <c r="AX60" s="183"/>
      <c r="AY60" s="183"/>
      <c r="AZ60" s="183"/>
      <c r="BA60" s="183"/>
      <c r="BB60" s="183"/>
      <c r="BC60" s="183"/>
      <c r="BD60" s="183"/>
      <c r="BE60" s="183"/>
      <c r="BF60" s="183"/>
      <c r="BG60" s="183"/>
      <c r="BH60" s="183"/>
      <c r="BI60" s="183"/>
      <c r="BJ60" s="183"/>
      <c r="BK60" s="183"/>
      <c r="BL60" s="183"/>
      <c r="BM60" s="183"/>
      <c r="BN60" s="183"/>
      <c r="BO60" s="183"/>
      <c r="BP60" s="183"/>
      <c r="BQ60" s="183"/>
      <c r="BR60" s="183"/>
      <c r="BS60" s="183"/>
      <c r="BT60" s="183"/>
      <c r="BU60" s="183"/>
      <c r="BV60" s="183"/>
      <c r="BW60" s="183"/>
    </row>
    <row customHeight="1" ht="11.25" hidden="1">
      <c r="AD61" s="183"/>
      <c r="AJ61" s="183"/>
      <c r="AK61" s="183"/>
      <c r="AL61" s="183"/>
      <c r="AM61" s="183"/>
      <c r="AN61" s="183"/>
      <c r="AO61" s="183"/>
      <c r="AP61" s="183"/>
      <c r="AQ61" s="183"/>
      <c r="AR61" s="183"/>
      <c r="AS61" s="183"/>
      <c r="AT61" s="183"/>
      <c r="AU61" s="183"/>
      <c r="AV61" s="183"/>
      <c r="AW61" s="183"/>
      <c r="AX61" s="183"/>
      <c r="AY61" s="183"/>
      <c r="AZ61" s="183"/>
      <c r="BA61" s="183"/>
      <c r="BB61" s="183"/>
      <c r="BC61" s="183"/>
      <c r="BD61" s="183"/>
      <c r="BE61" s="183"/>
      <c r="BF61" s="183"/>
      <c r="BG61" s="183"/>
      <c r="BH61" s="183"/>
      <c r="BI61" s="183"/>
      <c r="BJ61" s="183"/>
      <c r="BK61" s="183"/>
      <c r="BL61" s="183"/>
      <c r="BM61" s="183"/>
      <c r="BN61" s="183"/>
      <c r="BO61" s="183"/>
      <c r="BP61" s="183"/>
      <c r="BQ61" s="183"/>
      <c r="BR61" s="183"/>
      <c r="BS61" s="183"/>
      <c r="BT61" s="183"/>
      <c r="BU61" s="183"/>
      <c r="BV61" s="183"/>
      <c r="BW61" s="183"/>
    </row>
    <row customHeight="1" ht="11.25" hidden="1">
      <c r="A62" s="0" t="s">
        <v>109</v>
      </c>
      <c r="AD62" s="183"/>
      <c r="AF62" s="0" t="str">
        <f>"389.0."&amp;AF$9-2010&amp;"."</f>
        <v>389.0.15.</v>
      </c>
      <c r="AG62" s="0" t="str">
        <f>"389.0."&amp;AG$9-2010&amp;"."</f>
        <v>389.0.15.</v>
      </c>
      <c r="AH62" s="0" t="str">
        <f>"389.0."&amp;AH$9-2010&amp;"."</f>
        <v>389.0.15.</v>
      </c>
      <c r="AI62" s="0" t="str">
        <f>"389.0."&amp;AI$9-2010&amp;"."</f>
        <v>389.0.16.</v>
      </c>
      <c r="AJ62" s="0" t="str">
        <f>"389.0."&amp;AJ$9-2010&amp;"."</f>
        <v>389.0.17.</v>
      </c>
      <c r="AK62" s="0" t="str">
        <f>"389.0."&amp;AK$9-2010&amp;"."</f>
        <v>389.0.18.</v>
      </c>
      <c r="AL62" s="0" t="str">
        <f>"389.0."&amp;AL$9-2010&amp;"."</f>
        <v>389.0.19.</v>
      </c>
      <c r="AM62" s="0" t="str">
        <f>"389.0."&amp;AM$9-2010&amp;"."</f>
        <v>389.0.20.</v>
      </c>
      <c r="AN62" s="0" t="str">
        <f>"389.0."&amp;AN$9-2010&amp;"."</f>
        <v>389.0.21.</v>
      </c>
      <c r="AO62" s="0" t="str">
        <f>"389.0."&amp;AO$9-2010&amp;"."</f>
        <v>389.0.22.</v>
      </c>
      <c r="AP62" s="0" t="str">
        <f>"389.0."&amp;AP$9-2010&amp;"."</f>
        <v>389.0.23.</v>
      </c>
      <c r="AQ62" s="0" t="str">
        <f>"389.0."&amp;AQ$9-2010&amp;"."</f>
        <v>389.0.24.</v>
      </c>
      <c r="AR62" s="0" t="str">
        <f>"389.0."&amp;AR$9-2010&amp;"."</f>
        <v>389.0.25.</v>
      </c>
      <c r="AS62" s="0" t="str">
        <f>"389.0."&amp;AS$9-2010&amp;"."</f>
        <v>389.0.26.</v>
      </c>
      <c r="AT62" s="0" t="str">
        <f>"389.0."&amp;AT$9-2010&amp;"."</f>
        <v>389.0.27.</v>
      </c>
      <c r="AU62" s="0" t="str">
        <f>"389.0."&amp;AU$9-2010&amp;"."</f>
        <v>389.0.28.</v>
      </c>
      <c r="AV62" s="0" t="str">
        <f>"389.0."&amp;AV$9-2010&amp;"."</f>
        <v>389.0.29.</v>
      </c>
      <c r="AW62" s="0" t="str">
        <f>"389.0."&amp;AW$9-2010&amp;"."</f>
        <v>389.0.30.</v>
      </c>
      <c r="AX62" s="0" t="str">
        <f>"389.0."&amp;AX$9-2010&amp;"."</f>
        <v>389.0.31.</v>
      </c>
      <c r="AY62" s="0" t="str">
        <f>"389.0."&amp;AY$9-2010&amp;"."</f>
        <v>389.0.32.</v>
      </c>
      <c r="AZ62" s="0" t="str">
        <f>"389.0."&amp;AZ$9-2010&amp;"."</f>
        <v>389.0.33.</v>
      </c>
      <c r="BA62" s="0" t="str">
        <f>"389.0."&amp;BA$9-2010&amp;"."</f>
        <v>389.0.34.</v>
      </c>
      <c r="BB62" s="0" t="str">
        <f>"389.0."&amp;BB$9-2010&amp;"."</f>
        <v>389.0.35.</v>
      </c>
      <c r="BC62" s="0" t="str">
        <f>"389.0."&amp;BC$9-2010&amp;"."</f>
        <v>389.0.36.</v>
      </c>
      <c r="BD62" s="0" t="str">
        <f>"389.0."&amp;BD$9-2010&amp;"."</f>
        <v>389.0.17.</v>
      </c>
      <c r="BE62" s="0" t="str">
        <f>"389.0."&amp;BE$9-2010&amp;"."</f>
        <v>389.0.18.</v>
      </c>
      <c r="BF62" s="0" t="str">
        <f>"389.0."&amp;BF$9-2010&amp;"."</f>
        <v>389.0.19.</v>
      </c>
      <c r="BG62" s="0" t="str">
        <f>"389.0."&amp;BG$9-2010&amp;"."</f>
        <v>389.0.20.</v>
      </c>
      <c r="BH62" s="0" t="str">
        <f>"389.0."&amp;BH$9-2010&amp;"."</f>
        <v>389.0.21.</v>
      </c>
      <c r="BI62" s="0" t="str">
        <f>"389.0."&amp;BI$9-2010&amp;"."</f>
        <v>389.0.22.</v>
      </c>
      <c r="BJ62" s="0" t="str">
        <f>"389.0."&amp;BJ$9-2010&amp;"."</f>
        <v>389.0.23.</v>
      </c>
      <c r="BK62" s="0" t="str">
        <f>"389.0."&amp;BK$9-2010&amp;"."</f>
        <v>389.0.24.</v>
      </c>
      <c r="BL62" s="0" t="str">
        <f>"389.0."&amp;BL$9-2010&amp;"."</f>
        <v>389.0.25.</v>
      </c>
      <c r="BM62" s="0" t="str">
        <f>"389.0."&amp;BM$9-2010&amp;"."</f>
        <v>389.0.26.</v>
      </c>
      <c r="BN62" s="0" t="str">
        <f>"389.0."&amp;BN$9-2010&amp;"."</f>
        <v>389.0.27.</v>
      </c>
      <c r="BO62" s="0" t="str">
        <f>"389.0."&amp;BO$9-2010&amp;"."</f>
        <v>389.0.28.</v>
      </c>
      <c r="BP62" s="0" t="str">
        <f>"389.0."&amp;BP$9-2010&amp;"."</f>
        <v>389.0.29.</v>
      </c>
      <c r="BQ62" s="0" t="str">
        <f>"389.0."&amp;BQ$9-2010&amp;"."</f>
        <v>389.0.30.</v>
      </c>
      <c r="BR62" s="0" t="str">
        <f>"389.0."&amp;BR$9-2010&amp;"."</f>
        <v>389.0.31.</v>
      </c>
      <c r="BS62" s="0" t="str">
        <f>"389.0."&amp;BS$9-2010&amp;"."</f>
        <v>389.0.32.</v>
      </c>
      <c r="BT62" s="0" t="str">
        <f>"389.0."&amp;BT$9-2010&amp;"."</f>
        <v>389.0.33.</v>
      </c>
      <c r="BU62" s="0" t="str">
        <f>"389.0."&amp;BU$9-2010&amp;"."</f>
        <v>389.0.34.</v>
      </c>
      <c r="BV62" s="0" t="str">
        <f>"389.0."&amp;BV$9-2010&amp;"."</f>
        <v>389.0.35.</v>
      </c>
      <c r="BW62" s="0" t="str">
        <f>"389.0."&amp;BW$9-2010&amp;"."</f>
        <v>389.0.36.</v>
      </c>
    </row>
    <row customHeight="1" ht="11.25" hidden="1">
      <c r="A63" s="0" t="s">
        <v>794</v>
      </c>
      <c r="AD63" s="183"/>
      <c r="AJ63" s="183"/>
      <c r="AK63" s="183"/>
      <c r="AL63" s="183"/>
      <c r="AM63" s="183"/>
      <c r="AN63" s="183"/>
      <c r="AO63" s="183"/>
      <c r="AP63" s="183"/>
      <c r="AQ63" s="183"/>
      <c r="AR63" s="183"/>
      <c r="AS63" s="183"/>
      <c r="AT63" s="183"/>
      <c r="AU63" s="183"/>
      <c r="AV63" s="183"/>
      <c r="AW63" s="183"/>
      <c r="AX63" s="183"/>
      <c r="AY63" s="183"/>
      <c r="AZ63" s="183"/>
      <c r="BA63" s="183"/>
      <c r="BB63" s="183"/>
      <c r="BC63" s="183"/>
      <c r="BD63" s="183"/>
      <c r="BE63" s="183"/>
      <c r="BF63" s="183"/>
      <c r="BG63" s="183"/>
      <c r="BH63" s="183"/>
      <c r="BI63" s="183"/>
      <c r="BJ63" s="183"/>
      <c r="BK63" s="183"/>
      <c r="BL63" s="183"/>
      <c r="BM63" s="183"/>
      <c r="BN63" s="183"/>
      <c r="BO63" s="183"/>
      <c r="BP63" s="183"/>
      <c r="BQ63" s="183"/>
      <c r="BR63" s="183"/>
      <c r="BS63" s="183"/>
      <c r="BT63" s="183"/>
      <c r="BU63" s="183"/>
      <c r="BV63" s="183"/>
      <c r="BW63" s="183"/>
    </row>
    <row customHeight="1" ht="11.25" hidden="1">
      <c r="A64" s="0" t="s">
        <v>406</v>
      </c>
      <c r="AD64" s="183"/>
      <c r="AF64" s="0" cm="1" t="str">
        <f t="array" ref="AF64:AF64">IF($A64="uni_org_reg_NAME",INDEX(org_reg_values,MATCH(AF$10,org_reg_codes,0),1),IF($A64="uni_pf_NAME",INDEX(pf_codes_values,MATCH(AF$10,pf_codes,0),1),""))</f>
        <v>328.0.2.</v>
      </c>
      <c r="AG64" s="0" cm="1" t="str">
        <f t="array" ref="AG64:AG64">IF($A64="uni_org_reg_NAME",INDEX(org_reg_values,MATCH(AG$10,org_reg_codes,0),1),IF($A64="uni_pf_NAME",INDEX(pf_codes_values,MATCH(AG$10,pf_codes,0),1),""))</f>
        <v>328.0.1.</v>
      </c>
      <c r="AH64" s="0" cm="1" t="str">
        <f t="array" ref="AH64:AH64">IF($A64="uni_org_reg_NAME",INDEX(org_reg_values,MATCH(AH$10,org_reg_codes,0),1),IF($A64="uni_pf_NAME",INDEX(pf_codes_values,MATCH(AH$10,pf_codes,0),1),""))</f>
        <v>328.0.2.</v>
      </c>
      <c r="AI64" s="0" cm="1" t="str">
        <f t="array" ref="AI64:AI64">IF($A64="uni_org_reg_NAME",INDEX(org_reg_values,MATCH(AI$10,org_reg_codes,0),1),IF($A64="uni_pf_NAME",INDEX(pf_codes_values,MATCH(AI$10,pf_codes,0),1),""))</f>
        <v>328.0.2.</v>
      </c>
      <c r="AJ64" s="0" cm="1" t="str">
        <f t="array" ref="AJ64:AJ64">IF($A64="uni_org_reg_NAME",INDEX(org_reg_values,MATCH(AJ$10,org_reg_codes,0),1),IF($A64="uni_pf_NAME",INDEX(pf_codes_values,MATCH(AJ$10,pf_codes,0),1),""))</f>
        <v>328.0.1.</v>
      </c>
      <c r="AK64" s="0" cm="1" t="str">
        <f t="array" ref="AK64:AK64">IF($A64="uni_org_reg_NAME",INDEX(org_reg_values,MATCH(AK$10,org_reg_codes,0),1),IF($A64="uni_pf_NAME",INDEX(pf_codes_values,MATCH(AK$10,pf_codes,0),1),""))</f>
        <v>328.0.1.</v>
      </c>
      <c r="AL64" s="0" cm="1" t="str">
        <f t="array" ref="AL64:AL64">IF($A64="uni_org_reg_NAME",INDEX(org_reg_values,MATCH(AL$10,org_reg_codes,0),1),IF($A64="uni_pf_NAME",INDEX(pf_codes_values,MATCH(AL$10,pf_codes,0),1),""))</f>
        <v>328.0.1.</v>
      </c>
      <c r="AM64" s="0" cm="1" t="str">
        <f t="array" ref="AM64:AM64">IF($A64="uni_org_reg_NAME",INDEX(org_reg_values,MATCH(AM$10,org_reg_codes,0),1),IF($A64="uni_pf_NAME",INDEX(pf_codes_values,MATCH(AM$10,pf_codes,0),1),""))</f>
        <v>328.0.1.</v>
      </c>
      <c r="AN64" s="0" cm="1" t="str">
        <f t="array" ref="AN64:AN64">IF($A64="uni_org_reg_NAME",INDEX(org_reg_values,MATCH(AN$10,org_reg_codes,0),1),IF($A64="uni_pf_NAME",INDEX(pf_codes_values,MATCH(AN$10,pf_codes,0),1),""))</f>
        <v>328.0.1.</v>
      </c>
      <c r="AO64" s="0" cm="1" t="str">
        <f t="array" ref="AO64:AO64">IF($A64="uni_org_reg_NAME",INDEX(org_reg_values,MATCH(AO$10,org_reg_codes,0),1),IF($A64="uni_pf_NAME",INDEX(pf_codes_values,MATCH(AO$10,pf_codes,0),1),""))</f>
        <v>328.0.1.</v>
      </c>
      <c r="AP64" s="0" cm="1" t="str">
        <f t="array" ref="AP64:AP64">IF($A64="uni_org_reg_NAME",INDEX(org_reg_values,MATCH(AP$10,org_reg_codes,0),1),IF($A64="uni_pf_NAME",INDEX(pf_codes_values,MATCH(AP$10,pf_codes,0),1),""))</f>
        <v>328.0.1.</v>
      </c>
      <c r="AQ64" s="0" cm="1" t="str">
        <f t="array" ref="AQ64:AQ64">IF($A64="uni_org_reg_NAME",INDEX(org_reg_values,MATCH(AQ$10,org_reg_codes,0),1),IF($A64="uni_pf_NAME",INDEX(pf_codes_values,MATCH(AQ$10,pf_codes,0),1),""))</f>
        <v>328.0.1.</v>
      </c>
      <c r="AR64" s="0" cm="1" t="str">
        <f t="array" ref="AR64:AR64">IF($A64="uni_org_reg_NAME",INDEX(org_reg_values,MATCH(AR$10,org_reg_codes,0),1),IF($A64="uni_pf_NAME",INDEX(pf_codes_values,MATCH(AR$10,pf_codes,0),1),""))</f>
        <v>328.0.1.</v>
      </c>
      <c r="AS64" s="0" cm="1" t="str">
        <f t="array" ref="AS64:AS64">IF($A64="uni_org_reg_NAME",INDEX(org_reg_values,MATCH(AS$10,org_reg_codes,0),1),IF($A64="uni_pf_NAME",INDEX(pf_codes_values,MATCH(AS$10,pf_codes,0),1),""))</f>
        <v>328.0.1.</v>
      </c>
      <c r="AT64" s="0" cm="1" t="str">
        <f t="array" ref="AT64:AT64">IF($A64="uni_org_reg_NAME",INDEX(org_reg_values,MATCH(AT$10,org_reg_codes,0),1),IF($A64="uni_pf_NAME",INDEX(pf_codes_values,MATCH(AT$10,pf_codes,0),1),""))</f>
        <v>328.0.1.</v>
      </c>
      <c r="AU64" s="0" cm="1" t="str">
        <f t="array" ref="AU64:AU64">IF($A64="uni_org_reg_NAME",INDEX(org_reg_values,MATCH(AU$10,org_reg_codes,0),1),IF($A64="uni_pf_NAME",INDEX(pf_codes_values,MATCH(AU$10,pf_codes,0),1),""))</f>
        <v>328.0.1.</v>
      </c>
      <c r="AV64" s="0" cm="1" t="str">
        <f t="array" ref="AV64:AV64">IF($A64="uni_org_reg_NAME",INDEX(org_reg_values,MATCH(AV$10,org_reg_codes,0),1),IF($A64="uni_pf_NAME",INDEX(pf_codes_values,MATCH(AV$10,pf_codes,0),1),""))</f>
        <v>328.0.1.</v>
      </c>
      <c r="AW64" s="0" cm="1" t="str">
        <f t="array" ref="AW64:AW64">IF($A64="uni_org_reg_NAME",INDEX(org_reg_values,MATCH(AW$10,org_reg_codes,0),1),IF($A64="uni_pf_NAME",INDEX(pf_codes_values,MATCH(AW$10,pf_codes,0),1),""))</f>
        <v>328.0.1.</v>
      </c>
      <c r="AX64" s="0" cm="1" t="str">
        <f t="array" ref="AX64:AX64">IF($A64="uni_org_reg_NAME",INDEX(org_reg_values,MATCH(AX$10,org_reg_codes,0),1),IF($A64="uni_pf_NAME",INDEX(pf_codes_values,MATCH(AX$10,pf_codes,0),1),""))</f>
        <v>328.0.1.</v>
      </c>
      <c r="AY64" s="0" cm="1" t="str">
        <f t="array" ref="AY64:AY64">IF($A64="uni_org_reg_NAME",INDEX(org_reg_values,MATCH(AY$10,org_reg_codes,0),1),IF($A64="uni_pf_NAME",INDEX(pf_codes_values,MATCH(AY$10,pf_codes,0),1),""))</f>
        <v>328.0.1.</v>
      </c>
      <c r="AZ64" s="0" cm="1" t="str">
        <f t="array" ref="AZ64:AZ64">IF($A64="uni_org_reg_NAME",INDEX(org_reg_values,MATCH(AZ$10,org_reg_codes,0),1),IF($A64="uni_pf_NAME",INDEX(pf_codes_values,MATCH(AZ$10,pf_codes,0),1),""))</f>
        <v>328.0.1.</v>
      </c>
      <c r="BA64" s="0" cm="1" t="str">
        <f t="array" ref="BA64:BA64">IF($A64="uni_org_reg_NAME",INDEX(org_reg_values,MATCH(BA$10,org_reg_codes,0),1),IF($A64="uni_pf_NAME",INDEX(pf_codes_values,MATCH(BA$10,pf_codes,0),1),""))</f>
        <v>328.0.1.</v>
      </c>
      <c r="BB64" s="0" cm="1" t="str">
        <f t="array" ref="BB64:BB64">IF($A64="uni_org_reg_NAME",INDEX(org_reg_values,MATCH(BB$10,org_reg_codes,0),1),IF($A64="uni_pf_NAME",INDEX(pf_codes_values,MATCH(BB$10,pf_codes,0),1),""))</f>
        <v>328.0.1.</v>
      </c>
      <c r="BC64" s="0" cm="1" t="str">
        <f t="array" ref="BC64:BC64">IF($A64="uni_org_reg_NAME",INDEX(org_reg_values,MATCH(BC$10,org_reg_codes,0),1),IF($A64="uni_pf_NAME",INDEX(pf_codes_values,MATCH(BC$10,pf_codes,0),1),""))</f>
        <v>328.0.1.</v>
      </c>
      <c r="BD64" s="0" cm="1" t="str">
        <f t="array" ref="BD64:BD64">IF($A64="uni_org_reg_NAME",INDEX(org_reg_values,MATCH(BD$10,org_reg_codes,0),1),IF($A64="uni_pf_NAME",INDEX(pf_codes_values,MATCH(BD$10,pf_codes,0),1),""))</f>
        <v>328.0.2.</v>
      </c>
      <c r="BE64" s="0" cm="1" t="str">
        <f t="array" ref="BE64:BE64">IF($A64="uni_org_reg_NAME",INDEX(org_reg_values,MATCH(BE$10,org_reg_codes,0),1),IF($A64="uni_pf_NAME",INDEX(pf_codes_values,MATCH(BE$10,pf_codes,0),1),""))</f>
        <v>328.0.2.</v>
      </c>
      <c r="BF64" s="0" cm="1" t="str">
        <f t="array" ref="BF64:BF64">IF($A64="uni_org_reg_NAME",INDEX(org_reg_values,MATCH(BF$10,org_reg_codes,0),1),IF($A64="uni_pf_NAME",INDEX(pf_codes_values,MATCH(BF$10,pf_codes,0),1),""))</f>
        <v>328.0.2.</v>
      </c>
      <c r="BG64" s="0" cm="1" t="str">
        <f t="array" ref="BG64:BG64">IF($A64="uni_org_reg_NAME",INDEX(org_reg_values,MATCH(BG$10,org_reg_codes,0),1),IF($A64="uni_pf_NAME",INDEX(pf_codes_values,MATCH(BG$10,pf_codes,0),1),""))</f>
        <v>328.0.2.</v>
      </c>
      <c r="BH64" s="0" cm="1" t="str">
        <f t="array" ref="BH64:BH64">IF($A64="uni_org_reg_NAME",INDEX(org_reg_values,MATCH(BH$10,org_reg_codes,0),1),IF($A64="uni_pf_NAME",INDEX(pf_codes_values,MATCH(BH$10,pf_codes,0),1),""))</f>
        <v>328.0.2.</v>
      </c>
      <c r="BI64" s="0" cm="1" t="str">
        <f t="array" ref="BI64:BI64">IF($A64="uni_org_reg_NAME",INDEX(org_reg_values,MATCH(BI$10,org_reg_codes,0),1),IF($A64="uni_pf_NAME",INDEX(pf_codes_values,MATCH(BI$10,pf_codes,0),1),""))</f>
        <v>328.0.2.</v>
      </c>
      <c r="BJ64" s="0" cm="1" t="str">
        <f t="array" ref="BJ64:BJ64">IF($A64="uni_org_reg_NAME",INDEX(org_reg_values,MATCH(BJ$10,org_reg_codes,0),1),IF($A64="uni_pf_NAME",INDEX(pf_codes_values,MATCH(BJ$10,pf_codes,0),1),""))</f>
        <v>328.0.2.</v>
      </c>
      <c r="BK64" s="0" cm="1" t="str">
        <f t="array" ref="BK64:BK64">IF($A64="uni_org_reg_NAME",INDEX(org_reg_values,MATCH(BK$10,org_reg_codes,0),1),IF($A64="uni_pf_NAME",INDEX(pf_codes_values,MATCH(BK$10,pf_codes,0),1),""))</f>
        <v>328.0.2.</v>
      </c>
      <c r="BL64" s="0" cm="1" t="str">
        <f t="array" ref="BL64:BL64">IF($A64="uni_org_reg_NAME",INDEX(org_reg_values,MATCH(BL$10,org_reg_codes,0),1),IF($A64="uni_pf_NAME",INDEX(pf_codes_values,MATCH(BL$10,pf_codes,0),1),""))</f>
        <v>328.0.2.</v>
      </c>
      <c r="BM64" s="0" cm="1" t="str">
        <f t="array" ref="BM64:BM64">IF($A64="uni_org_reg_NAME",INDEX(org_reg_values,MATCH(BM$10,org_reg_codes,0),1),IF($A64="uni_pf_NAME",INDEX(pf_codes_values,MATCH(BM$10,pf_codes,0),1),""))</f>
        <v>328.0.2.</v>
      </c>
      <c r="BN64" s="0" cm="1" t="str">
        <f t="array" ref="BN64:BN64">IF($A64="uni_org_reg_NAME",INDEX(org_reg_values,MATCH(BN$10,org_reg_codes,0),1),IF($A64="uni_pf_NAME",INDEX(pf_codes_values,MATCH(BN$10,pf_codes,0),1),""))</f>
        <v>328.0.2.</v>
      </c>
      <c r="BO64" s="0" cm="1" t="str">
        <f t="array" ref="BO64:BO64">IF($A64="uni_org_reg_NAME",INDEX(org_reg_values,MATCH(BO$10,org_reg_codes,0),1),IF($A64="uni_pf_NAME",INDEX(pf_codes_values,MATCH(BO$10,pf_codes,0),1),""))</f>
        <v>328.0.2.</v>
      </c>
      <c r="BP64" s="0" cm="1" t="str">
        <f t="array" ref="BP64:BP64">IF($A64="uni_org_reg_NAME",INDEX(org_reg_values,MATCH(BP$10,org_reg_codes,0),1),IF($A64="uni_pf_NAME",INDEX(pf_codes_values,MATCH(BP$10,pf_codes,0),1),""))</f>
        <v>328.0.2.</v>
      </c>
      <c r="BQ64" s="0" cm="1" t="str">
        <f t="array" ref="BQ64:BQ64">IF($A64="uni_org_reg_NAME",INDEX(org_reg_values,MATCH(BQ$10,org_reg_codes,0),1),IF($A64="uni_pf_NAME",INDEX(pf_codes_values,MATCH(BQ$10,pf_codes,0),1),""))</f>
        <v>328.0.2.</v>
      </c>
      <c r="BR64" s="0" cm="1" t="str">
        <f t="array" ref="BR64:BR64">IF($A64="uni_org_reg_NAME",INDEX(org_reg_values,MATCH(BR$10,org_reg_codes,0),1),IF($A64="uni_pf_NAME",INDEX(pf_codes_values,MATCH(BR$10,pf_codes,0),1),""))</f>
        <v>328.0.2.</v>
      </c>
      <c r="BS64" s="0" cm="1" t="str">
        <f t="array" ref="BS64:BS64">IF($A64="uni_org_reg_NAME",INDEX(org_reg_values,MATCH(BS$10,org_reg_codes,0),1),IF($A64="uni_pf_NAME",INDEX(pf_codes_values,MATCH(BS$10,pf_codes,0),1),""))</f>
        <v>328.0.2.</v>
      </c>
      <c r="BT64" s="0" cm="1" t="str">
        <f t="array" ref="BT64:BT64">IF($A64="uni_org_reg_NAME",INDEX(org_reg_values,MATCH(BT$10,org_reg_codes,0),1),IF($A64="uni_pf_NAME",INDEX(pf_codes_values,MATCH(BT$10,pf_codes,0),1),""))</f>
        <v>328.0.2.</v>
      </c>
      <c r="BU64" s="0" cm="1" t="str">
        <f t="array" ref="BU64:BU64">IF($A64="uni_org_reg_NAME",INDEX(org_reg_values,MATCH(BU$10,org_reg_codes,0),1),IF($A64="uni_pf_NAME",INDEX(pf_codes_values,MATCH(BU$10,pf_codes,0),1),""))</f>
        <v>328.0.2.</v>
      </c>
      <c r="BV64" s="0" cm="1" t="str">
        <f t="array" ref="BV64:BV64">IF($A64="uni_org_reg_NAME",INDEX(org_reg_values,MATCH(BV$10,org_reg_codes,0),1),IF($A64="uni_pf_NAME",INDEX(pf_codes_values,MATCH(BV$10,pf_codes,0),1),""))</f>
        <v>328.0.2.</v>
      </c>
      <c r="BW64" s="0" cm="1" t="str">
        <f t="array" ref="BW64:BW64">IF($A64="uni_org_reg_NAME",INDEX(org_reg_values,MATCH(BW$10,org_reg_codes,0),1),IF($A64="uni_pf_NAME",INDEX(pf_codes_values,MATCH(BW$10,pf_codes,0),1),""))</f>
        <v>328.0.2.</v>
      </c>
    </row>
    <row customHeight="1" ht="11.25" hidden="1">
      <c r="A65" s="0" t="s">
        <v>409</v>
      </c>
      <c r="AD65" s="183"/>
      <c r="AF65" s="0" cm="1" t="str">
        <f t="array" ref="AF65:AF65">IF($A65="uni_org_reg_NAME",INDEX(org_reg_values,MATCH(AF$10,org_reg_codes,0),1),IF($A65="uni_pf_NAME",INDEX(pf_codes_values,MATCH(AF$10,pf_codes,0),1),""))</f>
        <v>36.0.7.</v>
      </c>
      <c r="AG65" s="0" cm="1" t="str">
        <f t="array" ref="AG65:AG65">IF($A65="uni_org_reg_NAME",INDEX(org_reg_values,MATCH(AG$10,org_reg_codes,0),1),IF($A65="uni_pf_NAME",INDEX(pf_codes_values,MATCH(AG$10,pf_codes,0),1),""))</f>
        <v>36.0.1.</v>
      </c>
      <c r="AH65" s="0" cm="1" t="str">
        <f t="array" ref="AH65:AH65">IF($A65="uni_org_reg_NAME",INDEX(org_reg_values,MATCH(AH$10,org_reg_codes,0),1),IF($A65="uni_pf_NAME",INDEX(pf_codes_values,MATCH(AH$10,pf_codes,0),1),""))</f>
        <v>36.0.1.</v>
      </c>
      <c r="AI65" s="0" cm="1" t="str">
        <f t="array" ref="AI65:AI65">IF($A65="uni_org_reg_NAME",INDEX(org_reg_values,MATCH(AI$10,org_reg_codes,0),1),IF($A65="uni_pf_NAME",INDEX(pf_codes_values,MATCH(AI$10,pf_codes,0),1),""))</f>
        <v>36.0.7.</v>
      </c>
      <c r="AJ65" s="0" cm="1" t="str">
        <f t="array" ref="AJ65:AJ65">IF($A65="uni_org_reg_NAME",INDEX(org_reg_values,MATCH(AJ$10,org_reg_codes,0),1),IF($A65="uni_pf_NAME",INDEX(pf_codes_values,MATCH(AJ$10,pf_codes,0),1),""))</f>
        <v>36.0.3.</v>
      </c>
      <c r="AK65" s="0" cm="1" t="str">
        <f t="array" ref="AK65:AK65">IF($A65="uni_org_reg_NAME",INDEX(org_reg_values,MATCH(AK$10,org_reg_codes,0),1),IF($A65="uni_pf_NAME",INDEX(pf_codes_values,MATCH(AK$10,pf_codes,0),1),""))</f>
        <v>36.0.3.</v>
      </c>
      <c r="AL65" s="0" cm="1" t="str">
        <f t="array" ref="AL65:AL65">IF($A65="uni_org_reg_NAME",INDEX(org_reg_values,MATCH(AL$10,org_reg_codes,0),1),IF($A65="uni_pf_NAME",INDEX(pf_codes_values,MATCH(AL$10,pf_codes,0),1),""))</f>
        <v>36.0.3.</v>
      </c>
      <c r="AM65" s="0" cm="1" t="str">
        <f t="array" ref="AM65:AM65">IF($A65="uni_org_reg_NAME",INDEX(org_reg_values,MATCH(AM$10,org_reg_codes,0),1),IF($A65="uni_pf_NAME",INDEX(pf_codes_values,MATCH(AM$10,pf_codes,0),1),""))</f>
        <v>36.0.3.</v>
      </c>
      <c r="AN65" s="0" cm="1" t="str">
        <f t="array" ref="AN65:AN65">IF($A65="uni_org_reg_NAME",INDEX(org_reg_values,MATCH(AN$10,org_reg_codes,0),1),IF($A65="uni_pf_NAME",INDEX(pf_codes_values,MATCH(AN$10,pf_codes,0),1),""))</f>
        <v>36.0.3.</v>
      </c>
      <c r="AO65" s="0" cm="1" t="str">
        <f t="array" ref="AO65:AO65">IF($A65="uni_org_reg_NAME",INDEX(org_reg_values,MATCH(AO$10,org_reg_codes,0),1),IF($A65="uni_pf_NAME",INDEX(pf_codes_values,MATCH(AO$10,pf_codes,0),1),""))</f>
        <v>36.0.3.</v>
      </c>
      <c r="AP65" s="0" cm="1" t="str">
        <f t="array" ref="AP65:AP65">IF($A65="uni_org_reg_NAME",INDEX(org_reg_values,MATCH(AP$10,org_reg_codes,0),1),IF($A65="uni_pf_NAME",INDEX(pf_codes_values,MATCH(AP$10,pf_codes,0),1),""))</f>
        <v>36.0.3.</v>
      </c>
      <c r="AQ65" s="0" cm="1" t="str">
        <f t="array" ref="AQ65:AQ65">IF($A65="uni_org_reg_NAME",INDEX(org_reg_values,MATCH(AQ$10,org_reg_codes,0),1),IF($A65="uni_pf_NAME",INDEX(pf_codes_values,MATCH(AQ$10,pf_codes,0),1),""))</f>
        <v>36.0.3.</v>
      </c>
      <c r="AR65" s="0" cm="1" t="str">
        <f t="array" ref="AR65:AR65">IF($A65="uni_org_reg_NAME",INDEX(org_reg_values,MATCH(AR$10,org_reg_codes,0),1),IF($A65="uni_pf_NAME",INDEX(pf_codes_values,MATCH(AR$10,pf_codes,0),1),""))</f>
        <v>36.0.3.</v>
      </c>
      <c r="AS65" s="0" cm="1" t="str">
        <f t="array" ref="AS65:AS65">IF($A65="uni_org_reg_NAME",INDEX(org_reg_values,MATCH(AS$10,org_reg_codes,0),1),IF($A65="uni_pf_NAME",INDEX(pf_codes_values,MATCH(AS$10,pf_codes,0),1),""))</f>
        <v>36.0.3.</v>
      </c>
      <c r="AT65" s="0" cm="1" t="str">
        <f t="array" ref="AT65:AT65">IF($A65="uni_org_reg_NAME",INDEX(org_reg_values,MATCH(AT$10,org_reg_codes,0),1),IF($A65="uni_pf_NAME",INDEX(pf_codes_values,MATCH(AT$10,pf_codes,0),1),""))</f>
        <v>36.0.3.</v>
      </c>
      <c r="AU65" s="0" cm="1" t="str">
        <f t="array" ref="AU65:AU65">IF($A65="uni_org_reg_NAME",INDEX(org_reg_values,MATCH(AU$10,org_reg_codes,0),1),IF($A65="uni_pf_NAME",INDEX(pf_codes_values,MATCH(AU$10,pf_codes,0),1),""))</f>
        <v>36.0.3.</v>
      </c>
      <c r="AV65" s="0" cm="1" t="str">
        <f t="array" ref="AV65:AV65">IF($A65="uni_org_reg_NAME",INDEX(org_reg_values,MATCH(AV$10,org_reg_codes,0),1),IF($A65="uni_pf_NAME",INDEX(pf_codes_values,MATCH(AV$10,pf_codes,0),1),""))</f>
        <v>36.0.3.</v>
      </c>
      <c r="AW65" s="0" cm="1" t="str">
        <f t="array" ref="AW65:AW65">IF($A65="uni_org_reg_NAME",INDEX(org_reg_values,MATCH(AW$10,org_reg_codes,0),1),IF($A65="uni_pf_NAME",INDEX(pf_codes_values,MATCH(AW$10,pf_codes,0),1),""))</f>
        <v>36.0.3.</v>
      </c>
      <c r="AX65" s="0" cm="1" t="str">
        <f t="array" ref="AX65:AX65">IF($A65="uni_org_reg_NAME",INDEX(org_reg_values,MATCH(AX$10,org_reg_codes,0),1),IF($A65="uni_pf_NAME",INDEX(pf_codes_values,MATCH(AX$10,pf_codes,0),1),""))</f>
        <v>36.0.3.</v>
      </c>
      <c r="AY65" s="0" cm="1" t="str">
        <f t="array" ref="AY65:AY65">IF($A65="uni_org_reg_NAME",INDEX(org_reg_values,MATCH(AY$10,org_reg_codes,0),1),IF($A65="uni_pf_NAME",INDEX(pf_codes_values,MATCH(AY$10,pf_codes,0),1),""))</f>
        <v>36.0.3.</v>
      </c>
      <c r="AZ65" s="0" cm="1" t="str">
        <f t="array" ref="AZ65:AZ65">IF($A65="uni_org_reg_NAME",INDEX(org_reg_values,MATCH(AZ$10,org_reg_codes,0),1),IF($A65="uni_pf_NAME",INDEX(pf_codes_values,MATCH(AZ$10,pf_codes,0),1),""))</f>
        <v>36.0.3.</v>
      </c>
      <c r="BA65" s="0" cm="1" t="str">
        <f t="array" ref="BA65:BA65">IF($A65="uni_org_reg_NAME",INDEX(org_reg_values,MATCH(BA$10,org_reg_codes,0),1),IF($A65="uni_pf_NAME",INDEX(pf_codes_values,MATCH(BA$10,pf_codes,0),1),""))</f>
        <v>36.0.3.</v>
      </c>
      <c r="BB65" s="0" cm="1" t="str">
        <f t="array" ref="BB65:BB65">IF($A65="uni_org_reg_NAME",INDEX(org_reg_values,MATCH(BB$10,org_reg_codes,0),1),IF($A65="uni_pf_NAME",INDEX(pf_codes_values,MATCH(BB$10,pf_codes,0),1),""))</f>
        <v>36.0.3.</v>
      </c>
      <c r="BC65" s="0" cm="1" t="str">
        <f t="array" ref="BC65:BC65">IF($A65="uni_org_reg_NAME",INDEX(org_reg_values,MATCH(BC$10,org_reg_codes,0),1),IF($A65="uni_pf_NAME",INDEX(pf_codes_values,MATCH(BC$10,pf_codes,0),1),""))</f>
        <v>36.0.3.</v>
      </c>
      <c r="BD65" s="0" cm="1" t="str">
        <f t="array" ref="BD65:BD65">IF($A65="uni_org_reg_NAME",INDEX(org_reg_values,MATCH(BD$10,org_reg_codes,0),1),IF($A65="uni_pf_NAME",INDEX(pf_codes_values,MATCH(BD$10,pf_codes,0),1),""))</f>
        <v>36.0.7.</v>
      </c>
      <c r="BE65" s="0" cm="1" t="str">
        <f t="array" ref="BE65:BE65">IF($A65="uni_org_reg_NAME",INDEX(org_reg_values,MATCH(BE$10,org_reg_codes,0),1),IF($A65="uni_pf_NAME",INDEX(pf_codes_values,MATCH(BE$10,pf_codes,0),1),""))</f>
        <v>36.0.7.</v>
      </c>
      <c r="BF65" s="0" cm="1" t="str">
        <f t="array" ref="BF65:BF65">IF($A65="uni_org_reg_NAME",INDEX(org_reg_values,MATCH(BF$10,org_reg_codes,0),1),IF($A65="uni_pf_NAME",INDEX(pf_codes_values,MATCH(BF$10,pf_codes,0),1),""))</f>
        <v>36.0.7.</v>
      </c>
      <c r="BG65" s="0" cm="1" t="str">
        <f t="array" ref="BG65:BG65">IF($A65="uni_org_reg_NAME",INDEX(org_reg_values,MATCH(BG$10,org_reg_codes,0),1),IF($A65="uni_pf_NAME",INDEX(pf_codes_values,MATCH(BG$10,pf_codes,0),1),""))</f>
        <v>36.0.7.</v>
      </c>
      <c r="BH65" s="0" cm="1" t="str">
        <f t="array" ref="BH65:BH65">IF($A65="uni_org_reg_NAME",INDEX(org_reg_values,MATCH(BH$10,org_reg_codes,0),1),IF($A65="uni_pf_NAME",INDEX(pf_codes_values,MATCH(BH$10,pf_codes,0),1),""))</f>
        <v>36.0.7.</v>
      </c>
      <c r="BI65" s="0" cm="1" t="str">
        <f t="array" ref="BI65:BI65">IF($A65="uni_org_reg_NAME",INDEX(org_reg_values,MATCH(BI$10,org_reg_codes,0),1),IF($A65="uni_pf_NAME",INDEX(pf_codes_values,MATCH(BI$10,pf_codes,0),1),""))</f>
        <v>36.0.7.</v>
      </c>
      <c r="BJ65" s="0" cm="1" t="str">
        <f t="array" ref="BJ65:BJ65">IF($A65="uni_org_reg_NAME",INDEX(org_reg_values,MATCH(BJ$10,org_reg_codes,0),1),IF($A65="uni_pf_NAME",INDEX(pf_codes_values,MATCH(BJ$10,pf_codes,0),1),""))</f>
        <v>36.0.7.</v>
      </c>
      <c r="BK65" s="0" cm="1" t="str">
        <f t="array" ref="BK65:BK65">IF($A65="uni_org_reg_NAME",INDEX(org_reg_values,MATCH(BK$10,org_reg_codes,0),1),IF($A65="uni_pf_NAME",INDEX(pf_codes_values,MATCH(BK$10,pf_codes,0),1),""))</f>
        <v>36.0.7.</v>
      </c>
      <c r="BL65" s="0" cm="1" t="str">
        <f t="array" ref="BL65:BL65">IF($A65="uni_org_reg_NAME",INDEX(org_reg_values,MATCH(BL$10,org_reg_codes,0),1),IF($A65="uni_pf_NAME",INDEX(pf_codes_values,MATCH(BL$10,pf_codes,0),1),""))</f>
        <v>36.0.7.</v>
      </c>
      <c r="BM65" s="0" cm="1" t="str">
        <f t="array" ref="BM65:BM65">IF($A65="uni_org_reg_NAME",INDEX(org_reg_values,MATCH(BM$10,org_reg_codes,0),1),IF($A65="uni_pf_NAME",INDEX(pf_codes_values,MATCH(BM$10,pf_codes,0),1),""))</f>
        <v>36.0.7.</v>
      </c>
      <c r="BN65" s="0" cm="1" t="str">
        <f t="array" ref="BN65:BN65">IF($A65="uni_org_reg_NAME",INDEX(org_reg_values,MATCH(BN$10,org_reg_codes,0),1),IF($A65="uni_pf_NAME",INDEX(pf_codes_values,MATCH(BN$10,pf_codes,0),1),""))</f>
        <v>36.0.7.</v>
      </c>
      <c r="BO65" s="0" cm="1" t="str">
        <f t="array" ref="BO65:BO65">IF($A65="uni_org_reg_NAME",INDEX(org_reg_values,MATCH(BO$10,org_reg_codes,0),1),IF($A65="uni_pf_NAME",INDEX(pf_codes_values,MATCH(BO$10,pf_codes,0),1),""))</f>
        <v>36.0.7.</v>
      </c>
      <c r="BP65" s="0" cm="1" t="str">
        <f t="array" ref="BP65:BP65">IF($A65="uni_org_reg_NAME",INDEX(org_reg_values,MATCH(BP$10,org_reg_codes,0),1),IF($A65="uni_pf_NAME",INDEX(pf_codes_values,MATCH(BP$10,pf_codes,0),1),""))</f>
        <v>36.0.7.</v>
      </c>
      <c r="BQ65" s="0" cm="1" t="str">
        <f t="array" ref="BQ65:BQ65">IF($A65="uni_org_reg_NAME",INDEX(org_reg_values,MATCH(BQ$10,org_reg_codes,0),1),IF($A65="uni_pf_NAME",INDEX(pf_codes_values,MATCH(BQ$10,pf_codes,0),1),""))</f>
        <v>36.0.7.</v>
      </c>
      <c r="BR65" s="0" cm="1" t="str">
        <f t="array" ref="BR65:BR65">IF($A65="uni_org_reg_NAME",INDEX(org_reg_values,MATCH(BR$10,org_reg_codes,0),1),IF($A65="uni_pf_NAME",INDEX(pf_codes_values,MATCH(BR$10,pf_codes,0),1),""))</f>
        <v>36.0.7.</v>
      </c>
      <c r="BS65" s="0" cm="1" t="str">
        <f t="array" ref="BS65:BS65">IF($A65="uni_org_reg_NAME",INDEX(org_reg_values,MATCH(BS$10,org_reg_codes,0),1),IF($A65="uni_pf_NAME",INDEX(pf_codes_values,MATCH(BS$10,pf_codes,0),1),""))</f>
        <v>36.0.7.</v>
      </c>
      <c r="BT65" s="0" cm="1" t="str">
        <f t="array" ref="BT65:BT65">IF($A65="uni_org_reg_NAME",INDEX(org_reg_values,MATCH(BT$10,org_reg_codes,0),1),IF($A65="uni_pf_NAME",INDEX(pf_codes_values,MATCH(BT$10,pf_codes,0),1),""))</f>
        <v>36.0.7.</v>
      </c>
      <c r="BU65" s="0" cm="1" t="str">
        <f t="array" ref="BU65:BU65">IF($A65="uni_org_reg_NAME",INDEX(org_reg_values,MATCH(BU$10,org_reg_codes,0),1),IF($A65="uni_pf_NAME",INDEX(pf_codes_values,MATCH(BU$10,pf_codes,0),1),""))</f>
        <v>36.0.7.</v>
      </c>
      <c r="BV65" s="0" cm="1" t="str">
        <f t="array" ref="BV65:BV65">IF($A65="uni_org_reg_NAME",INDEX(org_reg_values,MATCH(BV$10,org_reg_codes,0),1),IF($A65="uni_pf_NAME",INDEX(pf_codes_values,MATCH(BV$10,pf_codes,0),1),""))</f>
        <v>36.0.7.</v>
      </c>
      <c r="BW65" s="0" cm="1" t="str">
        <f t="array" ref="BW65:BW65">IF($A65="uni_org_reg_NAME",INDEX(org_reg_values,MATCH(BW$10,org_reg_codes,0),1),IF($A65="uni_pf_NAME",INDEX(pf_codes_values,MATCH(BW$10,pf_codes,0),1),""))</f>
        <v>36.0.7.</v>
      </c>
    </row>
    <row customHeight="1" ht="11.25" hidden="1">
      <c r="A66" s="0" t="s">
        <v>351</v>
      </c>
      <c r="AD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c r="BV66" s="183"/>
      <c r="BW66" s="183"/>
      <c r="BX66" s="0" t="s">
        <v>178</v>
      </c>
    </row>
    <row customHeight="1" ht="11.25" hidden="1">
      <c r="A67" s="0" t="s">
        <v>352</v>
      </c>
      <c r="AD67" s="183"/>
      <c r="AJ67" s="183"/>
      <c r="AK67" s="183"/>
      <c r="AL67" s="183"/>
      <c r="AM67" s="183"/>
      <c r="AN67" s="183"/>
      <c r="AO67" s="183"/>
      <c r="AP67" s="183"/>
      <c r="AQ67" s="183"/>
      <c r="AR67" s="183"/>
      <c r="AS67" s="183"/>
      <c r="AT67" s="183"/>
      <c r="AU67" s="183"/>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c r="BV67" s="183"/>
      <c r="BW67" s="183"/>
      <c r="BX67" s="0" t="s">
        <v>798</v>
      </c>
    </row>
    <row customHeight="1" ht="11.25" hidden="1">
      <c r="A68" s="0" t="s">
        <v>379</v>
      </c>
      <c r="AD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0" t="s">
        <v>799</v>
      </c>
    </row>
  </sheetData>
  <sheetProtection formatColumns="0" formatRows="0" insertRows="0" deleteColumns="0" deleteRows="0" sort="0" autoFilter="0" insertColumns="1"/>
  <mergeCells count="20">
    <mergeCell ref="X27:X39"/>
    <mergeCell ref="Z27:Z39"/>
    <mergeCell ref="AB55:BX55"/>
    <mergeCell ref="AB56:BX56"/>
    <mergeCell ref="AB58:AC58"/>
    <mergeCell ref="Y36:Y38"/>
    <mergeCell ref="AA36:AA38"/>
    <mergeCell ref="AB57:BX57"/>
    <mergeCell ref="AB24:AB25"/>
    <mergeCell ref="AE24:AE25"/>
    <mergeCell ref="BX24:BX25"/>
    <mergeCell ref="Y30:Y32"/>
    <mergeCell ref="AA30:AA32"/>
    <mergeCell ref="AC24:AD25"/>
    <mergeCell ref="X40:X52"/>
    <mergeCell ref="Z40:Z52"/>
    <mergeCell ref="Y49:Y51"/>
    <mergeCell ref="AA49:AA51"/>
    <mergeCell ref="Y43:Y45"/>
    <mergeCell ref="AA43:AA45"/>
  </mergeCells>
  <pageMargins left="0.35" right="0.35" top="0.40" bottom="0.40" header="0.31" footer="0.31"/>
  <pageSetup paperSize="9" scale="12"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F481B1-A278-B838-2A08-1EEB218B2CE1}" mc:Ignorable="x14ac xr xr2 xr3">
  <sheetPr>
    <tabColor rgb="FF002060"/>
    <outlinePr summaryRight="0" summaryBelow="0"/>
    <pageSetUpPr fitToPage="1"/>
  </sheetPr>
  <dimension ref="A1:CN239"/>
  <sheetViews>
    <sheetView showGridLines="0" workbookViewId="0">
      <pane xSplit="30" ySplit="26" topLeftCell="AE207" activePane="bottomRight" state="frozen"/>
      <selection pane="bottomLeft" activeCell="A27" sqref="A27"/>
      <selection pane="topRight" activeCell="AE1" sqref="AE1"/>
      <selection pane="bottomRight" activeCell="AG216" sqref="AG216"/>
    </sheetView>
  </sheetViews>
  <sheetFormatPr defaultColWidth="8.710937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9.5742187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183" width="3.00390625" customWidth="1"/>
    <col min="28" max="28" style="183" width="7.00390625" customWidth="1"/>
    <col min="29" max="29" style="183" width="42.00390625" customWidth="1"/>
    <col min="30" max="30" style="377" width="11.00390625" customWidth="1"/>
    <col min="31" max="35" style="377" width="13.00390625" customWidth="1"/>
    <col min="36" max="54" style="377" width="13.00390625" hidden="1" customWidth="1"/>
    <col min="55" max="55" style="377" width="13.00390625" customWidth="1"/>
    <col min="56" max="74" style="377" width="13.00390625" hidden="1" customWidth="1"/>
    <col min="75" max="75" style="183" width="20.00390625" customWidth="1"/>
    <col min="76" max="76" style="183" width="3.00390625" customWidth="1"/>
    <col min="77" max="77" style="969" width="8.7109375" hidden="1"/>
    <col min="78" max="78" style="1125" width="10.00390625" hidden="1" customWidth="1"/>
    <col min="79" max="80" style="1506" width="8.7109375" hidden="1"/>
    <col min="81" max="92" width="8.710937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I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Z1" s="489" t="s">
        <v>336</v>
      </c>
      <c r="CC1" s="0" t="s">
        <v>94</v>
      </c>
      <c r="CD1" s="0" t="s">
        <v>1168</v>
      </c>
      <c r="CE1" s="0" t="s">
        <v>1169</v>
      </c>
      <c r="CF1" s="0" t="s">
        <v>1170</v>
      </c>
      <c r="CG1" s="0" t="s">
        <v>1171</v>
      </c>
      <c r="CH1" s="0" t="s">
        <v>110</v>
      </c>
      <c r="CI1" s="0" t="s">
        <v>112</v>
      </c>
      <c r="CJ1" s="0" t="s">
        <v>113</v>
      </c>
      <c r="CK1" s="0" t="s">
        <v>114</v>
      </c>
      <c r="CL1" s="0"/>
      <c r="CM1" s="0"/>
      <c r="CN1" s="0"/>
    </row>
    <row s="1548" customFormat="1" customHeight="1" ht="11.25" hidden="1">
      <c r="A2" s="371"/>
      <c r="B2" s="179" t="s">
        <v>16</v>
      </c>
      <c r="G2" s="193"/>
      <c r="H2" s="193"/>
      <c r="I2" s="193"/>
      <c r="J2" s="193"/>
      <c r="K2" s="193"/>
      <c r="L2" s="193"/>
      <c r="M2" s="193"/>
      <c r="N2" s="193"/>
      <c r="O2" s="193"/>
      <c r="P2" s="193"/>
      <c r="Q2" s="193"/>
      <c r="R2" s="193"/>
      <c r="S2" s="193"/>
      <c r="AF2" s="179" cm="1" t="str">
        <f t="array" ref="AF2:AF2">isOrgDeclare</f>
        <v>true</v>
      </c>
      <c r="AI2" s="179">
        <f>AND(AI9&lt;=last_year_vis,isOrgDeclare)</f>
        <v>1</v>
      </c>
      <c r="AJ2" s="179">
        <f>AND(AJ9&lt;=last_year_vis,isOrgDeclare)</f>
        <v>0</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BC9&lt;=last_year_vis</f>
        <v>1</v>
      </c>
      <c r="BD2" s="179">
        <f>BD9&lt;=last_year_vis</f>
        <v>0</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Z2" s="489"/>
      <c r="CC2" s="0"/>
      <c r="CD2" s="0"/>
      <c r="CE2" s="0"/>
      <c r="CF2" s="0"/>
      <c r="CG2" s="0"/>
      <c r="CH2" s="0"/>
      <c r="CI2" s="0"/>
      <c r="CJ2" s="0"/>
      <c r="CK2" s="0"/>
      <c r="CL2" s="0"/>
      <c r="CM2" s="0"/>
      <c r="CN2" s="0"/>
    </row>
    <row s="1548" customFormat="1" customHeight="1" ht="11.25" hidden="1">
      <c r="A3" s="371"/>
      <c r="G3" s="193"/>
      <c r="H3" s="193"/>
      <c r="I3" s="193"/>
      <c r="J3" s="193"/>
      <c r="K3" s="193"/>
      <c r="L3" s="193"/>
      <c r="M3" s="193"/>
      <c r="N3" s="193"/>
      <c r="O3" s="193"/>
      <c r="P3" s="193"/>
      <c r="Q3" s="193"/>
      <c r="R3" s="193"/>
      <c r="S3" s="193"/>
      <c r="AI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Z3" s="489"/>
      <c r="CC3" s="0"/>
      <c r="CD3" s="0"/>
      <c r="CE3" s="0"/>
      <c r="CF3" s="0"/>
      <c r="CG3" s="0"/>
      <c r="CH3" s="0"/>
      <c r="CI3" s="0"/>
      <c r="CJ3" s="0"/>
      <c r="CK3" s="0"/>
      <c r="CL3" s="0"/>
      <c r="CM3" s="0"/>
      <c r="CN3" s="0"/>
    </row>
    <row s="1548" customFormat="1" customHeight="1" ht="11.25" hidden="1">
      <c r="A4" s="371"/>
      <c r="G4" s="193"/>
      <c r="H4" s="193"/>
      <c r="I4" s="193"/>
      <c r="J4" s="193"/>
      <c r="K4" s="193"/>
      <c r="L4" s="193"/>
      <c r="M4" s="193"/>
      <c r="N4" s="193"/>
      <c r="O4" s="193"/>
      <c r="P4" s="193"/>
      <c r="Q4" s="193"/>
      <c r="R4" s="193"/>
      <c r="S4" s="193"/>
      <c r="AI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Z4" s="489"/>
      <c r="CC4" s="0"/>
      <c r="CD4" s="0"/>
      <c r="CE4" s="0"/>
      <c r="CF4" s="0"/>
      <c r="CG4" s="0"/>
      <c r="CH4" s="0"/>
      <c r="CI4" s="0"/>
      <c r="CJ4" s="0"/>
      <c r="CK4" s="0"/>
      <c r="CL4" s="0"/>
      <c r="CM4" s="0"/>
      <c r="CN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7</v>
      </c>
      <c r="AC5" s="180">
        <v>42</v>
      </c>
      <c r="AD5" s="180">
        <v>11</v>
      </c>
      <c r="AE5" s="180">
        <v>13</v>
      </c>
      <c r="AF5" s="180">
        <v>13</v>
      </c>
      <c r="AG5" s="180">
        <v>13</v>
      </c>
      <c r="AH5" s="180">
        <v>13</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180">
        <v>20</v>
      </c>
      <c r="BX5" s="180">
        <v>3</v>
      </c>
      <c r="BZ5" s="489"/>
      <c r="CC5" s="1729"/>
      <c r="CD5" s="1729"/>
      <c r="CE5" s="1729"/>
      <c r="CF5" s="1729"/>
      <c r="CG5" s="1729"/>
      <c r="CH5" s="1729"/>
      <c r="CI5" s="1729"/>
      <c r="CJ5" s="1729"/>
      <c r="CK5" s="1729"/>
      <c r="CL5" s="1729"/>
      <c r="CM5" s="1729"/>
      <c r="CN5" s="1729"/>
    </row>
    <row s="1548" customFormat="1" customHeight="1" ht="11.25" hidden="1">
      <c r="A6" s="371"/>
      <c r="E6" s="180"/>
      <c r="G6" s="193"/>
      <c r="H6" s="193"/>
      <c r="I6" s="193"/>
      <c r="J6" s="193"/>
      <c r="K6" s="193"/>
      <c r="L6" s="193"/>
      <c r="M6" s="193"/>
      <c r="N6" s="193"/>
      <c r="O6" s="193"/>
      <c r="P6" s="193"/>
      <c r="Q6" s="193"/>
      <c r="R6" s="193"/>
      <c r="S6" s="193"/>
      <c r="AI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Z6" s="489"/>
      <c r="CC6" s="0"/>
      <c r="CD6" s="0"/>
      <c r="CE6" s="0"/>
      <c r="CF6" s="0"/>
      <c r="CG6" s="0"/>
      <c r="CH6" s="0"/>
      <c r="CI6" s="0"/>
      <c r="CJ6" s="0"/>
      <c r="CK6" s="0"/>
      <c r="CL6" s="0"/>
      <c r="CM6" s="0"/>
      <c r="CN6" s="0"/>
    </row>
    <row s="1659" customFormat="1" customHeight="1" ht="11.25" hidden="1">
      <c r="A7" s="371"/>
      <c r="B7" s="175"/>
      <c r="C7" s="175"/>
      <c r="D7" s="175"/>
      <c r="E7" s="180"/>
      <c r="AI7" s="1659"/>
      <c r="AJ7" s="1659"/>
      <c r="AK7" s="1659"/>
      <c r="AL7" s="1659"/>
      <c r="AM7" s="1659"/>
      <c r="AN7" s="1659"/>
      <c r="AO7" s="1659"/>
      <c r="AP7" s="1659"/>
      <c r="AQ7" s="1659"/>
      <c r="AR7" s="1659"/>
      <c r="AS7" s="1659"/>
      <c r="AT7" s="1659"/>
      <c r="AU7" s="1659"/>
      <c r="AV7" s="1659"/>
      <c r="AW7" s="1659"/>
      <c r="AX7" s="1659"/>
      <c r="AY7" s="1659"/>
      <c r="AZ7" s="1659"/>
      <c r="BA7" s="1659"/>
      <c r="BB7" s="1659"/>
      <c r="BC7" s="1659"/>
      <c r="BD7" s="1659"/>
      <c r="BE7" s="1659"/>
      <c r="BF7" s="1659"/>
      <c r="BG7" s="1659"/>
      <c r="BH7" s="1659"/>
      <c r="BI7" s="1659"/>
      <c r="BJ7" s="1659"/>
      <c r="BK7" s="1659"/>
      <c r="BL7" s="1659"/>
      <c r="BM7" s="1659"/>
      <c r="BN7" s="1659"/>
      <c r="BO7" s="1659"/>
      <c r="BP7" s="1659"/>
      <c r="BQ7" s="1659"/>
      <c r="BR7" s="1659"/>
      <c r="BS7" s="1659"/>
      <c r="BT7" s="1659"/>
      <c r="BU7" s="1659"/>
      <c r="BV7" s="1659"/>
      <c r="BZ7" s="489"/>
      <c r="CC7" s="0"/>
      <c r="CD7" s="0"/>
      <c r="CE7" s="0"/>
      <c r="CF7" s="0"/>
      <c r="CG7" s="0"/>
      <c r="CH7" s="0"/>
      <c r="CI7" s="0"/>
      <c r="CJ7" s="0"/>
      <c r="CK7" s="0"/>
      <c r="CL7" s="0"/>
      <c r="CM7" s="0"/>
      <c r="CN7" s="0"/>
    </row>
    <row s="1659" customFormat="1" customHeight="1" ht="11.25" hidden="1">
      <c r="A8" s="371"/>
      <c r="B8" s="175"/>
      <c r="C8" s="175"/>
      <c r="D8" s="175"/>
      <c r="E8" s="180"/>
      <c r="AI8" s="1659"/>
      <c r="AJ8" s="1659"/>
      <c r="AK8" s="1659"/>
      <c r="AL8" s="1659"/>
      <c r="AM8" s="1659"/>
      <c r="AN8" s="1659"/>
      <c r="AO8" s="1659"/>
      <c r="AP8" s="1659"/>
      <c r="AQ8" s="1659"/>
      <c r="AR8" s="1659"/>
      <c r="AS8" s="1659"/>
      <c r="AT8" s="1659"/>
      <c r="AU8" s="1659"/>
      <c r="AV8" s="1659"/>
      <c r="AW8" s="1659"/>
      <c r="AX8" s="1659"/>
      <c r="AY8" s="1659"/>
      <c r="AZ8" s="1659"/>
      <c r="BA8" s="1659"/>
      <c r="BB8" s="1659"/>
      <c r="BC8" s="1659"/>
      <c r="BD8" s="1659"/>
      <c r="BE8" s="1659"/>
      <c r="BF8" s="1659"/>
      <c r="BG8" s="1659"/>
      <c r="BH8" s="1659"/>
      <c r="BI8" s="1659"/>
      <c r="BJ8" s="1659"/>
      <c r="BK8" s="1659"/>
      <c r="BL8" s="1659"/>
      <c r="BM8" s="1659"/>
      <c r="BN8" s="1659"/>
      <c r="BO8" s="1659"/>
      <c r="BP8" s="1659"/>
      <c r="BQ8" s="1659"/>
      <c r="BR8" s="1659"/>
      <c r="BS8" s="1659"/>
      <c r="BT8" s="1659"/>
      <c r="BU8" s="1659"/>
      <c r="BV8" s="1659"/>
      <c r="BZ8" s="489"/>
      <c r="CC8" s="0"/>
      <c r="CD8" s="0"/>
      <c r="CE8" s="0"/>
      <c r="CF8" s="0"/>
      <c r="CG8" s="0"/>
      <c r="CH8" s="0"/>
      <c r="CI8" s="0"/>
      <c r="CJ8" s="0"/>
      <c r="CK8" s="0"/>
      <c r="CL8" s="0"/>
      <c r="CM8" s="0"/>
      <c r="CN8" s="0"/>
    </row>
    <row s="1143" customFormat="1" customHeight="1" ht="11.25" hidden="1">
      <c r="A9" s="309" t="s">
        <v>403</v>
      </c>
      <c r="AE9" s="312">
        <f>god-2</f>
        <v>2025</v>
      </c>
      <c r="AF9" s="312">
        <f>god-2</f>
        <v>2025</v>
      </c>
      <c r="AG9" s="312">
        <f>god-2</f>
        <v>2025</v>
      </c>
      <c r="AH9" s="312">
        <f>god-1</f>
        <v>2026</v>
      </c>
      <c r="AI9" s="312" cm="1" t="str">
        <f t="array" ref="AI9:AI9">god</f>
        <v>2027</v>
      </c>
      <c r="AJ9" s="312">
        <f>god+1</f>
        <v>2028</v>
      </c>
      <c r="AK9" s="312">
        <f>god+2</f>
        <v>2029</v>
      </c>
      <c r="AL9" s="312">
        <f>god+3</f>
        <v>2030</v>
      </c>
      <c r="AM9" s="312">
        <f>god+4</f>
        <v>2031</v>
      </c>
      <c r="AN9" s="312">
        <f>god+5</f>
        <v>2032</v>
      </c>
      <c r="AO9" s="312">
        <f>god+6</f>
        <v>2033</v>
      </c>
      <c r="AP9" s="312">
        <f>god+7</f>
        <v>2034</v>
      </c>
      <c r="AQ9" s="312">
        <f>god+8</f>
        <v>2035</v>
      </c>
      <c r="AR9" s="312">
        <f>god+9</f>
        <v>2036</v>
      </c>
      <c r="AS9" s="312">
        <f>god+10</f>
        <v>2037</v>
      </c>
      <c r="AT9" s="312">
        <f>god+11</f>
        <v>2038</v>
      </c>
      <c r="AU9" s="312">
        <f>god+12</f>
        <v>2039</v>
      </c>
      <c r="AV9" s="312">
        <f>god+13</f>
        <v>2040</v>
      </c>
      <c r="AW9" s="312">
        <f>god+14</f>
        <v>2041</v>
      </c>
      <c r="AX9" s="312">
        <f>god+15</f>
        <v>2042</v>
      </c>
      <c r="AY9" s="312">
        <f>god+16</f>
        <v>2043</v>
      </c>
      <c r="AZ9" s="312">
        <f>god+17</f>
        <v>2044</v>
      </c>
      <c r="BA9" s="312">
        <f>god+18</f>
        <v>2045</v>
      </c>
      <c r="BB9" s="312">
        <f>god+19</f>
        <v>2046</v>
      </c>
      <c r="BC9" s="312" cm="1" t="str">
        <f t="array" ref="BC9:BC9">god</f>
        <v>2027</v>
      </c>
      <c r="BD9" s="312">
        <f>god+1</f>
        <v>2028</v>
      </c>
      <c r="BE9" s="312">
        <f>god+2</f>
        <v>2029</v>
      </c>
      <c r="BF9" s="312">
        <f>god+3</f>
        <v>2030</v>
      </c>
      <c r="BG9" s="312">
        <f>god+4</f>
        <v>2031</v>
      </c>
      <c r="BH9" s="312">
        <f>god+5</f>
        <v>2032</v>
      </c>
      <c r="BI9" s="312">
        <f>god+6</f>
        <v>2033</v>
      </c>
      <c r="BJ9" s="312">
        <f>god+7</f>
        <v>2034</v>
      </c>
      <c r="BK9" s="312">
        <f>god+8</f>
        <v>2035</v>
      </c>
      <c r="BL9" s="312">
        <f>god+9</f>
        <v>2036</v>
      </c>
      <c r="BM9" s="312">
        <f>god+10</f>
        <v>2037</v>
      </c>
      <c r="BN9" s="312">
        <f>god+11</f>
        <v>2038</v>
      </c>
      <c r="BO9" s="312">
        <f>god+12</f>
        <v>2039</v>
      </c>
      <c r="BP9" s="312">
        <f>god+13</f>
        <v>2040</v>
      </c>
      <c r="BQ9" s="312">
        <f>god+14</f>
        <v>2041</v>
      </c>
      <c r="BR9" s="312">
        <f>god+15</f>
        <v>2042</v>
      </c>
      <c r="BS9" s="312">
        <f>god+16</f>
        <v>2043</v>
      </c>
      <c r="BT9" s="312">
        <f>god+17</f>
        <v>2044</v>
      </c>
      <c r="BU9" s="312">
        <f>god+18</f>
        <v>2045</v>
      </c>
      <c r="BV9" s="312">
        <f>god+19</f>
        <v>2046</v>
      </c>
      <c r="BZ9" s="489"/>
      <c r="CC9" s="1730"/>
      <c r="CD9" s="1730"/>
      <c r="CE9" s="1730"/>
      <c r="CF9" s="1730"/>
      <c r="CG9" s="1730"/>
      <c r="CH9" s="1730"/>
      <c r="CI9" s="1730"/>
      <c r="CJ9" s="1730"/>
      <c r="CK9" s="1730"/>
      <c r="CL9" s="1730"/>
      <c r="CM9" s="1730"/>
      <c r="CN9" s="1730"/>
    </row>
    <row s="1143" customFormat="1" customHeight="1" ht="11.25" hidden="1">
      <c r="A10" s="309" t="s">
        <v>404</v>
      </c>
      <c r="AE10" s="312" cm="1" t="str">
        <f t="array" ref="AE10:AE10">AE25</f>
        <v>Принято органом регулирования</v>
      </c>
      <c r="AF10" s="312" cm="1" t="str">
        <f t="array" ref="AF10:AF10">AF25</f>
        <v>Факт по данным организации</v>
      </c>
      <c r="AG10" s="312" cm="1" t="str">
        <f t="array" ref="AG10:AG10">AG25</f>
        <v>Факт, принятый органом регулирования</v>
      </c>
      <c r="AH10" s="312" cm="1" t="str">
        <f t="array" ref="AH10:AH10">AH25</f>
        <v>Принято органом регулирования</v>
      </c>
      <c r="AI10" s="312" cm="1" t="str">
        <f t="array" ref="AI10:AI10">AI25</f>
        <v>Предложение организации</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Предложение организации</v>
      </c>
      <c r="AZ10" s="312" cm="1" t="str">
        <f t="array" ref="AZ10:AZ10">AZ25</f>
        <v>Предложение организации</v>
      </c>
      <c r="BA10" s="312" cm="1" t="str">
        <f t="array" ref="BA10:BA10">BA25</f>
        <v>Предложение организации</v>
      </c>
      <c r="BB10" s="312" cm="1" t="str">
        <f t="array" ref="BB10:BB10">BB25</f>
        <v>Предложение организации</v>
      </c>
      <c r="BC10" s="312" cm="1" t="str">
        <f t="array" ref="BC10:BC10">BC25</f>
        <v>Принято органом регулирования</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S10" s="312" cm="1" t="str">
        <f t="array" ref="BS10:BS10">BS25</f>
        <v>Принято органом регулирования</v>
      </c>
      <c r="BT10" s="312" cm="1" t="str">
        <f t="array" ref="BT10:BT10">BT25</f>
        <v>Принято органом регулирования</v>
      </c>
      <c r="BU10" s="312" cm="1" t="str">
        <f t="array" ref="BU10:BU10">BU25</f>
        <v>Принято органом регулирования</v>
      </c>
      <c r="BV10" s="312" cm="1" t="str">
        <f t="array" ref="BV10:BV10">BV25</f>
        <v>Принято органом регулирования</v>
      </c>
      <c r="BZ10" s="489"/>
      <c r="CC10" s="1730"/>
      <c r="CD10" s="1730"/>
      <c r="CE10" s="1730"/>
      <c r="CF10" s="1730"/>
      <c r="CG10" s="1730"/>
      <c r="CH10" s="1730"/>
      <c r="CI10" s="1730"/>
      <c r="CJ10" s="1730"/>
      <c r="CK10" s="1730"/>
      <c r="CL10" s="1730"/>
      <c r="CM10" s="1730"/>
      <c r="CN10" s="1730"/>
    </row>
    <row s="1143" customFormat="1" customHeight="1" ht="11.25" hidden="1">
      <c r="A11" s="309" t="s">
        <v>405</v>
      </c>
      <c r="G11" s="483"/>
      <c r="H11" s="483"/>
      <c r="I11" s="483"/>
      <c r="J11" s="483"/>
      <c r="K11" s="483"/>
      <c r="L11" s="483"/>
      <c r="M11" s="483"/>
      <c r="N11" s="483"/>
      <c r="O11" s="483"/>
      <c r="P11" s="483"/>
      <c r="Q11" s="483"/>
      <c r="R11" s="483"/>
      <c r="S11" s="483"/>
      <c r="AI11" s="1143"/>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312" cm="1" t="str">
        <f t="array" ref="BW11:BW11">BW24</f>
        <v>Ссылка на правовую норму (основание для принятия показателя в расчет тарифа)</v>
      </c>
      <c r="BZ11" s="489"/>
      <c r="CC11" s="1730"/>
      <c r="CD11" s="1730"/>
      <c r="CE11" s="1730"/>
      <c r="CF11" s="1730"/>
      <c r="CG11" s="1730"/>
      <c r="CH11" s="1730"/>
      <c r="CI11" s="1730"/>
      <c r="CJ11" s="1730"/>
      <c r="CK11" s="1730"/>
      <c r="CL11" s="1730"/>
      <c r="CM11" s="1730"/>
      <c r="CN11" s="1730"/>
    </row>
    <row s="1548" customFormat="1" customHeight="1" ht="11.25" hidden="1">
      <c r="A12" s="371"/>
      <c r="E12" s="180"/>
      <c r="G12" s="193"/>
      <c r="H12" s="193"/>
      <c r="I12" s="193"/>
      <c r="J12" s="193"/>
      <c r="K12" s="193"/>
      <c r="L12" s="193"/>
      <c r="M12" s="193"/>
      <c r="N12" s="193"/>
      <c r="O12" s="193"/>
      <c r="P12" s="193"/>
      <c r="Q12" s="193"/>
      <c r="R12" s="193"/>
      <c r="S12" s="193"/>
      <c r="AI12" s="1548"/>
      <c r="AJ12" s="1548"/>
      <c r="AK12" s="1548"/>
      <c r="AL12" s="1548"/>
      <c r="AM12" s="1548"/>
      <c r="AN12" s="1548"/>
      <c r="AO12" s="1548"/>
      <c r="AP12" s="1548"/>
      <c r="AQ12" s="1548"/>
      <c r="AR12" s="1548"/>
      <c r="AS12" s="1548"/>
      <c r="AT12" s="1548"/>
      <c r="AU12" s="1548"/>
      <c r="AV12" s="1548"/>
      <c r="AW12" s="1548"/>
      <c r="AX12" s="1548"/>
      <c r="AY12" s="1548"/>
      <c r="AZ12" s="1548"/>
      <c r="BA12" s="1548"/>
      <c r="BB12" s="1548"/>
      <c r="BC12" s="1548"/>
      <c r="BD12" s="1548"/>
      <c r="BE12" s="1548"/>
      <c r="BF12" s="1548"/>
      <c r="BG12" s="1548"/>
      <c r="BH12" s="1548"/>
      <c r="BI12" s="1548"/>
      <c r="BJ12" s="1548"/>
      <c r="BK12" s="1548"/>
      <c r="BL12" s="1548"/>
      <c r="BM12" s="1548"/>
      <c r="BN12" s="1548"/>
      <c r="BO12" s="1548"/>
      <c r="BP12" s="1548"/>
      <c r="BQ12" s="1548"/>
      <c r="BR12" s="1548"/>
      <c r="BS12" s="1548"/>
      <c r="BT12" s="1548"/>
      <c r="BU12" s="1548"/>
      <c r="BV12" s="1548"/>
      <c r="BZ12" s="489"/>
      <c r="CC12" s="0"/>
      <c r="CD12" s="0"/>
      <c r="CE12" s="0"/>
      <c r="CF12" s="0"/>
      <c r="CG12" s="0"/>
      <c r="CH12" s="0"/>
      <c r="CI12" s="0"/>
      <c r="CJ12" s="0"/>
      <c r="CK12" s="0"/>
      <c r="CL12" s="0"/>
      <c r="CM12" s="0"/>
      <c r="CN12" s="0"/>
    </row>
    <row s="1548" customFormat="1" customHeight="1" ht="11.25" hidden="1">
      <c r="A13" s="371"/>
      <c r="E13" s="180"/>
      <c r="G13" s="193"/>
      <c r="H13" s="193"/>
      <c r="I13" s="193"/>
      <c r="J13" s="193"/>
      <c r="K13" s="193"/>
      <c r="L13" s="193"/>
      <c r="M13" s="193"/>
      <c r="N13" s="193"/>
      <c r="O13" s="193"/>
      <c r="P13" s="193"/>
      <c r="Q13" s="193"/>
      <c r="R13" s="193"/>
      <c r="S13" s="193"/>
      <c r="AI13" s="1548"/>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S13" s="1548"/>
      <c r="BT13" s="1548"/>
      <c r="BU13" s="1548"/>
      <c r="BV13" s="1548"/>
      <c r="BZ13" s="489"/>
      <c r="CC13" s="0"/>
      <c r="CD13" s="0"/>
      <c r="CE13" s="0"/>
      <c r="CF13" s="0"/>
      <c r="CG13" s="0"/>
      <c r="CH13" s="0"/>
      <c r="CI13" s="0"/>
      <c r="CJ13" s="0"/>
      <c r="CK13" s="0"/>
      <c r="CL13" s="0"/>
      <c r="CM13" s="0"/>
      <c r="CN13" s="0"/>
    </row>
    <row s="1548" customFormat="1" customHeight="1" ht="11.25" hidden="1">
      <c r="A14" s="371"/>
      <c r="E14" s="180"/>
      <c r="G14" s="193"/>
      <c r="H14" s="193"/>
      <c r="I14" s="193"/>
      <c r="J14" s="193"/>
      <c r="K14" s="193"/>
      <c r="L14" s="193"/>
      <c r="M14" s="193"/>
      <c r="N14" s="193"/>
      <c r="O14" s="193"/>
      <c r="P14" s="193"/>
      <c r="Q14" s="193"/>
      <c r="R14" s="193"/>
      <c r="S14" s="193"/>
      <c r="AI14" s="1548"/>
      <c r="AJ14" s="1548"/>
      <c r="AK14" s="1548"/>
      <c r="AL14" s="1548"/>
      <c r="AM14" s="1548"/>
      <c r="AN14" s="1548"/>
      <c r="AO14" s="1548"/>
      <c r="AP14" s="1548"/>
      <c r="AQ14" s="1548"/>
      <c r="AR14" s="1548"/>
      <c r="AS14" s="1548"/>
      <c r="AT14" s="1548"/>
      <c r="AU14" s="1548"/>
      <c r="AV14" s="1548"/>
      <c r="AW14" s="1548"/>
      <c r="AX14" s="1548"/>
      <c r="AY14" s="1548"/>
      <c r="AZ14" s="1548"/>
      <c r="BA14" s="1548"/>
      <c r="BB14" s="1548"/>
      <c r="BC14" s="1548"/>
      <c r="BD14" s="1548"/>
      <c r="BE14" s="1548"/>
      <c r="BF14" s="1548"/>
      <c r="BG14" s="1548"/>
      <c r="BH14" s="1548"/>
      <c r="BI14" s="1548"/>
      <c r="BJ14" s="1548"/>
      <c r="BK14" s="1548"/>
      <c r="BL14" s="1548"/>
      <c r="BM14" s="1548"/>
      <c r="BN14" s="1548"/>
      <c r="BO14" s="1548"/>
      <c r="BP14" s="1548"/>
      <c r="BQ14" s="1548"/>
      <c r="BR14" s="1548"/>
      <c r="BS14" s="1548"/>
      <c r="BT14" s="1548"/>
      <c r="BU14" s="1548"/>
      <c r="BV14" s="1548"/>
      <c r="BZ14" s="489"/>
      <c r="CC14" s="0"/>
      <c r="CD14" s="0"/>
      <c r="CE14" s="0"/>
      <c r="CF14" s="0"/>
      <c r="CG14" s="0"/>
      <c r="CH14" s="0"/>
      <c r="CI14" s="0"/>
      <c r="CJ14" s="0"/>
      <c r="CK14" s="0"/>
      <c r="CL14" s="0"/>
      <c r="CM14" s="0"/>
      <c r="CN14" s="0"/>
    </row>
    <row s="1548" customFormat="1" customHeight="1" ht="11.25" hidden="1">
      <c r="A15" s="371"/>
      <c r="E15" s="180"/>
      <c r="G15" s="193"/>
      <c r="H15" s="193"/>
      <c r="I15" s="193"/>
      <c r="J15" s="193"/>
      <c r="K15" s="193"/>
      <c r="L15" s="193"/>
      <c r="M15" s="193"/>
      <c r="N15" s="193"/>
      <c r="O15" s="193"/>
      <c r="P15" s="193"/>
      <c r="Q15" s="193"/>
      <c r="R15" s="193"/>
      <c r="S15" s="193"/>
      <c r="AI15" s="1548"/>
      <c r="AJ15" s="1548"/>
      <c r="AK15" s="1548"/>
      <c r="AL15" s="1548"/>
      <c r="AM15" s="1548"/>
      <c r="AN15" s="1548"/>
      <c r="AO15" s="1548"/>
      <c r="AP15" s="1548"/>
      <c r="AQ15" s="1548"/>
      <c r="AR15" s="1548"/>
      <c r="AS15" s="1548"/>
      <c r="AT15" s="1548"/>
      <c r="AU15" s="1548"/>
      <c r="AV15" s="1548"/>
      <c r="AW15" s="1548"/>
      <c r="AX15" s="1548"/>
      <c r="AY15" s="1548"/>
      <c r="AZ15" s="1548"/>
      <c r="BA15" s="1548"/>
      <c r="BB15" s="1548"/>
      <c r="BC15" s="1548"/>
      <c r="BD15" s="1548"/>
      <c r="BE15" s="1548"/>
      <c r="BF15" s="1548"/>
      <c r="BG15" s="1548"/>
      <c r="BH15" s="1548"/>
      <c r="BI15" s="1548"/>
      <c r="BJ15" s="1548"/>
      <c r="BK15" s="1548"/>
      <c r="BL15" s="1548"/>
      <c r="BM15" s="1548"/>
      <c r="BN15" s="1548"/>
      <c r="BO15" s="1548"/>
      <c r="BP15" s="1548"/>
      <c r="BQ15" s="1548"/>
      <c r="BR15" s="1548"/>
      <c r="BS15" s="1548"/>
      <c r="BT15" s="1548"/>
      <c r="BU15" s="1548"/>
      <c r="BV15" s="1548"/>
      <c r="BZ15" s="489"/>
      <c r="CC15" s="0"/>
      <c r="CD15" s="0"/>
      <c r="CE15" s="0"/>
      <c r="CF15" s="0"/>
      <c r="CG15" s="0"/>
      <c r="CH15" s="0"/>
      <c r="CI15" s="0"/>
      <c r="CJ15" s="0"/>
      <c r="CK15" s="0"/>
      <c r="CL15" s="0"/>
      <c r="CM15" s="0"/>
      <c r="CN15" s="0"/>
    </row>
    <row s="1548" customFormat="1" customHeight="1" ht="11.25" hidden="1">
      <c r="A16" s="371"/>
      <c r="E16" s="180"/>
      <c r="G16" s="193"/>
      <c r="H16" s="193"/>
      <c r="I16" s="193"/>
      <c r="J16" s="193"/>
      <c r="K16" s="193"/>
      <c r="L16" s="193"/>
      <c r="M16" s="193"/>
      <c r="N16" s="193"/>
      <c r="O16" s="193"/>
      <c r="P16" s="193"/>
      <c r="Q16" s="193"/>
      <c r="R16" s="193"/>
      <c r="S16" s="193"/>
      <c r="AI16" s="1548"/>
      <c r="AJ16" s="1548"/>
      <c r="AK16" s="1548"/>
      <c r="AL16" s="1548"/>
      <c r="AM16" s="1548"/>
      <c r="AN16" s="1548"/>
      <c r="AO16" s="1548"/>
      <c r="AP16" s="1548"/>
      <c r="AQ16" s="1548"/>
      <c r="AR16" s="1548"/>
      <c r="AS16" s="1548"/>
      <c r="AT16" s="1548"/>
      <c r="AU16" s="1548"/>
      <c r="AV16" s="1548"/>
      <c r="AW16" s="1548"/>
      <c r="AX16" s="1548"/>
      <c r="AY16" s="1548"/>
      <c r="AZ16" s="1548"/>
      <c r="BA16" s="1548"/>
      <c r="BB16" s="1548"/>
      <c r="BC16" s="1548"/>
      <c r="BD16" s="1548"/>
      <c r="BE16" s="1548"/>
      <c r="BF16" s="1548"/>
      <c r="BG16" s="1548"/>
      <c r="BH16" s="1548"/>
      <c r="BI16" s="1548"/>
      <c r="BJ16" s="1548"/>
      <c r="BK16" s="1548"/>
      <c r="BL16" s="1548"/>
      <c r="BM16" s="1548"/>
      <c r="BN16" s="1548"/>
      <c r="BO16" s="1548"/>
      <c r="BP16" s="1548"/>
      <c r="BQ16" s="1548"/>
      <c r="BR16" s="1548"/>
      <c r="BS16" s="1548"/>
      <c r="BT16" s="1548"/>
      <c r="BU16" s="1548"/>
      <c r="BV16" s="1548"/>
      <c r="BZ16" s="489"/>
      <c r="CC16" s="0"/>
      <c r="CD16" s="0"/>
      <c r="CE16" s="0"/>
      <c r="CF16" s="0"/>
      <c r="CG16" s="0"/>
      <c r="CH16" s="0"/>
      <c r="CI16" s="0"/>
      <c r="CJ16" s="0"/>
      <c r="CK16" s="0"/>
      <c r="CL16" s="0"/>
      <c r="CM16" s="0"/>
      <c r="CN16" s="0"/>
    </row>
    <row s="1548" customFormat="1" customHeight="1" ht="11.25" hidden="1">
      <c r="A17" s="371"/>
      <c r="E17" s="180"/>
      <c r="G17" s="193"/>
      <c r="H17" s="193"/>
      <c r="I17" s="193"/>
      <c r="J17" s="193"/>
      <c r="K17" s="193"/>
      <c r="L17" s="193"/>
      <c r="M17" s="193"/>
      <c r="N17" s="193"/>
      <c r="O17" s="193"/>
      <c r="P17" s="193"/>
      <c r="Q17" s="193"/>
      <c r="R17" s="193"/>
      <c r="S17" s="193"/>
      <c r="AI17" s="1548"/>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S17" s="1548"/>
      <c r="BT17" s="1548"/>
      <c r="BU17" s="1548"/>
      <c r="BV17" s="1548"/>
      <c r="BZ17" s="489"/>
      <c r="CC17" s="0"/>
      <c r="CD17" s="0"/>
      <c r="CE17" s="0"/>
      <c r="CF17" s="0"/>
      <c r="CG17" s="0"/>
      <c r="CH17" s="0"/>
      <c r="CI17" s="0"/>
      <c r="CJ17" s="0"/>
      <c r="CK17" s="0"/>
      <c r="CL17" s="0"/>
      <c r="CM17" s="0"/>
      <c r="CN17" s="0"/>
    </row>
    <row s="1548" customFormat="1" customHeight="1" ht="11.25" hidden="1">
      <c r="A18" s="371"/>
      <c r="E18" s="180"/>
      <c r="G18" s="193"/>
      <c r="H18" s="193"/>
      <c r="I18" s="193"/>
      <c r="J18" s="193"/>
      <c r="K18" s="193"/>
      <c r="L18" s="193"/>
      <c r="M18" s="193"/>
      <c r="N18" s="193"/>
      <c r="O18" s="193"/>
      <c r="P18" s="193"/>
      <c r="Q18" s="193"/>
      <c r="R18" s="193"/>
      <c r="S18" s="193"/>
      <c r="AI18" s="1548"/>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S18" s="1548"/>
      <c r="BT18" s="1548"/>
      <c r="BU18" s="1548"/>
      <c r="BV18" s="1548"/>
      <c r="BZ18" s="489"/>
      <c r="CC18" s="0"/>
      <c r="CD18" s="0"/>
      <c r="CE18" s="0"/>
      <c r="CF18" s="0"/>
      <c r="CG18" s="0"/>
      <c r="CH18" s="0"/>
      <c r="CI18" s="0"/>
      <c r="CJ18" s="0"/>
      <c r="CK18" s="0"/>
      <c r="CL18" s="0"/>
      <c r="CM18" s="0"/>
      <c r="CN18" s="0"/>
    </row>
    <row s="1548" customFormat="1" customHeight="1" ht="11.25" hidden="1">
      <c r="A19" s="371"/>
      <c r="E19" s="180"/>
      <c r="G19" s="193"/>
      <c r="H19" s="193"/>
      <c r="I19" s="193"/>
      <c r="J19" s="193"/>
      <c r="K19" s="193"/>
      <c r="L19" s="193"/>
      <c r="M19" s="193"/>
      <c r="N19" s="193"/>
      <c r="O19" s="193"/>
      <c r="P19" s="193"/>
      <c r="Q19" s="193"/>
      <c r="R19" s="193"/>
      <c r="S19" s="193"/>
      <c r="AI19" s="1548"/>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T19" s="1548"/>
      <c r="BU19" s="1548"/>
      <c r="BV19" s="1548"/>
      <c r="BZ19" s="489"/>
      <c r="CC19" s="0"/>
      <c r="CD19" s="0"/>
      <c r="CE19" s="0"/>
      <c r="CF19" s="0"/>
      <c r="CG19" s="0"/>
      <c r="CH19" s="0"/>
      <c r="CI19" s="0"/>
      <c r="CJ19" s="0"/>
      <c r="CK19" s="0"/>
      <c r="CL19" s="0"/>
      <c r="CM19" s="0"/>
      <c r="CN19" s="0"/>
    </row>
    <row s="1548" customFormat="1" customHeight="1" ht="11.25" hidden="1">
      <c r="A20" s="371"/>
      <c r="E20" s="180"/>
      <c r="G20" s="193"/>
      <c r="H20" s="193"/>
      <c r="I20" s="193"/>
      <c r="J20" s="193"/>
      <c r="K20" s="193"/>
      <c r="L20" s="193"/>
      <c r="M20" s="193"/>
      <c r="N20" s="193"/>
      <c r="O20" s="193"/>
      <c r="P20" s="193"/>
      <c r="Q20" s="193"/>
      <c r="R20" s="193"/>
      <c r="S20" s="193"/>
      <c r="AI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Z20" s="489"/>
      <c r="CC20" s="0"/>
      <c r="CD20" s="0"/>
      <c r="CE20" s="0"/>
      <c r="CF20" s="0"/>
      <c r="CG20" s="0"/>
      <c r="CH20" s="0"/>
      <c r="CI20" s="0"/>
      <c r="CJ20" s="0"/>
      <c r="CK20" s="0"/>
      <c r="CL20" s="0"/>
      <c r="CM20" s="0"/>
      <c r="CN20" s="0"/>
    </row>
    <row customHeight="1" ht="14.625">
      <c r="E21" s="180">
        <v>15</v>
      </c>
      <c r="AA21" s="182"/>
      <c r="AC21" s="278" cm="1" t="str">
        <f t="array" ref="AC21:AC21">tpl_title</f>
        <v>Кемеровская область / 2027 / ООО "КК-ИНВЕСТ" (ИНН:1901133713, КПП:190101001) / ДПР: 2025-2027</v>
      </c>
      <c r="AI21" s="377"/>
      <c r="AJ21" s="377"/>
      <c r="AK21" s="377"/>
      <c r="AL21" s="377"/>
      <c r="AM21" s="377"/>
      <c r="AN21" s="377"/>
      <c r="AO21" s="377"/>
      <c r="AP21" s="377"/>
      <c r="AQ21" s="377"/>
      <c r="AR21" s="377"/>
      <c r="AS21" s="377"/>
      <c r="AT21" s="377"/>
      <c r="AU21" s="377"/>
      <c r="AV21" s="377"/>
      <c r="AW21" s="377"/>
      <c r="AX21" s="377"/>
      <c r="AY21" s="377"/>
      <c r="AZ21" s="377"/>
      <c r="BA21" s="377"/>
      <c r="BB21" s="377"/>
      <c r="BC21" s="377"/>
      <c r="BD21" s="377"/>
      <c r="BE21" s="377"/>
      <c r="BF21" s="377"/>
      <c r="BG21" s="377"/>
      <c r="BH21" s="377"/>
      <c r="BI21" s="377"/>
      <c r="BJ21" s="377"/>
      <c r="BK21" s="377"/>
      <c r="BL21" s="377"/>
      <c r="BM21" s="377"/>
      <c r="BN21" s="377"/>
      <c r="BO21" s="377"/>
      <c r="BP21" s="377"/>
      <c r="BQ21" s="377"/>
      <c r="BR21" s="377"/>
      <c r="BS21" s="377"/>
      <c r="BT21" s="377"/>
      <c r="BU21" s="377"/>
      <c r="BV21" s="377"/>
    </row>
    <row customHeight="1" ht="19.5">
      <c r="E22" s="180">
        <v>20</v>
      </c>
      <c r="AB22" s="547" t="s">
        <v>1172</v>
      </c>
      <c r="AC22" s="548"/>
      <c r="AD22" s="626"/>
      <c r="AE22" s="548"/>
      <c r="AF22" s="548"/>
      <c r="AG22" s="548"/>
      <c r="AH22" s="548"/>
      <c r="AI22" s="548"/>
      <c r="AJ22" s="548"/>
      <c r="AK22" s="548"/>
      <c r="AL22" s="548"/>
      <c r="AM22" s="548"/>
      <c r="AN22" s="548"/>
      <c r="AO22" s="548"/>
      <c r="AP22" s="548"/>
      <c r="AQ22" s="548"/>
      <c r="AR22" s="548"/>
      <c r="AS22" s="548"/>
      <c r="AT22" s="548"/>
      <c r="AU22" s="548"/>
      <c r="AV22" s="548"/>
      <c r="AW22" s="548"/>
      <c r="AX22" s="548"/>
      <c r="AY22" s="548"/>
      <c r="AZ22" s="548"/>
      <c r="BA22" s="548"/>
      <c r="BB22" s="548"/>
      <c r="BC22" s="548"/>
      <c r="BD22" s="548"/>
      <c r="BE22" s="548"/>
      <c r="BF22" s="548"/>
      <c r="BG22" s="548"/>
      <c r="BH22" s="548"/>
      <c r="BI22" s="548"/>
      <c r="BJ22" s="548"/>
      <c r="BK22" s="548"/>
      <c r="BL22" s="548"/>
      <c r="BM22" s="548"/>
      <c r="BN22" s="548"/>
      <c r="BO22" s="548"/>
      <c r="BP22" s="548"/>
      <c r="BQ22" s="548"/>
      <c r="BR22" s="548"/>
      <c r="BS22" s="548"/>
      <c r="BT22" s="548"/>
      <c r="BU22" s="548"/>
      <c r="BV22" s="548"/>
      <c r="BW22" s="613"/>
    </row>
    <row customHeight="1" ht="10.725000000000001">
      <c r="E23" s="180">
        <v>11</v>
      </c>
      <c r="AB23" s="1670"/>
      <c r="AC23" s="1670"/>
      <c r="AD23" s="1670"/>
      <c r="AE23" s="1670"/>
      <c r="AF23" s="1670"/>
      <c r="AG23" s="1670"/>
      <c r="AH23" s="1670"/>
      <c r="AI23" s="1670"/>
      <c r="AJ23" s="1670"/>
      <c r="AK23" s="1670"/>
      <c r="AL23" s="1670"/>
      <c r="AM23" s="1670"/>
      <c r="AN23" s="1670"/>
      <c r="AO23" s="1670"/>
      <c r="AP23" s="1670"/>
      <c r="AQ23" s="1670"/>
      <c r="AR23" s="1670"/>
      <c r="AS23" s="1670"/>
      <c r="AT23" s="1670"/>
      <c r="AU23" s="1670"/>
      <c r="AV23" s="1670"/>
      <c r="AW23" s="1670"/>
      <c r="AX23" s="1670"/>
      <c r="AY23" s="1670"/>
      <c r="AZ23" s="1670"/>
      <c r="BA23" s="1670"/>
      <c r="BB23" s="1670"/>
      <c r="BC23" s="1670"/>
      <c r="BD23" s="1670"/>
      <c r="BE23" s="1670"/>
      <c r="BF23" s="1670"/>
      <c r="BG23" s="1670"/>
      <c r="BH23" s="1670"/>
      <c r="BI23" s="1670"/>
      <c r="BJ23" s="1670"/>
      <c r="BK23" s="1670"/>
      <c r="BL23" s="1670"/>
      <c r="BM23" s="1670"/>
      <c r="BN23" s="1670"/>
      <c r="BO23" s="1670"/>
      <c r="BP23" s="1670"/>
      <c r="BQ23" s="1670"/>
      <c r="BR23" s="1670"/>
      <c r="BS23" s="1670"/>
      <c r="BT23" s="1670"/>
      <c r="BU23" s="1670"/>
      <c r="BV23" s="1670"/>
    </row>
    <row customHeight="1" ht="14.625">
      <c r="E24" s="180">
        <v>15</v>
      </c>
      <c r="AB24" s="1653" t="s">
        <v>1135</v>
      </c>
      <c r="AC24" s="1671" t="s">
        <v>175</v>
      </c>
      <c r="AD24" s="1653" t="s">
        <v>413</v>
      </c>
      <c r="AE24" s="432" t="str">
        <f>god-2&amp;" год"</f>
        <v>2025 год</v>
      </c>
      <c r="AF24" s="433" t="str">
        <f>god-2&amp;" год"</f>
        <v>2025 год</v>
      </c>
      <c r="AG24" s="432" t="str">
        <f>god-2&amp;" год"</f>
        <v>2025 год</v>
      </c>
      <c r="AH24" s="330" t="str">
        <f>god-1&amp;" год"</f>
        <v>2026 год</v>
      </c>
      <c r="AI24" s="329" t="str">
        <f>god&amp;" год"</f>
        <v>2027 год</v>
      </c>
      <c r="AJ24" s="329" t="str">
        <f>god+1&amp;" год"</f>
        <v>2028 год</v>
      </c>
      <c r="AK24" s="329" t="str">
        <f>god+2&amp;" год"</f>
        <v>2029 год</v>
      </c>
      <c r="AL24" s="329" t="str">
        <f>god+3&amp;" год"</f>
        <v>2030 год</v>
      </c>
      <c r="AM24" s="329" t="str">
        <f>god+4&amp;" год"</f>
        <v>2031 год</v>
      </c>
      <c r="AN24" s="329" t="str">
        <f>god+5&amp;" год"</f>
        <v>2032 год</v>
      </c>
      <c r="AO24" s="329" t="str">
        <f>god+6&amp;" год"</f>
        <v>2033 год</v>
      </c>
      <c r="AP24" s="329" t="str">
        <f>god+7&amp;" год"</f>
        <v>2034 год</v>
      </c>
      <c r="AQ24" s="329" t="str">
        <f>god+8&amp;" год"</f>
        <v>2035 год</v>
      </c>
      <c r="AR24" s="329" t="str">
        <f>god+9&amp;" год"</f>
        <v>2036 год</v>
      </c>
      <c r="AS24" s="329" t="str">
        <f>god+10&amp;" год"</f>
        <v>2037 год</v>
      </c>
      <c r="AT24" s="329" t="str">
        <f>god+11&amp;" год"</f>
        <v>2038 год</v>
      </c>
      <c r="AU24" s="329" t="str">
        <f>god+12&amp;" год"</f>
        <v>2039 год</v>
      </c>
      <c r="AV24" s="329" t="str">
        <f>god+13&amp;" год"</f>
        <v>2040 год</v>
      </c>
      <c r="AW24" s="329" t="str">
        <f>god+14&amp;" год"</f>
        <v>2041 год</v>
      </c>
      <c r="AX24" s="329" t="str">
        <f>god+15&amp;" год"</f>
        <v>2042 год</v>
      </c>
      <c r="AY24" s="329" t="str">
        <f>god+16&amp;" год"</f>
        <v>2043 год</v>
      </c>
      <c r="AZ24" s="329" t="str">
        <f>god+17&amp;" год"</f>
        <v>2044 год</v>
      </c>
      <c r="BA24" s="329" t="str">
        <f>god+18&amp;" год"</f>
        <v>2045 год</v>
      </c>
      <c r="BB24" s="329" t="str">
        <f>god+19&amp;" год"</f>
        <v>2046 год</v>
      </c>
      <c r="BC24" s="328" t="str">
        <f>god&amp;" год"</f>
        <v>2027 год</v>
      </c>
      <c r="BD24" s="328" t="str">
        <f>god+1&amp;" год"</f>
        <v>2028 год</v>
      </c>
      <c r="BE24" s="328" t="str">
        <f>god+2&amp;" год"</f>
        <v>2029 год</v>
      </c>
      <c r="BF24" s="328" t="str">
        <f>god+3&amp;" год"</f>
        <v>2030 год</v>
      </c>
      <c r="BG24" s="328" t="str">
        <f>god+4&amp;" год"</f>
        <v>2031 год</v>
      </c>
      <c r="BH24" s="328" t="str">
        <f>god+5&amp;" год"</f>
        <v>2032 год</v>
      </c>
      <c r="BI24" s="328" t="str">
        <f>god+6&amp;" год"</f>
        <v>2033 год</v>
      </c>
      <c r="BJ24" s="328" t="str">
        <f>god+7&amp;" год"</f>
        <v>2034 год</v>
      </c>
      <c r="BK24" s="328" t="str">
        <f>god+8&amp;" год"</f>
        <v>2035 год</v>
      </c>
      <c r="BL24" s="328" t="str">
        <f>god+9&amp;" год"</f>
        <v>2036 год</v>
      </c>
      <c r="BM24" s="328" t="str">
        <f>god+10&amp;" год"</f>
        <v>2037 год</v>
      </c>
      <c r="BN24" s="328" t="str">
        <f>god+11&amp;" год"</f>
        <v>2038 год</v>
      </c>
      <c r="BO24" s="328" t="str">
        <f>god+12&amp;" год"</f>
        <v>2039 год</v>
      </c>
      <c r="BP24" s="328" t="str">
        <f>god+13&amp;" год"</f>
        <v>2040 год</v>
      </c>
      <c r="BQ24" s="328" t="str">
        <f>god+14&amp;" год"</f>
        <v>2041 год</v>
      </c>
      <c r="BR24" s="328" t="str">
        <f>god+15&amp;" год"</f>
        <v>2042 год</v>
      </c>
      <c r="BS24" s="328" t="str">
        <f>god+16&amp;" год"</f>
        <v>2043 год</v>
      </c>
      <c r="BT24" s="328" t="str">
        <f>god+17&amp;" год"</f>
        <v>2044 год</v>
      </c>
      <c r="BU24" s="328" t="str">
        <f>god+18&amp;" год"</f>
        <v>2045 год</v>
      </c>
      <c r="BV24" s="328" t="str">
        <f>god+19&amp;" год"</f>
        <v>2046 год</v>
      </c>
      <c r="BW24" s="1672" t="s">
        <v>625</v>
      </c>
    </row>
    <row customHeight="1" ht="48.75">
      <c r="E25" s="180">
        <v>50</v>
      </c>
      <c r="AB25" s="1653"/>
      <c r="AC25" s="1671"/>
      <c r="AD25" s="1653"/>
      <c r="AE25" s="328" t="s">
        <v>415</v>
      </c>
      <c r="AF25" s="329" t="s">
        <v>626</v>
      </c>
      <c r="AG25" s="328" t="s">
        <v>627</v>
      </c>
      <c r="AH25" s="328" t="s">
        <v>415</v>
      </c>
      <c r="AI25" s="331" t="s">
        <v>416</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331" t="s">
        <v>416</v>
      </c>
      <c r="AZ25" s="331" t="s">
        <v>416</v>
      </c>
      <c r="BA25" s="331" t="s">
        <v>416</v>
      </c>
      <c r="BB25" s="331" t="s">
        <v>416</v>
      </c>
      <c r="BC25" s="424" t="s">
        <v>415</v>
      </c>
      <c r="BD25" s="424" t="s">
        <v>415</v>
      </c>
      <c r="BE25" s="424" t="s">
        <v>415</v>
      </c>
      <c r="BF25" s="424" t="s">
        <v>415</v>
      </c>
      <c r="BG25" s="424" t="s">
        <v>415</v>
      </c>
      <c r="BH25" s="424" t="s">
        <v>415</v>
      </c>
      <c r="BI25" s="424" t="s">
        <v>415</v>
      </c>
      <c r="BJ25" s="424" t="s">
        <v>415</v>
      </c>
      <c r="BK25" s="424" t="s">
        <v>415</v>
      </c>
      <c r="BL25" s="424" t="s">
        <v>415</v>
      </c>
      <c r="BM25" s="424" t="s">
        <v>415</v>
      </c>
      <c r="BN25" s="424" t="s">
        <v>415</v>
      </c>
      <c r="BO25" s="424" t="s">
        <v>415</v>
      </c>
      <c r="BP25" s="424" t="s">
        <v>415</v>
      </c>
      <c r="BQ25" s="424" t="s">
        <v>415</v>
      </c>
      <c r="BR25" s="424" t="s">
        <v>415</v>
      </c>
      <c r="BS25" s="424" t="s">
        <v>415</v>
      </c>
      <c r="BT25" s="424" t="s">
        <v>415</v>
      </c>
      <c r="BU25" s="424" t="s">
        <v>415</v>
      </c>
      <c r="BV25" s="424" t="s">
        <v>415</v>
      </c>
      <c r="BW25" s="1673"/>
    </row>
    <row customHeight="1" ht="50.25" hidden="1">
      <c r="E26" s="965">
        <v>0</v>
      </c>
      <c r="AB26" s="472"/>
      <c r="AC26" s="627"/>
      <c r="AD26" s="628"/>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629"/>
    </row>
    <row customHeight="1" ht="10.725000000000001" hidden="1">
      <c r="E27" s="180">
        <v>11</v>
      </c>
      <c r="F27" s="175" cm="1" t="str">
        <f t="array" ref="F27:F27">X27</f>
        <v>0</v>
      </c>
      <c r="T27" s="753">
        <f>X27&gt;0</f>
        <v>0</v>
      </c>
      <c r="V27" s="175" t="s">
        <v>266</v>
      </c>
      <c r="X27" s="175">
        <v>0</v>
      </c>
      <c r="AB27" s="621" cm="1" t="str">
        <f t="array" ref="AB27:AB27">INDEX('Общие сведения'!$AG$169:$AG$202,MATCH($F27,'Общие сведения'!$Y$169:$Y$202,0))</f>
        <v>Тариф 0 (Теплоснабжение) - </v>
      </c>
      <c r="AC27" s="298"/>
      <c r="AD27" s="299"/>
      <c r="AE27" s="299"/>
      <c r="AF27" s="299"/>
      <c r="AG27" s="299"/>
      <c r="AH27" s="299"/>
      <c r="AI27" s="299"/>
      <c r="AJ27" s="299"/>
      <c r="AK27" s="299"/>
      <c r="AL27" s="299"/>
      <c r="AM27" s="299"/>
      <c r="AN27" s="299"/>
      <c r="AO27" s="299"/>
      <c r="AP27" s="299"/>
      <c r="AQ27" s="299"/>
      <c r="AR27" s="299"/>
      <c r="AS27" s="299"/>
      <c r="AT27" s="299"/>
      <c r="AU27" s="299"/>
      <c r="AV27" s="299"/>
      <c r="AW27" s="299"/>
      <c r="AX27" s="299"/>
      <c r="AY27" s="299"/>
      <c r="AZ27" s="299"/>
      <c r="BA27" s="299"/>
      <c r="BB27" s="299"/>
      <c r="BC27" s="299"/>
      <c r="BD27" s="299"/>
      <c r="BE27" s="299"/>
      <c r="BF27" s="299"/>
      <c r="BG27" s="299"/>
      <c r="BH27" s="299"/>
      <c r="BI27" s="299"/>
      <c r="BJ27" s="299"/>
      <c r="BK27" s="299"/>
      <c r="BL27" s="299"/>
      <c r="BM27" s="299"/>
      <c r="BN27" s="299"/>
      <c r="BO27" s="299"/>
      <c r="BP27" s="299"/>
      <c r="BQ27" s="299"/>
      <c r="BR27" s="299"/>
      <c r="BS27" s="299"/>
      <c r="BT27" s="299"/>
      <c r="BU27" s="299"/>
      <c r="BV27" s="299"/>
      <c r="BW27" s="630"/>
    </row>
    <row s="986" customFormat="1" customHeight="1" ht="22.425" hidden="1">
      <c r="E28" s="180">
        <v>23</v>
      </c>
      <c r="F28" s="175" cm="1" t="str">
        <f t="array" ref="F28:F28">F27</f>
        <v>0</v>
      </c>
      <c r="T28" s="753" cm="1" t="str">
        <f t="array" ref="T28:T28">T27</f>
        <v>false</v>
      </c>
      <c r="AB28" s="556">
        <v>1</v>
      </c>
      <c r="AC28" s="555" t="s">
        <v>1173</v>
      </c>
      <c r="AD28" s="551" t="s">
        <v>917</v>
      </c>
      <c r="AE28" s="105">
        <f>SUM(AE29:AE32)+SUM(AE38:AE41)</f>
        <v>0</v>
      </c>
      <c r="AF28" s="105">
        <f>SUM(AF29:AF32)+SUM(AF38:AF41)</f>
        <v>0</v>
      </c>
      <c r="AG28" s="105">
        <f>SUM(AG29:AG32)+SUM(AG38:AG41)</f>
        <v>0</v>
      </c>
      <c r="AH28" s="105">
        <f>SUM(AH29:AH32)+SUM(AH38:AH41)</f>
        <v>0</v>
      </c>
      <c r="AI28" s="588">
        <f>SUM(AI29:AI32)+SUM(AI38:AI41)</f>
        <v>0</v>
      </c>
      <c r="AJ28" s="105">
        <f>SUM(AJ29:AJ32)+SUM(AJ38:AJ41)</f>
        <v>0</v>
      </c>
      <c r="AK28" s="105">
        <f>SUM(AK29:AK32)+SUM(AK38:AK41)</f>
        <v>0</v>
      </c>
      <c r="AL28" s="105">
        <f>SUM(AL29:AL32)+SUM(AL38:AL41)</f>
        <v>0</v>
      </c>
      <c r="AM28" s="105">
        <f>SUM(AM29:AM32)+SUM(AM38:AM41)</f>
        <v>0</v>
      </c>
      <c r="AN28" s="105">
        <f>SUM(AN29:AN32)+SUM(AN38:AN41)</f>
        <v>0</v>
      </c>
      <c r="AO28" s="105">
        <f>SUM(AO29:AO32)+SUM(AO38:AO41)</f>
        <v>0</v>
      </c>
      <c r="AP28" s="105">
        <f>SUM(AP29:AP32)+SUM(AP38:AP41)</f>
        <v>0</v>
      </c>
      <c r="AQ28" s="105">
        <f>SUM(AQ29:AQ32)+SUM(AQ38:AQ41)</f>
        <v>0</v>
      </c>
      <c r="AR28" s="105">
        <f>SUM(AR29:AR32)+SUM(AR38:AR41)</f>
        <v>0</v>
      </c>
      <c r="AS28" s="105">
        <f>SUM(AS29:AS32)+SUM(AS38:AS41)</f>
        <v>0</v>
      </c>
      <c r="AT28" s="105">
        <f>SUM(AT29:AT32)+SUM(AT38:AT41)</f>
        <v>0</v>
      </c>
      <c r="AU28" s="105">
        <f>SUM(AU29:AU32)+SUM(AU38:AU41)</f>
        <v>0</v>
      </c>
      <c r="AV28" s="105">
        <f>SUM(AV29:AV32)+SUM(AV38:AV41)</f>
        <v>0</v>
      </c>
      <c r="AW28" s="105">
        <f>SUM(AW29:AW32)+SUM(AW38:AW41)</f>
        <v>0</v>
      </c>
      <c r="AX28" s="105">
        <f>SUM(AX29:AX32)+SUM(AX38:AX41)</f>
        <v>0</v>
      </c>
      <c r="AY28" s="105">
        <f>SUM(AY29:AY32)+SUM(AY38:AY41)</f>
        <v>0</v>
      </c>
      <c r="AZ28" s="105">
        <f>SUM(AZ29:AZ32)+SUM(AZ38:AZ41)</f>
        <v>0</v>
      </c>
      <c r="BA28" s="105">
        <f>SUM(BA29:BA32)+SUM(BA38:BA41)</f>
        <v>0</v>
      </c>
      <c r="BB28" s="105">
        <f>SUM(BB29:BB32)+SUM(BB38:BB41)</f>
        <v>0</v>
      </c>
      <c r="BC28" s="588">
        <f>SUM(BC29:BC32)+SUM(BC38:BC41)</f>
        <v>0</v>
      </c>
      <c r="BD28" s="105">
        <f>SUM(BD29:BD32)+SUM(BD38:BD41)</f>
        <v>0</v>
      </c>
      <c r="BE28" s="105">
        <f>SUM(BE29:BE32)+SUM(BE38:BE41)</f>
        <v>0</v>
      </c>
      <c r="BF28" s="105">
        <f>SUM(BF29:BF32)+SUM(BF38:BF41)</f>
        <v>0</v>
      </c>
      <c r="BG28" s="105">
        <f>SUM(BG29:BG32)+SUM(BG38:BG41)</f>
        <v>0</v>
      </c>
      <c r="BH28" s="105">
        <f>SUM(BH29:BH32)+SUM(BH38:BH41)</f>
        <v>0</v>
      </c>
      <c r="BI28" s="105">
        <f>SUM(BI29:BI32)+SUM(BI38:BI41)</f>
        <v>0</v>
      </c>
      <c r="BJ28" s="105">
        <f>SUM(BJ29:BJ32)+SUM(BJ38:BJ41)</f>
        <v>0</v>
      </c>
      <c r="BK28" s="105">
        <f>SUM(BK29:BK32)+SUM(BK38:BK41)</f>
        <v>0</v>
      </c>
      <c r="BL28" s="105">
        <f>SUM(BL29:BL32)+SUM(BL38:BL41)</f>
        <v>0</v>
      </c>
      <c r="BM28" s="105">
        <f>SUM(BM29:BM32)+SUM(BM38:BM41)</f>
        <v>0</v>
      </c>
      <c r="BN28" s="105">
        <f>SUM(BN29:BN32)+SUM(BN38:BN41)</f>
        <v>0</v>
      </c>
      <c r="BO28" s="105">
        <f>SUM(BO29:BO32)+SUM(BO38:BO41)</f>
        <v>0</v>
      </c>
      <c r="BP28" s="105">
        <f>SUM(BP29:BP32)+SUM(BP38:BP41)</f>
        <v>0</v>
      </c>
      <c r="BQ28" s="105">
        <f>SUM(BQ29:BQ32)+SUM(BQ38:BQ41)</f>
        <v>0</v>
      </c>
      <c r="BR28" s="105">
        <f>SUM(BR29:BR32)+SUM(BR38:BR41)</f>
        <v>0</v>
      </c>
      <c r="BS28" s="105">
        <f>SUM(BS29:BS32)+SUM(BS38:BS41)</f>
        <v>0</v>
      </c>
      <c r="BT28" s="105">
        <f>SUM(BT29:BT32)+SUM(BT38:BT41)</f>
        <v>0</v>
      </c>
      <c r="BU28" s="105">
        <f>SUM(BU29:BU32)+SUM(BU38:BU41)</f>
        <v>0</v>
      </c>
      <c r="BV28" s="105">
        <f>SUM(BV29:BV32)+SUM(BV38:BV41)</f>
        <v>0</v>
      </c>
      <c r="BW28" s="83"/>
      <c r="BZ28" s="489" t="s">
        <v>1174</v>
      </c>
      <c r="CC28" s="0" cm="1" t="str">
        <f t="array" ref="CC28:CC28">INDEX('Общие сведения'!$N$170:$N$202,MATCH($F28,'Общие сведения'!$Y$170:$Y$202,0)+1)</f>
        <v>0</v>
      </c>
      <c r="CI28" s="0" t="s">
        <v>303</v>
      </c>
      <c r="CJ28" s="0" t="s">
        <v>1175</v>
      </c>
      <c r="CK28" s="0" t="s">
        <v>1176</v>
      </c>
    </row>
    <row customHeight="1" ht="14.625" hidden="1">
      <c r="E29" s="180">
        <v>15</v>
      </c>
      <c r="F29" s="175" cm="1" t="str">
        <f t="array" ref="F29:F29">F28</f>
        <v>0</v>
      </c>
      <c r="T29" s="753" cm="1" t="str">
        <f t="array" ref="T29:T29">T28</f>
        <v>false</v>
      </c>
      <c r="AB29" s="633">
        <v>1.1</v>
      </c>
      <c r="AC29" s="634" t="s">
        <v>1177</v>
      </c>
      <c r="AD29" s="633" t="s">
        <v>1178</v>
      </c>
      <c r="AE29" s="71"/>
      <c r="AF29" s="71"/>
      <c r="AG29" s="71"/>
      <c r="AH29" s="71"/>
      <c r="AI29" s="353"/>
      <c r="AJ29" s="71"/>
      <c r="AK29" s="71"/>
      <c r="AL29" s="71"/>
      <c r="AM29" s="71"/>
      <c r="AN29" s="71"/>
      <c r="AO29" s="71"/>
      <c r="AP29" s="71"/>
      <c r="AQ29" s="71"/>
      <c r="AR29" s="71"/>
      <c r="AS29" s="71"/>
      <c r="AT29" s="71"/>
      <c r="AU29" s="71"/>
      <c r="AV29" s="71"/>
      <c r="AW29" s="71"/>
      <c r="AX29" s="71"/>
      <c r="AY29" s="71"/>
      <c r="AZ29" s="71"/>
      <c r="BA29" s="71"/>
      <c r="BB29" s="71"/>
      <c r="BC29" s="353"/>
      <c r="BD29" s="71"/>
      <c r="BE29" s="71"/>
      <c r="BF29" s="71"/>
      <c r="BG29" s="71"/>
      <c r="BH29" s="71"/>
      <c r="BI29" s="71"/>
      <c r="BJ29" s="71"/>
      <c r="BK29" s="71"/>
      <c r="BL29" s="71"/>
      <c r="BM29" s="71"/>
      <c r="BN29" s="71"/>
      <c r="BO29" s="71"/>
      <c r="BP29" s="71"/>
      <c r="BQ29" s="71"/>
      <c r="BR29" s="71"/>
      <c r="BS29" s="71"/>
      <c r="BT29" s="71"/>
      <c r="BU29" s="71"/>
      <c r="BV29" s="71"/>
      <c r="BW29" s="83"/>
      <c r="BZ29" s="489" t="s">
        <v>1179</v>
      </c>
      <c r="CC29" s="0" cm="1" t="str">
        <f t="array" ref="CC29:CC29">CC28</f>
        <v>0</v>
      </c>
      <c r="CD29" s="0" t="s">
        <v>1180</v>
      </c>
      <c r="CH29" s="0" t="s">
        <v>219</v>
      </c>
      <c r="CI29" s="0" t="s">
        <v>303</v>
      </c>
      <c r="CJ29" s="0" t="s">
        <v>1175</v>
      </c>
      <c r="CK29" s="0" t="s">
        <v>1176</v>
      </c>
    </row>
    <row customHeight="1" ht="14.625" hidden="1">
      <c r="E30" s="180">
        <v>15</v>
      </c>
      <c r="F30" s="175" cm="1" t="str">
        <f t="array" ref="F30:F30">F29</f>
        <v>0</v>
      </c>
      <c r="T30" s="753" cm="1" t="str">
        <f t="array" ref="T30:T30">T29</f>
        <v>false</v>
      </c>
      <c r="AB30" s="633">
        <v>1.2</v>
      </c>
      <c r="AC30" s="634" t="s">
        <v>1181</v>
      </c>
      <c r="AD30" s="633" t="s">
        <v>1178</v>
      </c>
      <c r="AE30" s="71"/>
      <c r="AF30" s="71"/>
      <c r="AG30" s="71"/>
      <c r="AH30" s="71"/>
      <c r="AI30" s="353"/>
      <c r="AJ30" s="71"/>
      <c r="AK30" s="71"/>
      <c r="AL30" s="71"/>
      <c r="AM30" s="71"/>
      <c r="AN30" s="71"/>
      <c r="AO30" s="71"/>
      <c r="AP30" s="71"/>
      <c r="AQ30" s="71"/>
      <c r="AR30" s="71"/>
      <c r="AS30" s="71"/>
      <c r="AT30" s="71"/>
      <c r="AU30" s="71"/>
      <c r="AV30" s="71"/>
      <c r="AW30" s="71"/>
      <c r="AX30" s="71"/>
      <c r="AY30" s="71"/>
      <c r="AZ30" s="71"/>
      <c r="BA30" s="71"/>
      <c r="BB30" s="71"/>
      <c r="BC30" s="353"/>
      <c r="BD30" s="71"/>
      <c r="BE30" s="71"/>
      <c r="BF30" s="71"/>
      <c r="BG30" s="71"/>
      <c r="BH30" s="71"/>
      <c r="BI30" s="71"/>
      <c r="BJ30" s="71"/>
      <c r="BK30" s="71"/>
      <c r="BL30" s="71"/>
      <c r="BM30" s="71"/>
      <c r="BN30" s="71"/>
      <c r="BO30" s="71"/>
      <c r="BP30" s="71"/>
      <c r="BQ30" s="71"/>
      <c r="BR30" s="71"/>
      <c r="BS30" s="71"/>
      <c r="BT30" s="71"/>
      <c r="BU30" s="71"/>
      <c r="BV30" s="71"/>
      <c r="BW30" s="83"/>
      <c r="BZ30" s="489" t="s">
        <v>1182</v>
      </c>
      <c r="CC30" s="0" cm="1" t="str">
        <f t="array" ref="CC30:CC30">CC29</f>
        <v>0</v>
      </c>
      <c r="CD30" s="0" t="s">
        <v>1183</v>
      </c>
      <c r="CH30" s="0" t="s">
        <v>219</v>
      </c>
      <c r="CI30" s="0" t="s">
        <v>303</v>
      </c>
      <c r="CJ30" s="0" t="s">
        <v>1175</v>
      </c>
      <c r="CK30" s="0" t="s">
        <v>1176</v>
      </c>
    </row>
    <row customHeight="1" ht="14.625" hidden="1">
      <c r="E31" s="180">
        <v>15</v>
      </c>
      <c r="F31" s="175" cm="1" t="str">
        <f t="array" ref="F31:F31">F30</f>
        <v>0</v>
      </c>
      <c r="T31" s="753" cm="1" t="str">
        <f t="array" ref="T31:T31">T30</f>
        <v>false</v>
      </c>
      <c r="AB31" s="633">
        <v>1.3</v>
      </c>
      <c r="AC31" s="634" t="s">
        <v>1184</v>
      </c>
      <c r="AD31" s="633" t="s">
        <v>1178</v>
      </c>
      <c r="AE31" s="71"/>
      <c r="AF31" s="71"/>
      <c r="AG31" s="71"/>
      <c r="AH31" s="71"/>
      <c r="AI31" s="353"/>
      <c r="AJ31" s="71"/>
      <c r="AK31" s="71"/>
      <c r="AL31" s="71"/>
      <c r="AM31" s="71"/>
      <c r="AN31" s="71"/>
      <c r="AO31" s="71"/>
      <c r="AP31" s="71"/>
      <c r="AQ31" s="71"/>
      <c r="AR31" s="71"/>
      <c r="AS31" s="71"/>
      <c r="AT31" s="71"/>
      <c r="AU31" s="71"/>
      <c r="AV31" s="71"/>
      <c r="AW31" s="71"/>
      <c r="AX31" s="71"/>
      <c r="AY31" s="71"/>
      <c r="AZ31" s="71"/>
      <c r="BA31" s="71"/>
      <c r="BB31" s="71"/>
      <c r="BC31" s="353"/>
      <c r="BD31" s="71"/>
      <c r="BE31" s="71"/>
      <c r="BF31" s="71"/>
      <c r="BG31" s="71"/>
      <c r="BH31" s="71"/>
      <c r="BI31" s="71"/>
      <c r="BJ31" s="71"/>
      <c r="BK31" s="71"/>
      <c r="BL31" s="71"/>
      <c r="BM31" s="71"/>
      <c r="BN31" s="71"/>
      <c r="BO31" s="71"/>
      <c r="BP31" s="71"/>
      <c r="BQ31" s="71"/>
      <c r="BR31" s="71"/>
      <c r="BS31" s="71"/>
      <c r="BT31" s="71"/>
      <c r="BU31" s="71"/>
      <c r="BV31" s="71"/>
      <c r="BW31" s="83"/>
      <c r="BZ31" s="489" t="s">
        <v>1185</v>
      </c>
      <c r="CC31" s="0" cm="1" t="str">
        <f t="array" ref="CC31:CC31">CC30</f>
        <v>0</v>
      </c>
      <c r="CD31" s="0" t="s">
        <v>1186</v>
      </c>
      <c r="CH31" s="0" t="s">
        <v>219</v>
      </c>
      <c r="CI31" s="0" t="s">
        <v>303</v>
      </c>
      <c r="CJ31" s="0" t="s">
        <v>1175</v>
      </c>
      <c r="CK31" s="0" t="s">
        <v>1176</v>
      </c>
    </row>
    <row customHeight="1" ht="14.625" hidden="1">
      <c r="E32" s="180">
        <v>15</v>
      </c>
      <c r="F32" s="175" cm="1" t="str">
        <f t="array" ref="F32:F32">F31</f>
        <v>0</v>
      </c>
      <c r="T32" s="753" cm="1" t="str">
        <f t="array" ref="T32:T32">T31</f>
        <v>false</v>
      </c>
      <c r="AB32" s="633">
        <v>1.4</v>
      </c>
      <c r="AC32" s="634" t="s">
        <v>1187</v>
      </c>
      <c r="AD32" s="633" t="s">
        <v>1178</v>
      </c>
      <c r="AE32" s="87">
        <f>SUM(AE33:AE37)</f>
        <v>0</v>
      </c>
      <c r="AF32" s="87">
        <f>SUM(AF33:AF37)</f>
        <v>0</v>
      </c>
      <c r="AG32" s="87">
        <f>SUM(AG33:AG37)</f>
        <v>0</v>
      </c>
      <c r="AH32" s="87">
        <f>SUM(AH33:AH37)</f>
        <v>0</v>
      </c>
      <c r="AI32" s="484">
        <f>SUM(AI33:AI37)</f>
        <v>0</v>
      </c>
      <c r="AJ32" s="87">
        <f>SUM(AJ33:AJ37)</f>
        <v>0</v>
      </c>
      <c r="AK32" s="87">
        <f>SUM(AK33:AK37)</f>
        <v>0</v>
      </c>
      <c r="AL32" s="87">
        <f>SUM(AL33:AL37)</f>
        <v>0</v>
      </c>
      <c r="AM32" s="87">
        <f>SUM(AM33:AM37)</f>
        <v>0</v>
      </c>
      <c r="AN32" s="87">
        <f>SUM(AN33:AN37)</f>
        <v>0</v>
      </c>
      <c r="AO32" s="87">
        <f>SUM(AO33:AO37)</f>
        <v>0</v>
      </c>
      <c r="AP32" s="87">
        <f>SUM(AP33:AP37)</f>
        <v>0</v>
      </c>
      <c r="AQ32" s="87">
        <f>SUM(AQ33:AQ37)</f>
        <v>0</v>
      </c>
      <c r="AR32" s="87">
        <f>SUM(AR33:AR37)</f>
        <v>0</v>
      </c>
      <c r="AS32" s="87">
        <f>SUM(AS33:AS37)</f>
        <v>0</v>
      </c>
      <c r="AT32" s="87">
        <f>SUM(AT33:AT37)</f>
        <v>0</v>
      </c>
      <c r="AU32" s="87">
        <f>SUM(AU33:AU37)</f>
        <v>0</v>
      </c>
      <c r="AV32" s="87">
        <f>SUM(AV33:AV37)</f>
        <v>0</v>
      </c>
      <c r="AW32" s="87">
        <f>SUM(AW33:AW37)</f>
        <v>0</v>
      </c>
      <c r="AX32" s="87">
        <f>SUM(AX33:AX37)</f>
        <v>0</v>
      </c>
      <c r="AY32" s="87">
        <f>SUM(AY33:AY37)</f>
        <v>0</v>
      </c>
      <c r="AZ32" s="87">
        <f>SUM(AZ33:AZ37)</f>
        <v>0</v>
      </c>
      <c r="BA32" s="87">
        <f>SUM(BA33:BA37)</f>
        <v>0</v>
      </c>
      <c r="BB32" s="87">
        <f>SUM(BB33:BB37)</f>
        <v>0</v>
      </c>
      <c r="BC32" s="484">
        <f>SUM(BC33:BC37)</f>
        <v>0</v>
      </c>
      <c r="BD32" s="87">
        <f>SUM(BD33:BD37)</f>
        <v>0</v>
      </c>
      <c r="BE32" s="87">
        <f>SUM(BE33:BE37)</f>
        <v>0</v>
      </c>
      <c r="BF32" s="87">
        <f>SUM(BF33:BF37)</f>
        <v>0</v>
      </c>
      <c r="BG32" s="87">
        <f>SUM(BG33:BG37)</f>
        <v>0</v>
      </c>
      <c r="BH32" s="87">
        <f>SUM(BH33:BH37)</f>
        <v>0</v>
      </c>
      <c r="BI32" s="87">
        <f>SUM(BI33:BI37)</f>
        <v>0</v>
      </c>
      <c r="BJ32" s="87">
        <f>SUM(BJ33:BJ37)</f>
        <v>0</v>
      </c>
      <c r="BK32" s="87">
        <f>SUM(BK33:BK37)</f>
        <v>0</v>
      </c>
      <c r="BL32" s="87">
        <f>SUM(BL33:BL37)</f>
        <v>0</v>
      </c>
      <c r="BM32" s="87">
        <f>SUM(BM33:BM37)</f>
        <v>0</v>
      </c>
      <c r="BN32" s="87">
        <f>SUM(BN33:BN37)</f>
        <v>0</v>
      </c>
      <c r="BO32" s="87">
        <f>SUM(BO33:BO37)</f>
        <v>0</v>
      </c>
      <c r="BP32" s="87">
        <f>SUM(BP33:BP37)</f>
        <v>0</v>
      </c>
      <c r="BQ32" s="87">
        <f>SUM(BQ33:BQ37)</f>
        <v>0</v>
      </c>
      <c r="BR32" s="87">
        <f>SUM(BR33:BR37)</f>
        <v>0</v>
      </c>
      <c r="BS32" s="87">
        <f>SUM(BS33:BS37)</f>
        <v>0</v>
      </c>
      <c r="BT32" s="87">
        <f>SUM(BT33:BT37)</f>
        <v>0</v>
      </c>
      <c r="BU32" s="87">
        <f>SUM(BU33:BU37)</f>
        <v>0</v>
      </c>
      <c r="BV32" s="87">
        <f>SUM(BV33:BV37)</f>
        <v>0</v>
      </c>
      <c r="BW32" s="83"/>
      <c r="BZ32" s="489" t="s">
        <v>1188</v>
      </c>
      <c r="CC32" s="0" cm="1" t="str">
        <f t="array" ref="CC32:CC32">CC31</f>
        <v>0</v>
      </c>
      <c r="CD32" s="0" t="s">
        <v>1189</v>
      </c>
      <c r="CH32" s="0" t="s">
        <v>219</v>
      </c>
      <c r="CI32" s="0" t="s">
        <v>303</v>
      </c>
      <c r="CJ32" s="0" t="s">
        <v>1175</v>
      </c>
      <c r="CK32" s="0" t="s">
        <v>1176</v>
      </c>
    </row>
    <row customHeight="1" ht="14.625" hidden="1">
      <c r="E33" s="180">
        <v>15</v>
      </c>
      <c r="F33" s="175" cm="1" t="str">
        <f t="array" ref="F33:F33">F32</f>
        <v>0</v>
      </c>
      <c r="T33" s="753" cm="1" t="str">
        <f t="array" ref="T33:T33">T32</f>
        <v>false</v>
      </c>
      <c r="AB33" s="633" t="s">
        <v>1190</v>
      </c>
      <c r="AC33" s="635" t="s">
        <v>1191</v>
      </c>
      <c r="AD33" s="633" t="s">
        <v>1178</v>
      </c>
      <c r="AE33" s="71"/>
      <c r="AF33" s="71"/>
      <c r="AG33" s="71"/>
      <c r="AH33" s="71"/>
      <c r="AI33" s="353"/>
      <c r="AJ33" s="71"/>
      <c r="AK33" s="71"/>
      <c r="AL33" s="71"/>
      <c r="AM33" s="71"/>
      <c r="AN33" s="71"/>
      <c r="AO33" s="71"/>
      <c r="AP33" s="71"/>
      <c r="AQ33" s="71"/>
      <c r="AR33" s="71"/>
      <c r="AS33" s="71"/>
      <c r="AT33" s="71"/>
      <c r="AU33" s="71"/>
      <c r="AV33" s="71"/>
      <c r="AW33" s="71"/>
      <c r="AX33" s="71"/>
      <c r="AY33" s="71"/>
      <c r="AZ33" s="71"/>
      <c r="BA33" s="71"/>
      <c r="BB33" s="71"/>
      <c r="BC33" s="353"/>
      <c r="BD33" s="71"/>
      <c r="BE33" s="71"/>
      <c r="BF33" s="71"/>
      <c r="BG33" s="71"/>
      <c r="BH33" s="71"/>
      <c r="BI33" s="71"/>
      <c r="BJ33" s="71"/>
      <c r="BK33" s="71"/>
      <c r="BL33" s="71"/>
      <c r="BM33" s="71"/>
      <c r="BN33" s="71"/>
      <c r="BO33" s="71"/>
      <c r="BP33" s="71"/>
      <c r="BQ33" s="71"/>
      <c r="BR33" s="71"/>
      <c r="BS33" s="71"/>
      <c r="BT33" s="71"/>
      <c r="BU33" s="71"/>
      <c r="BV33" s="71"/>
      <c r="BW33" s="83"/>
      <c r="BZ33" s="489" t="s">
        <v>1192</v>
      </c>
      <c r="CC33" s="0" cm="1" t="str">
        <f t="array" ref="CC33:CC33">CC32</f>
        <v>0</v>
      </c>
      <c r="CD33" s="0" t="s">
        <v>1189</v>
      </c>
      <c r="CE33" s="0" t="s">
        <v>1193</v>
      </c>
      <c r="CH33" s="0" t="s">
        <v>219</v>
      </c>
      <c r="CI33" s="0" t="s">
        <v>303</v>
      </c>
      <c r="CJ33" s="0" t="s">
        <v>1175</v>
      </c>
      <c r="CK33" s="0" t="s">
        <v>1176</v>
      </c>
    </row>
    <row customHeight="1" ht="14.625" hidden="1">
      <c r="E34" s="180">
        <v>15</v>
      </c>
      <c r="F34" s="175" cm="1" t="str">
        <f t="array" ref="F34:F34">F33</f>
        <v>0</v>
      </c>
      <c r="T34" s="753" cm="1" t="str">
        <f t="array" ref="T34:T34">T33</f>
        <v>false</v>
      </c>
      <c r="AB34" s="633" t="s">
        <v>1194</v>
      </c>
      <c r="AC34" s="635" t="s">
        <v>1195</v>
      </c>
      <c r="AD34" s="633" t="s">
        <v>1178</v>
      </c>
      <c r="AE34" s="71"/>
      <c r="AF34" s="71"/>
      <c r="AG34" s="71"/>
      <c r="AH34" s="71"/>
      <c r="AI34" s="353"/>
      <c r="AJ34" s="71"/>
      <c r="AK34" s="71"/>
      <c r="AL34" s="71"/>
      <c r="AM34" s="71"/>
      <c r="AN34" s="71"/>
      <c r="AO34" s="71"/>
      <c r="AP34" s="71"/>
      <c r="AQ34" s="71"/>
      <c r="AR34" s="71"/>
      <c r="AS34" s="71"/>
      <c r="AT34" s="71"/>
      <c r="AU34" s="71"/>
      <c r="AV34" s="71"/>
      <c r="AW34" s="71"/>
      <c r="AX34" s="71"/>
      <c r="AY34" s="71"/>
      <c r="AZ34" s="71"/>
      <c r="BA34" s="71"/>
      <c r="BB34" s="71"/>
      <c r="BC34" s="353"/>
      <c r="BD34" s="71"/>
      <c r="BE34" s="71"/>
      <c r="BF34" s="71"/>
      <c r="BG34" s="71"/>
      <c r="BH34" s="71"/>
      <c r="BI34" s="71"/>
      <c r="BJ34" s="71"/>
      <c r="BK34" s="71"/>
      <c r="BL34" s="71"/>
      <c r="BM34" s="71"/>
      <c r="BN34" s="71"/>
      <c r="BO34" s="71"/>
      <c r="BP34" s="71"/>
      <c r="BQ34" s="71"/>
      <c r="BR34" s="71"/>
      <c r="BS34" s="71"/>
      <c r="BT34" s="71"/>
      <c r="BU34" s="71"/>
      <c r="BV34" s="71"/>
      <c r="BW34" s="83"/>
      <c r="BZ34" s="489" t="s">
        <v>1196</v>
      </c>
      <c r="CC34" s="0" cm="1" t="str">
        <f t="array" ref="CC34:CC34">CC33</f>
        <v>0</v>
      </c>
      <c r="CD34" s="0" t="s">
        <v>1189</v>
      </c>
      <c r="CE34" s="0" t="s">
        <v>1197</v>
      </c>
      <c r="CH34" s="0" t="s">
        <v>219</v>
      </c>
      <c r="CI34" s="0" t="s">
        <v>303</v>
      </c>
      <c r="CJ34" s="0" t="s">
        <v>1175</v>
      </c>
      <c r="CK34" s="0" t="s">
        <v>1176</v>
      </c>
    </row>
    <row customHeight="1" ht="14.625" hidden="1">
      <c r="E35" s="180">
        <v>15</v>
      </c>
      <c r="F35" s="175" cm="1" t="str">
        <f t="array" ref="F35:F35">F34</f>
        <v>0</v>
      </c>
      <c r="T35" s="753" cm="1" t="str">
        <f t="array" ref="T35:T35">T34</f>
        <v>false</v>
      </c>
      <c r="AB35" s="633" t="s">
        <v>1198</v>
      </c>
      <c r="AC35" s="635" t="s">
        <v>1199</v>
      </c>
      <c r="AD35" s="633" t="s">
        <v>1178</v>
      </c>
      <c r="AE35" s="71"/>
      <c r="AF35" s="71"/>
      <c r="AG35" s="71"/>
      <c r="AH35" s="71"/>
      <c r="AI35" s="353"/>
      <c r="AJ35" s="71"/>
      <c r="AK35" s="71"/>
      <c r="AL35" s="71"/>
      <c r="AM35" s="71"/>
      <c r="AN35" s="71"/>
      <c r="AO35" s="71"/>
      <c r="AP35" s="71"/>
      <c r="AQ35" s="71"/>
      <c r="AR35" s="71"/>
      <c r="AS35" s="71"/>
      <c r="AT35" s="71"/>
      <c r="AU35" s="71"/>
      <c r="AV35" s="71"/>
      <c r="AW35" s="71"/>
      <c r="AX35" s="71"/>
      <c r="AY35" s="71"/>
      <c r="AZ35" s="71"/>
      <c r="BA35" s="71"/>
      <c r="BB35" s="71"/>
      <c r="BC35" s="353"/>
      <c r="BD35" s="71"/>
      <c r="BE35" s="71"/>
      <c r="BF35" s="71"/>
      <c r="BG35" s="71"/>
      <c r="BH35" s="71"/>
      <c r="BI35" s="71"/>
      <c r="BJ35" s="71"/>
      <c r="BK35" s="71"/>
      <c r="BL35" s="71"/>
      <c r="BM35" s="71"/>
      <c r="BN35" s="71"/>
      <c r="BO35" s="71"/>
      <c r="BP35" s="71"/>
      <c r="BQ35" s="71"/>
      <c r="BR35" s="71"/>
      <c r="BS35" s="71"/>
      <c r="BT35" s="71"/>
      <c r="BU35" s="71"/>
      <c r="BV35" s="71"/>
      <c r="BW35" s="83"/>
      <c r="BZ35" s="489" t="s">
        <v>1200</v>
      </c>
      <c r="CC35" s="0" cm="1" t="str">
        <f t="array" ref="CC35:CC35">CC34</f>
        <v>0</v>
      </c>
      <c r="CD35" s="0" t="s">
        <v>1189</v>
      </c>
      <c r="CE35" s="0" t="s">
        <v>1201</v>
      </c>
      <c r="CH35" s="0" t="s">
        <v>219</v>
      </c>
      <c r="CI35" s="0" t="s">
        <v>303</v>
      </c>
      <c r="CJ35" s="0" t="s">
        <v>1175</v>
      </c>
      <c r="CK35" s="0" t="s">
        <v>1176</v>
      </c>
    </row>
    <row customHeight="1" ht="14.625" hidden="1">
      <c r="E36" s="180">
        <v>15</v>
      </c>
      <c r="F36" s="175" cm="1" t="str">
        <f t="array" ref="F36:F36">F35</f>
        <v>0</v>
      </c>
      <c r="T36" s="753" cm="1" t="str">
        <f t="array" ref="T36:T36">T35</f>
        <v>false</v>
      </c>
      <c r="AB36" s="633" t="s">
        <v>1202</v>
      </c>
      <c r="AC36" s="635" t="s">
        <v>1203</v>
      </c>
      <c r="AD36" s="633" t="s">
        <v>1178</v>
      </c>
      <c r="AE36" s="71"/>
      <c r="AF36" s="71"/>
      <c r="AG36" s="71"/>
      <c r="AH36" s="71"/>
      <c r="AI36" s="353"/>
      <c r="AJ36" s="71"/>
      <c r="AK36" s="71"/>
      <c r="AL36" s="71"/>
      <c r="AM36" s="71"/>
      <c r="AN36" s="71"/>
      <c r="AO36" s="71"/>
      <c r="AP36" s="71"/>
      <c r="AQ36" s="71"/>
      <c r="AR36" s="71"/>
      <c r="AS36" s="71"/>
      <c r="AT36" s="71"/>
      <c r="AU36" s="71"/>
      <c r="AV36" s="71"/>
      <c r="AW36" s="71"/>
      <c r="AX36" s="71"/>
      <c r="AY36" s="71"/>
      <c r="AZ36" s="71"/>
      <c r="BA36" s="71"/>
      <c r="BB36" s="71"/>
      <c r="BC36" s="353"/>
      <c r="BD36" s="71"/>
      <c r="BE36" s="71"/>
      <c r="BF36" s="71"/>
      <c r="BG36" s="71"/>
      <c r="BH36" s="71"/>
      <c r="BI36" s="71"/>
      <c r="BJ36" s="71"/>
      <c r="BK36" s="71"/>
      <c r="BL36" s="71"/>
      <c r="BM36" s="71"/>
      <c r="BN36" s="71"/>
      <c r="BO36" s="71"/>
      <c r="BP36" s="71"/>
      <c r="BQ36" s="71"/>
      <c r="BR36" s="71"/>
      <c r="BS36" s="71"/>
      <c r="BT36" s="71"/>
      <c r="BU36" s="71"/>
      <c r="BV36" s="71"/>
      <c r="BW36" s="83"/>
      <c r="BZ36" s="489" t="s">
        <v>1204</v>
      </c>
      <c r="CC36" s="0" cm="1" t="str">
        <f t="array" ref="CC36:CC36">CC35</f>
        <v>0</v>
      </c>
      <c r="CD36" s="0" t="s">
        <v>1189</v>
      </c>
      <c r="CE36" s="0" t="s">
        <v>1205</v>
      </c>
      <c r="CH36" s="0" t="s">
        <v>219</v>
      </c>
      <c r="CI36" s="0" t="s">
        <v>303</v>
      </c>
      <c r="CJ36" s="0" t="s">
        <v>1175</v>
      </c>
      <c r="CK36" s="0" t="s">
        <v>1176</v>
      </c>
    </row>
    <row customHeight="1" ht="14.625" hidden="1">
      <c r="E37" s="180">
        <v>15</v>
      </c>
      <c r="F37" s="175" cm="1" t="str">
        <f t="array" ref="F37:F37">F36</f>
        <v>0</v>
      </c>
      <c r="T37" s="753" cm="1" t="str">
        <f t="array" ref="T37:T37">T36</f>
        <v>false</v>
      </c>
      <c r="AB37" s="633" t="s">
        <v>1206</v>
      </c>
      <c r="AC37" s="635" t="s">
        <v>1207</v>
      </c>
      <c r="AD37" s="633" t="s">
        <v>1178</v>
      </c>
      <c r="AE37" s="71"/>
      <c r="AF37" s="71"/>
      <c r="AG37" s="71"/>
      <c r="AH37" s="71"/>
      <c r="AI37" s="353"/>
      <c r="AJ37" s="71"/>
      <c r="AK37" s="71"/>
      <c r="AL37" s="71"/>
      <c r="AM37" s="71"/>
      <c r="AN37" s="71"/>
      <c r="AO37" s="71"/>
      <c r="AP37" s="71"/>
      <c r="AQ37" s="71"/>
      <c r="AR37" s="71"/>
      <c r="AS37" s="71"/>
      <c r="AT37" s="71"/>
      <c r="AU37" s="71"/>
      <c r="AV37" s="71"/>
      <c r="AW37" s="71"/>
      <c r="AX37" s="71"/>
      <c r="AY37" s="71"/>
      <c r="AZ37" s="71"/>
      <c r="BA37" s="71"/>
      <c r="BB37" s="71"/>
      <c r="BC37" s="353"/>
      <c r="BD37" s="71"/>
      <c r="BE37" s="71"/>
      <c r="BF37" s="71"/>
      <c r="BG37" s="71"/>
      <c r="BH37" s="71"/>
      <c r="BI37" s="71"/>
      <c r="BJ37" s="71"/>
      <c r="BK37" s="71"/>
      <c r="BL37" s="71"/>
      <c r="BM37" s="71"/>
      <c r="BN37" s="71"/>
      <c r="BO37" s="71"/>
      <c r="BP37" s="71"/>
      <c r="BQ37" s="71"/>
      <c r="BR37" s="71"/>
      <c r="BS37" s="71"/>
      <c r="BT37" s="71"/>
      <c r="BU37" s="71"/>
      <c r="BV37" s="71"/>
      <c r="BW37" s="83"/>
      <c r="BZ37" s="489" t="s">
        <v>1208</v>
      </c>
      <c r="CC37" s="0" cm="1" t="str">
        <f t="array" ref="CC37:CC37">CC36</f>
        <v>0</v>
      </c>
      <c r="CD37" s="0" t="s">
        <v>1189</v>
      </c>
      <c r="CE37" s="0" t="s">
        <v>1209</v>
      </c>
      <c r="CH37" s="0" t="s">
        <v>219</v>
      </c>
      <c r="CI37" s="0" t="s">
        <v>303</v>
      </c>
      <c r="CJ37" s="0" t="s">
        <v>1175</v>
      </c>
      <c r="CK37" s="0" t="s">
        <v>1176</v>
      </c>
    </row>
    <row customHeight="1" ht="14.625" hidden="1">
      <c r="E38" s="180">
        <v>15</v>
      </c>
      <c r="F38" s="175" cm="1" t="str">
        <f t="array" ref="F38:F38">F37</f>
        <v>0</v>
      </c>
      <c r="T38" s="753" cm="1" t="str">
        <f t="array" ref="T38:T38">T37</f>
        <v>false</v>
      </c>
      <c r="AB38" s="633">
        <v>1.5</v>
      </c>
      <c r="AC38" s="634" t="s">
        <v>1210</v>
      </c>
      <c r="AD38" s="633" t="s">
        <v>1178</v>
      </c>
      <c r="AE38" s="71"/>
      <c r="AF38" s="71"/>
      <c r="AG38" s="71"/>
      <c r="AH38" s="71"/>
      <c r="AI38" s="353"/>
      <c r="AJ38" s="71"/>
      <c r="AK38" s="71"/>
      <c r="AL38" s="71"/>
      <c r="AM38" s="71"/>
      <c r="AN38" s="71"/>
      <c r="AO38" s="71"/>
      <c r="AP38" s="71"/>
      <c r="AQ38" s="71"/>
      <c r="AR38" s="71"/>
      <c r="AS38" s="71"/>
      <c r="AT38" s="71"/>
      <c r="AU38" s="71"/>
      <c r="AV38" s="71"/>
      <c r="AW38" s="71"/>
      <c r="AX38" s="71"/>
      <c r="AY38" s="71"/>
      <c r="AZ38" s="71"/>
      <c r="BA38" s="71"/>
      <c r="BB38" s="71"/>
      <c r="BC38" s="353"/>
      <c r="BD38" s="71"/>
      <c r="BE38" s="71"/>
      <c r="BF38" s="71"/>
      <c r="BG38" s="71"/>
      <c r="BH38" s="71"/>
      <c r="BI38" s="71"/>
      <c r="BJ38" s="71"/>
      <c r="BK38" s="71"/>
      <c r="BL38" s="71"/>
      <c r="BM38" s="71"/>
      <c r="BN38" s="71"/>
      <c r="BO38" s="71"/>
      <c r="BP38" s="71"/>
      <c r="BQ38" s="71"/>
      <c r="BR38" s="71"/>
      <c r="BS38" s="71"/>
      <c r="BT38" s="71"/>
      <c r="BU38" s="71"/>
      <c r="BV38" s="71"/>
      <c r="BW38" s="83"/>
      <c r="BZ38" s="489" t="s">
        <v>1211</v>
      </c>
      <c r="CC38" s="0" cm="1" t="str">
        <f t="array" ref="CC38:CC38">CC37</f>
        <v>0</v>
      </c>
      <c r="CD38" s="0" t="s">
        <v>1212</v>
      </c>
      <c r="CH38" s="0" t="s">
        <v>219</v>
      </c>
      <c r="CI38" s="0" t="s">
        <v>303</v>
      </c>
      <c r="CJ38" s="0" t="s">
        <v>1175</v>
      </c>
      <c r="CK38" s="0" t="s">
        <v>1176</v>
      </c>
    </row>
    <row customHeight="1" ht="14.625" hidden="1">
      <c r="E39" s="180">
        <v>15</v>
      </c>
      <c r="F39" s="175" cm="1" t="str">
        <f t="array" ref="F39:F39">F38</f>
        <v>0</v>
      </c>
      <c r="T39" s="753" cm="1" t="str">
        <f t="array" ref="T39:T39">T38</f>
        <v>false</v>
      </c>
      <c r="AB39" s="633">
        <v>1.6</v>
      </c>
      <c r="AC39" s="634" t="s">
        <v>1213</v>
      </c>
      <c r="AD39" s="633" t="s">
        <v>1178</v>
      </c>
      <c r="AE39" s="71"/>
      <c r="AF39" s="71"/>
      <c r="AG39" s="71"/>
      <c r="AH39" s="71"/>
      <c r="AI39" s="353"/>
      <c r="AJ39" s="71"/>
      <c r="AK39" s="71"/>
      <c r="AL39" s="71"/>
      <c r="AM39" s="71"/>
      <c r="AN39" s="71"/>
      <c r="AO39" s="71"/>
      <c r="AP39" s="71"/>
      <c r="AQ39" s="71"/>
      <c r="AR39" s="71"/>
      <c r="AS39" s="71"/>
      <c r="AT39" s="71"/>
      <c r="AU39" s="71"/>
      <c r="AV39" s="71"/>
      <c r="AW39" s="71"/>
      <c r="AX39" s="71"/>
      <c r="AY39" s="71"/>
      <c r="AZ39" s="71"/>
      <c r="BA39" s="71"/>
      <c r="BB39" s="71"/>
      <c r="BC39" s="353"/>
      <c r="BD39" s="71"/>
      <c r="BE39" s="71"/>
      <c r="BF39" s="71"/>
      <c r="BG39" s="71"/>
      <c r="BH39" s="71"/>
      <c r="BI39" s="71"/>
      <c r="BJ39" s="71"/>
      <c r="BK39" s="71"/>
      <c r="BL39" s="71"/>
      <c r="BM39" s="71"/>
      <c r="BN39" s="71"/>
      <c r="BO39" s="71"/>
      <c r="BP39" s="71"/>
      <c r="BQ39" s="71"/>
      <c r="BR39" s="71"/>
      <c r="BS39" s="71"/>
      <c r="BT39" s="71"/>
      <c r="BU39" s="71"/>
      <c r="BV39" s="71"/>
      <c r="BW39" s="83"/>
      <c r="BZ39" s="489" t="s">
        <v>1214</v>
      </c>
      <c r="CC39" s="0" cm="1" t="str">
        <f t="array" ref="CC39:CC39">CC38</f>
        <v>0</v>
      </c>
      <c r="CF39" s="0" t="s">
        <v>1215</v>
      </c>
      <c r="CH39" s="0" t="s">
        <v>219</v>
      </c>
      <c r="CI39" s="0" t="s">
        <v>303</v>
      </c>
      <c r="CJ39" s="0" t="s">
        <v>1175</v>
      </c>
      <c r="CK39" s="0" t="s">
        <v>1176</v>
      </c>
    </row>
    <row customHeight="1" ht="14.625" hidden="1">
      <c r="E40" s="180">
        <v>15</v>
      </c>
      <c r="F40" s="175" cm="1" t="str">
        <f t="array" ref="F40:F40">F39</f>
        <v>0</v>
      </c>
      <c r="T40" s="753" cm="1" t="str">
        <f t="array" ref="T40:T40">T39</f>
        <v>false</v>
      </c>
      <c r="AB40" s="633">
        <v>1.7</v>
      </c>
      <c r="AC40" s="634" t="s">
        <v>1216</v>
      </c>
      <c r="AD40" s="633" t="s">
        <v>1178</v>
      </c>
      <c r="AE40" s="71"/>
      <c r="AF40" s="71"/>
      <c r="AG40" s="71"/>
      <c r="AH40" s="71"/>
      <c r="AI40" s="353"/>
      <c r="AJ40" s="71"/>
      <c r="AK40" s="71"/>
      <c r="AL40" s="71"/>
      <c r="AM40" s="71"/>
      <c r="AN40" s="71"/>
      <c r="AO40" s="71"/>
      <c r="AP40" s="71"/>
      <c r="AQ40" s="71"/>
      <c r="AR40" s="71"/>
      <c r="AS40" s="71"/>
      <c r="AT40" s="71"/>
      <c r="AU40" s="71"/>
      <c r="AV40" s="71"/>
      <c r="AW40" s="71"/>
      <c r="AX40" s="71"/>
      <c r="AY40" s="71"/>
      <c r="AZ40" s="71"/>
      <c r="BA40" s="71"/>
      <c r="BB40" s="71"/>
      <c r="BC40" s="353"/>
      <c r="BD40" s="71"/>
      <c r="BE40" s="71"/>
      <c r="BF40" s="71"/>
      <c r="BG40" s="71"/>
      <c r="BH40" s="71"/>
      <c r="BI40" s="71"/>
      <c r="BJ40" s="71"/>
      <c r="BK40" s="71"/>
      <c r="BL40" s="71"/>
      <c r="BM40" s="71"/>
      <c r="BN40" s="71"/>
      <c r="BO40" s="71"/>
      <c r="BP40" s="71"/>
      <c r="BQ40" s="71"/>
      <c r="BR40" s="71"/>
      <c r="BS40" s="71"/>
      <c r="BT40" s="71"/>
      <c r="BU40" s="71"/>
      <c r="BV40" s="71"/>
      <c r="BW40" s="83"/>
      <c r="BZ40" s="489" t="s">
        <v>1217</v>
      </c>
      <c r="CC40" s="0" cm="1" t="str">
        <f t="array" ref="CC40:CC40">CC39</f>
        <v>0</v>
      </c>
      <c r="CF40" s="0" t="s">
        <v>1218</v>
      </c>
      <c r="CH40" s="0" t="s">
        <v>219</v>
      </c>
      <c r="CI40" s="0" t="s">
        <v>303</v>
      </c>
      <c r="CJ40" s="0" t="s">
        <v>1175</v>
      </c>
      <c r="CK40" s="0" t="s">
        <v>1176</v>
      </c>
    </row>
    <row customHeight="1" ht="14.625" hidden="1">
      <c r="E41" s="180">
        <v>15</v>
      </c>
      <c r="F41" s="175" cm="1" t="str">
        <f t="array" ref="F41:F41">F40</f>
        <v>0</v>
      </c>
      <c r="T41" s="753" cm="1" t="str">
        <f t="array" ref="T41:T41">T40</f>
        <v>false</v>
      </c>
      <c r="AB41" s="633">
        <v>1.8</v>
      </c>
      <c r="AC41" s="634" t="s">
        <v>1219</v>
      </c>
      <c r="AD41" s="633" t="s">
        <v>1178</v>
      </c>
      <c r="AE41" s="71"/>
      <c r="AF41" s="71"/>
      <c r="AG41" s="71"/>
      <c r="AH41" s="71"/>
      <c r="AI41" s="353"/>
      <c r="AJ41" s="71"/>
      <c r="AK41" s="71"/>
      <c r="AL41" s="71"/>
      <c r="AM41" s="71"/>
      <c r="AN41" s="71"/>
      <c r="AO41" s="71"/>
      <c r="AP41" s="71"/>
      <c r="AQ41" s="71"/>
      <c r="AR41" s="71"/>
      <c r="AS41" s="71"/>
      <c r="AT41" s="71"/>
      <c r="AU41" s="71"/>
      <c r="AV41" s="71"/>
      <c r="AW41" s="71"/>
      <c r="AX41" s="71"/>
      <c r="AY41" s="71"/>
      <c r="AZ41" s="71"/>
      <c r="BA41" s="71"/>
      <c r="BB41" s="71"/>
      <c r="BC41" s="353"/>
      <c r="BD41" s="71"/>
      <c r="BE41" s="71"/>
      <c r="BF41" s="71"/>
      <c r="BG41" s="71"/>
      <c r="BH41" s="71"/>
      <c r="BI41" s="71"/>
      <c r="BJ41" s="71"/>
      <c r="BK41" s="71"/>
      <c r="BL41" s="71"/>
      <c r="BM41" s="71"/>
      <c r="BN41" s="71"/>
      <c r="BO41" s="71"/>
      <c r="BP41" s="71"/>
      <c r="BQ41" s="71"/>
      <c r="BR41" s="71"/>
      <c r="BS41" s="71"/>
      <c r="BT41" s="71"/>
      <c r="BU41" s="71"/>
      <c r="BV41" s="71"/>
      <c r="BW41" s="83"/>
      <c r="BZ41" s="489" t="s">
        <v>1220</v>
      </c>
      <c r="CC41" s="0" cm="1" t="str">
        <f t="array" ref="CC41:CC41">CC40</f>
        <v>0</v>
      </c>
      <c r="CD41" s="0" t="s">
        <v>1221</v>
      </c>
      <c r="CH41" s="0" t="s">
        <v>219</v>
      </c>
      <c r="CI41" s="0" t="s">
        <v>303</v>
      </c>
      <c r="CJ41" s="0" t="s">
        <v>1175</v>
      </c>
      <c r="CK41" s="0" t="s">
        <v>1176</v>
      </c>
    </row>
    <row s="986" customFormat="1" customHeight="1" ht="44.85" hidden="1">
      <c r="E42" s="180">
        <v>46</v>
      </c>
      <c r="F42" s="175" cm="1" t="str">
        <f t="array" ref="F42:F42">F41</f>
        <v>0</v>
      </c>
      <c r="T42" s="753" cm="1" t="str">
        <f t="array" ref="T42:T42">T41</f>
        <v>false</v>
      </c>
      <c r="AB42" s="556">
        <v>2</v>
      </c>
      <c r="AC42" s="555" t="s">
        <v>1222</v>
      </c>
      <c r="AD42" s="551" t="s">
        <v>917</v>
      </c>
      <c r="AE42" s="105">
        <f>SUM(AE43:AE46)+SUM(AE52:AE55)</f>
        <v>0</v>
      </c>
      <c r="AF42" s="105">
        <f>SUM(AF43:AF46)+SUM(AF52:AF55)</f>
        <v>0</v>
      </c>
      <c r="AG42" s="105">
        <f>SUM(AG43:AG46)+SUM(AG52:AG55)</f>
        <v>0</v>
      </c>
      <c r="AH42" s="105">
        <f>SUM(AH43:AH46)+SUM(AH52:AH55)</f>
        <v>0</v>
      </c>
      <c r="AI42" s="588">
        <f>SUM(AI43:AI46)+SUM(AI52:AI55)</f>
        <v>0</v>
      </c>
      <c r="AJ42" s="105">
        <f>SUM(AJ43:AJ46)+SUM(AJ52:AJ55)</f>
        <v>0</v>
      </c>
      <c r="AK42" s="105">
        <f>SUM(AK43:AK46)+SUM(AK52:AK55)</f>
        <v>0</v>
      </c>
      <c r="AL42" s="105">
        <f>SUM(AL43:AL46)+SUM(AL52:AL55)</f>
        <v>0</v>
      </c>
      <c r="AM42" s="105">
        <f>SUM(AM43:AM46)+SUM(AM52:AM55)</f>
        <v>0</v>
      </c>
      <c r="AN42" s="105">
        <f>SUM(AN43:AN46)+SUM(AN52:AN55)</f>
        <v>0</v>
      </c>
      <c r="AO42" s="105">
        <f>SUM(AO43:AO46)+SUM(AO52:AO55)</f>
        <v>0</v>
      </c>
      <c r="AP42" s="105">
        <f>SUM(AP43:AP46)+SUM(AP52:AP55)</f>
        <v>0</v>
      </c>
      <c r="AQ42" s="105">
        <f>SUM(AQ43:AQ46)+SUM(AQ52:AQ55)</f>
        <v>0</v>
      </c>
      <c r="AR42" s="105">
        <f>SUM(AR43:AR46)+SUM(AR52:AR55)</f>
        <v>0</v>
      </c>
      <c r="AS42" s="105">
        <f>SUM(AS43:AS46)+SUM(AS52:AS55)</f>
        <v>0</v>
      </c>
      <c r="AT42" s="105">
        <f>SUM(AT43:AT46)+SUM(AT52:AT55)</f>
        <v>0</v>
      </c>
      <c r="AU42" s="105">
        <f>SUM(AU43:AU46)+SUM(AU52:AU55)</f>
        <v>0</v>
      </c>
      <c r="AV42" s="105">
        <f>SUM(AV43:AV46)+SUM(AV52:AV55)</f>
        <v>0</v>
      </c>
      <c r="AW42" s="105">
        <f>SUM(AW43:AW46)+SUM(AW52:AW55)</f>
        <v>0</v>
      </c>
      <c r="AX42" s="105">
        <f>SUM(AX43:AX46)+SUM(AX52:AX55)</f>
        <v>0</v>
      </c>
      <c r="AY42" s="105">
        <f>SUM(AY43:AY46)+SUM(AY52:AY55)</f>
        <v>0</v>
      </c>
      <c r="AZ42" s="105">
        <f>SUM(AZ43:AZ46)+SUM(AZ52:AZ55)</f>
        <v>0</v>
      </c>
      <c r="BA42" s="105">
        <f>SUM(BA43:BA46)+SUM(BA52:BA55)</f>
        <v>0</v>
      </c>
      <c r="BB42" s="105">
        <f>SUM(BB43:BB46)+SUM(BB52:BB55)</f>
        <v>0</v>
      </c>
      <c r="BC42" s="588">
        <f>SUM(BC43:BC46)+SUM(BC52:BC55)</f>
        <v>0</v>
      </c>
      <c r="BD42" s="105">
        <f>SUM(BD43:BD46)+SUM(BD52:BD55)</f>
        <v>0</v>
      </c>
      <c r="BE42" s="105">
        <f>SUM(BE43:BE46)+SUM(BE52:BE55)</f>
        <v>0</v>
      </c>
      <c r="BF42" s="105">
        <f>SUM(BF43:BF46)+SUM(BF52:BF55)</f>
        <v>0</v>
      </c>
      <c r="BG42" s="105">
        <f>SUM(BG43:BG46)+SUM(BG52:BG55)</f>
        <v>0</v>
      </c>
      <c r="BH42" s="105">
        <f>SUM(BH43:BH46)+SUM(BH52:BH55)</f>
        <v>0</v>
      </c>
      <c r="BI42" s="105">
        <f>SUM(BI43:BI46)+SUM(BI52:BI55)</f>
        <v>0</v>
      </c>
      <c r="BJ42" s="105">
        <f>SUM(BJ43:BJ46)+SUM(BJ52:BJ55)</f>
        <v>0</v>
      </c>
      <c r="BK42" s="105">
        <f>SUM(BK43:BK46)+SUM(BK52:BK55)</f>
        <v>0</v>
      </c>
      <c r="BL42" s="105">
        <f>SUM(BL43:BL46)+SUM(BL52:BL55)</f>
        <v>0</v>
      </c>
      <c r="BM42" s="105">
        <f>SUM(BM43:BM46)+SUM(BM52:BM55)</f>
        <v>0</v>
      </c>
      <c r="BN42" s="105">
        <f>SUM(BN43:BN46)+SUM(BN52:BN55)</f>
        <v>0</v>
      </c>
      <c r="BO42" s="105">
        <f>SUM(BO43:BO46)+SUM(BO52:BO55)</f>
        <v>0</v>
      </c>
      <c r="BP42" s="105">
        <f>SUM(BP43:BP46)+SUM(BP52:BP55)</f>
        <v>0</v>
      </c>
      <c r="BQ42" s="105">
        <f>SUM(BQ43:BQ46)+SUM(BQ52:BQ55)</f>
        <v>0</v>
      </c>
      <c r="BR42" s="105">
        <f>SUM(BR43:BR46)+SUM(BR52:BR55)</f>
        <v>0</v>
      </c>
      <c r="BS42" s="105">
        <f>SUM(BS43:BS46)+SUM(BS52:BS55)</f>
        <v>0</v>
      </c>
      <c r="BT42" s="105">
        <f>SUM(BT43:BT46)+SUM(BT52:BT55)</f>
        <v>0</v>
      </c>
      <c r="BU42" s="105">
        <f>SUM(BU43:BU46)+SUM(BU52:BU55)</f>
        <v>0</v>
      </c>
      <c r="BV42" s="105">
        <f>SUM(BV43:BV46)+SUM(BV52:BV55)</f>
        <v>0</v>
      </c>
      <c r="BW42" s="83"/>
      <c r="BZ42" s="489" t="s">
        <v>1223</v>
      </c>
      <c r="CC42" s="0" cm="1" t="str">
        <f t="array" ref="CC42:CC42">CC41</f>
        <v>0</v>
      </c>
      <c r="CH42" s="0" t="s">
        <v>219</v>
      </c>
      <c r="CI42" s="0" t="s">
        <v>303</v>
      </c>
      <c r="CJ42" s="0" t="s">
        <v>1224</v>
      </c>
      <c r="CK42" s="0" t="s">
        <v>1225</v>
      </c>
    </row>
    <row customHeight="1" ht="14.625" hidden="1">
      <c r="E43" s="180">
        <v>15</v>
      </c>
      <c r="F43" s="175" cm="1" t="str">
        <f t="array" ref="F43:F43">F42</f>
        <v>0</v>
      </c>
      <c r="T43" s="753" cm="1" t="str">
        <f t="array" ref="T43:T43">T42</f>
        <v>false</v>
      </c>
      <c r="AB43" s="633" t="str">
        <f>AB42&amp;".1"</f>
        <v>2.1</v>
      </c>
      <c r="AC43" s="634" t="s">
        <v>1177</v>
      </c>
      <c r="AD43" s="633" t="s">
        <v>1178</v>
      </c>
      <c r="AE43" s="71"/>
      <c r="AF43" s="71"/>
      <c r="AG43" s="71"/>
      <c r="AH43" s="71"/>
      <c r="AI43" s="353"/>
      <c r="AJ43" s="71"/>
      <c r="AK43" s="71"/>
      <c r="AL43" s="71"/>
      <c r="AM43" s="71"/>
      <c r="AN43" s="71"/>
      <c r="AO43" s="71"/>
      <c r="AP43" s="71"/>
      <c r="AQ43" s="71"/>
      <c r="AR43" s="71"/>
      <c r="AS43" s="71"/>
      <c r="AT43" s="71"/>
      <c r="AU43" s="71"/>
      <c r="AV43" s="71"/>
      <c r="AW43" s="71"/>
      <c r="AX43" s="71"/>
      <c r="AY43" s="71"/>
      <c r="AZ43" s="71"/>
      <c r="BA43" s="71"/>
      <c r="BB43" s="71"/>
      <c r="BC43" s="353"/>
      <c r="BD43" s="71"/>
      <c r="BE43" s="71"/>
      <c r="BF43" s="71"/>
      <c r="BG43" s="71"/>
      <c r="BH43" s="71"/>
      <c r="BI43" s="71"/>
      <c r="BJ43" s="71"/>
      <c r="BK43" s="71"/>
      <c r="BL43" s="71"/>
      <c r="BM43" s="71"/>
      <c r="BN43" s="71"/>
      <c r="BO43" s="71"/>
      <c r="BP43" s="71"/>
      <c r="BQ43" s="71"/>
      <c r="BR43" s="71"/>
      <c r="BS43" s="71"/>
      <c r="BT43" s="71"/>
      <c r="BU43" s="71"/>
      <c r="BV43" s="71"/>
      <c r="BW43" s="83"/>
      <c r="BZ43" s="489" t="s">
        <v>1226</v>
      </c>
      <c r="CC43" s="0" cm="1" t="str">
        <f t="array" ref="CC43:CC43">CC42</f>
        <v>0</v>
      </c>
      <c r="CD43" s="0" t="s">
        <v>1180</v>
      </c>
      <c r="CH43" s="0" t="s">
        <v>255</v>
      </c>
      <c r="CI43" s="0" t="s">
        <v>303</v>
      </c>
      <c r="CJ43" s="0" t="s">
        <v>1224</v>
      </c>
      <c r="CK43" s="0" t="s">
        <v>1225</v>
      </c>
    </row>
    <row customHeight="1" ht="14.625" hidden="1">
      <c r="E44" s="180">
        <v>15</v>
      </c>
      <c r="F44" s="175" cm="1" t="str">
        <f t="array" ref="F44:F44">F43</f>
        <v>0</v>
      </c>
      <c r="T44" s="753" cm="1" t="str">
        <f t="array" ref="T44:T44">T43</f>
        <v>false</v>
      </c>
      <c r="AB44" s="633" t="str">
        <f>AB42&amp;".2"</f>
        <v>2.2</v>
      </c>
      <c r="AC44" s="634" t="s">
        <v>1181</v>
      </c>
      <c r="AD44" s="633" t="s">
        <v>1178</v>
      </c>
      <c r="AE44" s="71"/>
      <c r="AF44" s="71"/>
      <c r="AG44" s="71"/>
      <c r="AH44" s="71"/>
      <c r="AI44" s="353"/>
      <c r="AJ44" s="71"/>
      <c r="AK44" s="71"/>
      <c r="AL44" s="71"/>
      <c r="AM44" s="71"/>
      <c r="AN44" s="71"/>
      <c r="AO44" s="71"/>
      <c r="AP44" s="71"/>
      <c r="AQ44" s="71"/>
      <c r="AR44" s="71"/>
      <c r="AS44" s="71"/>
      <c r="AT44" s="71"/>
      <c r="AU44" s="71"/>
      <c r="AV44" s="71"/>
      <c r="AW44" s="71"/>
      <c r="AX44" s="71"/>
      <c r="AY44" s="71"/>
      <c r="AZ44" s="71"/>
      <c r="BA44" s="71"/>
      <c r="BB44" s="71"/>
      <c r="BC44" s="353"/>
      <c r="BD44" s="71"/>
      <c r="BE44" s="71"/>
      <c r="BF44" s="71"/>
      <c r="BG44" s="71"/>
      <c r="BH44" s="71"/>
      <c r="BI44" s="71"/>
      <c r="BJ44" s="71"/>
      <c r="BK44" s="71"/>
      <c r="BL44" s="71"/>
      <c r="BM44" s="71"/>
      <c r="BN44" s="71"/>
      <c r="BO44" s="71"/>
      <c r="BP44" s="71"/>
      <c r="BQ44" s="71"/>
      <c r="BR44" s="71"/>
      <c r="BS44" s="71"/>
      <c r="BT44" s="71"/>
      <c r="BU44" s="71"/>
      <c r="BV44" s="71"/>
      <c r="BW44" s="83"/>
      <c r="BZ44" s="489" t="s">
        <v>1227</v>
      </c>
      <c r="CC44" s="0" cm="1" t="str">
        <f t="array" ref="CC44:CC44">CC43</f>
        <v>0</v>
      </c>
      <c r="CD44" s="0" t="s">
        <v>1183</v>
      </c>
      <c r="CH44" s="0" t="s">
        <v>255</v>
      </c>
      <c r="CI44" s="0" t="s">
        <v>303</v>
      </c>
      <c r="CJ44" s="0" t="s">
        <v>1224</v>
      </c>
      <c r="CK44" s="0" t="s">
        <v>1225</v>
      </c>
    </row>
    <row customHeight="1" ht="14.625" hidden="1">
      <c r="E45" s="180">
        <v>15</v>
      </c>
      <c r="F45" s="175" cm="1" t="str">
        <f t="array" ref="F45:F45">F44</f>
        <v>0</v>
      </c>
      <c r="T45" s="753" cm="1" t="str">
        <f t="array" ref="T45:T45">T44</f>
        <v>false</v>
      </c>
      <c r="AB45" s="633" t="str">
        <f>AB42&amp;".3"</f>
        <v>2.3</v>
      </c>
      <c r="AC45" s="634" t="s">
        <v>1184</v>
      </c>
      <c r="AD45" s="633" t="s">
        <v>1178</v>
      </c>
      <c r="AE45" s="71"/>
      <c r="AF45" s="71"/>
      <c r="AG45" s="71"/>
      <c r="AH45" s="71"/>
      <c r="AI45" s="353"/>
      <c r="AJ45" s="71"/>
      <c r="AK45" s="71"/>
      <c r="AL45" s="71"/>
      <c r="AM45" s="71"/>
      <c r="AN45" s="71"/>
      <c r="AO45" s="71"/>
      <c r="AP45" s="71"/>
      <c r="AQ45" s="71"/>
      <c r="AR45" s="71"/>
      <c r="AS45" s="71"/>
      <c r="AT45" s="71"/>
      <c r="AU45" s="71"/>
      <c r="AV45" s="71"/>
      <c r="AW45" s="71"/>
      <c r="AX45" s="71"/>
      <c r="AY45" s="71"/>
      <c r="AZ45" s="71"/>
      <c r="BA45" s="71"/>
      <c r="BB45" s="71"/>
      <c r="BC45" s="353"/>
      <c r="BD45" s="71"/>
      <c r="BE45" s="71"/>
      <c r="BF45" s="71"/>
      <c r="BG45" s="71"/>
      <c r="BH45" s="71"/>
      <c r="BI45" s="71"/>
      <c r="BJ45" s="71"/>
      <c r="BK45" s="71"/>
      <c r="BL45" s="71"/>
      <c r="BM45" s="71"/>
      <c r="BN45" s="71"/>
      <c r="BO45" s="71"/>
      <c r="BP45" s="71"/>
      <c r="BQ45" s="71"/>
      <c r="BR45" s="71"/>
      <c r="BS45" s="71"/>
      <c r="BT45" s="71"/>
      <c r="BU45" s="71"/>
      <c r="BV45" s="71"/>
      <c r="BW45" s="83"/>
      <c r="BZ45" s="489" t="s">
        <v>1228</v>
      </c>
      <c r="CC45" s="0" cm="1" t="str">
        <f t="array" ref="CC45:CC45">CC44</f>
        <v>0</v>
      </c>
      <c r="CD45" s="0" t="s">
        <v>1186</v>
      </c>
      <c r="CH45" s="0" t="s">
        <v>255</v>
      </c>
      <c r="CI45" s="0" t="s">
        <v>303</v>
      </c>
      <c r="CJ45" s="0" t="s">
        <v>1224</v>
      </c>
      <c r="CK45" s="0" t="s">
        <v>1225</v>
      </c>
    </row>
    <row customHeight="1" ht="14.625" hidden="1">
      <c r="E46" s="180">
        <v>15</v>
      </c>
      <c r="F46" s="175" cm="1" t="str">
        <f t="array" ref="F46:F46">F45</f>
        <v>0</v>
      </c>
      <c r="T46" s="753" cm="1" t="str">
        <f t="array" ref="T46:T46">T45</f>
        <v>false</v>
      </c>
      <c r="AB46" s="633" t="str">
        <f>AB42&amp;".4"</f>
        <v>2.4</v>
      </c>
      <c r="AC46" s="634" t="s">
        <v>1187</v>
      </c>
      <c r="AD46" s="633" t="s">
        <v>1178</v>
      </c>
      <c r="AE46" s="87">
        <f>SUM(AE47:AE51)</f>
        <v>0</v>
      </c>
      <c r="AF46" s="87">
        <f>SUM(AF47:AF51)</f>
        <v>0</v>
      </c>
      <c r="AG46" s="87">
        <f>SUM(AG47:AG51)</f>
        <v>0</v>
      </c>
      <c r="AH46" s="87">
        <f>SUM(AH47:AH51)</f>
        <v>0</v>
      </c>
      <c r="AI46" s="484">
        <f>SUM(AI47:AI51)</f>
        <v>0</v>
      </c>
      <c r="AJ46" s="87">
        <f>SUM(AJ47:AJ51)</f>
        <v>0</v>
      </c>
      <c r="AK46" s="87">
        <f>SUM(AK47:AK51)</f>
        <v>0</v>
      </c>
      <c r="AL46" s="87">
        <f>SUM(AL47:AL51)</f>
        <v>0</v>
      </c>
      <c r="AM46" s="87">
        <f>SUM(AM47:AM51)</f>
        <v>0</v>
      </c>
      <c r="AN46" s="87">
        <f>SUM(AN47:AN51)</f>
        <v>0</v>
      </c>
      <c r="AO46" s="87">
        <f>SUM(AO47:AO51)</f>
        <v>0</v>
      </c>
      <c r="AP46" s="87">
        <f>SUM(AP47:AP51)</f>
        <v>0</v>
      </c>
      <c r="AQ46" s="87">
        <f>SUM(AQ47:AQ51)</f>
        <v>0</v>
      </c>
      <c r="AR46" s="87">
        <f>SUM(AR47:AR51)</f>
        <v>0</v>
      </c>
      <c r="AS46" s="87">
        <f>SUM(AS47:AS51)</f>
        <v>0</v>
      </c>
      <c r="AT46" s="87">
        <f>SUM(AT47:AT51)</f>
        <v>0</v>
      </c>
      <c r="AU46" s="87">
        <f>SUM(AU47:AU51)</f>
        <v>0</v>
      </c>
      <c r="AV46" s="87">
        <f>SUM(AV47:AV51)</f>
        <v>0</v>
      </c>
      <c r="AW46" s="87">
        <f>SUM(AW47:AW51)</f>
        <v>0</v>
      </c>
      <c r="AX46" s="87">
        <f>SUM(AX47:AX51)</f>
        <v>0</v>
      </c>
      <c r="AY46" s="87">
        <f>SUM(AY47:AY51)</f>
        <v>0</v>
      </c>
      <c r="AZ46" s="87">
        <f>SUM(AZ47:AZ51)</f>
        <v>0</v>
      </c>
      <c r="BA46" s="87">
        <f>SUM(BA47:BA51)</f>
        <v>0</v>
      </c>
      <c r="BB46" s="87">
        <f>SUM(BB47:BB51)</f>
        <v>0</v>
      </c>
      <c r="BC46" s="484">
        <f>SUM(BC47:BC51)</f>
        <v>0</v>
      </c>
      <c r="BD46" s="87">
        <f>SUM(BD47:BD51)</f>
        <v>0</v>
      </c>
      <c r="BE46" s="87">
        <f>SUM(BE47:BE51)</f>
        <v>0</v>
      </c>
      <c r="BF46" s="87">
        <f>SUM(BF47:BF51)</f>
        <v>0</v>
      </c>
      <c r="BG46" s="87">
        <f>SUM(BG47:BG51)</f>
        <v>0</v>
      </c>
      <c r="BH46" s="87">
        <f>SUM(BH47:BH51)</f>
        <v>0</v>
      </c>
      <c r="BI46" s="87">
        <f>SUM(BI47:BI51)</f>
        <v>0</v>
      </c>
      <c r="BJ46" s="87">
        <f>SUM(BJ47:BJ51)</f>
        <v>0</v>
      </c>
      <c r="BK46" s="87">
        <f>SUM(BK47:BK51)</f>
        <v>0</v>
      </c>
      <c r="BL46" s="87">
        <f>SUM(BL47:BL51)</f>
        <v>0</v>
      </c>
      <c r="BM46" s="87">
        <f>SUM(BM47:BM51)</f>
        <v>0</v>
      </c>
      <c r="BN46" s="87">
        <f>SUM(BN47:BN51)</f>
        <v>0</v>
      </c>
      <c r="BO46" s="87">
        <f>SUM(BO47:BO51)</f>
        <v>0</v>
      </c>
      <c r="BP46" s="87">
        <f>SUM(BP47:BP51)</f>
        <v>0</v>
      </c>
      <c r="BQ46" s="87">
        <f>SUM(BQ47:BQ51)</f>
        <v>0</v>
      </c>
      <c r="BR46" s="87">
        <f>SUM(BR47:BR51)</f>
        <v>0</v>
      </c>
      <c r="BS46" s="87">
        <f>SUM(BS47:BS51)</f>
        <v>0</v>
      </c>
      <c r="BT46" s="87">
        <f>SUM(BT47:BT51)</f>
        <v>0</v>
      </c>
      <c r="BU46" s="87">
        <f>SUM(BU47:BU51)</f>
        <v>0</v>
      </c>
      <c r="BV46" s="87">
        <f>SUM(BV47:BV51)</f>
        <v>0</v>
      </c>
      <c r="BW46" s="83"/>
      <c r="BZ46" s="489" t="s">
        <v>1229</v>
      </c>
      <c r="CC46" s="0" cm="1" t="str">
        <f t="array" ref="CC46:CC46">CC45</f>
        <v>0</v>
      </c>
      <c r="CD46" s="0" t="s">
        <v>1189</v>
      </c>
      <c r="CH46" s="0" t="s">
        <v>255</v>
      </c>
      <c r="CI46" s="0" t="s">
        <v>303</v>
      </c>
      <c r="CJ46" s="0" t="s">
        <v>1224</v>
      </c>
      <c r="CK46" s="0" t="s">
        <v>1225</v>
      </c>
    </row>
    <row customHeight="1" ht="14.625" hidden="1">
      <c r="E47" s="180">
        <v>15</v>
      </c>
      <c r="F47" s="175" cm="1" t="str">
        <f t="array" ref="F47:F47">F46</f>
        <v>0</v>
      </c>
      <c r="T47" s="753" cm="1" t="str">
        <f t="array" ref="T47:T47">T46</f>
        <v>false</v>
      </c>
      <c r="AB47" s="633" t="str">
        <f>AB46&amp;".1"</f>
        <v>2.4.1</v>
      </c>
      <c r="AC47" s="635" t="s">
        <v>1191</v>
      </c>
      <c r="AD47" s="633" t="s">
        <v>1178</v>
      </c>
      <c r="AE47" s="71"/>
      <c r="AF47" s="71"/>
      <c r="AG47" s="71"/>
      <c r="AH47" s="71"/>
      <c r="AI47" s="353"/>
      <c r="AJ47" s="71"/>
      <c r="AK47" s="71"/>
      <c r="AL47" s="71"/>
      <c r="AM47" s="71"/>
      <c r="AN47" s="71"/>
      <c r="AO47" s="71"/>
      <c r="AP47" s="71"/>
      <c r="AQ47" s="71"/>
      <c r="AR47" s="71"/>
      <c r="AS47" s="71"/>
      <c r="AT47" s="71"/>
      <c r="AU47" s="71"/>
      <c r="AV47" s="71"/>
      <c r="AW47" s="71"/>
      <c r="AX47" s="71"/>
      <c r="AY47" s="71"/>
      <c r="AZ47" s="71"/>
      <c r="BA47" s="71"/>
      <c r="BB47" s="71"/>
      <c r="BC47" s="353"/>
      <c r="BD47" s="71"/>
      <c r="BE47" s="71"/>
      <c r="BF47" s="71"/>
      <c r="BG47" s="71"/>
      <c r="BH47" s="71"/>
      <c r="BI47" s="71"/>
      <c r="BJ47" s="71"/>
      <c r="BK47" s="71"/>
      <c r="BL47" s="71"/>
      <c r="BM47" s="71"/>
      <c r="BN47" s="71"/>
      <c r="BO47" s="71"/>
      <c r="BP47" s="71"/>
      <c r="BQ47" s="71"/>
      <c r="BR47" s="71"/>
      <c r="BS47" s="71"/>
      <c r="BT47" s="71"/>
      <c r="BU47" s="71"/>
      <c r="BV47" s="71"/>
      <c r="BW47" s="83"/>
      <c r="BZ47" s="489" t="s">
        <v>1230</v>
      </c>
      <c r="CC47" s="0" cm="1" t="str">
        <f t="array" ref="CC47:CC47">CC46</f>
        <v>0</v>
      </c>
      <c r="CD47" s="0" t="s">
        <v>1189</v>
      </c>
      <c r="CE47" s="0" t="s">
        <v>1193</v>
      </c>
      <c r="CH47" s="0" t="s">
        <v>255</v>
      </c>
      <c r="CI47" s="0" t="s">
        <v>303</v>
      </c>
      <c r="CJ47" s="0" t="s">
        <v>1224</v>
      </c>
      <c r="CK47" s="0" t="s">
        <v>1225</v>
      </c>
    </row>
    <row customHeight="1" ht="14.625" hidden="1">
      <c r="E48" s="180">
        <v>15</v>
      </c>
      <c r="F48" s="175" cm="1" t="str">
        <f t="array" ref="F48:F48">F47</f>
        <v>0</v>
      </c>
      <c r="T48" s="753" cm="1" t="str">
        <f t="array" ref="T48:T48">T47</f>
        <v>false</v>
      </c>
      <c r="AB48" s="633" t="str">
        <f>AB46&amp;".2"</f>
        <v>2.4.2</v>
      </c>
      <c r="AC48" s="635" t="s">
        <v>1195</v>
      </c>
      <c r="AD48" s="633" t="s">
        <v>1178</v>
      </c>
      <c r="AE48" s="71"/>
      <c r="AF48" s="71"/>
      <c r="AG48" s="71"/>
      <c r="AH48" s="71"/>
      <c r="AI48" s="353"/>
      <c r="AJ48" s="71"/>
      <c r="AK48" s="71"/>
      <c r="AL48" s="71"/>
      <c r="AM48" s="71"/>
      <c r="AN48" s="71"/>
      <c r="AO48" s="71"/>
      <c r="AP48" s="71"/>
      <c r="AQ48" s="71"/>
      <c r="AR48" s="71"/>
      <c r="AS48" s="71"/>
      <c r="AT48" s="71"/>
      <c r="AU48" s="71"/>
      <c r="AV48" s="71"/>
      <c r="AW48" s="71"/>
      <c r="AX48" s="71"/>
      <c r="AY48" s="71"/>
      <c r="AZ48" s="71"/>
      <c r="BA48" s="71"/>
      <c r="BB48" s="71"/>
      <c r="BC48" s="353"/>
      <c r="BD48" s="71"/>
      <c r="BE48" s="71"/>
      <c r="BF48" s="71"/>
      <c r="BG48" s="71"/>
      <c r="BH48" s="71"/>
      <c r="BI48" s="71"/>
      <c r="BJ48" s="71"/>
      <c r="BK48" s="71"/>
      <c r="BL48" s="71"/>
      <c r="BM48" s="71"/>
      <c r="BN48" s="71"/>
      <c r="BO48" s="71"/>
      <c r="BP48" s="71"/>
      <c r="BQ48" s="71"/>
      <c r="BR48" s="71"/>
      <c r="BS48" s="71"/>
      <c r="BT48" s="71"/>
      <c r="BU48" s="71"/>
      <c r="BV48" s="71"/>
      <c r="BW48" s="83"/>
      <c r="BZ48" s="489" t="s">
        <v>1231</v>
      </c>
      <c r="CC48" s="0" cm="1" t="str">
        <f t="array" ref="CC48:CC48">CC47</f>
        <v>0</v>
      </c>
      <c r="CD48" s="0" t="s">
        <v>1189</v>
      </c>
      <c r="CE48" s="0" t="s">
        <v>1197</v>
      </c>
      <c r="CH48" s="0" t="s">
        <v>255</v>
      </c>
      <c r="CI48" s="0" t="s">
        <v>303</v>
      </c>
      <c r="CJ48" s="0" t="s">
        <v>1224</v>
      </c>
      <c r="CK48" s="0" t="s">
        <v>1225</v>
      </c>
    </row>
    <row customHeight="1" ht="14.625" hidden="1">
      <c r="E49" s="180">
        <v>15</v>
      </c>
      <c r="F49" s="175" cm="1" t="str">
        <f t="array" ref="F49:F49">F48</f>
        <v>0</v>
      </c>
      <c r="T49" s="753" cm="1" t="str">
        <f t="array" ref="T49:T49">T48</f>
        <v>false</v>
      </c>
      <c r="AB49" s="633" t="str">
        <f>AB46&amp;".3"</f>
        <v>2.4.3</v>
      </c>
      <c r="AC49" s="635" t="s">
        <v>1199</v>
      </c>
      <c r="AD49" s="633" t="s">
        <v>1178</v>
      </c>
      <c r="AE49" s="71"/>
      <c r="AF49" s="71"/>
      <c r="AG49" s="71"/>
      <c r="AH49" s="71"/>
      <c r="AI49" s="353"/>
      <c r="AJ49" s="71"/>
      <c r="AK49" s="71"/>
      <c r="AL49" s="71"/>
      <c r="AM49" s="71"/>
      <c r="AN49" s="71"/>
      <c r="AO49" s="71"/>
      <c r="AP49" s="71"/>
      <c r="AQ49" s="71"/>
      <c r="AR49" s="71"/>
      <c r="AS49" s="71"/>
      <c r="AT49" s="71"/>
      <c r="AU49" s="71"/>
      <c r="AV49" s="71"/>
      <c r="AW49" s="71"/>
      <c r="AX49" s="71"/>
      <c r="AY49" s="71"/>
      <c r="AZ49" s="71"/>
      <c r="BA49" s="71"/>
      <c r="BB49" s="71"/>
      <c r="BC49" s="353"/>
      <c r="BD49" s="71"/>
      <c r="BE49" s="71"/>
      <c r="BF49" s="71"/>
      <c r="BG49" s="71"/>
      <c r="BH49" s="71"/>
      <c r="BI49" s="71"/>
      <c r="BJ49" s="71"/>
      <c r="BK49" s="71"/>
      <c r="BL49" s="71"/>
      <c r="BM49" s="71"/>
      <c r="BN49" s="71"/>
      <c r="BO49" s="71"/>
      <c r="BP49" s="71"/>
      <c r="BQ49" s="71"/>
      <c r="BR49" s="71"/>
      <c r="BS49" s="71"/>
      <c r="BT49" s="71"/>
      <c r="BU49" s="71"/>
      <c r="BV49" s="71"/>
      <c r="BW49" s="83"/>
      <c r="BZ49" s="489" t="s">
        <v>1232</v>
      </c>
      <c r="CC49" s="0" cm="1" t="str">
        <f t="array" ref="CC49:CC49">CC48</f>
        <v>0</v>
      </c>
      <c r="CD49" s="0" t="s">
        <v>1189</v>
      </c>
      <c r="CE49" s="0" t="s">
        <v>1201</v>
      </c>
      <c r="CH49" s="0" t="s">
        <v>255</v>
      </c>
      <c r="CI49" s="0" t="s">
        <v>303</v>
      </c>
      <c r="CJ49" s="0" t="s">
        <v>1224</v>
      </c>
      <c r="CK49" s="0" t="s">
        <v>1225</v>
      </c>
    </row>
    <row customHeight="1" ht="14.625" hidden="1">
      <c r="E50" s="180">
        <v>15</v>
      </c>
      <c r="F50" s="175" cm="1" t="str">
        <f t="array" ref="F50:F50">F49</f>
        <v>0</v>
      </c>
      <c r="T50" s="753" cm="1" t="str">
        <f t="array" ref="T50:T50">T49</f>
        <v>false</v>
      </c>
      <c r="AB50" s="633" t="str">
        <f>AB46&amp;".4"</f>
        <v>2.4.4</v>
      </c>
      <c r="AC50" s="635" t="s">
        <v>1203</v>
      </c>
      <c r="AD50" s="633" t="s">
        <v>1178</v>
      </c>
      <c r="AE50" s="71"/>
      <c r="AF50" s="71"/>
      <c r="AG50" s="71"/>
      <c r="AH50" s="71"/>
      <c r="AI50" s="353"/>
      <c r="AJ50" s="71"/>
      <c r="AK50" s="71"/>
      <c r="AL50" s="71"/>
      <c r="AM50" s="71"/>
      <c r="AN50" s="71"/>
      <c r="AO50" s="71"/>
      <c r="AP50" s="71"/>
      <c r="AQ50" s="71"/>
      <c r="AR50" s="71"/>
      <c r="AS50" s="71"/>
      <c r="AT50" s="71"/>
      <c r="AU50" s="71"/>
      <c r="AV50" s="71"/>
      <c r="AW50" s="71"/>
      <c r="AX50" s="71"/>
      <c r="AY50" s="71"/>
      <c r="AZ50" s="71"/>
      <c r="BA50" s="71"/>
      <c r="BB50" s="71"/>
      <c r="BC50" s="353"/>
      <c r="BD50" s="71"/>
      <c r="BE50" s="71"/>
      <c r="BF50" s="71"/>
      <c r="BG50" s="71"/>
      <c r="BH50" s="71"/>
      <c r="BI50" s="71"/>
      <c r="BJ50" s="71"/>
      <c r="BK50" s="71"/>
      <c r="BL50" s="71"/>
      <c r="BM50" s="71"/>
      <c r="BN50" s="71"/>
      <c r="BO50" s="71"/>
      <c r="BP50" s="71"/>
      <c r="BQ50" s="71"/>
      <c r="BR50" s="71"/>
      <c r="BS50" s="71"/>
      <c r="BT50" s="71"/>
      <c r="BU50" s="71"/>
      <c r="BV50" s="71"/>
      <c r="BW50" s="83"/>
      <c r="BZ50" s="489" t="s">
        <v>1233</v>
      </c>
      <c r="CC50" s="0" cm="1" t="str">
        <f t="array" ref="CC50:CC50">CC49</f>
        <v>0</v>
      </c>
      <c r="CD50" s="0" t="s">
        <v>1189</v>
      </c>
      <c r="CE50" s="0" t="s">
        <v>1205</v>
      </c>
      <c r="CH50" s="0" t="s">
        <v>255</v>
      </c>
      <c r="CI50" s="0" t="s">
        <v>303</v>
      </c>
      <c r="CJ50" s="0" t="s">
        <v>1224</v>
      </c>
      <c r="CK50" s="0" t="s">
        <v>1225</v>
      </c>
    </row>
    <row customHeight="1" ht="14.625" hidden="1">
      <c r="E51" s="180">
        <v>15</v>
      </c>
      <c r="F51" s="175" cm="1" t="str">
        <f t="array" ref="F51:F51">F50</f>
        <v>0</v>
      </c>
      <c r="T51" s="753" cm="1" t="str">
        <f t="array" ref="T51:T51">T50</f>
        <v>false</v>
      </c>
      <c r="AB51" s="633" t="str">
        <f>AB46&amp;".5"</f>
        <v>2.4.5</v>
      </c>
      <c r="AC51" s="635" t="s">
        <v>1207</v>
      </c>
      <c r="AD51" s="633" t="s">
        <v>1178</v>
      </c>
      <c r="AE51" s="71"/>
      <c r="AF51" s="71"/>
      <c r="AG51" s="71"/>
      <c r="AH51" s="71"/>
      <c r="AI51" s="353"/>
      <c r="AJ51" s="71"/>
      <c r="AK51" s="71"/>
      <c r="AL51" s="71"/>
      <c r="AM51" s="71"/>
      <c r="AN51" s="71"/>
      <c r="AO51" s="71"/>
      <c r="AP51" s="71"/>
      <c r="AQ51" s="71"/>
      <c r="AR51" s="71"/>
      <c r="AS51" s="71"/>
      <c r="AT51" s="71"/>
      <c r="AU51" s="71"/>
      <c r="AV51" s="71"/>
      <c r="AW51" s="71"/>
      <c r="AX51" s="71"/>
      <c r="AY51" s="71"/>
      <c r="AZ51" s="71"/>
      <c r="BA51" s="71"/>
      <c r="BB51" s="71"/>
      <c r="BC51" s="353"/>
      <c r="BD51" s="71"/>
      <c r="BE51" s="71"/>
      <c r="BF51" s="71"/>
      <c r="BG51" s="71"/>
      <c r="BH51" s="71"/>
      <c r="BI51" s="71"/>
      <c r="BJ51" s="71"/>
      <c r="BK51" s="71"/>
      <c r="BL51" s="71"/>
      <c r="BM51" s="71"/>
      <c r="BN51" s="71"/>
      <c r="BO51" s="71"/>
      <c r="BP51" s="71"/>
      <c r="BQ51" s="71"/>
      <c r="BR51" s="71"/>
      <c r="BS51" s="71"/>
      <c r="BT51" s="71"/>
      <c r="BU51" s="71"/>
      <c r="BV51" s="71"/>
      <c r="BW51" s="83"/>
      <c r="BZ51" s="489" t="s">
        <v>1234</v>
      </c>
      <c r="CC51" s="0" cm="1" t="str">
        <f t="array" ref="CC51:CC51">CC50</f>
        <v>0</v>
      </c>
      <c r="CD51" s="0" t="s">
        <v>1189</v>
      </c>
      <c r="CE51" s="0" t="s">
        <v>1209</v>
      </c>
      <c r="CH51" s="0" t="s">
        <v>255</v>
      </c>
      <c r="CI51" s="0" t="s">
        <v>303</v>
      </c>
      <c r="CJ51" s="0" t="s">
        <v>1224</v>
      </c>
      <c r="CK51" s="0" t="s">
        <v>1225</v>
      </c>
    </row>
    <row customHeight="1" ht="14.625" hidden="1">
      <c r="E52" s="180">
        <v>15</v>
      </c>
      <c r="F52" s="175" cm="1" t="str">
        <f t="array" ref="F52:F52">F51</f>
        <v>0</v>
      </c>
      <c r="T52" s="753" cm="1" t="str">
        <f t="array" ref="T52:T52">T51</f>
        <v>false</v>
      </c>
      <c r="AB52" s="633" t="str">
        <f>AB42&amp;".5"</f>
        <v>2.5</v>
      </c>
      <c r="AC52" s="634" t="s">
        <v>1210</v>
      </c>
      <c r="AD52" s="633" t="s">
        <v>1178</v>
      </c>
      <c r="AE52" s="71"/>
      <c r="AF52" s="71"/>
      <c r="AG52" s="71"/>
      <c r="AH52" s="71"/>
      <c r="AI52" s="353"/>
      <c r="AJ52" s="71"/>
      <c r="AK52" s="71"/>
      <c r="AL52" s="71"/>
      <c r="AM52" s="71"/>
      <c r="AN52" s="71"/>
      <c r="AO52" s="71"/>
      <c r="AP52" s="71"/>
      <c r="AQ52" s="71"/>
      <c r="AR52" s="71"/>
      <c r="AS52" s="71"/>
      <c r="AT52" s="71"/>
      <c r="AU52" s="71"/>
      <c r="AV52" s="71"/>
      <c r="AW52" s="71"/>
      <c r="AX52" s="71"/>
      <c r="AY52" s="71"/>
      <c r="AZ52" s="71"/>
      <c r="BA52" s="71"/>
      <c r="BB52" s="71"/>
      <c r="BC52" s="353"/>
      <c r="BD52" s="71"/>
      <c r="BE52" s="71"/>
      <c r="BF52" s="71"/>
      <c r="BG52" s="71"/>
      <c r="BH52" s="71"/>
      <c r="BI52" s="71"/>
      <c r="BJ52" s="71"/>
      <c r="BK52" s="71"/>
      <c r="BL52" s="71"/>
      <c r="BM52" s="71"/>
      <c r="BN52" s="71"/>
      <c r="BO52" s="71"/>
      <c r="BP52" s="71"/>
      <c r="BQ52" s="71"/>
      <c r="BR52" s="71"/>
      <c r="BS52" s="71"/>
      <c r="BT52" s="71"/>
      <c r="BU52" s="71"/>
      <c r="BV52" s="71"/>
      <c r="BW52" s="83"/>
      <c r="BZ52" s="489" t="s">
        <v>1235</v>
      </c>
      <c r="CC52" s="0" cm="1" t="str">
        <f t="array" ref="CC52:CC52">CC51</f>
        <v>0</v>
      </c>
      <c r="CD52" s="0" t="s">
        <v>1212</v>
      </c>
      <c r="CH52" s="0" t="s">
        <v>255</v>
      </c>
      <c r="CI52" s="0" t="s">
        <v>303</v>
      </c>
      <c r="CJ52" s="0" t="s">
        <v>1224</v>
      </c>
      <c r="CK52" s="0" t="s">
        <v>1225</v>
      </c>
    </row>
    <row customHeight="1" ht="14.625" hidden="1">
      <c r="E53" s="180">
        <v>15</v>
      </c>
      <c r="F53" s="175" cm="1" t="str">
        <f t="array" ref="F53:F53">F52</f>
        <v>0</v>
      </c>
      <c r="T53" s="753" cm="1" t="str">
        <f t="array" ref="T53:T53">T52</f>
        <v>false</v>
      </c>
      <c r="AB53" s="633" t="str">
        <f>AB42&amp;".6"</f>
        <v>2.6</v>
      </c>
      <c r="AC53" s="634" t="s">
        <v>1213</v>
      </c>
      <c r="AD53" s="633" t="s">
        <v>1178</v>
      </c>
      <c r="AE53" s="71"/>
      <c r="AF53" s="71"/>
      <c r="AG53" s="71"/>
      <c r="AH53" s="71"/>
      <c r="AI53" s="353"/>
      <c r="AJ53" s="71"/>
      <c r="AK53" s="71"/>
      <c r="AL53" s="71"/>
      <c r="AM53" s="71"/>
      <c r="AN53" s="71"/>
      <c r="AO53" s="71"/>
      <c r="AP53" s="71"/>
      <c r="AQ53" s="71"/>
      <c r="AR53" s="71"/>
      <c r="AS53" s="71"/>
      <c r="AT53" s="71"/>
      <c r="AU53" s="71"/>
      <c r="AV53" s="71"/>
      <c r="AW53" s="71"/>
      <c r="AX53" s="71"/>
      <c r="AY53" s="71"/>
      <c r="AZ53" s="71"/>
      <c r="BA53" s="71"/>
      <c r="BB53" s="71"/>
      <c r="BC53" s="353"/>
      <c r="BD53" s="71"/>
      <c r="BE53" s="71"/>
      <c r="BF53" s="71"/>
      <c r="BG53" s="71"/>
      <c r="BH53" s="71"/>
      <c r="BI53" s="71"/>
      <c r="BJ53" s="71"/>
      <c r="BK53" s="71"/>
      <c r="BL53" s="71"/>
      <c r="BM53" s="71"/>
      <c r="BN53" s="71"/>
      <c r="BO53" s="71"/>
      <c r="BP53" s="71"/>
      <c r="BQ53" s="71"/>
      <c r="BR53" s="71"/>
      <c r="BS53" s="71"/>
      <c r="BT53" s="71"/>
      <c r="BU53" s="71"/>
      <c r="BV53" s="71"/>
      <c r="BW53" s="83"/>
      <c r="BZ53" s="489" t="s">
        <v>1236</v>
      </c>
      <c r="CC53" s="0" cm="1" t="str">
        <f t="array" ref="CC53:CC53">CC52</f>
        <v>0</v>
      </c>
      <c r="CF53" s="0" t="s">
        <v>1215</v>
      </c>
      <c r="CH53" s="0" t="s">
        <v>255</v>
      </c>
      <c r="CI53" s="0" t="s">
        <v>303</v>
      </c>
      <c r="CJ53" s="0" t="s">
        <v>1224</v>
      </c>
      <c r="CK53" s="0" t="s">
        <v>1225</v>
      </c>
    </row>
    <row customHeight="1" ht="14.625" hidden="1">
      <c r="E54" s="180">
        <v>15</v>
      </c>
      <c r="F54" s="175" cm="1" t="str">
        <f t="array" ref="F54:F54">F53</f>
        <v>0</v>
      </c>
      <c r="T54" s="753" cm="1" t="str">
        <f t="array" ref="T54:T54">T53</f>
        <v>false</v>
      </c>
      <c r="AB54" s="633" t="str">
        <f>AB42&amp;".7"</f>
        <v>2.7</v>
      </c>
      <c r="AC54" s="634" t="s">
        <v>1216</v>
      </c>
      <c r="AD54" s="633" t="s">
        <v>1178</v>
      </c>
      <c r="AE54" s="71"/>
      <c r="AF54" s="71"/>
      <c r="AG54" s="71"/>
      <c r="AH54" s="71"/>
      <c r="AI54" s="353"/>
      <c r="AJ54" s="71"/>
      <c r="AK54" s="71"/>
      <c r="AL54" s="71"/>
      <c r="AM54" s="71"/>
      <c r="AN54" s="71"/>
      <c r="AO54" s="71"/>
      <c r="AP54" s="71"/>
      <c r="AQ54" s="71"/>
      <c r="AR54" s="71"/>
      <c r="AS54" s="71"/>
      <c r="AT54" s="71"/>
      <c r="AU54" s="71"/>
      <c r="AV54" s="71"/>
      <c r="AW54" s="71"/>
      <c r="AX54" s="71"/>
      <c r="AY54" s="71"/>
      <c r="AZ54" s="71"/>
      <c r="BA54" s="71"/>
      <c r="BB54" s="71"/>
      <c r="BC54" s="353"/>
      <c r="BD54" s="71"/>
      <c r="BE54" s="71"/>
      <c r="BF54" s="71"/>
      <c r="BG54" s="71"/>
      <c r="BH54" s="71"/>
      <c r="BI54" s="71"/>
      <c r="BJ54" s="71"/>
      <c r="BK54" s="71"/>
      <c r="BL54" s="71"/>
      <c r="BM54" s="71"/>
      <c r="BN54" s="71"/>
      <c r="BO54" s="71"/>
      <c r="BP54" s="71"/>
      <c r="BQ54" s="71"/>
      <c r="BR54" s="71"/>
      <c r="BS54" s="71"/>
      <c r="BT54" s="71"/>
      <c r="BU54" s="71"/>
      <c r="BV54" s="71"/>
      <c r="BW54" s="83"/>
      <c r="BZ54" s="489" t="s">
        <v>1237</v>
      </c>
      <c r="CC54" s="0" cm="1" t="str">
        <f t="array" ref="CC54:CC54">CC53</f>
        <v>0</v>
      </c>
      <c r="CF54" s="0" t="s">
        <v>1218</v>
      </c>
      <c r="CH54" s="0" t="s">
        <v>255</v>
      </c>
      <c r="CI54" s="0" t="s">
        <v>303</v>
      </c>
      <c r="CJ54" s="0" t="s">
        <v>1224</v>
      </c>
      <c r="CK54" s="0" t="s">
        <v>1225</v>
      </c>
    </row>
    <row customHeight="1" ht="14.625" hidden="1">
      <c r="E55" s="180">
        <v>15</v>
      </c>
      <c r="F55" s="175" cm="1" t="str">
        <f t="array" ref="F55:F55">F54</f>
        <v>0</v>
      </c>
      <c r="T55" s="753" cm="1" t="str">
        <f t="array" ref="T55:T55">T54</f>
        <v>false</v>
      </c>
      <c r="AB55" s="633" t="str">
        <f>AB42&amp;".8"</f>
        <v>2.8</v>
      </c>
      <c r="AC55" s="634" t="s">
        <v>1219</v>
      </c>
      <c r="AD55" s="633" t="s">
        <v>1178</v>
      </c>
      <c r="AE55" s="71"/>
      <c r="AF55" s="71"/>
      <c r="AG55" s="71"/>
      <c r="AH55" s="71"/>
      <c r="AI55" s="353"/>
      <c r="AJ55" s="71"/>
      <c r="AK55" s="71"/>
      <c r="AL55" s="71"/>
      <c r="AM55" s="71"/>
      <c r="AN55" s="71"/>
      <c r="AO55" s="71"/>
      <c r="AP55" s="71"/>
      <c r="AQ55" s="71"/>
      <c r="AR55" s="71"/>
      <c r="AS55" s="71"/>
      <c r="AT55" s="71"/>
      <c r="AU55" s="71"/>
      <c r="AV55" s="71"/>
      <c r="AW55" s="71"/>
      <c r="AX55" s="71"/>
      <c r="AY55" s="71"/>
      <c r="AZ55" s="71"/>
      <c r="BA55" s="71"/>
      <c r="BB55" s="71"/>
      <c r="BC55" s="353"/>
      <c r="BD55" s="71"/>
      <c r="BE55" s="71"/>
      <c r="BF55" s="71"/>
      <c r="BG55" s="71"/>
      <c r="BH55" s="71"/>
      <c r="BI55" s="71"/>
      <c r="BJ55" s="71"/>
      <c r="BK55" s="71"/>
      <c r="BL55" s="71"/>
      <c r="BM55" s="71"/>
      <c r="BN55" s="71"/>
      <c r="BO55" s="71"/>
      <c r="BP55" s="71"/>
      <c r="BQ55" s="71"/>
      <c r="BR55" s="71"/>
      <c r="BS55" s="71"/>
      <c r="BT55" s="71"/>
      <c r="BU55" s="71"/>
      <c r="BV55" s="71"/>
      <c r="BW55" s="83"/>
      <c r="BZ55" s="489" t="s">
        <v>1238</v>
      </c>
      <c r="CC55" s="0" cm="1" t="str">
        <f t="array" ref="CC55:CC55">CC54</f>
        <v>0</v>
      </c>
      <c r="CD55" s="0" t="s">
        <v>1221</v>
      </c>
      <c r="CH55" s="0" t="s">
        <v>449</v>
      </c>
      <c r="CI55" s="0" t="s">
        <v>303</v>
      </c>
      <c r="CJ55" s="0" t="s">
        <v>1224</v>
      </c>
      <c r="CK55" s="0" t="s">
        <v>1225</v>
      </c>
    </row>
    <row s="986" customFormat="1" customHeight="1" ht="14.625" hidden="1">
      <c r="E56" s="180">
        <v>15</v>
      </c>
      <c r="F56" s="175" cm="1" t="str">
        <f t="array" ref="F56:F56">F55</f>
        <v>0</v>
      </c>
      <c r="T56" s="753" cm="1" t="str">
        <f t="array" ref="T56:T56">T55</f>
        <v>false</v>
      </c>
      <c r="AB56" s="556">
        <v>3</v>
      </c>
      <c r="AC56" s="555" t="s">
        <v>1239</v>
      </c>
      <c r="AD56" s="551" t="s">
        <v>917</v>
      </c>
      <c r="AE56" s="105">
        <f>SUM(AE57:AE60)+SUM(AE66:AE69)</f>
        <v>0</v>
      </c>
      <c r="AF56" s="105">
        <f>SUM(AF57:AF60)+SUM(AF66:AF69)</f>
        <v>0</v>
      </c>
      <c r="AG56" s="105">
        <f>SUM(AG57:AG60)+SUM(AG66:AG69)</f>
        <v>0</v>
      </c>
      <c r="AH56" s="105">
        <f>SUM(AH57:AH60)+SUM(AH66:AH69)</f>
        <v>0</v>
      </c>
      <c r="AI56" s="588">
        <f>SUM(AI57:AI60)+SUM(AI66:AI69)</f>
        <v>0</v>
      </c>
      <c r="AJ56" s="105">
        <f>SUM(AJ57:AJ60)+SUM(AJ66:AJ69)</f>
        <v>0</v>
      </c>
      <c r="AK56" s="105">
        <f>SUM(AK57:AK60)+SUM(AK66:AK69)</f>
        <v>0</v>
      </c>
      <c r="AL56" s="105">
        <f>SUM(AL57:AL60)+SUM(AL66:AL69)</f>
        <v>0</v>
      </c>
      <c r="AM56" s="105">
        <f>SUM(AM57:AM60)+SUM(AM66:AM69)</f>
        <v>0</v>
      </c>
      <c r="AN56" s="105">
        <f>SUM(AN57:AN60)+SUM(AN66:AN69)</f>
        <v>0</v>
      </c>
      <c r="AO56" s="105">
        <f>SUM(AO57:AO60)+SUM(AO66:AO69)</f>
        <v>0</v>
      </c>
      <c r="AP56" s="105">
        <f>SUM(AP57:AP60)+SUM(AP66:AP69)</f>
        <v>0</v>
      </c>
      <c r="AQ56" s="105">
        <f>SUM(AQ57:AQ60)+SUM(AQ66:AQ69)</f>
        <v>0</v>
      </c>
      <c r="AR56" s="105">
        <f>SUM(AR57:AR60)+SUM(AR66:AR69)</f>
        <v>0</v>
      </c>
      <c r="AS56" s="105">
        <f>SUM(AS57:AS60)+SUM(AS66:AS69)</f>
        <v>0</v>
      </c>
      <c r="AT56" s="105">
        <f>SUM(AT57:AT60)+SUM(AT66:AT69)</f>
        <v>0</v>
      </c>
      <c r="AU56" s="105">
        <f>SUM(AU57:AU60)+SUM(AU66:AU69)</f>
        <v>0</v>
      </c>
      <c r="AV56" s="105">
        <f>SUM(AV57:AV60)+SUM(AV66:AV69)</f>
        <v>0</v>
      </c>
      <c r="AW56" s="105">
        <f>SUM(AW57:AW60)+SUM(AW66:AW69)</f>
        <v>0</v>
      </c>
      <c r="AX56" s="105">
        <f>SUM(AX57:AX60)+SUM(AX66:AX69)</f>
        <v>0</v>
      </c>
      <c r="AY56" s="105">
        <f>SUM(AY57:AY60)+SUM(AY66:AY69)</f>
        <v>0</v>
      </c>
      <c r="AZ56" s="105">
        <f>SUM(AZ57:AZ60)+SUM(AZ66:AZ69)</f>
        <v>0</v>
      </c>
      <c r="BA56" s="105">
        <f>SUM(BA57:BA60)+SUM(BA66:BA69)</f>
        <v>0</v>
      </c>
      <c r="BB56" s="105">
        <f>SUM(BB57:BB60)+SUM(BB66:BB69)</f>
        <v>0</v>
      </c>
      <c r="BC56" s="588">
        <f>SUM(BC57:BC60)+SUM(BC66:BC69)</f>
        <v>0</v>
      </c>
      <c r="BD56" s="105">
        <f>SUM(BD57:BD60)+SUM(BD66:BD69)</f>
        <v>0</v>
      </c>
      <c r="BE56" s="105">
        <f>SUM(BE57:BE60)+SUM(BE66:BE69)</f>
        <v>0</v>
      </c>
      <c r="BF56" s="105">
        <f>SUM(BF57:BF60)+SUM(BF66:BF69)</f>
        <v>0</v>
      </c>
      <c r="BG56" s="105">
        <f>SUM(BG57:BG60)+SUM(BG66:BG69)</f>
        <v>0</v>
      </c>
      <c r="BH56" s="105">
        <f>SUM(BH57:BH60)+SUM(BH66:BH69)</f>
        <v>0</v>
      </c>
      <c r="BI56" s="105">
        <f>SUM(BI57:BI60)+SUM(BI66:BI69)</f>
        <v>0</v>
      </c>
      <c r="BJ56" s="105">
        <f>SUM(BJ57:BJ60)+SUM(BJ66:BJ69)</f>
        <v>0</v>
      </c>
      <c r="BK56" s="105">
        <f>SUM(BK57:BK60)+SUM(BK66:BK69)</f>
        <v>0</v>
      </c>
      <c r="BL56" s="105">
        <f>SUM(BL57:BL60)+SUM(BL66:BL69)</f>
        <v>0</v>
      </c>
      <c r="BM56" s="105">
        <f>SUM(BM57:BM60)+SUM(BM66:BM69)</f>
        <v>0</v>
      </c>
      <c r="BN56" s="105">
        <f>SUM(BN57:BN60)+SUM(BN66:BN69)</f>
        <v>0</v>
      </c>
      <c r="BO56" s="105">
        <f>SUM(BO57:BO60)+SUM(BO66:BO69)</f>
        <v>0</v>
      </c>
      <c r="BP56" s="105">
        <f>SUM(BP57:BP60)+SUM(BP66:BP69)</f>
        <v>0</v>
      </c>
      <c r="BQ56" s="105">
        <f>SUM(BQ57:BQ60)+SUM(BQ66:BQ69)</f>
        <v>0</v>
      </c>
      <c r="BR56" s="105">
        <f>SUM(BR57:BR60)+SUM(BR66:BR69)</f>
        <v>0</v>
      </c>
      <c r="BS56" s="105">
        <f>SUM(BS57:BS60)+SUM(BS66:BS69)</f>
        <v>0</v>
      </c>
      <c r="BT56" s="105">
        <f>SUM(BT57:BT60)+SUM(BT66:BT69)</f>
        <v>0</v>
      </c>
      <c r="BU56" s="105">
        <f>SUM(BU57:BU60)+SUM(BU66:BU69)</f>
        <v>0</v>
      </c>
      <c r="BV56" s="105">
        <f>SUM(BV57:BV60)+SUM(BV66:BV69)</f>
        <v>0</v>
      </c>
      <c r="BW56" s="83"/>
      <c r="BZ56" s="489" t="s">
        <v>1240</v>
      </c>
      <c r="CC56" s="0" cm="1" t="str">
        <f t="array" ref="CC56:CC56">CC55</f>
        <v>0</v>
      </c>
      <c r="CH56" s="0" t="s">
        <v>449</v>
      </c>
      <c r="CI56" s="0" t="s">
        <v>303</v>
      </c>
      <c r="CJ56" s="0" t="s">
        <v>1241</v>
      </c>
      <c r="CK56" s="0" t="s">
        <v>1242</v>
      </c>
    </row>
    <row customHeight="1" ht="14.625" hidden="1">
      <c r="E57" s="180">
        <v>15</v>
      </c>
      <c r="F57" s="175" cm="1" t="str">
        <f t="array" ref="F57:F57">F56</f>
        <v>0</v>
      </c>
      <c r="T57" s="753" cm="1" t="str">
        <f t="array" ref="T57:T57">T56</f>
        <v>false</v>
      </c>
      <c r="AB57" s="633" t="str">
        <f>AB56&amp;".1"</f>
        <v>3.1</v>
      </c>
      <c r="AC57" s="634" t="s">
        <v>1177</v>
      </c>
      <c r="AD57" s="633" t="s">
        <v>1178</v>
      </c>
      <c r="AE57" s="71"/>
      <c r="AF57" s="71"/>
      <c r="AG57" s="71"/>
      <c r="AH57" s="71"/>
      <c r="AI57" s="353"/>
      <c r="AJ57" s="71"/>
      <c r="AK57" s="71"/>
      <c r="AL57" s="71"/>
      <c r="AM57" s="71"/>
      <c r="AN57" s="71"/>
      <c r="AO57" s="71"/>
      <c r="AP57" s="71"/>
      <c r="AQ57" s="71"/>
      <c r="AR57" s="71"/>
      <c r="AS57" s="71"/>
      <c r="AT57" s="71"/>
      <c r="AU57" s="71"/>
      <c r="AV57" s="71"/>
      <c r="AW57" s="71"/>
      <c r="AX57" s="71"/>
      <c r="AY57" s="71"/>
      <c r="AZ57" s="71"/>
      <c r="BA57" s="71"/>
      <c r="BB57" s="71"/>
      <c r="BC57" s="353"/>
      <c r="BD57" s="71"/>
      <c r="BE57" s="71"/>
      <c r="BF57" s="71"/>
      <c r="BG57" s="71"/>
      <c r="BH57" s="71"/>
      <c r="BI57" s="71"/>
      <c r="BJ57" s="71"/>
      <c r="BK57" s="71"/>
      <c r="BL57" s="71"/>
      <c r="BM57" s="71"/>
      <c r="BN57" s="71"/>
      <c r="BO57" s="71"/>
      <c r="BP57" s="71"/>
      <c r="BQ57" s="71"/>
      <c r="BR57" s="71"/>
      <c r="BS57" s="71"/>
      <c r="BT57" s="71"/>
      <c r="BU57" s="71"/>
      <c r="BV57" s="71"/>
      <c r="BW57" s="83"/>
      <c r="BZ57" s="489" t="s">
        <v>1243</v>
      </c>
      <c r="CC57" s="0" cm="1" t="str">
        <f t="array" ref="CC57:CC57">CC56</f>
        <v>0</v>
      </c>
      <c r="CD57" s="0" t="s">
        <v>1180</v>
      </c>
      <c r="CH57" s="0" t="s">
        <v>449</v>
      </c>
      <c r="CI57" s="0" t="s">
        <v>303</v>
      </c>
      <c r="CJ57" s="0" t="s">
        <v>1241</v>
      </c>
      <c r="CK57" s="0" t="s">
        <v>1242</v>
      </c>
    </row>
    <row customHeight="1" ht="14.625" hidden="1">
      <c r="E58" s="180">
        <v>15</v>
      </c>
      <c r="F58" s="175" cm="1" t="str">
        <f t="array" ref="F58:F58">F57</f>
        <v>0</v>
      </c>
      <c r="T58" s="753" cm="1" t="str">
        <f t="array" ref="T58:T58">T57</f>
        <v>false</v>
      </c>
      <c r="AB58" s="633" t="str">
        <f>AB56&amp;".2"</f>
        <v>3.2</v>
      </c>
      <c r="AC58" s="634" t="s">
        <v>1181</v>
      </c>
      <c r="AD58" s="633" t="s">
        <v>1178</v>
      </c>
      <c r="AE58" s="71"/>
      <c r="AF58" s="71"/>
      <c r="AG58" s="71"/>
      <c r="AH58" s="71"/>
      <c r="AI58" s="353"/>
      <c r="AJ58" s="71"/>
      <c r="AK58" s="71"/>
      <c r="AL58" s="71"/>
      <c r="AM58" s="71"/>
      <c r="AN58" s="71"/>
      <c r="AO58" s="71"/>
      <c r="AP58" s="71"/>
      <c r="AQ58" s="71"/>
      <c r="AR58" s="71"/>
      <c r="AS58" s="71"/>
      <c r="AT58" s="71"/>
      <c r="AU58" s="71"/>
      <c r="AV58" s="71"/>
      <c r="AW58" s="71"/>
      <c r="AX58" s="71"/>
      <c r="AY58" s="71"/>
      <c r="AZ58" s="71"/>
      <c r="BA58" s="71"/>
      <c r="BB58" s="71"/>
      <c r="BC58" s="353"/>
      <c r="BD58" s="71"/>
      <c r="BE58" s="71"/>
      <c r="BF58" s="71"/>
      <c r="BG58" s="71"/>
      <c r="BH58" s="71"/>
      <c r="BI58" s="71"/>
      <c r="BJ58" s="71"/>
      <c r="BK58" s="71"/>
      <c r="BL58" s="71"/>
      <c r="BM58" s="71"/>
      <c r="BN58" s="71"/>
      <c r="BO58" s="71"/>
      <c r="BP58" s="71"/>
      <c r="BQ58" s="71"/>
      <c r="BR58" s="71"/>
      <c r="BS58" s="71"/>
      <c r="BT58" s="71"/>
      <c r="BU58" s="71"/>
      <c r="BV58" s="71"/>
      <c r="BW58" s="83"/>
      <c r="BZ58" s="489" t="s">
        <v>1244</v>
      </c>
      <c r="CC58" s="0" cm="1" t="str">
        <f t="array" ref="CC58:CC58">CC57</f>
        <v>0</v>
      </c>
      <c r="CD58" s="0" t="s">
        <v>1183</v>
      </c>
      <c r="CH58" s="0" t="s">
        <v>449</v>
      </c>
      <c r="CI58" s="0" t="s">
        <v>303</v>
      </c>
      <c r="CJ58" s="0" t="s">
        <v>1241</v>
      </c>
      <c r="CK58" s="0" t="s">
        <v>1242</v>
      </c>
    </row>
    <row customHeight="1" ht="14.625" hidden="1">
      <c r="E59" s="180">
        <v>15</v>
      </c>
      <c r="F59" s="175" cm="1" t="str">
        <f t="array" ref="F59:F59">F58</f>
        <v>0</v>
      </c>
      <c r="T59" s="753" cm="1" t="str">
        <f t="array" ref="T59:T59">T58</f>
        <v>false</v>
      </c>
      <c r="AB59" s="633" t="str">
        <f>AB56&amp;".3"</f>
        <v>3.3</v>
      </c>
      <c r="AC59" s="634" t="s">
        <v>1184</v>
      </c>
      <c r="AD59" s="633" t="s">
        <v>1178</v>
      </c>
      <c r="AE59" s="71"/>
      <c r="AF59" s="71"/>
      <c r="AG59" s="71"/>
      <c r="AH59" s="71"/>
      <c r="AI59" s="353"/>
      <c r="AJ59" s="71"/>
      <c r="AK59" s="71"/>
      <c r="AL59" s="71"/>
      <c r="AM59" s="71"/>
      <c r="AN59" s="71"/>
      <c r="AO59" s="71"/>
      <c r="AP59" s="71"/>
      <c r="AQ59" s="71"/>
      <c r="AR59" s="71"/>
      <c r="AS59" s="71"/>
      <c r="AT59" s="71"/>
      <c r="AU59" s="71"/>
      <c r="AV59" s="71"/>
      <c r="AW59" s="71"/>
      <c r="AX59" s="71"/>
      <c r="AY59" s="71"/>
      <c r="AZ59" s="71"/>
      <c r="BA59" s="71"/>
      <c r="BB59" s="71"/>
      <c r="BC59" s="353"/>
      <c r="BD59" s="71"/>
      <c r="BE59" s="71"/>
      <c r="BF59" s="71"/>
      <c r="BG59" s="71"/>
      <c r="BH59" s="71"/>
      <c r="BI59" s="71"/>
      <c r="BJ59" s="71"/>
      <c r="BK59" s="71"/>
      <c r="BL59" s="71"/>
      <c r="BM59" s="71"/>
      <c r="BN59" s="71"/>
      <c r="BO59" s="71"/>
      <c r="BP59" s="71"/>
      <c r="BQ59" s="71"/>
      <c r="BR59" s="71"/>
      <c r="BS59" s="71"/>
      <c r="BT59" s="71"/>
      <c r="BU59" s="71"/>
      <c r="BV59" s="71"/>
      <c r="BW59" s="83"/>
      <c r="BZ59" s="489" t="s">
        <v>1245</v>
      </c>
      <c r="CC59" s="0" cm="1" t="str">
        <f t="array" ref="CC59:CC59">CC58</f>
        <v>0</v>
      </c>
      <c r="CD59" s="0" t="s">
        <v>1186</v>
      </c>
      <c r="CH59" s="0" t="s">
        <v>449</v>
      </c>
      <c r="CI59" s="0" t="s">
        <v>303</v>
      </c>
      <c r="CJ59" s="0" t="s">
        <v>1241</v>
      </c>
      <c r="CK59" s="0" t="s">
        <v>1242</v>
      </c>
    </row>
    <row customHeight="1" ht="14.625" hidden="1">
      <c r="E60" s="180">
        <v>15</v>
      </c>
      <c r="F60" s="175" cm="1" t="str">
        <f t="array" ref="F60:F60">F59</f>
        <v>0</v>
      </c>
      <c r="T60" s="753" cm="1" t="str">
        <f t="array" ref="T60:T60">T59</f>
        <v>false</v>
      </c>
      <c r="AB60" s="633" t="str">
        <f>AB56&amp;".4"</f>
        <v>3.4</v>
      </c>
      <c r="AC60" s="634" t="s">
        <v>1187</v>
      </c>
      <c r="AD60" s="633" t="s">
        <v>1178</v>
      </c>
      <c r="AE60" s="87">
        <f>SUM(AE61:AE65)</f>
        <v>0</v>
      </c>
      <c r="AF60" s="87">
        <f>SUM(AF61:AF65)</f>
        <v>0</v>
      </c>
      <c r="AG60" s="87">
        <f>SUM(AG61:AG65)</f>
        <v>0</v>
      </c>
      <c r="AH60" s="87">
        <f>SUM(AH61:AH65)</f>
        <v>0</v>
      </c>
      <c r="AI60" s="484">
        <f>SUM(AI61:AI65)</f>
        <v>0</v>
      </c>
      <c r="AJ60" s="87">
        <f>SUM(AJ61:AJ65)</f>
        <v>0</v>
      </c>
      <c r="AK60" s="87">
        <f>SUM(AK61:AK65)</f>
        <v>0</v>
      </c>
      <c r="AL60" s="87">
        <f>SUM(AL61:AL65)</f>
        <v>0</v>
      </c>
      <c r="AM60" s="87">
        <f>SUM(AM61:AM65)</f>
        <v>0</v>
      </c>
      <c r="AN60" s="87">
        <f>SUM(AN61:AN65)</f>
        <v>0</v>
      </c>
      <c r="AO60" s="87">
        <f>SUM(AO61:AO65)</f>
        <v>0</v>
      </c>
      <c r="AP60" s="87">
        <f>SUM(AP61:AP65)</f>
        <v>0</v>
      </c>
      <c r="AQ60" s="87">
        <f>SUM(AQ61:AQ65)</f>
        <v>0</v>
      </c>
      <c r="AR60" s="87">
        <f>SUM(AR61:AR65)</f>
        <v>0</v>
      </c>
      <c r="AS60" s="87">
        <f>SUM(AS61:AS65)</f>
        <v>0</v>
      </c>
      <c r="AT60" s="87">
        <f>SUM(AT61:AT65)</f>
        <v>0</v>
      </c>
      <c r="AU60" s="87">
        <f>SUM(AU61:AU65)</f>
        <v>0</v>
      </c>
      <c r="AV60" s="87">
        <f>SUM(AV61:AV65)</f>
        <v>0</v>
      </c>
      <c r="AW60" s="87">
        <f>SUM(AW61:AW65)</f>
        <v>0</v>
      </c>
      <c r="AX60" s="87">
        <f>SUM(AX61:AX65)</f>
        <v>0</v>
      </c>
      <c r="AY60" s="87">
        <f>SUM(AY61:AY65)</f>
        <v>0</v>
      </c>
      <c r="AZ60" s="87">
        <f>SUM(AZ61:AZ65)</f>
        <v>0</v>
      </c>
      <c r="BA60" s="87">
        <f>SUM(BA61:BA65)</f>
        <v>0</v>
      </c>
      <c r="BB60" s="87">
        <f>SUM(BB61:BB65)</f>
        <v>0</v>
      </c>
      <c r="BC60" s="484">
        <f>SUM(BC61:BC65)</f>
        <v>0</v>
      </c>
      <c r="BD60" s="87">
        <f>SUM(BD61:BD65)</f>
        <v>0</v>
      </c>
      <c r="BE60" s="87">
        <f>SUM(BE61:BE65)</f>
        <v>0</v>
      </c>
      <c r="BF60" s="87">
        <f>SUM(BF61:BF65)</f>
        <v>0</v>
      </c>
      <c r="BG60" s="87">
        <f>SUM(BG61:BG65)</f>
        <v>0</v>
      </c>
      <c r="BH60" s="87">
        <f>SUM(BH61:BH65)</f>
        <v>0</v>
      </c>
      <c r="BI60" s="87">
        <f>SUM(BI61:BI65)</f>
        <v>0</v>
      </c>
      <c r="BJ60" s="87">
        <f>SUM(BJ61:BJ65)</f>
        <v>0</v>
      </c>
      <c r="BK60" s="87">
        <f>SUM(BK61:BK65)</f>
        <v>0</v>
      </c>
      <c r="BL60" s="87">
        <f>SUM(BL61:BL65)</f>
        <v>0</v>
      </c>
      <c r="BM60" s="87">
        <f>SUM(BM61:BM65)</f>
        <v>0</v>
      </c>
      <c r="BN60" s="87">
        <f>SUM(BN61:BN65)</f>
        <v>0</v>
      </c>
      <c r="BO60" s="87">
        <f>SUM(BO61:BO65)</f>
        <v>0</v>
      </c>
      <c r="BP60" s="87">
        <f>SUM(BP61:BP65)</f>
        <v>0</v>
      </c>
      <c r="BQ60" s="87">
        <f>SUM(BQ61:BQ65)</f>
        <v>0</v>
      </c>
      <c r="BR60" s="87">
        <f>SUM(BR61:BR65)</f>
        <v>0</v>
      </c>
      <c r="BS60" s="87">
        <f>SUM(BS61:BS65)</f>
        <v>0</v>
      </c>
      <c r="BT60" s="87">
        <f>SUM(BT61:BT65)</f>
        <v>0</v>
      </c>
      <c r="BU60" s="87">
        <f>SUM(BU61:BU65)</f>
        <v>0</v>
      </c>
      <c r="BV60" s="87">
        <f>SUM(BV61:BV65)</f>
        <v>0</v>
      </c>
      <c r="BW60" s="83"/>
      <c r="BZ60" s="489" t="s">
        <v>1246</v>
      </c>
      <c r="CC60" s="0" cm="1" t="str">
        <f t="array" ref="CC60:CC60">CC59</f>
        <v>0</v>
      </c>
      <c r="CD60" s="0" t="s">
        <v>1189</v>
      </c>
      <c r="CH60" s="0" t="s">
        <v>449</v>
      </c>
      <c r="CI60" s="0" t="s">
        <v>303</v>
      </c>
      <c r="CJ60" s="0" t="s">
        <v>1241</v>
      </c>
      <c r="CK60" s="0" t="s">
        <v>1242</v>
      </c>
    </row>
    <row customHeight="1" ht="14.625" hidden="1">
      <c r="E61" s="180">
        <v>15</v>
      </c>
      <c r="F61" s="175" cm="1" t="str">
        <f t="array" ref="F61:F61">F60</f>
        <v>0</v>
      </c>
      <c r="T61" s="753" cm="1" t="str">
        <f t="array" ref="T61:T61">T60</f>
        <v>false</v>
      </c>
      <c r="AB61" s="633" t="str">
        <f>AB60&amp;".1"</f>
        <v>3.4.1</v>
      </c>
      <c r="AC61" s="635" t="s">
        <v>1191</v>
      </c>
      <c r="AD61" s="633" t="s">
        <v>1178</v>
      </c>
      <c r="AE61" s="71"/>
      <c r="AF61" s="71"/>
      <c r="AG61" s="71"/>
      <c r="AH61" s="71"/>
      <c r="AI61" s="353"/>
      <c r="AJ61" s="71"/>
      <c r="AK61" s="71"/>
      <c r="AL61" s="71"/>
      <c r="AM61" s="71"/>
      <c r="AN61" s="71"/>
      <c r="AO61" s="71"/>
      <c r="AP61" s="71"/>
      <c r="AQ61" s="71"/>
      <c r="AR61" s="71"/>
      <c r="AS61" s="71"/>
      <c r="AT61" s="71"/>
      <c r="AU61" s="71"/>
      <c r="AV61" s="71"/>
      <c r="AW61" s="71"/>
      <c r="AX61" s="71"/>
      <c r="AY61" s="71"/>
      <c r="AZ61" s="71"/>
      <c r="BA61" s="71"/>
      <c r="BB61" s="71"/>
      <c r="BC61" s="353"/>
      <c r="BD61" s="71"/>
      <c r="BE61" s="71"/>
      <c r="BF61" s="71"/>
      <c r="BG61" s="71"/>
      <c r="BH61" s="71"/>
      <c r="BI61" s="71"/>
      <c r="BJ61" s="71"/>
      <c r="BK61" s="71"/>
      <c r="BL61" s="71"/>
      <c r="BM61" s="71"/>
      <c r="BN61" s="71"/>
      <c r="BO61" s="71"/>
      <c r="BP61" s="71"/>
      <c r="BQ61" s="71"/>
      <c r="BR61" s="71"/>
      <c r="BS61" s="71"/>
      <c r="BT61" s="71"/>
      <c r="BU61" s="71"/>
      <c r="BV61" s="71"/>
      <c r="BW61" s="83"/>
      <c r="BZ61" s="489" t="s">
        <v>1247</v>
      </c>
      <c r="CC61" s="0" cm="1" t="str">
        <f t="array" ref="CC61:CC61">CC60</f>
        <v>0</v>
      </c>
      <c r="CD61" s="0" t="s">
        <v>1189</v>
      </c>
      <c r="CE61" s="0" t="s">
        <v>1193</v>
      </c>
      <c r="CH61" s="0" t="s">
        <v>449</v>
      </c>
      <c r="CI61" s="0" t="s">
        <v>303</v>
      </c>
      <c r="CJ61" s="0" t="s">
        <v>1241</v>
      </c>
      <c r="CK61" s="0" t="s">
        <v>1242</v>
      </c>
    </row>
    <row customHeight="1" ht="14.625" hidden="1">
      <c r="E62" s="180">
        <v>15</v>
      </c>
      <c r="F62" s="175" cm="1" t="str">
        <f t="array" ref="F62:F62">F61</f>
        <v>0</v>
      </c>
      <c r="T62" s="753" cm="1" t="str">
        <f t="array" ref="T62:T62">T61</f>
        <v>false</v>
      </c>
      <c r="AB62" s="633" t="str">
        <f>AB60&amp;".2"</f>
        <v>3.4.2</v>
      </c>
      <c r="AC62" s="635" t="s">
        <v>1195</v>
      </c>
      <c r="AD62" s="633" t="s">
        <v>1178</v>
      </c>
      <c r="AE62" s="71"/>
      <c r="AF62" s="71"/>
      <c r="AG62" s="71"/>
      <c r="AH62" s="71"/>
      <c r="AI62" s="353"/>
      <c r="AJ62" s="71"/>
      <c r="AK62" s="71"/>
      <c r="AL62" s="71"/>
      <c r="AM62" s="71"/>
      <c r="AN62" s="71"/>
      <c r="AO62" s="71"/>
      <c r="AP62" s="71"/>
      <c r="AQ62" s="71"/>
      <c r="AR62" s="71"/>
      <c r="AS62" s="71"/>
      <c r="AT62" s="71"/>
      <c r="AU62" s="71"/>
      <c r="AV62" s="71"/>
      <c r="AW62" s="71"/>
      <c r="AX62" s="71"/>
      <c r="AY62" s="71"/>
      <c r="AZ62" s="71"/>
      <c r="BA62" s="71"/>
      <c r="BB62" s="71"/>
      <c r="BC62" s="353"/>
      <c r="BD62" s="71"/>
      <c r="BE62" s="71"/>
      <c r="BF62" s="71"/>
      <c r="BG62" s="71"/>
      <c r="BH62" s="71"/>
      <c r="BI62" s="71"/>
      <c r="BJ62" s="71"/>
      <c r="BK62" s="71"/>
      <c r="BL62" s="71"/>
      <c r="BM62" s="71"/>
      <c r="BN62" s="71"/>
      <c r="BO62" s="71"/>
      <c r="BP62" s="71"/>
      <c r="BQ62" s="71"/>
      <c r="BR62" s="71"/>
      <c r="BS62" s="71"/>
      <c r="BT62" s="71"/>
      <c r="BU62" s="71"/>
      <c r="BV62" s="71"/>
      <c r="BW62" s="83"/>
      <c r="BZ62" s="489" t="s">
        <v>1248</v>
      </c>
      <c r="CC62" s="0" cm="1" t="str">
        <f t="array" ref="CC62:CC62">CC61</f>
        <v>0</v>
      </c>
      <c r="CD62" s="0" t="s">
        <v>1189</v>
      </c>
      <c r="CE62" s="0" t="s">
        <v>1197</v>
      </c>
      <c r="CH62" s="0" t="s">
        <v>449</v>
      </c>
      <c r="CI62" s="0" t="s">
        <v>303</v>
      </c>
      <c r="CJ62" s="0" t="s">
        <v>1241</v>
      </c>
      <c r="CK62" s="0" t="s">
        <v>1242</v>
      </c>
    </row>
    <row customHeight="1" ht="14.625" hidden="1">
      <c r="E63" s="180">
        <v>15</v>
      </c>
      <c r="F63" s="175" cm="1" t="str">
        <f t="array" ref="F63:F63">F62</f>
        <v>0</v>
      </c>
      <c r="T63" s="753" cm="1" t="str">
        <f t="array" ref="T63:T63">T62</f>
        <v>false</v>
      </c>
      <c r="AB63" s="633" t="str">
        <f>AB60&amp;".3"</f>
        <v>3.4.3</v>
      </c>
      <c r="AC63" s="635" t="s">
        <v>1199</v>
      </c>
      <c r="AD63" s="633" t="s">
        <v>1178</v>
      </c>
      <c r="AE63" s="71"/>
      <c r="AF63" s="71"/>
      <c r="AG63" s="71"/>
      <c r="AH63" s="71"/>
      <c r="AI63" s="353"/>
      <c r="AJ63" s="71"/>
      <c r="AK63" s="71"/>
      <c r="AL63" s="71"/>
      <c r="AM63" s="71"/>
      <c r="AN63" s="71"/>
      <c r="AO63" s="71"/>
      <c r="AP63" s="71"/>
      <c r="AQ63" s="71"/>
      <c r="AR63" s="71"/>
      <c r="AS63" s="71"/>
      <c r="AT63" s="71"/>
      <c r="AU63" s="71"/>
      <c r="AV63" s="71"/>
      <c r="AW63" s="71"/>
      <c r="AX63" s="71"/>
      <c r="AY63" s="71"/>
      <c r="AZ63" s="71"/>
      <c r="BA63" s="71"/>
      <c r="BB63" s="71"/>
      <c r="BC63" s="353"/>
      <c r="BD63" s="71"/>
      <c r="BE63" s="71"/>
      <c r="BF63" s="71"/>
      <c r="BG63" s="71"/>
      <c r="BH63" s="71"/>
      <c r="BI63" s="71"/>
      <c r="BJ63" s="71"/>
      <c r="BK63" s="71"/>
      <c r="BL63" s="71"/>
      <c r="BM63" s="71"/>
      <c r="BN63" s="71"/>
      <c r="BO63" s="71"/>
      <c r="BP63" s="71"/>
      <c r="BQ63" s="71"/>
      <c r="BR63" s="71"/>
      <c r="BS63" s="71"/>
      <c r="BT63" s="71"/>
      <c r="BU63" s="71"/>
      <c r="BV63" s="71"/>
      <c r="BW63" s="83"/>
      <c r="BZ63" s="489" t="s">
        <v>1249</v>
      </c>
      <c r="CC63" s="0" cm="1" t="str">
        <f t="array" ref="CC63:CC63">CC62</f>
        <v>0</v>
      </c>
      <c r="CD63" s="0" t="s">
        <v>1189</v>
      </c>
      <c r="CE63" s="0" t="s">
        <v>1201</v>
      </c>
      <c r="CH63" s="0" t="s">
        <v>449</v>
      </c>
      <c r="CI63" s="0" t="s">
        <v>303</v>
      </c>
      <c r="CJ63" s="0" t="s">
        <v>1241</v>
      </c>
      <c r="CK63" s="0" t="s">
        <v>1242</v>
      </c>
    </row>
    <row customHeight="1" ht="14.625" hidden="1">
      <c r="E64" s="180">
        <v>15</v>
      </c>
      <c r="F64" s="175" cm="1" t="str">
        <f t="array" ref="F64:F64">F63</f>
        <v>0</v>
      </c>
      <c r="T64" s="753" cm="1" t="str">
        <f t="array" ref="T64:T64">T63</f>
        <v>false</v>
      </c>
      <c r="AB64" s="633" t="str">
        <f>AB60&amp;".4"</f>
        <v>3.4.4</v>
      </c>
      <c r="AC64" s="635" t="s">
        <v>1203</v>
      </c>
      <c r="AD64" s="633" t="s">
        <v>1178</v>
      </c>
      <c r="AE64" s="71"/>
      <c r="AF64" s="71"/>
      <c r="AG64" s="71"/>
      <c r="AH64" s="71"/>
      <c r="AI64" s="353"/>
      <c r="AJ64" s="71"/>
      <c r="AK64" s="71"/>
      <c r="AL64" s="71"/>
      <c r="AM64" s="71"/>
      <c r="AN64" s="71"/>
      <c r="AO64" s="71"/>
      <c r="AP64" s="71"/>
      <c r="AQ64" s="71"/>
      <c r="AR64" s="71"/>
      <c r="AS64" s="71"/>
      <c r="AT64" s="71"/>
      <c r="AU64" s="71"/>
      <c r="AV64" s="71"/>
      <c r="AW64" s="71"/>
      <c r="AX64" s="71"/>
      <c r="AY64" s="71"/>
      <c r="AZ64" s="71"/>
      <c r="BA64" s="71"/>
      <c r="BB64" s="71"/>
      <c r="BC64" s="353"/>
      <c r="BD64" s="71"/>
      <c r="BE64" s="71"/>
      <c r="BF64" s="71"/>
      <c r="BG64" s="71"/>
      <c r="BH64" s="71"/>
      <c r="BI64" s="71"/>
      <c r="BJ64" s="71"/>
      <c r="BK64" s="71"/>
      <c r="BL64" s="71"/>
      <c r="BM64" s="71"/>
      <c r="BN64" s="71"/>
      <c r="BO64" s="71"/>
      <c r="BP64" s="71"/>
      <c r="BQ64" s="71"/>
      <c r="BR64" s="71"/>
      <c r="BS64" s="71"/>
      <c r="BT64" s="71"/>
      <c r="BU64" s="71"/>
      <c r="BV64" s="71"/>
      <c r="BW64" s="83"/>
      <c r="BZ64" s="489" t="s">
        <v>1250</v>
      </c>
      <c r="CC64" s="0" cm="1" t="str">
        <f t="array" ref="CC64:CC64">CC63</f>
        <v>0</v>
      </c>
      <c r="CD64" s="0" t="s">
        <v>1189</v>
      </c>
      <c r="CE64" s="0" t="s">
        <v>1205</v>
      </c>
      <c r="CH64" s="0" t="s">
        <v>449</v>
      </c>
      <c r="CI64" s="0" t="s">
        <v>303</v>
      </c>
      <c r="CJ64" s="0" t="s">
        <v>1241</v>
      </c>
      <c r="CK64" s="0" t="s">
        <v>1242</v>
      </c>
    </row>
    <row customHeight="1" ht="14.625" hidden="1">
      <c r="E65" s="180">
        <v>15</v>
      </c>
      <c r="F65" s="175" cm="1" t="str">
        <f t="array" ref="F65:F65">F64</f>
        <v>0</v>
      </c>
      <c r="T65" s="753" cm="1" t="str">
        <f t="array" ref="T65:T65">T64</f>
        <v>false</v>
      </c>
      <c r="AB65" s="633" t="str">
        <f>AB60&amp;".5"</f>
        <v>3.4.5</v>
      </c>
      <c r="AC65" s="635" t="s">
        <v>1207</v>
      </c>
      <c r="AD65" s="633" t="s">
        <v>1178</v>
      </c>
      <c r="AE65" s="71"/>
      <c r="AF65" s="71"/>
      <c r="AG65" s="71"/>
      <c r="AH65" s="71"/>
      <c r="AI65" s="353"/>
      <c r="AJ65" s="71"/>
      <c r="AK65" s="71"/>
      <c r="AL65" s="71"/>
      <c r="AM65" s="71"/>
      <c r="AN65" s="71"/>
      <c r="AO65" s="71"/>
      <c r="AP65" s="71"/>
      <c r="AQ65" s="71"/>
      <c r="AR65" s="71"/>
      <c r="AS65" s="71"/>
      <c r="AT65" s="71"/>
      <c r="AU65" s="71"/>
      <c r="AV65" s="71"/>
      <c r="AW65" s="71"/>
      <c r="AX65" s="71"/>
      <c r="AY65" s="71"/>
      <c r="AZ65" s="71"/>
      <c r="BA65" s="71"/>
      <c r="BB65" s="71"/>
      <c r="BC65" s="353"/>
      <c r="BD65" s="71"/>
      <c r="BE65" s="71"/>
      <c r="BF65" s="71"/>
      <c r="BG65" s="71"/>
      <c r="BH65" s="71"/>
      <c r="BI65" s="71"/>
      <c r="BJ65" s="71"/>
      <c r="BK65" s="71"/>
      <c r="BL65" s="71"/>
      <c r="BM65" s="71"/>
      <c r="BN65" s="71"/>
      <c r="BO65" s="71"/>
      <c r="BP65" s="71"/>
      <c r="BQ65" s="71"/>
      <c r="BR65" s="71"/>
      <c r="BS65" s="71"/>
      <c r="BT65" s="71"/>
      <c r="BU65" s="71"/>
      <c r="BV65" s="71"/>
      <c r="BW65" s="83"/>
      <c r="BZ65" s="489" t="s">
        <v>1251</v>
      </c>
      <c r="CC65" s="0" cm="1" t="str">
        <f t="array" ref="CC65:CC65">CC64</f>
        <v>0</v>
      </c>
      <c r="CD65" s="0" t="s">
        <v>1189</v>
      </c>
      <c r="CE65" s="0" t="s">
        <v>1209</v>
      </c>
      <c r="CH65" s="0" t="s">
        <v>449</v>
      </c>
      <c r="CI65" s="0" t="s">
        <v>303</v>
      </c>
      <c r="CJ65" s="0" t="s">
        <v>1241</v>
      </c>
      <c r="CK65" s="0" t="s">
        <v>1242</v>
      </c>
    </row>
    <row customHeight="1" ht="14.625" hidden="1">
      <c r="E66" s="180">
        <v>15</v>
      </c>
      <c r="F66" s="175" cm="1" t="str">
        <f t="array" ref="F66:F66">F65</f>
        <v>0</v>
      </c>
      <c r="T66" s="753" cm="1" t="str">
        <f t="array" ref="T66:T66">T65</f>
        <v>false</v>
      </c>
      <c r="AB66" s="633" t="str">
        <f>AB56&amp;".5"</f>
        <v>3.5</v>
      </c>
      <c r="AC66" s="634" t="s">
        <v>1210</v>
      </c>
      <c r="AD66" s="633" t="s">
        <v>1178</v>
      </c>
      <c r="AE66" s="71"/>
      <c r="AF66" s="71"/>
      <c r="AG66" s="71"/>
      <c r="AH66" s="71"/>
      <c r="AI66" s="353"/>
      <c r="AJ66" s="71"/>
      <c r="AK66" s="71"/>
      <c r="AL66" s="71"/>
      <c r="AM66" s="71"/>
      <c r="AN66" s="71"/>
      <c r="AO66" s="71"/>
      <c r="AP66" s="71"/>
      <c r="AQ66" s="71"/>
      <c r="AR66" s="71"/>
      <c r="AS66" s="71"/>
      <c r="AT66" s="71"/>
      <c r="AU66" s="71"/>
      <c r="AV66" s="71"/>
      <c r="AW66" s="71"/>
      <c r="AX66" s="71"/>
      <c r="AY66" s="71"/>
      <c r="AZ66" s="71"/>
      <c r="BA66" s="71"/>
      <c r="BB66" s="71"/>
      <c r="BC66" s="353"/>
      <c r="BD66" s="71"/>
      <c r="BE66" s="71"/>
      <c r="BF66" s="71"/>
      <c r="BG66" s="71"/>
      <c r="BH66" s="71"/>
      <c r="BI66" s="71"/>
      <c r="BJ66" s="71"/>
      <c r="BK66" s="71"/>
      <c r="BL66" s="71"/>
      <c r="BM66" s="71"/>
      <c r="BN66" s="71"/>
      <c r="BO66" s="71"/>
      <c r="BP66" s="71"/>
      <c r="BQ66" s="71"/>
      <c r="BR66" s="71"/>
      <c r="BS66" s="71"/>
      <c r="BT66" s="71"/>
      <c r="BU66" s="71"/>
      <c r="BV66" s="71"/>
      <c r="BW66" s="83"/>
      <c r="BZ66" s="489" t="s">
        <v>1252</v>
      </c>
      <c r="CC66" s="0" cm="1" t="str">
        <f t="array" ref="CC66:CC66">CC65</f>
        <v>0</v>
      </c>
      <c r="CD66" s="0" t="s">
        <v>1212</v>
      </c>
      <c r="CH66" s="0" t="s">
        <v>449</v>
      </c>
      <c r="CI66" s="0" t="s">
        <v>303</v>
      </c>
      <c r="CJ66" s="0" t="s">
        <v>1241</v>
      </c>
      <c r="CK66" s="0" t="s">
        <v>1242</v>
      </c>
    </row>
    <row customHeight="1" ht="14.625" hidden="1">
      <c r="E67" s="180">
        <v>15</v>
      </c>
      <c r="F67" s="175" cm="1" t="str">
        <f t="array" ref="F67:F67">F66</f>
        <v>0</v>
      </c>
      <c r="T67" s="753" cm="1" t="str">
        <f t="array" ref="T67:T67">T66</f>
        <v>false</v>
      </c>
      <c r="AB67" s="633" t="str">
        <f>AB56&amp;".6"</f>
        <v>3.6</v>
      </c>
      <c r="AC67" s="634" t="s">
        <v>1213</v>
      </c>
      <c r="AD67" s="633" t="s">
        <v>1178</v>
      </c>
      <c r="AE67" s="71"/>
      <c r="AF67" s="71"/>
      <c r="AG67" s="71"/>
      <c r="AH67" s="71"/>
      <c r="AI67" s="353"/>
      <c r="AJ67" s="71"/>
      <c r="AK67" s="71"/>
      <c r="AL67" s="71"/>
      <c r="AM67" s="71"/>
      <c r="AN67" s="71"/>
      <c r="AO67" s="71"/>
      <c r="AP67" s="71"/>
      <c r="AQ67" s="71"/>
      <c r="AR67" s="71"/>
      <c r="AS67" s="71"/>
      <c r="AT67" s="71"/>
      <c r="AU67" s="71"/>
      <c r="AV67" s="71"/>
      <c r="AW67" s="71"/>
      <c r="AX67" s="71"/>
      <c r="AY67" s="71"/>
      <c r="AZ67" s="71"/>
      <c r="BA67" s="71"/>
      <c r="BB67" s="71"/>
      <c r="BC67" s="353"/>
      <c r="BD67" s="71"/>
      <c r="BE67" s="71"/>
      <c r="BF67" s="71"/>
      <c r="BG67" s="71"/>
      <c r="BH67" s="71"/>
      <c r="BI67" s="71"/>
      <c r="BJ67" s="71"/>
      <c r="BK67" s="71"/>
      <c r="BL67" s="71"/>
      <c r="BM67" s="71"/>
      <c r="BN67" s="71"/>
      <c r="BO67" s="71"/>
      <c r="BP67" s="71"/>
      <c r="BQ67" s="71"/>
      <c r="BR67" s="71"/>
      <c r="BS67" s="71"/>
      <c r="BT67" s="71"/>
      <c r="BU67" s="71"/>
      <c r="BV67" s="71"/>
      <c r="BW67" s="83"/>
      <c r="BZ67" s="489" t="s">
        <v>1253</v>
      </c>
      <c r="CC67" s="0" cm="1" t="str">
        <f t="array" ref="CC67:CC67">CC66</f>
        <v>0</v>
      </c>
      <c r="CF67" s="0" t="s">
        <v>1215</v>
      </c>
      <c r="CH67" s="0" t="s">
        <v>449</v>
      </c>
      <c r="CI67" s="0" t="s">
        <v>303</v>
      </c>
      <c r="CJ67" s="0" t="s">
        <v>1241</v>
      </c>
      <c r="CK67" s="0" t="s">
        <v>1242</v>
      </c>
    </row>
    <row customHeight="1" ht="14.625" hidden="1">
      <c r="E68" s="180">
        <v>15</v>
      </c>
      <c r="F68" s="175" cm="1" t="str">
        <f t="array" ref="F68:F68">F67</f>
        <v>0</v>
      </c>
      <c r="T68" s="753" cm="1" t="str">
        <f t="array" ref="T68:T68">T67</f>
        <v>false</v>
      </c>
      <c r="AB68" s="633" t="str">
        <f>AB56&amp;".7"</f>
        <v>3.7</v>
      </c>
      <c r="AC68" s="634" t="s">
        <v>1216</v>
      </c>
      <c r="AD68" s="633" t="s">
        <v>1178</v>
      </c>
      <c r="AE68" s="71"/>
      <c r="AF68" s="71"/>
      <c r="AG68" s="71"/>
      <c r="AH68" s="71"/>
      <c r="AI68" s="353"/>
      <c r="AJ68" s="71"/>
      <c r="AK68" s="71"/>
      <c r="AL68" s="71"/>
      <c r="AM68" s="71"/>
      <c r="AN68" s="71"/>
      <c r="AO68" s="71"/>
      <c r="AP68" s="71"/>
      <c r="AQ68" s="71"/>
      <c r="AR68" s="71"/>
      <c r="AS68" s="71"/>
      <c r="AT68" s="71"/>
      <c r="AU68" s="71"/>
      <c r="AV68" s="71"/>
      <c r="AW68" s="71"/>
      <c r="AX68" s="71"/>
      <c r="AY68" s="71"/>
      <c r="AZ68" s="71"/>
      <c r="BA68" s="71"/>
      <c r="BB68" s="71"/>
      <c r="BC68" s="353"/>
      <c r="BD68" s="71"/>
      <c r="BE68" s="71"/>
      <c r="BF68" s="71"/>
      <c r="BG68" s="71"/>
      <c r="BH68" s="71"/>
      <c r="BI68" s="71"/>
      <c r="BJ68" s="71"/>
      <c r="BK68" s="71"/>
      <c r="BL68" s="71"/>
      <c r="BM68" s="71"/>
      <c r="BN68" s="71"/>
      <c r="BO68" s="71"/>
      <c r="BP68" s="71"/>
      <c r="BQ68" s="71"/>
      <c r="BR68" s="71"/>
      <c r="BS68" s="71"/>
      <c r="BT68" s="71"/>
      <c r="BU68" s="71"/>
      <c r="BV68" s="71"/>
      <c r="BW68" s="83"/>
      <c r="BZ68" s="489" t="s">
        <v>1254</v>
      </c>
      <c r="CC68" s="0" cm="1" t="str">
        <f t="array" ref="CC68:CC68">CC67</f>
        <v>0</v>
      </c>
      <c r="CF68" s="0" t="s">
        <v>1218</v>
      </c>
      <c r="CH68" s="0" t="s">
        <v>449</v>
      </c>
      <c r="CI68" s="0" t="s">
        <v>303</v>
      </c>
      <c r="CJ68" s="0" t="s">
        <v>1241</v>
      </c>
      <c r="CK68" s="0" t="s">
        <v>1242</v>
      </c>
    </row>
    <row customHeight="1" ht="14.625" hidden="1">
      <c r="E69" s="180">
        <v>15</v>
      </c>
      <c r="F69" s="175" cm="1" t="str">
        <f t="array" ref="F69:F69">F68</f>
        <v>0</v>
      </c>
      <c r="T69" s="753" cm="1" t="str">
        <f t="array" ref="T69:T69">T68</f>
        <v>false</v>
      </c>
      <c r="AB69" s="633" t="str">
        <f>AB56&amp;".8"</f>
        <v>3.8</v>
      </c>
      <c r="AC69" s="634" t="s">
        <v>1219</v>
      </c>
      <c r="AD69" s="633" t="s">
        <v>1178</v>
      </c>
      <c r="AE69" s="71"/>
      <c r="AF69" s="71"/>
      <c r="AG69" s="71"/>
      <c r="AH69" s="71"/>
      <c r="AI69" s="353"/>
      <c r="AJ69" s="71"/>
      <c r="AK69" s="71"/>
      <c r="AL69" s="71"/>
      <c r="AM69" s="71"/>
      <c r="AN69" s="71"/>
      <c r="AO69" s="71"/>
      <c r="AP69" s="71"/>
      <c r="AQ69" s="71"/>
      <c r="AR69" s="71"/>
      <c r="AS69" s="71"/>
      <c r="AT69" s="71"/>
      <c r="AU69" s="71"/>
      <c r="AV69" s="71"/>
      <c r="AW69" s="71"/>
      <c r="AX69" s="71"/>
      <c r="AY69" s="71"/>
      <c r="AZ69" s="71"/>
      <c r="BA69" s="71"/>
      <c r="BB69" s="71"/>
      <c r="BC69" s="353"/>
      <c r="BD69" s="71"/>
      <c r="BE69" s="71"/>
      <c r="BF69" s="71"/>
      <c r="BG69" s="71"/>
      <c r="BH69" s="71"/>
      <c r="BI69" s="71"/>
      <c r="BJ69" s="71"/>
      <c r="BK69" s="71"/>
      <c r="BL69" s="71"/>
      <c r="BM69" s="71"/>
      <c r="BN69" s="71"/>
      <c r="BO69" s="71"/>
      <c r="BP69" s="71"/>
      <c r="BQ69" s="71"/>
      <c r="BR69" s="71"/>
      <c r="BS69" s="71"/>
      <c r="BT69" s="71"/>
      <c r="BU69" s="71"/>
      <c r="BV69" s="71"/>
      <c r="BW69" s="83"/>
      <c r="BZ69" s="489" t="s">
        <v>1255</v>
      </c>
      <c r="CC69" s="0" cm="1" t="str">
        <f t="array" ref="CC69:CC69">CC68</f>
        <v>0</v>
      </c>
      <c r="CD69" s="0" t="s">
        <v>1221</v>
      </c>
      <c r="CH69" s="0" t="s">
        <v>883</v>
      </c>
      <c r="CI69" s="0" t="s">
        <v>303</v>
      </c>
      <c r="CJ69" s="0" t="s">
        <v>1241</v>
      </c>
      <c r="CK69" s="0" t="s">
        <v>1242</v>
      </c>
    </row>
    <row s="986" customFormat="1" customHeight="1" ht="14.625" hidden="1">
      <c r="E70" s="180">
        <v>15</v>
      </c>
      <c r="F70" s="175" cm="1" t="str">
        <f t="array" ref="F70:F70">F69</f>
        <v>0</v>
      </c>
      <c r="T70" s="753" cm="1" t="str">
        <f t="array" ref="T70:T70">T69</f>
        <v>false</v>
      </c>
      <c r="AB70" s="556">
        <v>4</v>
      </c>
      <c r="AC70" s="555" t="s">
        <v>1256</v>
      </c>
      <c r="AD70" s="551" t="s">
        <v>917</v>
      </c>
      <c r="AE70" s="105">
        <f>SUM(AE71:AE74)+SUM(AE80:AE83)</f>
        <v>0</v>
      </c>
      <c r="AF70" s="105">
        <f>SUM(AF71:AF74)+SUM(AF80:AF83)</f>
        <v>0</v>
      </c>
      <c r="AG70" s="105">
        <f>SUM(AG71:AG74)+SUM(AG80:AG83)</f>
        <v>0</v>
      </c>
      <c r="AH70" s="105">
        <f>SUM(AH71:AH74)+SUM(AH80:AH83)</f>
        <v>0</v>
      </c>
      <c r="AI70" s="588">
        <f>SUM(AI71:AI74)+SUM(AI80:AI83)</f>
        <v>0</v>
      </c>
      <c r="AJ70" s="105">
        <f>SUM(AJ71:AJ74)+SUM(AJ80:AJ83)</f>
        <v>0</v>
      </c>
      <c r="AK70" s="105">
        <f>SUM(AK71:AK74)+SUM(AK80:AK83)</f>
        <v>0</v>
      </c>
      <c r="AL70" s="105">
        <f>SUM(AL71:AL74)+SUM(AL80:AL83)</f>
        <v>0</v>
      </c>
      <c r="AM70" s="105">
        <f>SUM(AM71:AM74)+SUM(AM80:AM83)</f>
        <v>0</v>
      </c>
      <c r="AN70" s="105">
        <f>SUM(AN71:AN74)+SUM(AN80:AN83)</f>
        <v>0</v>
      </c>
      <c r="AO70" s="105">
        <f>SUM(AO71:AO74)+SUM(AO80:AO83)</f>
        <v>0</v>
      </c>
      <c r="AP70" s="105">
        <f>SUM(AP71:AP74)+SUM(AP80:AP83)</f>
        <v>0</v>
      </c>
      <c r="AQ70" s="105">
        <f>SUM(AQ71:AQ74)+SUM(AQ80:AQ83)</f>
        <v>0</v>
      </c>
      <c r="AR70" s="105">
        <f>SUM(AR71:AR74)+SUM(AR80:AR83)</f>
        <v>0</v>
      </c>
      <c r="AS70" s="105">
        <f>SUM(AS71:AS74)+SUM(AS80:AS83)</f>
        <v>0</v>
      </c>
      <c r="AT70" s="105">
        <f>SUM(AT71:AT74)+SUM(AT80:AT83)</f>
        <v>0</v>
      </c>
      <c r="AU70" s="105">
        <f>SUM(AU71:AU74)+SUM(AU80:AU83)</f>
        <v>0</v>
      </c>
      <c r="AV70" s="105">
        <f>SUM(AV71:AV74)+SUM(AV80:AV83)</f>
        <v>0</v>
      </c>
      <c r="AW70" s="105">
        <f>SUM(AW71:AW74)+SUM(AW80:AW83)</f>
        <v>0</v>
      </c>
      <c r="AX70" s="105">
        <f>SUM(AX71:AX74)+SUM(AX80:AX83)</f>
        <v>0</v>
      </c>
      <c r="AY70" s="105">
        <f>SUM(AY71:AY74)+SUM(AY80:AY83)</f>
        <v>0</v>
      </c>
      <c r="AZ70" s="105">
        <f>SUM(AZ71:AZ74)+SUM(AZ80:AZ83)</f>
        <v>0</v>
      </c>
      <c r="BA70" s="105">
        <f>SUM(BA71:BA74)+SUM(BA80:BA83)</f>
        <v>0</v>
      </c>
      <c r="BB70" s="105">
        <f>SUM(BB71:BB74)+SUM(BB80:BB83)</f>
        <v>0</v>
      </c>
      <c r="BC70" s="588">
        <f>SUM(BC71:BC74)+SUM(BC80:BC83)</f>
        <v>0</v>
      </c>
      <c r="BD70" s="105">
        <f>SUM(BD71:BD74)+SUM(BD80:BD83)</f>
        <v>0</v>
      </c>
      <c r="BE70" s="105">
        <f>SUM(BE71:BE74)+SUM(BE80:BE83)</f>
        <v>0</v>
      </c>
      <c r="BF70" s="105">
        <f>SUM(BF71:BF74)+SUM(BF80:BF83)</f>
        <v>0</v>
      </c>
      <c r="BG70" s="105">
        <f>SUM(BG71:BG74)+SUM(BG80:BG83)</f>
        <v>0</v>
      </c>
      <c r="BH70" s="105">
        <f>SUM(BH71:BH74)+SUM(BH80:BH83)</f>
        <v>0</v>
      </c>
      <c r="BI70" s="105">
        <f>SUM(BI71:BI74)+SUM(BI80:BI83)</f>
        <v>0</v>
      </c>
      <c r="BJ70" s="105">
        <f>SUM(BJ71:BJ74)+SUM(BJ80:BJ83)</f>
        <v>0</v>
      </c>
      <c r="BK70" s="105">
        <f>SUM(BK71:BK74)+SUM(BK80:BK83)</f>
        <v>0</v>
      </c>
      <c r="BL70" s="105">
        <f>SUM(BL71:BL74)+SUM(BL80:BL83)</f>
        <v>0</v>
      </c>
      <c r="BM70" s="105">
        <f>SUM(BM71:BM74)+SUM(BM80:BM83)</f>
        <v>0</v>
      </c>
      <c r="BN70" s="105">
        <f>SUM(BN71:BN74)+SUM(BN80:BN83)</f>
        <v>0</v>
      </c>
      <c r="BO70" s="105">
        <f>SUM(BO71:BO74)+SUM(BO80:BO83)</f>
        <v>0</v>
      </c>
      <c r="BP70" s="105">
        <f>SUM(BP71:BP74)+SUM(BP80:BP83)</f>
        <v>0</v>
      </c>
      <c r="BQ70" s="105">
        <f>SUM(BQ71:BQ74)+SUM(BQ80:BQ83)</f>
        <v>0</v>
      </c>
      <c r="BR70" s="105">
        <f>SUM(BR71:BR74)+SUM(BR80:BR83)</f>
        <v>0</v>
      </c>
      <c r="BS70" s="105">
        <f>SUM(BS71:BS74)+SUM(BS80:BS83)</f>
        <v>0</v>
      </c>
      <c r="BT70" s="105">
        <f>SUM(BT71:BT74)+SUM(BT80:BT83)</f>
        <v>0</v>
      </c>
      <c r="BU70" s="105">
        <f>SUM(BU71:BU74)+SUM(BU80:BU83)</f>
        <v>0</v>
      </c>
      <c r="BV70" s="105">
        <f>SUM(BV71:BV74)+SUM(BV80:BV83)</f>
        <v>0</v>
      </c>
      <c r="BW70" s="83"/>
      <c r="BZ70" s="489" t="s">
        <v>1257</v>
      </c>
      <c r="CC70" s="0" cm="1" t="str">
        <f t="array" ref="CC70:CC70">CC69</f>
        <v>0</v>
      </c>
      <c r="CH70" s="0" t="s">
        <v>883</v>
      </c>
      <c r="CI70" s="0" t="s">
        <v>303</v>
      </c>
      <c r="CJ70" s="0" t="s">
        <v>1258</v>
      </c>
      <c r="CK70" s="0" t="s">
        <v>1259</v>
      </c>
    </row>
    <row customHeight="1" ht="14.625" hidden="1">
      <c r="E71" s="180">
        <v>15</v>
      </c>
      <c r="F71" s="175" cm="1" t="str">
        <f t="array" ref="F71:F71">F70</f>
        <v>0</v>
      </c>
      <c r="T71" s="753" cm="1" t="str">
        <f t="array" ref="T71:T71">T70</f>
        <v>false</v>
      </c>
      <c r="AB71" s="633" t="str">
        <f>AB70&amp;".1"</f>
        <v>4.1</v>
      </c>
      <c r="AC71" s="634" t="s">
        <v>1177</v>
      </c>
      <c r="AD71" s="633" t="s">
        <v>1178</v>
      </c>
      <c r="AE71" s="71"/>
      <c r="AF71" s="71"/>
      <c r="AG71" s="71"/>
      <c r="AH71" s="71"/>
      <c r="AI71" s="353"/>
      <c r="AJ71" s="71"/>
      <c r="AK71" s="71"/>
      <c r="AL71" s="71"/>
      <c r="AM71" s="71"/>
      <c r="AN71" s="71"/>
      <c r="AO71" s="71"/>
      <c r="AP71" s="71"/>
      <c r="AQ71" s="71"/>
      <c r="AR71" s="71"/>
      <c r="AS71" s="71"/>
      <c r="AT71" s="71"/>
      <c r="AU71" s="71"/>
      <c r="AV71" s="71"/>
      <c r="AW71" s="71"/>
      <c r="AX71" s="71"/>
      <c r="AY71" s="71"/>
      <c r="AZ71" s="71"/>
      <c r="BA71" s="71"/>
      <c r="BB71" s="71"/>
      <c r="BC71" s="353"/>
      <c r="BD71" s="71"/>
      <c r="BE71" s="71"/>
      <c r="BF71" s="71"/>
      <c r="BG71" s="71"/>
      <c r="BH71" s="71"/>
      <c r="BI71" s="71"/>
      <c r="BJ71" s="71"/>
      <c r="BK71" s="71"/>
      <c r="BL71" s="71"/>
      <c r="BM71" s="71"/>
      <c r="BN71" s="71"/>
      <c r="BO71" s="71"/>
      <c r="BP71" s="71"/>
      <c r="BQ71" s="71"/>
      <c r="BR71" s="71"/>
      <c r="BS71" s="71"/>
      <c r="BT71" s="71"/>
      <c r="BU71" s="71"/>
      <c r="BV71" s="71"/>
      <c r="BW71" s="83"/>
      <c r="BZ71" s="489" t="s">
        <v>1260</v>
      </c>
      <c r="CC71" s="0" cm="1" t="str">
        <f t="array" ref="CC71:CC71">CC70</f>
        <v>0</v>
      </c>
      <c r="CD71" s="0" t="s">
        <v>1180</v>
      </c>
      <c r="CH71" s="0" t="s">
        <v>883</v>
      </c>
      <c r="CI71" s="0" t="s">
        <v>303</v>
      </c>
      <c r="CJ71" s="0" t="s">
        <v>1258</v>
      </c>
      <c r="CK71" s="0" t="s">
        <v>1259</v>
      </c>
    </row>
    <row customHeight="1" ht="14.625" hidden="1">
      <c r="E72" s="180">
        <v>15</v>
      </c>
      <c r="F72" s="175" cm="1" t="str">
        <f t="array" ref="F72:F72">F71</f>
        <v>0</v>
      </c>
      <c r="T72" s="753" cm="1" t="str">
        <f t="array" ref="T72:T72">T71</f>
        <v>false</v>
      </c>
      <c r="AB72" s="633" t="str">
        <f>AB70&amp;".2"</f>
        <v>4.2</v>
      </c>
      <c r="AC72" s="634" t="s">
        <v>1181</v>
      </c>
      <c r="AD72" s="633" t="s">
        <v>1178</v>
      </c>
      <c r="AE72" s="71"/>
      <c r="AF72" s="71"/>
      <c r="AG72" s="71"/>
      <c r="AH72" s="71"/>
      <c r="AI72" s="353"/>
      <c r="AJ72" s="71"/>
      <c r="AK72" s="71"/>
      <c r="AL72" s="71"/>
      <c r="AM72" s="71"/>
      <c r="AN72" s="71"/>
      <c r="AO72" s="71"/>
      <c r="AP72" s="71"/>
      <c r="AQ72" s="71"/>
      <c r="AR72" s="71"/>
      <c r="AS72" s="71"/>
      <c r="AT72" s="71"/>
      <c r="AU72" s="71"/>
      <c r="AV72" s="71"/>
      <c r="AW72" s="71"/>
      <c r="AX72" s="71"/>
      <c r="AY72" s="71"/>
      <c r="AZ72" s="71"/>
      <c r="BA72" s="71"/>
      <c r="BB72" s="71"/>
      <c r="BC72" s="353"/>
      <c r="BD72" s="71"/>
      <c r="BE72" s="71"/>
      <c r="BF72" s="71"/>
      <c r="BG72" s="71"/>
      <c r="BH72" s="71"/>
      <c r="BI72" s="71"/>
      <c r="BJ72" s="71"/>
      <c r="BK72" s="71"/>
      <c r="BL72" s="71"/>
      <c r="BM72" s="71"/>
      <c r="BN72" s="71"/>
      <c r="BO72" s="71"/>
      <c r="BP72" s="71"/>
      <c r="BQ72" s="71"/>
      <c r="BR72" s="71"/>
      <c r="BS72" s="71"/>
      <c r="BT72" s="71"/>
      <c r="BU72" s="71"/>
      <c r="BV72" s="71"/>
      <c r="BW72" s="83"/>
      <c r="BZ72" s="489" t="s">
        <v>1261</v>
      </c>
      <c r="CC72" s="0" cm="1" t="str">
        <f t="array" ref="CC72:CC72">CC71</f>
        <v>0</v>
      </c>
      <c r="CD72" s="0" t="s">
        <v>1183</v>
      </c>
      <c r="CH72" s="0" t="s">
        <v>883</v>
      </c>
      <c r="CI72" s="0" t="s">
        <v>303</v>
      </c>
      <c r="CJ72" s="0" t="s">
        <v>1258</v>
      </c>
      <c r="CK72" s="0" t="s">
        <v>1259</v>
      </c>
    </row>
    <row customHeight="1" ht="14.625" hidden="1">
      <c r="E73" s="180">
        <v>15</v>
      </c>
      <c r="F73" s="175" cm="1" t="str">
        <f t="array" ref="F73:F73">F72</f>
        <v>0</v>
      </c>
      <c r="T73" s="753" cm="1" t="str">
        <f t="array" ref="T73:T73">T72</f>
        <v>false</v>
      </c>
      <c r="AB73" s="633" t="str">
        <f>AB70&amp;".3"</f>
        <v>4.3</v>
      </c>
      <c r="AC73" s="634" t="s">
        <v>1184</v>
      </c>
      <c r="AD73" s="633" t="s">
        <v>1178</v>
      </c>
      <c r="AE73" s="71"/>
      <c r="AF73" s="71"/>
      <c r="AG73" s="71"/>
      <c r="AH73" s="71"/>
      <c r="AI73" s="353"/>
      <c r="AJ73" s="71"/>
      <c r="AK73" s="71"/>
      <c r="AL73" s="71"/>
      <c r="AM73" s="71"/>
      <c r="AN73" s="71"/>
      <c r="AO73" s="71"/>
      <c r="AP73" s="71"/>
      <c r="AQ73" s="71"/>
      <c r="AR73" s="71"/>
      <c r="AS73" s="71"/>
      <c r="AT73" s="71"/>
      <c r="AU73" s="71"/>
      <c r="AV73" s="71"/>
      <c r="AW73" s="71"/>
      <c r="AX73" s="71"/>
      <c r="AY73" s="71"/>
      <c r="AZ73" s="71"/>
      <c r="BA73" s="71"/>
      <c r="BB73" s="71"/>
      <c r="BC73" s="353"/>
      <c r="BD73" s="71"/>
      <c r="BE73" s="71"/>
      <c r="BF73" s="71"/>
      <c r="BG73" s="71"/>
      <c r="BH73" s="71"/>
      <c r="BI73" s="71"/>
      <c r="BJ73" s="71"/>
      <c r="BK73" s="71"/>
      <c r="BL73" s="71"/>
      <c r="BM73" s="71"/>
      <c r="BN73" s="71"/>
      <c r="BO73" s="71"/>
      <c r="BP73" s="71"/>
      <c r="BQ73" s="71"/>
      <c r="BR73" s="71"/>
      <c r="BS73" s="71"/>
      <c r="BT73" s="71"/>
      <c r="BU73" s="71"/>
      <c r="BV73" s="71"/>
      <c r="BW73" s="83"/>
      <c r="BZ73" s="489" t="s">
        <v>1262</v>
      </c>
      <c r="CC73" s="0" cm="1" t="str">
        <f t="array" ref="CC73:CC73">CC72</f>
        <v>0</v>
      </c>
      <c r="CD73" s="0" t="s">
        <v>1186</v>
      </c>
      <c r="CH73" s="0" t="s">
        <v>883</v>
      </c>
      <c r="CI73" s="0" t="s">
        <v>303</v>
      </c>
      <c r="CJ73" s="0" t="s">
        <v>1258</v>
      </c>
      <c r="CK73" s="0" t="s">
        <v>1259</v>
      </c>
    </row>
    <row customHeight="1" ht="14.625" hidden="1">
      <c r="E74" s="180">
        <v>15</v>
      </c>
      <c r="F74" s="175" cm="1" t="str">
        <f t="array" ref="F74:F74">F73</f>
        <v>0</v>
      </c>
      <c r="T74" s="753" cm="1" t="str">
        <f t="array" ref="T74:T74">T73</f>
        <v>false</v>
      </c>
      <c r="AB74" s="633" t="str">
        <f>AB70&amp;".4"</f>
        <v>4.4</v>
      </c>
      <c r="AC74" s="634" t="s">
        <v>1187</v>
      </c>
      <c r="AD74" s="633" t="s">
        <v>1178</v>
      </c>
      <c r="AE74" s="87">
        <f>SUM(AE75:AE79)</f>
        <v>0</v>
      </c>
      <c r="AF74" s="87">
        <f>SUM(AF75:AF79)</f>
        <v>0</v>
      </c>
      <c r="AG74" s="87">
        <f>SUM(AG75:AG79)</f>
        <v>0</v>
      </c>
      <c r="AH74" s="87">
        <f>SUM(AH75:AH79)</f>
        <v>0</v>
      </c>
      <c r="AI74" s="484">
        <f>SUM(AI75:AI79)</f>
        <v>0</v>
      </c>
      <c r="AJ74" s="87">
        <f>SUM(AJ75:AJ79)</f>
        <v>0</v>
      </c>
      <c r="AK74" s="87">
        <f>SUM(AK75:AK79)</f>
        <v>0</v>
      </c>
      <c r="AL74" s="87">
        <f>SUM(AL75:AL79)</f>
        <v>0</v>
      </c>
      <c r="AM74" s="87">
        <f>SUM(AM75:AM79)</f>
        <v>0</v>
      </c>
      <c r="AN74" s="87">
        <f>SUM(AN75:AN79)</f>
        <v>0</v>
      </c>
      <c r="AO74" s="87">
        <f>SUM(AO75:AO79)</f>
        <v>0</v>
      </c>
      <c r="AP74" s="87">
        <f>SUM(AP75:AP79)</f>
        <v>0</v>
      </c>
      <c r="AQ74" s="87">
        <f>SUM(AQ75:AQ79)</f>
        <v>0</v>
      </c>
      <c r="AR74" s="87">
        <f>SUM(AR75:AR79)</f>
        <v>0</v>
      </c>
      <c r="AS74" s="87">
        <f>SUM(AS75:AS79)</f>
        <v>0</v>
      </c>
      <c r="AT74" s="87">
        <f>SUM(AT75:AT79)</f>
        <v>0</v>
      </c>
      <c r="AU74" s="87">
        <f>SUM(AU75:AU79)</f>
        <v>0</v>
      </c>
      <c r="AV74" s="87">
        <f>SUM(AV75:AV79)</f>
        <v>0</v>
      </c>
      <c r="AW74" s="87">
        <f>SUM(AW75:AW79)</f>
        <v>0</v>
      </c>
      <c r="AX74" s="87">
        <f>SUM(AX75:AX79)</f>
        <v>0</v>
      </c>
      <c r="AY74" s="87">
        <f>SUM(AY75:AY79)</f>
        <v>0</v>
      </c>
      <c r="AZ74" s="87">
        <f>SUM(AZ75:AZ79)</f>
        <v>0</v>
      </c>
      <c r="BA74" s="87">
        <f>SUM(BA75:BA79)</f>
        <v>0</v>
      </c>
      <c r="BB74" s="87">
        <f>SUM(BB75:BB79)</f>
        <v>0</v>
      </c>
      <c r="BC74" s="484">
        <f>SUM(BC75:BC79)</f>
        <v>0</v>
      </c>
      <c r="BD74" s="87">
        <f>SUM(BD75:BD79)</f>
        <v>0</v>
      </c>
      <c r="BE74" s="87">
        <f>SUM(BE75:BE79)</f>
        <v>0</v>
      </c>
      <c r="BF74" s="87">
        <f>SUM(BF75:BF79)</f>
        <v>0</v>
      </c>
      <c r="BG74" s="87">
        <f>SUM(BG75:BG79)</f>
        <v>0</v>
      </c>
      <c r="BH74" s="87">
        <f>SUM(BH75:BH79)</f>
        <v>0</v>
      </c>
      <c r="BI74" s="87">
        <f>SUM(BI75:BI79)</f>
        <v>0</v>
      </c>
      <c r="BJ74" s="87">
        <f>SUM(BJ75:BJ79)</f>
        <v>0</v>
      </c>
      <c r="BK74" s="87">
        <f>SUM(BK75:BK79)</f>
        <v>0</v>
      </c>
      <c r="BL74" s="87">
        <f>SUM(BL75:BL79)</f>
        <v>0</v>
      </c>
      <c r="BM74" s="87">
        <f>SUM(BM75:BM79)</f>
        <v>0</v>
      </c>
      <c r="BN74" s="87">
        <f>SUM(BN75:BN79)</f>
        <v>0</v>
      </c>
      <c r="BO74" s="87">
        <f>SUM(BO75:BO79)</f>
        <v>0</v>
      </c>
      <c r="BP74" s="87">
        <f>SUM(BP75:BP79)</f>
        <v>0</v>
      </c>
      <c r="BQ74" s="87">
        <f>SUM(BQ75:BQ79)</f>
        <v>0</v>
      </c>
      <c r="BR74" s="87">
        <f>SUM(BR75:BR79)</f>
        <v>0</v>
      </c>
      <c r="BS74" s="87">
        <f>SUM(BS75:BS79)</f>
        <v>0</v>
      </c>
      <c r="BT74" s="87">
        <f>SUM(BT75:BT79)</f>
        <v>0</v>
      </c>
      <c r="BU74" s="87">
        <f>SUM(BU75:BU79)</f>
        <v>0</v>
      </c>
      <c r="BV74" s="87">
        <f>SUM(BV75:BV79)</f>
        <v>0</v>
      </c>
      <c r="BW74" s="83"/>
      <c r="BZ74" s="489" t="s">
        <v>1263</v>
      </c>
      <c r="CC74" s="0" cm="1" t="str">
        <f t="array" ref="CC74:CC74">CC73</f>
        <v>0</v>
      </c>
      <c r="CD74" s="0" t="s">
        <v>1189</v>
      </c>
      <c r="CH74" s="0" t="s">
        <v>883</v>
      </c>
      <c r="CI74" s="0" t="s">
        <v>303</v>
      </c>
      <c r="CJ74" s="0" t="s">
        <v>1258</v>
      </c>
      <c r="CK74" s="0" t="s">
        <v>1259</v>
      </c>
    </row>
    <row customHeight="1" ht="14.625" hidden="1">
      <c r="E75" s="180">
        <v>15</v>
      </c>
      <c r="F75" s="175" cm="1" t="str">
        <f t="array" ref="F75:F75">F74</f>
        <v>0</v>
      </c>
      <c r="T75" s="753" cm="1" t="str">
        <f t="array" ref="T75:T75">T74</f>
        <v>false</v>
      </c>
      <c r="AB75" s="633" t="str">
        <f>AB74&amp;".1"</f>
        <v>4.4.1</v>
      </c>
      <c r="AC75" s="635" t="s">
        <v>1191</v>
      </c>
      <c r="AD75" s="633" t="s">
        <v>1178</v>
      </c>
      <c r="AE75" s="71"/>
      <c r="AF75" s="71"/>
      <c r="AG75" s="71"/>
      <c r="AH75" s="71"/>
      <c r="AI75" s="353"/>
      <c r="AJ75" s="71"/>
      <c r="AK75" s="71"/>
      <c r="AL75" s="71"/>
      <c r="AM75" s="71"/>
      <c r="AN75" s="71"/>
      <c r="AO75" s="71"/>
      <c r="AP75" s="71"/>
      <c r="AQ75" s="71"/>
      <c r="AR75" s="71"/>
      <c r="AS75" s="71"/>
      <c r="AT75" s="71"/>
      <c r="AU75" s="71"/>
      <c r="AV75" s="71"/>
      <c r="AW75" s="71"/>
      <c r="AX75" s="71"/>
      <c r="AY75" s="71"/>
      <c r="AZ75" s="71"/>
      <c r="BA75" s="71"/>
      <c r="BB75" s="71"/>
      <c r="BC75" s="353"/>
      <c r="BD75" s="71"/>
      <c r="BE75" s="71"/>
      <c r="BF75" s="71"/>
      <c r="BG75" s="71"/>
      <c r="BH75" s="71"/>
      <c r="BI75" s="71"/>
      <c r="BJ75" s="71"/>
      <c r="BK75" s="71"/>
      <c r="BL75" s="71"/>
      <c r="BM75" s="71"/>
      <c r="BN75" s="71"/>
      <c r="BO75" s="71"/>
      <c r="BP75" s="71"/>
      <c r="BQ75" s="71"/>
      <c r="BR75" s="71"/>
      <c r="BS75" s="71"/>
      <c r="BT75" s="71"/>
      <c r="BU75" s="71"/>
      <c r="BV75" s="71"/>
      <c r="BW75" s="83"/>
      <c r="BZ75" s="489" t="s">
        <v>1264</v>
      </c>
      <c r="CC75" s="0" cm="1" t="str">
        <f t="array" ref="CC75:CC75">CC74</f>
        <v>0</v>
      </c>
      <c r="CD75" s="0" t="s">
        <v>1189</v>
      </c>
      <c r="CE75" s="0" t="s">
        <v>1193</v>
      </c>
      <c r="CH75" s="0" t="s">
        <v>883</v>
      </c>
      <c r="CI75" s="0" t="s">
        <v>303</v>
      </c>
      <c r="CJ75" s="0" t="s">
        <v>1258</v>
      </c>
      <c r="CK75" s="0" t="s">
        <v>1259</v>
      </c>
    </row>
    <row customHeight="1" ht="14.625" hidden="1">
      <c r="E76" s="180">
        <v>15</v>
      </c>
      <c r="F76" s="175" cm="1" t="str">
        <f t="array" ref="F76:F76">F75</f>
        <v>0</v>
      </c>
      <c r="T76" s="753" cm="1" t="str">
        <f t="array" ref="T76:T76">T75</f>
        <v>false</v>
      </c>
      <c r="AB76" s="633" t="str">
        <f>AB74&amp;".2"</f>
        <v>4.4.2</v>
      </c>
      <c r="AC76" s="635" t="s">
        <v>1195</v>
      </c>
      <c r="AD76" s="633" t="s">
        <v>1178</v>
      </c>
      <c r="AE76" s="71"/>
      <c r="AF76" s="71"/>
      <c r="AG76" s="71"/>
      <c r="AH76" s="71"/>
      <c r="AI76" s="353"/>
      <c r="AJ76" s="71"/>
      <c r="AK76" s="71"/>
      <c r="AL76" s="71"/>
      <c r="AM76" s="71"/>
      <c r="AN76" s="71"/>
      <c r="AO76" s="71"/>
      <c r="AP76" s="71"/>
      <c r="AQ76" s="71"/>
      <c r="AR76" s="71"/>
      <c r="AS76" s="71"/>
      <c r="AT76" s="71"/>
      <c r="AU76" s="71"/>
      <c r="AV76" s="71"/>
      <c r="AW76" s="71"/>
      <c r="AX76" s="71"/>
      <c r="AY76" s="71"/>
      <c r="AZ76" s="71"/>
      <c r="BA76" s="71"/>
      <c r="BB76" s="71"/>
      <c r="BC76" s="353"/>
      <c r="BD76" s="71"/>
      <c r="BE76" s="71"/>
      <c r="BF76" s="71"/>
      <c r="BG76" s="71"/>
      <c r="BH76" s="71"/>
      <c r="BI76" s="71"/>
      <c r="BJ76" s="71"/>
      <c r="BK76" s="71"/>
      <c r="BL76" s="71"/>
      <c r="BM76" s="71"/>
      <c r="BN76" s="71"/>
      <c r="BO76" s="71"/>
      <c r="BP76" s="71"/>
      <c r="BQ76" s="71"/>
      <c r="BR76" s="71"/>
      <c r="BS76" s="71"/>
      <c r="BT76" s="71"/>
      <c r="BU76" s="71"/>
      <c r="BV76" s="71"/>
      <c r="BW76" s="83"/>
      <c r="BZ76" s="489" t="s">
        <v>1265</v>
      </c>
      <c r="CC76" s="0" cm="1" t="str">
        <f t="array" ref="CC76:CC76">CC75</f>
        <v>0</v>
      </c>
      <c r="CD76" s="0" t="s">
        <v>1189</v>
      </c>
      <c r="CE76" s="0" t="s">
        <v>1197</v>
      </c>
      <c r="CH76" s="0" t="s">
        <v>883</v>
      </c>
      <c r="CI76" s="0" t="s">
        <v>303</v>
      </c>
      <c r="CJ76" s="0" t="s">
        <v>1258</v>
      </c>
      <c r="CK76" s="0" t="s">
        <v>1259</v>
      </c>
    </row>
    <row customHeight="1" ht="14.625" hidden="1">
      <c r="E77" s="180">
        <v>15</v>
      </c>
      <c r="F77" s="175" cm="1" t="str">
        <f t="array" ref="F77:F77">F76</f>
        <v>0</v>
      </c>
      <c r="T77" s="753" cm="1" t="str">
        <f t="array" ref="T77:T77">T76</f>
        <v>false</v>
      </c>
      <c r="AB77" s="633" t="str">
        <f>AB74&amp;".3"</f>
        <v>4.4.3</v>
      </c>
      <c r="AC77" s="635" t="s">
        <v>1199</v>
      </c>
      <c r="AD77" s="633" t="s">
        <v>1178</v>
      </c>
      <c r="AE77" s="71"/>
      <c r="AF77" s="71"/>
      <c r="AG77" s="71"/>
      <c r="AH77" s="71"/>
      <c r="AI77" s="353"/>
      <c r="AJ77" s="71"/>
      <c r="AK77" s="71"/>
      <c r="AL77" s="71"/>
      <c r="AM77" s="71"/>
      <c r="AN77" s="71"/>
      <c r="AO77" s="71"/>
      <c r="AP77" s="71"/>
      <c r="AQ77" s="71"/>
      <c r="AR77" s="71"/>
      <c r="AS77" s="71"/>
      <c r="AT77" s="71"/>
      <c r="AU77" s="71"/>
      <c r="AV77" s="71"/>
      <c r="AW77" s="71"/>
      <c r="AX77" s="71"/>
      <c r="AY77" s="71"/>
      <c r="AZ77" s="71"/>
      <c r="BA77" s="71"/>
      <c r="BB77" s="71"/>
      <c r="BC77" s="353"/>
      <c r="BD77" s="71"/>
      <c r="BE77" s="71"/>
      <c r="BF77" s="71"/>
      <c r="BG77" s="71"/>
      <c r="BH77" s="71"/>
      <c r="BI77" s="71"/>
      <c r="BJ77" s="71"/>
      <c r="BK77" s="71"/>
      <c r="BL77" s="71"/>
      <c r="BM77" s="71"/>
      <c r="BN77" s="71"/>
      <c r="BO77" s="71"/>
      <c r="BP77" s="71"/>
      <c r="BQ77" s="71"/>
      <c r="BR77" s="71"/>
      <c r="BS77" s="71"/>
      <c r="BT77" s="71"/>
      <c r="BU77" s="71"/>
      <c r="BV77" s="71"/>
      <c r="BW77" s="83"/>
      <c r="BZ77" s="489" t="s">
        <v>1266</v>
      </c>
      <c r="CC77" s="0" cm="1" t="str">
        <f t="array" ref="CC77:CC77">CC76</f>
        <v>0</v>
      </c>
      <c r="CD77" s="0" t="s">
        <v>1189</v>
      </c>
      <c r="CE77" s="0" t="s">
        <v>1201</v>
      </c>
      <c r="CH77" s="0" t="s">
        <v>883</v>
      </c>
      <c r="CI77" s="0" t="s">
        <v>303</v>
      </c>
      <c r="CJ77" s="0" t="s">
        <v>1258</v>
      </c>
      <c r="CK77" s="0" t="s">
        <v>1259</v>
      </c>
    </row>
    <row customHeight="1" ht="14.625" hidden="1">
      <c r="E78" s="180">
        <v>15</v>
      </c>
      <c r="F78" s="175" cm="1" t="str">
        <f t="array" ref="F78:F78">F77</f>
        <v>0</v>
      </c>
      <c r="T78" s="753" cm="1" t="str">
        <f t="array" ref="T78:T78">T77</f>
        <v>false</v>
      </c>
      <c r="AB78" s="633" t="str">
        <f>AB74&amp;".4"</f>
        <v>4.4.4</v>
      </c>
      <c r="AC78" s="635" t="s">
        <v>1203</v>
      </c>
      <c r="AD78" s="633" t="s">
        <v>1178</v>
      </c>
      <c r="AE78" s="71"/>
      <c r="AF78" s="71"/>
      <c r="AG78" s="71"/>
      <c r="AH78" s="71"/>
      <c r="AI78" s="353"/>
      <c r="AJ78" s="71"/>
      <c r="AK78" s="71"/>
      <c r="AL78" s="71"/>
      <c r="AM78" s="71"/>
      <c r="AN78" s="71"/>
      <c r="AO78" s="71"/>
      <c r="AP78" s="71"/>
      <c r="AQ78" s="71"/>
      <c r="AR78" s="71"/>
      <c r="AS78" s="71"/>
      <c r="AT78" s="71"/>
      <c r="AU78" s="71"/>
      <c r="AV78" s="71"/>
      <c r="AW78" s="71"/>
      <c r="AX78" s="71"/>
      <c r="AY78" s="71"/>
      <c r="AZ78" s="71"/>
      <c r="BA78" s="71"/>
      <c r="BB78" s="71"/>
      <c r="BC78" s="353"/>
      <c r="BD78" s="71"/>
      <c r="BE78" s="71"/>
      <c r="BF78" s="71"/>
      <c r="BG78" s="71"/>
      <c r="BH78" s="71"/>
      <c r="BI78" s="71"/>
      <c r="BJ78" s="71"/>
      <c r="BK78" s="71"/>
      <c r="BL78" s="71"/>
      <c r="BM78" s="71"/>
      <c r="BN78" s="71"/>
      <c r="BO78" s="71"/>
      <c r="BP78" s="71"/>
      <c r="BQ78" s="71"/>
      <c r="BR78" s="71"/>
      <c r="BS78" s="71"/>
      <c r="BT78" s="71"/>
      <c r="BU78" s="71"/>
      <c r="BV78" s="71"/>
      <c r="BW78" s="83"/>
      <c r="BZ78" s="489" t="s">
        <v>1267</v>
      </c>
      <c r="CC78" s="0" cm="1" t="str">
        <f t="array" ref="CC78:CC78">CC77</f>
        <v>0</v>
      </c>
      <c r="CD78" s="0" t="s">
        <v>1189</v>
      </c>
      <c r="CE78" s="0" t="s">
        <v>1205</v>
      </c>
      <c r="CH78" s="0" t="s">
        <v>883</v>
      </c>
      <c r="CI78" s="0" t="s">
        <v>303</v>
      </c>
      <c r="CJ78" s="0" t="s">
        <v>1258</v>
      </c>
      <c r="CK78" s="0" t="s">
        <v>1259</v>
      </c>
    </row>
    <row customHeight="1" ht="14.625" hidden="1">
      <c r="E79" s="180">
        <v>15</v>
      </c>
      <c r="F79" s="175" cm="1" t="str">
        <f t="array" ref="F79:F79">F78</f>
        <v>0</v>
      </c>
      <c r="T79" s="753" cm="1" t="str">
        <f t="array" ref="T79:T79">T78</f>
        <v>false</v>
      </c>
      <c r="AB79" s="633" t="str">
        <f>AB74&amp;".5"</f>
        <v>4.4.5</v>
      </c>
      <c r="AC79" s="635" t="s">
        <v>1207</v>
      </c>
      <c r="AD79" s="633" t="s">
        <v>1178</v>
      </c>
      <c r="AE79" s="71"/>
      <c r="AF79" s="71"/>
      <c r="AG79" s="71"/>
      <c r="AH79" s="71"/>
      <c r="AI79" s="353"/>
      <c r="AJ79" s="71"/>
      <c r="AK79" s="71"/>
      <c r="AL79" s="71"/>
      <c r="AM79" s="71"/>
      <c r="AN79" s="71"/>
      <c r="AO79" s="71"/>
      <c r="AP79" s="71"/>
      <c r="AQ79" s="71"/>
      <c r="AR79" s="71"/>
      <c r="AS79" s="71"/>
      <c r="AT79" s="71"/>
      <c r="AU79" s="71"/>
      <c r="AV79" s="71"/>
      <c r="AW79" s="71"/>
      <c r="AX79" s="71"/>
      <c r="AY79" s="71"/>
      <c r="AZ79" s="71"/>
      <c r="BA79" s="71"/>
      <c r="BB79" s="71"/>
      <c r="BC79" s="353"/>
      <c r="BD79" s="71"/>
      <c r="BE79" s="71"/>
      <c r="BF79" s="71"/>
      <c r="BG79" s="71"/>
      <c r="BH79" s="71"/>
      <c r="BI79" s="71"/>
      <c r="BJ79" s="71"/>
      <c r="BK79" s="71"/>
      <c r="BL79" s="71"/>
      <c r="BM79" s="71"/>
      <c r="BN79" s="71"/>
      <c r="BO79" s="71"/>
      <c r="BP79" s="71"/>
      <c r="BQ79" s="71"/>
      <c r="BR79" s="71"/>
      <c r="BS79" s="71"/>
      <c r="BT79" s="71"/>
      <c r="BU79" s="71"/>
      <c r="BV79" s="71"/>
      <c r="BW79" s="83"/>
      <c r="BZ79" s="489" t="s">
        <v>1268</v>
      </c>
      <c r="CC79" s="0" cm="1" t="str">
        <f t="array" ref="CC79:CC79">CC78</f>
        <v>0</v>
      </c>
      <c r="CD79" s="0" t="s">
        <v>1189</v>
      </c>
      <c r="CE79" s="0" t="s">
        <v>1209</v>
      </c>
      <c r="CH79" s="0" t="s">
        <v>883</v>
      </c>
      <c r="CI79" s="0" t="s">
        <v>303</v>
      </c>
      <c r="CJ79" s="0" t="s">
        <v>1258</v>
      </c>
      <c r="CK79" s="0" t="s">
        <v>1259</v>
      </c>
    </row>
    <row customHeight="1" ht="14.625" hidden="1">
      <c r="E80" s="180">
        <v>15</v>
      </c>
      <c r="F80" s="175" cm="1" t="str">
        <f t="array" ref="F80:F80">F79</f>
        <v>0</v>
      </c>
      <c r="T80" s="753" cm="1" t="str">
        <f t="array" ref="T80:T80">T79</f>
        <v>false</v>
      </c>
      <c r="AB80" s="633" t="str">
        <f>AB70&amp;".5"</f>
        <v>4.5</v>
      </c>
      <c r="AC80" s="634" t="s">
        <v>1210</v>
      </c>
      <c r="AD80" s="633" t="s">
        <v>1178</v>
      </c>
      <c r="AE80" s="71"/>
      <c r="AF80" s="71"/>
      <c r="AG80" s="71"/>
      <c r="AH80" s="71"/>
      <c r="AI80" s="353"/>
      <c r="AJ80" s="71"/>
      <c r="AK80" s="71"/>
      <c r="AL80" s="71"/>
      <c r="AM80" s="71"/>
      <c r="AN80" s="71"/>
      <c r="AO80" s="71"/>
      <c r="AP80" s="71"/>
      <c r="AQ80" s="71"/>
      <c r="AR80" s="71"/>
      <c r="AS80" s="71"/>
      <c r="AT80" s="71"/>
      <c r="AU80" s="71"/>
      <c r="AV80" s="71"/>
      <c r="AW80" s="71"/>
      <c r="AX80" s="71"/>
      <c r="AY80" s="71"/>
      <c r="AZ80" s="71"/>
      <c r="BA80" s="71"/>
      <c r="BB80" s="71"/>
      <c r="BC80" s="353"/>
      <c r="BD80" s="71"/>
      <c r="BE80" s="71"/>
      <c r="BF80" s="71"/>
      <c r="BG80" s="71"/>
      <c r="BH80" s="71"/>
      <c r="BI80" s="71"/>
      <c r="BJ80" s="71"/>
      <c r="BK80" s="71"/>
      <c r="BL80" s="71"/>
      <c r="BM80" s="71"/>
      <c r="BN80" s="71"/>
      <c r="BO80" s="71"/>
      <c r="BP80" s="71"/>
      <c r="BQ80" s="71"/>
      <c r="BR80" s="71"/>
      <c r="BS80" s="71"/>
      <c r="BT80" s="71"/>
      <c r="BU80" s="71"/>
      <c r="BV80" s="71"/>
      <c r="BW80" s="83"/>
      <c r="BZ80" s="489" t="s">
        <v>1269</v>
      </c>
      <c r="CC80" s="0" cm="1" t="str">
        <f t="array" ref="CC80:CC80">CC79</f>
        <v>0</v>
      </c>
      <c r="CD80" s="0" t="s">
        <v>1212</v>
      </c>
      <c r="CH80" s="0" t="s">
        <v>883</v>
      </c>
      <c r="CI80" s="0" t="s">
        <v>303</v>
      </c>
      <c r="CJ80" s="0" t="s">
        <v>1258</v>
      </c>
      <c r="CK80" s="0" t="s">
        <v>1259</v>
      </c>
    </row>
    <row customHeight="1" ht="14.625" hidden="1">
      <c r="E81" s="180">
        <v>15</v>
      </c>
      <c r="F81" s="175" cm="1" t="str">
        <f t="array" ref="F81:F81">F80</f>
        <v>0</v>
      </c>
      <c r="T81" s="753" cm="1" t="str">
        <f t="array" ref="T81:T81">T80</f>
        <v>false</v>
      </c>
      <c r="AB81" s="633" t="str">
        <f>AB70&amp;".6"</f>
        <v>4.6</v>
      </c>
      <c r="AC81" s="634" t="s">
        <v>1213</v>
      </c>
      <c r="AD81" s="633" t="s">
        <v>1178</v>
      </c>
      <c r="AE81" s="71"/>
      <c r="AF81" s="71"/>
      <c r="AG81" s="71"/>
      <c r="AH81" s="71"/>
      <c r="AI81" s="353"/>
      <c r="AJ81" s="71"/>
      <c r="AK81" s="71"/>
      <c r="AL81" s="71"/>
      <c r="AM81" s="71"/>
      <c r="AN81" s="71"/>
      <c r="AO81" s="71"/>
      <c r="AP81" s="71"/>
      <c r="AQ81" s="71"/>
      <c r="AR81" s="71"/>
      <c r="AS81" s="71"/>
      <c r="AT81" s="71"/>
      <c r="AU81" s="71"/>
      <c r="AV81" s="71"/>
      <c r="AW81" s="71"/>
      <c r="AX81" s="71"/>
      <c r="AY81" s="71"/>
      <c r="AZ81" s="71"/>
      <c r="BA81" s="71"/>
      <c r="BB81" s="71"/>
      <c r="BC81" s="353"/>
      <c r="BD81" s="71"/>
      <c r="BE81" s="71"/>
      <c r="BF81" s="71"/>
      <c r="BG81" s="71"/>
      <c r="BH81" s="71"/>
      <c r="BI81" s="71"/>
      <c r="BJ81" s="71"/>
      <c r="BK81" s="71"/>
      <c r="BL81" s="71"/>
      <c r="BM81" s="71"/>
      <c r="BN81" s="71"/>
      <c r="BO81" s="71"/>
      <c r="BP81" s="71"/>
      <c r="BQ81" s="71"/>
      <c r="BR81" s="71"/>
      <c r="BS81" s="71"/>
      <c r="BT81" s="71"/>
      <c r="BU81" s="71"/>
      <c r="BV81" s="71"/>
      <c r="BW81" s="83"/>
      <c r="BZ81" s="489" t="s">
        <v>1270</v>
      </c>
      <c r="CC81" s="2308" cm="1" t="str">
        <f t="array" ref="CC81:CC81">CC80</f>
        <v>0</v>
      </c>
      <c r="CF81" s="2308" t="s">
        <v>1215</v>
      </c>
      <c r="CH81" s="2308" t="s">
        <v>883</v>
      </c>
      <c r="CI81" s="2308" t="s">
        <v>303</v>
      </c>
      <c r="CJ81" s="2308" t="s">
        <v>1258</v>
      </c>
      <c r="CK81" s="2308" t="s">
        <v>1259</v>
      </c>
    </row>
    <row customHeight="1" ht="14.625" hidden="1">
      <c r="E82" s="180">
        <v>15</v>
      </c>
      <c r="F82" s="175" cm="1" t="str">
        <f t="array" ref="F82:F82">F81</f>
        <v>0</v>
      </c>
      <c r="T82" s="753" cm="1" t="str">
        <f t="array" ref="T82:T82">T81</f>
        <v>false</v>
      </c>
      <c r="AB82" s="633" t="str">
        <f>AB70&amp;".7"</f>
        <v>4.7</v>
      </c>
      <c r="AC82" s="634" t="s">
        <v>1216</v>
      </c>
      <c r="AD82" s="633" t="s">
        <v>1178</v>
      </c>
      <c r="AE82" s="71"/>
      <c r="AF82" s="71"/>
      <c r="AG82" s="71"/>
      <c r="AH82" s="71"/>
      <c r="AI82" s="353"/>
      <c r="AJ82" s="71"/>
      <c r="AK82" s="71"/>
      <c r="AL82" s="71"/>
      <c r="AM82" s="71"/>
      <c r="AN82" s="71"/>
      <c r="AO82" s="71"/>
      <c r="AP82" s="71"/>
      <c r="AQ82" s="71"/>
      <c r="AR82" s="71"/>
      <c r="AS82" s="71"/>
      <c r="AT82" s="71"/>
      <c r="AU82" s="71"/>
      <c r="AV82" s="71"/>
      <c r="AW82" s="71"/>
      <c r="AX82" s="71"/>
      <c r="AY82" s="71"/>
      <c r="AZ82" s="71"/>
      <c r="BA82" s="71"/>
      <c r="BB82" s="71"/>
      <c r="BC82" s="353"/>
      <c r="BD82" s="71"/>
      <c r="BE82" s="71"/>
      <c r="BF82" s="71"/>
      <c r="BG82" s="71"/>
      <c r="BH82" s="71"/>
      <c r="BI82" s="71"/>
      <c r="BJ82" s="71"/>
      <c r="BK82" s="71"/>
      <c r="BL82" s="71"/>
      <c r="BM82" s="71"/>
      <c r="BN82" s="71"/>
      <c r="BO82" s="71"/>
      <c r="BP82" s="71"/>
      <c r="BQ82" s="71"/>
      <c r="BR82" s="71"/>
      <c r="BS82" s="71"/>
      <c r="BT82" s="71"/>
      <c r="BU82" s="71"/>
      <c r="BV82" s="71"/>
      <c r="BW82" s="83"/>
      <c r="BZ82" s="489" t="s">
        <v>1271</v>
      </c>
      <c r="CC82" s="2308" cm="1" t="str">
        <f t="array" ref="CC82:CC82">CC81</f>
        <v>0</v>
      </c>
      <c r="CF82" s="2308" t="s">
        <v>1218</v>
      </c>
      <c r="CH82" s="2308" t="s">
        <v>883</v>
      </c>
      <c r="CI82" s="2308" t="s">
        <v>303</v>
      </c>
      <c r="CJ82" s="2308" t="s">
        <v>1258</v>
      </c>
      <c r="CK82" s="2308" t="s">
        <v>1259</v>
      </c>
    </row>
    <row customHeight="1" ht="14.625" hidden="1">
      <c r="E83" s="180">
        <v>15</v>
      </c>
      <c r="F83" s="175" cm="1" t="str">
        <f t="array" ref="F83:F83">F82</f>
        <v>0</v>
      </c>
      <c r="T83" s="753" cm="1" t="str">
        <f t="array" ref="T83:T83">T82</f>
        <v>false</v>
      </c>
      <c r="AB83" s="633" t="str">
        <f>AB70&amp;".8"</f>
        <v>4.8</v>
      </c>
      <c r="AC83" s="634" t="s">
        <v>1219</v>
      </c>
      <c r="AD83" s="633" t="s">
        <v>1178</v>
      </c>
      <c r="AE83" s="71"/>
      <c r="AF83" s="71"/>
      <c r="AG83" s="71"/>
      <c r="AH83" s="71"/>
      <c r="AI83" s="353"/>
      <c r="AJ83" s="71"/>
      <c r="AK83" s="71"/>
      <c r="AL83" s="71"/>
      <c r="AM83" s="71"/>
      <c r="AN83" s="71"/>
      <c r="AO83" s="71"/>
      <c r="AP83" s="71"/>
      <c r="AQ83" s="71"/>
      <c r="AR83" s="71"/>
      <c r="AS83" s="71"/>
      <c r="AT83" s="71"/>
      <c r="AU83" s="71"/>
      <c r="AV83" s="71"/>
      <c r="AW83" s="71"/>
      <c r="AX83" s="71"/>
      <c r="AY83" s="71"/>
      <c r="AZ83" s="71"/>
      <c r="BA83" s="71"/>
      <c r="BB83" s="71"/>
      <c r="BC83" s="353"/>
      <c r="BD83" s="71"/>
      <c r="BE83" s="71"/>
      <c r="BF83" s="71"/>
      <c r="BG83" s="71"/>
      <c r="BH83" s="71"/>
      <c r="BI83" s="71"/>
      <c r="BJ83" s="71"/>
      <c r="BK83" s="71"/>
      <c r="BL83" s="71"/>
      <c r="BM83" s="71"/>
      <c r="BN83" s="71"/>
      <c r="BO83" s="71"/>
      <c r="BP83" s="71"/>
      <c r="BQ83" s="71"/>
      <c r="BR83" s="71"/>
      <c r="BS83" s="71"/>
      <c r="BT83" s="71"/>
      <c r="BU83" s="71"/>
      <c r="BV83" s="71"/>
      <c r="BW83" s="83"/>
      <c r="BZ83" s="489" t="s">
        <v>1272</v>
      </c>
      <c r="CC83" s="2308" cm="1" t="str">
        <f t="array" ref="CC83:CC83">CC82</f>
        <v>0</v>
      </c>
      <c r="CD83" s="2308" t="s">
        <v>1221</v>
      </c>
      <c r="CH83" s="2308" t="s">
        <v>886</v>
      </c>
      <c r="CI83" s="2308" t="s">
        <v>303</v>
      </c>
      <c r="CJ83" s="2308" t="s">
        <v>1258</v>
      </c>
      <c r="CK83" s="2308" t="s">
        <v>1259</v>
      </c>
    </row>
    <row s="986" customFormat="1" customHeight="1" ht="22.425" hidden="1">
      <c r="E84" s="180">
        <v>23</v>
      </c>
      <c r="F84" s="175" cm="1" t="str">
        <f t="array" ref="F84:F84">F83</f>
        <v>0</v>
      </c>
      <c r="T84" s="753" cm="1" t="str">
        <f t="array" ref="T84:T84">T83</f>
        <v>false</v>
      </c>
      <c r="AB84" s="556">
        <v>5</v>
      </c>
      <c r="AC84" s="555" t="s">
        <v>1273</v>
      </c>
      <c r="AD84" s="551" t="s">
        <v>917</v>
      </c>
      <c r="AE84" s="105">
        <f>SUM(AE85:AE88)+SUM(AE94:AE97)</f>
        <v>0</v>
      </c>
      <c r="AF84" s="105">
        <f>SUM(AF85:AF88)+SUM(AF94:AF97)</f>
        <v>0</v>
      </c>
      <c r="AG84" s="105">
        <f>SUM(AG85:AG88)+SUM(AG94:AG97)</f>
        <v>0</v>
      </c>
      <c r="AH84" s="105">
        <f>SUM(AH85:AH88)+SUM(AH94:AH97)</f>
        <v>0</v>
      </c>
      <c r="AI84" s="588">
        <f>SUM(AI85:AI88)+SUM(AI94:AI97)</f>
        <v>0</v>
      </c>
      <c r="AJ84" s="105">
        <f>SUM(AJ85:AJ88)+SUM(AJ94:AJ97)</f>
        <v>0</v>
      </c>
      <c r="AK84" s="105">
        <f>SUM(AK85:AK88)+SUM(AK94:AK97)</f>
        <v>0</v>
      </c>
      <c r="AL84" s="105">
        <f>SUM(AL85:AL88)+SUM(AL94:AL97)</f>
        <v>0</v>
      </c>
      <c r="AM84" s="105">
        <f>SUM(AM85:AM88)+SUM(AM94:AM97)</f>
        <v>0</v>
      </c>
      <c r="AN84" s="105">
        <f>SUM(AN85:AN88)+SUM(AN94:AN97)</f>
        <v>0</v>
      </c>
      <c r="AO84" s="105">
        <f>SUM(AO85:AO88)+SUM(AO94:AO97)</f>
        <v>0</v>
      </c>
      <c r="AP84" s="105">
        <f>SUM(AP85:AP88)+SUM(AP94:AP97)</f>
        <v>0</v>
      </c>
      <c r="AQ84" s="105">
        <f>SUM(AQ85:AQ88)+SUM(AQ94:AQ97)</f>
        <v>0</v>
      </c>
      <c r="AR84" s="105">
        <f>SUM(AR85:AR88)+SUM(AR94:AR97)</f>
        <v>0</v>
      </c>
      <c r="AS84" s="105">
        <f>SUM(AS85:AS88)+SUM(AS94:AS97)</f>
        <v>0</v>
      </c>
      <c r="AT84" s="105">
        <f>SUM(AT85:AT88)+SUM(AT94:AT97)</f>
        <v>0</v>
      </c>
      <c r="AU84" s="105">
        <f>SUM(AU85:AU88)+SUM(AU94:AU97)</f>
        <v>0</v>
      </c>
      <c r="AV84" s="105">
        <f>SUM(AV85:AV88)+SUM(AV94:AV97)</f>
        <v>0</v>
      </c>
      <c r="AW84" s="105">
        <f>SUM(AW85:AW88)+SUM(AW94:AW97)</f>
        <v>0</v>
      </c>
      <c r="AX84" s="105">
        <f>SUM(AX85:AX88)+SUM(AX94:AX97)</f>
        <v>0</v>
      </c>
      <c r="AY84" s="105">
        <f>SUM(AY85:AY88)+SUM(AY94:AY97)</f>
        <v>0</v>
      </c>
      <c r="AZ84" s="105">
        <f>SUM(AZ85:AZ88)+SUM(AZ94:AZ97)</f>
        <v>0</v>
      </c>
      <c r="BA84" s="105">
        <f>SUM(BA85:BA88)+SUM(BA94:BA97)</f>
        <v>0</v>
      </c>
      <c r="BB84" s="105">
        <f>SUM(BB85:BB88)+SUM(BB94:BB97)</f>
        <v>0</v>
      </c>
      <c r="BC84" s="588">
        <f>SUM(BC85:BC88)+SUM(BC94:BC97)</f>
        <v>0</v>
      </c>
      <c r="BD84" s="105">
        <f>SUM(BD85:BD88)+SUM(BD94:BD97)</f>
        <v>0</v>
      </c>
      <c r="BE84" s="105">
        <f>SUM(BE85:BE88)+SUM(BE94:BE97)</f>
        <v>0</v>
      </c>
      <c r="BF84" s="105">
        <f>SUM(BF85:BF88)+SUM(BF94:BF97)</f>
        <v>0</v>
      </c>
      <c r="BG84" s="105">
        <f>SUM(BG85:BG88)+SUM(BG94:BG97)</f>
        <v>0</v>
      </c>
      <c r="BH84" s="105">
        <f>SUM(BH85:BH88)+SUM(BH94:BH97)</f>
        <v>0</v>
      </c>
      <c r="BI84" s="105">
        <f>SUM(BI85:BI88)+SUM(BI94:BI97)</f>
        <v>0</v>
      </c>
      <c r="BJ84" s="105">
        <f>SUM(BJ85:BJ88)+SUM(BJ94:BJ97)</f>
        <v>0</v>
      </c>
      <c r="BK84" s="105">
        <f>SUM(BK85:BK88)+SUM(BK94:BK97)</f>
        <v>0</v>
      </c>
      <c r="BL84" s="105">
        <f>SUM(BL85:BL88)+SUM(BL94:BL97)</f>
        <v>0</v>
      </c>
      <c r="BM84" s="105">
        <f>SUM(BM85:BM88)+SUM(BM94:BM97)</f>
        <v>0</v>
      </c>
      <c r="BN84" s="105">
        <f>SUM(BN85:BN88)+SUM(BN94:BN97)</f>
        <v>0</v>
      </c>
      <c r="BO84" s="105">
        <f>SUM(BO85:BO88)+SUM(BO94:BO97)</f>
        <v>0</v>
      </c>
      <c r="BP84" s="105">
        <f>SUM(BP85:BP88)+SUM(BP94:BP97)</f>
        <v>0</v>
      </c>
      <c r="BQ84" s="105">
        <f>SUM(BQ85:BQ88)+SUM(BQ94:BQ97)</f>
        <v>0</v>
      </c>
      <c r="BR84" s="105">
        <f>SUM(BR85:BR88)+SUM(BR94:BR97)</f>
        <v>0</v>
      </c>
      <c r="BS84" s="105">
        <f>SUM(BS85:BS88)+SUM(BS94:BS97)</f>
        <v>0</v>
      </c>
      <c r="BT84" s="105">
        <f>SUM(BT85:BT88)+SUM(BT94:BT97)</f>
        <v>0</v>
      </c>
      <c r="BU84" s="105">
        <f>SUM(BU85:BU88)+SUM(BU94:BU97)</f>
        <v>0</v>
      </c>
      <c r="BV84" s="105">
        <f>SUM(BV85:BV88)+SUM(BV94:BV97)</f>
        <v>0</v>
      </c>
      <c r="BW84" s="83"/>
      <c r="BZ84" s="489" t="s">
        <v>1274</v>
      </c>
      <c r="CC84" s="0" cm="1" t="str">
        <f t="array" ref="CC84:CC84">CC83</f>
        <v>0</v>
      </c>
      <c r="CH84" s="0" t="s">
        <v>886</v>
      </c>
      <c r="CI84" s="0" t="s">
        <v>303</v>
      </c>
      <c r="CJ84" s="0" t="s">
        <v>1275</v>
      </c>
      <c r="CK84" s="0" t="s">
        <v>1276</v>
      </c>
    </row>
    <row customHeight="1" ht="14.625" hidden="1">
      <c r="E85" s="180">
        <v>15</v>
      </c>
      <c r="F85" s="175" cm="1" t="str">
        <f t="array" ref="F85:F85">F84</f>
        <v>0</v>
      </c>
      <c r="T85" s="753" cm="1" t="str">
        <f t="array" ref="T85:T85">T84</f>
        <v>false</v>
      </c>
      <c r="AB85" s="339" t="str">
        <f>AB84&amp;".1"</f>
        <v>5.1</v>
      </c>
      <c r="AC85" s="228" t="s">
        <v>1177</v>
      </c>
      <c r="AD85" s="339" t="s">
        <v>1178</v>
      </c>
      <c r="AE85" s="87">
        <f>(AE29*2+AE43+AE57-AE71)/2</f>
        <v>0</v>
      </c>
      <c r="AF85" s="87">
        <f>(AF29*2+AF43+AF57-AF71)/2</f>
        <v>0</v>
      </c>
      <c r="AG85" s="87">
        <f>(AG29*2+AG43+AG57-AG71)/2</f>
        <v>0</v>
      </c>
      <c r="AH85" s="87">
        <f>(AH29*2+AH43+AH57-AH71)/2</f>
        <v>0</v>
      </c>
      <c r="AI85" s="484">
        <f>(AI29*2+AI43+AI57-AI71)/2</f>
        <v>0</v>
      </c>
      <c r="AJ85" s="87">
        <f>(AJ29*2+AJ43+AJ57-AJ71)/2</f>
        <v>0</v>
      </c>
      <c r="AK85" s="87">
        <f>(AK29*2+AK43+AK57-AK71)/2</f>
        <v>0</v>
      </c>
      <c r="AL85" s="87">
        <f>(AL29*2+AL43+AL57-AL71)/2</f>
        <v>0</v>
      </c>
      <c r="AM85" s="87">
        <f>(AM29*2+AM43+AM57-AM71)/2</f>
        <v>0</v>
      </c>
      <c r="AN85" s="87">
        <f>(AN29*2+AN43+AN57-AN71)/2</f>
        <v>0</v>
      </c>
      <c r="AO85" s="87">
        <f>(AO29*2+AO43+AO57-AO71)/2</f>
        <v>0</v>
      </c>
      <c r="AP85" s="87">
        <f>(AP29*2+AP43+AP57-AP71)/2</f>
        <v>0</v>
      </c>
      <c r="AQ85" s="87">
        <f>(AQ29*2+AQ43+AQ57-AQ71)/2</f>
        <v>0</v>
      </c>
      <c r="AR85" s="87">
        <f>(AR29*2+AR43+AR57-AR71)/2</f>
        <v>0</v>
      </c>
      <c r="AS85" s="87">
        <f>(AS29*2+AS43+AS57-AS71)/2</f>
        <v>0</v>
      </c>
      <c r="AT85" s="87">
        <f>(AT29*2+AT43+AT57-AT71)/2</f>
        <v>0</v>
      </c>
      <c r="AU85" s="87">
        <f>(AU29*2+AU43+AU57-AU71)/2</f>
        <v>0</v>
      </c>
      <c r="AV85" s="87">
        <f>(AV29*2+AV43+AV57-AV71)/2</f>
        <v>0</v>
      </c>
      <c r="AW85" s="87">
        <f>(AW29*2+AW43+AW57-AW71)/2</f>
        <v>0</v>
      </c>
      <c r="AX85" s="87">
        <f>(AX29*2+AX43+AX57-AX71)/2</f>
        <v>0</v>
      </c>
      <c r="AY85" s="87">
        <f>(AY29*2+AY43+AY57-AY71)/2</f>
        <v>0</v>
      </c>
      <c r="AZ85" s="87">
        <f>(AZ29*2+AZ43+AZ57-AZ71)/2</f>
        <v>0</v>
      </c>
      <c r="BA85" s="87">
        <f>(BA29*2+BA43+BA57-BA71)/2</f>
        <v>0</v>
      </c>
      <c r="BB85" s="87">
        <f>(BB29*2+BB43+BB57-BB71)/2</f>
        <v>0</v>
      </c>
      <c r="BC85" s="484">
        <f>(BC29*2+BC43+BC57-BC71)/2</f>
        <v>0</v>
      </c>
      <c r="BD85" s="87">
        <f>(BD29*2+BD43+BD57-BD71)/2</f>
        <v>0</v>
      </c>
      <c r="BE85" s="87">
        <f>(BE29*2+BE43+BE57-BE71)/2</f>
        <v>0</v>
      </c>
      <c r="BF85" s="87">
        <f>(BF29*2+BF43+BF57-BF71)/2</f>
        <v>0</v>
      </c>
      <c r="BG85" s="87">
        <f>(BG29*2+BG43+BG57-BG71)/2</f>
        <v>0</v>
      </c>
      <c r="BH85" s="87">
        <f>(BH29*2+BH43+BH57-BH71)/2</f>
        <v>0</v>
      </c>
      <c r="BI85" s="87">
        <f>(BI29*2+BI43+BI57-BI71)/2</f>
        <v>0</v>
      </c>
      <c r="BJ85" s="87">
        <f>(BJ29*2+BJ43+BJ57-BJ71)/2</f>
        <v>0</v>
      </c>
      <c r="BK85" s="87">
        <f>(BK29*2+BK43+BK57-BK71)/2</f>
        <v>0</v>
      </c>
      <c r="BL85" s="87">
        <f>(BL29*2+BL43+BL57-BL71)/2</f>
        <v>0</v>
      </c>
      <c r="BM85" s="87">
        <f>(BM29*2+BM43+BM57-BM71)/2</f>
        <v>0</v>
      </c>
      <c r="BN85" s="87">
        <f>(BN29*2+BN43+BN57-BN71)/2</f>
        <v>0</v>
      </c>
      <c r="BO85" s="87">
        <f>(BO29*2+BO43+BO57-BO71)/2</f>
        <v>0</v>
      </c>
      <c r="BP85" s="87">
        <f>(BP29*2+BP43+BP57-BP71)/2</f>
        <v>0</v>
      </c>
      <c r="BQ85" s="87">
        <f>(BQ29*2+BQ43+BQ57-BQ71)/2</f>
        <v>0</v>
      </c>
      <c r="BR85" s="87">
        <f>(BR29*2+BR43+BR57-BR71)/2</f>
        <v>0</v>
      </c>
      <c r="BS85" s="87">
        <f>(BS29*2+BS43+BS57-BS71)/2</f>
        <v>0</v>
      </c>
      <c r="BT85" s="87">
        <f>(BT29*2+BT43+BT57-BT71)/2</f>
        <v>0</v>
      </c>
      <c r="BU85" s="87">
        <f>(BU29*2+BU43+BU57-BU71)/2</f>
        <v>0</v>
      </c>
      <c r="BV85" s="87">
        <f>(BV29*2+BV43+BV57-BV71)/2</f>
        <v>0</v>
      </c>
      <c r="BW85" s="113"/>
      <c r="BZ85" s="489" t="s">
        <v>1277</v>
      </c>
      <c r="CC85" s="2308" cm="1" t="str">
        <f t="array" ref="CC85:CC85">CC84</f>
        <v>0</v>
      </c>
      <c r="CD85" s="2308" t="s">
        <v>1180</v>
      </c>
      <c r="CH85" s="2308" t="s">
        <v>886</v>
      </c>
      <c r="CI85" s="2308" t="s">
        <v>303</v>
      </c>
      <c r="CJ85" s="2308" t="s">
        <v>1275</v>
      </c>
      <c r="CK85" s="2308" t="s">
        <v>1276</v>
      </c>
    </row>
    <row customHeight="1" ht="14.625" hidden="1">
      <c r="E86" s="180">
        <v>15</v>
      </c>
      <c r="F86" s="175" cm="1" t="str">
        <f t="array" ref="F86:F86">F85</f>
        <v>0</v>
      </c>
      <c r="T86" s="753" cm="1" t="str">
        <f t="array" ref="T86:T86">T85</f>
        <v>false</v>
      </c>
      <c r="AB86" s="339" t="str">
        <f>AB84&amp;".2"</f>
        <v>5.2</v>
      </c>
      <c r="AC86" s="228" t="s">
        <v>1181</v>
      </c>
      <c r="AD86" s="339" t="s">
        <v>1178</v>
      </c>
      <c r="AE86" s="87">
        <f>(AE30*2+AE44+AE58-AE72)/2</f>
        <v>0</v>
      </c>
      <c r="AF86" s="87">
        <f>(AF30*2+AF44+AF58-AF72)/2</f>
        <v>0</v>
      </c>
      <c r="AG86" s="87">
        <f>(AG30*2+AG44+AG58-AG72)/2</f>
        <v>0</v>
      </c>
      <c r="AH86" s="87">
        <f>(AH30*2+AH44+AH58-AH72)/2</f>
        <v>0</v>
      </c>
      <c r="AI86" s="484">
        <f>(AI30*2+AI44+AI58-AI72)/2</f>
        <v>0</v>
      </c>
      <c r="AJ86" s="87">
        <f>(AJ30*2+AJ44+AJ58-AJ72)/2</f>
        <v>0</v>
      </c>
      <c r="AK86" s="87">
        <f>(AK30*2+AK44+AK58-AK72)/2</f>
        <v>0</v>
      </c>
      <c r="AL86" s="87">
        <f>(AL30*2+AL44+AL58-AL72)/2</f>
        <v>0</v>
      </c>
      <c r="AM86" s="87">
        <f>(AM30*2+AM44+AM58-AM72)/2</f>
        <v>0</v>
      </c>
      <c r="AN86" s="87">
        <f>(AN30*2+AN44+AN58-AN72)/2</f>
        <v>0</v>
      </c>
      <c r="AO86" s="87">
        <f>(AO30*2+AO44+AO58-AO72)/2</f>
        <v>0</v>
      </c>
      <c r="AP86" s="87">
        <f>(AP30*2+AP44+AP58-AP72)/2</f>
        <v>0</v>
      </c>
      <c r="AQ86" s="87">
        <f>(AQ30*2+AQ44+AQ58-AQ72)/2</f>
        <v>0</v>
      </c>
      <c r="AR86" s="87">
        <f>(AR30*2+AR44+AR58-AR72)/2</f>
        <v>0</v>
      </c>
      <c r="AS86" s="87">
        <f>(AS30*2+AS44+AS58-AS72)/2</f>
        <v>0</v>
      </c>
      <c r="AT86" s="87">
        <f>(AT30*2+AT44+AT58-AT72)/2</f>
        <v>0</v>
      </c>
      <c r="AU86" s="87">
        <f>(AU30*2+AU44+AU58-AU72)/2</f>
        <v>0</v>
      </c>
      <c r="AV86" s="87">
        <f>(AV30*2+AV44+AV58-AV72)/2</f>
        <v>0</v>
      </c>
      <c r="AW86" s="87">
        <f>(AW30*2+AW44+AW58-AW72)/2</f>
        <v>0</v>
      </c>
      <c r="AX86" s="87">
        <f>(AX30*2+AX44+AX58-AX72)/2</f>
        <v>0</v>
      </c>
      <c r="AY86" s="87">
        <f>(AY30*2+AY44+AY58-AY72)/2</f>
        <v>0</v>
      </c>
      <c r="AZ86" s="87">
        <f>(AZ30*2+AZ44+AZ58-AZ72)/2</f>
        <v>0</v>
      </c>
      <c r="BA86" s="87">
        <f>(BA30*2+BA44+BA58-BA72)/2</f>
        <v>0</v>
      </c>
      <c r="BB86" s="87">
        <f>(BB30*2+BB44+BB58-BB72)/2</f>
        <v>0</v>
      </c>
      <c r="BC86" s="484">
        <f>(BC30*2+BC44+BC58-BC72)/2</f>
        <v>0</v>
      </c>
      <c r="BD86" s="87">
        <f>(BD30*2+BD44+BD58-BD72)/2</f>
        <v>0</v>
      </c>
      <c r="BE86" s="87">
        <f>(BE30*2+BE44+BE58-BE72)/2</f>
        <v>0</v>
      </c>
      <c r="BF86" s="87">
        <f>(BF30*2+BF44+BF58-BF72)/2</f>
        <v>0</v>
      </c>
      <c r="BG86" s="87">
        <f>(BG30*2+BG44+BG58-BG72)/2</f>
        <v>0</v>
      </c>
      <c r="BH86" s="87">
        <f>(BH30*2+BH44+BH58-BH72)/2</f>
        <v>0</v>
      </c>
      <c r="BI86" s="87">
        <f>(BI30*2+BI44+BI58-BI72)/2</f>
        <v>0</v>
      </c>
      <c r="BJ86" s="87">
        <f>(BJ30*2+BJ44+BJ58-BJ72)/2</f>
        <v>0</v>
      </c>
      <c r="BK86" s="87">
        <f>(BK30*2+BK44+BK58-BK72)/2</f>
        <v>0</v>
      </c>
      <c r="BL86" s="87">
        <f>(BL30*2+BL44+BL58-BL72)/2</f>
        <v>0</v>
      </c>
      <c r="BM86" s="87">
        <f>(BM30*2+BM44+BM58-BM72)/2</f>
        <v>0</v>
      </c>
      <c r="BN86" s="87">
        <f>(BN30*2+BN44+BN58-BN72)/2</f>
        <v>0</v>
      </c>
      <c r="BO86" s="87">
        <f>(BO30*2+BO44+BO58-BO72)/2</f>
        <v>0</v>
      </c>
      <c r="BP86" s="87">
        <f>(BP30*2+BP44+BP58-BP72)/2</f>
        <v>0</v>
      </c>
      <c r="BQ86" s="87">
        <f>(BQ30*2+BQ44+BQ58-BQ72)/2</f>
        <v>0</v>
      </c>
      <c r="BR86" s="87">
        <f>(BR30*2+BR44+BR58-BR72)/2</f>
        <v>0</v>
      </c>
      <c r="BS86" s="87">
        <f>(BS30*2+BS44+BS58-BS72)/2</f>
        <v>0</v>
      </c>
      <c r="BT86" s="87">
        <f>(BT30*2+BT44+BT58-BT72)/2</f>
        <v>0</v>
      </c>
      <c r="BU86" s="87">
        <f>(BU30*2+BU44+BU58-BU72)/2</f>
        <v>0</v>
      </c>
      <c r="BV86" s="87">
        <f>(BV30*2+BV44+BV58-BV72)/2</f>
        <v>0</v>
      </c>
      <c r="BW86" s="113"/>
      <c r="BZ86" s="489" t="s">
        <v>1278</v>
      </c>
      <c r="CC86" s="2308" cm="1" t="str">
        <f t="array" ref="CC86:CC86">CC85</f>
        <v>0</v>
      </c>
      <c r="CD86" s="2308" t="s">
        <v>1183</v>
      </c>
      <c r="CH86" s="2308" t="s">
        <v>886</v>
      </c>
      <c r="CI86" s="2308" t="s">
        <v>303</v>
      </c>
      <c r="CJ86" s="2308" t="s">
        <v>1275</v>
      </c>
      <c r="CK86" s="2308" t="s">
        <v>1276</v>
      </c>
    </row>
    <row customHeight="1" ht="14.625" hidden="1">
      <c r="E87" s="180">
        <v>15</v>
      </c>
      <c r="F87" s="175" cm="1" t="str">
        <f t="array" ref="F87:F87">F86</f>
        <v>0</v>
      </c>
      <c r="T87" s="753" cm="1" t="str">
        <f t="array" ref="T87:T87">T86</f>
        <v>false</v>
      </c>
      <c r="AB87" s="339" t="str">
        <f>AB84&amp;".3"</f>
        <v>5.3</v>
      </c>
      <c r="AC87" s="228" t="s">
        <v>1184</v>
      </c>
      <c r="AD87" s="339" t="s">
        <v>1178</v>
      </c>
      <c r="AE87" s="87">
        <f>(AE31*2+AE45+AE59-AE73)/2</f>
        <v>0</v>
      </c>
      <c r="AF87" s="87">
        <f>(AF31*2+AF45+AF59-AF73)/2</f>
        <v>0</v>
      </c>
      <c r="AG87" s="87">
        <f>(AG31*2+AG45+AG59-AG73)/2</f>
        <v>0</v>
      </c>
      <c r="AH87" s="87">
        <f>(AH31*2+AH45+AH59-AH73)/2</f>
        <v>0</v>
      </c>
      <c r="AI87" s="484">
        <f>(AI31*2+AI45+AI59-AI73)/2</f>
        <v>0</v>
      </c>
      <c r="AJ87" s="87">
        <f>(AJ31*2+AJ45+AJ59-AJ73)/2</f>
        <v>0</v>
      </c>
      <c r="AK87" s="87">
        <f>(AK31*2+AK45+AK59-AK73)/2</f>
        <v>0</v>
      </c>
      <c r="AL87" s="87">
        <f>(AL31*2+AL45+AL59-AL73)/2</f>
        <v>0</v>
      </c>
      <c r="AM87" s="87">
        <f>(AM31*2+AM45+AM59-AM73)/2</f>
        <v>0</v>
      </c>
      <c r="AN87" s="87">
        <f>(AN31*2+AN45+AN59-AN73)/2</f>
        <v>0</v>
      </c>
      <c r="AO87" s="87">
        <f>(AO31*2+AO45+AO59-AO73)/2</f>
        <v>0</v>
      </c>
      <c r="AP87" s="87">
        <f>(AP31*2+AP45+AP59-AP73)/2</f>
        <v>0</v>
      </c>
      <c r="AQ87" s="87">
        <f>(AQ31*2+AQ45+AQ59-AQ73)/2</f>
        <v>0</v>
      </c>
      <c r="AR87" s="87">
        <f>(AR31*2+AR45+AR59-AR73)/2</f>
        <v>0</v>
      </c>
      <c r="AS87" s="87">
        <f>(AS31*2+AS45+AS59-AS73)/2</f>
        <v>0</v>
      </c>
      <c r="AT87" s="87">
        <f>(AT31*2+AT45+AT59-AT73)/2</f>
        <v>0</v>
      </c>
      <c r="AU87" s="87">
        <f>(AU31*2+AU45+AU59-AU73)/2</f>
        <v>0</v>
      </c>
      <c r="AV87" s="87">
        <f>(AV31*2+AV45+AV59-AV73)/2</f>
        <v>0</v>
      </c>
      <c r="AW87" s="87">
        <f>(AW31*2+AW45+AW59-AW73)/2</f>
        <v>0</v>
      </c>
      <c r="AX87" s="87">
        <f>(AX31*2+AX45+AX59-AX73)/2</f>
        <v>0</v>
      </c>
      <c r="AY87" s="87">
        <f>(AY31*2+AY45+AY59-AY73)/2</f>
        <v>0</v>
      </c>
      <c r="AZ87" s="87">
        <f>(AZ31*2+AZ45+AZ59-AZ73)/2</f>
        <v>0</v>
      </c>
      <c r="BA87" s="87">
        <f>(BA31*2+BA45+BA59-BA73)/2</f>
        <v>0</v>
      </c>
      <c r="BB87" s="87">
        <f>(BB31*2+BB45+BB59-BB73)/2</f>
        <v>0</v>
      </c>
      <c r="BC87" s="484">
        <f>(BC31*2+BC45+BC59-BC73)/2</f>
        <v>0</v>
      </c>
      <c r="BD87" s="87">
        <f>(BD31*2+BD45+BD59-BD73)/2</f>
        <v>0</v>
      </c>
      <c r="BE87" s="87">
        <f>(BE31*2+BE45+BE59-BE73)/2</f>
        <v>0</v>
      </c>
      <c r="BF87" s="87">
        <f>(BF31*2+BF45+BF59-BF73)/2</f>
        <v>0</v>
      </c>
      <c r="BG87" s="87">
        <f>(BG31*2+BG45+BG59-BG73)/2</f>
        <v>0</v>
      </c>
      <c r="BH87" s="87">
        <f>(BH31*2+BH45+BH59-BH73)/2</f>
        <v>0</v>
      </c>
      <c r="BI87" s="87">
        <f>(BI31*2+BI45+BI59-BI73)/2</f>
        <v>0</v>
      </c>
      <c r="BJ87" s="87">
        <f>(BJ31*2+BJ45+BJ59-BJ73)/2</f>
        <v>0</v>
      </c>
      <c r="BK87" s="87">
        <f>(BK31*2+BK45+BK59-BK73)/2</f>
        <v>0</v>
      </c>
      <c r="BL87" s="87">
        <f>(BL31*2+BL45+BL59-BL73)/2</f>
        <v>0</v>
      </c>
      <c r="BM87" s="87">
        <f>(BM31*2+BM45+BM59-BM73)/2</f>
        <v>0</v>
      </c>
      <c r="BN87" s="87">
        <f>(BN31*2+BN45+BN59-BN73)/2</f>
        <v>0</v>
      </c>
      <c r="BO87" s="87">
        <f>(BO31*2+BO45+BO59-BO73)/2</f>
        <v>0</v>
      </c>
      <c r="BP87" s="87">
        <f>(BP31*2+BP45+BP59-BP73)/2</f>
        <v>0</v>
      </c>
      <c r="BQ87" s="87">
        <f>(BQ31*2+BQ45+BQ59-BQ73)/2</f>
        <v>0</v>
      </c>
      <c r="BR87" s="87">
        <f>(BR31*2+BR45+BR59-BR73)/2</f>
        <v>0</v>
      </c>
      <c r="BS87" s="87">
        <f>(BS31*2+BS45+BS59-BS73)/2</f>
        <v>0</v>
      </c>
      <c r="BT87" s="87">
        <f>(BT31*2+BT45+BT59-BT73)/2</f>
        <v>0</v>
      </c>
      <c r="BU87" s="87">
        <f>(BU31*2+BU45+BU59-BU73)/2</f>
        <v>0</v>
      </c>
      <c r="BV87" s="87">
        <f>(BV31*2+BV45+BV59-BV73)/2</f>
        <v>0</v>
      </c>
      <c r="BW87" s="113"/>
      <c r="BZ87" s="489" t="s">
        <v>1279</v>
      </c>
      <c r="CC87" s="2308" cm="1" t="str">
        <f t="array" ref="CC87:CC87">CC86</f>
        <v>0</v>
      </c>
      <c r="CD87" s="2308" t="s">
        <v>1186</v>
      </c>
      <c r="CH87" s="2308" t="s">
        <v>886</v>
      </c>
      <c r="CI87" s="2308" t="s">
        <v>303</v>
      </c>
      <c r="CJ87" s="2308" t="s">
        <v>1275</v>
      </c>
      <c r="CK87" s="2308" t="s">
        <v>1276</v>
      </c>
    </row>
    <row customHeight="1" ht="14.625" hidden="1">
      <c r="E88" s="180">
        <v>15</v>
      </c>
      <c r="F88" s="175" cm="1" t="str">
        <f t="array" ref="F88:F88">F87</f>
        <v>0</v>
      </c>
      <c r="T88" s="753" cm="1" t="str">
        <f t="array" ref="T88:T88">T87</f>
        <v>false</v>
      </c>
      <c r="AB88" s="339" t="str">
        <f>AB84&amp;".4"</f>
        <v>5.4</v>
      </c>
      <c r="AC88" s="228" t="s">
        <v>1187</v>
      </c>
      <c r="AD88" s="339" t="s">
        <v>1178</v>
      </c>
      <c r="AE88" s="87">
        <f>SUM(AE89:AE93)</f>
        <v>0</v>
      </c>
      <c r="AF88" s="87">
        <f>SUM(AF89:AF93)</f>
        <v>0</v>
      </c>
      <c r="AG88" s="87">
        <f>SUM(AG89:AG93)</f>
        <v>0</v>
      </c>
      <c r="AH88" s="87">
        <f>SUM(AH89:AH93)</f>
        <v>0</v>
      </c>
      <c r="AI88" s="484">
        <f>SUM(AI89:AI93)</f>
        <v>0</v>
      </c>
      <c r="AJ88" s="87">
        <f>SUM(AJ89:AJ93)</f>
        <v>0</v>
      </c>
      <c r="AK88" s="87">
        <f>SUM(AK89:AK93)</f>
        <v>0</v>
      </c>
      <c r="AL88" s="87">
        <f>SUM(AL89:AL93)</f>
        <v>0</v>
      </c>
      <c r="AM88" s="87">
        <f>SUM(AM89:AM93)</f>
        <v>0</v>
      </c>
      <c r="AN88" s="87">
        <f>SUM(AN89:AN93)</f>
        <v>0</v>
      </c>
      <c r="AO88" s="87">
        <f>SUM(AO89:AO93)</f>
        <v>0</v>
      </c>
      <c r="AP88" s="87">
        <f>SUM(AP89:AP93)</f>
        <v>0</v>
      </c>
      <c r="AQ88" s="87">
        <f>SUM(AQ89:AQ93)</f>
        <v>0</v>
      </c>
      <c r="AR88" s="87">
        <f>SUM(AR89:AR93)</f>
        <v>0</v>
      </c>
      <c r="AS88" s="87">
        <f>SUM(AS89:AS93)</f>
        <v>0</v>
      </c>
      <c r="AT88" s="87">
        <f>SUM(AT89:AT93)</f>
        <v>0</v>
      </c>
      <c r="AU88" s="87">
        <f>SUM(AU89:AU93)</f>
        <v>0</v>
      </c>
      <c r="AV88" s="87">
        <f>SUM(AV89:AV93)</f>
        <v>0</v>
      </c>
      <c r="AW88" s="87">
        <f>SUM(AW89:AW93)</f>
        <v>0</v>
      </c>
      <c r="AX88" s="87">
        <f>SUM(AX89:AX93)</f>
        <v>0</v>
      </c>
      <c r="AY88" s="87">
        <f>SUM(AY89:AY93)</f>
        <v>0</v>
      </c>
      <c r="AZ88" s="87">
        <f>SUM(AZ89:AZ93)</f>
        <v>0</v>
      </c>
      <c r="BA88" s="87">
        <f>SUM(BA89:BA93)</f>
        <v>0</v>
      </c>
      <c r="BB88" s="87">
        <f>SUM(BB89:BB93)</f>
        <v>0</v>
      </c>
      <c r="BC88" s="484">
        <f>SUM(BC89:BC93)</f>
        <v>0</v>
      </c>
      <c r="BD88" s="87">
        <f>SUM(BD89:BD93)</f>
        <v>0</v>
      </c>
      <c r="BE88" s="87">
        <f>SUM(BE89:BE93)</f>
        <v>0</v>
      </c>
      <c r="BF88" s="87">
        <f>SUM(BF89:BF93)</f>
        <v>0</v>
      </c>
      <c r="BG88" s="87">
        <f>SUM(BG89:BG93)</f>
        <v>0</v>
      </c>
      <c r="BH88" s="87">
        <f>SUM(BH89:BH93)</f>
        <v>0</v>
      </c>
      <c r="BI88" s="87">
        <f>SUM(BI89:BI93)</f>
        <v>0</v>
      </c>
      <c r="BJ88" s="87">
        <f>SUM(BJ89:BJ93)</f>
        <v>0</v>
      </c>
      <c r="BK88" s="87">
        <f>SUM(BK89:BK93)</f>
        <v>0</v>
      </c>
      <c r="BL88" s="87">
        <f>SUM(BL89:BL93)</f>
        <v>0</v>
      </c>
      <c r="BM88" s="87">
        <f>SUM(BM89:BM93)</f>
        <v>0</v>
      </c>
      <c r="BN88" s="87">
        <f>SUM(BN89:BN93)</f>
        <v>0</v>
      </c>
      <c r="BO88" s="87">
        <f>SUM(BO89:BO93)</f>
        <v>0</v>
      </c>
      <c r="BP88" s="87">
        <f>SUM(BP89:BP93)</f>
        <v>0</v>
      </c>
      <c r="BQ88" s="87">
        <f>SUM(BQ89:BQ93)</f>
        <v>0</v>
      </c>
      <c r="BR88" s="87">
        <f>SUM(BR89:BR93)</f>
        <v>0</v>
      </c>
      <c r="BS88" s="87">
        <f>SUM(BS89:BS93)</f>
        <v>0</v>
      </c>
      <c r="BT88" s="87">
        <f>SUM(BT89:BT93)</f>
        <v>0</v>
      </c>
      <c r="BU88" s="87">
        <f>SUM(BU89:BU93)</f>
        <v>0</v>
      </c>
      <c r="BV88" s="87">
        <f>SUM(BV89:BV93)</f>
        <v>0</v>
      </c>
      <c r="BW88" s="113"/>
      <c r="BZ88" s="489" t="s">
        <v>1280</v>
      </c>
      <c r="CC88" s="2308" cm="1" t="str">
        <f t="array" ref="CC88:CC88">CC87</f>
        <v>0</v>
      </c>
      <c r="CD88" s="2308" t="s">
        <v>1189</v>
      </c>
      <c r="CH88" s="2308" t="s">
        <v>886</v>
      </c>
      <c r="CI88" s="2308" t="s">
        <v>303</v>
      </c>
      <c r="CJ88" s="2308" t="s">
        <v>1275</v>
      </c>
      <c r="CK88" s="2308" t="s">
        <v>1276</v>
      </c>
    </row>
    <row customHeight="1" ht="14.625" hidden="1">
      <c r="E89" s="180">
        <v>15</v>
      </c>
      <c r="F89" s="175" cm="1" t="str">
        <f t="array" ref="F89:F89">F88</f>
        <v>0</v>
      </c>
      <c r="T89" s="753" cm="1" t="str">
        <f t="array" ref="T89:T89">T88</f>
        <v>false</v>
      </c>
      <c r="AB89" s="339" t="str">
        <f>AB88&amp;".1"</f>
        <v>5.4.1</v>
      </c>
      <c r="AC89" s="636" t="s">
        <v>1191</v>
      </c>
      <c r="AD89" s="339" t="s">
        <v>1178</v>
      </c>
      <c r="AE89" s="87">
        <f>(AE33*2+AE47+AE61-AE75)/2</f>
        <v>0</v>
      </c>
      <c r="AF89" s="87">
        <f>(AF33*2+AF47+AF61-AF75)/2</f>
        <v>0</v>
      </c>
      <c r="AG89" s="87">
        <f>(AG33*2+AG47+AG61-AG75)/2</f>
        <v>0</v>
      </c>
      <c r="AH89" s="87">
        <f>(AH33*2+AH47+AH61-AH75)/2</f>
        <v>0</v>
      </c>
      <c r="AI89" s="484">
        <f>(AI33*2+AI47+AI61-AI75)/2</f>
        <v>0</v>
      </c>
      <c r="AJ89" s="87">
        <f>(AJ33*2+AJ47+AJ61-AJ75)/2</f>
        <v>0</v>
      </c>
      <c r="AK89" s="87">
        <f>(AK33*2+AK47+AK61-AK75)/2</f>
        <v>0</v>
      </c>
      <c r="AL89" s="87">
        <f>(AL33*2+AL47+AL61-AL75)/2</f>
        <v>0</v>
      </c>
      <c r="AM89" s="87">
        <f>(AM33*2+AM47+AM61-AM75)/2</f>
        <v>0</v>
      </c>
      <c r="AN89" s="87">
        <f>(AN33*2+AN47+AN61-AN75)/2</f>
        <v>0</v>
      </c>
      <c r="AO89" s="87">
        <f>(AO33*2+AO47+AO61-AO75)/2</f>
        <v>0</v>
      </c>
      <c r="AP89" s="87">
        <f>(AP33*2+AP47+AP61-AP75)/2</f>
        <v>0</v>
      </c>
      <c r="AQ89" s="87">
        <f>(AQ33*2+AQ47+AQ61-AQ75)/2</f>
        <v>0</v>
      </c>
      <c r="AR89" s="87">
        <f>(AR33*2+AR47+AR61-AR75)/2</f>
        <v>0</v>
      </c>
      <c r="AS89" s="87">
        <f>(AS33*2+AS47+AS61-AS75)/2</f>
        <v>0</v>
      </c>
      <c r="AT89" s="87">
        <f>(AT33*2+AT47+AT61-AT75)/2</f>
        <v>0</v>
      </c>
      <c r="AU89" s="87">
        <f>(AU33*2+AU47+AU61-AU75)/2</f>
        <v>0</v>
      </c>
      <c r="AV89" s="87">
        <f>(AV33*2+AV47+AV61-AV75)/2</f>
        <v>0</v>
      </c>
      <c r="AW89" s="87">
        <f>(AW33*2+AW47+AW61-AW75)/2</f>
        <v>0</v>
      </c>
      <c r="AX89" s="87">
        <f>(AX33*2+AX47+AX61-AX75)/2</f>
        <v>0</v>
      </c>
      <c r="AY89" s="87">
        <f>(AY33*2+AY47+AY61-AY75)/2</f>
        <v>0</v>
      </c>
      <c r="AZ89" s="87">
        <f>(AZ33*2+AZ47+AZ61-AZ75)/2</f>
        <v>0</v>
      </c>
      <c r="BA89" s="87">
        <f>(BA33*2+BA47+BA61-BA75)/2</f>
        <v>0</v>
      </c>
      <c r="BB89" s="87">
        <f>(BB33*2+BB47+BB61-BB75)/2</f>
        <v>0</v>
      </c>
      <c r="BC89" s="484">
        <f>(BC33*2+BC47+BC61-BC75)/2</f>
        <v>0</v>
      </c>
      <c r="BD89" s="87">
        <f>(BD33*2+BD47+BD61-BD75)/2</f>
        <v>0</v>
      </c>
      <c r="BE89" s="87">
        <f>(BE33*2+BE47+BE61-BE75)/2</f>
        <v>0</v>
      </c>
      <c r="BF89" s="87">
        <f>(BF33*2+BF47+BF61-BF75)/2</f>
        <v>0</v>
      </c>
      <c r="BG89" s="87">
        <f>(BG33*2+BG47+BG61-BG75)/2</f>
        <v>0</v>
      </c>
      <c r="BH89" s="87">
        <f>(BH33*2+BH47+BH61-BH75)/2</f>
        <v>0</v>
      </c>
      <c r="BI89" s="87">
        <f>(BI33*2+BI47+BI61-BI75)/2</f>
        <v>0</v>
      </c>
      <c r="BJ89" s="87">
        <f>(BJ33*2+BJ47+BJ61-BJ75)/2</f>
        <v>0</v>
      </c>
      <c r="BK89" s="87">
        <f>(BK33*2+BK47+BK61-BK75)/2</f>
        <v>0</v>
      </c>
      <c r="BL89" s="87">
        <f>(BL33*2+BL47+BL61-BL75)/2</f>
        <v>0</v>
      </c>
      <c r="BM89" s="87">
        <f>(BM33*2+BM47+BM61-BM75)/2</f>
        <v>0</v>
      </c>
      <c r="BN89" s="87">
        <f>(BN33*2+BN47+BN61-BN75)/2</f>
        <v>0</v>
      </c>
      <c r="BO89" s="87">
        <f>(BO33*2+BO47+BO61-BO75)/2</f>
        <v>0</v>
      </c>
      <c r="BP89" s="87">
        <f>(BP33*2+BP47+BP61-BP75)/2</f>
        <v>0</v>
      </c>
      <c r="BQ89" s="87">
        <f>(BQ33*2+BQ47+BQ61-BQ75)/2</f>
        <v>0</v>
      </c>
      <c r="BR89" s="87">
        <f>(BR33*2+BR47+BR61-BR75)/2</f>
        <v>0</v>
      </c>
      <c r="BS89" s="87">
        <f>(BS33*2+BS47+BS61-BS75)/2</f>
        <v>0</v>
      </c>
      <c r="BT89" s="87">
        <f>(BT33*2+BT47+BT61-BT75)/2</f>
        <v>0</v>
      </c>
      <c r="BU89" s="87">
        <f>(BU33*2+BU47+BU61-BU75)/2</f>
        <v>0</v>
      </c>
      <c r="BV89" s="87">
        <f>(BV33*2+BV47+BV61-BV75)/2</f>
        <v>0</v>
      </c>
      <c r="BW89" s="113"/>
      <c r="BZ89" s="489" t="s">
        <v>1281</v>
      </c>
      <c r="CC89" s="2308" cm="1" t="str">
        <f t="array" ref="CC89:CC89">CC88</f>
        <v>0</v>
      </c>
      <c r="CD89" s="2308" t="s">
        <v>1189</v>
      </c>
      <c r="CE89" s="2308" t="s">
        <v>1193</v>
      </c>
      <c r="CH89" s="2308" t="s">
        <v>886</v>
      </c>
      <c r="CI89" s="2308" t="s">
        <v>303</v>
      </c>
      <c r="CJ89" s="2308" t="s">
        <v>1275</v>
      </c>
      <c r="CK89" s="2308" t="s">
        <v>1276</v>
      </c>
    </row>
    <row customHeight="1" ht="14.625" hidden="1">
      <c r="E90" s="180">
        <v>15</v>
      </c>
      <c r="F90" s="175" cm="1" t="str">
        <f t="array" ref="F90:F90">F89</f>
        <v>0</v>
      </c>
      <c r="T90" s="753" cm="1" t="str">
        <f t="array" ref="T90:T90">T89</f>
        <v>false</v>
      </c>
      <c r="AB90" s="339" t="str">
        <f>AB88&amp;".2"</f>
        <v>5.4.2</v>
      </c>
      <c r="AC90" s="636" t="s">
        <v>1195</v>
      </c>
      <c r="AD90" s="339" t="s">
        <v>1178</v>
      </c>
      <c r="AE90" s="87">
        <f>(AE34*2+AE48+AE62-AE76)/2</f>
        <v>0</v>
      </c>
      <c r="AF90" s="87">
        <f>(AF34*2+AF48+AF62-AF76)/2</f>
        <v>0</v>
      </c>
      <c r="AG90" s="87">
        <f>(AG34*2+AG48+AG62-AG76)/2</f>
        <v>0</v>
      </c>
      <c r="AH90" s="87">
        <f>(AH34*2+AH48+AH62-AH76)/2</f>
        <v>0</v>
      </c>
      <c r="AI90" s="484">
        <f>(AI34*2+AI48+AI62-AI76)/2</f>
        <v>0</v>
      </c>
      <c r="AJ90" s="87">
        <f>(AJ34*2+AJ48+AJ62-AJ76)/2</f>
        <v>0</v>
      </c>
      <c r="AK90" s="87">
        <f>(AK34*2+AK48+AK62-AK76)/2</f>
        <v>0</v>
      </c>
      <c r="AL90" s="87">
        <f>(AL34*2+AL48+AL62-AL76)/2</f>
        <v>0</v>
      </c>
      <c r="AM90" s="87">
        <f>(AM34*2+AM48+AM62-AM76)/2</f>
        <v>0</v>
      </c>
      <c r="AN90" s="87">
        <f>(AN34*2+AN48+AN62-AN76)/2</f>
        <v>0</v>
      </c>
      <c r="AO90" s="87">
        <f>(AO34*2+AO48+AO62-AO76)/2</f>
        <v>0</v>
      </c>
      <c r="AP90" s="87">
        <f>(AP34*2+AP48+AP62-AP76)/2</f>
        <v>0</v>
      </c>
      <c r="AQ90" s="87">
        <f>(AQ34*2+AQ48+AQ62-AQ76)/2</f>
        <v>0</v>
      </c>
      <c r="AR90" s="87">
        <f>(AR34*2+AR48+AR62-AR76)/2</f>
        <v>0</v>
      </c>
      <c r="AS90" s="87">
        <f>(AS34*2+AS48+AS62-AS76)/2</f>
        <v>0</v>
      </c>
      <c r="AT90" s="87">
        <f>(AT34*2+AT48+AT62-AT76)/2</f>
        <v>0</v>
      </c>
      <c r="AU90" s="87">
        <f>(AU34*2+AU48+AU62-AU76)/2</f>
        <v>0</v>
      </c>
      <c r="AV90" s="87">
        <f>(AV34*2+AV48+AV62-AV76)/2</f>
        <v>0</v>
      </c>
      <c r="AW90" s="87">
        <f>(AW34*2+AW48+AW62-AW76)/2</f>
        <v>0</v>
      </c>
      <c r="AX90" s="87">
        <f>(AX34*2+AX48+AX62-AX76)/2</f>
        <v>0</v>
      </c>
      <c r="AY90" s="87">
        <f>(AY34*2+AY48+AY62-AY76)/2</f>
        <v>0</v>
      </c>
      <c r="AZ90" s="87">
        <f>(AZ34*2+AZ48+AZ62-AZ76)/2</f>
        <v>0</v>
      </c>
      <c r="BA90" s="87">
        <f>(BA34*2+BA48+BA62-BA76)/2</f>
        <v>0</v>
      </c>
      <c r="BB90" s="87">
        <f>(BB34*2+BB48+BB62-BB76)/2</f>
        <v>0</v>
      </c>
      <c r="BC90" s="484">
        <f>(BC34*2+BC48+BC62-BC76)/2</f>
        <v>0</v>
      </c>
      <c r="BD90" s="87">
        <f>(BD34*2+BD48+BD62-BD76)/2</f>
        <v>0</v>
      </c>
      <c r="BE90" s="87">
        <f>(BE34*2+BE48+BE62-BE76)/2</f>
        <v>0</v>
      </c>
      <c r="BF90" s="87">
        <f>(BF34*2+BF48+BF62-BF76)/2</f>
        <v>0</v>
      </c>
      <c r="BG90" s="87">
        <f>(BG34*2+BG48+BG62-BG76)/2</f>
        <v>0</v>
      </c>
      <c r="BH90" s="87">
        <f>(BH34*2+BH48+BH62-BH76)/2</f>
        <v>0</v>
      </c>
      <c r="BI90" s="87">
        <f>(BI34*2+BI48+BI62-BI76)/2</f>
        <v>0</v>
      </c>
      <c r="BJ90" s="87">
        <f>(BJ34*2+BJ48+BJ62-BJ76)/2</f>
        <v>0</v>
      </c>
      <c r="BK90" s="87">
        <f>(BK34*2+BK48+BK62-BK76)/2</f>
        <v>0</v>
      </c>
      <c r="BL90" s="87">
        <f>(BL34*2+BL48+BL62-BL76)/2</f>
        <v>0</v>
      </c>
      <c r="BM90" s="87">
        <f>(BM34*2+BM48+BM62-BM76)/2</f>
        <v>0</v>
      </c>
      <c r="BN90" s="87">
        <f>(BN34*2+BN48+BN62-BN76)/2</f>
        <v>0</v>
      </c>
      <c r="BO90" s="87">
        <f>(BO34*2+BO48+BO62-BO76)/2</f>
        <v>0</v>
      </c>
      <c r="BP90" s="87">
        <f>(BP34*2+BP48+BP62-BP76)/2</f>
        <v>0</v>
      </c>
      <c r="BQ90" s="87">
        <f>(BQ34*2+BQ48+BQ62-BQ76)/2</f>
        <v>0</v>
      </c>
      <c r="BR90" s="87">
        <f>(BR34*2+BR48+BR62-BR76)/2</f>
        <v>0</v>
      </c>
      <c r="BS90" s="87">
        <f>(BS34*2+BS48+BS62-BS76)/2</f>
        <v>0</v>
      </c>
      <c r="BT90" s="87">
        <f>(BT34*2+BT48+BT62-BT76)/2</f>
        <v>0</v>
      </c>
      <c r="BU90" s="87">
        <f>(BU34*2+BU48+BU62-BU76)/2</f>
        <v>0</v>
      </c>
      <c r="BV90" s="87">
        <f>(BV34*2+BV48+BV62-BV76)/2</f>
        <v>0</v>
      </c>
      <c r="BW90" s="113"/>
      <c r="BZ90" s="489" t="s">
        <v>1282</v>
      </c>
      <c r="CC90" s="2308" cm="1" t="str">
        <f t="array" ref="CC90:CC90">CC89</f>
        <v>0</v>
      </c>
      <c r="CD90" s="2308" t="s">
        <v>1189</v>
      </c>
      <c r="CE90" s="2308" t="s">
        <v>1197</v>
      </c>
      <c r="CH90" s="2308" t="s">
        <v>886</v>
      </c>
      <c r="CI90" s="2308" t="s">
        <v>303</v>
      </c>
      <c r="CJ90" s="2308" t="s">
        <v>1275</v>
      </c>
      <c r="CK90" s="2308" t="s">
        <v>1276</v>
      </c>
    </row>
    <row customHeight="1" ht="14.625" hidden="1">
      <c r="E91" s="180">
        <v>15</v>
      </c>
      <c r="F91" s="175" cm="1" t="str">
        <f t="array" ref="F91:F91">F90</f>
        <v>0</v>
      </c>
      <c r="T91" s="753" cm="1" t="str">
        <f t="array" ref="T91:T91">T90</f>
        <v>false</v>
      </c>
      <c r="AB91" s="339" t="str">
        <f>AB88&amp;".3"</f>
        <v>5.4.3</v>
      </c>
      <c r="AC91" s="636" t="s">
        <v>1199</v>
      </c>
      <c r="AD91" s="339" t="s">
        <v>1178</v>
      </c>
      <c r="AE91" s="87">
        <f>(AE35*2+AE49+AE63-AE77)/2</f>
        <v>0</v>
      </c>
      <c r="AF91" s="87">
        <f>(AF35*2+AF49+AF63-AF77)/2</f>
        <v>0</v>
      </c>
      <c r="AG91" s="87">
        <f>(AG35*2+AG49+AG63-AG77)/2</f>
        <v>0</v>
      </c>
      <c r="AH91" s="87">
        <f>(AH35*2+AH49+AH63-AH77)/2</f>
        <v>0</v>
      </c>
      <c r="AI91" s="484">
        <f>(AI35*2+AI49+AI63-AI77)/2</f>
        <v>0</v>
      </c>
      <c r="AJ91" s="87">
        <f>(AJ35*2+AJ49+AJ63-AJ77)/2</f>
        <v>0</v>
      </c>
      <c r="AK91" s="87">
        <f>(AK35*2+AK49+AK63-AK77)/2</f>
        <v>0</v>
      </c>
      <c r="AL91" s="87">
        <f>(AL35*2+AL49+AL63-AL77)/2</f>
        <v>0</v>
      </c>
      <c r="AM91" s="87">
        <f>(AM35*2+AM49+AM63-AM77)/2</f>
        <v>0</v>
      </c>
      <c r="AN91" s="87">
        <f>(AN35*2+AN49+AN63-AN77)/2</f>
        <v>0</v>
      </c>
      <c r="AO91" s="87">
        <f>(AO35*2+AO49+AO63-AO77)/2</f>
        <v>0</v>
      </c>
      <c r="AP91" s="87">
        <f>(AP35*2+AP49+AP63-AP77)/2</f>
        <v>0</v>
      </c>
      <c r="AQ91" s="87">
        <f>(AQ35*2+AQ49+AQ63-AQ77)/2</f>
        <v>0</v>
      </c>
      <c r="AR91" s="87">
        <f>(AR35*2+AR49+AR63-AR77)/2</f>
        <v>0</v>
      </c>
      <c r="AS91" s="87">
        <f>(AS35*2+AS49+AS63-AS77)/2</f>
        <v>0</v>
      </c>
      <c r="AT91" s="87">
        <f>(AT35*2+AT49+AT63-AT77)/2</f>
        <v>0</v>
      </c>
      <c r="AU91" s="87">
        <f>(AU35*2+AU49+AU63-AU77)/2</f>
        <v>0</v>
      </c>
      <c r="AV91" s="87">
        <f>(AV35*2+AV49+AV63-AV77)/2</f>
        <v>0</v>
      </c>
      <c r="AW91" s="87">
        <f>(AW35*2+AW49+AW63-AW77)/2</f>
        <v>0</v>
      </c>
      <c r="AX91" s="87">
        <f>(AX35*2+AX49+AX63-AX77)/2</f>
        <v>0</v>
      </c>
      <c r="AY91" s="87">
        <f>(AY35*2+AY49+AY63-AY77)/2</f>
        <v>0</v>
      </c>
      <c r="AZ91" s="87">
        <f>(AZ35*2+AZ49+AZ63-AZ77)/2</f>
        <v>0</v>
      </c>
      <c r="BA91" s="87">
        <f>(BA35*2+BA49+BA63-BA77)/2</f>
        <v>0</v>
      </c>
      <c r="BB91" s="87">
        <f>(BB35*2+BB49+BB63-BB77)/2</f>
        <v>0</v>
      </c>
      <c r="BC91" s="484">
        <f>(BC35*2+BC49+BC63-BC77)/2</f>
        <v>0</v>
      </c>
      <c r="BD91" s="87">
        <f>(BD35*2+BD49+BD63-BD77)/2</f>
        <v>0</v>
      </c>
      <c r="BE91" s="87">
        <f>(BE35*2+BE49+BE63-BE77)/2</f>
        <v>0</v>
      </c>
      <c r="BF91" s="87">
        <f>(BF35*2+BF49+BF63-BF77)/2</f>
        <v>0</v>
      </c>
      <c r="BG91" s="87">
        <f>(BG35*2+BG49+BG63-BG77)/2</f>
        <v>0</v>
      </c>
      <c r="BH91" s="87">
        <f>(BH35*2+BH49+BH63-BH77)/2</f>
        <v>0</v>
      </c>
      <c r="BI91" s="87">
        <f>(BI35*2+BI49+BI63-BI77)/2</f>
        <v>0</v>
      </c>
      <c r="BJ91" s="87">
        <f>(BJ35*2+BJ49+BJ63-BJ77)/2</f>
        <v>0</v>
      </c>
      <c r="BK91" s="87">
        <f>(BK35*2+BK49+BK63-BK77)/2</f>
        <v>0</v>
      </c>
      <c r="BL91" s="87">
        <f>(BL35*2+BL49+BL63-BL77)/2</f>
        <v>0</v>
      </c>
      <c r="BM91" s="87">
        <f>(BM35*2+BM49+BM63-BM77)/2</f>
        <v>0</v>
      </c>
      <c r="BN91" s="87">
        <f>(BN35*2+BN49+BN63-BN77)/2</f>
        <v>0</v>
      </c>
      <c r="BO91" s="87">
        <f>(BO35*2+BO49+BO63-BO77)/2</f>
        <v>0</v>
      </c>
      <c r="BP91" s="87">
        <f>(BP35*2+BP49+BP63-BP77)/2</f>
        <v>0</v>
      </c>
      <c r="BQ91" s="87">
        <f>(BQ35*2+BQ49+BQ63-BQ77)/2</f>
        <v>0</v>
      </c>
      <c r="BR91" s="87">
        <f>(BR35*2+BR49+BR63-BR77)/2</f>
        <v>0</v>
      </c>
      <c r="BS91" s="87">
        <f>(BS35*2+BS49+BS63-BS77)/2</f>
        <v>0</v>
      </c>
      <c r="BT91" s="87">
        <f>(BT35*2+BT49+BT63-BT77)/2</f>
        <v>0</v>
      </c>
      <c r="BU91" s="87">
        <f>(BU35*2+BU49+BU63-BU77)/2</f>
        <v>0</v>
      </c>
      <c r="BV91" s="87">
        <f>(BV35*2+BV49+BV63-BV77)/2</f>
        <v>0</v>
      </c>
      <c r="BW91" s="113"/>
      <c r="BZ91" s="489" t="s">
        <v>1283</v>
      </c>
      <c r="CC91" s="2308" cm="1" t="str">
        <f t="array" ref="CC91:CC91">CC90</f>
        <v>0</v>
      </c>
      <c r="CD91" s="2308" t="s">
        <v>1189</v>
      </c>
      <c r="CE91" s="2308" t="s">
        <v>1201</v>
      </c>
      <c r="CH91" s="2308" t="s">
        <v>886</v>
      </c>
      <c r="CI91" s="2308" t="s">
        <v>303</v>
      </c>
      <c r="CJ91" s="2308" t="s">
        <v>1275</v>
      </c>
      <c r="CK91" s="2308" t="s">
        <v>1276</v>
      </c>
    </row>
    <row customHeight="1" ht="14.625" hidden="1">
      <c r="E92" s="180">
        <v>15</v>
      </c>
      <c r="F92" s="175" cm="1" t="str">
        <f t="array" ref="F92:F92">F91</f>
        <v>0</v>
      </c>
      <c r="T92" s="753" cm="1" t="str">
        <f t="array" ref="T92:T92">T91</f>
        <v>false</v>
      </c>
      <c r="AB92" s="339" t="str">
        <f>AB88&amp;".4"</f>
        <v>5.4.4</v>
      </c>
      <c r="AC92" s="636" t="s">
        <v>1203</v>
      </c>
      <c r="AD92" s="339" t="s">
        <v>1178</v>
      </c>
      <c r="AE92" s="87">
        <f>(AE36*2+AE50+AE64-AE78)/2</f>
        <v>0</v>
      </c>
      <c r="AF92" s="87">
        <f>(AF36*2+AF50+AF64-AF78)/2</f>
        <v>0</v>
      </c>
      <c r="AG92" s="87">
        <f>(AG36*2+AG50+AG64-AG78)/2</f>
        <v>0</v>
      </c>
      <c r="AH92" s="87">
        <f>(AH36*2+AH50+AH64-AH78)/2</f>
        <v>0</v>
      </c>
      <c r="AI92" s="484">
        <f>(AI36*2+AI50+AI64-AI78)/2</f>
        <v>0</v>
      </c>
      <c r="AJ92" s="87">
        <f>(AJ36*2+AJ50+AJ64-AJ78)/2</f>
        <v>0</v>
      </c>
      <c r="AK92" s="87">
        <f>(AK36*2+AK50+AK64-AK78)/2</f>
        <v>0</v>
      </c>
      <c r="AL92" s="87">
        <f>(AL36*2+AL50+AL64-AL78)/2</f>
        <v>0</v>
      </c>
      <c r="AM92" s="87">
        <f>(AM36*2+AM50+AM64-AM78)/2</f>
        <v>0</v>
      </c>
      <c r="AN92" s="87">
        <f>(AN36*2+AN50+AN64-AN78)/2</f>
        <v>0</v>
      </c>
      <c r="AO92" s="87">
        <f>(AO36*2+AO50+AO64-AO78)/2</f>
        <v>0</v>
      </c>
      <c r="AP92" s="87">
        <f>(AP36*2+AP50+AP64-AP78)/2</f>
        <v>0</v>
      </c>
      <c r="AQ92" s="87">
        <f>(AQ36*2+AQ50+AQ64-AQ78)/2</f>
        <v>0</v>
      </c>
      <c r="AR92" s="87">
        <f>(AR36*2+AR50+AR64-AR78)/2</f>
        <v>0</v>
      </c>
      <c r="AS92" s="87">
        <f>(AS36*2+AS50+AS64-AS78)/2</f>
        <v>0</v>
      </c>
      <c r="AT92" s="87">
        <f>(AT36*2+AT50+AT64-AT78)/2</f>
        <v>0</v>
      </c>
      <c r="AU92" s="87">
        <f>(AU36*2+AU50+AU64-AU78)/2</f>
        <v>0</v>
      </c>
      <c r="AV92" s="87">
        <f>(AV36*2+AV50+AV64-AV78)/2</f>
        <v>0</v>
      </c>
      <c r="AW92" s="87">
        <f>(AW36*2+AW50+AW64-AW78)/2</f>
        <v>0</v>
      </c>
      <c r="AX92" s="87">
        <f>(AX36*2+AX50+AX64-AX78)/2</f>
        <v>0</v>
      </c>
      <c r="AY92" s="87">
        <f>(AY36*2+AY50+AY64-AY78)/2</f>
        <v>0</v>
      </c>
      <c r="AZ92" s="87">
        <f>(AZ36*2+AZ50+AZ64-AZ78)/2</f>
        <v>0</v>
      </c>
      <c r="BA92" s="87">
        <f>(BA36*2+BA50+BA64-BA78)/2</f>
        <v>0</v>
      </c>
      <c r="BB92" s="87">
        <f>(BB36*2+BB50+BB64-BB78)/2</f>
        <v>0</v>
      </c>
      <c r="BC92" s="484">
        <f>(BC36*2+BC50+BC64-BC78)/2</f>
        <v>0</v>
      </c>
      <c r="BD92" s="87">
        <f>(BD36*2+BD50+BD64-BD78)/2</f>
        <v>0</v>
      </c>
      <c r="BE92" s="87">
        <f>(BE36*2+BE50+BE64-BE78)/2</f>
        <v>0</v>
      </c>
      <c r="BF92" s="87">
        <f>(BF36*2+BF50+BF64-BF78)/2</f>
        <v>0</v>
      </c>
      <c r="BG92" s="87">
        <f>(BG36*2+BG50+BG64-BG78)/2</f>
        <v>0</v>
      </c>
      <c r="BH92" s="87">
        <f>(BH36*2+BH50+BH64-BH78)/2</f>
        <v>0</v>
      </c>
      <c r="BI92" s="87">
        <f>(BI36*2+BI50+BI64-BI78)/2</f>
        <v>0</v>
      </c>
      <c r="BJ92" s="87">
        <f>(BJ36*2+BJ50+BJ64-BJ78)/2</f>
        <v>0</v>
      </c>
      <c r="BK92" s="87">
        <f>(BK36*2+BK50+BK64-BK78)/2</f>
        <v>0</v>
      </c>
      <c r="BL92" s="87">
        <f>(BL36*2+BL50+BL64-BL78)/2</f>
        <v>0</v>
      </c>
      <c r="BM92" s="87">
        <f>(BM36*2+BM50+BM64-BM78)/2</f>
        <v>0</v>
      </c>
      <c r="BN92" s="87">
        <f>(BN36*2+BN50+BN64-BN78)/2</f>
        <v>0</v>
      </c>
      <c r="BO92" s="87">
        <f>(BO36*2+BO50+BO64-BO78)/2</f>
        <v>0</v>
      </c>
      <c r="BP92" s="87">
        <f>(BP36*2+BP50+BP64-BP78)/2</f>
        <v>0</v>
      </c>
      <c r="BQ92" s="87">
        <f>(BQ36*2+BQ50+BQ64-BQ78)/2</f>
        <v>0</v>
      </c>
      <c r="BR92" s="87">
        <f>(BR36*2+BR50+BR64-BR78)/2</f>
        <v>0</v>
      </c>
      <c r="BS92" s="87">
        <f>(BS36*2+BS50+BS64-BS78)/2</f>
        <v>0</v>
      </c>
      <c r="BT92" s="87">
        <f>(BT36*2+BT50+BT64-BT78)/2</f>
        <v>0</v>
      </c>
      <c r="BU92" s="87">
        <f>(BU36*2+BU50+BU64-BU78)/2</f>
        <v>0</v>
      </c>
      <c r="BV92" s="87">
        <f>(BV36*2+BV50+BV64-BV78)/2</f>
        <v>0</v>
      </c>
      <c r="BW92" s="113"/>
      <c r="BZ92" s="489" t="s">
        <v>1284</v>
      </c>
      <c r="CC92" s="2308" cm="1" t="str">
        <f t="array" ref="CC92:CC92">CC91</f>
        <v>0</v>
      </c>
      <c r="CD92" s="2308" t="s">
        <v>1189</v>
      </c>
      <c r="CE92" s="2308" t="s">
        <v>1205</v>
      </c>
      <c r="CH92" s="2308" t="s">
        <v>886</v>
      </c>
      <c r="CI92" s="2308" t="s">
        <v>303</v>
      </c>
      <c r="CJ92" s="2308" t="s">
        <v>1275</v>
      </c>
      <c r="CK92" s="2308" t="s">
        <v>1276</v>
      </c>
    </row>
    <row customHeight="1" ht="14.625" hidden="1">
      <c r="E93" s="180">
        <v>15</v>
      </c>
      <c r="F93" s="175" cm="1" t="str">
        <f t="array" ref="F93:F93">F92</f>
        <v>0</v>
      </c>
      <c r="T93" s="753" cm="1" t="str">
        <f t="array" ref="T93:T93">T92</f>
        <v>false</v>
      </c>
      <c r="AB93" s="339" t="str">
        <f>AB88&amp;".5"</f>
        <v>5.4.5</v>
      </c>
      <c r="AC93" s="636" t="s">
        <v>1207</v>
      </c>
      <c r="AD93" s="339" t="s">
        <v>1178</v>
      </c>
      <c r="AE93" s="87">
        <f>(AE37*2+AE51+AE65-AE79)/2</f>
        <v>0</v>
      </c>
      <c r="AF93" s="87">
        <f>(AF37*2+AF51+AF65-AF79)/2</f>
        <v>0</v>
      </c>
      <c r="AG93" s="87">
        <f>(AG37*2+AG51+AG65-AG79)/2</f>
        <v>0</v>
      </c>
      <c r="AH93" s="87">
        <f>(AH37*2+AH51+AH65-AH79)/2</f>
        <v>0</v>
      </c>
      <c r="AI93" s="484">
        <f>(AI37*2+AI51+AI65-AI79)/2</f>
        <v>0</v>
      </c>
      <c r="AJ93" s="87">
        <f>(AJ37*2+AJ51+AJ65-AJ79)/2</f>
        <v>0</v>
      </c>
      <c r="AK93" s="87">
        <f>(AK37*2+AK51+AK65-AK79)/2</f>
        <v>0</v>
      </c>
      <c r="AL93" s="87">
        <f>(AL37*2+AL51+AL65-AL79)/2</f>
        <v>0</v>
      </c>
      <c r="AM93" s="87">
        <f>(AM37*2+AM51+AM65-AM79)/2</f>
        <v>0</v>
      </c>
      <c r="AN93" s="87">
        <f>(AN37*2+AN51+AN65-AN79)/2</f>
        <v>0</v>
      </c>
      <c r="AO93" s="87">
        <f>(AO37*2+AO51+AO65-AO79)/2</f>
        <v>0</v>
      </c>
      <c r="AP93" s="87">
        <f>(AP37*2+AP51+AP65-AP79)/2</f>
        <v>0</v>
      </c>
      <c r="AQ93" s="87">
        <f>(AQ37*2+AQ51+AQ65-AQ79)/2</f>
        <v>0</v>
      </c>
      <c r="AR93" s="87">
        <f>(AR37*2+AR51+AR65-AR79)/2</f>
        <v>0</v>
      </c>
      <c r="AS93" s="87">
        <f>(AS37*2+AS51+AS65-AS79)/2</f>
        <v>0</v>
      </c>
      <c r="AT93" s="87">
        <f>(AT37*2+AT51+AT65-AT79)/2</f>
        <v>0</v>
      </c>
      <c r="AU93" s="87">
        <f>(AU37*2+AU51+AU65-AU79)/2</f>
        <v>0</v>
      </c>
      <c r="AV93" s="87">
        <f>(AV37*2+AV51+AV65-AV79)/2</f>
        <v>0</v>
      </c>
      <c r="AW93" s="87">
        <f>(AW37*2+AW51+AW65-AW79)/2</f>
        <v>0</v>
      </c>
      <c r="AX93" s="87">
        <f>(AX37*2+AX51+AX65-AX79)/2</f>
        <v>0</v>
      </c>
      <c r="AY93" s="87">
        <f>(AY37*2+AY51+AY65-AY79)/2</f>
        <v>0</v>
      </c>
      <c r="AZ93" s="87">
        <f>(AZ37*2+AZ51+AZ65-AZ79)/2</f>
        <v>0</v>
      </c>
      <c r="BA93" s="87">
        <f>(BA37*2+BA51+BA65-BA79)/2</f>
        <v>0</v>
      </c>
      <c r="BB93" s="87">
        <f>(BB37*2+BB51+BB65-BB79)/2</f>
        <v>0</v>
      </c>
      <c r="BC93" s="484">
        <f>(BC37*2+BC51+BC65-BC79)/2</f>
        <v>0</v>
      </c>
      <c r="BD93" s="87">
        <f>(BD37*2+BD51+BD65-BD79)/2</f>
        <v>0</v>
      </c>
      <c r="BE93" s="87">
        <f>(BE37*2+BE51+BE65-BE79)/2</f>
        <v>0</v>
      </c>
      <c r="BF93" s="87">
        <f>(BF37*2+BF51+BF65-BF79)/2</f>
        <v>0</v>
      </c>
      <c r="BG93" s="87">
        <f>(BG37*2+BG51+BG65-BG79)/2</f>
        <v>0</v>
      </c>
      <c r="BH93" s="87">
        <f>(BH37*2+BH51+BH65-BH79)/2</f>
        <v>0</v>
      </c>
      <c r="BI93" s="87">
        <f>(BI37*2+BI51+BI65-BI79)/2</f>
        <v>0</v>
      </c>
      <c r="BJ93" s="87">
        <f>(BJ37*2+BJ51+BJ65-BJ79)/2</f>
        <v>0</v>
      </c>
      <c r="BK93" s="87">
        <f>(BK37*2+BK51+BK65-BK79)/2</f>
        <v>0</v>
      </c>
      <c r="BL93" s="87">
        <f>(BL37*2+BL51+BL65-BL79)/2</f>
        <v>0</v>
      </c>
      <c r="BM93" s="87">
        <f>(BM37*2+BM51+BM65-BM79)/2</f>
        <v>0</v>
      </c>
      <c r="BN93" s="87">
        <f>(BN37*2+BN51+BN65-BN79)/2</f>
        <v>0</v>
      </c>
      <c r="BO93" s="87">
        <f>(BO37*2+BO51+BO65-BO79)/2</f>
        <v>0</v>
      </c>
      <c r="BP93" s="87">
        <f>(BP37*2+BP51+BP65-BP79)/2</f>
        <v>0</v>
      </c>
      <c r="BQ93" s="87">
        <f>(BQ37*2+BQ51+BQ65-BQ79)/2</f>
        <v>0</v>
      </c>
      <c r="BR93" s="87">
        <f>(BR37*2+BR51+BR65-BR79)/2</f>
        <v>0</v>
      </c>
      <c r="BS93" s="87">
        <f>(BS37*2+BS51+BS65-BS79)/2</f>
        <v>0</v>
      </c>
      <c r="BT93" s="87">
        <f>(BT37*2+BT51+BT65-BT79)/2</f>
        <v>0</v>
      </c>
      <c r="BU93" s="87">
        <f>(BU37*2+BU51+BU65-BU79)/2</f>
        <v>0</v>
      </c>
      <c r="BV93" s="87">
        <f>(BV37*2+BV51+BV65-BV79)/2</f>
        <v>0</v>
      </c>
      <c r="BW93" s="113"/>
      <c r="BZ93" s="489" t="s">
        <v>1285</v>
      </c>
      <c r="CC93" s="2308" cm="1" t="str">
        <f t="array" ref="CC93:CC93">CC92</f>
        <v>0</v>
      </c>
      <c r="CD93" s="2308" t="s">
        <v>1189</v>
      </c>
      <c r="CE93" s="2308" t="s">
        <v>1209</v>
      </c>
      <c r="CH93" s="2308" t="s">
        <v>886</v>
      </c>
      <c r="CI93" s="2308" t="s">
        <v>303</v>
      </c>
      <c r="CJ93" s="2308" t="s">
        <v>1275</v>
      </c>
      <c r="CK93" s="2308" t="s">
        <v>1276</v>
      </c>
    </row>
    <row customHeight="1" ht="14.625" hidden="1">
      <c r="E94" s="180">
        <v>15</v>
      </c>
      <c r="F94" s="175" cm="1" t="str">
        <f t="array" ref="F94:F94">F93</f>
        <v>0</v>
      </c>
      <c r="T94" s="753" cm="1" t="str">
        <f t="array" ref="T94:T94">T93</f>
        <v>false</v>
      </c>
      <c r="AB94" s="339" t="str">
        <f>AB84&amp;".5"</f>
        <v>5.5</v>
      </c>
      <c r="AC94" s="228" t="s">
        <v>1210</v>
      </c>
      <c r="AD94" s="339" t="s">
        <v>1178</v>
      </c>
      <c r="AE94" s="87">
        <f>(AE38*2+AE52+AE66-AE80)/2</f>
        <v>0</v>
      </c>
      <c r="AF94" s="87">
        <f>(AF38*2+AF52+AF66-AF80)/2</f>
        <v>0</v>
      </c>
      <c r="AG94" s="87">
        <f>(AG38*2+AG52+AG66-AG80)/2</f>
        <v>0</v>
      </c>
      <c r="AH94" s="87">
        <f>(AH38*2+AH52+AH66-AH80)/2</f>
        <v>0</v>
      </c>
      <c r="AI94" s="484">
        <f>(AI38*2+AI52+AI66-AI80)/2</f>
        <v>0</v>
      </c>
      <c r="AJ94" s="87">
        <f>(AJ38*2+AJ52+AJ66-AJ80)/2</f>
        <v>0</v>
      </c>
      <c r="AK94" s="87">
        <f>(AK38*2+AK52+AK66-AK80)/2</f>
        <v>0</v>
      </c>
      <c r="AL94" s="87">
        <f>(AL38*2+AL52+AL66-AL80)/2</f>
        <v>0</v>
      </c>
      <c r="AM94" s="87">
        <f>(AM38*2+AM52+AM66-AM80)/2</f>
        <v>0</v>
      </c>
      <c r="AN94" s="87">
        <f>(AN38*2+AN52+AN66-AN80)/2</f>
        <v>0</v>
      </c>
      <c r="AO94" s="87">
        <f>(AO38*2+AO52+AO66-AO80)/2</f>
        <v>0</v>
      </c>
      <c r="AP94" s="87">
        <f>(AP38*2+AP52+AP66-AP80)/2</f>
        <v>0</v>
      </c>
      <c r="AQ94" s="87">
        <f>(AQ38*2+AQ52+AQ66-AQ80)/2</f>
        <v>0</v>
      </c>
      <c r="AR94" s="87">
        <f>(AR38*2+AR52+AR66-AR80)/2</f>
        <v>0</v>
      </c>
      <c r="AS94" s="87">
        <f>(AS38*2+AS52+AS66-AS80)/2</f>
        <v>0</v>
      </c>
      <c r="AT94" s="87">
        <f>(AT38*2+AT52+AT66-AT80)/2</f>
        <v>0</v>
      </c>
      <c r="AU94" s="87">
        <f>(AU38*2+AU52+AU66-AU80)/2</f>
        <v>0</v>
      </c>
      <c r="AV94" s="87">
        <f>(AV38*2+AV52+AV66-AV80)/2</f>
        <v>0</v>
      </c>
      <c r="AW94" s="87">
        <f>(AW38*2+AW52+AW66-AW80)/2</f>
        <v>0</v>
      </c>
      <c r="AX94" s="87">
        <f>(AX38*2+AX52+AX66-AX80)/2</f>
        <v>0</v>
      </c>
      <c r="AY94" s="87">
        <f>(AY38*2+AY52+AY66-AY80)/2</f>
        <v>0</v>
      </c>
      <c r="AZ94" s="87">
        <f>(AZ38*2+AZ52+AZ66-AZ80)/2</f>
        <v>0</v>
      </c>
      <c r="BA94" s="87">
        <f>(BA38*2+BA52+BA66-BA80)/2</f>
        <v>0</v>
      </c>
      <c r="BB94" s="87">
        <f>(BB38*2+BB52+BB66-BB80)/2</f>
        <v>0</v>
      </c>
      <c r="BC94" s="484">
        <f>(BC38*2+BC52+BC66-BC80)/2</f>
        <v>0</v>
      </c>
      <c r="BD94" s="87">
        <f>(BD38*2+BD52+BD66-BD80)/2</f>
        <v>0</v>
      </c>
      <c r="BE94" s="87">
        <f>(BE38*2+BE52+BE66-BE80)/2</f>
        <v>0</v>
      </c>
      <c r="BF94" s="87">
        <f>(BF38*2+BF52+BF66-BF80)/2</f>
        <v>0</v>
      </c>
      <c r="BG94" s="87">
        <f>(BG38*2+BG52+BG66-BG80)/2</f>
        <v>0</v>
      </c>
      <c r="BH94" s="87">
        <f>(BH38*2+BH52+BH66-BH80)/2</f>
        <v>0</v>
      </c>
      <c r="BI94" s="87">
        <f>(BI38*2+BI52+BI66-BI80)/2</f>
        <v>0</v>
      </c>
      <c r="BJ94" s="87">
        <f>(BJ38*2+BJ52+BJ66-BJ80)/2</f>
        <v>0</v>
      </c>
      <c r="BK94" s="87">
        <f>(BK38*2+BK52+BK66-BK80)/2</f>
        <v>0</v>
      </c>
      <c r="BL94" s="87">
        <f>(BL38*2+BL52+BL66-BL80)/2</f>
        <v>0</v>
      </c>
      <c r="BM94" s="87">
        <f>(BM38*2+BM52+BM66-BM80)/2</f>
        <v>0</v>
      </c>
      <c r="BN94" s="87">
        <f>(BN38*2+BN52+BN66-BN80)/2</f>
        <v>0</v>
      </c>
      <c r="BO94" s="87">
        <f>(BO38*2+BO52+BO66-BO80)/2</f>
        <v>0</v>
      </c>
      <c r="BP94" s="87">
        <f>(BP38*2+BP52+BP66-BP80)/2</f>
        <v>0</v>
      </c>
      <c r="BQ94" s="87">
        <f>(BQ38*2+BQ52+BQ66-BQ80)/2</f>
        <v>0</v>
      </c>
      <c r="BR94" s="87">
        <f>(BR38*2+BR52+BR66-BR80)/2</f>
        <v>0</v>
      </c>
      <c r="BS94" s="87">
        <f>(BS38*2+BS52+BS66-BS80)/2</f>
        <v>0</v>
      </c>
      <c r="BT94" s="87">
        <f>(BT38*2+BT52+BT66-BT80)/2</f>
        <v>0</v>
      </c>
      <c r="BU94" s="87">
        <f>(BU38*2+BU52+BU66-BU80)/2</f>
        <v>0</v>
      </c>
      <c r="BV94" s="87">
        <f>(BV38*2+BV52+BV66-BV80)/2</f>
        <v>0</v>
      </c>
      <c r="BW94" s="113"/>
      <c r="BZ94" s="489" t="s">
        <v>1286</v>
      </c>
      <c r="CC94" s="2308" cm="1" t="str">
        <f t="array" ref="CC94:CC94">CC93</f>
        <v>0</v>
      </c>
      <c r="CD94" s="2308" t="s">
        <v>1212</v>
      </c>
      <c r="CH94" s="2308" t="s">
        <v>886</v>
      </c>
      <c r="CI94" s="2308" t="s">
        <v>303</v>
      </c>
      <c r="CJ94" s="2308" t="s">
        <v>1275</v>
      </c>
      <c r="CK94" s="2308" t="s">
        <v>1276</v>
      </c>
    </row>
    <row customHeight="1" ht="14.625" hidden="1">
      <c r="E95" s="180">
        <v>15</v>
      </c>
      <c r="F95" s="175" cm="1" t="str">
        <f t="array" ref="F95:F95">F94</f>
        <v>0</v>
      </c>
      <c r="T95" s="753" cm="1" t="str">
        <f t="array" ref="T95:T95">T94</f>
        <v>false</v>
      </c>
      <c r="AB95" s="339" t="str">
        <f>AB84&amp;".6"</f>
        <v>5.6</v>
      </c>
      <c r="AC95" s="228" t="s">
        <v>1213</v>
      </c>
      <c r="AD95" s="339" t="s">
        <v>1178</v>
      </c>
      <c r="AE95" s="87">
        <f>(AE39*2+AE53+AE67-AE81)/2</f>
        <v>0</v>
      </c>
      <c r="AF95" s="87">
        <f>(AF39*2+AF53+AF67-AF81)/2</f>
        <v>0</v>
      </c>
      <c r="AG95" s="87">
        <f>(AG39*2+AG53+AG67-AG81)/2</f>
        <v>0</v>
      </c>
      <c r="AH95" s="87">
        <f>(AH39*2+AH53+AH67-AH81)/2</f>
        <v>0</v>
      </c>
      <c r="AI95" s="484">
        <f>(AI39*2+AI53+AI67-AI81)/2</f>
        <v>0</v>
      </c>
      <c r="AJ95" s="87">
        <f>(AJ39*2+AJ53+AJ67-AJ81)/2</f>
        <v>0</v>
      </c>
      <c r="AK95" s="87">
        <f>(AK39*2+AK53+AK67-AK81)/2</f>
        <v>0</v>
      </c>
      <c r="AL95" s="87">
        <f>(AL39*2+AL53+AL67-AL81)/2</f>
        <v>0</v>
      </c>
      <c r="AM95" s="87">
        <f>(AM39*2+AM53+AM67-AM81)/2</f>
        <v>0</v>
      </c>
      <c r="AN95" s="87">
        <f>(AN39*2+AN53+AN67-AN81)/2</f>
        <v>0</v>
      </c>
      <c r="AO95" s="87">
        <f>(AO39*2+AO53+AO67-AO81)/2</f>
        <v>0</v>
      </c>
      <c r="AP95" s="87">
        <f>(AP39*2+AP53+AP67-AP81)/2</f>
        <v>0</v>
      </c>
      <c r="AQ95" s="87">
        <f>(AQ39*2+AQ53+AQ67-AQ81)/2</f>
        <v>0</v>
      </c>
      <c r="AR95" s="87">
        <f>(AR39*2+AR53+AR67-AR81)/2</f>
        <v>0</v>
      </c>
      <c r="AS95" s="87">
        <f>(AS39*2+AS53+AS67-AS81)/2</f>
        <v>0</v>
      </c>
      <c r="AT95" s="87">
        <f>(AT39*2+AT53+AT67-AT81)/2</f>
        <v>0</v>
      </c>
      <c r="AU95" s="87">
        <f>(AU39*2+AU53+AU67-AU81)/2</f>
        <v>0</v>
      </c>
      <c r="AV95" s="87">
        <f>(AV39*2+AV53+AV67-AV81)/2</f>
        <v>0</v>
      </c>
      <c r="AW95" s="87">
        <f>(AW39*2+AW53+AW67-AW81)/2</f>
        <v>0</v>
      </c>
      <c r="AX95" s="87">
        <f>(AX39*2+AX53+AX67-AX81)/2</f>
        <v>0</v>
      </c>
      <c r="AY95" s="87">
        <f>(AY39*2+AY53+AY67-AY81)/2</f>
        <v>0</v>
      </c>
      <c r="AZ95" s="87">
        <f>(AZ39*2+AZ53+AZ67-AZ81)/2</f>
        <v>0</v>
      </c>
      <c r="BA95" s="87">
        <f>(BA39*2+BA53+BA67-BA81)/2</f>
        <v>0</v>
      </c>
      <c r="BB95" s="87">
        <f>(BB39*2+BB53+BB67-BB81)/2</f>
        <v>0</v>
      </c>
      <c r="BC95" s="484">
        <f>(BC39*2+BC53+BC67-BC81)/2</f>
        <v>0</v>
      </c>
      <c r="BD95" s="87">
        <f>(BD39*2+BD53+BD67-BD81)/2</f>
        <v>0</v>
      </c>
      <c r="BE95" s="87">
        <f>(BE39*2+BE53+BE67-BE81)/2</f>
        <v>0</v>
      </c>
      <c r="BF95" s="87">
        <f>(BF39*2+BF53+BF67-BF81)/2</f>
        <v>0</v>
      </c>
      <c r="BG95" s="87">
        <f>(BG39*2+BG53+BG67-BG81)/2</f>
        <v>0</v>
      </c>
      <c r="BH95" s="87">
        <f>(BH39*2+BH53+BH67-BH81)/2</f>
        <v>0</v>
      </c>
      <c r="BI95" s="87">
        <f>(BI39*2+BI53+BI67-BI81)/2</f>
        <v>0</v>
      </c>
      <c r="BJ95" s="87">
        <f>(BJ39*2+BJ53+BJ67-BJ81)/2</f>
        <v>0</v>
      </c>
      <c r="BK95" s="87">
        <f>(BK39*2+BK53+BK67-BK81)/2</f>
        <v>0</v>
      </c>
      <c r="BL95" s="87">
        <f>(BL39*2+BL53+BL67-BL81)/2</f>
        <v>0</v>
      </c>
      <c r="BM95" s="87">
        <f>(BM39*2+BM53+BM67-BM81)/2</f>
        <v>0</v>
      </c>
      <c r="BN95" s="87">
        <f>(BN39*2+BN53+BN67-BN81)/2</f>
        <v>0</v>
      </c>
      <c r="BO95" s="87">
        <f>(BO39*2+BO53+BO67-BO81)/2</f>
        <v>0</v>
      </c>
      <c r="BP95" s="87">
        <f>(BP39*2+BP53+BP67-BP81)/2</f>
        <v>0</v>
      </c>
      <c r="BQ95" s="87">
        <f>(BQ39*2+BQ53+BQ67-BQ81)/2</f>
        <v>0</v>
      </c>
      <c r="BR95" s="87">
        <f>(BR39*2+BR53+BR67-BR81)/2</f>
        <v>0</v>
      </c>
      <c r="BS95" s="87">
        <f>(BS39*2+BS53+BS67-BS81)/2</f>
        <v>0</v>
      </c>
      <c r="BT95" s="87">
        <f>(BT39*2+BT53+BT67-BT81)/2</f>
        <v>0</v>
      </c>
      <c r="BU95" s="87">
        <f>(BU39*2+BU53+BU67-BU81)/2</f>
        <v>0</v>
      </c>
      <c r="BV95" s="87">
        <f>(BV39*2+BV53+BV67-BV81)/2</f>
        <v>0</v>
      </c>
      <c r="BW95" s="113"/>
      <c r="BZ95" s="489" t="s">
        <v>1287</v>
      </c>
      <c r="CC95" s="2308" cm="1" t="str">
        <f t="array" ref="CC95:CC95">CC94</f>
        <v>0</v>
      </c>
      <c r="CF95" s="2308" t="s">
        <v>1215</v>
      </c>
      <c r="CH95" s="2308" t="s">
        <v>886</v>
      </c>
      <c r="CI95" s="2308" t="s">
        <v>303</v>
      </c>
      <c r="CJ95" s="2308" t="s">
        <v>1275</v>
      </c>
      <c r="CK95" s="2308" t="s">
        <v>1276</v>
      </c>
    </row>
    <row customHeight="1" ht="14.625" hidden="1">
      <c r="E96" s="180">
        <v>15</v>
      </c>
      <c r="F96" s="175" cm="1" t="str">
        <f t="array" ref="F96:F96">F95</f>
        <v>0</v>
      </c>
      <c r="T96" s="753" cm="1" t="str">
        <f t="array" ref="T96:T96">T95</f>
        <v>false</v>
      </c>
      <c r="AB96" s="339" t="str">
        <f>AB84&amp;".7"</f>
        <v>5.7</v>
      </c>
      <c r="AC96" s="228" t="s">
        <v>1216</v>
      </c>
      <c r="AD96" s="339" t="s">
        <v>1178</v>
      </c>
      <c r="AE96" s="87">
        <f>(AE40*2+AE54+AE68-AE82)/2</f>
        <v>0</v>
      </c>
      <c r="AF96" s="87">
        <f>(AF40*2+AF54+AF68-AF82)/2</f>
        <v>0</v>
      </c>
      <c r="AG96" s="87">
        <f>(AG40*2+AG54+AG68-AG82)/2</f>
        <v>0</v>
      </c>
      <c r="AH96" s="87">
        <f>(AH40*2+AH54+AH68-AH82)/2</f>
        <v>0</v>
      </c>
      <c r="AI96" s="484">
        <f>(AI40*2+AI54+AI68-AI82)/2</f>
        <v>0</v>
      </c>
      <c r="AJ96" s="87">
        <f>(AJ40*2+AJ54+AJ68-AJ82)/2</f>
        <v>0</v>
      </c>
      <c r="AK96" s="87">
        <f>(AK40*2+AK54+AK68-AK82)/2</f>
        <v>0</v>
      </c>
      <c r="AL96" s="87">
        <f>(AL40*2+AL54+AL68-AL82)/2</f>
        <v>0</v>
      </c>
      <c r="AM96" s="87">
        <f>(AM40*2+AM54+AM68-AM82)/2</f>
        <v>0</v>
      </c>
      <c r="AN96" s="87">
        <f>(AN40*2+AN54+AN68-AN82)/2</f>
        <v>0</v>
      </c>
      <c r="AO96" s="87">
        <f>(AO40*2+AO54+AO68-AO82)/2</f>
        <v>0</v>
      </c>
      <c r="AP96" s="87">
        <f>(AP40*2+AP54+AP68-AP82)/2</f>
        <v>0</v>
      </c>
      <c r="AQ96" s="87">
        <f>(AQ40*2+AQ54+AQ68-AQ82)/2</f>
        <v>0</v>
      </c>
      <c r="AR96" s="87">
        <f>(AR40*2+AR54+AR68-AR82)/2</f>
        <v>0</v>
      </c>
      <c r="AS96" s="87">
        <f>(AS40*2+AS54+AS68-AS82)/2</f>
        <v>0</v>
      </c>
      <c r="AT96" s="87">
        <f>(AT40*2+AT54+AT68-AT82)/2</f>
        <v>0</v>
      </c>
      <c r="AU96" s="87">
        <f>(AU40*2+AU54+AU68-AU82)/2</f>
        <v>0</v>
      </c>
      <c r="AV96" s="87">
        <f>(AV40*2+AV54+AV68-AV82)/2</f>
        <v>0</v>
      </c>
      <c r="AW96" s="87">
        <f>(AW40*2+AW54+AW68-AW82)/2</f>
        <v>0</v>
      </c>
      <c r="AX96" s="87">
        <f>(AX40*2+AX54+AX68-AX82)/2</f>
        <v>0</v>
      </c>
      <c r="AY96" s="87">
        <f>(AY40*2+AY54+AY68-AY82)/2</f>
        <v>0</v>
      </c>
      <c r="AZ96" s="87">
        <f>(AZ40*2+AZ54+AZ68-AZ82)/2</f>
        <v>0</v>
      </c>
      <c r="BA96" s="87">
        <f>(BA40*2+BA54+BA68-BA82)/2</f>
        <v>0</v>
      </c>
      <c r="BB96" s="87">
        <f>(BB40*2+BB54+BB68-BB82)/2</f>
        <v>0</v>
      </c>
      <c r="BC96" s="484">
        <f>(BC40*2+BC54+BC68-BC82)/2</f>
        <v>0</v>
      </c>
      <c r="BD96" s="87">
        <f>(BD40*2+BD54+BD68-BD82)/2</f>
        <v>0</v>
      </c>
      <c r="BE96" s="87">
        <f>(BE40*2+BE54+BE68-BE82)/2</f>
        <v>0</v>
      </c>
      <c r="BF96" s="87">
        <f>(BF40*2+BF54+BF68-BF82)/2</f>
        <v>0</v>
      </c>
      <c r="BG96" s="87">
        <f>(BG40*2+BG54+BG68-BG82)/2</f>
        <v>0</v>
      </c>
      <c r="BH96" s="87">
        <f>(BH40*2+BH54+BH68-BH82)/2</f>
        <v>0</v>
      </c>
      <c r="BI96" s="87">
        <f>(BI40*2+BI54+BI68-BI82)/2</f>
        <v>0</v>
      </c>
      <c r="BJ96" s="87">
        <f>(BJ40*2+BJ54+BJ68-BJ82)/2</f>
        <v>0</v>
      </c>
      <c r="BK96" s="87">
        <f>(BK40*2+BK54+BK68-BK82)/2</f>
        <v>0</v>
      </c>
      <c r="BL96" s="87">
        <f>(BL40*2+BL54+BL68-BL82)/2</f>
        <v>0</v>
      </c>
      <c r="BM96" s="87">
        <f>(BM40*2+BM54+BM68-BM82)/2</f>
        <v>0</v>
      </c>
      <c r="BN96" s="87">
        <f>(BN40*2+BN54+BN68-BN82)/2</f>
        <v>0</v>
      </c>
      <c r="BO96" s="87">
        <f>(BO40*2+BO54+BO68-BO82)/2</f>
        <v>0</v>
      </c>
      <c r="BP96" s="87">
        <f>(BP40*2+BP54+BP68-BP82)/2</f>
        <v>0</v>
      </c>
      <c r="BQ96" s="87">
        <f>(BQ40*2+BQ54+BQ68-BQ82)/2</f>
        <v>0</v>
      </c>
      <c r="BR96" s="87">
        <f>(BR40*2+BR54+BR68-BR82)/2</f>
        <v>0</v>
      </c>
      <c r="BS96" s="87">
        <f>(BS40*2+BS54+BS68-BS82)/2</f>
        <v>0</v>
      </c>
      <c r="BT96" s="87">
        <f>(BT40*2+BT54+BT68-BT82)/2</f>
        <v>0</v>
      </c>
      <c r="BU96" s="87">
        <f>(BU40*2+BU54+BU68-BU82)/2</f>
        <v>0</v>
      </c>
      <c r="BV96" s="87">
        <f>(BV40*2+BV54+BV68-BV82)/2</f>
        <v>0</v>
      </c>
      <c r="BW96" s="113"/>
      <c r="BZ96" s="489" t="s">
        <v>1288</v>
      </c>
      <c r="CC96" s="2308" cm="1" t="str">
        <f t="array" ref="CC96:CC96">CC95</f>
        <v>0</v>
      </c>
      <c r="CF96" s="2308" t="s">
        <v>1218</v>
      </c>
      <c r="CH96" s="2308" t="s">
        <v>886</v>
      </c>
      <c r="CI96" s="2308" t="s">
        <v>303</v>
      </c>
      <c r="CJ96" s="2308" t="s">
        <v>1275</v>
      </c>
      <c r="CK96" s="2308" t="s">
        <v>1276</v>
      </c>
    </row>
    <row customHeight="1" ht="14.625" hidden="1">
      <c r="E97" s="180">
        <v>15</v>
      </c>
      <c r="F97" s="175" cm="1" t="str">
        <f t="array" ref="F97:F97">F96</f>
        <v>0</v>
      </c>
      <c r="T97" s="753" cm="1" t="str">
        <f t="array" ref="T97:T97">T96</f>
        <v>false</v>
      </c>
      <c r="AB97" s="339" t="str">
        <f>AB84&amp;".8"</f>
        <v>5.8</v>
      </c>
      <c r="AC97" s="228" t="s">
        <v>1219</v>
      </c>
      <c r="AD97" s="339" t="s">
        <v>1178</v>
      </c>
      <c r="AE97" s="87">
        <f>(AE41*2+AE55+AE69-AE83)/2</f>
        <v>0</v>
      </c>
      <c r="AF97" s="87">
        <f>(AF41*2+AF55+AF69-AF83)/2</f>
        <v>0</v>
      </c>
      <c r="AG97" s="87">
        <f>(AG41*2+AG55+AG69-AG83)/2</f>
        <v>0</v>
      </c>
      <c r="AH97" s="87">
        <f>(AH41*2+AH55+AH69-AH83)/2</f>
        <v>0</v>
      </c>
      <c r="AI97" s="484">
        <f>(AI41*2+AI55+AI69-AI83)/2</f>
        <v>0</v>
      </c>
      <c r="AJ97" s="87">
        <f>(AJ41*2+AJ55+AJ69-AJ83)/2</f>
        <v>0</v>
      </c>
      <c r="AK97" s="87">
        <f>(AK41*2+AK55+AK69-AK83)/2</f>
        <v>0</v>
      </c>
      <c r="AL97" s="87">
        <f>(AL41*2+AL55+AL69-AL83)/2</f>
        <v>0</v>
      </c>
      <c r="AM97" s="87">
        <f>(AM41*2+AM55+AM69-AM83)/2</f>
        <v>0</v>
      </c>
      <c r="AN97" s="87">
        <f>(AN41*2+AN55+AN69-AN83)/2</f>
        <v>0</v>
      </c>
      <c r="AO97" s="87">
        <f>(AO41*2+AO55+AO69-AO83)/2</f>
        <v>0</v>
      </c>
      <c r="AP97" s="87">
        <f>(AP41*2+AP55+AP69-AP83)/2</f>
        <v>0</v>
      </c>
      <c r="AQ97" s="87">
        <f>(AQ41*2+AQ55+AQ69-AQ83)/2</f>
        <v>0</v>
      </c>
      <c r="AR97" s="87">
        <f>(AR41*2+AR55+AR69-AR83)/2</f>
        <v>0</v>
      </c>
      <c r="AS97" s="87">
        <f>(AS41*2+AS55+AS69-AS83)/2</f>
        <v>0</v>
      </c>
      <c r="AT97" s="87">
        <f>(AT41*2+AT55+AT69-AT83)/2</f>
        <v>0</v>
      </c>
      <c r="AU97" s="87">
        <f>(AU41*2+AU55+AU69-AU83)/2</f>
        <v>0</v>
      </c>
      <c r="AV97" s="87">
        <f>(AV41*2+AV55+AV69-AV83)/2</f>
        <v>0</v>
      </c>
      <c r="AW97" s="87">
        <f>(AW41*2+AW55+AW69-AW83)/2</f>
        <v>0</v>
      </c>
      <c r="AX97" s="87">
        <f>(AX41*2+AX55+AX69-AX83)/2</f>
        <v>0</v>
      </c>
      <c r="AY97" s="87">
        <f>(AY41*2+AY55+AY69-AY83)/2</f>
        <v>0</v>
      </c>
      <c r="AZ97" s="87">
        <f>(AZ41*2+AZ55+AZ69-AZ83)/2</f>
        <v>0</v>
      </c>
      <c r="BA97" s="87">
        <f>(BA41*2+BA55+BA69-BA83)/2</f>
        <v>0</v>
      </c>
      <c r="BB97" s="87">
        <f>(BB41*2+BB55+BB69-BB83)/2</f>
        <v>0</v>
      </c>
      <c r="BC97" s="484">
        <f>(BC41*2+BC55+BC69-BC83)/2</f>
        <v>0</v>
      </c>
      <c r="BD97" s="87">
        <f>(BD41*2+BD55+BD69-BD83)/2</f>
        <v>0</v>
      </c>
      <c r="BE97" s="87">
        <f>(BE41*2+BE55+BE69-BE83)/2</f>
        <v>0</v>
      </c>
      <c r="BF97" s="87">
        <f>(BF41*2+BF55+BF69-BF83)/2</f>
        <v>0</v>
      </c>
      <c r="BG97" s="87">
        <f>(BG41*2+BG55+BG69-BG83)/2</f>
        <v>0</v>
      </c>
      <c r="BH97" s="87">
        <f>(BH41*2+BH55+BH69-BH83)/2</f>
        <v>0</v>
      </c>
      <c r="BI97" s="87">
        <f>(BI41*2+BI55+BI69-BI83)/2</f>
        <v>0</v>
      </c>
      <c r="BJ97" s="87">
        <f>(BJ41*2+BJ55+BJ69-BJ83)/2</f>
        <v>0</v>
      </c>
      <c r="BK97" s="87">
        <f>(BK41*2+BK55+BK69-BK83)/2</f>
        <v>0</v>
      </c>
      <c r="BL97" s="87">
        <f>(BL41*2+BL55+BL69-BL83)/2</f>
        <v>0</v>
      </c>
      <c r="BM97" s="87">
        <f>(BM41*2+BM55+BM69-BM83)/2</f>
        <v>0</v>
      </c>
      <c r="BN97" s="87">
        <f>(BN41*2+BN55+BN69-BN83)/2</f>
        <v>0</v>
      </c>
      <c r="BO97" s="87">
        <f>(BO41*2+BO55+BO69-BO83)/2</f>
        <v>0</v>
      </c>
      <c r="BP97" s="87">
        <f>(BP41*2+BP55+BP69-BP83)/2</f>
        <v>0</v>
      </c>
      <c r="BQ97" s="87">
        <f>(BQ41*2+BQ55+BQ69-BQ83)/2</f>
        <v>0</v>
      </c>
      <c r="BR97" s="87">
        <f>(BR41*2+BR55+BR69-BR83)/2</f>
        <v>0</v>
      </c>
      <c r="BS97" s="87">
        <f>(BS41*2+BS55+BS69-BS83)/2</f>
        <v>0</v>
      </c>
      <c r="BT97" s="87">
        <f>(BT41*2+BT55+BT69-BT83)/2</f>
        <v>0</v>
      </c>
      <c r="BU97" s="87">
        <f>(BU41*2+BU55+BU69-BU83)/2</f>
        <v>0</v>
      </c>
      <c r="BV97" s="87">
        <f>(BV41*2+BV55+BV69-BV83)/2</f>
        <v>0</v>
      </c>
      <c r="BW97" s="113"/>
      <c r="BZ97" s="489" t="s">
        <v>1289</v>
      </c>
      <c r="CC97" s="2308" cm="1" t="str">
        <f t="array" ref="CC97:CC97">CC96</f>
        <v>0</v>
      </c>
      <c r="CD97" s="2308" t="s">
        <v>1221</v>
      </c>
      <c r="CH97" s="2308" t="s">
        <v>1290</v>
      </c>
      <c r="CI97" s="2308" t="s">
        <v>303</v>
      </c>
      <c r="CJ97" s="2308" t="s">
        <v>1275</v>
      </c>
      <c r="CK97" s="2308" t="s">
        <v>1276</v>
      </c>
    </row>
    <row s="986" customFormat="1" customHeight="1" ht="22.425" hidden="1">
      <c r="E98" s="180">
        <v>23</v>
      </c>
      <c r="F98" s="175" cm="1" t="str">
        <f t="array" ref="F98:F98">F97</f>
        <v>0</v>
      </c>
      <c r="T98" s="753" cm="1" t="str">
        <f t="array" ref="T98:T98">T97</f>
        <v>false</v>
      </c>
      <c r="AB98" s="556">
        <v>6</v>
      </c>
      <c r="AC98" s="555" t="s">
        <v>1291</v>
      </c>
      <c r="AD98" s="633" t="s">
        <v>495</v>
      </c>
      <c r="AE98" s="105"/>
      <c r="AF98" s="105"/>
      <c r="AG98" s="105"/>
      <c r="AH98" s="105"/>
      <c r="AI98" s="588"/>
      <c r="AJ98" s="105"/>
      <c r="AK98" s="105"/>
      <c r="AL98" s="105"/>
      <c r="AM98" s="105"/>
      <c r="AN98" s="105"/>
      <c r="AO98" s="105"/>
      <c r="AP98" s="105"/>
      <c r="AQ98" s="105"/>
      <c r="AR98" s="105"/>
      <c r="AS98" s="105"/>
      <c r="AT98" s="105"/>
      <c r="AU98" s="105"/>
      <c r="AV98" s="105"/>
      <c r="AW98" s="105"/>
      <c r="AX98" s="105"/>
      <c r="AY98" s="105"/>
      <c r="AZ98" s="105"/>
      <c r="BA98" s="105"/>
      <c r="BB98" s="105"/>
      <c r="BC98" s="588"/>
      <c r="BD98" s="105"/>
      <c r="BE98" s="105"/>
      <c r="BF98" s="105"/>
      <c r="BG98" s="105"/>
      <c r="BH98" s="105"/>
      <c r="BI98" s="105"/>
      <c r="BJ98" s="105"/>
      <c r="BK98" s="105"/>
      <c r="BL98" s="105"/>
      <c r="BM98" s="105"/>
      <c r="BN98" s="105"/>
      <c r="BO98" s="105"/>
      <c r="BP98" s="105"/>
      <c r="BQ98" s="105"/>
      <c r="BR98" s="105"/>
      <c r="BS98" s="105"/>
      <c r="BT98" s="105"/>
      <c r="BU98" s="105"/>
      <c r="BV98" s="105"/>
      <c r="BW98" s="83"/>
      <c r="BZ98" s="489" t="s">
        <v>1292</v>
      </c>
      <c r="CC98" s="0" cm="1" t="str">
        <f t="array" ref="CC98:CC98">CC97</f>
        <v>0</v>
      </c>
      <c r="CH98" s="0" t="s">
        <v>1290</v>
      </c>
      <c r="CI98" s="0" t="s">
        <v>303</v>
      </c>
      <c r="CJ98" s="0" t="s">
        <v>1293</v>
      </c>
      <c r="CK98" s="0" t="s">
        <v>1294</v>
      </c>
    </row>
    <row customHeight="1" ht="14.625" hidden="1">
      <c r="E99" s="180">
        <v>15</v>
      </c>
      <c r="F99" s="175" cm="1" t="str">
        <f t="array" ref="F99:F99">F98</f>
        <v>0</v>
      </c>
      <c r="T99" s="753" cm="1" t="str">
        <f t="array" ref="T99:T99">T98</f>
        <v>false</v>
      </c>
      <c r="AB99" s="633" t="str">
        <f>AB98&amp;".1"</f>
        <v>6.1</v>
      </c>
      <c r="AC99" s="634" t="s">
        <v>1177</v>
      </c>
      <c r="AD99" s="633" t="s">
        <v>495</v>
      </c>
      <c r="AE99" s="71">
        <f>IF(AE85=0,0,AE113/AE85*100)</f>
        <v>0</v>
      </c>
      <c r="AF99" s="71">
        <f>IF(AF85=0,0,AF113/AF85*100)</f>
        <v>0</v>
      </c>
      <c r="AG99" s="71">
        <f>IF(AG85=0,0,AG113/AG85*100)</f>
        <v>0</v>
      </c>
      <c r="AH99" s="71">
        <f>IF(AH85=0,0,AH113/AH85*100)</f>
        <v>0</v>
      </c>
      <c r="AI99" s="353">
        <f>IF(AI85=0,0,AI113/AI85*100)</f>
        <v>0</v>
      </c>
      <c r="AJ99" s="71">
        <f>IF(AJ85=0,0,AJ113/AJ85*100)</f>
        <v>0</v>
      </c>
      <c r="AK99" s="71">
        <f>IF(AK85=0,0,AK113/AK85*100)</f>
        <v>0</v>
      </c>
      <c r="AL99" s="71">
        <f>IF(AL85=0,0,AL113/AL85*100)</f>
        <v>0</v>
      </c>
      <c r="AM99" s="71">
        <f>IF(AM85=0,0,AM113/AM85*100)</f>
        <v>0</v>
      </c>
      <c r="AN99" s="71">
        <f>IF(AN85=0,0,AN113/AN85*100)</f>
        <v>0</v>
      </c>
      <c r="AO99" s="71">
        <f>IF(AO85=0,0,AO113/AO85*100)</f>
        <v>0</v>
      </c>
      <c r="AP99" s="71">
        <f>IF(AP85=0,0,AP113/AP85*100)</f>
        <v>0</v>
      </c>
      <c r="AQ99" s="71">
        <f>IF(AQ85=0,0,AQ113/AQ85*100)</f>
        <v>0</v>
      </c>
      <c r="AR99" s="71">
        <f>IF(AR85=0,0,AR113/AR85*100)</f>
        <v>0</v>
      </c>
      <c r="AS99" s="71">
        <f>IF(AS85=0,0,AS113/AS85*100)</f>
        <v>0</v>
      </c>
      <c r="AT99" s="71">
        <f>IF(AT85=0,0,AT113/AT85*100)</f>
        <v>0</v>
      </c>
      <c r="AU99" s="71">
        <f>IF(AU85=0,0,AU113/AU85*100)</f>
        <v>0</v>
      </c>
      <c r="AV99" s="71">
        <f>IF(AV85=0,0,AV113/AV85*100)</f>
        <v>0</v>
      </c>
      <c r="AW99" s="71">
        <f>IF(AW85=0,0,AW113/AW85*100)</f>
        <v>0</v>
      </c>
      <c r="AX99" s="71">
        <f>IF(AX85=0,0,AX113/AX85*100)</f>
        <v>0</v>
      </c>
      <c r="AY99" s="71">
        <f>IF(AY85=0,0,AY113/AY85*100)</f>
        <v>0</v>
      </c>
      <c r="AZ99" s="71">
        <f>IF(AZ85=0,0,AZ113/AZ85*100)</f>
        <v>0</v>
      </c>
      <c r="BA99" s="71">
        <f>IF(BA85=0,0,BA113/BA85*100)</f>
        <v>0</v>
      </c>
      <c r="BB99" s="71">
        <f>IF(BB85=0,0,BB113/BB85*100)</f>
        <v>0</v>
      </c>
      <c r="BC99" s="353">
        <f>IF(BC85=0,0,BC113/BC85*100)</f>
        <v>0</v>
      </c>
      <c r="BD99" s="71">
        <f>IF(BD85=0,0,BD113/BD85*100)</f>
        <v>0</v>
      </c>
      <c r="BE99" s="71">
        <f>IF(BE85=0,0,BE113/BE85*100)</f>
        <v>0</v>
      </c>
      <c r="BF99" s="71">
        <f>IF(BF85=0,0,BF113/BF85*100)</f>
        <v>0</v>
      </c>
      <c r="BG99" s="71">
        <f>IF(BG85=0,0,BG113/BG85*100)</f>
        <v>0</v>
      </c>
      <c r="BH99" s="71">
        <f>IF(BH85=0,0,BH113/BH85*100)</f>
        <v>0</v>
      </c>
      <c r="BI99" s="71">
        <f>IF(BI85=0,0,BI113/BI85*100)</f>
        <v>0</v>
      </c>
      <c r="BJ99" s="71">
        <f>IF(BJ85=0,0,BJ113/BJ85*100)</f>
        <v>0</v>
      </c>
      <c r="BK99" s="71">
        <f>IF(BK85=0,0,BK113/BK85*100)</f>
        <v>0</v>
      </c>
      <c r="BL99" s="71">
        <f>IF(BL85=0,0,BL113/BL85*100)</f>
        <v>0</v>
      </c>
      <c r="BM99" s="71">
        <f>IF(BM85=0,0,BM113/BM85*100)</f>
        <v>0</v>
      </c>
      <c r="BN99" s="71">
        <f>IF(BN85=0,0,BN113/BN85*100)</f>
        <v>0</v>
      </c>
      <c r="BO99" s="71">
        <f>IF(BO85=0,0,BO113/BO85*100)</f>
        <v>0</v>
      </c>
      <c r="BP99" s="71">
        <f>IF(BP85=0,0,BP113/BP85*100)</f>
        <v>0</v>
      </c>
      <c r="BQ99" s="71">
        <f>IF(BQ85=0,0,BQ113/BQ85*100)</f>
        <v>0</v>
      </c>
      <c r="BR99" s="71">
        <f>IF(BR85=0,0,BR113/BR85*100)</f>
        <v>0</v>
      </c>
      <c r="BS99" s="71">
        <f>IF(BS85=0,0,BS113/BS85*100)</f>
        <v>0</v>
      </c>
      <c r="BT99" s="71">
        <f>IF(BT85=0,0,BT113/BT85*100)</f>
        <v>0</v>
      </c>
      <c r="BU99" s="71">
        <f>IF(BU85=0,0,BU113/BU85*100)</f>
        <v>0</v>
      </c>
      <c r="BV99" s="71">
        <f>IF(BV85=0,0,BV113/BV85*100)</f>
        <v>0</v>
      </c>
      <c r="BW99" s="83"/>
      <c r="BZ99" s="489" t="s">
        <v>1295</v>
      </c>
      <c r="CC99" s="2308" cm="1" t="str">
        <f t="array" ref="CC99:CC99">CC98</f>
        <v>0</v>
      </c>
      <c r="CD99" s="2308" t="s">
        <v>1180</v>
      </c>
      <c r="CH99" s="2308" t="s">
        <v>1290</v>
      </c>
      <c r="CI99" s="2308" t="s">
        <v>303</v>
      </c>
      <c r="CJ99" s="2308" t="s">
        <v>1293</v>
      </c>
      <c r="CK99" s="2308" t="s">
        <v>1294</v>
      </c>
    </row>
    <row customHeight="1" ht="14.625" hidden="1">
      <c r="E100" s="180">
        <v>15</v>
      </c>
      <c r="F100" s="175" cm="1" t="str">
        <f t="array" ref="F100:F100">F99</f>
        <v>0</v>
      </c>
      <c r="T100" s="753" cm="1" t="str">
        <f t="array" ref="T100:T100">T99</f>
        <v>false</v>
      </c>
      <c r="AB100" s="633" t="str">
        <f>AB98&amp;".2"</f>
        <v>6.2</v>
      </c>
      <c r="AC100" s="634" t="s">
        <v>1181</v>
      </c>
      <c r="AD100" s="633" t="s">
        <v>495</v>
      </c>
      <c r="AE100" s="71">
        <f>IF(AE86=0,0,AE114/AE86*100)</f>
        <v>0</v>
      </c>
      <c r="AF100" s="71">
        <f>IF(AF86=0,0,AF114/AF86*100)</f>
        <v>0</v>
      </c>
      <c r="AG100" s="71">
        <f>IF(AG86=0,0,AG114/AG86*100)</f>
        <v>0</v>
      </c>
      <c r="AH100" s="71">
        <f>IF(AH86=0,0,AH114/AH86*100)</f>
        <v>0</v>
      </c>
      <c r="AI100" s="353">
        <f>IF(AI86=0,0,AI114/AI86*100)</f>
        <v>0</v>
      </c>
      <c r="AJ100" s="71">
        <f>IF(AJ86=0,0,AJ114/AJ86*100)</f>
        <v>0</v>
      </c>
      <c r="AK100" s="71">
        <f>IF(AK86=0,0,AK114/AK86*100)</f>
        <v>0</v>
      </c>
      <c r="AL100" s="71">
        <f>IF(AL86=0,0,AL114/AL86*100)</f>
        <v>0</v>
      </c>
      <c r="AM100" s="71">
        <f>IF(AM86=0,0,AM114/AM86*100)</f>
        <v>0</v>
      </c>
      <c r="AN100" s="71">
        <f>IF(AN86=0,0,AN114/AN86*100)</f>
        <v>0</v>
      </c>
      <c r="AO100" s="71">
        <f>IF(AO86=0,0,AO114/AO86*100)</f>
        <v>0</v>
      </c>
      <c r="AP100" s="71">
        <f>IF(AP86=0,0,AP114/AP86*100)</f>
        <v>0</v>
      </c>
      <c r="AQ100" s="71">
        <f>IF(AQ86=0,0,AQ114/AQ86*100)</f>
        <v>0</v>
      </c>
      <c r="AR100" s="71">
        <f>IF(AR86=0,0,AR114/AR86*100)</f>
        <v>0</v>
      </c>
      <c r="AS100" s="71">
        <f>IF(AS86=0,0,AS114/AS86*100)</f>
        <v>0</v>
      </c>
      <c r="AT100" s="71">
        <f>IF(AT86=0,0,AT114/AT86*100)</f>
        <v>0</v>
      </c>
      <c r="AU100" s="71">
        <f>IF(AU86=0,0,AU114/AU86*100)</f>
        <v>0</v>
      </c>
      <c r="AV100" s="71">
        <f>IF(AV86=0,0,AV114/AV86*100)</f>
        <v>0</v>
      </c>
      <c r="AW100" s="71">
        <f>IF(AW86=0,0,AW114/AW86*100)</f>
        <v>0</v>
      </c>
      <c r="AX100" s="71">
        <f>IF(AX86=0,0,AX114/AX86*100)</f>
        <v>0</v>
      </c>
      <c r="AY100" s="71">
        <f>IF(AY86=0,0,AY114/AY86*100)</f>
        <v>0</v>
      </c>
      <c r="AZ100" s="71">
        <f>IF(AZ86=0,0,AZ114/AZ86*100)</f>
        <v>0</v>
      </c>
      <c r="BA100" s="71">
        <f>IF(BA86=0,0,BA114/BA86*100)</f>
        <v>0</v>
      </c>
      <c r="BB100" s="71">
        <f>IF(BB86=0,0,BB114/BB86*100)</f>
        <v>0</v>
      </c>
      <c r="BC100" s="353">
        <f>IF(BC86=0,0,BC114/BC86*100)</f>
        <v>0</v>
      </c>
      <c r="BD100" s="71">
        <f>IF(BD86=0,0,BD114/BD86*100)</f>
        <v>0</v>
      </c>
      <c r="BE100" s="71">
        <f>IF(BE86=0,0,BE114/BE86*100)</f>
        <v>0</v>
      </c>
      <c r="BF100" s="71">
        <f>IF(BF86=0,0,BF114/BF86*100)</f>
        <v>0</v>
      </c>
      <c r="BG100" s="71">
        <f>IF(BG86=0,0,BG114/BG86*100)</f>
        <v>0</v>
      </c>
      <c r="BH100" s="71">
        <f>IF(BH86=0,0,BH114/BH86*100)</f>
        <v>0</v>
      </c>
      <c r="BI100" s="71">
        <f>IF(BI86=0,0,BI114/BI86*100)</f>
        <v>0</v>
      </c>
      <c r="BJ100" s="71">
        <f>IF(BJ86=0,0,BJ114/BJ86*100)</f>
        <v>0</v>
      </c>
      <c r="BK100" s="71">
        <f>IF(BK86=0,0,BK114/BK86*100)</f>
        <v>0</v>
      </c>
      <c r="BL100" s="71">
        <f>IF(BL86=0,0,BL114/BL86*100)</f>
        <v>0</v>
      </c>
      <c r="BM100" s="71">
        <f>IF(BM86=0,0,BM114/BM86*100)</f>
        <v>0</v>
      </c>
      <c r="BN100" s="71">
        <f>IF(BN86=0,0,BN114/BN86*100)</f>
        <v>0</v>
      </c>
      <c r="BO100" s="71">
        <f>IF(BO86=0,0,BO114/BO86*100)</f>
        <v>0</v>
      </c>
      <c r="BP100" s="71">
        <f>IF(BP86=0,0,BP114/BP86*100)</f>
        <v>0</v>
      </c>
      <c r="BQ100" s="71">
        <f>IF(BQ86=0,0,BQ114/BQ86*100)</f>
        <v>0</v>
      </c>
      <c r="BR100" s="71">
        <f>IF(BR86=0,0,BR114/BR86*100)</f>
        <v>0</v>
      </c>
      <c r="BS100" s="71">
        <f>IF(BS86=0,0,BS114/BS86*100)</f>
        <v>0</v>
      </c>
      <c r="BT100" s="71">
        <f>IF(BT86=0,0,BT114/BT86*100)</f>
        <v>0</v>
      </c>
      <c r="BU100" s="71">
        <f>IF(BU86=0,0,BU114/BU86*100)</f>
        <v>0</v>
      </c>
      <c r="BV100" s="71">
        <f>IF(BV86=0,0,BV114/BV86*100)</f>
        <v>0</v>
      </c>
      <c r="BW100" s="83"/>
      <c r="BZ100" s="489" t="s">
        <v>1296</v>
      </c>
      <c r="CC100" s="2308" cm="1" t="str">
        <f t="array" ref="CC100:CC100">CC99</f>
        <v>0</v>
      </c>
      <c r="CD100" s="2308" t="s">
        <v>1183</v>
      </c>
      <c r="CH100" s="2308" t="s">
        <v>1290</v>
      </c>
      <c r="CI100" s="2308" t="s">
        <v>303</v>
      </c>
      <c r="CJ100" s="2308" t="s">
        <v>1293</v>
      </c>
      <c r="CK100" s="2308" t="s">
        <v>1294</v>
      </c>
    </row>
    <row customHeight="1" ht="14.625" hidden="1">
      <c r="E101" s="180">
        <v>15</v>
      </c>
      <c r="F101" s="175" cm="1" t="str">
        <f t="array" ref="F101:F101">F100</f>
        <v>0</v>
      </c>
      <c r="T101" s="753" cm="1" t="str">
        <f t="array" ref="T101:T101">T100</f>
        <v>false</v>
      </c>
      <c r="AB101" s="633" t="str">
        <f>AB98&amp;".3"</f>
        <v>6.3</v>
      </c>
      <c r="AC101" s="634" t="s">
        <v>1184</v>
      </c>
      <c r="AD101" s="633" t="s">
        <v>495</v>
      </c>
      <c r="AE101" s="71">
        <f>IF(AE87=0,0,AE115/AE87*100)</f>
        <v>0</v>
      </c>
      <c r="AF101" s="71">
        <f>IF(AF87=0,0,AF115/AF87*100)</f>
        <v>0</v>
      </c>
      <c r="AG101" s="71">
        <f>IF(AG87=0,0,AG115/AG87*100)</f>
        <v>0</v>
      </c>
      <c r="AH101" s="71">
        <f>IF(AH87=0,0,AH115/AH87*100)</f>
        <v>0</v>
      </c>
      <c r="AI101" s="353">
        <f>IF(AI87=0,0,AI115/AI87*100)</f>
        <v>0</v>
      </c>
      <c r="AJ101" s="71">
        <f>IF(AJ87=0,0,AJ115/AJ87*100)</f>
        <v>0</v>
      </c>
      <c r="AK101" s="71">
        <f>IF(AK87=0,0,AK115/AK87*100)</f>
        <v>0</v>
      </c>
      <c r="AL101" s="71">
        <f>IF(AL87=0,0,AL115/AL87*100)</f>
        <v>0</v>
      </c>
      <c r="AM101" s="71">
        <f>IF(AM87=0,0,AM115/AM87*100)</f>
        <v>0</v>
      </c>
      <c r="AN101" s="71">
        <f>IF(AN87=0,0,AN115/AN87*100)</f>
        <v>0</v>
      </c>
      <c r="AO101" s="71">
        <f>IF(AO87=0,0,AO115/AO87*100)</f>
        <v>0</v>
      </c>
      <c r="AP101" s="71">
        <f>IF(AP87=0,0,AP115/AP87*100)</f>
        <v>0</v>
      </c>
      <c r="AQ101" s="71">
        <f>IF(AQ87=0,0,AQ115/AQ87*100)</f>
        <v>0</v>
      </c>
      <c r="AR101" s="71">
        <f>IF(AR87=0,0,AR115/AR87*100)</f>
        <v>0</v>
      </c>
      <c r="AS101" s="71">
        <f>IF(AS87=0,0,AS115/AS87*100)</f>
        <v>0</v>
      </c>
      <c r="AT101" s="71">
        <f>IF(AT87=0,0,AT115/AT87*100)</f>
        <v>0</v>
      </c>
      <c r="AU101" s="71">
        <f>IF(AU87=0,0,AU115/AU87*100)</f>
        <v>0</v>
      </c>
      <c r="AV101" s="71">
        <f>IF(AV87=0,0,AV115/AV87*100)</f>
        <v>0</v>
      </c>
      <c r="AW101" s="71">
        <f>IF(AW87=0,0,AW115/AW87*100)</f>
        <v>0</v>
      </c>
      <c r="AX101" s="71">
        <f>IF(AX87=0,0,AX115/AX87*100)</f>
        <v>0</v>
      </c>
      <c r="AY101" s="71">
        <f>IF(AY87=0,0,AY115/AY87*100)</f>
        <v>0</v>
      </c>
      <c r="AZ101" s="71">
        <f>IF(AZ87=0,0,AZ115/AZ87*100)</f>
        <v>0</v>
      </c>
      <c r="BA101" s="71">
        <f>IF(BA87=0,0,BA115/BA87*100)</f>
        <v>0</v>
      </c>
      <c r="BB101" s="71">
        <f>IF(BB87=0,0,BB115/BB87*100)</f>
        <v>0</v>
      </c>
      <c r="BC101" s="353">
        <f>IF(BC87=0,0,BC115/BC87*100)</f>
        <v>0</v>
      </c>
      <c r="BD101" s="71">
        <f>IF(BD87=0,0,BD115/BD87*100)</f>
        <v>0</v>
      </c>
      <c r="BE101" s="71">
        <f>IF(BE87=0,0,BE115/BE87*100)</f>
        <v>0</v>
      </c>
      <c r="BF101" s="71">
        <f>IF(BF87=0,0,BF115/BF87*100)</f>
        <v>0</v>
      </c>
      <c r="BG101" s="71">
        <f>IF(BG87=0,0,BG115/BG87*100)</f>
        <v>0</v>
      </c>
      <c r="BH101" s="71">
        <f>IF(BH87=0,0,BH115/BH87*100)</f>
        <v>0</v>
      </c>
      <c r="BI101" s="71">
        <f>IF(BI87=0,0,BI115/BI87*100)</f>
        <v>0</v>
      </c>
      <c r="BJ101" s="71">
        <f>IF(BJ87=0,0,BJ115/BJ87*100)</f>
        <v>0</v>
      </c>
      <c r="BK101" s="71">
        <f>IF(BK87=0,0,BK115/BK87*100)</f>
        <v>0</v>
      </c>
      <c r="BL101" s="71">
        <f>IF(BL87=0,0,BL115/BL87*100)</f>
        <v>0</v>
      </c>
      <c r="BM101" s="71">
        <f>IF(BM87=0,0,BM115/BM87*100)</f>
        <v>0</v>
      </c>
      <c r="BN101" s="71">
        <f>IF(BN87=0,0,BN115/BN87*100)</f>
        <v>0</v>
      </c>
      <c r="BO101" s="71">
        <f>IF(BO87=0,0,BO115/BO87*100)</f>
        <v>0</v>
      </c>
      <c r="BP101" s="71">
        <f>IF(BP87=0,0,BP115/BP87*100)</f>
        <v>0</v>
      </c>
      <c r="BQ101" s="71">
        <f>IF(BQ87=0,0,BQ115/BQ87*100)</f>
        <v>0</v>
      </c>
      <c r="BR101" s="71">
        <f>IF(BR87=0,0,BR115/BR87*100)</f>
        <v>0</v>
      </c>
      <c r="BS101" s="71">
        <f>IF(BS87=0,0,BS115/BS87*100)</f>
        <v>0</v>
      </c>
      <c r="BT101" s="71">
        <f>IF(BT87=0,0,BT115/BT87*100)</f>
        <v>0</v>
      </c>
      <c r="BU101" s="71">
        <f>IF(BU87=0,0,BU115/BU87*100)</f>
        <v>0</v>
      </c>
      <c r="BV101" s="71">
        <f>IF(BV87=0,0,BV115/BV87*100)</f>
        <v>0</v>
      </c>
      <c r="BW101" s="83"/>
      <c r="BZ101" s="489" t="s">
        <v>1297</v>
      </c>
      <c r="CC101" s="2308" cm="1" t="str">
        <f t="array" ref="CC101:CC101">CC100</f>
        <v>0</v>
      </c>
      <c r="CD101" s="2308" t="s">
        <v>1186</v>
      </c>
      <c r="CH101" s="2308" t="s">
        <v>1290</v>
      </c>
      <c r="CI101" s="2308" t="s">
        <v>303</v>
      </c>
      <c r="CJ101" s="2308" t="s">
        <v>1293</v>
      </c>
      <c r="CK101" s="2308" t="s">
        <v>1294</v>
      </c>
    </row>
    <row customHeight="1" ht="14.625" hidden="1">
      <c r="E102" s="180">
        <v>15</v>
      </c>
      <c r="F102" s="175" cm="1" t="str">
        <f t="array" ref="F102:F102">F101</f>
        <v>0</v>
      </c>
      <c r="T102" s="753" cm="1" t="str">
        <f t="array" ref="T102:T102">T101</f>
        <v>false</v>
      </c>
      <c r="AB102" s="633" t="str">
        <f>AB98&amp;".4"</f>
        <v>6.4</v>
      </c>
      <c r="AC102" s="634" t="s">
        <v>1187</v>
      </c>
      <c r="AD102" s="633" t="s">
        <v>495</v>
      </c>
      <c r="AE102" s="71">
        <f>IF(AE88=0,0,AE116/AE88*100)</f>
        <v>0</v>
      </c>
      <c r="AF102" s="71">
        <f>IF(AF88=0,0,AF116/AF88*100)</f>
        <v>0</v>
      </c>
      <c r="AG102" s="71">
        <f>IF(AG88=0,0,AG116/AG88*100)</f>
        <v>0</v>
      </c>
      <c r="AH102" s="71">
        <f>IF(AH88=0,0,AH116/AH88*100)</f>
        <v>0</v>
      </c>
      <c r="AI102" s="353">
        <f>IF(AI88=0,0,AI116/AI88*100)</f>
        <v>0</v>
      </c>
      <c r="AJ102" s="71">
        <f>IF(AJ88=0,0,AJ116/AJ88*100)</f>
        <v>0</v>
      </c>
      <c r="AK102" s="71">
        <f>IF(AK88=0,0,AK116/AK88*100)</f>
        <v>0</v>
      </c>
      <c r="AL102" s="71">
        <f>IF(AL88=0,0,AL116/AL88*100)</f>
        <v>0</v>
      </c>
      <c r="AM102" s="71">
        <f>IF(AM88=0,0,AM116/AM88*100)</f>
        <v>0</v>
      </c>
      <c r="AN102" s="71">
        <f>IF(AN88=0,0,AN116/AN88*100)</f>
        <v>0</v>
      </c>
      <c r="AO102" s="71">
        <f>IF(AO88=0,0,AO116/AO88*100)</f>
        <v>0</v>
      </c>
      <c r="AP102" s="71">
        <f>IF(AP88=0,0,AP116/AP88*100)</f>
        <v>0</v>
      </c>
      <c r="AQ102" s="71">
        <f>IF(AQ88=0,0,AQ116/AQ88*100)</f>
        <v>0</v>
      </c>
      <c r="AR102" s="71">
        <f>IF(AR88=0,0,AR116/AR88*100)</f>
        <v>0</v>
      </c>
      <c r="AS102" s="71">
        <f>IF(AS88=0,0,AS116/AS88*100)</f>
        <v>0</v>
      </c>
      <c r="AT102" s="71">
        <f>IF(AT88=0,0,AT116/AT88*100)</f>
        <v>0</v>
      </c>
      <c r="AU102" s="71">
        <f>IF(AU88=0,0,AU116/AU88*100)</f>
        <v>0</v>
      </c>
      <c r="AV102" s="71">
        <f>IF(AV88=0,0,AV116/AV88*100)</f>
        <v>0</v>
      </c>
      <c r="AW102" s="71">
        <f>IF(AW88=0,0,AW116/AW88*100)</f>
        <v>0</v>
      </c>
      <c r="AX102" s="71">
        <f>IF(AX88=0,0,AX116/AX88*100)</f>
        <v>0</v>
      </c>
      <c r="AY102" s="71">
        <f>IF(AY88=0,0,AY116/AY88*100)</f>
        <v>0</v>
      </c>
      <c r="AZ102" s="71">
        <f>IF(AZ88=0,0,AZ116/AZ88*100)</f>
        <v>0</v>
      </c>
      <c r="BA102" s="71">
        <f>IF(BA88=0,0,BA116/BA88*100)</f>
        <v>0</v>
      </c>
      <c r="BB102" s="71">
        <f>IF(BB88=0,0,BB116/BB88*100)</f>
        <v>0</v>
      </c>
      <c r="BC102" s="353">
        <f>IF(BC88=0,0,BC116/BC88*100)</f>
        <v>0</v>
      </c>
      <c r="BD102" s="71">
        <f>IF(BD88=0,0,BD116/BD88*100)</f>
        <v>0</v>
      </c>
      <c r="BE102" s="71">
        <f>IF(BE88=0,0,BE116/BE88*100)</f>
        <v>0</v>
      </c>
      <c r="BF102" s="71">
        <f>IF(BF88=0,0,BF116/BF88*100)</f>
        <v>0</v>
      </c>
      <c r="BG102" s="71">
        <f>IF(BG88=0,0,BG116/BG88*100)</f>
        <v>0</v>
      </c>
      <c r="BH102" s="71">
        <f>IF(BH88=0,0,BH116/BH88*100)</f>
        <v>0</v>
      </c>
      <c r="BI102" s="71">
        <f>IF(BI88=0,0,BI116/BI88*100)</f>
        <v>0</v>
      </c>
      <c r="BJ102" s="71">
        <f>IF(BJ88=0,0,BJ116/BJ88*100)</f>
        <v>0</v>
      </c>
      <c r="BK102" s="71">
        <f>IF(BK88=0,0,BK116/BK88*100)</f>
        <v>0</v>
      </c>
      <c r="BL102" s="71">
        <f>IF(BL88=0,0,BL116/BL88*100)</f>
        <v>0</v>
      </c>
      <c r="BM102" s="71">
        <f>IF(BM88=0,0,BM116/BM88*100)</f>
        <v>0</v>
      </c>
      <c r="BN102" s="71">
        <f>IF(BN88=0,0,BN116/BN88*100)</f>
        <v>0</v>
      </c>
      <c r="BO102" s="71">
        <f>IF(BO88=0,0,BO116/BO88*100)</f>
        <v>0</v>
      </c>
      <c r="BP102" s="71">
        <f>IF(BP88=0,0,BP116/BP88*100)</f>
        <v>0</v>
      </c>
      <c r="BQ102" s="71">
        <f>IF(BQ88=0,0,BQ116/BQ88*100)</f>
        <v>0</v>
      </c>
      <c r="BR102" s="71">
        <f>IF(BR88=0,0,BR116/BR88*100)</f>
        <v>0</v>
      </c>
      <c r="BS102" s="71">
        <f>IF(BS88=0,0,BS116/BS88*100)</f>
        <v>0</v>
      </c>
      <c r="BT102" s="71">
        <f>IF(BT88=0,0,BT116/BT88*100)</f>
        <v>0</v>
      </c>
      <c r="BU102" s="71">
        <f>IF(BU88=0,0,BU116/BU88*100)</f>
        <v>0</v>
      </c>
      <c r="BV102" s="71">
        <f>IF(BV88=0,0,BV116/BV88*100)</f>
        <v>0</v>
      </c>
      <c r="BW102" s="83"/>
      <c r="BZ102" s="489" t="s">
        <v>1298</v>
      </c>
      <c r="CC102" s="2308" cm="1" t="str">
        <f t="array" ref="CC102:CC102">CC101</f>
        <v>0</v>
      </c>
      <c r="CD102" s="2308" t="s">
        <v>1189</v>
      </c>
      <c r="CH102" s="2308" t="s">
        <v>1290</v>
      </c>
      <c r="CI102" s="2308" t="s">
        <v>303</v>
      </c>
      <c r="CJ102" s="2308" t="s">
        <v>1293</v>
      </c>
      <c r="CK102" s="2308" t="s">
        <v>1294</v>
      </c>
    </row>
    <row customHeight="1" ht="14.625" hidden="1">
      <c r="E103" s="180">
        <v>15</v>
      </c>
      <c r="F103" s="175" cm="1" t="str">
        <f t="array" ref="F103:F103">F102</f>
        <v>0</v>
      </c>
      <c r="T103" s="753" cm="1" t="str">
        <f t="array" ref="T103:T103">T102</f>
        <v>false</v>
      </c>
      <c r="AB103" s="633" t="str">
        <f>AB102&amp;".1"</f>
        <v>6.4.1</v>
      </c>
      <c r="AC103" s="635" t="s">
        <v>1191</v>
      </c>
      <c r="AD103" s="633" t="s">
        <v>495</v>
      </c>
      <c r="AE103" s="71">
        <f>IF(AE89=0,0,AE117/AE89*100)</f>
        <v>0</v>
      </c>
      <c r="AF103" s="71">
        <f>IF(AF89=0,0,AF117/AF89*100)</f>
        <v>0</v>
      </c>
      <c r="AG103" s="71">
        <f>IF(AG89=0,0,AG117/AG89*100)</f>
        <v>0</v>
      </c>
      <c r="AH103" s="71">
        <f>IF(AH89=0,0,AH117/AH89*100)</f>
        <v>0</v>
      </c>
      <c r="AI103" s="353">
        <f>IF(AI89=0,0,AI117/AI89*100)</f>
        <v>0</v>
      </c>
      <c r="AJ103" s="71">
        <f>IF(AJ89=0,0,AJ117/AJ89*100)</f>
        <v>0</v>
      </c>
      <c r="AK103" s="71">
        <f>IF(AK89=0,0,AK117/AK89*100)</f>
        <v>0</v>
      </c>
      <c r="AL103" s="71">
        <f>IF(AL89=0,0,AL117/AL89*100)</f>
        <v>0</v>
      </c>
      <c r="AM103" s="71">
        <f>IF(AM89=0,0,AM117/AM89*100)</f>
        <v>0</v>
      </c>
      <c r="AN103" s="71">
        <f>IF(AN89=0,0,AN117/AN89*100)</f>
        <v>0</v>
      </c>
      <c r="AO103" s="71">
        <f>IF(AO89=0,0,AO117/AO89*100)</f>
        <v>0</v>
      </c>
      <c r="AP103" s="71">
        <f>IF(AP89=0,0,AP117/AP89*100)</f>
        <v>0</v>
      </c>
      <c r="AQ103" s="71">
        <f>IF(AQ89=0,0,AQ117/AQ89*100)</f>
        <v>0</v>
      </c>
      <c r="AR103" s="71">
        <f>IF(AR89=0,0,AR117/AR89*100)</f>
        <v>0</v>
      </c>
      <c r="AS103" s="71">
        <f>IF(AS89=0,0,AS117/AS89*100)</f>
        <v>0</v>
      </c>
      <c r="AT103" s="71">
        <f>IF(AT89=0,0,AT117/AT89*100)</f>
        <v>0</v>
      </c>
      <c r="AU103" s="71">
        <f>IF(AU89=0,0,AU117/AU89*100)</f>
        <v>0</v>
      </c>
      <c r="AV103" s="71">
        <f>IF(AV89=0,0,AV117/AV89*100)</f>
        <v>0</v>
      </c>
      <c r="AW103" s="71">
        <f>IF(AW89=0,0,AW117/AW89*100)</f>
        <v>0</v>
      </c>
      <c r="AX103" s="71">
        <f>IF(AX89=0,0,AX117/AX89*100)</f>
        <v>0</v>
      </c>
      <c r="AY103" s="71">
        <f>IF(AY89=0,0,AY117/AY89*100)</f>
        <v>0</v>
      </c>
      <c r="AZ103" s="71">
        <f>IF(AZ89=0,0,AZ117/AZ89*100)</f>
        <v>0</v>
      </c>
      <c r="BA103" s="71">
        <f>IF(BA89=0,0,BA117/BA89*100)</f>
        <v>0</v>
      </c>
      <c r="BB103" s="71">
        <f>IF(BB89=0,0,BB117/BB89*100)</f>
        <v>0</v>
      </c>
      <c r="BC103" s="353">
        <f>IF(BC89=0,0,BC117/BC89*100)</f>
        <v>0</v>
      </c>
      <c r="BD103" s="71">
        <f>IF(BD89=0,0,BD117/BD89*100)</f>
        <v>0</v>
      </c>
      <c r="BE103" s="71">
        <f>IF(BE89=0,0,BE117/BE89*100)</f>
        <v>0</v>
      </c>
      <c r="BF103" s="71">
        <f>IF(BF89=0,0,BF117/BF89*100)</f>
        <v>0</v>
      </c>
      <c r="BG103" s="71">
        <f>IF(BG89=0,0,BG117/BG89*100)</f>
        <v>0</v>
      </c>
      <c r="BH103" s="71">
        <f>IF(BH89=0,0,BH117/BH89*100)</f>
        <v>0</v>
      </c>
      <c r="BI103" s="71">
        <f>IF(BI89=0,0,BI117/BI89*100)</f>
        <v>0</v>
      </c>
      <c r="BJ103" s="71">
        <f>IF(BJ89=0,0,BJ117/BJ89*100)</f>
        <v>0</v>
      </c>
      <c r="BK103" s="71">
        <f>IF(BK89=0,0,BK117/BK89*100)</f>
        <v>0</v>
      </c>
      <c r="BL103" s="71">
        <f>IF(BL89=0,0,BL117/BL89*100)</f>
        <v>0</v>
      </c>
      <c r="BM103" s="71">
        <f>IF(BM89=0,0,BM117/BM89*100)</f>
        <v>0</v>
      </c>
      <c r="BN103" s="71">
        <f>IF(BN89=0,0,BN117/BN89*100)</f>
        <v>0</v>
      </c>
      <c r="BO103" s="71">
        <f>IF(BO89=0,0,BO117/BO89*100)</f>
        <v>0</v>
      </c>
      <c r="BP103" s="71">
        <f>IF(BP89=0,0,BP117/BP89*100)</f>
        <v>0</v>
      </c>
      <c r="BQ103" s="71">
        <f>IF(BQ89=0,0,BQ117/BQ89*100)</f>
        <v>0</v>
      </c>
      <c r="BR103" s="71">
        <f>IF(BR89=0,0,BR117/BR89*100)</f>
        <v>0</v>
      </c>
      <c r="BS103" s="71">
        <f>IF(BS89=0,0,BS117/BS89*100)</f>
        <v>0</v>
      </c>
      <c r="BT103" s="71">
        <f>IF(BT89=0,0,BT117/BT89*100)</f>
        <v>0</v>
      </c>
      <c r="BU103" s="71">
        <f>IF(BU89=0,0,BU117/BU89*100)</f>
        <v>0</v>
      </c>
      <c r="BV103" s="71">
        <f>IF(BV89=0,0,BV117/BV89*100)</f>
        <v>0</v>
      </c>
      <c r="BW103" s="83"/>
      <c r="BZ103" s="489" t="s">
        <v>1299</v>
      </c>
      <c r="CC103" s="2308" cm="1" t="str">
        <f t="array" ref="CC103:CC103">CC102</f>
        <v>0</v>
      </c>
      <c r="CD103" s="2308" t="s">
        <v>1189</v>
      </c>
      <c r="CE103" s="2308" t="s">
        <v>1193</v>
      </c>
      <c r="CH103" s="2308" t="s">
        <v>1290</v>
      </c>
      <c r="CI103" s="2308" t="s">
        <v>303</v>
      </c>
      <c r="CJ103" s="2308" t="s">
        <v>1293</v>
      </c>
      <c r="CK103" s="2308" t="s">
        <v>1294</v>
      </c>
    </row>
    <row customHeight="1" ht="14.625" hidden="1">
      <c r="E104" s="180">
        <v>15</v>
      </c>
      <c r="F104" s="175" cm="1" t="str">
        <f t="array" ref="F104:F104">F103</f>
        <v>0</v>
      </c>
      <c r="T104" s="753" cm="1" t="str">
        <f t="array" ref="T104:T104">T103</f>
        <v>false</v>
      </c>
      <c r="AB104" s="633" t="str">
        <f>AB102&amp;".2"</f>
        <v>6.4.2</v>
      </c>
      <c r="AC104" s="635" t="s">
        <v>1195</v>
      </c>
      <c r="AD104" s="633" t="s">
        <v>495</v>
      </c>
      <c r="AE104" s="71">
        <f>IF(AE90=0,0,AE118/AE90*100)</f>
        <v>0</v>
      </c>
      <c r="AF104" s="71">
        <f>IF(AF90=0,0,AF118/AF90*100)</f>
        <v>0</v>
      </c>
      <c r="AG104" s="71">
        <f>IF(AG90=0,0,AG118/AG90*100)</f>
        <v>0</v>
      </c>
      <c r="AH104" s="71">
        <f>IF(AH90=0,0,AH118/AH90*100)</f>
        <v>0</v>
      </c>
      <c r="AI104" s="353">
        <f>IF(AI90=0,0,AI118/AI90*100)</f>
        <v>0</v>
      </c>
      <c r="AJ104" s="71">
        <f>IF(AJ90=0,0,AJ118/AJ90*100)</f>
        <v>0</v>
      </c>
      <c r="AK104" s="71">
        <f>IF(AK90=0,0,AK118/AK90*100)</f>
        <v>0</v>
      </c>
      <c r="AL104" s="71">
        <f>IF(AL90=0,0,AL118/AL90*100)</f>
        <v>0</v>
      </c>
      <c r="AM104" s="71">
        <f>IF(AM90=0,0,AM118/AM90*100)</f>
        <v>0</v>
      </c>
      <c r="AN104" s="71">
        <f>IF(AN90=0,0,AN118/AN90*100)</f>
        <v>0</v>
      </c>
      <c r="AO104" s="71">
        <f>IF(AO90=0,0,AO118/AO90*100)</f>
        <v>0</v>
      </c>
      <c r="AP104" s="71">
        <f>IF(AP90=0,0,AP118/AP90*100)</f>
        <v>0</v>
      </c>
      <c r="AQ104" s="71">
        <f>IF(AQ90=0,0,AQ118/AQ90*100)</f>
        <v>0</v>
      </c>
      <c r="AR104" s="71">
        <f>IF(AR90=0,0,AR118/AR90*100)</f>
        <v>0</v>
      </c>
      <c r="AS104" s="71">
        <f>IF(AS90=0,0,AS118/AS90*100)</f>
        <v>0</v>
      </c>
      <c r="AT104" s="71">
        <f>IF(AT90=0,0,AT118/AT90*100)</f>
        <v>0</v>
      </c>
      <c r="AU104" s="71">
        <f>IF(AU90=0,0,AU118/AU90*100)</f>
        <v>0</v>
      </c>
      <c r="AV104" s="71">
        <f>IF(AV90=0,0,AV118/AV90*100)</f>
        <v>0</v>
      </c>
      <c r="AW104" s="71">
        <f>IF(AW90=0,0,AW118/AW90*100)</f>
        <v>0</v>
      </c>
      <c r="AX104" s="71">
        <f>IF(AX90=0,0,AX118/AX90*100)</f>
        <v>0</v>
      </c>
      <c r="AY104" s="71">
        <f>IF(AY90=0,0,AY118/AY90*100)</f>
        <v>0</v>
      </c>
      <c r="AZ104" s="71">
        <f>IF(AZ90=0,0,AZ118/AZ90*100)</f>
        <v>0</v>
      </c>
      <c r="BA104" s="71">
        <f>IF(BA90=0,0,BA118/BA90*100)</f>
        <v>0</v>
      </c>
      <c r="BB104" s="71">
        <f>IF(BB90=0,0,BB118/BB90*100)</f>
        <v>0</v>
      </c>
      <c r="BC104" s="353">
        <f>IF(BC90=0,0,BC118/BC90*100)</f>
        <v>0</v>
      </c>
      <c r="BD104" s="71">
        <f>IF(BD90=0,0,BD118/BD90*100)</f>
        <v>0</v>
      </c>
      <c r="BE104" s="71">
        <f>IF(BE90=0,0,BE118/BE90*100)</f>
        <v>0</v>
      </c>
      <c r="BF104" s="71">
        <f>IF(BF90=0,0,BF118/BF90*100)</f>
        <v>0</v>
      </c>
      <c r="BG104" s="71">
        <f>IF(BG90=0,0,BG118/BG90*100)</f>
        <v>0</v>
      </c>
      <c r="BH104" s="71">
        <f>IF(BH90=0,0,BH118/BH90*100)</f>
        <v>0</v>
      </c>
      <c r="BI104" s="71">
        <f>IF(BI90=0,0,BI118/BI90*100)</f>
        <v>0</v>
      </c>
      <c r="BJ104" s="71">
        <f>IF(BJ90=0,0,BJ118/BJ90*100)</f>
        <v>0</v>
      </c>
      <c r="BK104" s="71">
        <f>IF(BK90=0,0,BK118/BK90*100)</f>
        <v>0</v>
      </c>
      <c r="BL104" s="71">
        <f>IF(BL90=0,0,BL118/BL90*100)</f>
        <v>0</v>
      </c>
      <c r="BM104" s="71">
        <f>IF(BM90=0,0,BM118/BM90*100)</f>
        <v>0</v>
      </c>
      <c r="BN104" s="71">
        <f>IF(BN90=0,0,BN118/BN90*100)</f>
        <v>0</v>
      </c>
      <c r="BO104" s="71">
        <f>IF(BO90=0,0,BO118/BO90*100)</f>
        <v>0</v>
      </c>
      <c r="BP104" s="71">
        <f>IF(BP90=0,0,BP118/BP90*100)</f>
        <v>0</v>
      </c>
      <c r="BQ104" s="71">
        <f>IF(BQ90=0,0,BQ118/BQ90*100)</f>
        <v>0</v>
      </c>
      <c r="BR104" s="71">
        <f>IF(BR90=0,0,BR118/BR90*100)</f>
        <v>0</v>
      </c>
      <c r="BS104" s="71">
        <f>IF(BS90=0,0,BS118/BS90*100)</f>
        <v>0</v>
      </c>
      <c r="BT104" s="71">
        <f>IF(BT90=0,0,BT118/BT90*100)</f>
        <v>0</v>
      </c>
      <c r="BU104" s="71">
        <f>IF(BU90=0,0,BU118/BU90*100)</f>
        <v>0</v>
      </c>
      <c r="BV104" s="71">
        <f>IF(BV90=0,0,BV118/BV90*100)</f>
        <v>0</v>
      </c>
      <c r="BW104" s="83"/>
      <c r="BZ104" s="489" t="s">
        <v>1300</v>
      </c>
      <c r="CC104" s="2308" cm="1" t="str">
        <f t="array" ref="CC104:CC104">CC103</f>
        <v>0</v>
      </c>
      <c r="CD104" s="2308" t="s">
        <v>1189</v>
      </c>
      <c r="CE104" s="2308" t="s">
        <v>1197</v>
      </c>
      <c r="CH104" s="2308" t="s">
        <v>1290</v>
      </c>
      <c r="CI104" s="2308" t="s">
        <v>303</v>
      </c>
      <c r="CJ104" s="2308" t="s">
        <v>1293</v>
      </c>
      <c r="CK104" s="2308" t="s">
        <v>1294</v>
      </c>
    </row>
    <row customHeight="1" ht="14.625" hidden="1">
      <c r="E105" s="180">
        <v>15</v>
      </c>
      <c r="F105" s="175" cm="1" t="str">
        <f t="array" ref="F105:F105">F104</f>
        <v>0</v>
      </c>
      <c r="T105" s="753" cm="1" t="str">
        <f t="array" ref="T105:T105">T104</f>
        <v>false</v>
      </c>
      <c r="AB105" s="633" t="str">
        <f>AB102&amp;".3"</f>
        <v>6.4.3</v>
      </c>
      <c r="AC105" s="635" t="s">
        <v>1199</v>
      </c>
      <c r="AD105" s="633" t="s">
        <v>495</v>
      </c>
      <c r="AE105" s="71">
        <f>IF(AE91=0,0,AE119/AE91*100)</f>
        <v>0</v>
      </c>
      <c r="AF105" s="71">
        <f>IF(AF91=0,0,AF119/AF91*100)</f>
        <v>0</v>
      </c>
      <c r="AG105" s="71">
        <f>IF(AG91=0,0,AG119/AG91*100)</f>
        <v>0</v>
      </c>
      <c r="AH105" s="71">
        <f>IF(AH91=0,0,AH119/AH91*100)</f>
        <v>0</v>
      </c>
      <c r="AI105" s="353">
        <f>IF(AI91=0,0,AI119/AI91*100)</f>
        <v>0</v>
      </c>
      <c r="AJ105" s="71">
        <f>IF(AJ91=0,0,AJ119/AJ91*100)</f>
        <v>0</v>
      </c>
      <c r="AK105" s="71">
        <f>IF(AK91=0,0,AK119/AK91*100)</f>
        <v>0</v>
      </c>
      <c r="AL105" s="71">
        <f>IF(AL91=0,0,AL119/AL91*100)</f>
        <v>0</v>
      </c>
      <c r="AM105" s="71">
        <f>IF(AM91=0,0,AM119/AM91*100)</f>
        <v>0</v>
      </c>
      <c r="AN105" s="71">
        <f>IF(AN91=0,0,AN119/AN91*100)</f>
        <v>0</v>
      </c>
      <c r="AO105" s="71">
        <f>IF(AO91=0,0,AO119/AO91*100)</f>
        <v>0</v>
      </c>
      <c r="AP105" s="71">
        <f>IF(AP91=0,0,AP119/AP91*100)</f>
        <v>0</v>
      </c>
      <c r="AQ105" s="71">
        <f>IF(AQ91=0,0,AQ119/AQ91*100)</f>
        <v>0</v>
      </c>
      <c r="AR105" s="71">
        <f>IF(AR91=0,0,AR119/AR91*100)</f>
        <v>0</v>
      </c>
      <c r="AS105" s="71">
        <f>IF(AS91=0,0,AS119/AS91*100)</f>
        <v>0</v>
      </c>
      <c r="AT105" s="71">
        <f>IF(AT91=0,0,AT119/AT91*100)</f>
        <v>0</v>
      </c>
      <c r="AU105" s="71">
        <f>IF(AU91=0,0,AU119/AU91*100)</f>
        <v>0</v>
      </c>
      <c r="AV105" s="71">
        <f>IF(AV91=0,0,AV119/AV91*100)</f>
        <v>0</v>
      </c>
      <c r="AW105" s="71">
        <f>IF(AW91=0,0,AW119/AW91*100)</f>
        <v>0</v>
      </c>
      <c r="AX105" s="71">
        <f>IF(AX91=0,0,AX119/AX91*100)</f>
        <v>0</v>
      </c>
      <c r="AY105" s="71">
        <f>IF(AY91=0,0,AY119/AY91*100)</f>
        <v>0</v>
      </c>
      <c r="AZ105" s="71">
        <f>IF(AZ91=0,0,AZ119/AZ91*100)</f>
        <v>0</v>
      </c>
      <c r="BA105" s="71">
        <f>IF(BA91=0,0,BA119/BA91*100)</f>
        <v>0</v>
      </c>
      <c r="BB105" s="71">
        <f>IF(BB91=0,0,BB119/BB91*100)</f>
        <v>0</v>
      </c>
      <c r="BC105" s="353">
        <f>IF(BC91=0,0,BC119/BC91*100)</f>
        <v>0</v>
      </c>
      <c r="BD105" s="71">
        <f>IF(BD91=0,0,BD119/BD91*100)</f>
        <v>0</v>
      </c>
      <c r="BE105" s="71">
        <f>IF(BE91=0,0,BE119/BE91*100)</f>
        <v>0</v>
      </c>
      <c r="BF105" s="71">
        <f>IF(BF91=0,0,BF119/BF91*100)</f>
        <v>0</v>
      </c>
      <c r="BG105" s="71">
        <f>IF(BG91=0,0,BG119/BG91*100)</f>
        <v>0</v>
      </c>
      <c r="BH105" s="71">
        <f>IF(BH91=0,0,BH119/BH91*100)</f>
        <v>0</v>
      </c>
      <c r="BI105" s="71">
        <f>IF(BI91=0,0,BI119/BI91*100)</f>
        <v>0</v>
      </c>
      <c r="BJ105" s="71">
        <f>IF(BJ91=0,0,BJ119/BJ91*100)</f>
        <v>0</v>
      </c>
      <c r="BK105" s="71">
        <f>IF(BK91=0,0,BK119/BK91*100)</f>
        <v>0</v>
      </c>
      <c r="BL105" s="71">
        <f>IF(BL91=0,0,BL119/BL91*100)</f>
        <v>0</v>
      </c>
      <c r="BM105" s="71">
        <f>IF(BM91=0,0,BM119/BM91*100)</f>
        <v>0</v>
      </c>
      <c r="BN105" s="71">
        <f>IF(BN91=0,0,BN119/BN91*100)</f>
        <v>0</v>
      </c>
      <c r="BO105" s="71">
        <f>IF(BO91=0,0,BO119/BO91*100)</f>
        <v>0</v>
      </c>
      <c r="BP105" s="71">
        <f>IF(BP91=0,0,BP119/BP91*100)</f>
        <v>0</v>
      </c>
      <c r="BQ105" s="71">
        <f>IF(BQ91=0,0,BQ119/BQ91*100)</f>
        <v>0</v>
      </c>
      <c r="BR105" s="71">
        <f>IF(BR91=0,0,BR119/BR91*100)</f>
        <v>0</v>
      </c>
      <c r="BS105" s="71">
        <f>IF(BS91=0,0,BS119/BS91*100)</f>
        <v>0</v>
      </c>
      <c r="BT105" s="71">
        <f>IF(BT91=0,0,BT119/BT91*100)</f>
        <v>0</v>
      </c>
      <c r="BU105" s="71">
        <f>IF(BU91=0,0,BU119/BU91*100)</f>
        <v>0</v>
      </c>
      <c r="BV105" s="71">
        <f>IF(BV91=0,0,BV119/BV91*100)</f>
        <v>0</v>
      </c>
      <c r="BW105" s="83"/>
      <c r="BZ105" s="489" t="s">
        <v>1301</v>
      </c>
      <c r="CC105" s="2308" cm="1" t="str">
        <f t="array" ref="CC105:CC105">CC104</f>
        <v>0</v>
      </c>
      <c r="CD105" s="2308" t="s">
        <v>1189</v>
      </c>
      <c r="CE105" s="2308" t="s">
        <v>1201</v>
      </c>
      <c r="CH105" s="2308" t="s">
        <v>1290</v>
      </c>
      <c r="CI105" s="2308" t="s">
        <v>303</v>
      </c>
      <c r="CJ105" s="2308" t="s">
        <v>1293</v>
      </c>
      <c r="CK105" s="2308" t="s">
        <v>1294</v>
      </c>
    </row>
    <row customHeight="1" ht="14.625" hidden="1">
      <c r="E106" s="180">
        <v>15</v>
      </c>
      <c r="F106" s="175" cm="1" t="str">
        <f t="array" ref="F106:F106">F105</f>
        <v>0</v>
      </c>
      <c r="T106" s="753" cm="1" t="str">
        <f t="array" ref="T106:T106">T105</f>
        <v>false</v>
      </c>
      <c r="AB106" s="633" t="str">
        <f>AB102&amp;".4"</f>
        <v>6.4.4</v>
      </c>
      <c r="AC106" s="635" t="s">
        <v>1203</v>
      </c>
      <c r="AD106" s="633" t="s">
        <v>495</v>
      </c>
      <c r="AE106" s="71">
        <f>IF(AE92=0,0,AE120/AE92*100)</f>
        <v>0</v>
      </c>
      <c r="AF106" s="71">
        <f>IF(AF92=0,0,AF120/AF92*100)</f>
        <v>0</v>
      </c>
      <c r="AG106" s="71">
        <f>IF(AG92=0,0,AG120/AG92*100)</f>
        <v>0</v>
      </c>
      <c r="AH106" s="71">
        <f>IF(AH92=0,0,AH120/AH92*100)</f>
        <v>0</v>
      </c>
      <c r="AI106" s="353">
        <f>IF(AI92=0,0,AI120/AI92*100)</f>
        <v>0</v>
      </c>
      <c r="AJ106" s="71">
        <f>IF(AJ92=0,0,AJ120/AJ92*100)</f>
        <v>0</v>
      </c>
      <c r="AK106" s="71">
        <f>IF(AK92=0,0,AK120/AK92*100)</f>
        <v>0</v>
      </c>
      <c r="AL106" s="71">
        <f>IF(AL92=0,0,AL120/AL92*100)</f>
        <v>0</v>
      </c>
      <c r="AM106" s="71">
        <f>IF(AM92=0,0,AM120/AM92*100)</f>
        <v>0</v>
      </c>
      <c r="AN106" s="71">
        <f>IF(AN92=0,0,AN120/AN92*100)</f>
        <v>0</v>
      </c>
      <c r="AO106" s="71">
        <f>IF(AO92=0,0,AO120/AO92*100)</f>
        <v>0</v>
      </c>
      <c r="AP106" s="71">
        <f>IF(AP92=0,0,AP120/AP92*100)</f>
        <v>0</v>
      </c>
      <c r="AQ106" s="71">
        <f>IF(AQ92=0,0,AQ120/AQ92*100)</f>
        <v>0</v>
      </c>
      <c r="AR106" s="71">
        <f>IF(AR92=0,0,AR120/AR92*100)</f>
        <v>0</v>
      </c>
      <c r="AS106" s="71">
        <f>IF(AS92=0,0,AS120/AS92*100)</f>
        <v>0</v>
      </c>
      <c r="AT106" s="71">
        <f>IF(AT92=0,0,AT120/AT92*100)</f>
        <v>0</v>
      </c>
      <c r="AU106" s="71">
        <f>IF(AU92=0,0,AU120/AU92*100)</f>
        <v>0</v>
      </c>
      <c r="AV106" s="71">
        <f>IF(AV92=0,0,AV120/AV92*100)</f>
        <v>0</v>
      </c>
      <c r="AW106" s="71">
        <f>IF(AW92=0,0,AW120/AW92*100)</f>
        <v>0</v>
      </c>
      <c r="AX106" s="71">
        <f>IF(AX92=0,0,AX120/AX92*100)</f>
        <v>0</v>
      </c>
      <c r="AY106" s="71">
        <f>IF(AY92=0,0,AY120/AY92*100)</f>
        <v>0</v>
      </c>
      <c r="AZ106" s="71">
        <f>IF(AZ92=0,0,AZ120/AZ92*100)</f>
        <v>0</v>
      </c>
      <c r="BA106" s="71">
        <f>IF(BA92=0,0,BA120/BA92*100)</f>
        <v>0</v>
      </c>
      <c r="BB106" s="71">
        <f>IF(BB92=0,0,BB120/BB92*100)</f>
        <v>0</v>
      </c>
      <c r="BC106" s="353">
        <f>IF(BC92=0,0,BC120/BC92*100)</f>
        <v>0</v>
      </c>
      <c r="BD106" s="71">
        <f>IF(BD92=0,0,BD120/BD92*100)</f>
        <v>0</v>
      </c>
      <c r="BE106" s="71">
        <f>IF(BE92=0,0,BE120/BE92*100)</f>
        <v>0</v>
      </c>
      <c r="BF106" s="71">
        <f>IF(BF92=0,0,BF120/BF92*100)</f>
        <v>0</v>
      </c>
      <c r="BG106" s="71">
        <f>IF(BG92=0,0,BG120/BG92*100)</f>
        <v>0</v>
      </c>
      <c r="BH106" s="71">
        <f>IF(BH92=0,0,BH120/BH92*100)</f>
        <v>0</v>
      </c>
      <c r="BI106" s="71">
        <f>IF(BI92=0,0,BI120/BI92*100)</f>
        <v>0</v>
      </c>
      <c r="BJ106" s="71">
        <f>IF(BJ92=0,0,BJ120/BJ92*100)</f>
        <v>0</v>
      </c>
      <c r="BK106" s="71">
        <f>IF(BK92=0,0,BK120/BK92*100)</f>
        <v>0</v>
      </c>
      <c r="BL106" s="71">
        <f>IF(BL92=0,0,BL120/BL92*100)</f>
        <v>0</v>
      </c>
      <c r="BM106" s="71">
        <f>IF(BM92=0,0,BM120/BM92*100)</f>
        <v>0</v>
      </c>
      <c r="BN106" s="71">
        <f>IF(BN92=0,0,BN120/BN92*100)</f>
        <v>0</v>
      </c>
      <c r="BO106" s="71">
        <f>IF(BO92=0,0,BO120/BO92*100)</f>
        <v>0</v>
      </c>
      <c r="BP106" s="71">
        <f>IF(BP92=0,0,BP120/BP92*100)</f>
        <v>0</v>
      </c>
      <c r="BQ106" s="71">
        <f>IF(BQ92=0,0,BQ120/BQ92*100)</f>
        <v>0</v>
      </c>
      <c r="BR106" s="71">
        <f>IF(BR92=0,0,BR120/BR92*100)</f>
        <v>0</v>
      </c>
      <c r="BS106" s="71">
        <f>IF(BS92=0,0,BS120/BS92*100)</f>
        <v>0</v>
      </c>
      <c r="BT106" s="71">
        <f>IF(BT92=0,0,BT120/BT92*100)</f>
        <v>0</v>
      </c>
      <c r="BU106" s="71">
        <f>IF(BU92=0,0,BU120/BU92*100)</f>
        <v>0</v>
      </c>
      <c r="BV106" s="71">
        <f>IF(BV92=0,0,BV120/BV92*100)</f>
        <v>0</v>
      </c>
      <c r="BW106" s="83"/>
      <c r="BZ106" s="489" t="s">
        <v>1302</v>
      </c>
      <c r="CC106" s="2308" cm="1" t="str">
        <f t="array" ref="CC106:CC106">CC105</f>
        <v>0</v>
      </c>
      <c r="CD106" s="2308" t="s">
        <v>1189</v>
      </c>
      <c r="CE106" s="2308" t="s">
        <v>1205</v>
      </c>
      <c r="CH106" s="2308" t="s">
        <v>1290</v>
      </c>
      <c r="CI106" s="2308" t="s">
        <v>303</v>
      </c>
      <c r="CJ106" s="2308" t="s">
        <v>1293</v>
      </c>
      <c r="CK106" s="2308" t="s">
        <v>1294</v>
      </c>
    </row>
    <row customHeight="1" ht="14.625" hidden="1">
      <c r="E107" s="180">
        <v>15</v>
      </c>
      <c r="F107" s="175" cm="1" t="str">
        <f t="array" ref="F107:F107">F106</f>
        <v>0</v>
      </c>
      <c r="T107" s="753" cm="1" t="str">
        <f t="array" ref="T107:T107">T106</f>
        <v>false</v>
      </c>
      <c r="AB107" s="633" t="str">
        <f>AB102&amp;".5"</f>
        <v>6.4.5</v>
      </c>
      <c r="AC107" s="635" t="s">
        <v>1207</v>
      </c>
      <c r="AD107" s="633" t="s">
        <v>495</v>
      </c>
      <c r="AE107" s="71">
        <f>IF(AE93=0,0,AE121/AE93*100)</f>
        <v>0</v>
      </c>
      <c r="AF107" s="71">
        <f>IF(AF93=0,0,AF121/AF93*100)</f>
        <v>0</v>
      </c>
      <c r="AG107" s="71">
        <f>IF(AG93=0,0,AG121/AG93*100)</f>
        <v>0</v>
      </c>
      <c r="AH107" s="71">
        <f>IF(AH93=0,0,AH121/AH93*100)</f>
        <v>0</v>
      </c>
      <c r="AI107" s="353">
        <f>IF(AI93=0,0,AI121/AI93*100)</f>
        <v>0</v>
      </c>
      <c r="AJ107" s="71">
        <f>IF(AJ93=0,0,AJ121/AJ93*100)</f>
        <v>0</v>
      </c>
      <c r="AK107" s="71">
        <f>IF(AK93=0,0,AK121/AK93*100)</f>
        <v>0</v>
      </c>
      <c r="AL107" s="71">
        <f>IF(AL93=0,0,AL121/AL93*100)</f>
        <v>0</v>
      </c>
      <c r="AM107" s="71">
        <f>IF(AM93=0,0,AM121/AM93*100)</f>
        <v>0</v>
      </c>
      <c r="AN107" s="71">
        <f>IF(AN93=0,0,AN121/AN93*100)</f>
        <v>0</v>
      </c>
      <c r="AO107" s="71">
        <f>IF(AO93=0,0,AO121/AO93*100)</f>
        <v>0</v>
      </c>
      <c r="AP107" s="71">
        <f>IF(AP93=0,0,AP121/AP93*100)</f>
        <v>0</v>
      </c>
      <c r="AQ107" s="71">
        <f>IF(AQ93=0,0,AQ121/AQ93*100)</f>
        <v>0</v>
      </c>
      <c r="AR107" s="71">
        <f>IF(AR93=0,0,AR121/AR93*100)</f>
        <v>0</v>
      </c>
      <c r="AS107" s="71">
        <f>IF(AS93=0,0,AS121/AS93*100)</f>
        <v>0</v>
      </c>
      <c r="AT107" s="71">
        <f>IF(AT93=0,0,AT121/AT93*100)</f>
        <v>0</v>
      </c>
      <c r="AU107" s="71">
        <f>IF(AU93=0,0,AU121/AU93*100)</f>
        <v>0</v>
      </c>
      <c r="AV107" s="71">
        <f>IF(AV93=0,0,AV121/AV93*100)</f>
        <v>0</v>
      </c>
      <c r="AW107" s="71">
        <f>IF(AW93=0,0,AW121/AW93*100)</f>
        <v>0</v>
      </c>
      <c r="AX107" s="71">
        <f>IF(AX93=0,0,AX121/AX93*100)</f>
        <v>0</v>
      </c>
      <c r="AY107" s="71">
        <f>IF(AY93=0,0,AY121/AY93*100)</f>
        <v>0</v>
      </c>
      <c r="AZ107" s="71">
        <f>IF(AZ93=0,0,AZ121/AZ93*100)</f>
        <v>0</v>
      </c>
      <c r="BA107" s="71">
        <f>IF(BA93=0,0,BA121/BA93*100)</f>
        <v>0</v>
      </c>
      <c r="BB107" s="71">
        <f>IF(BB93=0,0,BB121/BB93*100)</f>
        <v>0</v>
      </c>
      <c r="BC107" s="353">
        <f>IF(BC93=0,0,BC121/BC93*100)</f>
        <v>0</v>
      </c>
      <c r="BD107" s="71">
        <f>IF(BD93=0,0,BD121/BD93*100)</f>
        <v>0</v>
      </c>
      <c r="BE107" s="71">
        <f>IF(BE93=0,0,BE121/BE93*100)</f>
        <v>0</v>
      </c>
      <c r="BF107" s="71">
        <f>IF(BF93=0,0,BF121/BF93*100)</f>
        <v>0</v>
      </c>
      <c r="BG107" s="71">
        <f>IF(BG93=0,0,BG121/BG93*100)</f>
        <v>0</v>
      </c>
      <c r="BH107" s="71">
        <f>IF(BH93=0,0,BH121/BH93*100)</f>
        <v>0</v>
      </c>
      <c r="BI107" s="71">
        <f>IF(BI93=0,0,BI121/BI93*100)</f>
        <v>0</v>
      </c>
      <c r="BJ107" s="71">
        <f>IF(BJ93=0,0,BJ121/BJ93*100)</f>
        <v>0</v>
      </c>
      <c r="BK107" s="71">
        <f>IF(BK93=0,0,BK121/BK93*100)</f>
        <v>0</v>
      </c>
      <c r="BL107" s="71">
        <f>IF(BL93=0,0,BL121/BL93*100)</f>
        <v>0</v>
      </c>
      <c r="BM107" s="71">
        <f>IF(BM93=0,0,BM121/BM93*100)</f>
        <v>0</v>
      </c>
      <c r="BN107" s="71">
        <f>IF(BN93=0,0,BN121/BN93*100)</f>
        <v>0</v>
      </c>
      <c r="BO107" s="71">
        <f>IF(BO93=0,0,BO121/BO93*100)</f>
        <v>0</v>
      </c>
      <c r="BP107" s="71">
        <f>IF(BP93=0,0,BP121/BP93*100)</f>
        <v>0</v>
      </c>
      <c r="BQ107" s="71">
        <f>IF(BQ93=0,0,BQ121/BQ93*100)</f>
        <v>0</v>
      </c>
      <c r="BR107" s="71">
        <f>IF(BR93=0,0,BR121/BR93*100)</f>
        <v>0</v>
      </c>
      <c r="BS107" s="71">
        <f>IF(BS93=0,0,BS121/BS93*100)</f>
        <v>0</v>
      </c>
      <c r="BT107" s="71">
        <f>IF(BT93=0,0,BT121/BT93*100)</f>
        <v>0</v>
      </c>
      <c r="BU107" s="71">
        <f>IF(BU93=0,0,BU121/BU93*100)</f>
        <v>0</v>
      </c>
      <c r="BV107" s="71">
        <f>IF(BV93=0,0,BV121/BV93*100)</f>
        <v>0</v>
      </c>
      <c r="BW107" s="83"/>
      <c r="BZ107" s="489" t="s">
        <v>1303</v>
      </c>
      <c r="CC107" s="2308" cm="1" t="str">
        <f t="array" ref="CC107:CC107">CC106</f>
        <v>0</v>
      </c>
      <c r="CD107" s="2308" t="s">
        <v>1189</v>
      </c>
      <c r="CE107" s="2308" t="s">
        <v>1209</v>
      </c>
      <c r="CH107" s="2308" t="s">
        <v>1290</v>
      </c>
      <c r="CI107" s="2308" t="s">
        <v>303</v>
      </c>
      <c r="CJ107" s="2308" t="s">
        <v>1293</v>
      </c>
      <c r="CK107" s="2308" t="s">
        <v>1294</v>
      </c>
    </row>
    <row customHeight="1" ht="14.625" hidden="1">
      <c r="E108" s="180">
        <v>15</v>
      </c>
      <c r="F108" s="175" cm="1" t="str">
        <f t="array" ref="F108:F108">F107</f>
        <v>0</v>
      </c>
      <c r="T108" s="753" cm="1" t="str">
        <f t="array" ref="T108:T108">T107</f>
        <v>false</v>
      </c>
      <c r="AB108" s="633" t="str">
        <f>AB98&amp;".5"</f>
        <v>6.5</v>
      </c>
      <c r="AC108" s="634" t="s">
        <v>1210</v>
      </c>
      <c r="AD108" s="633" t="s">
        <v>495</v>
      </c>
      <c r="AE108" s="71">
        <f>IF(AE94=0,0,AE122/AE94*100)</f>
        <v>0</v>
      </c>
      <c r="AF108" s="71">
        <f>IF(AF94=0,0,AF122/AF94*100)</f>
        <v>0</v>
      </c>
      <c r="AG108" s="71">
        <f>IF(AG94=0,0,AG122/AG94*100)</f>
        <v>0</v>
      </c>
      <c r="AH108" s="71">
        <f>IF(AH94=0,0,AH122/AH94*100)</f>
        <v>0</v>
      </c>
      <c r="AI108" s="353">
        <f>IF(AI94=0,0,AI122/AI94*100)</f>
        <v>0</v>
      </c>
      <c r="AJ108" s="71">
        <f>IF(AJ94=0,0,AJ122/AJ94*100)</f>
        <v>0</v>
      </c>
      <c r="AK108" s="71">
        <f>IF(AK94=0,0,AK122/AK94*100)</f>
        <v>0</v>
      </c>
      <c r="AL108" s="71">
        <f>IF(AL94=0,0,AL122/AL94*100)</f>
        <v>0</v>
      </c>
      <c r="AM108" s="71">
        <f>IF(AM94=0,0,AM122/AM94*100)</f>
        <v>0</v>
      </c>
      <c r="AN108" s="71">
        <f>IF(AN94=0,0,AN122/AN94*100)</f>
        <v>0</v>
      </c>
      <c r="AO108" s="71">
        <f>IF(AO94=0,0,AO122/AO94*100)</f>
        <v>0</v>
      </c>
      <c r="AP108" s="71">
        <f>IF(AP94=0,0,AP122/AP94*100)</f>
        <v>0</v>
      </c>
      <c r="AQ108" s="71">
        <f>IF(AQ94=0,0,AQ122/AQ94*100)</f>
        <v>0</v>
      </c>
      <c r="AR108" s="71">
        <f>IF(AR94=0,0,AR122/AR94*100)</f>
        <v>0</v>
      </c>
      <c r="AS108" s="71">
        <f>IF(AS94=0,0,AS122/AS94*100)</f>
        <v>0</v>
      </c>
      <c r="AT108" s="71">
        <f>IF(AT94=0,0,AT122/AT94*100)</f>
        <v>0</v>
      </c>
      <c r="AU108" s="71">
        <f>IF(AU94=0,0,AU122/AU94*100)</f>
        <v>0</v>
      </c>
      <c r="AV108" s="71">
        <f>IF(AV94=0,0,AV122/AV94*100)</f>
        <v>0</v>
      </c>
      <c r="AW108" s="71">
        <f>IF(AW94=0,0,AW122/AW94*100)</f>
        <v>0</v>
      </c>
      <c r="AX108" s="71">
        <f>IF(AX94=0,0,AX122/AX94*100)</f>
        <v>0</v>
      </c>
      <c r="AY108" s="71">
        <f>IF(AY94=0,0,AY122/AY94*100)</f>
        <v>0</v>
      </c>
      <c r="AZ108" s="71">
        <f>IF(AZ94=0,0,AZ122/AZ94*100)</f>
        <v>0</v>
      </c>
      <c r="BA108" s="71">
        <f>IF(BA94=0,0,BA122/BA94*100)</f>
        <v>0</v>
      </c>
      <c r="BB108" s="71">
        <f>IF(BB94=0,0,BB122/BB94*100)</f>
        <v>0</v>
      </c>
      <c r="BC108" s="353">
        <f>IF(BC94=0,0,BC122/BC94*100)</f>
        <v>0</v>
      </c>
      <c r="BD108" s="71">
        <f>IF(BD94=0,0,BD122/BD94*100)</f>
        <v>0</v>
      </c>
      <c r="BE108" s="71">
        <f>IF(BE94=0,0,BE122/BE94*100)</f>
        <v>0</v>
      </c>
      <c r="BF108" s="71">
        <f>IF(BF94=0,0,BF122/BF94*100)</f>
        <v>0</v>
      </c>
      <c r="BG108" s="71">
        <f>IF(BG94=0,0,BG122/BG94*100)</f>
        <v>0</v>
      </c>
      <c r="BH108" s="71">
        <f>IF(BH94=0,0,BH122/BH94*100)</f>
        <v>0</v>
      </c>
      <c r="BI108" s="71">
        <f>IF(BI94=0,0,BI122/BI94*100)</f>
        <v>0</v>
      </c>
      <c r="BJ108" s="71">
        <f>IF(BJ94=0,0,BJ122/BJ94*100)</f>
        <v>0</v>
      </c>
      <c r="BK108" s="71">
        <f>IF(BK94=0,0,BK122/BK94*100)</f>
        <v>0</v>
      </c>
      <c r="BL108" s="71">
        <f>IF(BL94=0,0,BL122/BL94*100)</f>
        <v>0</v>
      </c>
      <c r="BM108" s="71">
        <f>IF(BM94=0,0,BM122/BM94*100)</f>
        <v>0</v>
      </c>
      <c r="BN108" s="71">
        <f>IF(BN94=0,0,BN122/BN94*100)</f>
        <v>0</v>
      </c>
      <c r="BO108" s="71">
        <f>IF(BO94=0,0,BO122/BO94*100)</f>
        <v>0</v>
      </c>
      <c r="BP108" s="71">
        <f>IF(BP94=0,0,BP122/BP94*100)</f>
        <v>0</v>
      </c>
      <c r="BQ108" s="71">
        <f>IF(BQ94=0,0,BQ122/BQ94*100)</f>
        <v>0</v>
      </c>
      <c r="BR108" s="71">
        <f>IF(BR94=0,0,BR122/BR94*100)</f>
        <v>0</v>
      </c>
      <c r="BS108" s="71">
        <f>IF(BS94=0,0,BS122/BS94*100)</f>
        <v>0</v>
      </c>
      <c r="BT108" s="71">
        <f>IF(BT94=0,0,BT122/BT94*100)</f>
        <v>0</v>
      </c>
      <c r="BU108" s="71">
        <f>IF(BU94=0,0,BU122/BU94*100)</f>
        <v>0</v>
      </c>
      <c r="BV108" s="71">
        <f>IF(BV94=0,0,BV122/BV94*100)</f>
        <v>0</v>
      </c>
      <c r="BW108" s="83"/>
      <c r="BZ108" s="489" t="s">
        <v>1304</v>
      </c>
      <c r="CC108" s="2308" cm="1" t="str">
        <f t="array" ref="CC108:CC108">CC107</f>
        <v>0</v>
      </c>
      <c r="CD108" s="2308" t="s">
        <v>1212</v>
      </c>
      <c r="CH108" s="2308" t="s">
        <v>1290</v>
      </c>
      <c r="CI108" s="2308" t="s">
        <v>303</v>
      </c>
      <c r="CJ108" s="2308" t="s">
        <v>1293</v>
      </c>
      <c r="CK108" s="2308" t="s">
        <v>1294</v>
      </c>
    </row>
    <row customHeight="1" ht="14.625" hidden="1">
      <c r="E109" s="180">
        <v>15</v>
      </c>
      <c r="F109" s="175" cm="1" t="str">
        <f t="array" ref="F109:F109">F108</f>
        <v>0</v>
      </c>
      <c r="T109" s="753" cm="1" t="str">
        <f t="array" ref="T109:T109">T108</f>
        <v>false</v>
      </c>
      <c r="AB109" s="633" t="str">
        <f>AB98&amp;".6"</f>
        <v>6.6</v>
      </c>
      <c r="AC109" s="634" t="s">
        <v>1213</v>
      </c>
      <c r="AD109" s="633" t="s">
        <v>495</v>
      </c>
      <c r="AE109" s="71">
        <f>IF(AE95=0,0,AE123/AE95*100)</f>
        <v>0</v>
      </c>
      <c r="AF109" s="71">
        <f>IF(AF95=0,0,AF123/AF95*100)</f>
        <v>0</v>
      </c>
      <c r="AG109" s="71">
        <f>IF(AG95=0,0,AG123/AG95*100)</f>
        <v>0</v>
      </c>
      <c r="AH109" s="71">
        <f>IF(AH95=0,0,AH123/AH95*100)</f>
        <v>0</v>
      </c>
      <c r="AI109" s="353">
        <f>IF(AI95=0,0,AI123/AI95*100)</f>
        <v>0</v>
      </c>
      <c r="AJ109" s="71">
        <f>IF(AJ95=0,0,AJ123/AJ95*100)</f>
        <v>0</v>
      </c>
      <c r="AK109" s="71">
        <f>IF(AK95=0,0,AK123/AK95*100)</f>
        <v>0</v>
      </c>
      <c r="AL109" s="71">
        <f>IF(AL95=0,0,AL123/AL95*100)</f>
        <v>0</v>
      </c>
      <c r="AM109" s="71">
        <f>IF(AM95=0,0,AM123/AM95*100)</f>
        <v>0</v>
      </c>
      <c r="AN109" s="71">
        <f>IF(AN95=0,0,AN123/AN95*100)</f>
        <v>0</v>
      </c>
      <c r="AO109" s="71">
        <f>IF(AO95=0,0,AO123/AO95*100)</f>
        <v>0</v>
      </c>
      <c r="AP109" s="71">
        <f>IF(AP95=0,0,AP123/AP95*100)</f>
        <v>0</v>
      </c>
      <c r="AQ109" s="71">
        <f>IF(AQ95=0,0,AQ123/AQ95*100)</f>
        <v>0</v>
      </c>
      <c r="AR109" s="71">
        <f>IF(AR95=0,0,AR123/AR95*100)</f>
        <v>0</v>
      </c>
      <c r="AS109" s="71">
        <f>IF(AS95=0,0,AS123/AS95*100)</f>
        <v>0</v>
      </c>
      <c r="AT109" s="71">
        <f>IF(AT95=0,0,AT123/AT95*100)</f>
        <v>0</v>
      </c>
      <c r="AU109" s="71">
        <f>IF(AU95=0,0,AU123/AU95*100)</f>
        <v>0</v>
      </c>
      <c r="AV109" s="71">
        <f>IF(AV95=0,0,AV123/AV95*100)</f>
        <v>0</v>
      </c>
      <c r="AW109" s="71">
        <f>IF(AW95=0,0,AW123/AW95*100)</f>
        <v>0</v>
      </c>
      <c r="AX109" s="71">
        <f>IF(AX95=0,0,AX123/AX95*100)</f>
        <v>0</v>
      </c>
      <c r="AY109" s="71">
        <f>IF(AY95=0,0,AY123/AY95*100)</f>
        <v>0</v>
      </c>
      <c r="AZ109" s="71">
        <f>IF(AZ95=0,0,AZ123/AZ95*100)</f>
        <v>0</v>
      </c>
      <c r="BA109" s="71">
        <f>IF(BA95=0,0,BA123/BA95*100)</f>
        <v>0</v>
      </c>
      <c r="BB109" s="71">
        <f>IF(BB95=0,0,BB123/BB95*100)</f>
        <v>0</v>
      </c>
      <c r="BC109" s="353">
        <f>IF(BC95=0,0,BC123/BC95*100)</f>
        <v>0</v>
      </c>
      <c r="BD109" s="71">
        <f>IF(BD95=0,0,BD123/BD95*100)</f>
        <v>0</v>
      </c>
      <c r="BE109" s="71">
        <f>IF(BE95=0,0,BE123/BE95*100)</f>
        <v>0</v>
      </c>
      <c r="BF109" s="71">
        <f>IF(BF95=0,0,BF123/BF95*100)</f>
        <v>0</v>
      </c>
      <c r="BG109" s="71">
        <f>IF(BG95=0,0,BG123/BG95*100)</f>
        <v>0</v>
      </c>
      <c r="BH109" s="71">
        <f>IF(BH95=0,0,BH123/BH95*100)</f>
        <v>0</v>
      </c>
      <c r="BI109" s="71">
        <f>IF(BI95=0,0,BI123/BI95*100)</f>
        <v>0</v>
      </c>
      <c r="BJ109" s="71">
        <f>IF(BJ95=0,0,BJ123/BJ95*100)</f>
        <v>0</v>
      </c>
      <c r="BK109" s="71">
        <f>IF(BK95=0,0,BK123/BK95*100)</f>
        <v>0</v>
      </c>
      <c r="BL109" s="71">
        <f>IF(BL95=0,0,BL123/BL95*100)</f>
        <v>0</v>
      </c>
      <c r="BM109" s="71">
        <f>IF(BM95=0,0,BM123/BM95*100)</f>
        <v>0</v>
      </c>
      <c r="BN109" s="71">
        <f>IF(BN95=0,0,BN123/BN95*100)</f>
        <v>0</v>
      </c>
      <c r="BO109" s="71">
        <f>IF(BO95=0,0,BO123/BO95*100)</f>
        <v>0</v>
      </c>
      <c r="BP109" s="71">
        <f>IF(BP95=0,0,BP123/BP95*100)</f>
        <v>0</v>
      </c>
      <c r="BQ109" s="71">
        <f>IF(BQ95=0,0,BQ123/BQ95*100)</f>
        <v>0</v>
      </c>
      <c r="BR109" s="71">
        <f>IF(BR95=0,0,BR123/BR95*100)</f>
        <v>0</v>
      </c>
      <c r="BS109" s="71">
        <f>IF(BS95=0,0,BS123/BS95*100)</f>
        <v>0</v>
      </c>
      <c r="BT109" s="71">
        <f>IF(BT95=0,0,BT123/BT95*100)</f>
        <v>0</v>
      </c>
      <c r="BU109" s="71">
        <f>IF(BU95=0,0,BU123/BU95*100)</f>
        <v>0</v>
      </c>
      <c r="BV109" s="71">
        <f>IF(BV95=0,0,BV123/BV95*100)</f>
        <v>0</v>
      </c>
      <c r="BW109" s="83"/>
      <c r="BZ109" s="489" t="s">
        <v>1305</v>
      </c>
      <c r="CC109" s="2308" cm="1" t="str">
        <f t="array" ref="CC109:CC109">CC108</f>
        <v>0</v>
      </c>
      <c r="CF109" s="2308" t="s">
        <v>1215</v>
      </c>
      <c r="CH109" s="2308" t="s">
        <v>1290</v>
      </c>
      <c r="CI109" s="2308" t="s">
        <v>303</v>
      </c>
      <c r="CJ109" s="2308" t="s">
        <v>1293</v>
      </c>
      <c r="CK109" s="2308" t="s">
        <v>1294</v>
      </c>
    </row>
    <row customHeight="1" ht="14.625" hidden="1">
      <c r="E110" s="180">
        <v>15</v>
      </c>
      <c r="F110" s="175" cm="1" t="str">
        <f t="array" ref="F110:F110">F109</f>
        <v>0</v>
      </c>
      <c r="T110" s="753" cm="1" t="str">
        <f t="array" ref="T110:T110">T109</f>
        <v>false</v>
      </c>
      <c r="AB110" s="633" t="str">
        <f>AB98&amp;".7"</f>
        <v>6.7</v>
      </c>
      <c r="AC110" s="634" t="s">
        <v>1216</v>
      </c>
      <c r="AD110" s="633" t="s">
        <v>495</v>
      </c>
      <c r="AE110" s="71">
        <f>IF(AE96=0,0,AE124/AE96*100)</f>
        <v>0</v>
      </c>
      <c r="AF110" s="71">
        <f>IF(AF96=0,0,AF124/AF96*100)</f>
        <v>0</v>
      </c>
      <c r="AG110" s="71">
        <f>IF(AG96=0,0,AG124/AG96*100)</f>
        <v>0</v>
      </c>
      <c r="AH110" s="71">
        <f>IF(AH96=0,0,AH124/AH96*100)</f>
        <v>0</v>
      </c>
      <c r="AI110" s="353">
        <f>IF(AI96=0,0,AI124/AI96*100)</f>
        <v>0</v>
      </c>
      <c r="AJ110" s="71">
        <f>IF(AJ96=0,0,AJ124/AJ96*100)</f>
        <v>0</v>
      </c>
      <c r="AK110" s="71">
        <f>IF(AK96=0,0,AK124/AK96*100)</f>
        <v>0</v>
      </c>
      <c r="AL110" s="71">
        <f>IF(AL96=0,0,AL124/AL96*100)</f>
        <v>0</v>
      </c>
      <c r="AM110" s="71">
        <f>IF(AM96=0,0,AM124/AM96*100)</f>
        <v>0</v>
      </c>
      <c r="AN110" s="71">
        <f>IF(AN96=0,0,AN124/AN96*100)</f>
        <v>0</v>
      </c>
      <c r="AO110" s="71">
        <f>IF(AO96=0,0,AO124/AO96*100)</f>
        <v>0</v>
      </c>
      <c r="AP110" s="71">
        <f>IF(AP96=0,0,AP124/AP96*100)</f>
        <v>0</v>
      </c>
      <c r="AQ110" s="71">
        <f>IF(AQ96=0,0,AQ124/AQ96*100)</f>
        <v>0</v>
      </c>
      <c r="AR110" s="71">
        <f>IF(AR96=0,0,AR124/AR96*100)</f>
        <v>0</v>
      </c>
      <c r="AS110" s="71">
        <f>IF(AS96=0,0,AS124/AS96*100)</f>
        <v>0</v>
      </c>
      <c r="AT110" s="71">
        <f>IF(AT96=0,0,AT124/AT96*100)</f>
        <v>0</v>
      </c>
      <c r="AU110" s="71">
        <f>IF(AU96=0,0,AU124/AU96*100)</f>
        <v>0</v>
      </c>
      <c r="AV110" s="71">
        <f>IF(AV96=0,0,AV124/AV96*100)</f>
        <v>0</v>
      </c>
      <c r="AW110" s="71">
        <f>IF(AW96=0,0,AW124/AW96*100)</f>
        <v>0</v>
      </c>
      <c r="AX110" s="71">
        <f>IF(AX96=0,0,AX124/AX96*100)</f>
        <v>0</v>
      </c>
      <c r="AY110" s="71">
        <f>IF(AY96=0,0,AY124/AY96*100)</f>
        <v>0</v>
      </c>
      <c r="AZ110" s="71">
        <f>IF(AZ96=0,0,AZ124/AZ96*100)</f>
        <v>0</v>
      </c>
      <c r="BA110" s="71">
        <f>IF(BA96=0,0,BA124/BA96*100)</f>
        <v>0</v>
      </c>
      <c r="BB110" s="71">
        <f>IF(BB96=0,0,BB124/BB96*100)</f>
        <v>0</v>
      </c>
      <c r="BC110" s="353">
        <f>IF(BC96=0,0,BC124/BC96*100)</f>
        <v>0</v>
      </c>
      <c r="BD110" s="71">
        <f>IF(BD96=0,0,BD124/BD96*100)</f>
        <v>0</v>
      </c>
      <c r="BE110" s="71">
        <f>IF(BE96=0,0,BE124/BE96*100)</f>
        <v>0</v>
      </c>
      <c r="BF110" s="71">
        <f>IF(BF96=0,0,BF124/BF96*100)</f>
        <v>0</v>
      </c>
      <c r="BG110" s="71">
        <f>IF(BG96=0,0,BG124/BG96*100)</f>
        <v>0</v>
      </c>
      <c r="BH110" s="71">
        <f>IF(BH96=0,0,BH124/BH96*100)</f>
        <v>0</v>
      </c>
      <c r="BI110" s="71">
        <f>IF(BI96=0,0,BI124/BI96*100)</f>
        <v>0</v>
      </c>
      <c r="BJ110" s="71">
        <f>IF(BJ96=0,0,BJ124/BJ96*100)</f>
        <v>0</v>
      </c>
      <c r="BK110" s="71">
        <f>IF(BK96=0,0,BK124/BK96*100)</f>
        <v>0</v>
      </c>
      <c r="BL110" s="71">
        <f>IF(BL96=0,0,BL124/BL96*100)</f>
        <v>0</v>
      </c>
      <c r="BM110" s="71">
        <f>IF(BM96=0,0,BM124/BM96*100)</f>
        <v>0</v>
      </c>
      <c r="BN110" s="71">
        <f>IF(BN96=0,0,BN124/BN96*100)</f>
        <v>0</v>
      </c>
      <c r="BO110" s="71">
        <f>IF(BO96=0,0,BO124/BO96*100)</f>
        <v>0</v>
      </c>
      <c r="BP110" s="71">
        <f>IF(BP96=0,0,BP124/BP96*100)</f>
        <v>0</v>
      </c>
      <c r="BQ110" s="71">
        <f>IF(BQ96=0,0,BQ124/BQ96*100)</f>
        <v>0</v>
      </c>
      <c r="BR110" s="71">
        <f>IF(BR96=0,0,BR124/BR96*100)</f>
        <v>0</v>
      </c>
      <c r="BS110" s="71">
        <f>IF(BS96=0,0,BS124/BS96*100)</f>
        <v>0</v>
      </c>
      <c r="BT110" s="71">
        <f>IF(BT96=0,0,BT124/BT96*100)</f>
        <v>0</v>
      </c>
      <c r="BU110" s="71">
        <f>IF(BU96=0,0,BU124/BU96*100)</f>
        <v>0</v>
      </c>
      <c r="BV110" s="71">
        <f>IF(BV96=0,0,BV124/BV96*100)</f>
        <v>0</v>
      </c>
      <c r="BW110" s="83"/>
      <c r="BZ110" s="489" t="s">
        <v>1306</v>
      </c>
      <c r="CC110" s="2308" cm="1" t="str">
        <f t="array" ref="CC110:CC110">CC109</f>
        <v>0</v>
      </c>
      <c r="CF110" s="2308" t="s">
        <v>1218</v>
      </c>
      <c r="CH110" s="2308" t="s">
        <v>1290</v>
      </c>
      <c r="CI110" s="2308" t="s">
        <v>303</v>
      </c>
      <c r="CJ110" s="2308" t="s">
        <v>1293</v>
      </c>
      <c r="CK110" s="2308" t="s">
        <v>1294</v>
      </c>
    </row>
    <row customHeight="1" ht="14.625" hidden="1">
      <c r="E111" s="180">
        <v>15</v>
      </c>
      <c r="F111" s="175" cm="1" t="str">
        <f t="array" ref="F111:F111">F110</f>
        <v>0</v>
      </c>
      <c r="T111" s="753" cm="1" t="str">
        <f t="array" ref="T111:T111">T110</f>
        <v>false</v>
      </c>
      <c r="AB111" s="633" t="str">
        <f>AB98&amp;".8"</f>
        <v>6.8</v>
      </c>
      <c r="AC111" s="634" t="s">
        <v>1219</v>
      </c>
      <c r="AD111" s="633" t="s">
        <v>495</v>
      </c>
      <c r="AE111" s="71">
        <f>IF(AE97=0,0,AE125/AE97*100)</f>
        <v>0</v>
      </c>
      <c r="AF111" s="71">
        <f>IF(AF97=0,0,AF125/AF97*100)</f>
        <v>0</v>
      </c>
      <c r="AG111" s="71">
        <f>IF(AG97=0,0,AG125/AG97*100)</f>
        <v>0</v>
      </c>
      <c r="AH111" s="71">
        <f>IF(AH97=0,0,AH125/AH97*100)</f>
        <v>0</v>
      </c>
      <c r="AI111" s="353">
        <f>IF(AI97=0,0,AI125/AI97*100)</f>
        <v>0</v>
      </c>
      <c r="AJ111" s="71">
        <f>IF(AJ97=0,0,AJ125/AJ97*100)</f>
        <v>0</v>
      </c>
      <c r="AK111" s="71">
        <f>IF(AK97=0,0,AK125/AK97*100)</f>
        <v>0</v>
      </c>
      <c r="AL111" s="71">
        <f>IF(AL97=0,0,AL125/AL97*100)</f>
        <v>0</v>
      </c>
      <c r="AM111" s="71">
        <f>IF(AM97=0,0,AM125/AM97*100)</f>
        <v>0</v>
      </c>
      <c r="AN111" s="71">
        <f>IF(AN97=0,0,AN125/AN97*100)</f>
        <v>0</v>
      </c>
      <c r="AO111" s="71">
        <f>IF(AO97=0,0,AO125/AO97*100)</f>
        <v>0</v>
      </c>
      <c r="AP111" s="71">
        <f>IF(AP97=0,0,AP125/AP97*100)</f>
        <v>0</v>
      </c>
      <c r="AQ111" s="71">
        <f>IF(AQ97=0,0,AQ125/AQ97*100)</f>
        <v>0</v>
      </c>
      <c r="AR111" s="71">
        <f>IF(AR97=0,0,AR125/AR97*100)</f>
        <v>0</v>
      </c>
      <c r="AS111" s="71">
        <f>IF(AS97=0,0,AS125/AS97*100)</f>
        <v>0</v>
      </c>
      <c r="AT111" s="71">
        <f>IF(AT97=0,0,AT125/AT97*100)</f>
        <v>0</v>
      </c>
      <c r="AU111" s="71">
        <f>IF(AU97=0,0,AU125/AU97*100)</f>
        <v>0</v>
      </c>
      <c r="AV111" s="71">
        <f>IF(AV97=0,0,AV125/AV97*100)</f>
        <v>0</v>
      </c>
      <c r="AW111" s="71">
        <f>IF(AW97=0,0,AW125/AW97*100)</f>
        <v>0</v>
      </c>
      <c r="AX111" s="71">
        <f>IF(AX97=0,0,AX125/AX97*100)</f>
        <v>0</v>
      </c>
      <c r="AY111" s="71">
        <f>IF(AY97=0,0,AY125/AY97*100)</f>
        <v>0</v>
      </c>
      <c r="AZ111" s="71">
        <f>IF(AZ97=0,0,AZ125/AZ97*100)</f>
        <v>0</v>
      </c>
      <c r="BA111" s="71">
        <f>IF(BA97=0,0,BA125/BA97*100)</f>
        <v>0</v>
      </c>
      <c r="BB111" s="71">
        <f>IF(BB97=0,0,BB125/BB97*100)</f>
        <v>0</v>
      </c>
      <c r="BC111" s="353">
        <f>IF(BC97=0,0,BC125/BC97*100)</f>
        <v>0</v>
      </c>
      <c r="BD111" s="71">
        <f>IF(BD97=0,0,BD125/BD97*100)</f>
        <v>0</v>
      </c>
      <c r="BE111" s="71">
        <f>IF(BE97=0,0,BE125/BE97*100)</f>
        <v>0</v>
      </c>
      <c r="BF111" s="71">
        <f>IF(BF97=0,0,BF125/BF97*100)</f>
        <v>0</v>
      </c>
      <c r="BG111" s="71">
        <f>IF(BG97=0,0,BG125/BG97*100)</f>
        <v>0</v>
      </c>
      <c r="BH111" s="71">
        <f>IF(BH97=0,0,BH125/BH97*100)</f>
        <v>0</v>
      </c>
      <c r="BI111" s="71">
        <f>IF(BI97=0,0,BI125/BI97*100)</f>
        <v>0</v>
      </c>
      <c r="BJ111" s="71">
        <f>IF(BJ97=0,0,BJ125/BJ97*100)</f>
        <v>0</v>
      </c>
      <c r="BK111" s="71">
        <f>IF(BK97=0,0,BK125/BK97*100)</f>
        <v>0</v>
      </c>
      <c r="BL111" s="71">
        <f>IF(BL97=0,0,BL125/BL97*100)</f>
        <v>0</v>
      </c>
      <c r="BM111" s="71">
        <f>IF(BM97=0,0,BM125/BM97*100)</f>
        <v>0</v>
      </c>
      <c r="BN111" s="71">
        <f>IF(BN97=0,0,BN125/BN97*100)</f>
        <v>0</v>
      </c>
      <c r="BO111" s="71">
        <f>IF(BO97=0,0,BO125/BO97*100)</f>
        <v>0</v>
      </c>
      <c r="BP111" s="71">
        <f>IF(BP97=0,0,BP125/BP97*100)</f>
        <v>0</v>
      </c>
      <c r="BQ111" s="71">
        <f>IF(BQ97=0,0,BQ125/BQ97*100)</f>
        <v>0</v>
      </c>
      <c r="BR111" s="71">
        <f>IF(BR97=0,0,BR125/BR97*100)</f>
        <v>0</v>
      </c>
      <c r="BS111" s="71">
        <f>IF(BS97=0,0,BS125/BS97*100)</f>
        <v>0</v>
      </c>
      <c r="BT111" s="71">
        <f>IF(BT97=0,0,BT125/BT97*100)</f>
        <v>0</v>
      </c>
      <c r="BU111" s="71">
        <f>IF(BU97=0,0,BU125/BU97*100)</f>
        <v>0</v>
      </c>
      <c r="BV111" s="71">
        <f>IF(BV97=0,0,BV125/BV97*100)</f>
        <v>0</v>
      </c>
      <c r="BW111" s="83"/>
      <c r="BZ111" s="489" t="s">
        <v>1307</v>
      </c>
      <c r="CC111" s="2308" cm="1" t="str">
        <f t="array" ref="CC111:CC111">CC110</f>
        <v>0</v>
      </c>
      <c r="CD111" s="2308" t="s">
        <v>1221</v>
      </c>
      <c r="CH111" s="2308" t="s">
        <v>1308</v>
      </c>
      <c r="CI111" s="2308" t="s">
        <v>303</v>
      </c>
      <c r="CJ111" s="2308" t="s">
        <v>1293</v>
      </c>
      <c r="CK111" s="2308" t="s">
        <v>1294</v>
      </c>
    </row>
    <row s="986" customFormat="1" customHeight="1" ht="14.625" hidden="1">
      <c r="E112" s="180">
        <v>15</v>
      </c>
      <c r="F112" s="175" cm="1" t="str">
        <f t="array" ref="F112:F112">F111</f>
        <v>0</v>
      </c>
      <c r="G112" s="193" t="s">
        <v>1309</v>
      </c>
      <c r="T112" s="753" cm="1" t="str">
        <f t="array" ref="T112:T112">T111</f>
        <v>false</v>
      </c>
      <c r="AB112" s="556">
        <v>7</v>
      </c>
      <c r="AC112" s="555" t="s">
        <v>1310</v>
      </c>
      <c r="AD112" s="551" t="s">
        <v>917</v>
      </c>
      <c r="AE112" s="105">
        <f>SUM(AE113:AE116)+SUM(AE122:AE125)</f>
        <v>0</v>
      </c>
      <c r="AF112" s="105">
        <f>SUM(AF113:AF116)+SUM(AF122:AF125)</f>
        <v>0</v>
      </c>
      <c r="AG112" s="105">
        <f>SUM(AG113:AG116)+SUM(AG122:AG125)</f>
        <v>0</v>
      </c>
      <c r="AH112" s="105">
        <f>SUM(AH113:AH116)+SUM(AH122:AH125)</f>
        <v>0</v>
      </c>
      <c r="AI112" s="588">
        <f>SUM(AI113:AI116)+SUM(AI122:AI125)</f>
        <v>0</v>
      </c>
      <c r="AJ112" s="105">
        <f>SUM(AJ113:AJ116)+SUM(AJ122:AJ125)</f>
        <v>0</v>
      </c>
      <c r="AK112" s="105">
        <f>SUM(AK113:AK116)+SUM(AK122:AK125)</f>
        <v>0</v>
      </c>
      <c r="AL112" s="105">
        <f>SUM(AL113:AL116)+SUM(AL122:AL125)</f>
        <v>0</v>
      </c>
      <c r="AM112" s="105">
        <f>SUM(AM113:AM116)+SUM(AM122:AM125)</f>
        <v>0</v>
      </c>
      <c r="AN112" s="105">
        <f>SUM(AN113:AN116)+SUM(AN122:AN125)</f>
        <v>0</v>
      </c>
      <c r="AO112" s="105">
        <f>SUM(AO113:AO116)+SUM(AO122:AO125)</f>
        <v>0</v>
      </c>
      <c r="AP112" s="105">
        <f>SUM(AP113:AP116)+SUM(AP122:AP125)</f>
        <v>0</v>
      </c>
      <c r="AQ112" s="105">
        <f>SUM(AQ113:AQ116)+SUM(AQ122:AQ125)</f>
        <v>0</v>
      </c>
      <c r="AR112" s="105">
        <f>SUM(AR113:AR116)+SUM(AR122:AR125)</f>
        <v>0</v>
      </c>
      <c r="AS112" s="105">
        <f>SUM(AS113:AS116)+SUM(AS122:AS125)</f>
        <v>0</v>
      </c>
      <c r="AT112" s="105">
        <f>SUM(AT113:AT116)+SUM(AT122:AT125)</f>
        <v>0</v>
      </c>
      <c r="AU112" s="105">
        <f>SUM(AU113:AU116)+SUM(AU122:AU125)</f>
        <v>0</v>
      </c>
      <c r="AV112" s="105">
        <f>SUM(AV113:AV116)+SUM(AV122:AV125)</f>
        <v>0</v>
      </c>
      <c r="AW112" s="105">
        <f>SUM(AW113:AW116)+SUM(AW122:AW125)</f>
        <v>0</v>
      </c>
      <c r="AX112" s="105">
        <f>SUM(AX113:AX116)+SUM(AX122:AX125)</f>
        <v>0</v>
      </c>
      <c r="AY112" s="105">
        <f>SUM(AY113:AY116)+SUM(AY122:AY125)</f>
        <v>0</v>
      </c>
      <c r="AZ112" s="105">
        <f>SUM(AZ113:AZ116)+SUM(AZ122:AZ125)</f>
        <v>0</v>
      </c>
      <c r="BA112" s="105">
        <f>SUM(BA113:BA116)+SUM(BA122:BA125)</f>
        <v>0</v>
      </c>
      <c r="BB112" s="105">
        <f>SUM(BB113:BB116)+SUM(BB122:BB125)</f>
        <v>0</v>
      </c>
      <c r="BC112" s="588">
        <f>SUM(BC113:BC116)+SUM(BC122:BC125)</f>
        <v>0</v>
      </c>
      <c r="BD112" s="105">
        <f>SUM(BD113:BD116)+SUM(BD122:BD125)</f>
        <v>0</v>
      </c>
      <c r="BE112" s="105">
        <f>SUM(BE113:BE116)+SUM(BE122:BE125)</f>
        <v>0</v>
      </c>
      <c r="BF112" s="105">
        <f>SUM(BF113:BF116)+SUM(BF122:BF125)</f>
        <v>0</v>
      </c>
      <c r="BG112" s="105">
        <f>SUM(BG113:BG116)+SUM(BG122:BG125)</f>
        <v>0</v>
      </c>
      <c r="BH112" s="105">
        <f>SUM(BH113:BH116)+SUM(BH122:BH125)</f>
        <v>0</v>
      </c>
      <c r="BI112" s="105">
        <f>SUM(BI113:BI116)+SUM(BI122:BI125)</f>
        <v>0</v>
      </c>
      <c r="BJ112" s="105">
        <f>SUM(BJ113:BJ116)+SUM(BJ122:BJ125)</f>
        <v>0</v>
      </c>
      <c r="BK112" s="105">
        <f>SUM(BK113:BK116)+SUM(BK122:BK125)</f>
        <v>0</v>
      </c>
      <c r="BL112" s="105">
        <f>SUM(BL113:BL116)+SUM(BL122:BL125)</f>
        <v>0</v>
      </c>
      <c r="BM112" s="105">
        <f>SUM(BM113:BM116)+SUM(BM122:BM125)</f>
        <v>0</v>
      </c>
      <c r="BN112" s="105">
        <f>SUM(BN113:BN116)+SUM(BN122:BN125)</f>
        <v>0</v>
      </c>
      <c r="BO112" s="105">
        <f>SUM(BO113:BO116)+SUM(BO122:BO125)</f>
        <v>0</v>
      </c>
      <c r="BP112" s="105">
        <f>SUM(BP113:BP116)+SUM(BP122:BP125)</f>
        <v>0</v>
      </c>
      <c r="BQ112" s="105">
        <f>SUM(BQ113:BQ116)+SUM(BQ122:BQ125)</f>
        <v>0</v>
      </c>
      <c r="BR112" s="105">
        <f>SUM(BR113:BR116)+SUM(BR122:BR125)</f>
        <v>0</v>
      </c>
      <c r="BS112" s="105">
        <f>SUM(BS113:BS116)+SUM(BS122:BS125)</f>
        <v>0</v>
      </c>
      <c r="BT112" s="105">
        <f>SUM(BT113:BT116)+SUM(BT122:BT125)</f>
        <v>0</v>
      </c>
      <c r="BU112" s="105">
        <f>SUM(BU113:BU116)+SUM(BU122:BU125)</f>
        <v>0</v>
      </c>
      <c r="BV112" s="105">
        <f>SUM(BV113:BV116)+SUM(BV122:BV125)</f>
        <v>0</v>
      </c>
      <c r="BW112" s="83"/>
      <c r="BZ112" s="489" t="s">
        <v>1311</v>
      </c>
      <c r="CC112" s="0" cm="1" t="str">
        <f t="array" ref="CC112:CC112">CC111</f>
        <v>0</v>
      </c>
      <c r="CH112" s="0" t="s">
        <v>1308</v>
      </c>
      <c r="CI112" s="0" t="s">
        <v>303</v>
      </c>
      <c r="CJ112" s="0" t="s">
        <v>1312</v>
      </c>
      <c r="CK112" s="0" t="s">
        <v>1313</v>
      </c>
    </row>
    <row customHeight="1" ht="14.625" hidden="1">
      <c r="E113" s="180">
        <v>15</v>
      </c>
      <c r="F113" s="175" cm="1" t="str">
        <f t="array" ref="F113:F113">F112</f>
        <v>0</v>
      </c>
      <c r="T113" s="753" cm="1" t="str">
        <f t="array" ref="T113:T113">T112</f>
        <v>false</v>
      </c>
      <c r="AB113" s="633" t="str">
        <f>AB112&amp;".1"</f>
        <v>7.1</v>
      </c>
      <c r="AC113" s="634" t="s">
        <v>1177</v>
      </c>
      <c r="AD113" s="633" t="s">
        <v>1178</v>
      </c>
      <c r="AE113" s="71"/>
      <c r="AF113" s="71"/>
      <c r="AG113" s="71"/>
      <c r="AH113" s="71"/>
      <c r="AI113" s="353"/>
      <c r="AJ113" s="71"/>
      <c r="AK113" s="71"/>
      <c r="AL113" s="71"/>
      <c r="AM113" s="71"/>
      <c r="AN113" s="71"/>
      <c r="AO113" s="71"/>
      <c r="AP113" s="71"/>
      <c r="AQ113" s="71"/>
      <c r="AR113" s="71"/>
      <c r="AS113" s="71"/>
      <c r="AT113" s="71"/>
      <c r="AU113" s="71"/>
      <c r="AV113" s="71"/>
      <c r="AW113" s="71"/>
      <c r="AX113" s="71"/>
      <c r="AY113" s="71"/>
      <c r="AZ113" s="71"/>
      <c r="BA113" s="71"/>
      <c r="BB113" s="71"/>
      <c r="BC113" s="353"/>
      <c r="BD113" s="71"/>
      <c r="BE113" s="71"/>
      <c r="BF113" s="71"/>
      <c r="BG113" s="71"/>
      <c r="BH113" s="71"/>
      <c r="BI113" s="71"/>
      <c r="BJ113" s="71"/>
      <c r="BK113" s="71"/>
      <c r="BL113" s="71"/>
      <c r="BM113" s="71"/>
      <c r="BN113" s="71"/>
      <c r="BO113" s="71"/>
      <c r="BP113" s="71"/>
      <c r="BQ113" s="71"/>
      <c r="BR113" s="71"/>
      <c r="BS113" s="71"/>
      <c r="BT113" s="71"/>
      <c r="BU113" s="71"/>
      <c r="BV113" s="71"/>
      <c r="BW113" s="83"/>
      <c r="BZ113" s="489" t="s">
        <v>1314</v>
      </c>
      <c r="CC113" s="2308" cm="1" t="str">
        <f t="array" ref="CC113:CC113">CC112</f>
        <v>0</v>
      </c>
      <c r="CD113" s="2308" t="s">
        <v>1180</v>
      </c>
      <c r="CH113" s="2308" t="s">
        <v>1308</v>
      </c>
      <c r="CI113" s="2308" t="s">
        <v>303</v>
      </c>
      <c r="CJ113" s="2308" t="s">
        <v>1312</v>
      </c>
      <c r="CK113" s="2308" t="s">
        <v>1313</v>
      </c>
    </row>
    <row customHeight="1" ht="14.625" hidden="1">
      <c r="E114" s="180">
        <v>15</v>
      </c>
      <c r="F114" s="175" cm="1" t="str">
        <f t="array" ref="F114:F114">F113</f>
        <v>0</v>
      </c>
      <c r="T114" s="753" cm="1" t="str">
        <f t="array" ref="T114:T114">T113</f>
        <v>false</v>
      </c>
      <c r="AB114" s="633" t="str">
        <f>AB112&amp;".2"</f>
        <v>7.2</v>
      </c>
      <c r="AC114" s="634" t="s">
        <v>1181</v>
      </c>
      <c r="AD114" s="633" t="s">
        <v>1178</v>
      </c>
      <c r="AE114" s="71"/>
      <c r="AF114" s="71"/>
      <c r="AG114" s="71"/>
      <c r="AH114" s="71"/>
      <c r="AI114" s="353"/>
      <c r="AJ114" s="71"/>
      <c r="AK114" s="71"/>
      <c r="AL114" s="71"/>
      <c r="AM114" s="71"/>
      <c r="AN114" s="71"/>
      <c r="AO114" s="71"/>
      <c r="AP114" s="71"/>
      <c r="AQ114" s="71"/>
      <c r="AR114" s="71"/>
      <c r="AS114" s="71"/>
      <c r="AT114" s="71"/>
      <c r="AU114" s="71"/>
      <c r="AV114" s="71"/>
      <c r="AW114" s="71"/>
      <c r="AX114" s="71"/>
      <c r="AY114" s="71"/>
      <c r="AZ114" s="71"/>
      <c r="BA114" s="71"/>
      <c r="BB114" s="71"/>
      <c r="BC114" s="353"/>
      <c r="BD114" s="71"/>
      <c r="BE114" s="71"/>
      <c r="BF114" s="71"/>
      <c r="BG114" s="71"/>
      <c r="BH114" s="71"/>
      <c r="BI114" s="71"/>
      <c r="BJ114" s="71"/>
      <c r="BK114" s="71"/>
      <c r="BL114" s="71"/>
      <c r="BM114" s="71"/>
      <c r="BN114" s="71"/>
      <c r="BO114" s="71"/>
      <c r="BP114" s="71"/>
      <c r="BQ114" s="71"/>
      <c r="BR114" s="71"/>
      <c r="BS114" s="71"/>
      <c r="BT114" s="71"/>
      <c r="BU114" s="71"/>
      <c r="BV114" s="71"/>
      <c r="BW114" s="83"/>
      <c r="BZ114" s="489" t="s">
        <v>1315</v>
      </c>
      <c r="CC114" s="2308" cm="1" t="str">
        <f t="array" ref="CC114:CC114">CC113</f>
        <v>0</v>
      </c>
      <c r="CD114" s="2308" t="s">
        <v>1183</v>
      </c>
      <c r="CH114" s="2308" t="s">
        <v>1308</v>
      </c>
      <c r="CI114" s="2308" t="s">
        <v>303</v>
      </c>
      <c r="CJ114" s="2308" t="s">
        <v>1312</v>
      </c>
      <c r="CK114" s="2308" t="s">
        <v>1313</v>
      </c>
    </row>
    <row customHeight="1" ht="14.625" hidden="1">
      <c r="E115" s="180">
        <v>15</v>
      </c>
      <c r="F115" s="175" cm="1" t="str">
        <f t="array" ref="F115:F115">F114</f>
        <v>0</v>
      </c>
      <c r="T115" s="753" cm="1" t="str">
        <f t="array" ref="T115:T115">T114</f>
        <v>false</v>
      </c>
      <c r="AB115" s="633" t="str">
        <f>AB112&amp;".3"</f>
        <v>7.3</v>
      </c>
      <c r="AC115" s="634" t="s">
        <v>1184</v>
      </c>
      <c r="AD115" s="633" t="s">
        <v>1178</v>
      </c>
      <c r="AE115" s="71"/>
      <c r="AF115" s="71"/>
      <c r="AG115" s="71"/>
      <c r="AH115" s="71"/>
      <c r="AI115" s="353"/>
      <c r="AJ115" s="71"/>
      <c r="AK115" s="71"/>
      <c r="AL115" s="71"/>
      <c r="AM115" s="71"/>
      <c r="AN115" s="71"/>
      <c r="AO115" s="71"/>
      <c r="AP115" s="71"/>
      <c r="AQ115" s="71"/>
      <c r="AR115" s="71"/>
      <c r="AS115" s="71"/>
      <c r="AT115" s="71"/>
      <c r="AU115" s="71"/>
      <c r="AV115" s="71"/>
      <c r="AW115" s="71"/>
      <c r="AX115" s="71"/>
      <c r="AY115" s="71"/>
      <c r="AZ115" s="71"/>
      <c r="BA115" s="71"/>
      <c r="BB115" s="71"/>
      <c r="BC115" s="353"/>
      <c r="BD115" s="71"/>
      <c r="BE115" s="71"/>
      <c r="BF115" s="71"/>
      <c r="BG115" s="71"/>
      <c r="BH115" s="71"/>
      <c r="BI115" s="71"/>
      <c r="BJ115" s="71"/>
      <c r="BK115" s="71"/>
      <c r="BL115" s="71"/>
      <c r="BM115" s="71"/>
      <c r="BN115" s="71"/>
      <c r="BO115" s="71"/>
      <c r="BP115" s="71"/>
      <c r="BQ115" s="71"/>
      <c r="BR115" s="71"/>
      <c r="BS115" s="71"/>
      <c r="BT115" s="71"/>
      <c r="BU115" s="71"/>
      <c r="BV115" s="71"/>
      <c r="BW115" s="83"/>
      <c r="BZ115" s="489" t="s">
        <v>1316</v>
      </c>
      <c r="CC115" s="2308" cm="1" t="str">
        <f t="array" ref="CC115:CC115">CC114</f>
        <v>0</v>
      </c>
      <c r="CD115" s="2308" t="s">
        <v>1186</v>
      </c>
      <c r="CH115" s="2308" t="s">
        <v>1308</v>
      </c>
      <c r="CI115" s="2308" t="s">
        <v>303</v>
      </c>
      <c r="CJ115" s="2308" t="s">
        <v>1312</v>
      </c>
      <c r="CK115" s="2308" t="s">
        <v>1313</v>
      </c>
    </row>
    <row customHeight="1" ht="14.625" hidden="1">
      <c r="E116" s="180">
        <v>15</v>
      </c>
      <c r="F116" s="175" cm="1" t="str">
        <f t="array" ref="F116:F116">F115</f>
        <v>0</v>
      </c>
      <c r="T116" s="753" cm="1" t="str">
        <f t="array" ref="T116:T116">T115</f>
        <v>false</v>
      </c>
      <c r="AB116" s="633" t="str">
        <f>AB112&amp;".4"</f>
        <v>7.4</v>
      </c>
      <c r="AC116" s="634" t="s">
        <v>1187</v>
      </c>
      <c r="AD116" s="633" t="s">
        <v>1178</v>
      </c>
      <c r="AE116" s="87">
        <f>SUM(AE117:AE121)</f>
        <v>0</v>
      </c>
      <c r="AF116" s="87">
        <f>SUM(AF117:AF121)</f>
        <v>0</v>
      </c>
      <c r="AG116" s="87">
        <f>SUM(AG117:AG121)</f>
        <v>0</v>
      </c>
      <c r="AH116" s="87">
        <f>SUM(AH117:AH121)</f>
        <v>0</v>
      </c>
      <c r="AI116" s="484">
        <f>SUM(AI117:AI121)</f>
        <v>0</v>
      </c>
      <c r="AJ116" s="87">
        <f>SUM(AJ117:AJ121)</f>
        <v>0</v>
      </c>
      <c r="AK116" s="87">
        <f>SUM(AK117:AK121)</f>
        <v>0</v>
      </c>
      <c r="AL116" s="87">
        <f>SUM(AL117:AL121)</f>
        <v>0</v>
      </c>
      <c r="AM116" s="87">
        <f>SUM(AM117:AM121)</f>
        <v>0</v>
      </c>
      <c r="AN116" s="87">
        <f>SUM(AN117:AN121)</f>
        <v>0</v>
      </c>
      <c r="AO116" s="87">
        <f>SUM(AO117:AO121)</f>
        <v>0</v>
      </c>
      <c r="AP116" s="87">
        <f>SUM(AP117:AP121)</f>
        <v>0</v>
      </c>
      <c r="AQ116" s="87">
        <f>SUM(AQ117:AQ121)</f>
        <v>0</v>
      </c>
      <c r="AR116" s="87">
        <f>SUM(AR117:AR121)</f>
        <v>0</v>
      </c>
      <c r="AS116" s="87">
        <f>SUM(AS117:AS121)</f>
        <v>0</v>
      </c>
      <c r="AT116" s="87">
        <f>SUM(AT117:AT121)</f>
        <v>0</v>
      </c>
      <c r="AU116" s="87">
        <f>SUM(AU117:AU121)</f>
        <v>0</v>
      </c>
      <c r="AV116" s="87">
        <f>SUM(AV117:AV121)</f>
        <v>0</v>
      </c>
      <c r="AW116" s="87">
        <f>SUM(AW117:AW121)</f>
        <v>0</v>
      </c>
      <c r="AX116" s="87">
        <f>SUM(AX117:AX121)</f>
        <v>0</v>
      </c>
      <c r="AY116" s="87">
        <f>SUM(AY117:AY121)</f>
        <v>0</v>
      </c>
      <c r="AZ116" s="87">
        <f>SUM(AZ117:AZ121)</f>
        <v>0</v>
      </c>
      <c r="BA116" s="87">
        <f>SUM(BA117:BA121)</f>
        <v>0</v>
      </c>
      <c r="BB116" s="87">
        <f>SUM(BB117:BB121)</f>
        <v>0</v>
      </c>
      <c r="BC116" s="484">
        <f>SUM(BC117:BC121)</f>
        <v>0</v>
      </c>
      <c r="BD116" s="87">
        <f>SUM(BD117:BD121)</f>
        <v>0</v>
      </c>
      <c r="BE116" s="87">
        <f>SUM(BE117:BE121)</f>
        <v>0</v>
      </c>
      <c r="BF116" s="87">
        <f>SUM(BF117:BF121)</f>
        <v>0</v>
      </c>
      <c r="BG116" s="87">
        <f>SUM(BG117:BG121)</f>
        <v>0</v>
      </c>
      <c r="BH116" s="87">
        <f>SUM(BH117:BH121)</f>
        <v>0</v>
      </c>
      <c r="BI116" s="87">
        <f>SUM(BI117:BI121)</f>
        <v>0</v>
      </c>
      <c r="BJ116" s="87">
        <f>SUM(BJ117:BJ121)</f>
        <v>0</v>
      </c>
      <c r="BK116" s="87">
        <f>SUM(BK117:BK121)</f>
        <v>0</v>
      </c>
      <c r="BL116" s="87">
        <f>SUM(BL117:BL121)</f>
        <v>0</v>
      </c>
      <c r="BM116" s="87">
        <f>SUM(BM117:BM121)</f>
        <v>0</v>
      </c>
      <c r="BN116" s="87">
        <f>SUM(BN117:BN121)</f>
        <v>0</v>
      </c>
      <c r="BO116" s="87">
        <f>SUM(BO117:BO121)</f>
        <v>0</v>
      </c>
      <c r="BP116" s="87">
        <f>SUM(BP117:BP121)</f>
        <v>0</v>
      </c>
      <c r="BQ116" s="87">
        <f>SUM(BQ117:BQ121)</f>
        <v>0</v>
      </c>
      <c r="BR116" s="87">
        <f>SUM(BR117:BR121)</f>
        <v>0</v>
      </c>
      <c r="BS116" s="87">
        <f>SUM(BS117:BS121)</f>
        <v>0</v>
      </c>
      <c r="BT116" s="87">
        <f>SUM(BT117:BT121)</f>
        <v>0</v>
      </c>
      <c r="BU116" s="87">
        <f>SUM(BU117:BU121)</f>
        <v>0</v>
      </c>
      <c r="BV116" s="87">
        <f>SUM(BV117:BV121)</f>
        <v>0</v>
      </c>
      <c r="BW116" s="83"/>
      <c r="BZ116" s="489" t="s">
        <v>1317</v>
      </c>
      <c r="CC116" s="2308" cm="1" t="str">
        <f t="array" ref="CC116:CC116">CC115</f>
        <v>0</v>
      </c>
      <c r="CD116" s="2308" t="s">
        <v>1189</v>
      </c>
      <c r="CH116" s="2308" t="s">
        <v>1308</v>
      </c>
      <c r="CI116" s="2308" t="s">
        <v>303</v>
      </c>
      <c r="CJ116" s="2308" t="s">
        <v>1312</v>
      </c>
      <c r="CK116" s="2308" t="s">
        <v>1313</v>
      </c>
    </row>
    <row customHeight="1" ht="14.625" hidden="1">
      <c r="E117" s="180">
        <v>15</v>
      </c>
      <c r="F117" s="175" cm="1" t="str">
        <f t="array" ref="F117:F117">F116</f>
        <v>0</v>
      </c>
      <c r="T117" s="753" cm="1" t="str">
        <f t="array" ref="T117:T117">T116</f>
        <v>false</v>
      </c>
      <c r="AB117" s="633" t="str">
        <f>AB116&amp;".1"</f>
        <v>7.4.1</v>
      </c>
      <c r="AC117" s="635" t="s">
        <v>1191</v>
      </c>
      <c r="AD117" s="633" t="s">
        <v>1178</v>
      </c>
      <c r="AE117" s="71"/>
      <c r="AF117" s="71"/>
      <c r="AG117" s="71"/>
      <c r="AH117" s="71"/>
      <c r="AI117" s="353"/>
      <c r="AJ117" s="71"/>
      <c r="AK117" s="71"/>
      <c r="AL117" s="71"/>
      <c r="AM117" s="71"/>
      <c r="AN117" s="71"/>
      <c r="AO117" s="71"/>
      <c r="AP117" s="71"/>
      <c r="AQ117" s="71"/>
      <c r="AR117" s="71"/>
      <c r="AS117" s="71"/>
      <c r="AT117" s="71"/>
      <c r="AU117" s="71"/>
      <c r="AV117" s="71"/>
      <c r="AW117" s="71"/>
      <c r="AX117" s="71"/>
      <c r="AY117" s="71"/>
      <c r="AZ117" s="71"/>
      <c r="BA117" s="71"/>
      <c r="BB117" s="71"/>
      <c r="BC117" s="353"/>
      <c r="BD117" s="71"/>
      <c r="BE117" s="71"/>
      <c r="BF117" s="71"/>
      <c r="BG117" s="71"/>
      <c r="BH117" s="71"/>
      <c r="BI117" s="71"/>
      <c r="BJ117" s="71"/>
      <c r="BK117" s="71"/>
      <c r="BL117" s="71"/>
      <c r="BM117" s="71"/>
      <c r="BN117" s="71"/>
      <c r="BO117" s="71"/>
      <c r="BP117" s="71"/>
      <c r="BQ117" s="71"/>
      <c r="BR117" s="71"/>
      <c r="BS117" s="71"/>
      <c r="BT117" s="71"/>
      <c r="BU117" s="71"/>
      <c r="BV117" s="71"/>
      <c r="BW117" s="83"/>
      <c r="BZ117" s="489" t="s">
        <v>1318</v>
      </c>
      <c r="CC117" s="2308" cm="1" t="str">
        <f t="array" ref="CC117:CC117">CC116</f>
        <v>0</v>
      </c>
      <c r="CD117" s="2308" t="s">
        <v>1189</v>
      </c>
      <c r="CE117" s="2308" t="s">
        <v>1193</v>
      </c>
      <c r="CH117" s="2308" t="s">
        <v>1308</v>
      </c>
      <c r="CI117" s="2308" t="s">
        <v>303</v>
      </c>
      <c r="CJ117" s="2308" t="s">
        <v>1312</v>
      </c>
      <c r="CK117" s="2308" t="s">
        <v>1313</v>
      </c>
    </row>
    <row customHeight="1" ht="14.625" hidden="1">
      <c r="E118" s="180">
        <v>15</v>
      </c>
      <c r="F118" s="175" cm="1" t="str">
        <f t="array" ref="F118:F118">F117</f>
        <v>0</v>
      </c>
      <c r="T118" s="753" cm="1" t="str">
        <f t="array" ref="T118:T118">T117</f>
        <v>false</v>
      </c>
      <c r="AB118" s="633" t="str">
        <f>AB116&amp;".2"</f>
        <v>7.4.2</v>
      </c>
      <c r="AC118" s="635" t="s">
        <v>1195</v>
      </c>
      <c r="AD118" s="633" t="s">
        <v>1178</v>
      </c>
      <c r="AE118" s="71"/>
      <c r="AF118" s="71"/>
      <c r="AG118" s="71"/>
      <c r="AH118" s="71"/>
      <c r="AI118" s="353"/>
      <c r="AJ118" s="71"/>
      <c r="AK118" s="71"/>
      <c r="AL118" s="71"/>
      <c r="AM118" s="71"/>
      <c r="AN118" s="71"/>
      <c r="AO118" s="71"/>
      <c r="AP118" s="71"/>
      <c r="AQ118" s="71"/>
      <c r="AR118" s="71"/>
      <c r="AS118" s="71"/>
      <c r="AT118" s="71"/>
      <c r="AU118" s="71"/>
      <c r="AV118" s="71"/>
      <c r="AW118" s="71"/>
      <c r="AX118" s="71"/>
      <c r="AY118" s="71"/>
      <c r="AZ118" s="71"/>
      <c r="BA118" s="71"/>
      <c r="BB118" s="71"/>
      <c r="BC118" s="353"/>
      <c r="BD118" s="71"/>
      <c r="BE118" s="71"/>
      <c r="BF118" s="71"/>
      <c r="BG118" s="71"/>
      <c r="BH118" s="71"/>
      <c r="BI118" s="71"/>
      <c r="BJ118" s="71"/>
      <c r="BK118" s="71"/>
      <c r="BL118" s="71"/>
      <c r="BM118" s="71"/>
      <c r="BN118" s="71"/>
      <c r="BO118" s="71"/>
      <c r="BP118" s="71"/>
      <c r="BQ118" s="71"/>
      <c r="BR118" s="71"/>
      <c r="BS118" s="71"/>
      <c r="BT118" s="71"/>
      <c r="BU118" s="71"/>
      <c r="BV118" s="71"/>
      <c r="BW118" s="83"/>
      <c r="BZ118" s="489" t="s">
        <v>1319</v>
      </c>
      <c r="CC118" s="2308" cm="1" t="str">
        <f t="array" ref="CC118:CC118">CC117</f>
        <v>0</v>
      </c>
      <c r="CD118" s="2308" t="s">
        <v>1189</v>
      </c>
      <c r="CE118" s="2308" t="s">
        <v>1197</v>
      </c>
      <c r="CH118" s="2308" t="s">
        <v>1308</v>
      </c>
      <c r="CI118" s="2308" t="s">
        <v>303</v>
      </c>
      <c r="CJ118" s="2308" t="s">
        <v>1312</v>
      </c>
      <c r="CK118" s="2308" t="s">
        <v>1313</v>
      </c>
    </row>
    <row customHeight="1" ht="14.625" hidden="1">
      <c r="E119" s="180">
        <v>15</v>
      </c>
      <c r="F119" s="175" cm="1" t="str">
        <f t="array" ref="F119:F119">F118</f>
        <v>0</v>
      </c>
      <c r="T119" s="753" cm="1" t="str">
        <f t="array" ref="T119:T119">T118</f>
        <v>false</v>
      </c>
      <c r="AB119" s="633" t="str">
        <f>AB116&amp;".3"</f>
        <v>7.4.3</v>
      </c>
      <c r="AC119" s="635" t="s">
        <v>1199</v>
      </c>
      <c r="AD119" s="633" t="s">
        <v>1178</v>
      </c>
      <c r="AE119" s="71"/>
      <c r="AF119" s="71"/>
      <c r="AG119" s="71"/>
      <c r="AH119" s="71"/>
      <c r="AI119" s="353"/>
      <c r="AJ119" s="71"/>
      <c r="AK119" s="71"/>
      <c r="AL119" s="71"/>
      <c r="AM119" s="71"/>
      <c r="AN119" s="71"/>
      <c r="AO119" s="71"/>
      <c r="AP119" s="71"/>
      <c r="AQ119" s="71"/>
      <c r="AR119" s="71"/>
      <c r="AS119" s="71"/>
      <c r="AT119" s="71"/>
      <c r="AU119" s="71"/>
      <c r="AV119" s="71"/>
      <c r="AW119" s="71"/>
      <c r="AX119" s="71"/>
      <c r="AY119" s="71"/>
      <c r="AZ119" s="71"/>
      <c r="BA119" s="71"/>
      <c r="BB119" s="71"/>
      <c r="BC119" s="353"/>
      <c r="BD119" s="71"/>
      <c r="BE119" s="71"/>
      <c r="BF119" s="71"/>
      <c r="BG119" s="71"/>
      <c r="BH119" s="71"/>
      <c r="BI119" s="71"/>
      <c r="BJ119" s="71"/>
      <c r="BK119" s="71"/>
      <c r="BL119" s="71"/>
      <c r="BM119" s="71"/>
      <c r="BN119" s="71"/>
      <c r="BO119" s="71"/>
      <c r="BP119" s="71"/>
      <c r="BQ119" s="71"/>
      <c r="BR119" s="71"/>
      <c r="BS119" s="71"/>
      <c r="BT119" s="71"/>
      <c r="BU119" s="71"/>
      <c r="BV119" s="71"/>
      <c r="BW119" s="83"/>
      <c r="BZ119" s="489" t="s">
        <v>1320</v>
      </c>
      <c r="CC119" s="2308" cm="1" t="str">
        <f t="array" ref="CC119:CC119">CC118</f>
        <v>0</v>
      </c>
      <c r="CD119" s="2308" t="s">
        <v>1189</v>
      </c>
      <c r="CE119" s="2308" t="s">
        <v>1201</v>
      </c>
      <c r="CH119" s="2308" t="s">
        <v>1308</v>
      </c>
      <c r="CI119" s="2308" t="s">
        <v>303</v>
      </c>
      <c r="CJ119" s="2308" t="s">
        <v>1312</v>
      </c>
      <c r="CK119" s="2308" t="s">
        <v>1313</v>
      </c>
    </row>
    <row customHeight="1" ht="14.625" hidden="1">
      <c r="E120" s="180">
        <v>15</v>
      </c>
      <c r="F120" s="175" cm="1" t="str">
        <f t="array" ref="F120:F120">F119</f>
        <v>0</v>
      </c>
      <c r="T120" s="753" cm="1" t="str">
        <f t="array" ref="T120:T120">T119</f>
        <v>false</v>
      </c>
      <c r="AB120" s="633" t="str">
        <f>AB116&amp;".4"</f>
        <v>7.4.4</v>
      </c>
      <c r="AC120" s="635" t="s">
        <v>1203</v>
      </c>
      <c r="AD120" s="633" t="s">
        <v>1178</v>
      </c>
      <c r="AE120" s="71"/>
      <c r="AF120" s="71"/>
      <c r="AG120" s="71"/>
      <c r="AH120" s="71"/>
      <c r="AI120" s="353"/>
      <c r="AJ120" s="71"/>
      <c r="AK120" s="71"/>
      <c r="AL120" s="71"/>
      <c r="AM120" s="71"/>
      <c r="AN120" s="71"/>
      <c r="AO120" s="71"/>
      <c r="AP120" s="71"/>
      <c r="AQ120" s="71"/>
      <c r="AR120" s="71"/>
      <c r="AS120" s="71"/>
      <c r="AT120" s="71"/>
      <c r="AU120" s="71"/>
      <c r="AV120" s="71"/>
      <c r="AW120" s="71"/>
      <c r="AX120" s="71"/>
      <c r="AY120" s="71"/>
      <c r="AZ120" s="71"/>
      <c r="BA120" s="71"/>
      <c r="BB120" s="71"/>
      <c r="BC120" s="353"/>
      <c r="BD120" s="71"/>
      <c r="BE120" s="71"/>
      <c r="BF120" s="71"/>
      <c r="BG120" s="71"/>
      <c r="BH120" s="71"/>
      <c r="BI120" s="71"/>
      <c r="BJ120" s="71"/>
      <c r="BK120" s="71"/>
      <c r="BL120" s="71"/>
      <c r="BM120" s="71"/>
      <c r="BN120" s="71"/>
      <c r="BO120" s="71"/>
      <c r="BP120" s="71"/>
      <c r="BQ120" s="71"/>
      <c r="BR120" s="71"/>
      <c r="BS120" s="71"/>
      <c r="BT120" s="71"/>
      <c r="BU120" s="71"/>
      <c r="BV120" s="71"/>
      <c r="BW120" s="83"/>
      <c r="BZ120" s="489" t="s">
        <v>1321</v>
      </c>
      <c r="CC120" s="2308" cm="1" t="str">
        <f t="array" ref="CC120:CC120">CC119</f>
        <v>0</v>
      </c>
      <c r="CD120" s="2308" t="s">
        <v>1189</v>
      </c>
      <c r="CE120" s="2308" t="s">
        <v>1205</v>
      </c>
      <c r="CH120" s="2308" t="s">
        <v>1308</v>
      </c>
      <c r="CI120" s="2308" t="s">
        <v>303</v>
      </c>
      <c r="CJ120" s="2308" t="s">
        <v>1312</v>
      </c>
      <c r="CK120" s="2308" t="s">
        <v>1313</v>
      </c>
    </row>
    <row customHeight="1" ht="14.625" hidden="1">
      <c r="E121" s="180">
        <v>15</v>
      </c>
      <c r="F121" s="175" cm="1" t="str">
        <f t="array" ref="F121:F121">F120</f>
        <v>0</v>
      </c>
      <c r="T121" s="753" cm="1" t="str">
        <f t="array" ref="T121:T121">T120</f>
        <v>false</v>
      </c>
      <c r="AB121" s="633" t="str">
        <f>AB116&amp;".5"</f>
        <v>7.4.5</v>
      </c>
      <c r="AC121" s="635" t="s">
        <v>1207</v>
      </c>
      <c r="AD121" s="633" t="s">
        <v>1178</v>
      </c>
      <c r="AE121" s="71"/>
      <c r="AF121" s="71"/>
      <c r="AG121" s="71"/>
      <c r="AH121" s="71"/>
      <c r="AI121" s="353"/>
      <c r="AJ121" s="71"/>
      <c r="AK121" s="71"/>
      <c r="AL121" s="71"/>
      <c r="AM121" s="71"/>
      <c r="AN121" s="71"/>
      <c r="AO121" s="71"/>
      <c r="AP121" s="71"/>
      <c r="AQ121" s="71"/>
      <c r="AR121" s="71"/>
      <c r="AS121" s="71"/>
      <c r="AT121" s="71"/>
      <c r="AU121" s="71"/>
      <c r="AV121" s="71"/>
      <c r="AW121" s="71"/>
      <c r="AX121" s="71"/>
      <c r="AY121" s="71"/>
      <c r="AZ121" s="71"/>
      <c r="BA121" s="71"/>
      <c r="BB121" s="71"/>
      <c r="BC121" s="353"/>
      <c r="BD121" s="71"/>
      <c r="BE121" s="71"/>
      <c r="BF121" s="71"/>
      <c r="BG121" s="71"/>
      <c r="BH121" s="71"/>
      <c r="BI121" s="71"/>
      <c r="BJ121" s="71"/>
      <c r="BK121" s="71"/>
      <c r="BL121" s="71"/>
      <c r="BM121" s="71"/>
      <c r="BN121" s="71"/>
      <c r="BO121" s="71"/>
      <c r="BP121" s="71"/>
      <c r="BQ121" s="71"/>
      <c r="BR121" s="71"/>
      <c r="BS121" s="71"/>
      <c r="BT121" s="71"/>
      <c r="BU121" s="71"/>
      <c r="BV121" s="71"/>
      <c r="BW121" s="83"/>
      <c r="BZ121" s="489" t="s">
        <v>1322</v>
      </c>
      <c r="CC121" s="2308" cm="1" t="str">
        <f t="array" ref="CC121:CC121">CC120</f>
        <v>0</v>
      </c>
      <c r="CD121" s="2308" t="s">
        <v>1189</v>
      </c>
      <c r="CE121" s="2308" t="s">
        <v>1209</v>
      </c>
      <c r="CH121" s="2308" t="s">
        <v>1308</v>
      </c>
      <c r="CI121" s="2308" t="s">
        <v>303</v>
      </c>
      <c r="CJ121" s="2308" t="s">
        <v>1312</v>
      </c>
      <c r="CK121" s="2308" t="s">
        <v>1313</v>
      </c>
    </row>
    <row customHeight="1" ht="14.625" hidden="1">
      <c r="E122" s="180">
        <v>15</v>
      </c>
      <c r="F122" s="175" cm="1" t="str">
        <f t="array" ref="F122:F122">F121</f>
        <v>0</v>
      </c>
      <c r="T122" s="753" cm="1" t="str">
        <f t="array" ref="T122:T122">T121</f>
        <v>false</v>
      </c>
      <c r="AB122" s="633" t="str">
        <f>AB112&amp;".5"</f>
        <v>7.5</v>
      </c>
      <c r="AC122" s="634" t="s">
        <v>1210</v>
      </c>
      <c r="AD122" s="633" t="s">
        <v>1178</v>
      </c>
      <c r="AE122" s="71"/>
      <c r="AF122" s="71"/>
      <c r="AG122" s="71"/>
      <c r="AH122" s="71"/>
      <c r="AI122" s="353"/>
      <c r="AJ122" s="71"/>
      <c r="AK122" s="71"/>
      <c r="AL122" s="71"/>
      <c r="AM122" s="71"/>
      <c r="AN122" s="71"/>
      <c r="AO122" s="71"/>
      <c r="AP122" s="71"/>
      <c r="AQ122" s="71"/>
      <c r="AR122" s="71"/>
      <c r="AS122" s="71"/>
      <c r="AT122" s="71"/>
      <c r="AU122" s="71"/>
      <c r="AV122" s="71"/>
      <c r="AW122" s="71"/>
      <c r="AX122" s="71"/>
      <c r="AY122" s="71"/>
      <c r="AZ122" s="71"/>
      <c r="BA122" s="71"/>
      <c r="BB122" s="71"/>
      <c r="BC122" s="353"/>
      <c r="BD122" s="71"/>
      <c r="BE122" s="71"/>
      <c r="BF122" s="71"/>
      <c r="BG122" s="71"/>
      <c r="BH122" s="71"/>
      <c r="BI122" s="71"/>
      <c r="BJ122" s="71"/>
      <c r="BK122" s="71"/>
      <c r="BL122" s="71"/>
      <c r="BM122" s="71"/>
      <c r="BN122" s="71"/>
      <c r="BO122" s="71"/>
      <c r="BP122" s="71"/>
      <c r="BQ122" s="71"/>
      <c r="BR122" s="71"/>
      <c r="BS122" s="71"/>
      <c r="BT122" s="71"/>
      <c r="BU122" s="71"/>
      <c r="BV122" s="71"/>
      <c r="BW122" s="83"/>
      <c r="BZ122" s="489" t="s">
        <v>1323</v>
      </c>
      <c r="CC122" s="2308" cm="1" t="str">
        <f t="array" ref="CC122:CC122">CC121</f>
        <v>0</v>
      </c>
      <c r="CD122" s="2308" t="s">
        <v>1212</v>
      </c>
      <c r="CH122" s="2308" t="s">
        <v>1308</v>
      </c>
      <c r="CI122" s="2308" t="s">
        <v>303</v>
      </c>
      <c r="CJ122" s="2308" t="s">
        <v>1312</v>
      </c>
      <c r="CK122" s="2308" t="s">
        <v>1313</v>
      </c>
    </row>
    <row customHeight="1" ht="14.625" hidden="1">
      <c r="E123" s="180">
        <v>15</v>
      </c>
      <c r="F123" s="175" cm="1" t="str">
        <f t="array" ref="F123:F123">F122</f>
        <v>0</v>
      </c>
      <c r="T123" s="753" cm="1" t="str">
        <f t="array" ref="T123:T123">T122</f>
        <v>false</v>
      </c>
      <c r="AB123" s="633" t="str">
        <f>AB112&amp;".6"</f>
        <v>7.6</v>
      </c>
      <c r="AC123" s="634" t="s">
        <v>1213</v>
      </c>
      <c r="AD123" s="633" t="s">
        <v>1178</v>
      </c>
      <c r="AE123" s="71"/>
      <c r="AF123" s="71"/>
      <c r="AG123" s="71"/>
      <c r="AH123" s="71"/>
      <c r="AI123" s="353"/>
      <c r="AJ123" s="71"/>
      <c r="AK123" s="71"/>
      <c r="AL123" s="71"/>
      <c r="AM123" s="71"/>
      <c r="AN123" s="71"/>
      <c r="AO123" s="71"/>
      <c r="AP123" s="71"/>
      <c r="AQ123" s="71"/>
      <c r="AR123" s="71"/>
      <c r="AS123" s="71"/>
      <c r="AT123" s="71"/>
      <c r="AU123" s="71"/>
      <c r="AV123" s="71"/>
      <c r="AW123" s="71"/>
      <c r="AX123" s="71"/>
      <c r="AY123" s="71"/>
      <c r="AZ123" s="71"/>
      <c r="BA123" s="71"/>
      <c r="BB123" s="71"/>
      <c r="BC123" s="353"/>
      <c r="BD123" s="71"/>
      <c r="BE123" s="71"/>
      <c r="BF123" s="71"/>
      <c r="BG123" s="71"/>
      <c r="BH123" s="71"/>
      <c r="BI123" s="71"/>
      <c r="BJ123" s="71"/>
      <c r="BK123" s="71"/>
      <c r="BL123" s="71"/>
      <c r="BM123" s="71"/>
      <c r="BN123" s="71"/>
      <c r="BO123" s="71"/>
      <c r="BP123" s="71"/>
      <c r="BQ123" s="71"/>
      <c r="BR123" s="71"/>
      <c r="BS123" s="71"/>
      <c r="BT123" s="71"/>
      <c r="BU123" s="71"/>
      <c r="BV123" s="71"/>
      <c r="BW123" s="83"/>
      <c r="BZ123" s="489" t="s">
        <v>1324</v>
      </c>
      <c r="CC123" s="2308" cm="1" t="str">
        <f t="array" ref="CC123:CC123">CC122</f>
        <v>0</v>
      </c>
      <c r="CF123" s="2308" t="s">
        <v>1215</v>
      </c>
      <c r="CH123" s="2308" t="s">
        <v>1308</v>
      </c>
      <c r="CI123" s="2308" t="s">
        <v>303</v>
      </c>
      <c r="CJ123" s="2308" t="s">
        <v>1312</v>
      </c>
      <c r="CK123" s="2308" t="s">
        <v>1313</v>
      </c>
    </row>
    <row customHeight="1" ht="14.625" hidden="1">
      <c r="E124" s="180">
        <v>15</v>
      </c>
      <c r="F124" s="175" cm="1" t="str">
        <f t="array" ref="F124:F124">F123</f>
        <v>0</v>
      </c>
      <c r="T124" s="753" cm="1" t="str">
        <f t="array" ref="T124:T124">T123</f>
        <v>false</v>
      </c>
      <c r="AB124" s="633" t="str">
        <f>AB112&amp;".7"</f>
        <v>7.7</v>
      </c>
      <c r="AC124" s="634" t="s">
        <v>1216</v>
      </c>
      <c r="AD124" s="633" t="s">
        <v>1178</v>
      </c>
      <c r="AE124" s="71"/>
      <c r="AF124" s="71"/>
      <c r="AG124" s="71"/>
      <c r="AH124" s="71"/>
      <c r="AI124" s="353"/>
      <c r="AJ124" s="71"/>
      <c r="AK124" s="71"/>
      <c r="AL124" s="71"/>
      <c r="AM124" s="71"/>
      <c r="AN124" s="71"/>
      <c r="AO124" s="71"/>
      <c r="AP124" s="71"/>
      <c r="AQ124" s="71"/>
      <c r="AR124" s="71"/>
      <c r="AS124" s="71"/>
      <c r="AT124" s="71"/>
      <c r="AU124" s="71"/>
      <c r="AV124" s="71"/>
      <c r="AW124" s="71"/>
      <c r="AX124" s="71"/>
      <c r="AY124" s="71"/>
      <c r="AZ124" s="71"/>
      <c r="BA124" s="71"/>
      <c r="BB124" s="71"/>
      <c r="BC124" s="353"/>
      <c r="BD124" s="71"/>
      <c r="BE124" s="71"/>
      <c r="BF124" s="71"/>
      <c r="BG124" s="71"/>
      <c r="BH124" s="71"/>
      <c r="BI124" s="71"/>
      <c r="BJ124" s="71"/>
      <c r="BK124" s="71"/>
      <c r="BL124" s="71"/>
      <c r="BM124" s="71"/>
      <c r="BN124" s="71"/>
      <c r="BO124" s="71"/>
      <c r="BP124" s="71"/>
      <c r="BQ124" s="71"/>
      <c r="BR124" s="71"/>
      <c r="BS124" s="71"/>
      <c r="BT124" s="71"/>
      <c r="BU124" s="71"/>
      <c r="BV124" s="71"/>
      <c r="BW124" s="83"/>
      <c r="BZ124" s="489" t="s">
        <v>1325</v>
      </c>
      <c r="CC124" s="2308" cm="1" t="str">
        <f t="array" ref="CC124:CC124">CC123</f>
        <v>0</v>
      </c>
      <c r="CF124" s="2308" t="s">
        <v>1218</v>
      </c>
      <c r="CH124" s="2308" t="s">
        <v>1308</v>
      </c>
      <c r="CI124" s="2308" t="s">
        <v>303</v>
      </c>
      <c r="CJ124" s="2308" t="s">
        <v>1312</v>
      </c>
      <c r="CK124" s="2308" t="s">
        <v>1313</v>
      </c>
    </row>
    <row customHeight="1" ht="14.625" hidden="1">
      <c r="E125" s="180">
        <v>15</v>
      </c>
      <c r="F125" s="175" cm="1" t="str">
        <f t="array" ref="F125:F125">F124</f>
        <v>0</v>
      </c>
      <c r="T125" s="753" cm="1" t="str">
        <f t="array" ref="T125:T125">T124</f>
        <v>false</v>
      </c>
      <c r="AB125" s="633" t="str">
        <f>AB112&amp;".8"</f>
        <v>7.8</v>
      </c>
      <c r="AC125" s="634" t="s">
        <v>1219</v>
      </c>
      <c r="AD125" s="633" t="s">
        <v>1178</v>
      </c>
      <c r="AE125" s="71"/>
      <c r="AF125" s="71"/>
      <c r="AG125" s="71"/>
      <c r="AH125" s="71"/>
      <c r="AI125" s="353"/>
      <c r="AJ125" s="71"/>
      <c r="AK125" s="71"/>
      <c r="AL125" s="71"/>
      <c r="AM125" s="71"/>
      <c r="AN125" s="71"/>
      <c r="AO125" s="71"/>
      <c r="AP125" s="71"/>
      <c r="AQ125" s="71"/>
      <c r="AR125" s="71"/>
      <c r="AS125" s="71"/>
      <c r="AT125" s="71"/>
      <c r="AU125" s="71"/>
      <c r="AV125" s="71"/>
      <c r="AW125" s="71"/>
      <c r="AX125" s="71"/>
      <c r="AY125" s="71"/>
      <c r="AZ125" s="71"/>
      <c r="BA125" s="71"/>
      <c r="BB125" s="71"/>
      <c r="BC125" s="353"/>
      <c r="BD125" s="71"/>
      <c r="BE125" s="71"/>
      <c r="BF125" s="71"/>
      <c r="BG125" s="71"/>
      <c r="BH125" s="71"/>
      <c r="BI125" s="71"/>
      <c r="BJ125" s="71"/>
      <c r="BK125" s="71"/>
      <c r="BL125" s="71"/>
      <c r="BM125" s="71"/>
      <c r="BN125" s="71"/>
      <c r="BO125" s="71"/>
      <c r="BP125" s="71"/>
      <c r="BQ125" s="71"/>
      <c r="BR125" s="71"/>
      <c r="BS125" s="71"/>
      <c r="BT125" s="71"/>
      <c r="BU125" s="71"/>
      <c r="BV125" s="71"/>
      <c r="BW125" s="83"/>
      <c r="BZ125" s="489" t="s">
        <v>1326</v>
      </c>
      <c r="CC125" s="2308" cm="1" t="str">
        <f t="array" ref="CC125:CC125">CC124</f>
        <v>0</v>
      </c>
      <c r="CD125" s="2308" t="s">
        <v>1221</v>
      </c>
      <c r="CH125" s="2308" t="s">
        <v>1327</v>
      </c>
      <c r="CI125" s="2308" t="s">
        <v>303</v>
      </c>
      <c r="CJ125" s="2308" t="s">
        <v>1312</v>
      </c>
      <c r="CK125" s="2308" t="s">
        <v>1313</v>
      </c>
    </row>
    <row s="1751" customFormat="1" customHeight="1" ht="10.5">
      <c r="A126" s="371"/>
      <c r="B126" s="1548"/>
      <c r="C126" s="1548"/>
      <c r="D126" s="1548"/>
      <c r="E126" s="180">
        <v>11</v>
      </c>
      <c r="F126" s="175" cm="1" t="str">
        <f t="array" ref="F126:F126">X126</f>
        <v>1</v>
      </c>
      <c r="G126" s="1659"/>
      <c r="H126" s="1659"/>
      <c r="I126" s="1659"/>
      <c r="J126" s="1659"/>
      <c r="K126" s="1659"/>
      <c r="L126" s="1659"/>
      <c r="M126" s="1659"/>
      <c r="N126" s="1659"/>
      <c r="O126" s="1659"/>
      <c r="P126" s="1659"/>
      <c r="Q126" s="1659"/>
      <c r="R126" s="1659"/>
      <c r="S126" s="1659"/>
      <c r="T126" s="753">
        <f>X126&gt;0</f>
        <v>1</v>
      </c>
      <c r="U126" s="1548"/>
      <c r="V126" s="175" cm="1" t="str">
        <f t="array" ref="V126:V126">'ХВС, ТН'!$AB$40</f>
        <v>Тариф 1 (Теплоснабжение) - Тариф на тепловую энергию (мощность), поставляемую потребителям (Доп. признак не требуется)</v>
      </c>
      <c r="W126" s="1548"/>
      <c r="X126" s="175" t="s">
        <v>308</v>
      </c>
      <c r="Y126" s="1548"/>
      <c r="Z126" s="1548"/>
      <c r="AA126" s="183"/>
      <c r="AB126" s="621" cm="1" t="str">
        <f t="array" ref="AB126:AB126">IF(ISBLANK('ХВС, ТН'!$AB$40),"",'ХВС, ТН'!$AB$40)</f>
        <v>Тариф 1 (Теплоснабжение) - Тариф на тепловую энергию (мощность), поставляемую потребителям (Доп. признак не требуется)</v>
      </c>
      <c r="AC126" s="298"/>
      <c r="AD126" s="299"/>
      <c r="AE126" s="299"/>
      <c r="AF126" s="299"/>
      <c r="AG126" s="299"/>
      <c r="AH126" s="299"/>
      <c r="AI126" s="299"/>
      <c r="AJ126" s="299"/>
      <c r="AK126" s="299"/>
      <c r="AL126" s="299"/>
      <c r="AM126" s="299"/>
      <c r="AN126" s="299"/>
      <c r="AO126" s="299"/>
      <c r="AP126" s="299"/>
      <c r="AQ126" s="299"/>
      <c r="AR126" s="299"/>
      <c r="AS126" s="299"/>
      <c r="AT126" s="299"/>
      <c r="AU126" s="299"/>
      <c r="AV126" s="299"/>
      <c r="AW126" s="299"/>
      <c r="AX126" s="299"/>
      <c r="AY126" s="299"/>
      <c r="AZ126" s="299"/>
      <c r="BA126" s="299"/>
      <c r="BB126" s="299"/>
      <c r="BC126" s="299"/>
      <c r="BD126" s="299"/>
      <c r="BE126" s="299"/>
      <c r="BF126" s="299"/>
      <c r="BG126" s="299"/>
      <c r="BH126" s="299"/>
      <c r="BI126" s="299"/>
      <c r="BJ126" s="299"/>
      <c r="BK126" s="299"/>
      <c r="BL126" s="299"/>
      <c r="BM126" s="299"/>
      <c r="BN126" s="299"/>
      <c r="BO126" s="299"/>
      <c r="BP126" s="299"/>
      <c r="BQ126" s="299"/>
      <c r="BR126" s="299"/>
      <c r="BS126" s="299"/>
      <c r="BT126" s="299"/>
      <c r="BU126" s="299"/>
      <c r="BV126" s="299"/>
      <c r="BW126" s="630"/>
      <c r="BX126" s="183"/>
      <c r="BY126" s="969"/>
      <c r="BZ126" s="1125"/>
      <c r="CA126" s="1506"/>
      <c r="CB126" s="1506"/>
      <c r="CC126" s="1751"/>
      <c r="CD126" s="1751"/>
      <c r="CE126" s="1751"/>
      <c r="CF126" s="1751"/>
      <c r="CG126" s="1751"/>
      <c r="CH126" s="1751"/>
      <c r="CI126" s="1751"/>
      <c r="CJ126" s="1751"/>
      <c r="CK126" s="1751"/>
      <c r="CL126" s="1751"/>
      <c r="CM126" s="1751"/>
      <c r="CN126" s="1751"/>
    </row>
    <row s="986" customFormat="1" customHeight="1" ht="21.75">
      <c r="A127" s="986"/>
      <c r="B127" s="986"/>
      <c r="C127" s="986"/>
      <c r="D127" s="986"/>
      <c r="E127" s="180">
        <v>23</v>
      </c>
      <c r="F127" s="175" cm="1" t="str">
        <f t="array" ref="F127:F127">F126</f>
        <v>1</v>
      </c>
      <c r="G127" s="986"/>
      <c r="H127" s="986"/>
      <c r="I127" s="986"/>
      <c r="J127" s="986"/>
      <c r="K127" s="986"/>
      <c r="L127" s="986"/>
      <c r="M127" s="986"/>
      <c r="N127" s="986"/>
      <c r="O127" s="986"/>
      <c r="P127" s="986"/>
      <c r="Q127" s="986"/>
      <c r="R127" s="986"/>
      <c r="S127" s="986"/>
      <c r="T127" s="753" cm="1" t="str">
        <f t="array" ref="T127:T127">T126</f>
        <v>true</v>
      </c>
      <c r="U127" s="986"/>
      <c r="V127" s="986"/>
      <c r="W127" s="986"/>
      <c r="X127" s="986"/>
      <c r="Y127" s="986"/>
      <c r="Z127" s="986"/>
      <c r="AA127" s="986"/>
      <c r="AB127" s="556">
        <v>1</v>
      </c>
      <c r="AC127" s="555" t="s">
        <v>1173</v>
      </c>
      <c r="AD127" s="551" t="s">
        <v>917</v>
      </c>
      <c r="AE127" s="2286">
        <f>SUM(AE128:AE131)+SUM(AE137:AE140)</f>
        <v>0</v>
      </c>
      <c r="AF127" s="2286">
        <f>SUM(AF128:AF131)+SUM(AF137:AF140)</f>
        <v>0</v>
      </c>
      <c r="AG127" s="2286">
        <f>SUM(AG128:AG131)+SUM(AG137:AG140)</f>
        <v>0</v>
      </c>
      <c r="AH127" s="2286">
        <f>SUM(AH128:AH131)+SUM(AH137:AH140)</f>
        <v>0</v>
      </c>
      <c r="AI127" s="588">
        <f>SUM(AI128:AI131)+SUM(AI137:AI140)</f>
        <v>0</v>
      </c>
      <c r="AJ127" s="2286">
        <f>SUM(AJ128:AJ131)+SUM(AJ137:AJ140)</f>
        <v>0</v>
      </c>
      <c r="AK127" s="2286">
        <f>SUM(AK128:AK131)+SUM(AK137:AK140)</f>
        <v>0</v>
      </c>
      <c r="AL127" s="2286">
        <f>SUM(AL128:AL131)+SUM(AL137:AL140)</f>
        <v>0</v>
      </c>
      <c r="AM127" s="2286">
        <f>SUM(AM128:AM131)+SUM(AM137:AM140)</f>
        <v>0</v>
      </c>
      <c r="AN127" s="2286">
        <f>SUM(AN128:AN131)+SUM(AN137:AN140)</f>
        <v>0</v>
      </c>
      <c r="AO127" s="2286">
        <f>SUM(AO128:AO131)+SUM(AO137:AO140)</f>
        <v>0</v>
      </c>
      <c r="AP127" s="2286">
        <f>SUM(AP128:AP131)+SUM(AP137:AP140)</f>
        <v>0</v>
      </c>
      <c r="AQ127" s="2286">
        <f>SUM(AQ128:AQ131)+SUM(AQ137:AQ140)</f>
        <v>0</v>
      </c>
      <c r="AR127" s="2286">
        <f>SUM(AR128:AR131)+SUM(AR137:AR140)</f>
        <v>0</v>
      </c>
      <c r="AS127" s="2286">
        <f>SUM(AS128:AS131)+SUM(AS137:AS140)</f>
        <v>0</v>
      </c>
      <c r="AT127" s="2286">
        <f>SUM(AT128:AT131)+SUM(AT137:AT140)</f>
        <v>0</v>
      </c>
      <c r="AU127" s="2286">
        <f>SUM(AU128:AU131)+SUM(AU137:AU140)</f>
        <v>0</v>
      </c>
      <c r="AV127" s="2286">
        <f>SUM(AV128:AV131)+SUM(AV137:AV140)</f>
        <v>0</v>
      </c>
      <c r="AW127" s="2286">
        <f>SUM(AW128:AW131)+SUM(AW137:AW140)</f>
        <v>0</v>
      </c>
      <c r="AX127" s="2286">
        <f>SUM(AX128:AX131)+SUM(AX137:AX140)</f>
        <v>0</v>
      </c>
      <c r="AY127" s="2286">
        <f>SUM(AY128:AY131)+SUM(AY137:AY140)</f>
        <v>0</v>
      </c>
      <c r="AZ127" s="2286">
        <f>SUM(AZ128:AZ131)+SUM(AZ137:AZ140)</f>
        <v>0</v>
      </c>
      <c r="BA127" s="2286">
        <f>SUM(BA128:BA131)+SUM(BA137:BA140)</f>
        <v>0</v>
      </c>
      <c r="BB127" s="2286">
        <f>SUM(BB128:BB131)+SUM(BB137:BB140)</f>
        <v>0</v>
      </c>
      <c r="BC127" s="588">
        <f>SUM(BC128:BC131)+SUM(BC137:BC140)</f>
        <v>0</v>
      </c>
      <c r="BD127" s="2286">
        <f>SUM(BD128:BD131)+SUM(BD137:BD140)</f>
        <v>0</v>
      </c>
      <c r="BE127" s="2286">
        <f>SUM(BE128:BE131)+SUM(BE137:BE140)</f>
        <v>0</v>
      </c>
      <c r="BF127" s="2286">
        <f>SUM(BF128:BF131)+SUM(BF137:BF140)</f>
        <v>0</v>
      </c>
      <c r="BG127" s="2286">
        <f>SUM(BG128:BG131)+SUM(BG137:BG140)</f>
        <v>0</v>
      </c>
      <c r="BH127" s="2286">
        <f>SUM(BH128:BH131)+SUM(BH137:BH140)</f>
        <v>0</v>
      </c>
      <c r="BI127" s="2286">
        <f>SUM(BI128:BI131)+SUM(BI137:BI140)</f>
        <v>0</v>
      </c>
      <c r="BJ127" s="2286">
        <f>SUM(BJ128:BJ131)+SUM(BJ137:BJ140)</f>
        <v>0</v>
      </c>
      <c r="BK127" s="2286">
        <f>SUM(BK128:BK131)+SUM(BK137:BK140)</f>
        <v>0</v>
      </c>
      <c r="BL127" s="2286">
        <f>SUM(BL128:BL131)+SUM(BL137:BL140)</f>
        <v>0</v>
      </c>
      <c r="BM127" s="2286">
        <f>SUM(BM128:BM131)+SUM(BM137:BM140)</f>
        <v>0</v>
      </c>
      <c r="BN127" s="2286">
        <f>SUM(BN128:BN131)+SUM(BN137:BN140)</f>
        <v>0</v>
      </c>
      <c r="BO127" s="2286">
        <f>SUM(BO128:BO131)+SUM(BO137:BO140)</f>
        <v>0</v>
      </c>
      <c r="BP127" s="2286">
        <f>SUM(BP128:BP131)+SUM(BP137:BP140)</f>
        <v>0</v>
      </c>
      <c r="BQ127" s="2286">
        <f>SUM(BQ128:BQ131)+SUM(BQ137:BQ140)</f>
        <v>0</v>
      </c>
      <c r="BR127" s="2286">
        <f>SUM(BR128:BR131)+SUM(BR137:BR140)</f>
        <v>0</v>
      </c>
      <c r="BS127" s="2286">
        <f>SUM(BS128:BS131)+SUM(BS137:BS140)</f>
        <v>0</v>
      </c>
      <c r="BT127" s="2286">
        <f>SUM(BT128:BT131)+SUM(BT137:BT140)</f>
        <v>0</v>
      </c>
      <c r="BU127" s="2286">
        <f>SUM(BU128:BU131)+SUM(BU137:BU140)</f>
        <v>0</v>
      </c>
      <c r="BV127" s="2286">
        <f>SUM(BV128:BV131)+SUM(BV137:BV140)</f>
        <v>0</v>
      </c>
      <c r="BW127" s="1897"/>
      <c r="BX127" s="986"/>
      <c r="BY127" s="986"/>
      <c r="BZ127" s="489" t="s">
        <v>1174</v>
      </c>
      <c r="CA127" s="986"/>
      <c r="CB127" s="986"/>
      <c r="CC127" s="0" cm="1" t="str">
        <f t="array" ref="CC127:CC127">INDEX('Общие сведения'!$N$170:$N$202,MATCH($F127,'Общие сведения'!$Y$170:$Y$202,0)+1)</f>
        <v>ТЭ.42.31656254.0001</v>
      </c>
      <c r="CD127" s="986"/>
      <c r="CE127" s="986"/>
      <c r="CF127" s="986"/>
      <c r="CG127" s="986"/>
      <c r="CH127" s="986"/>
      <c r="CI127" s="0" t="s">
        <v>303</v>
      </c>
      <c r="CJ127" s="0" t="s">
        <v>1175</v>
      </c>
      <c r="CK127" s="0" t="s">
        <v>1176</v>
      </c>
      <c r="CL127" s="986"/>
      <c r="CM127" s="986"/>
      <c r="CN127" s="986"/>
    </row>
    <row s="1751" customFormat="1" customHeight="1" ht="14.25">
      <c r="A128" s="371"/>
      <c r="B128" s="1548"/>
      <c r="C128" s="1548"/>
      <c r="D128" s="1548"/>
      <c r="E128" s="180">
        <v>15</v>
      </c>
      <c r="F128" s="175" cm="1" t="str">
        <f t="array" ref="F128:F128">F127</f>
        <v>1</v>
      </c>
      <c r="G128" s="1659"/>
      <c r="H128" s="1659"/>
      <c r="I128" s="1659"/>
      <c r="J128" s="1659"/>
      <c r="K128" s="1659"/>
      <c r="L128" s="1659"/>
      <c r="M128" s="1659"/>
      <c r="N128" s="1659"/>
      <c r="O128" s="1659"/>
      <c r="P128" s="1659"/>
      <c r="Q128" s="1659"/>
      <c r="R128" s="1659"/>
      <c r="S128" s="1659"/>
      <c r="T128" s="753" cm="1" t="str">
        <f t="array" ref="T128:T128">T127</f>
        <v>true</v>
      </c>
      <c r="U128" s="1548"/>
      <c r="V128" s="1548"/>
      <c r="W128" s="1548"/>
      <c r="X128" s="1548"/>
      <c r="Y128" s="1548"/>
      <c r="Z128" s="1548"/>
      <c r="AA128" s="183"/>
      <c r="AB128" s="633">
        <v>1.1</v>
      </c>
      <c r="AC128" s="634" t="s">
        <v>1177</v>
      </c>
      <c r="AD128" s="633" t="s">
        <v>1178</v>
      </c>
      <c r="AE128" s="1864"/>
      <c r="AF128" s="1864"/>
      <c r="AG128" s="1864"/>
      <c r="AH128" s="1864"/>
      <c r="AI128" s="353"/>
      <c r="AJ128" s="1864"/>
      <c r="AK128" s="1864"/>
      <c r="AL128" s="1864"/>
      <c r="AM128" s="1864"/>
      <c r="AN128" s="1864"/>
      <c r="AO128" s="1864"/>
      <c r="AP128" s="1864"/>
      <c r="AQ128" s="1864"/>
      <c r="AR128" s="1864"/>
      <c r="AS128" s="1864"/>
      <c r="AT128" s="1864"/>
      <c r="AU128" s="1864"/>
      <c r="AV128" s="1864"/>
      <c r="AW128" s="1864"/>
      <c r="AX128" s="1864"/>
      <c r="AY128" s="1864"/>
      <c r="AZ128" s="1864"/>
      <c r="BA128" s="1864"/>
      <c r="BB128" s="1864"/>
      <c r="BC128" s="353"/>
      <c r="BD128" s="1864"/>
      <c r="BE128" s="1864"/>
      <c r="BF128" s="1864"/>
      <c r="BG128" s="1864"/>
      <c r="BH128" s="1864"/>
      <c r="BI128" s="1864"/>
      <c r="BJ128" s="1864"/>
      <c r="BK128" s="1864"/>
      <c r="BL128" s="1864"/>
      <c r="BM128" s="1864"/>
      <c r="BN128" s="1864"/>
      <c r="BO128" s="1864"/>
      <c r="BP128" s="1864"/>
      <c r="BQ128" s="1864"/>
      <c r="BR128" s="1864"/>
      <c r="BS128" s="1864"/>
      <c r="BT128" s="1864"/>
      <c r="BU128" s="1864"/>
      <c r="BV128" s="1864"/>
      <c r="BW128" s="1897"/>
      <c r="BX128" s="183"/>
      <c r="BY128" s="969"/>
      <c r="BZ128" s="489" t="s">
        <v>1179</v>
      </c>
      <c r="CA128" s="1506"/>
      <c r="CB128" s="1506"/>
      <c r="CC128" s="0" cm="1" t="str">
        <f t="array" ref="CC128:CC128">CC127</f>
        <v>ТЭ.42.31656254.0001</v>
      </c>
      <c r="CD128" s="0" t="s">
        <v>1180</v>
      </c>
      <c r="CE128" s="1751"/>
      <c r="CF128" s="1751"/>
      <c r="CG128" s="1751"/>
      <c r="CH128" s="0" t="s">
        <v>219</v>
      </c>
      <c r="CI128" s="0" t="s">
        <v>303</v>
      </c>
      <c r="CJ128" s="0" t="s">
        <v>1175</v>
      </c>
      <c r="CK128" s="0" t="s">
        <v>1176</v>
      </c>
      <c r="CL128" s="1751"/>
      <c r="CM128" s="1751"/>
      <c r="CN128" s="1751"/>
    </row>
    <row s="1751" customFormat="1" customHeight="1" ht="14.25">
      <c r="A129" s="371"/>
      <c r="B129" s="1548"/>
      <c r="C129" s="1548"/>
      <c r="D129" s="1548"/>
      <c r="E129" s="180">
        <v>15</v>
      </c>
      <c r="F129" s="175" cm="1" t="str">
        <f t="array" ref="F129:F129">F128</f>
        <v>1</v>
      </c>
      <c r="G129" s="1659"/>
      <c r="H129" s="1659"/>
      <c r="I129" s="1659"/>
      <c r="J129" s="1659"/>
      <c r="K129" s="1659"/>
      <c r="L129" s="1659"/>
      <c r="M129" s="1659"/>
      <c r="N129" s="1659"/>
      <c r="O129" s="1659"/>
      <c r="P129" s="1659"/>
      <c r="Q129" s="1659"/>
      <c r="R129" s="1659"/>
      <c r="S129" s="1659"/>
      <c r="T129" s="753" cm="1" t="str">
        <f t="array" ref="T129:T129">T128</f>
        <v>true</v>
      </c>
      <c r="U129" s="1548"/>
      <c r="V129" s="1548"/>
      <c r="W129" s="1548"/>
      <c r="X129" s="1548"/>
      <c r="Y129" s="1548"/>
      <c r="Z129" s="1548"/>
      <c r="AA129" s="183"/>
      <c r="AB129" s="633">
        <v>1.2</v>
      </c>
      <c r="AC129" s="634" t="s">
        <v>1181</v>
      </c>
      <c r="AD129" s="633" t="s">
        <v>1178</v>
      </c>
      <c r="AE129" s="1864"/>
      <c r="AF129" s="1864"/>
      <c r="AG129" s="1864"/>
      <c r="AH129" s="1864"/>
      <c r="AI129" s="353"/>
      <c r="AJ129" s="1864"/>
      <c r="AK129" s="1864"/>
      <c r="AL129" s="1864"/>
      <c r="AM129" s="1864"/>
      <c r="AN129" s="1864"/>
      <c r="AO129" s="1864"/>
      <c r="AP129" s="1864"/>
      <c r="AQ129" s="1864"/>
      <c r="AR129" s="1864"/>
      <c r="AS129" s="1864"/>
      <c r="AT129" s="1864"/>
      <c r="AU129" s="1864"/>
      <c r="AV129" s="1864"/>
      <c r="AW129" s="1864"/>
      <c r="AX129" s="1864"/>
      <c r="AY129" s="1864"/>
      <c r="AZ129" s="1864"/>
      <c r="BA129" s="1864"/>
      <c r="BB129" s="1864"/>
      <c r="BC129" s="353"/>
      <c r="BD129" s="1864"/>
      <c r="BE129" s="1864"/>
      <c r="BF129" s="1864"/>
      <c r="BG129" s="1864"/>
      <c r="BH129" s="1864"/>
      <c r="BI129" s="1864"/>
      <c r="BJ129" s="1864"/>
      <c r="BK129" s="1864"/>
      <c r="BL129" s="1864"/>
      <c r="BM129" s="1864"/>
      <c r="BN129" s="1864"/>
      <c r="BO129" s="1864"/>
      <c r="BP129" s="1864"/>
      <c r="BQ129" s="1864"/>
      <c r="BR129" s="1864"/>
      <c r="BS129" s="1864"/>
      <c r="BT129" s="1864"/>
      <c r="BU129" s="1864"/>
      <c r="BV129" s="1864"/>
      <c r="BW129" s="1897"/>
      <c r="BX129" s="183"/>
      <c r="BY129" s="969"/>
      <c r="BZ129" s="489" t="s">
        <v>1182</v>
      </c>
      <c r="CA129" s="1506"/>
      <c r="CB129" s="1506"/>
      <c r="CC129" s="0" cm="1" t="str">
        <f t="array" ref="CC129:CC129">CC128</f>
        <v>ТЭ.42.31656254.0001</v>
      </c>
      <c r="CD129" s="0" t="s">
        <v>1183</v>
      </c>
      <c r="CE129" s="1751"/>
      <c r="CF129" s="1751"/>
      <c r="CG129" s="1751"/>
      <c r="CH129" s="0" t="s">
        <v>219</v>
      </c>
      <c r="CI129" s="0" t="s">
        <v>303</v>
      </c>
      <c r="CJ129" s="0" t="s">
        <v>1175</v>
      </c>
      <c r="CK129" s="0" t="s">
        <v>1176</v>
      </c>
      <c r="CL129" s="1751"/>
      <c r="CM129" s="1751"/>
      <c r="CN129" s="1751"/>
    </row>
    <row s="1751" customFormat="1" customHeight="1" ht="14.25">
      <c r="A130" s="371"/>
      <c r="B130" s="1548"/>
      <c r="C130" s="1548"/>
      <c r="D130" s="1548"/>
      <c r="E130" s="180">
        <v>15</v>
      </c>
      <c r="F130" s="175" cm="1" t="str">
        <f t="array" ref="F130:F130">F129</f>
        <v>1</v>
      </c>
      <c r="G130" s="1659"/>
      <c r="H130" s="1659"/>
      <c r="I130" s="1659"/>
      <c r="J130" s="1659"/>
      <c r="K130" s="1659"/>
      <c r="L130" s="1659"/>
      <c r="M130" s="1659"/>
      <c r="N130" s="1659"/>
      <c r="O130" s="1659"/>
      <c r="P130" s="1659"/>
      <c r="Q130" s="1659"/>
      <c r="R130" s="1659"/>
      <c r="S130" s="1659"/>
      <c r="T130" s="753" cm="1" t="str">
        <f t="array" ref="T130:T130">T129</f>
        <v>true</v>
      </c>
      <c r="U130" s="1548"/>
      <c r="V130" s="1548"/>
      <c r="W130" s="1548"/>
      <c r="X130" s="1548"/>
      <c r="Y130" s="1548"/>
      <c r="Z130" s="1548"/>
      <c r="AA130" s="183"/>
      <c r="AB130" s="633">
        <v>1.3</v>
      </c>
      <c r="AC130" s="634" t="s">
        <v>1184</v>
      </c>
      <c r="AD130" s="633" t="s">
        <v>1178</v>
      </c>
      <c r="AE130" s="1864"/>
      <c r="AF130" s="1864"/>
      <c r="AG130" s="1864"/>
      <c r="AH130" s="1864"/>
      <c r="AI130" s="353"/>
      <c r="AJ130" s="1864"/>
      <c r="AK130" s="1864"/>
      <c r="AL130" s="1864"/>
      <c r="AM130" s="1864"/>
      <c r="AN130" s="1864"/>
      <c r="AO130" s="1864"/>
      <c r="AP130" s="1864"/>
      <c r="AQ130" s="1864"/>
      <c r="AR130" s="1864"/>
      <c r="AS130" s="1864"/>
      <c r="AT130" s="1864"/>
      <c r="AU130" s="1864"/>
      <c r="AV130" s="1864"/>
      <c r="AW130" s="1864"/>
      <c r="AX130" s="1864"/>
      <c r="AY130" s="1864"/>
      <c r="AZ130" s="1864"/>
      <c r="BA130" s="1864"/>
      <c r="BB130" s="1864"/>
      <c r="BC130" s="353"/>
      <c r="BD130" s="1864"/>
      <c r="BE130" s="1864"/>
      <c r="BF130" s="1864"/>
      <c r="BG130" s="1864"/>
      <c r="BH130" s="1864"/>
      <c r="BI130" s="1864"/>
      <c r="BJ130" s="1864"/>
      <c r="BK130" s="1864"/>
      <c r="BL130" s="1864"/>
      <c r="BM130" s="1864"/>
      <c r="BN130" s="1864"/>
      <c r="BO130" s="1864"/>
      <c r="BP130" s="1864"/>
      <c r="BQ130" s="1864"/>
      <c r="BR130" s="1864"/>
      <c r="BS130" s="1864"/>
      <c r="BT130" s="1864"/>
      <c r="BU130" s="1864"/>
      <c r="BV130" s="1864"/>
      <c r="BW130" s="1897"/>
      <c r="BX130" s="183"/>
      <c r="BY130" s="969"/>
      <c r="BZ130" s="489" t="s">
        <v>1185</v>
      </c>
      <c r="CA130" s="1506"/>
      <c r="CB130" s="1506"/>
      <c r="CC130" s="0" cm="1" t="str">
        <f t="array" ref="CC130:CC130">CC129</f>
        <v>ТЭ.42.31656254.0001</v>
      </c>
      <c r="CD130" s="0" t="s">
        <v>1186</v>
      </c>
      <c r="CE130" s="1751"/>
      <c r="CF130" s="1751"/>
      <c r="CG130" s="1751"/>
      <c r="CH130" s="0" t="s">
        <v>219</v>
      </c>
      <c r="CI130" s="0" t="s">
        <v>303</v>
      </c>
      <c r="CJ130" s="0" t="s">
        <v>1175</v>
      </c>
      <c r="CK130" s="0" t="s">
        <v>1176</v>
      </c>
      <c r="CL130" s="1751"/>
      <c r="CM130" s="1751"/>
      <c r="CN130" s="1751"/>
    </row>
    <row s="1751" customFormat="1" customHeight="1" ht="14.25">
      <c r="A131" s="371"/>
      <c r="B131" s="1548"/>
      <c r="C131" s="1548"/>
      <c r="D131" s="1548"/>
      <c r="E131" s="180">
        <v>15</v>
      </c>
      <c r="F131" s="175" cm="1" t="str">
        <f t="array" ref="F131:F131">F130</f>
        <v>1</v>
      </c>
      <c r="G131" s="1659"/>
      <c r="H131" s="1659"/>
      <c r="I131" s="1659"/>
      <c r="J131" s="1659"/>
      <c r="K131" s="1659"/>
      <c r="L131" s="1659"/>
      <c r="M131" s="1659"/>
      <c r="N131" s="1659"/>
      <c r="O131" s="1659"/>
      <c r="P131" s="1659"/>
      <c r="Q131" s="1659"/>
      <c r="R131" s="1659"/>
      <c r="S131" s="1659"/>
      <c r="T131" s="753" cm="1" t="str">
        <f t="array" ref="T131:T131">T130</f>
        <v>true</v>
      </c>
      <c r="U131" s="1548"/>
      <c r="V131" s="1548"/>
      <c r="W131" s="1548"/>
      <c r="X131" s="1548"/>
      <c r="Y131" s="1548"/>
      <c r="Z131" s="1548"/>
      <c r="AA131" s="183"/>
      <c r="AB131" s="633">
        <v>1.4</v>
      </c>
      <c r="AC131" s="634" t="s">
        <v>1187</v>
      </c>
      <c r="AD131" s="633" t="s">
        <v>1178</v>
      </c>
      <c r="AE131" s="2310">
        <f>SUM(AE132:AE136)</f>
        <v>0</v>
      </c>
      <c r="AF131" s="2310">
        <f>SUM(AF132:AF136)</f>
        <v>0</v>
      </c>
      <c r="AG131" s="2310">
        <f>SUM(AG132:AG136)</f>
        <v>0</v>
      </c>
      <c r="AH131" s="2310">
        <f>SUM(AH132:AH136)</f>
        <v>0</v>
      </c>
      <c r="AI131" s="484">
        <f>SUM(AI132:AI136)</f>
        <v>0</v>
      </c>
      <c r="AJ131" s="2310">
        <f>SUM(AJ132:AJ136)</f>
        <v>0</v>
      </c>
      <c r="AK131" s="2310">
        <f>SUM(AK132:AK136)</f>
        <v>0</v>
      </c>
      <c r="AL131" s="2310">
        <f>SUM(AL132:AL136)</f>
        <v>0</v>
      </c>
      <c r="AM131" s="2310">
        <f>SUM(AM132:AM136)</f>
        <v>0</v>
      </c>
      <c r="AN131" s="2310">
        <f>SUM(AN132:AN136)</f>
        <v>0</v>
      </c>
      <c r="AO131" s="2310">
        <f>SUM(AO132:AO136)</f>
        <v>0</v>
      </c>
      <c r="AP131" s="2310">
        <f>SUM(AP132:AP136)</f>
        <v>0</v>
      </c>
      <c r="AQ131" s="2310">
        <f>SUM(AQ132:AQ136)</f>
        <v>0</v>
      </c>
      <c r="AR131" s="2310">
        <f>SUM(AR132:AR136)</f>
        <v>0</v>
      </c>
      <c r="AS131" s="2310">
        <f>SUM(AS132:AS136)</f>
        <v>0</v>
      </c>
      <c r="AT131" s="2310">
        <f>SUM(AT132:AT136)</f>
        <v>0</v>
      </c>
      <c r="AU131" s="2310">
        <f>SUM(AU132:AU136)</f>
        <v>0</v>
      </c>
      <c r="AV131" s="2310">
        <f>SUM(AV132:AV136)</f>
        <v>0</v>
      </c>
      <c r="AW131" s="2310">
        <f>SUM(AW132:AW136)</f>
        <v>0</v>
      </c>
      <c r="AX131" s="2310">
        <f>SUM(AX132:AX136)</f>
        <v>0</v>
      </c>
      <c r="AY131" s="2310">
        <f>SUM(AY132:AY136)</f>
        <v>0</v>
      </c>
      <c r="AZ131" s="2310">
        <f>SUM(AZ132:AZ136)</f>
        <v>0</v>
      </c>
      <c r="BA131" s="2310">
        <f>SUM(BA132:BA136)</f>
        <v>0</v>
      </c>
      <c r="BB131" s="2310">
        <f>SUM(BB132:BB136)</f>
        <v>0</v>
      </c>
      <c r="BC131" s="484">
        <f>SUM(BC132:BC136)</f>
        <v>0</v>
      </c>
      <c r="BD131" s="2310">
        <f>SUM(BD132:BD136)</f>
        <v>0</v>
      </c>
      <c r="BE131" s="2310">
        <f>SUM(BE132:BE136)</f>
        <v>0</v>
      </c>
      <c r="BF131" s="2310">
        <f>SUM(BF132:BF136)</f>
        <v>0</v>
      </c>
      <c r="BG131" s="2310">
        <f>SUM(BG132:BG136)</f>
        <v>0</v>
      </c>
      <c r="BH131" s="2310">
        <f>SUM(BH132:BH136)</f>
        <v>0</v>
      </c>
      <c r="BI131" s="2310">
        <f>SUM(BI132:BI136)</f>
        <v>0</v>
      </c>
      <c r="BJ131" s="2310">
        <f>SUM(BJ132:BJ136)</f>
        <v>0</v>
      </c>
      <c r="BK131" s="2310">
        <f>SUM(BK132:BK136)</f>
        <v>0</v>
      </c>
      <c r="BL131" s="2310">
        <f>SUM(BL132:BL136)</f>
        <v>0</v>
      </c>
      <c r="BM131" s="2310">
        <f>SUM(BM132:BM136)</f>
        <v>0</v>
      </c>
      <c r="BN131" s="2310">
        <f>SUM(BN132:BN136)</f>
        <v>0</v>
      </c>
      <c r="BO131" s="2310">
        <f>SUM(BO132:BO136)</f>
        <v>0</v>
      </c>
      <c r="BP131" s="2310">
        <f>SUM(BP132:BP136)</f>
        <v>0</v>
      </c>
      <c r="BQ131" s="2310">
        <f>SUM(BQ132:BQ136)</f>
        <v>0</v>
      </c>
      <c r="BR131" s="2310">
        <f>SUM(BR132:BR136)</f>
        <v>0</v>
      </c>
      <c r="BS131" s="2310">
        <f>SUM(BS132:BS136)</f>
        <v>0</v>
      </c>
      <c r="BT131" s="2310">
        <f>SUM(BT132:BT136)</f>
        <v>0</v>
      </c>
      <c r="BU131" s="2310">
        <f>SUM(BU132:BU136)</f>
        <v>0</v>
      </c>
      <c r="BV131" s="2310">
        <f>SUM(BV132:BV136)</f>
        <v>0</v>
      </c>
      <c r="BW131" s="1897"/>
      <c r="BX131" s="183"/>
      <c r="BY131" s="969"/>
      <c r="BZ131" s="489" t="s">
        <v>1188</v>
      </c>
      <c r="CA131" s="1506"/>
      <c r="CB131" s="1506"/>
      <c r="CC131" s="0" cm="1" t="str">
        <f t="array" ref="CC131:CC131">CC130</f>
        <v>ТЭ.42.31656254.0001</v>
      </c>
      <c r="CD131" s="0" t="s">
        <v>1189</v>
      </c>
      <c r="CE131" s="1751"/>
      <c r="CF131" s="1751"/>
      <c r="CG131" s="1751"/>
      <c r="CH131" s="0" t="s">
        <v>219</v>
      </c>
      <c r="CI131" s="0" t="s">
        <v>303</v>
      </c>
      <c r="CJ131" s="0" t="s">
        <v>1175</v>
      </c>
      <c r="CK131" s="0" t="s">
        <v>1176</v>
      </c>
      <c r="CL131" s="1751"/>
      <c r="CM131" s="1751"/>
      <c r="CN131" s="1751"/>
    </row>
    <row s="1751" customFormat="1" customHeight="1" ht="14.25">
      <c r="A132" s="371"/>
      <c r="B132" s="1548"/>
      <c r="C132" s="1548"/>
      <c r="D132" s="1548"/>
      <c r="E132" s="180">
        <v>15</v>
      </c>
      <c r="F132" s="175" cm="1" t="str">
        <f t="array" ref="F132:F132">F131</f>
        <v>1</v>
      </c>
      <c r="G132" s="1659"/>
      <c r="H132" s="1659"/>
      <c r="I132" s="1659"/>
      <c r="J132" s="1659"/>
      <c r="K132" s="1659"/>
      <c r="L132" s="1659"/>
      <c r="M132" s="1659"/>
      <c r="N132" s="1659"/>
      <c r="O132" s="1659"/>
      <c r="P132" s="1659"/>
      <c r="Q132" s="1659"/>
      <c r="R132" s="1659"/>
      <c r="S132" s="1659"/>
      <c r="T132" s="753" cm="1" t="str">
        <f t="array" ref="T132:T132">T131</f>
        <v>true</v>
      </c>
      <c r="U132" s="1548"/>
      <c r="V132" s="1548"/>
      <c r="W132" s="1548"/>
      <c r="X132" s="1548"/>
      <c r="Y132" s="1548"/>
      <c r="Z132" s="1548"/>
      <c r="AA132" s="183"/>
      <c r="AB132" s="633" t="s">
        <v>1190</v>
      </c>
      <c r="AC132" s="635" t="s">
        <v>1191</v>
      </c>
      <c r="AD132" s="633" t="s">
        <v>1178</v>
      </c>
      <c r="AE132" s="1864"/>
      <c r="AF132" s="1864"/>
      <c r="AG132" s="1864"/>
      <c r="AH132" s="1864"/>
      <c r="AI132" s="353"/>
      <c r="AJ132" s="1864"/>
      <c r="AK132" s="1864"/>
      <c r="AL132" s="1864"/>
      <c r="AM132" s="1864"/>
      <c r="AN132" s="1864"/>
      <c r="AO132" s="1864"/>
      <c r="AP132" s="1864"/>
      <c r="AQ132" s="1864"/>
      <c r="AR132" s="1864"/>
      <c r="AS132" s="1864"/>
      <c r="AT132" s="1864"/>
      <c r="AU132" s="1864"/>
      <c r="AV132" s="1864"/>
      <c r="AW132" s="1864"/>
      <c r="AX132" s="1864"/>
      <c r="AY132" s="1864"/>
      <c r="AZ132" s="1864"/>
      <c r="BA132" s="1864"/>
      <c r="BB132" s="1864"/>
      <c r="BC132" s="353"/>
      <c r="BD132" s="1864"/>
      <c r="BE132" s="1864"/>
      <c r="BF132" s="1864"/>
      <c r="BG132" s="1864"/>
      <c r="BH132" s="1864"/>
      <c r="BI132" s="1864"/>
      <c r="BJ132" s="1864"/>
      <c r="BK132" s="1864"/>
      <c r="BL132" s="1864"/>
      <c r="BM132" s="1864"/>
      <c r="BN132" s="1864"/>
      <c r="BO132" s="1864"/>
      <c r="BP132" s="1864"/>
      <c r="BQ132" s="1864"/>
      <c r="BR132" s="1864"/>
      <c r="BS132" s="1864"/>
      <c r="BT132" s="1864"/>
      <c r="BU132" s="1864"/>
      <c r="BV132" s="1864"/>
      <c r="BW132" s="1897"/>
      <c r="BX132" s="183"/>
      <c r="BY132" s="969"/>
      <c r="BZ132" s="489" t="s">
        <v>1192</v>
      </c>
      <c r="CA132" s="1506"/>
      <c r="CB132" s="1506"/>
      <c r="CC132" s="0" cm="1" t="str">
        <f t="array" ref="CC132:CC132">CC131</f>
        <v>ТЭ.42.31656254.0001</v>
      </c>
      <c r="CD132" s="0" t="s">
        <v>1189</v>
      </c>
      <c r="CE132" s="0" t="s">
        <v>1193</v>
      </c>
      <c r="CF132" s="1751"/>
      <c r="CG132" s="1751"/>
      <c r="CH132" s="0" t="s">
        <v>219</v>
      </c>
      <c r="CI132" s="0" t="s">
        <v>303</v>
      </c>
      <c r="CJ132" s="0" t="s">
        <v>1175</v>
      </c>
      <c r="CK132" s="0" t="s">
        <v>1176</v>
      </c>
      <c r="CL132" s="1751"/>
      <c r="CM132" s="1751"/>
      <c r="CN132" s="1751"/>
    </row>
    <row s="1751" customFormat="1" customHeight="1" ht="14.25">
      <c r="A133" s="371"/>
      <c r="B133" s="1548"/>
      <c r="C133" s="1548"/>
      <c r="D133" s="1548"/>
      <c r="E133" s="180">
        <v>15</v>
      </c>
      <c r="F133" s="175" cm="1" t="str">
        <f t="array" ref="F133:F133">F132</f>
        <v>1</v>
      </c>
      <c r="G133" s="1659"/>
      <c r="H133" s="1659"/>
      <c r="I133" s="1659"/>
      <c r="J133" s="1659"/>
      <c r="K133" s="1659"/>
      <c r="L133" s="1659"/>
      <c r="M133" s="1659"/>
      <c r="N133" s="1659"/>
      <c r="O133" s="1659"/>
      <c r="P133" s="1659"/>
      <c r="Q133" s="1659"/>
      <c r="R133" s="1659"/>
      <c r="S133" s="1659"/>
      <c r="T133" s="753" cm="1" t="str">
        <f t="array" ref="T133:T133">T132</f>
        <v>true</v>
      </c>
      <c r="U133" s="1548"/>
      <c r="V133" s="1548"/>
      <c r="W133" s="1548"/>
      <c r="X133" s="1548"/>
      <c r="Y133" s="1548"/>
      <c r="Z133" s="1548"/>
      <c r="AA133" s="183"/>
      <c r="AB133" s="633" t="s">
        <v>1194</v>
      </c>
      <c r="AC133" s="635" t="s">
        <v>1195</v>
      </c>
      <c r="AD133" s="633" t="s">
        <v>1178</v>
      </c>
      <c r="AE133" s="1864"/>
      <c r="AF133" s="1864"/>
      <c r="AG133" s="1864"/>
      <c r="AH133" s="1864"/>
      <c r="AI133" s="353"/>
      <c r="AJ133" s="1864"/>
      <c r="AK133" s="1864"/>
      <c r="AL133" s="1864"/>
      <c r="AM133" s="1864"/>
      <c r="AN133" s="1864"/>
      <c r="AO133" s="1864"/>
      <c r="AP133" s="1864"/>
      <c r="AQ133" s="1864"/>
      <c r="AR133" s="1864"/>
      <c r="AS133" s="1864"/>
      <c r="AT133" s="1864"/>
      <c r="AU133" s="1864"/>
      <c r="AV133" s="1864"/>
      <c r="AW133" s="1864"/>
      <c r="AX133" s="1864"/>
      <c r="AY133" s="1864"/>
      <c r="AZ133" s="1864"/>
      <c r="BA133" s="1864"/>
      <c r="BB133" s="1864"/>
      <c r="BC133" s="353"/>
      <c r="BD133" s="1864"/>
      <c r="BE133" s="1864"/>
      <c r="BF133" s="1864"/>
      <c r="BG133" s="1864"/>
      <c r="BH133" s="1864"/>
      <c r="BI133" s="1864"/>
      <c r="BJ133" s="1864"/>
      <c r="BK133" s="1864"/>
      <c r="BL133" s="1864"/>
      <c r="BM133" s="1864"/>
      <c r="BN133" s="1864"/>
      <c r="BO133" s="1864"/>
      <c r="BP133" s="1864"/>
      <c r="BQ133" s="1864"/>
      <c r="BR133" s="1864"/>
      <c r="BS133" s="1864"/>
      <c r="BT133" s="1864"/>
      <c r="BU133" s="1864"/>
      <c r="BV133" s="1864"/>
      <c r="BW133" s="1897"/>
      <c r="BX133" s="183"/>
      <c r="BY133" s="969"/>
      <c r="BZ133" s="489" t="s">
        <v>1196</v>
      </c>
      <c r="CA133" s="1506"/>
      <c r="CB133" s="1506"/>
      <c r="CC133" s="0" cm="1" t="str">
        <f t="array" ref="CC133:CC133">CC132</f>
        <v>ТЭ.42.31656254.0001</v>
      </c>
      <c r="CD133" s="0" t="s">
        <v>1189</v>
      </c>
      <c r="CE133" s="0" t="s">
        <v>1197</v>
      </c>
      <c r="CF133" s="1751"/>
      <c r="CG133" s="1751"/>
      <c r="CH133" s="0" t="s">
        <v>219</v>
      </c>
      <c r="CI133" s="0" t="s">
        <v>303</v>
      </c>
      <c r="CJ133" s="0" t="s">
        <v>1175</v>
      </c>
      <c r="CK133" s="0" t="s">
        <v>1176</v>
      </c>
      <c r="CL133" s="1751"/>
      <c r="CM133" s="1751"/>
      <c r="CN133" s="1751"/>
    </row>
    <row s="1751" customFormat="1" customHeight="1" ht="14.25">
      <c r="A134" s="371"/>
      <c r="B134" s="1548"/>
      <c r="C134" s="1548"/>
      <c r="D134" s="1548"/>
      <c r="E134" s="180">
        <v>15</v>
      </c>
      <c r="F134" s="175" cm="1" t="str">
        <f t="array" ref="F134:F134">F133</f>
        <v>1</v>
      </c>
      <c r="G134" s="1659"/>
      <c r="H134" s="1659"/>
      <c r="I134" s="1659"/>
      <c r="J134" s="1659"/>
      <c r="K134" s="1659"/>
      <c r="L134" s="1659"/>
      <c r="M134" s="1659"/>
      <c r="N134" s="1659"/>
      <c r="O134" s="1659"/>
      <c r="P134" s="1659"/>
      <c r="Q134" s="1659"/>
      <c r="R134" s="1659"/>
      <c r="S134" s="1659"/>
      <c r="T134" s="753" cm="1" t="str">
        <f t="array" ref="T134:T134">T133</f>
        <v>true</v>
      </c>
      <c r="U134" s="1548"/>
      <c r="V134" s="1548"/>
      <c r="W134" s="1548"/>
      <c r="X134" s="1548"/>
      <c r="Y134" s="1548"/>
      <c r="Z134" s="1548"/>
      <c r="AA134" s="183"/>
      <c r="AB134" s="633" t="s">
        <v>1198</v>
      </c>
      <c r="AC134" s="635" t="s">
        <v>1199</v>
      </c>
      <c r="AD134" s="633" t="s">
        <v>1178</v>
      </c>
      <c r="AE134" s="1864"/>
      <c r="AF134" s="1864"/>
      <c r="AG134" s="1864"/>
      <c r="AH134" s="1864"/>
      <c r="AI134" s="353"/>
      <c r="AJ134" s="1864"/>
      <c r="AK134" s="1864"/>
      <c r="AL134" s="1864"/>
      <c r="AM134" s="1864"/>
      <c r="AN134" s="1864"/>
      <c r="AO134" s="1864"/>
      <c r="AP134" s="1864"/>
      <c r="AQ134" s="1864"/>
      <c r="AR134" s="1864"/>
      <c r="AS134" s="1864"/>
      <c r="AT134" s="1864"/>
      <c r="AU134" s="1864"/>
      <c r="AV134" s="1864"/>
      <c r="AW134" s="1864"/>
      <c r="AX134" s="1864"/>
      <c r="AY134" s="1864"/>
      <c r="AZ134" s="1864"/>
      <c r="BA134" s="1864"/>
      <c r="BB134" s="1864"/>
      <c r="BC134" s="353"/>
      <c r="BD134" s="1864"/>
      <c r="BE134" s="1864"/>
      <c r="BF134" s="1864"/>
      <c r="BG134" s="1864"/>
      <c r="BH134" s="1864"/>
      <c r="BI134" s="1864"/>
      <c r="BJ134" s="1864"/>
      <c r="BK134" s="1864"/>
      <c r="BL134" s="1864"/>
      <c r="BM134" s="1864"/>
      <c r="BN134" s="1864"/>
      <c r="BO134" s="1864"/>
      <c r="BP134" s="1864"/>
      <c r="BQ134" s="1864"/>
      <c r="BR134" s="1864"/>
      <c r="BS134" s="1864"/>
      <c r="BT134" s="1864"/>
      <c r="BU134" s="1864"/>
      <c r="BV134" s="1864"/>
      <c r="BW134" s="1897"/>
      <c r="BX134" s="183"/>
      <c r="BY134" s="969"/>
      <c r="BZ134" s="489" t="s">
        <v>1200</v>
      </c>
      <c r="CA134" s="1506"/>
      <c r="CB134" s="1506"/>
      <c r="CC134" s="0" cm="1" t="str">
        <f t="array" ref="CC134:CC134">CC133</f>
        <v>ТЭ.42.31656254.0001</v>
      </c>
      <c r="CD134" s="0" t="s">
        <v>1189</v>
      </c>
      <c r="CE134" s="0" t="s">
        <v>1201</v>
      </c>
      <c r="CF134" s="1751"/>
      <c r="CG134" s="1751"/>
      <c r="CH134" s="0" t="s">
        <v>219</v>
      </c>
      <c r="CI134" s="0" t="s">
        <v>303</v>
      </c>
      <c r="CJ134" s="0" t="s">
        <v>1175</v>
      </c>
      <c r="CK134" s="0" t="s">
        <v>1176</v>
      </c>
      <c r="CL134" s="1751"/>
      <c r="CM134" s="1751"/>
      <c r="CN134" s="1751"/>
    </row>
    <row s="1751" customFormat="1" customHeight="1" ht="14.25">
      <c r="A135" s="371"/>
      <c r="B135" s="1548"/>
      <c r="C135" s="1548"/>
      <c r="D135" s="1548"/>
      <c r="E135" s="180">
        <v>15</v>
      </c>
      <c r="F135" s="175" cm="1" t="str">
        <f t="array" ref="F135:F135">F134</f>
        <v>1</v>
      </c>
      <c r="G135" s="1659"/>
      <c r="H135" s="1659"/>
      <c r="I135" s="1659"/>
      <c r="J135" s="1659"/>
      <c r="K135" s="1659"/>
      <c r="L135" s="1659"/>
      <c r="M135" s="1659"/>
      <c r="N135" s="1659"/>
      <c r="O135" s="1659"/>
      <c r="P135" s="1659"/>
      <c r="Q135" s="1659"/>
      <c r="R135" s="1659"/>
      <c r="S135" s="1659"/>
      <c r="T135" s="753" cm="1" t="str">
        <f t="array" ref="T135:T135">T134</f>
        <v>true</v>
      </c>
      <c r="U135" s="1548"/>
      <c r="V135" s="1548"/>
      <c r="W135" s="1548"/>
      <c r="X135" s="1548"/>
      <c r="Y135" s="1548"/>
      <c r="Z135" s="1548"/>
      <c r="AA135" s="183"/>
      <c r="AB135" s="633" t="s">
        <v>1202</v>
      </c>
      <c r="AC135" s="635" t="s">
        <v>1203</v>
      </c>
      <c r="AD135" s="633" t="s">
        <v>1178</v>
      </c>
      <c r="AE135" s="1864"/>
      <c r="AF135" s="1864"/>
      <c r="AG135" s="1864"/>
      <c r="AH135" s="1864"/>
      <c r="AI135" s="353"/>
      <c r="AJ135" s="1864"/>
      <c r="AK135" s="1864"/>
      <c r="AL135" s="1864"/>
      <c r="AM135" s="1864"/>
      <c r="AN135" s="1864"/>
      <c r="AO135" s="1864"/>
      <c r="AP135" s="1864"/>
      <c r="AQ135" s="1864"/>
      <c r="AR135" s="1864"/>
      <c r="AS135" s="1864"/>
      <c r="AT135" s="1864"/>
      <c r="AU135" s="1864"/>
      <c r="AV135" s="1864"/>
      <c r="AW135" s="1864"/>
      <c r="AX135" s="1864"/>
      <c r="AY135" s="1864"/>
      <c r="AZ135" s="1864"/>
      <c r="BA135" s="1864"/>
      <c r="BB135" s="1864"/>
      <c r="BC135" s="353"/>
      <c r="BD135" s="1864"/>
      <c r="BE135" s="1864"/>
      <c r="BF135" s="1864"/>
      <c r="BG135" s="1864"/>
      <c r="BH135" s="1864"/>
      <c r="BI135" s="1864"/>
      <c r="BJ135" s="1864"/>
      <c r="BK135" s="1864"/>
      <c r="BL135" s="1864"/>
      <c r="BM135" s="1864"/>
      <c r="BN135" s="1864"/>
      <c r="BO135" s="1864"/>
      <c r="BP135" s="1864"/>
      <c r="BQ135" s="1864"/>
      <c r="BR135" s="1864"/>
      <c r="BS135" s="1864"/>
      <c r="BT135" s="1864"/>
      <c r="BU135" s="1864"/>
      <c r="BV135" s="1864"/>
      <c r="BW135" s="1897"/>
      <c r="BX135" s="183"/>
      <c r="BY135" s="969"/>
      <c r="BZ135" s="489" t="s">
        <v>1204</v>
      </c>
      <c r="CA135" s="1506"/>
      <c r="CB135" s="1506"/>
      <c r="CC135" s="0" cm="1" t="str">
        <f t="array" ref="CC135:CC135">CC134</f>
        <v>ТЭ.42.31656254.0001</v>
      </c>
      <c r="CD135" s="0" t="s">
        <v>1189</v>
      </c>
      <c r="CE135" s="0" t="s">
        <v>1205</v>
      </c>
      <c r="CF135" s="1751"/>
      <c r="CG135" s="1751"/>
      <c r="CH135" s="0" t="s">
        <v>219</v>
      </c>
      <c r="CI135" s="0" t="s">
        <v>303</v>
      </c>
      <c r="CJ135" s="0" t="s">
        <v>1175</v>
      </c>
      <c r="CK135" s="0" t="s">
        <v>1176</v>
      </c>
      <c r="CL135" s="1751"/>
      <c r="CM135" s="1751"/>
      <c r="CN135" s="1751"/>
    </row>
    <row s="1751" customFormat="1" customHeight="1" ht="14.25">
      <c r="A136" s="371"/>
      <c r="B136" s="1548"/>
      <c r="C136" s="1548"/>
      <c r="D136" s="1548"/>
      <c r="E136" s="180">
        <v>15</v>
      </c>
      <c r="F136" s="175" cm="1" t="str">
        <f t="array" ref="F136:F136">F135</f>
        <v>1</v>
      </c>
      <c r="G136" s="1659"/>
      <c r="H136" s="1659"/>
      <c r="I136" s="1659"/>
      <c r="J136" s="1659"/>
      <c r="K136" s="1659"/>
      <c r="L136" s="1659"/>
      <c r="M136" s="1659"/>
      <c r="N136" s="1659"/>
      <c r="O136" s="1659"/>
      <c r="P136" s="1659"/>
      <c r="Q136" s="1659"/>
      <c r="R136" s="1659"/>
      <c r="S136" s="1659"/>
      <c r="T136" s="753" cm="1" t="str">
        <f t="array" ref="T136:T136">T135</f>
        <v>true</v>
      </c>
      <c r="U136" s="1548"/>
      <c r="V136" s="1548"/>
      <c r="W136" s="1548"/>
      <c r="X136" s="1548"/>
      <c r="Y136" s="1548"/>
      <c r="Z136" s="1548"/>
      <c r="AA136" s="183"/>
      <c r="AB136" s="633" t="s">
        <v>1206</v>
      </c>
      <c r="AC136" s="635" t="s">
        <v>1207</v>
      </c>
      <c r="AD136" s="633" t="s">
        <v>1178</v>
      </c>
      <c r="AE136" s="1864"/>
      <c r="AF136" s="1864"/>
      <c r="AG136" s="1864"/>
      <c r="AH136" s="1864"/>
      <c r="AI136" s="353"/>
      <c r="AJ136" s="1864"/>
      <c r="AK136" s="1864"/>
      <c r="AL136" s="1864"/>
      <c r="AM136" s="1864"/>
      <c r="AN136" s="1864"/>
      <c r="AO136" s="1864"/>
      <c r="AP136" s="1864"/>
      <c r="AQ136" s="1864"/>
      <c r="AR136" s="1864"/>
      <c r="AS136" s="1864"/>
      <c r="AT136" s="1864"/>
      <c r="AU136" s="1864"/>
      <c r="AV136" s="1864"/>
      <c r="AW136" s="1864"/>
      <c r="AX136" s="1864"/>
      <c r="AY136" s="1864"/>
      <c r="AZ136" s="1864"/>
      <c r="BA136" s="1864"/>
      <c r="BB136" s="1864"/>
      <c r="BC136" s="353"/>
      <c r="BD136" s="1864"/>
      <c r="BE136" s="1864"/>
      <c r="BF136" s="1864"/>
      <c r="BG136" s="1864"/>
      <c r="BH136" s="1864"/>
      <c r="BI136" s="1864"/>
      <c r="BJ136" s="1864"/>
      <c r="BK136" s="1864"/>
      <c r="BL136" s="1864"/>
      <c r="BM136" s="1864"/>
      <c r="BN136" s="1864"/>
      <c r="BO136" s="1864"/>
      <c r="BP136" s="1864"/>
      <c r="BQ136" s="1864"/>
      <c r="BR136" s="1864"/>
      <c r="BS136" s="1864"/>
      <c r="BT136" s="1864"/>
      <c r="BU136" s="1864"/>
      <c r="BV136" s="1864"/>
      <c r="BW136" s="1897"/>
      <c r="BX136" s="183"/>
      <c r="BY136" s="969"/>
      <c r="BZ136" s="489" t="s">
        <v>1208</v>
      </c>
      <c r="CA136" s="1506"/>
      <c r="CB136" s="1506"/>
      <c r="CC136" s="0" cm="1" t="str">
        <f t="array" ref="CC136:CC136">CC135</f>
        <v>ТЭ.42.31656254.0001</v>
      </c>
      <c r="CD136" s="0" t="s">
        <v>1189</v>
      </c>
      <c r="CE136" s="0" t="s">
        <v>1209</v>
      </c>
      <c r="CF136" s="1751"/>
      <c r="CG136" s="1751"/>
      <c r="CH136" s="0" t="s">
        <v>219</v>
      </c>
      <c r="CI136" s="0" t="s">
        <v>303</v>
      </c>
      <c r="CJ136" s="0" t="s">
        <v>1175</v>
      </c>
      <c r="CK136" s="0" t="s">
        <v>1176</v>
      </c>
      <c r="CL136" s="1751"/>
      <c r="CM136" s="1751"/>
      <c r="CN136" s="1751"/>
    </row>
    <row s="1751" customFormat="1" customHeight="1" ht="14.25">
      <c r="A137" s="371"/>
      <c r="B137" s="1548"/>
      <c r="C137" s="1548"/>
      <c r="D137" s="1548"/>
      <c r="E137" s="180">
        <v>15</v>
      </c>
      <c r="F137" s="175" cm="1" t="str">
        <f t="array" ref="F137:F137">F136</f>
        <v>1</v>
      </c>
      <c r="G137" s="1659"/>
      <c r="H137" s="1659"/>
      <c r="I137" s="1659"/>
      <c r="J137" s="1659"/>
      <c r="K137" s="1659"/>
      <c r="L137" s="1659"/>
      <c r="M137" s="1659"/>
      <c r="N137" s="1659"/>
      <c r="O137" s="1659"/>
      <c r="P137" s="1659"/>
      <c r="Q137" s="1659"/>
      <c r="R137" s="1659"/>
      <c r="S137" s="1659"/>
      <c r="T137" s="753" cm="1" t="str">
        <f t="array" ref="T137:T137">T136</f>
        <v>true</v>
      </c>
      <c r="U137" s="1548"/>
      <c r="V137" s="1548"/>
      <c r="W137" s="1548"/>
      <c r="X137" s="1548"/>
      <c r="Y137" s="1548"/>
      <c r="Z137" s="1548"/>
      <c r="AA137" s="183"/>
      <c r="AB137" s="633">
        <v>1.5</v>
      </c>
      <c r="AC137" s="634" t="s">
        <v>1210</v>
      </c>
      <c r="AD137" s="633" t="s">
        <v>1178</v>
      </c>
      <c r="AE137" s="1864"/>
      <c r="AF137" s="1864"/>
      <c r="AG137" s="1864"/>
      <c r="AH137" s="1864"/>
      <c r="AI137" s="353"/>
      <c r="AJ137" s="1864"/>
      <c r="AK137" s="1864"/>
      <c r="AL137" s="1864"/>
      <c r="AM137" s="1864"/>
      <c r="AN137" s="1864"/>
      <c r="AO137" s="1864"/>
      <c r="AP137" s="1864"/>
      <c r="AQ137" s="1864"/>
      <c r="AR137" s="1864"/>
      <c r="AS137" s="1864"/>
      <c r="AT137" s="1864"/>
      <c r="AU137" s="1864"/>
      <c r="AV137" s="1864"/>
      <c r="AW137" s="1864"/>
      <c r="AX137" s="1864"/>
      <c r="AY137" s="1864"/>
      <c r="AZ137" s="1864"/>
      <c r="BA137" s="1864"/>
      <c r="BB137" s="1864"/>
      <c r="BC137" s="353"/>
      <c r="BD137" s="1864"/>
      <c r="BE137" s="1864"/>
      <c r="BF137" s="1864"/>
      <c r="BG137" s="1864"/>
      <c r="BH137" s="1864"/>
      <c r="BI137" s="1864"/>
      <c r="BJ137" s="1864"/>
      <c r="BK137" s="1864"/>
      <c r="BL137" s="1864"/>
      <c r="BM137" s="1864"/>
      <c r="BN137" s="1864"/>
      <c r="BO137" s="1864"/>
      <c r="BP137" s="1864"/>
      <c r="BQ137" s="1864"/>
      <c r="BR137" s="1864"/>
      <c r="BS137" s="1864"/>
      <c r="BT137" s="1864"/>
      <c r="BU137" s="1864"/>
      <c r="BV137" s="1864"/>
      <c r="BW137" s="1897"/>
      <c r="BX137" s="183"/>
      <c r="BY137" s="969"/>
      <c r="BZ137" s="489" t="s">
        <v>1211</v>
      </c>
      <c r="CA137" s="1506"/>
      <c r="CB137" s="1506"/>
      <c r="CC137" s="0" cm="1" t="str">
        <f t="array" ref="CC137:CC137">CC136</f>
        <v>ТЭ.42.31656254.0001</v>
      </c>
      <c r="CD137" s="0" t="s">
        <v>1212</v>
      </c>
      <c r="CE137" s="1751"/>
      <c r="CF137" s="1751"/>
      <c r="CG137" s="1751"/>
      <c r="CH137" s="0" t="s">
        <v>219</v>
      </c>
      <c r="CI137" s="0" t="s">
        <v>303</v>
      </c>
      <c r="CJ137" s="0" t="s">
        <v>1175</v>
      </c>
      <c r="CK137" s="0" t="s">
        <v>1176</v>
      </c>
      <c r="CL137" s="1751"/>
      <c r="CM137" s="1751"/>
      <c r="CN137" s="1751"/>
    </row>
    <row s="1751" customFormat="1" customHeight="1" ht="14.25">
      <c r="A138" s="371"/>
      <c r="B138" s="1548"/>
      <c r="C138" s="1548"/>
      <c r="D138" s="1548"/>
      <c r="E138" s="180">
        <v>15</v>
      </c>
      <c r="F138" s="175" cm="1" t="str">
        <f t="array" ref="F138:F138">F137</f>
        <v>1</v>
      </c>
      <c r="G138" s="1659"/>
      <c r="H138" s="1659"/>
      <c r="I138" s="1659"/>
      <c r="J138" s="1659"/>
      <c r="K138" s="1659"/>
      <c r="L138" s="1659"/>
      <c r="M138" s="1659"/>
      <c r="N138" s="1659"/>
      <c r="O138" s="1659"/>
      <c r="P138" s="1659"/>
      <c r="Q138" s="1659"/>
      <c r="R138" s="1659"/>
      <c r="S138" s="1659"/>
      <c r="T138" s="753" cm="1" t="str">
        <f t="array" ref="T138:T138">T137</f>
        <v>true</v>
      </c>
      <c r="U138" s="1548"/>
      <c r="V138" s="1548"/>
      <c r="W138" s="1548"/>
      <c r="X138" s="1548"/>
      <c r="Y138" s="1548"/>
      <c r="Z138" s="1548"/>
      <c r="AA138" s="183"/>
      <c r="AB138" s="633">
        <v>1.6</v>
      </c>
      <c r="AC138" s="634" t="s">
        <v>1213</v>
      </c>
      <c r="AD138" s="633" t="s">
        <v>1178</v>
      </c>
      <c r="AE138" s="1864"/>
      <c r="AF138" s="1864"/>
      <c r="AG138" s="1864"/>
      <c r="AH138" s="1864"/>
      <c r="AI138" s="353"/>
      <c r="AJ138" s="1864"/>
      <c r="AK138" s="1864"/>
      <c r="AL138" s="1864"/>
      <c r="AM138" s="1864"/>
      <c r="AN138" s="1864"/>
      <c r="AO138" s="1864"/>
      <c r="AP138" s="1864"/>
      <c r="AQ138" s="1864"/>
      <c r="AR138" s="1864"/>
      <c r="AS138" s="1864"/>
      <c r="AT138" s="1864"/>
      <c r="AU138" s="1864"/>
      <c r="AV138" s="1864"/>
      <c r="AW138" s="1864"/>
      <c r="AX138" s="1864"/>
      <c r="AY138" s="1864"/>
      <c r="AZ138" s="1864"/>
      <c r="BA138" s="1864"/>
      <c r="BB138" s="1864"/>
      <c r="BC138" s="353"/>
      <c r="BD138" s="1864"/>
      <c r="BE138" s="1864"/>
      <c r="BF138" s="1864"/>
      <c r="BG138" s="1864"/>
      <c r="BH138" s="1864"/>
      <c r="BI138" s="1864"/>
      <c r="BJ138" s="1864"/>
      <c r="BK138" s="1864"/>
      <c r="BL138" s="1864"/>
      <c r="BM138" s="1864"/>
      <c r="BN138" s="1864"/>
      <c r="BO138" s="1864"/>
      <c r="BP138" s="1864"/>
      <c r="BQ138" s="1864"/>
      <c r="BR138" s="1864"/>
      <c r="BS138" s="1864"/>
      <c r="BT138" s="1864"/>
      <c r="BU138" s="1864"/>
      <c r="BV138" s="1864"/>
      <c r="BW138" s="1897"/>
      <c r="BX138" s="183"/>
      <c r="BY138" s="969"/>
      <c r="BZ138" s="489" t="s">
        <v>1214</v>
      </c>
      <c r="CA138" s="1506"/>
      <c r="CB138" s="1506"/>
      <c r="CC138" s="0" cm="1" t="str">
        <f t="array" ref="CC138:CC138">CC137</f>
        <v>ТЭ.42.31656254.0001</v>
      </c>
      <c r="CD138" s="1751"/>
      <c r="CE138" s="1751"/>
      <c r="CF138" s="0" t="s">
        <v>1215</v>
      </c>
      <c r="CG138" s="1751"/>
      <c r="CH138" s="0" t="s">
        <v>219</v>
      </c>
      <c r="CI138" s="0" t="s">
        <v>303</v>
      </c>
      <c r="CJ138" s="0" t="s">
        <v>1175</v>
      </c>
      <c r="CK138" s="0" t="s">
        <v>1176</v>
      </c>
      <c r="CL138" s="1751"/>
      <c r="CM138" s="1751"/>
      <c r="CN138" s="1751"/>
    </row>
    <row s="1751" customFormat="1" customHeight="1" ht="14.25">
      <c r="A139" s="371"/>
      <c r="B139" s="1548"/>
      <c r="C139" s="1548"/>
      <c r="D139" s="1548"/>
      <c r="E139" s="180">
        <v>15</v>
      </c>
      <c r="F139" s="175" cm="1" t="str">
        <f t="array" ref="F139:F139">F138</f>
        <v>1</v>
      </c>
      <c r="G139" s="1659"/>
      <c r="H139" s="1659"/>
      <c r="I139" s="1659"/>
      <c r="J139" s="1659"/>
      <c r="K139" s="1659"/>
      <c r="L139" s="1659"/>
      <c r="M139" s="1659"/>
      <c r="N139" s="1659"/>
      <c r="O139" s="1659"/>
      <c r="P139" s="1659"/>
      <c r="Q139" s="1659"/>
      <c r="R139" s="1659"/>
      <c r="S139" s="1659"/>
      <c r="T139" s="753" cm="1" t="str">
        <f t="array" ref="T139:T139">T138</f>
        <v>true</v>
      </c>
      <c r="U139" s="1548"/>
      <c r="V139" s="1548"/>
      <c r="W139" s="1548"/>
      <c r="X139" s="1548"/>
      <c r="Y139" s="1548"/>
      <c r="Z139" s="1548"/>
      <c r="AA139" s="183"/>
      <c r="AB139" s="633">
        <v>1.7</v>
      </c>
      <c r="AC139" s="634" t="s">
        <v>1216</v>
      </c>
      <c r="AD139" s="633" t="s">
        <v>1178</v>
      </c>
      <c r="AE139" s="1864"/>
      <c r="AF139" s="1864"/>
      <c r="AG139" s="1864"/>
      <c r="AH139" s="1864"/>
      <c r="AI139" s="353"/>
      <c r="AJ139" s="1864"/>
      <c r="AK139" s="1864"/>
      <c r="AL139" s="1864"/>
      <c r="AM139" s="1864"/>
      <c r="AN139" s="1864"/>
      <c r="AO139" s="1864"/>
      <c r="AP139" s="1864"/>
      <c r="AQ139" s="1864"/>
      <c r="AR139" s="1864"/>
      <c r="AS139" s="1864"/>
      <c r="AT139" s="1864"/>
      <c r="AU139" s="1864"/>
      <c r="AV139" s="1864"/>
      <c r="AW139" s="1864"/>
      <c r="AX139" s="1864"/>
      <c r="AY139" s="1864"/>
      <c r="AZ139" s="1864"/>
      <c r="BA139" s="1864"/>
      <c r="BB139" s="1864"/>
      <c r="BC139" s="353"/>
      <c r="BD139" s="1864"/>
      <c r="BE139" s="1864"/>
      <c r="BF139" s="1864"/>
      <c r="BG139" s="1864"/>
      <c r="BH139" s="1864"/>
      <c r="BI139" s="1864"/>
      <c r="BJ139" s="1864"/>
      <c r="BK139" s="1864"/>
      <c r="BL139" s="1864"/>
      <c r="BM139" s="1864"/>
      <c r="BN139" s="1864"/>
      <c r="BO139" s="1864"/>
      <c r="BP139" s="1864"/>
      <c r="BQ139" s="1864"/>
      <c r="BR139" s="1864"/>
      <c r="BS139" s="1864"/>
      <c r="BT139" s="1864"/>
      <c r="BU139" s="1864"/>
      <c r="BV139" s="1864"/>
      <c r="BW139" s="1897"/>
      <c r="BX139" s="183"/>
      <c r="BY139" s="969"/>
      <c r="BZ139" s="489" t="s">
        <v>1217</v>
      </c>
      <c r="CA139" s="1506"/>
      <c r="CB139" s="1506"/>
      <c r="CC139" s="0" cm="1" t="str">
        <f t="array" ref="CC139:CC139">CC138</f>
        <v>ТЭ.42.31656254.0001</v>
      </c>
      <c r="CD139" s="1751"/>
      <c r="CE139" s="1751"/>
      <c r="CF139" s="0" t="s">
        <v>1218</v>
      </c>
      <c r="CG139" s="1751"/>
      <c r="CH139" s="0" t="s">
        <v>219</v>
      </c>
      <c r="CI139" s="0" t="s">
        <v>303</v>
      </c>
      <c r="CJ139" s="0" t="s">
        <v>1175</v>
      </c>
      <c r="CK139" s="0" t="s">
        <v>1176</v>
      </c>
      <c r="CL139" s="1751"/>
      <c r="CM139" s="1751"/>
      <c r="CN139" s="1751"/>
    </row>
    <row s="1751" customFormat="1" customHeight="1" ht="14.25">
      <c r="A140" s="371"/>
      <c r="B140" s="1548"/>
      <c r="C140" s="1548"/>
      <c r="D140" s="1548"/>
      <c r="E140" s="180">
        <v>15</v>
      </c>
      <c r="F140" s="175" cm="1" t="str">
        <f t="array" ref="F140:F140">F139</f>
        <v>1</v>
      </c>
      <c r="G140" s="1659"/>
      <c r="H140" s="1659"/>
      <c r="I140" s="1659"/>
      <c r="J140" s="1659"/>
      <c r="K140" s="1659"/>
      <c r="L140" s="1659"/>
      <c r="M140" s="1659"/>
      <c r="N140" s="1659"/>
      <c r="O140" s="1659"/>
      <c r="P140" s="1659"/>
      <c r="Q140" s="1659"/>
      <c r="R140" s="1659"/>
      <c r="S140" s="1659"/>
      <c r="T140" s="753" cm="1" t="str">
        <f t="array" ref="T140:T140">T139</f>
        <v>true</v>
      </c>
      <c r="U140" s="1548"/>
      <c r="V140" s="1548"/>
      <c r="W140" s="1548"/>
      <c r="X140" s="1548"/>
      <c r="Y140" s="1548"/>
      <c r="Z140" s="1548"/>
      <c r="AA140" s="183"/>
      <c r="AB140" s="633">
        <v>1.8</v>
      </c>
      <c r="AC140" s="634" t="s">
        <v>1219</v>
      </c>
      <c r="AD140" s="633" t="s">
        <v>1178</v>
      </c>
      <c r="AE140" s="1864"/>
      <c r="AF140" s="1864"/>
      <c r="AG140" s="1864"/>
      <c r="AH140" s="1864"/>
      <c r="AI140" s="353"/>
      <c r="AJ140" s="1864"/>
      <c r="AK140" s="1864"/>
      <c r="AL140" s="1864"/>
      <c r="AM140" s="1864"/>
      <c r="AN140" s="1864"/>
      <c r="AO140" s="1864"/>
      <c r="AP140" s="1864"/>
      <c r="AQ140" s="1864"/>
      <c r="AR140" s="1864"/>
      <c r="AS140" s="1864"/>
      <c r="AT140" s="1864"/>
      <c r="AU140" s="1864"/>
      <c r="AV140" s="1864"/>
      <c r="AW140" s="1864"/>
      <c r="AX140" s="1864"/>
      <c r="AY140" s="1864"/>
      <c r="AZ140" s="1864"/>
      <c r="BA140" s="1864"/>
      <c r="BB140" s="1864"/>
      <c r="BC140" s="353"/>
      <c r="BD140" s="1864"/>
      <c r="BE140" s="1864"/>
      <c r="BF140" s="1864"/>
      <c r="BG140" s="1864"/>
      <c r="BH140" s="1864"/>
      <c r="BI140" s="1864"/>
      <c r="BJ140" s="1864"/>
      <c r="BK140" s="1864"/>
      <c r="BL140" s="1864"/>
      <c r="BM140" s="1864"/>
      <c r="BN140" s="1864"/>
      <c r="BO140" s="1864"/>
      <c r="BP140" s="1864"/>
      <c r="BQ140" s="1864"/>
      <c r="BR140" s="1864"/>
      <c r="BS140" s="1864"/>
      <c r="BT140" s="1864"/>
      <c r="BU140" s="1864"/>
      <c r="BV140" s="1864"/>
      <c r="BW140" s="1897"/>
      <c r="BX140" s="183"/>
      <c r="BY140" s="969"/>
      <c r="BZ140" s="489" t="s">
        <v>1220</v>
      </c>
      <c r="CA140" s="1506"/>
      <c r="CB140" s="1506"/>
      <c r="CC140" s="0" cm="1" t="str">
        <f t="array" ref="CC140:CC140">CC139</f>
        <v>ТЭ.42.31656254.0001</v>
      </c>
      <c r="CD140" s="0" t="s">
        <v>1221</v>
      </c>
      <c r="CE140" s="1751"/>
      <c r="CF140" s="1751"/>
      <c r="CG140" s="1751"/>
      <c r="CH140" s="0" t="s">
        <v>219</v>
      </c>
      <c r="CI140" s="0" t="s">
        <v>303</v>
      </c>
      <c r="CJ140" s="0" t="s">
        <v>1175</v>
      </c>
      <c r="CK140" s="0" t="s">
        <v>1176</v>
      </c>
      <c r="CL140" s="1751"/>
      <c r="CM140" s="1751"/>
      <c r="CN140" s="1751"/>
    </row>
    <row s="986" customFormat="1" customHeight="1" ht="44.25">
      <c r="A141" s="986"/>
      <c r="B141" s="986"/>
      <c r="C141" s="986"/>
      <c r="D141" s="986"/>
      <c r="E141" s="180">
        <v>46</v>
      </c>
      <c r="F141" s="175" cm="1" t="str">
        <f t="array" ref="F141:F141">F140</f>
        <v>1</v>
      </c>
      <c r="G141" s="986"/>
      <c r="H141" s="986"/>
      <c r="I141" s="986"/>
      <c r="J141" s="986"/>
      <c r="K141" s="986"/>
      <c r="L141" s="986"/>
      <c r="M141" s="986"/>
      <c r="N141" s="986"/>
      <c r="O141" s="986"/>
      <c r="P141" s="986"/>
      <c r="Q141" s="986"/>
      <c r="R141" s="986"/>
      <c r="S141" s="986"/>
      <c r="T141" s="753" cm="1" t="str">
        <f t="array" ref="T141:T141">T140</f>
        <v>true</v>
      </c>
      <c r="U141" s="986"/>
      <c r="V141" s="986"/>
      <c r="W141" s="986"/>
      <c r="X141" s="986"/>
      <c r="Y141" s="986"/>
      <c r="Z141" s="986"/>
      <c r="AA141" s="986"/>
      <c r="AB141" s="556">
        <v>2</v>
      </c>
      <c r="AC141" s="555" t="s">
        <v>1222</v>
      </c>
      <c r="AD141" s="551" t="s">
        <v>917</v>
      </c>
      <c r="AE141" s="2286">
        <f>SUM(AE142:AE145)+SUM(AE151:AE154)</f>
        <v>0</v>
      </c>
      <c r="AF141" s="2286">
        <f>SUM(AF142:AF145)+SUM(AF151:AF154)</f>
        <v>0</v>
      </c>
      <c r="AG141" s="2286">
        <f>SUM(AG142:AG145)+SUM(AG151:AG154)</f>
        <v>0</v>
      </c>
      <c r="AH141" s="2286">
        <f>SUM(AH142:AH145)+SUM(AH151:AH154)</f>
        <v>0</v>
      </c>
      <c r="AI141" s="588">
        <f>SUM(AI142:AI145)+SUM(AI151:AI154)</f>
        <v>0</v>
      </c>
      <c r="AJ141" s="2286">
        <f>SUM(AJ142:AJ145)+SUM(AJ151:AJ154)</f>
        <v>0</v>
      </c>
      <c r="AK141" s="2286">
        <f>SUM(AK142:AK145)+SUM(AK151:AK154)</f>
        <v>0</v>
      </c>
      <c r="AL141" s="2286">
        <f>SUM(AL142:AL145)+SUM(AL151:AL154)</f>
        <v>0</v>
      </c>
      <c r="AM141" s="2286">
        <f>SUM(AM142:AM145)+SUM(AM151:AM154)</f>
        <v>0</v>
      </c>
      <c r="AN141" s="2286">
        <f>SUM(AN142:AN145)+SUM(AN151:AN154)</f>
        <v>0</v>
      </c>
      <c r="AO141" s="2286">
        <f>SUM(AO142:AO145)+SUM(AO151:AO154)</f>
        <v>0</v>
      </c>
      <c r="AP141" s="2286">
        <f>SUM(AP142:AP145)+SUM(AP151:AP154)</f>
        <v>0</v>
      </c>
      <c r="AQ141" s="2286">
        <f>SUM(AQ142:AQ145)+SUM(AQ151:AQ154)</f>
        <v>0</v>
      </c>
      <c r="AR141" s="2286">
        <f>SUM(AR142:AR145)+SUM(AR151:AR154)</f>
        <v>0</v>
      </c>
      <c r="AS141" s="2286">
        <f>SUM(AS142:AS145)+SUM(AS151:AS154)</f>
        <v>0</v>
      </c>
      <c r="AT141" s="2286">
        <f>SUM(AT142:AT145)+SUM(AT151:AT154)</f>
        <v>0</v>
      </c>
      <c r="AU141" s="2286">
        <f>SUM(AU142:AU145)+SUM(AU151:AU154)</f>
        <v>0</v>
      </c>
      <c r="AV141" s="2286">
        <f>SUM(AV142:AV145)+SUM(AV151:AV154)</f>
        <v>0</v>
      </c>
      <c r="AW141" s="2286">
        <f>SUM(AW142:AW145)+SUM(AW151:AW154)</f>
        <v>0</v>
      </c>
      <c r="AX141" s="2286">
        <f>SUM(AX142:AX145)+SUM(AX151:AX154)</f>
        <v>0</v>
      </c>
      <c r="AY141" s="2286">
        <f>SUM(AY142:AY145)+SUM(AY151:AY154)</f>
        <v>0</v>
      </c>
      <c r="AZ141" s="2286">
        <f>SUM(AZ142:AZ145)+SUM(AZ151:AZ154)</f>
        <v>0</v>
      </c>
      <c r="BA141" s="2286">
        <f>SUM(BA142:BA145)+SUM(BA151:BA154)</f>
        <v>0</v>
      </c>
      <c r="BB141" s="2286">
        <f>SUM(BB142:BB145)+SUM(BB151:BB154)</f>
        <v>0</v>
      </c>
      <c r="BC141" s="588">
        <f>SUM(BC142:BC145)+SUM(BC151:BC154)</f>
        <v>0</v>
      </c>
      <c r="BD141" s="2286">
        <f>SUM(BD142:BD145)+SUM(BD151:BD154)</f>
        <v>0</v>
      </c>
      <c r="BE141" s="2286">
        <f>SUM(BE142:BE145)+SUM(BE151:BE154)</f>
        <v>0</v>
      </c>
      <c r="BF141" s="2286">
        <f>SUM(BF142:BF145)+SUM(BF151:BF154)</f>
        <v>0</v>
      </c>
      <c r="BG141" s="2286">
        <f>SUM(BG142:BG145)+SUM(BG151:BG154)</f>
        <v>0</v>
      </c>
      <c r="BH141" s="2286">
        <f>SUM(BH142:BH145)+SUM(BH151:BH154)</f>
        <v>0</v>
      </c>
      <c r="BI141" s="2286">
        <f>SUM(BI142:BI145)+SUM(BI151:BI154)</f>
        <v>0</v>
      </c>
      <c r="BJ141" s="2286">
        <f>SUM(BJ142:BJ145)+SUM(BJ151:BJ154)</f>
        <v>0</v>
      </c>
      <c r="BK141" s="2286">
        <f>SUM(BK142:BK145)+SUM(BK151:BK154)</f>
        <v>0</v>
      </c>
      <c r="BL141" s="2286">
        <f>SUM(BL142:BL145)+SUM(BL151:BL154)</f>
        <v>0</v>
      </c>
      <c r="BM141" s="2286">
        <f>SUM(BM142:BM145)+SUM(BM151:BM154)</f>
        <v>0</v>
      </c>
      <c r="BN141" s="2286">
        <f>SUM(BN142:BN145)+SUM(BN151:BN154)</f>
        <v>0</v>
      </c>
      <c r="BO141" s="2286">
        <f>SUM(BO142:BO145)+SUM(BO151:BO154)</f>
        <v>0</v>
      </c>
      <c r="BP141" s="2286">
        <f>SUM(BP142:BP145)+SUM(BP151:BP154)</f>
        <v>0</v>
      </c>
      <c r="BQ141" s="2286">
        <f>SUM(BQ142:BQ145)+SUM(BQ151:BQ154)</f>
        <v>0</v>
      </c>
      <c r="BR141" s="2286">
        <f>SUM(BR142:BR145)+SUM(BR151:BR154)</f>
        <v>0</v>
      </c>
      <c r="BS141" s="2286">
        <f>SUM(BS142:BS145)+SUM(BS151:BS154)</f>
        <v>0</v>
      </c>
      <c r="BT141" s="2286">
        <f>SUM(BT142:BT145)+SUM(BT151:BT154)</f>
        <v>0</v>
      </c>
      <c r="BU141" s="2286">
        <f>SUM(BU142:BU145)+SUM(BU151:BU154)</f>
        <v>0</v>
      </c>
      <c r="BV141" s="2286">
        <f>SUM(BV142:BV145)+SUM(BV151:BV154)</f>
        <v>0</v>
      </c>
      <c r="BW141" s="1897"/>
      <c r="BX141" s="986"/>
      <c r="BY141" s="986"/>
      <c r="BZ141" s="489" t="s">
        <v>1223</v>
      </c>
      <c r="CA141" s="986"/>
      <c r="CB141" s="986"/>
      <c r="CC141" s="0" cm="1" t="str">
        <f t="array" ref="CC141:CC141">CC140</f>
        <v>ТЭ.42.31656254.0001</v>
      </c>
      <c r="CD141" s="986"/>
      <c r="CE141" s="986"/>
      <c r="CF141" s="986"/>
      <c r="CG141" s="986"/>
      <c r="CH141" s="0" t="s">
        <v>219</v>
      </c>
      <c r="CI141" s="0" t="s">
        <v>303</v>
      </c>
      <c r="CJ141" s="0" t="s">
        <v>1224</v>
      </c>
      <c r="CK141" s="0" t="s">
        <v>1225</v>
      </c>
      <c r="CL141" s="986"/>
      <c r="CM141" s="986"/>
      <c r="CN141" s="986"/>
    </row>
    <row s="1751" customFormat="1" customHeight="1" ht="14.25">
      <c r="A142" s="371"/>
      <c r="B142" s="1548"/>
      <c r="C142" s="1548"/>
      <c r="D142" s="1548"/>
      <c r="E142" s="180">
        <v>15</v>
      </c>
      <c r="F142" s="175" cm="1" t="str">
        <f t="array" ref="F142:F142">F141</f>
        <v>1</v>
      </c>
      <c r="G142" s="1659"/>
      <c r="H142" s="1659"/>
      <c r="I142" s="1659"/>
      <c r="J142" s="1659"/>
      <c r="K142" s="1659"/>
      <c r="L142" s="1659"/>
      <c r="M142" s="1659"/>
      <c r="N142" s="1659"/>
      <c r="O142" s="1659"/>
      <c r="P142" s="1659"/>
      <c r="Q142" s="1659"/>
      <c r="R142" s="1659"/>
      <c r="S142" s="1659"/>
      <c r="T142" s="753" cm="1" t="str">
        <f t="array" ref="T142:T142">T141</f>
        <v>true</v>
      </c>
      <c r="U142" s="1548"/>
      <c r="V142" s="1548"/>
      <c r="W142" s="1548"/>
      <c r="X142" s="1548"/>
      <c r="Y142" s="1548"/>
      <c r="Z142" s="1548"/>
      <c r="AA142" s="183"/>
      <c r="AB142" s="633" t="str">
        <f>AB141&amp;".1"</f>
        <v>2.1</v>
      </c>
      <c r="AC142" s="634" t="s">
        <v>1177</v>
      </c>
      <c r="AD142" s="633" t="s">
        <v>1178</v>
      </c>
      <c r="AE142" s="1864"/>
      <c r="AF142" s="1864"/>
      <c r="AG142" s="1864"/>
      <c r="AH142" s="1864"/>
      <c r="AI142" s="353"/>
      <c r="AJ142" s="1864"/>
      <c r="AK142" s="1864"/>
      <c r="AL142" s="1864"/>
      <c r="AM142" s="1864"/>
      <c r="AN142" s="1864"/>
      <c r="AO142" s="1864"/>
      <c r="AP142" s="1864"/>
      <c r="AQ142" s="1864"/>
      <c r="AR142" s="1864"/>
      <c r="AS142" s="1864"/>
      <c r="AT142" s="1864"/>
      <c r="AU142" s="1864"/>
      <c r="AV142" s="1864"/>
      <c r="AW142" s="1864"/>
      <c r="AX142" s="1864"/>
      <c r="AY142" s="1864"/>
      <c r="AZ142" s="1864"/>
      <c r="BA142" s="1864"/>
      <c r="BB142" s="1864"/>
      <c r="BC142" s="353"/>
      <c r="BD142" s="1864"/>
      <c r="BE142" s="1864"/>
      <c r="BF142" s="1864"/>
      <c r="BG142" s="1864"/>
      <c r="BH142" s="1864"/>
      <c r="BI142" s="1864"/>
      <c r="BJ142" s="1864"/>
      <c r="BK142" s="1864"/>
      <c r="BL142" s="1864"/>
      <c r="BM142" s="1864"/>
      <c r="BN142" s="1864"/>
      <c r="BO142" s="1864"/>
      <c r="BP142" s="1864"/>
      <c r="BQ142" s="1864"/>
      <c r="BR142" s="1864"/>
      <c r="BS142" s="1864"/>
      <c r="BT142" s="1864"/>
      <c r="BU142" s="1864"/>
      <c r="BV142" s="1864"/>
      <c r="BW142" s="1897"/>
      <c r="BX142" s="183"/>
      <c r="BY142" s="969"/>
      <c r="BZ142" s="489" t="s">
        <v>1226</v>
      </c>
      <c r="CA142" s="1506"/>
      <c r="CB142" s="1506"/>
      <c r="CC142" s="0" cm="1" t="str">
        <f t="array" ref="CC142:CC142">CC141</f>
        <v>ТЭ.42.31656254.0001</v>
      </c>
      <c r="CD142" s="0" t="s">
        <v>1180</v>
      </c>
      <c r="CE142" s="1751"/>
      <c r="CF142" s="1751"/>
      <c r="CG142" s="1751"/>
      <c r="CH142" s="0" t="s">
        <v>255</v>
      </c>
      <c r="CI142" s="0" t="s">
        <v>303</v>
      </c>
      <c r="CJ142" s="0" t="s">
        <v>1224</v>
      </c>
      <c r="CK142" s="0" t="s">
        <v>1225</v>
      </c>
      <c r="CL142" s="1751"/>
      <c r="CM142" s="1751"/>
      <c r="CN142" s="1751"/>
    </row>
    <row s="1751" customFormat="1" customHeight="1" ht="14.25">
      <c r="A143" s="371"/>
      <c r="B143" s="1548"/>
      <c r="C143" s="1548"/>
      <c r="D143" s="1548"/>
      <c r="E143" s="180">
        <v>15</v>
      </c>
      <c r="F143" s="175" cm="1" t="str">
        <f t="array" ref="F143:F143">F142</f>
        <v>1</v>
      </c>
      <c r="G143" s="1659"/>
      <c r="H143" s="1659"/>
      <c r="I143" s="1659"/>
      <c r="J143" s="1659"/>
      <c r="K143" s="1659"/>
      <c r="L143" s="1659"/>
      <c r="M143" s="1659"/>
      <c r="N143" s="1659"/>
      <c r="O143" s="1659"/>
      <c r="P143" s="1659"/>
      <c r="Q143" s="1659"/>
      <c r="R143" s="1659"/>
      <c r="S143" s="1659"/>
      <c r="T143" s="753" cm="1" t="str">
        <f t="array" ref="T143:T143">T142</f>
        <v>true</v>
      </c>
      <c r="U143" s="1548"/>
      <c r="V143" s="1548"/>
      <c r="W143" s="1548"/>
      <c r="X143" s="1548"/>
      <c r="Y143" s="1548"/>
      <c r="Z143" s="1548"/>
      <c r="AA143" s="183"/>
      <c r="AB143" s="633" t="str">
        <f>AB141&amp;".2"</f>
        <v>2.2</v>
      </c>
      <c r="AC143" s="634" t="s">
        <v>1181</v>
      </c>
      <c r="AD143" s="633" t="s">
        <v>1178</v>
      </c>
      <c r="AE143" s="1864"/>
      <c r="AF143" s="1864"/>
      <c r="AG143" s="1864"/>
      <c r="AH143" s="1864"/>
      <c r="AI143" s="353"/>
      <c r="AJ143" s="1864"/>
      <c r="AK143" s="1864"/>
      <c r="AL143" s="1864"/>
      <c r="AM143" s="1864"/>
      <c r="AN143" s="1864"/>
      <c r="AO143" s="1864"/>
      <c r="AP143" s="1864"/>
      <c r="AQ143" s="1864"/>
      <c r="AR143" s="1864"/>
      <c r="AS143" s="1864"/>
      <c r="AT143" s="1864"/>
      <c r="AU143" s="1864"/>
      <c r="AV143" s="1864"/>
      <c r="AW143" s="1864"/>
      <c r="AX143" s="1864"/>
      <c r="AY143" s="1864"/>
      <c r="AZ143" s="1864"/>
      <c r="BA143" s="1864"/>
      <c r="BB143" s="1864"/>
      <c r="BC143" s="353"/>
      <c r="BD143" s="1864"/>
      <c r="BE143" s="1864"/>
      <c r="BF143" s="1864"/>
      <c r="BG143" s="1864"/>
      <c r="BH143" s="1864"/>
      <c r="BI143" s="1864"/>
      <c r="BJ143" s="1864"/>
      <c r="BK143" s="1864"/>
      <c r="BL143" s="1864"/>
      <c r="BM143" s="1864"/>
      <c r="BN143" s="1864"/>
      <c r="BO143" s="1864"/>
      <c r="BP143" s="1864"/>
      <c r="BQ143" s="1864"/>
      <c r="BR143" s="1864"/>
      <c r="BS143" s="1864"/>
      <c r="BT143" s="1864"/>
      <c r="BU143" s="1864"/>
      <c r="BV143" s="1864"/>
      <c r="BW143" s="1897"/>
      <c r="BX143" s="183"/>
      <c r="BY143" s="969"/>
      <c r="BZ143" s="489" t="s">
        <v>1227</v>
      </c>
      <c r="CA143" s="1506"/>
      <c r="CB143" s="1506"/>
      <c r="CC143" s="0" cm="1" t="str">
        <f t="array" ref="CC143:CC143">CC142</f>
        <v>ТЭ.42.31656254.0001</v>
      </c>
      <c r="CD143" s="0" t="s">
        <v>1183</v>
      </c>
      <c r="CE143" s="1751"/>
      <c r="CF143" s="1751"/>
      <c r="CG143" s="1751"/>
      <c r="CH143" s="0" t="s">
        <v>255</v>
      </c>
      <c r="CI143" s="0" t="s">
        <v>303</v>
      </c>
      <c r="CJ143" s="0" t="s">
        <v>1224</v>
      </c>
      <c r="CK143" s="0" t="s">
        <v>1225</v>
      </c>
      <c r="CL143" s="1751"/>
      <c r="CM143" s="1751"/>
      <c r="CN143" s="1751"/>
    </row>
    <row s="1751" customFormat="1" customHeight="1" ht="14.25">
      <c r="A144" s="371"/>
      <c r="B144" s="1548"/>
      <c r="C144" s="1548"/>
      <c r="D144" s="1548"/>
      <c r="E144" s="180">
        <v>15</v>
      </c>
      <c r="F144" s="175" cm="1" t="str">
        <f t="array" ref="F144:F144">F143</f>
        <v>1</v>
      </c>
      <c r="G144" s="1659"/>
      <c r="H144" s="1659"/>
      <c r="I144" s="1659"/>
      <c r="J144" s="1659"/>
      <c r="K144" s="1659"/>
      <c r="L144" s="1659"/>
      <c r="M144" s="1659"/>
      <c r="N144" s="1659"/>
      <c r="O144" s="1659"/>
      <c r="P144" s="1659"/>
      <c r="Q144" s="1659"/>
      <c r="R144" s="1659"/>
      <c r="S144" s="1659"/>
      <c r="T144" s="753" cm="1" t="str">
        <f t="array" ref="T144:T144">T143</f>
        <v>true</v>
      </c>
      <c r="U144" s="1548"/>
      <c r="V144" s="1548"/>
      <c r="W144" s="1548"/>
      <c r="X144" s="1548"/>
      <c r="Y144" s="1548"/>
      <c r="Z144" s="1548"/>
      <c r="AA144" s="183"/>
      <c r="AB144" s="633" t="str">
        <f>AB141&amp;".3"</f>
        <v>2.3</v>
      </c>
      <c r="AC144" s="634" t="s">
        <v>1184</v>
      </c>
      <c r="AD144" s="633" t="s">
        <v>1178</v>
      </c>
      <c r="AE144" s="1864"/>
      <c r="AF144" s="1864"/>
      <c r="AG144" s="1864"/>
      <c r="AH144" s="1864"/>
      <c r="AI144" s="353"/>
      <c r="AJ144" s="1864"/>
      <c r="AK144" s="1864"/>
      <c r="AL144" s="1864"/>
      <c r="AM144" s="1864"/>
      <c r="AN144" s="1864"/>
      <c r="AO144" s="1864"/>
      <c r="AP144" s="1864"/>
      <c r="AQ144" s="1864"/>
      <c r="AR144" s="1864"/>
      <c r="AS144" s="1864"/>
      <c r="AT144" s="1864"/>
      <c r="AU144" s="1864"/>
      <c r="AV144" s="1864"/>
      <c r="AW144" s="1864"/>
      <c r="AX144" s="1864"/>
      <c r="AY144" s="1864"/>
      <c r="AZ144" s="1864"/>
      <c r="BA144" s="1864"/>
      <c r="BB144" s="1864"/>
      <c r="BC144" s="353"/>
      <c r="BD144" s="1864"/>
      <c r="BE144" s="1864"/>
      <c r="BF144" s="1864"/>
      <c r="BG144" s="1864"/>
      <c r="BH144" s="1864"/>
      <c r="BI144" s="1864"/>
      <c r="BJ144" s="1864"/>
      <c r="BK144" s="1864"/>
      <c r="BL144" s="1864"/>
      <c r="BM144" s="1864"/>
      <c r="BN144" s="1864"/>
      <c r="BO144" s="1864"/>
      <c r="BP144" s="1864"/>
      <c r="BQ144" s="1864"/>
      <c r="BR144" s="1864"/>
      <c r="BS144" s="1864"/>
      <c r="BT144" s="1864"/>
      <c r="BU144" s="1864"/>
      <c r="BV144" s="1864"/>
      <c r="BW144" s="1897"/>
      <c r="BX144" s="183"/>
      <c r="BY144" s="969"/>
      <c r="BZ144" s="489" t="s">
        <v>1228</v>
      </c>
      <c r="CA144" s="1506"/>
      <c r="CB144" s="1506"/>
      <c r="CC144" s="0" cm="1" t="str">
        <f t="array" ref="CC144:CC144">CC143</f>
        <v>ТЭ.42.31656254.0001</v>
      </c>
      <c r="CD144" s="0" t="s">
        <v>1186</v>
      </c>
      <c r="CE144" s="1751"/>
      <c r="CF144" s="1751"/>
      <c r="CG144" s="1751"/>
      <c r="CH144" s="0" t="s">
        <v>255</v>
      </c>
      <c r="CI144" s="0" t="s">
        <v>303</v>
      </c>
      <c r="CJ144" s="0" t="s">
        <v>1224</v>
      </c>
      <c r="CK144" s="0" t="s">
        <v>1225</v>
      </c>
      <c r="CL144" s="1751"/>
      <c r="CM144" s="1751"/>
      <c r="CN144" s="1751"/>
    </row>
    <row s="1751" customFormat="1" customHeight="1" ht="14.25">
      <c r="A145" s="371"/>
      <c r="B145" s="1548"/>
      <c r="C145" s="1548"/>
      <c r="D145" s="1548"/>
      <c r="E145" s="180">
        <v>15</v>
      </c>
      <c r="F145" s="175" cm="1" t="str">
        <f t="array" ref="F145:F145">F144</f>
        <v>1</v>
      </c>
      <c r="G145" s="1659"/>
      <c r="H145" s="1659"/>
      <c r="I145" s="1659"/>
      <c r="J145" s="1659"/>
      <c r="K145" s="1659"/>
      <c r="L145" s="1659"/>
      <c r="M145" s="1659"/>
      <c r="N145" s="1659"/>
      <c r="O145" s="1659"/>
      <c r="P145" s="1659"/>
      <c r="Q145" s="1659"/>
      <c r="R145" s="1659"/>
      <c r="S145" s="1659"/>
      <c r="T145" s="753" cm="1" t="str">
        <f t="array" ref="T145:T145">T144</f>
        <v>true</v>
      </c>
      <c r="U145" s="1548"/>
      <c r="V145" s="1548"/>
      <c r="W145" s="1548"/>
      <c r="X145" s="1548"/>
      <c r="Y145" s="1548"/>
      <c r="Z145" s="1548"/>
      <c r="AA145" s="183"/>
      <c r="AB145" s="633" t="str">
        <f>AB141&amp;".4"</f>
        <v>2.4</v>
      </c>
      <c r="AC145" s="634" t="s">
        <v>1187</v>
      </c>
      <c r="AD145" s="633" t="s">
        <v>1178</v>
      </c>
      <c r="AE145" s="2310">
        <f>SUM(AE146:AE150)</f>
        <v>0</v>
      </c>
      <c r="AF145" s="2310">
        <f>SUM(AF146:AF150)</f>
        <v>0</v>
      </c>
      <c r="AG145" s="2310">
        <f>SUM(AG146:AG150)</f>
        <v>0</v>
      </c>
      <c r="AH145" s="2310">
        <f>SUM(AH146:AH150)</f>
        <v>0</v>
      </c>
      <c r="AI145" s="484">
        <f>SUM(AI146:AI150)</f>
        <v>0</v>
      </c>
      <c r="AJ145" s="2310">
        <f>SUM(AJ146:AJ150)</f>
        <v>0</v>
      </c>
      <c r="AK145" s="2310">
        <f>SUM(AK146:AK150)</f>
        <v>0</v>
      </c>
      <c r="AL145" s="2310">
        <f>SUM(AL146:AL150)</f>
        <v>0</v>
      </c>
      <c r="AM145" s="2310">
        <f>SUM(AM146:AM150)</f>
        <v>0</v>
      </c>
      <c r="AN145" s="2310">
        <f>SUM(AN146:AN150)</f>
        <v>0</v>
      </c>
      <c r="AO145" s="2310">
        <f>SUM(AO146:AO150)</f>
        <v>0</v>
      </c>
      <c r="AP145" s="2310">
        <f>SUM(AP146:AP150)</f>
        <v>0</v>
      </c>
      <c r="AQ145" s="2310">
        <f>SUM(AQ146:AQ150)</f>
        <v>0</v>
      </c>
      <c r="AR145" s="2310">
        <f>SUM(AR146:AR150)</f>
        <v>0</v>
      </c>
      <c r="AS145" s="2310">
        <f>SUM(AS146:AS150)</f>
        <v>0</v>
      </c>
      <c r="AT145" s="2310">
        <f>SUM(AT146:AT150)</f>
        <v>0</v>
      </c>
      <c r="AU145" s="2310">
        <f>SUM(AU146:AU150)</f>
        <v>0</v>
      </c>
      <c r="AV145" s="2310">
        <f>SUM(AV146:AV150)</f>
        <v>0</v>
      </c>
      <c r="AW145" s="2310">
        <f>SUM(AW146:AW150)</f>
        <v>0</v>
      </c>
      <c r="AX145" s="2310">
        <f>SUM(AX146:AX150)</f>
        <v>0</v>
      </c>
      <c r="AY145" s="2310">
        <f>SUM(AY146:AY150)</f>
        <v>0</v>
      </c>
      <c r="AZ145" s="2310">
        <f>SUM(AZ146:AZ150)</f>
        <v>0</v>
      </c>
      <c r="BA145" s="2310">
        <f>SUM(BA146:BA150)</f>
        <v>0</v>
      </c>
      <c r="BB145" s="2310">
        <f>SUM(BB146:BB150)</f>
        <v>0</v>
      </c>
      <c r="BC145" s="484">
        <f>SUM(BC146:BC150)</f>
        <v>0</v>
      </c>
      <c r="BD145" s="2310">
        <f>SUM(BD146:BD150)</f>
        <v>0</v>
      </c>
      <c r="BE145" s="2310">
        <f>SUM(BE146:BE150)</f>
        <v>0</v>
      </c>
      <c r="BF145" s="2310">
        <f>SUM(BF146:BF150)</f>
        <v>0</v>
      </c>
      <c r="BG145" s="2310">
        <f>SUM(BG146:BG150)</f>
        <v>0</v>
      </c>
      <c r="BH145" s="2310">
        <f>SUM(BH146:BH150)</f>
        <v>0</v>
      </c>
      <c r="BI145" s="2310">
        <f>SUM(BI146:BI150)</f>
        <v>0</v>
      </c>
      <c r="BJ145" s="2310">
        <f>SUM(BJ146:BJ150)</f>
        <v>0</v>
      </c>
      <c r="BK145" s="2310">
        <f>SUM(BK146:BK150)</f>
        <v>0</v>
      </c>
      <c r="BL145" s="2310">
        <f>SUM(BL146:BL150)</f>
        <v>0</v>
      </c>
      <c r="BM145" s="2310">
        <f>SUM(BM146:BM150)</f>
        <v>0</v>
      </c>
      <c r="BN145" s="2310">
        <f>SUM(BN146:BN150)</f>
        <v>0</v>
      </c>
      <c r="BO145" s="2310">
        <f>SUM(BO146:BO150)</f>
        <v>0</v>
      </c>
      <c r="BP145" s="2310">
        <f>SUM(BP146:BP150)</f>
        <v>0</v>
      </c>
      <c r="BQ145" s="2310">
        <f>SUM(BQ146:BQ150)</f>
        <v>0</v>
      </c>
      <c r="BR145" s="2310">
        <f>SUM(BR146:BR150)</f>
        <v>0</v>
      </c>
      <c r="BS145" s="2310">
        <f>SUM(BS146:BS150)</f>
        <v>0</v>
      </c>
      <c r="BT145" s="2310">
        <f>SUM(BT146:BT150)</f>
        <v>0</v>
      </c>
      <c r="BU145" s="2310">
        <f>SUM(BU146:BU150)</f>
        <v>0</v>
      </c>
      <c r="BV145" s="2310">
        <f>SUM(BV146:BV150)</f>
        <v>0</v>
      </c>
      <c r="BW145" s="1897"/>
      <c r="BX145" s="183"/>
      <c r="BY145" s="969"/>
      <c r="BZ145" s="489" t="s">
        <v>1229</v>
      </c>
      <c r="CA145" s="1506"/>
      <c r="CB145" s="1506"/>
      <c r="CC145" s="0" cm="1" t="str">
        <f t="array" ref="CC145:CC145">CC144</f>
        <v>ТЭ.42.31656254.0001</v>
      </c>
      <c r="CD145" s="0" t="s">
        <v>1189</v>
      </c>
      <c r="CE145" s="1751"/>
      <c r="CF145" s="1751"/>
      <c r="CG145" s="1751"/>
      <c r="CH145" s="0" t="s">
        <v>255</v>
      </c>
      <c r="CI145" s="0" t="s">
        <v>303</v>
      </c>
      <c r="CJ145" s="0" t="s">
        <v>1224</v>
      </c>
      <c r="CK145" s="0" t="s">
        <v>1225</v>
      </c>
      <c r="CL145" s="1751"/>
      <c r="CM145" s="1751"/>
      <c r="CN145" s="1751"/>
    </row>
    <row s="1751" customFormat="1" customHeight="1" ht="14.25">
      <c r="A146" s="371"/>
      <c r="B146" s="1548"/>
      <c r="C146" s="1548"/>
      <c r="D146" s="1548"/>
      <c r="E146" s="180">
        <v>15</v>
      </c>
      <c r="F146" s="175" cm="1" t="str">
        <f t="array" ref="F146:F146">F145</f>
        <v>1</v>
      </c>
      <c r="G146" s="1659"/>
      <c r="H146" s="1659"/>
      <c r="I146" s="1659"/>
      <c r="J146" s="1659"/>
      <c r="K146" s="1659"/>
      <c r="L146" s="1659"/>
      <c r="M146" s="1659"/>
      <c r="N146" s="1659"/>
      <c r="O146" s="1659"/>
      <c r="P146" s="1659"/>
      <c r="Q146" s="1659"/>
      <c r="R146" s="1659"/>
      <c r="S146" s="1659"/>
      <c r="T146" s="753" cm="1" t="str">
        <f t="array" ref="T146:T146">T145</f>
        <v>true</v>
      </c>
      <c r="U146" s="1548"/>
      <c r="V146" s="1548"/>
      <c r="W146" s="1548"/>
      <c r="X146" s="1548"/>
      <c r="Y146" s="1548"/>
      <c r="Z146" s="1548"/>
      <c r="AA146" s="183"/>
      <c r="AB146" s="633" t="str">
        <f>AB145&amp;".1"</f>
        <v>2.4.1</v>
      </c>
      <c r="AC146" s="635" t="s">
        <v>1191</v>
      </c>
      <c r="AD146" s="633" t="s">
        <v>1178</v>
      </c>
      <c r="AE146" s="1864"/>
      <c r="AF146" s="1864"/>
      <c r="AG146" s="1864"/>
      <c r="AH146" s="1864"/>
      <c r="AI146" s="353"/>
      <c r="AJ146" s="1864"/>
      <c r="AK146" s="1864"/>
      <c r="AL146" s="1864"/>
      <c r="AM146" s="1864"/>
      <c r="AN146" s="1864"/>
      <c r="AO146" s="1864"/>
      <c r="AP146" s="1864"/>
      <c r="AQ146" s="1864"/>
      <c r="AR146" s="1864"/>
      <c r="AS146" s="1864"/>
      <c r="AT146" s="1864"/>
      <c r="AU146" s="1864"/>
      <c r="AV146" s="1864"/>
      <c r="AW146" s="1864"/>
      <c r="AX146" s="1864"/>
      <c r="AY146" s="1864"/>
      <c r="AZ146" s="1864"/>
      <c r="BA146" s="1864"/>
      <c r="BB146" s="1864"/>
      <c r="BC146" s="353"/>
      <c r="BD146" s="1864"/>
      <c r="BE146" s="1864"/>
      <c r="BF146" s="1864"/>
      <c r="BG146" s="1864"/>
      <c r="BH146" s="1864"/>
      <c r="BI146" s="1864"/>
      <c r="BJ146" s="1864"/>
      <c r="BK146" s="1864"/>
      <c r="BL146" s="1864"/>
      <c r="BM146" s="1864"/>
      <c r="BN146" s="1864"/>
      <c r="BO146" s="1864"/>
      <c r="BP146" s="1864"/>
      <c r="BQ146" s="1864"/>
      <c r="BR146" s="1864"/>
      <c r="BS146" s="1864"/>
      <c r="BT146" s="1864"/>
      <c r="BU146" s="1864"/>
      <c r="BV146" s="1864"/>
      <c r="BW146" s="1897"/>
      <c r="BX146" s="183"/>
      <c r="BY146" s="969"/>
      <c r="BZ146" s="489" t="s">
        <v>1230</v>
      </c>
      <c r="CA146" s="1506"/>
      <c r="CB146" s="1506"/>
      <c r="CC146" s="0" cm="1" t="str">
        <f t="array" ref="CC146:CC146">CC145</f>
        <v>ТЭ.42.31656254.0001</v>
      </c>
      <c r="CD146" s="0" t="s">
        <v>1189</v>
      </c>
      <c r="CE146" s="0" t="s">
        <v>1193</v>
      </c>
      <c r="CF146" s="1751"/>
      <c r="CG146" s="1751"/>
      <c r="CH146" s="0" t="s">
        <v>255</v>
      </c>
      <c r="CI146" s="0" t="s">
        <v>303</v>
      </c>
      <c r="CJ146" s="0" t="s">
        <v>1224</v>
      </c>
      <c r="CK146" s="0" t="s">
        <v>1225</v>
      </c>
      <c r="CL146" s="1751"/>
      <c r="CM146" s="1751"/>
      <c r="CN146" s="1751"/>
    </row>
    <row s="1751" customFormat="1" customHeight="1" ht="14.25">
      <c r="A147" s="371"/>
      <c r="B147" s="1548"/>
      <c r="C147" s="1548"/>
      <c r="D147" s="1548"/>
      <c r="E147" s="180">
        <v>15</v>
      </c>
      <c r="F147" s="175" cm="1" t="str">
        <f t="array" ref="F147:F147">F146</f>
        <v>1</v>
      </c>
      <c r="G147" s="1659"/>
      <c r="H147" s="1659"/>
      <c r="I147" s="1659"/>
      <c r="J147" s="1659"/>
      <c r="K147" s="1659"/>
      <c r="L147" s="1659"/>
      <c r="M147" s="1659"/>
      <c r="N147" s="1659"/>
      <c r="O147" s="1659"/>
      <c r="P147" s="1659"/>
      <c r="Q147" s="1659"/>
      <c r="R147" s="1659"/>
      <c r="S147" s="1659"/>
      <c r="T147" s="753" cm="1" t="str">
        <f t="array" ref="T147:T147">T146</f>
        <v>true</v>
      </c>
      <c r="U147" s="1548"/>
      <c r="V147" s="1548"/>
      <c r="W147" s="1548"/>
      <c r="X147" s="1548"/>
      <c r="Y147" s="1548"/>
      <c r="Z147" s="1548"/>
      <c r="AA147" s="183"/>
      <c r="AB147" s="633" t="str">
        <f>AB145&amp;".2"</f>
        <v>2.4.2</v>
      </c>
      <c r="AC147" s="635" t="s">
        <v>1195</v>
      </c>
      <c r="AD147" s="633" t="s">
        <v>1178</v>
      </c>
      <c r="AE147" s="1864"/>
      <c r="AF147" s="1864"/>
      <c r="AG147" s="1864"/>
      <c r="AH147" s="1864"/>
      <c r="AI147" s="353"/>
      <c r="AJ147" s="1864"/>
      <c r="AK147" s="1864"/>
      <c r="AL147" s="1864"/>
      <c r="AM147" s="1864"/>
      <c r="AN147" s="1864"/>
      <c r="AO147" s="1864"/>
      <c r="AP147" s="1864"/>
      <c r="AQ147" s="1864"/>
      <c r="AR147" s="1864"/>
      <c r="AS147" s="1864"/>
      <c r="AT147" s="1864"/>
      <c r="AU147" s="1864"/>
      <c r="AV147" s="1864"/>
      <c r="AW147" s="1864"/>
      <c r="AX147" s="1864"/>
      <c r="AY147" s="1864"/>
      <c r="AZ147" s="1864"/>
      <c r="BA147" s="1864"/>
      <c r="BB147" s="1864"/>
      <c r="BC147" s="353"/>
      <c r="BD147" s="1864"/>
      <c r="BE147" s="1864"/>
      <c r="BF147" s="1864"/>
      <c r="BG147" s="1864"/>
      <c r="BH147" s="1864"/>
      <c r="BI147" s="1864"/>
      <c r="BJ147" s="1864"/>
      <c r="BK147" s="1864"/>
      <c r="BL147" s="1864"/>
      <c r="BM147" s="1864"/>
      <c r="BN147" s="1864"/>
      <c r="BO147" s="1864"/>
      <c r="BP147" s="1864"/>
      <c r="BQ147" s="1864"/>
      <c r="BR147" s="1864"/>
      <c r="BS147" s="1864"/>
      <c r="BT147" s="1864"/>
      <c r="BU147" s="1864"/>
      <c r="BV147" s="1864"/>
      <c r="BW147" s="1897"/>
      <c r="BX147" s="183"/>
      <c r="BY147" s="969"/>
      <c r="BZ147" s="489" t="s">
        <v>1231</v>
      </c>
      <c r="CA147" s="1506"/>
      <c r="CB147" s="1506"/>
      <c r="CC147" s="0" cm="1" t="str">
        <f t="array" ref="CC147:CC147">CC146</f>
        <v>ТЭ.42.31656254.0001</v>
      </c>
      <c r="CD147" s="0" t="s">
        <v>1189</v>
      </c>
      <c r="CE147" s="0" t="s">
        <v>1197</v>
      </c>
      <c r="CF147" s="1751"/>
      <c r="CG147" s="1751"/>
      <c r="CH147" s="0" t="s">
        <v>255</v>
      </c>
      <c r="CI147" s="0" t="s">
        <v>303</v>
      </c>
      <c r="CJ147" s="0" t="s">
        <v>1224</v>
      </c>
      <c r="CK147" s="0" t="s">
        <v>1225</v>
      </c>
      <c r="CL147" s="1751"/>
      <c r="CM147" s="1751"/>
      <c r="CN147" s="1751"/>
    </row>
    <row s="1751" customFormat="1" customHeight="1" ht="14.25">
      <c r="A148" s="371"/>
      <c r="B148" s="1548"/>
      <c r="C148" s="1548"/>
      <c r="D148" s="1548"/>
      <c r="E148" s="180">
        <v>15</v>
      </c>
      <c r="F148" s="175" cm="1" t="str">
        <f t="array" ref="F148:F148">F147</f>
        <v>1</v>
      </c>
      <c r="G148" s="1659"/>
      <c r="H148" s="1659"/>
      <c r="I148" s="1659"/>
      <c r="J148" s="1659"/>
      <c r="K148" s="1659"/>
      <c r="L148" s="1659"/>
      <c r="M148" s="1659"/>
      <c r="N148" s="1659"/>
      <c r="O148" s="1659"/>
      <c r="P148" s="1659"/>
      <c r="Q148" s="1659"/>
      <c r="R148" s="1659"/>
      <c r="S148" s="1659"/>
      <c r="T148" s="753" cm="1" t="str">
        <f t="array" ref="T148:T148">T147</f>
        <v>true</v>
      </c>
      <c r="U148" s="1548"/>
      <c r="V148" s="1548"/>
      <c r="W148" s="1548"/>
      <c r="X148" s="1548"/>
      <c r="Y148" s="1548"/>
      <c r="Z148" s="1548"/>
      <c r="AA148" s="183"/>
      <c r="AB148" s="633" t="str">
        <f>AB145&amp;".3"</f>
        <v>2.4.3</v>
      </c>
      <c r="AC148" s="635" t="s">
        <v>1199</v>
      </c>
      <c r="AD148" s="633" t="s">
        <v>1178</v>
      </c>
      <c r="AE148" s="1864"/>
      <c r="AF148" s="1864"/>
      <c r="AG148" s="1864"/>
      <c r="AH148" s="1864"/>
      <c r="AI148" s="353"/>
      <c r="AJ148" s="1864"/>
      <c r="AK148" s="1864"/>
      <c r="AL148" s="1864"/>
      <c r="AM148" s="1864"/>
      <c r="AN148" s="1864"/>
      <c r="AO148" s="1864"/>
      <c r="AP148" s="1864"/>
      <c r="AQ148" s="1864"/>
      <c r="AR148" s="1864"/>
      <c r="AS148" s="1864"/>
      <c r="AT148" s="1864"/>
      <c r="AU148" s="1864"/>
      <c r="AV148" s="1864"/>
      <c r="AW148" s="1864"/>
      <c r="AX148" s="1864"/>
      <c r="AY148" s="1864"/>
      <c r="AZ148" s="1864"/>
      <c r="BA148" s="1864"/>
      <c r="BB148" s="1864"/>
      <c r="BC148" s="353"/>
      <c r="BD148" s="1864"/>
      <c r="BE148" s="1864"/>
      <c r="BF148" s="1864"/>
      <c r="BG148" s="1864"/>
      <c r="BH148" s="1864"/>
      <c r="BI148" s="1864"/>
      <c r="BJ148" s="1864"/>
      <c r="BK148" s="1864"/>
      <c r="BL148" s="1864"/>
      <c r="BM148" s="1864"/>
      <c r="BN148" s="1864"/>
      <c r="BO148" s="1864"/>
      <c r="BP148" s="1864"/>
      <c r="BQ148" s="1864"/>
      <c r="BR148" s="1864"/>
      <c r="BS148" s="1864"/>
      <c r="BT148" s="1864"/>
      <c r="BU148" s="1864"/>
      <c r="BV148" s="1864"/>
      <c r="BW148" s="1897"/>
      <c r="BX148" s="183"/>
      <c r="BY148" s="969"/>
      <c r="BZ148" s="489" t="s">
        <v>1232</v>
      </c>
      <c r="CA148" s="1506"/>
      <c r="CB148" s="1506"/>
      <c r="CC148" s="0" cm="1" t="str">
        <f t="array" ref="CC148:CC148">CC147</f>
        <v>ТЭ.42.31656254.0001</v>
      </c>
      <c r="CD148" s="0" t="s">
        <v>1189</v>
      </c>
      <c r="CE148" s="0" t="s">
        <v>1201</v>
      </c>
      <c r="CF148" s="1751"/>
      <c r="CG148" s="1751"/>
      <c r="CH148" s="0" t="s">
        <v>255</v>
      </c>
      <c r="CI148" s="0" t="s">
        <v>303</v>
      </c>
      <c r="CJ148" s="0" t="s">
        <v>1224</v>
      </c>
      <c r="CK148" s="0" t="s">
        <v>1225</v>
      </c>
      <c r="CL148" s="1751"/>
      <c r="CM148" s="1751"/>
      <c r="CN148" s="1751"/>
    </row>
    <row s="1751" customFormat="1" customHeight="1" ht="14.25">
      <c r="A149" s="371"/>
      <c r="B149" s="1548"/>
      <c r="C149" s="1548"/>
      <c r="D149" s="1548"/>
      <c r="E149" s="180">
        <v>15</v>
      </c>
      <c r="F149" s="175" cm="1" t="str">
        <f t="array" ref="F149:F149">F148</f>
        <v>1</v>
      </c>
      <c r="G149" s="1659"/>
      <c r="H149" s="1659"/>
      <c r="I149" s="1659"/>
      <c r="J149" s="1659"/>
      <c r="K149" s="1659"/>
      <c r="L149" s="1659"/>
      <c r="M149" s="1659"/>
      <c r="N149" s="1659"/>
      <c r="O149" s="1659"/>
      <c r="P149" s="1659"/>
      <c r="Q149" s="1659"/>
      <c r="R149" s="1659"/>
      <c r="S149" s="1659"/>
      <c r="T149" s="753" cm="1" t="str">
        <f t="array" ref="T149:T149">T148</f>
        <v>true</v>
      </c>
      <c r="U149" s="1548"/>
      <c r="V149" s="1548"/>
      <c r="W149" s="1548"/>
      <c r="X149" s="1548"/>
      <c r="Y149" s="1548"/>
      <c r="Z149" s="1548"/>
      <c r="AA149" s="183"/>
      <c r="AB149" s="633" t="str">
        <f>AB145&amp;".4"</f>
        <v>2.4.4</v>
      </c>
      <c r="AC149" s="635" t="s">
        <v>1203</v>
      </c>
      <c r="AD149" s="633" t="s">
        <v>1178</v>
      </c>
      <c r="AE149" s="1864"/>
      <c r="AF149" s="1864"/>
      <c r="AG149" s="1864"/>
      <c r="AH149" s="1864"/>
      <c r="AI149" s="353"/>
      <c r="AJ149" s="1864"/>
      <c r="AK149" s="1864"/>
      <c r="AL149" s="1864"/>
      <c r="AM149" s="1864"/>
      <c r="AN149" s="1864"/>
      <c r="AO149" s="1864"/>
      <c r="AP149" s="1864"/>
      <c r="AQ149" s="1864"/>
      <c r="AR149" s="1864"/>
      <c r="AS149" s="1864"/>
      <c r="AT149" s="1864"/>
      <c r="AU149" s="1864"/>
      <c r="AV149" s="1864"/>
      <c r="AW149" s="1864"/>
      <c r="AX149" s="1864"/>
      <c r="AY149" s="1864"/>
      <c r="AZ149" s="1864"/>
      <c r="BA149" s="1864"/>
      <c r="BB149" s="1864"/>
      <c r="BC149" s="353"/>
      <c r="BD149" s="1864"/>
      <c r="BE149" s="1864"/>
      <c r="BF149" s="1864"/>
      <c r="BG149" s="1864"/>
      <c r="BH149" s="1864"/>
      <c r="BI149" s="1864"/>
      <c r="BJ149" s="1864"/>
      <c r="BK149" s="1864"/>
      <c r="BL149" s="1864"/>
      <c r="BM149" s="1864"/>
      <c r="BN149" s="1864"/>
      <c r="BO149" s="1864"/>
      <c r="BP149" s="1864"/>
      <c r="BQ149" s="1864"/>
      <c r="BR149" s="1864"/>
      <c r="BS149" s="1864"/>
      <c r="BT149" s="1864"/>
      <c r="BU149" s="1864"/>
      <c r="BV149" s="1864"/>
      <c r="BW149" s="1897"/>
      <c r="BX149" s="183"/>
      <c r="BY149" s="969"/>
      <c r="BZ149" s="489" t="s">
        <v>1233</v>
      </c>
      <c r="CA149" s="1506"/>
      <c r="CB149" s="1506"/>
      <c r="CC149" s="0" cm="1" t="str">
        <f t="array" ref="CC149:CC149">CC148</f>
        <v>ТЭ.42.31656254.0001</v>
      </c>
      <c r="CD149" s="0" t="s">
        <v>1189</v>
      </c>
      <c r="CE149" s="0" t="s">
        <v>1205</v>
      </c>
      <c r="CF149" s="1751"/>
      <c r="CG149" s="1751"/>
      <c r="CH149" s="0" t="s">
        <v>255</v>
      </c>
      <c r="CI149" s="0" t="s">
        <v>303</v>
      </c>
      <c r="CJ149" s="0" t="s">
        <v>1224</v>
      </c>
      <c r="CK149" s="0" t="s">
        <v>1225</v>
      </c>
      <c r="CL149" s="1751"/>
      <c r="CM149" s="1751"/>
      <c r="CN149" s="1751"/>
    </row>
    <row s="1751" customFormat="1" customHeight="1" ht="14.25">
      <c r="A150" s="371"/>
      <c r="B150" s="1548"/>
      <c r="C150" s="1548"/>
      <c r="D150" s="1548"/>
      <c r="E150" s="180">
        <v>15</v>
      </c>
      <c r="F150" s="175" cm="1" t="str">
        <f t="array" ref="F150:F150">F149</f>
        <v>1</v>
      </c>
      <c r="G150" s="1659"/>
      <c r="H150" s="1659"/>
      <c r="I150" s="1659"/>
      <c r="J150" s="1659"/>
      <c r="K150" s="1659"/>
      <c r="L150" s="1659"/>
      <c r="M150" s="1659"/>
      <c r="N150" s="1659"/>
      <c r="O150" s="1659"/>
      <c r="P150" s="1659"/>
      <c r="Q150" s="1659"/>
      <c r="R150" s="1659"/>
      <c r="S150" s="1659"/>
      <c r="T150" s="753" cm="1" t="str">
        <f t="array" ref="T150:T150">T149</f>
        <v>true</v>
      </c>
      <c r="U150" s="1548"/>
      <c r="V150" s="1548"/>
      <c r="W150" s="1548"/>
      <c r="X150" s="1548"/>
      <c r="Y150" s="1548"/>
      <c r="Z150" s="1548"/>
      <c r="AA150" s="183"/>
      <c r="AB150" s="633" t="str">
        <f>AB145&amp;".5"</f>
        <v>2.4.5</v>
      </c>
      <c r="AC150" s="635" t="s">
        <v>1207</v>
      </c>
      <c r="AD150" s="633" t="s">
        <v>1178</v>
      </c>
      <c r="AE150" s="1864"/>
      <c r="AF150" s="1864"/>
      <c r="AG150" s="1864"/>
      <c r="AH150" s="1864"/>
      <c r="AI150" s="353"/>
      <c r="AJ150" s="1864"/>
      <c r="AK150" s="1864"/>
      <c r="AL150" s="1864"/>
      <c r="AM150" s="1864"/>
      <c r="AN150" s="1864"/>
      <c r="AO150" s="1864"/>
      <c r="AP150" s="1864"/>
      <c r="AQ150" s="1864"/>
      <c r="AR150" s="1864"/>
      <c r="AS150" s="1864"/>
      <c r="AT150" s="1864"/>
      <c r="AU150" s="1864"/>
      <c r="AV150" s="1864"/>
      <c r="AW150" s="1864"/>
      <c r="AX150" s="1864"/>
      <c r="AY150" s="1864"/>
      <c r="AZ150" s="1864"/>
      <c r="BA150" s="1864"/>
      <c r="BB150" s="1864"/>
      <c r="BC150" s="353"/>
      <c r="BD150" s="1864"/>
      <c r="BE150" s="1864"/>
      <c r="BF150" s="1864"/>
      <c r="BG150" s="1864"/>
      <c r="BH150" s="1864"/>
      <c r="BI150" s="1864"/>
      <c r="BJ150" s="1864"/>
      <c r="BK150" s="1864"/>
      <c r="BL150" s="1864"/>
      <c r="BM150" s="1864"/>
      <c r="BN150" s="1864"/>
      <c r="BO150" s="1864"/>
      <c r="BP150" s="1864"/>
      <c r="BQ150" s="1864"/>
      <c r="BR150" s="1864"/>
      <c r="BS150" s="1864"/>
      <c r="BT150" s="1864"/>
      <c r="BU150" s="1864"/>
      <c r="BV150" s="1864"/>
      <c r="BW150" s="1897"/>
      <c r="BX150" s="183"/>
      <c r="BY150" s="969"/>
      <c r="BZ150" s="489" t="s">
        <v>1234</v>
      </c>
      <c r="CA150" s="1506"/>
      <c r="CB150" s="1506"/>
      <c r="CC150" s="0" cm="1" t="str">
        <f t="array" ref="CC150:CC150">CC149</f>
        <v>ТЭ.42.31656254.0001</v>
      </c>
      <c r="CD150" s="0" t="s">
        <v>1189</v>
      </c>
      <c r="CE150" s="0" t="s">
        <v>1209</v>
      </c>
      <c r="CF150" s="1751"/>
      <c r="CG150" s="1751"/>
      <c r="CH150" s="0" t="s">
        <v>255</v>
      </c>
      <c r="CI150" s="0" t="s">
        <v>303</v>
      </c>
      <c r="CJ150" s="0" t="s">
        <v>1224</v>
      </c>
      <c r="CK150" s="0" t="s">
        <v>1225</v>
      </c>
      <c r="CL150" s="1751"/>
      <c r="CM150" s="1751"/>
      <c r="CN150" s="1751"/>
    </row>
    <row s="1751" customFormat="1" customHeight="1" ht="14.25">
      <c r="A151" s="371"/>
      <c r="B151" s="1548"/>
      <c r="C151" s="1548"/>
      <c r="D151" s="1548"/>
      <c r="E151" s="180">
        <v>15</v>
      </c>
      <c r="F151" s="175" cm="1" t="str">
        <f t="array" ref="F151:F151">F150</f>
        <v>1</v>
      </c>
      <c r="G151" s="1659"/>
      <c r="H151" s="1659"/>
      <c r="I151" s="1659"/>
      <c r="J151" s="1659"/>
      <c r="K151" s="1659"/>
      <c r="L151" s="1659"/>
      <c r="M151" s="1659"/>
      <c r="N151" s="1659"/>
      <c r="O151" s="1659"/>
      <c r="P151" s="1659"/>
      <c r="Q151" s="1659"/>
      <c r="R151" s="1659"/>
      <c r="S151" s="1659"/>
      <c r="T151" s="753" cm="1" t="str">
        <f t="array" ref="T151:T151">T150</f>
        <v>true</v>
      </c>
      <c r="U151" s="1548"/>
      <c r="V151" s="1548"/>
      <c r="W151" s="1548"/>
      <c r="X151" s="1548"/>
      <c r="Y151" s="1548"/>
      <c r="Z151" s="1548"/>
      <c r="AA151" s="183"/>
      <c r="AB151" s="633" t="str">
        <f>AB141&amp;".5"</f>
        <v>2.5</v>
      </c>
      <c r="AC151" s="634" t="s">
        <v>1210</v>
      </c>
      <c r="AD151" s="633" t="s">
        <v>1178</v>
      </c>
      <c r="AE151" s="1864"/>
      <c r="AF151" s="1864"/>
      <c r="AG151" s="1864"/>
      <c r="AH151" s="1864"/>
      <c r="AI151" s="353"/>
      <c r="AJ151" s="1864"/>
      <c r="AK151" s="1864"/>
      <c r="AL151" s="1864"/>
      <c r="AM151" s="1864"/>
      <c r="AN151" s="1864"/>
      <c r="AO151" s="1864"/>
      <c r="AP151" s="1864"/>
      <c r="AQ151" s="1864"/>
      <c r="AR151" s="1864"/>
      <c r="AS151" s="1864"/>
      <c r="AT151" s="1864"/>
      <c r="AU151" s="1864"/>
      <c r="AV151" s="1864"/>
      <c r="AW151" s="1864"/>
      <c r="AX151" s="1864"/>
      <c r="AY151" s="1864"/>
      <c r="AZ151" s="1864"/>
      <c r="BA151" s="1864"/>
      <c r="BB151" s="1864"/>
      <c r="BC151" s="353"/>
      <c r="BD151" s="1864"/>
      <c r="BE151" s="1864"/>
      <c r="BF151" s="1864"/>
      <c r="BG151" s="1864"/>
      <c r="BH151" s="1864"/>
      <c r="BI151" s="1864"/>
      <c r="BJ151" s="1864"/>
      <c r="BK151" s="1864"/>
      <c r="BL151" s="1864"/>
      <c r="BM151" s="1864"/>
      <c r="BN151" s="1864"/>
      <c r="BO151" s="1864"/>
      <c r="BP151" s="1864"/>
      <c r="BQ151" s="1864"/>
      <c r="BR151" s="1864"/>
      <c r="BS151" s="1864"/>
      <c r="BT151" s="1864"/>
      <c r="BU151" s="1864"/>
      <c r="BV151" s="1864"/>
      <c r="BW151" s="1897"/>
      <c r="BX151" s="183"/>
      <c r="BY151" s="969"/>
      <c r="BZ151" s="489" t="s">
        <v>1235</v>
      </c>
      <c r="CA151" s="1506"/>
      <c r="CB151" s="1506"/>
      <c r="CC151" s="0" cm="1" t="str">
        <f t="array" ref="CC151:CC151">CC150</f>
        <v>ТЭ.42.31656254.0001</v>
      </c>
      <c r="CD151" s="0" t="s">
        <v>1212</v>
      </c>
      <c r="CE151" s="1751"/>
      <c r="CF151" s="1751"/>
      <c r="CG151" s="1751"/>
      <c r="CH151" s="0" t="s">
        <v>255</v>
      </c>
      <c r="CI151" s="0" t="s">
        <v>303</v>
      </c>
      <c r="CJ151" s="0" t="s">
        <v>1224</v>
      </c>
      <c r="CK151" s="0" t="s">
        <v>1225</v>
      </c>
      <c r="CL151" s="1751"/>
      <c r="CM151" s="1751"/>
      <c r="CN151" s="1751"/>
    </row>
    <row s="1751" customFormat="1" customHeight="1" ht="14.25">
      <c r="A152" s="371"/>
      <c r="B152" s="1548"/>
      <c r="C152" s="1548"/>
      <c r="D152" s="1548"/>
      <c r="E152" s="180">
        <v>15</v>
      </c>
      <c r="F152" s="175" cm="1" t="str">
        <f t="array" ref="F152:F152">F151</f>
        <v>1</v>
      </c>
      <c r="G152" s="1659"/>
      <c r="H152" s="1659"/>
      <c r="I152" s="1659"/>
      <c r="J152" s="1659"/>
      <c r="K152" s="1659"/>
      <c r="L152" s="1659"/>
      <c r="M152" s="1659"/>
      <c r="N152" s="1659"/>
      <c r="O152" s="1659"/>
      <c r="P152" s="1659"/>
      <c r="Q152" s="1659"/>
      <c r="R152" s="1659"/>
      <c r="S152" s="1659"/>
      <c r="T152" s="753" cm="1" t="str">
        <f t="array" ref="T152:T152">T151</f>
        <v>true</v>
      </c>
      <c r="U152" s="1548"/>
      <c r="V152" s="1548"/>
      <c r="W152" s="1548"/>
      <c r="X152" s="1548"/>
      <c r="Y152" s="1548"/>
      <c r="Z152" s="1548"/>
      <c r="AA152" s="183"/>
      <c r="AB152" s="633" t="str">
        <f>AB141&amp;".6"</f>
        <v>2.6</v>
      </c>
      <c r="AC152" s="634" t="s">
        <v>1213</v>
      </c>
      <c r="AD152" s="633" t="s">
        <v>1178</v>
      </c>
      <c r="AE152" s="1864"/>
      <c r="AF152" s="1864"/>
      <c r="AG152" s="1864"/>
      <c r="AH152" s="1864"/>
      <c r="AI152" s="353"/>
      <c r="AJ152" s="1864"/>
      <c r="AK152" s="1864"/>
      <c r="AL152" s="1864"/>
      <c r="AM152" s="1864"/>
      <c r="AN152" s="1864"/>
      <c r="AO152" s="1864"/>
      <c r="AP152" s="1864"/>
      <c r="AQ152" s="1864"/>
      <c r="AR152" s="1864"/>
      <c r="AS152" s="1864"/>
      <c r="AT152" s="1864"/>
      <c r="AU152" s="1864"/>
      <c r="AV152" s="1864"/>
      <c r="AW152" s="1864"/>
      <c r="AX152" s="1864"/>
      <c r="AY152" s="1864"/>
      <c r="AZ152" s="1864"/>
      <c r="BA152" s="1864"/>
      <c r="BB152" s="1864"/>
      <c r="BC152" s="353"/>
      <c r="BD152" s="1864"/>
      <c r="BE152" s="1864"/>
      <c r="BF152" s="1864"/>
      <c r="BG152" s="1864"/>
      <c r="BH152" s="1864"/>
      <c r="BI152" s="1864"/>
      <c r="BJ152" s="1864"/>
      <c r="BK152" s="1864"/>
      <c r="BL152" s="1864"/>
      <c r="BM152" s="1864"/>
      <c r="BN152" s="1864"/>
      <c r="BO152" s="1864"/>
      <c r="BP152" s="1864"/>
      <c r="BQ152" s="1864"/>
      <c r="BR152" s="1864"/>
      <c r="BS152" s="1864"/>
      <c r="BT152" s="1864"/>
      <c r="BU152" s="1864"/>
      <c r="BV152" s="1864"/>
      <c r="BW152" s="1897"/>
      <c r="BX152" s="183"/>
      <c r="BY152" s="969"/>
      <c r="BZ152" s="489" t="s">
        <v>1236</v>
      </c>
      <c r="CA152" s="1506"/>
      <c r="CB152" s="1506"/>
      <c r="CC152" s="0" cm="1" t="str">
        <f t="array" ref="CC152:CC152">CC151</f>
        <v>ТЭ.42.31656254.0001</v>
      </c>
      <c r="CD152" s="1751"/>
      <c r="CE152" s="1751"/>
      <c r="CF152" s="0" t="s">
        <v>1215</v>
      </c>
      <c r="CG152" s="1751"/>
      <c r="CH152" s="0" t="s">
        <v>255</v>
      </c>
      <c r="CI152" s="0" t="s">
        <v>303</v>
      </c>
      <c r="CJ152" s="0" t="s">
        <v>1224</v>
      </c>
      <c r="CK152" s="0" t="s">
        <v>1225</v>
      </c>
      <c r="CL152" s="1751"/>
      <c r="CM152" s="1751"/>
      <c r="CN152" s="1751"/>
    </row>
    <row s="1751" customFormat="1" customHeight="1" ht="14.25">
      <c r="A153" s="371"/>
      <c r="B153" s="1548"/>
      <c r="C153" s="1548"/>
      <c r="D153" s="1548"/>
      <c r="E153" s="180">
        <v>15</v>
      </c>
      <c r="F153" s="175" cm="1" t="str">
        <f t="array" ref="F153:F153">F152</f>
        <v>1</v>
      </c>
      <c r="G153" s="1659"/>
      <c r="H153" s="1659"/>
      <c r="I153" s="1659"/>
      <c r="J153" s="1659"/>
      <c r="K153" s="1659"/>
      <c r="L153" s="1659"/>
      <c r="M153" s="1659"/>
      <c r="N153" s="1659"/>
      <c r="O153" s="1659"/>
      <c r="P153" s="1659"/>
      <c r="Q153" s="1659"/>
      <c r="R153" s="1659"/>
      <c r="S153" s="1659"/>
      <c r="T153" s="753" cm="1" t="str">
        <f t="array" ref="T153:T153">T152</f>
        <v>true</v>
      </c>
      <c r="U153" s="1548"/>
      <c r="V153" s="1548"/>
      <c r="W153" s="1548"/>
      <c r="X153" s="1548"/>
      <c r="Y153" s="1548"/>
      <c r="Z153" s="1548"/>
      <c r="AA153" s="183"/>
      <c r="AB153" s="633" t="str">
        <f>AB141&amp;".7"</f>
        <v>2.7</v>
      </c>
      <c r="AC153" s="634" t="s">
        <v>1216</v>
      </c>
      <c r="AD153" s="633" t="s">
        <v>1178</v>
      </c>
      <c r="AE153" s="1864"/>
      <c r="AF153" s="1864"/>
      <c r="AG153" s="1864"/>
      <c r="AH153" s="1864"/>
      <c r="AI153" s="353"/>
      <c r="AJ153" s="1864"/>
      <c r="AK153" s="1864"/>
      <c r="AL153" s="1864"/>
      <c r="AM153" s="1864"/>
      <c r="AN153" s="1864"/>
      <c r="AO153" s="1864"/>
      <c r="AP153" s="1864"/>
      <c r="AQ153" s="1864"/>
      <c r="AR153" s="1864"/>
      <c r="AS153" s="1864"/>
      <c r="AT153" s="1864"/>
      <c r="AU153" s="1864"/>
      <c r="AV153" s="1864"/>
      <c r="AW153" s="1864"/>
      <c r="AX153" s="1864"/>
      <c r="AY153" s="1864"/>
      <c r="AZ153" s="1864"/>
      <c r="BA153" s="1864"/>
      <c r="BB153" s="1864"/>
      <c r="BC153" s="353"/>
      <c r="BD153" s="1864"/>
      <c r="BE153" s="1864"/>
      <c r="BF153" s="1864"/>
      <c r="BG153" s="1864"/>
      <c r="BH153" s="1864"/>
      <c r="BI153" s="1864"/>
      <c r="BJ153" s="1864"/>
      <c r="BK153" s="1864"/>
      <c r="BL153" s="1864"/>
      <c r="BM153" s="1864"/>
      <c r="BN153" s="1864"/>
      <c r="BO153" s="1864"/>
      <c r="BP153" s="1864"/>
      <c r="BQ153" s="1864"/>
      <c r="BR153" s="1864"/>
      <c r="BS153" s="1864"/>
      <c r="BT153" s="1864"/>
      <c r="BU153" s="1864"/>
      <c r="BV153" s="1864"/>
      <c r="BW153" s="1897"/>
      <c r="BX153" s="183"/>
      <c r="BY153" s="969"/>
      <c r="BZ153" s="489" t="s">
        <v>1237</v>
      </c>
      <c r="CA153" s="1506"/>
      <c r="CB153" s="1506"/>
      <c r="CC153" s="0" cm="1" t="str">
        <f t="array" ref="CC153:CC153">CC152</f>
        <v>ТЭ.42.31656254.0001</v>
      </c>
      <c r="CD153" s="1751"/>
      <c r="CE153" s="1751"/>
      <c r="CF153" s="0" t="s">
        <v>1218</v>
      </c>
      <c r="CG153" s="1751"/>
      <c r="CH153" s="0" t="s">
        <v>255</v>
      </c>
      <c r="CI153" s="0" t="s">
        <v>303</v>
      </c>
      <c r="CJ153" s="0" t="s">
        <v>1224</v>
      </c>
      <c r="CK153" s="0" t="s">
        <v>1225</v>
      </c>
      <c r="CL153" s="1751"/>
      <c r="CM153" s="1751"/>
      <c r="CN153" s="1751"/>
    </row>
    <row s="1751" customFormat="1" customHeight="1" ht="14.25">
      <c r="A154" s="371"/>
      <c r="B154" s="1548"/>
      <c r="C154" s="1548"/>
      <c r="D154" s="1548"/>
      <c r="E154" s="180">
        <v>15</v>
      </c>
      <c r="F154" s="175" cm="1" t="str">
        <f t="array" ref="F154:F154">F153</f>
        <v>1</v>
      </c>
      <c r="G154" s="1659"/>
      <c r="H154" s="1659"/>
      <c r="I154" s="1659"/>
      <c r="J154" s="1659"/>
      <c r="K154" s="1659"/>
      <c r="L154" s="1659"/>
      <c r="M154" s="1659"/>
      <c r="N154" s="1659"/>
      <c r="O154" s="1659"/>
      <c r="P154" s="1659"/>
      <c r="Q154" s="1659"/>
      <c r="R154" s="1659"/>
      <c r="S154" s="1659"/>
      <c r="T154" s="753" cm="1" t="str">
        <f t="array" ref="T154:T154">T153</f>
        <v>true</v>
      </c>
      <c r="U154" s="1548"/>
      <c r="V154" s="1548"/>
      <c r="W154" s="1548"/>
      <c r="X154" s="1548"/>
      <c r="Y154" s="1548"/>
      <c r="Z154" s="1548"/>
      <c r="AA154" s="183"/>
      <c r="AB154" s="633" t="str">
        <f>AB141&amp;".8"</f>
        <v>2.8</v>
      </c>
      <c r="AC154" s="634" t="s">
        <v>1219</v>
      </c>
      <c r="AD154" s="633" t="s">
        <v>1178</v>
      </c>
      <c r="AE154" s="1864"/>
      <c r="AF154" s="1864"/>
      <c r="AG154" s="1864"/>
      <c r="AH154" s="1864"/>
      <c r="AI154" s="353"/>
      <c r="AJ154" s="1864"/>
      <c r="AK154" s="1864"/>
      <c r="AL154" s="1864"/>
      <c r="AM154" s="1864"/>
      <c r="AN154" s="1864"/>
      <c r="AO154" s="1864"/>
      <c r="AP154" s="1864"/>
      <c r="AQ154" s="1864"/>
      <c r="AR154" s="1864"/>
      <c r="AS154" s="1864"/>
      <c r="AT154" s="1864"/>
      <c r="AU154" s="1864"/>
      <c r="AV154" s="1864"/>
      <c r="AW154" s="1864"/>
      <c r="AX154" s="1864"/>
      <c r="AY154" s="1864"/>
      <c r="AZ154" s="1864"/>
      <c r="BA154" s="1864"/>
      <c r="BB154" s="1864"/>
      <c r="BC154" s="353"/>
      <c r="BD154" s="1864"/>
      <c r="BE154" s="1864"/>
      <c r="BF154" s="1864"/>
      <c r="BG154" s="1864"/>
      <c r="BH154" s="1864"/>
      <c r="BI154" s="1864"/>
      <c r="BJ154" s="1864"/>
      <c r="BK154" s="1864"/>
      <c r="BL154" s="1864"/>
      <c r="BM154" s="1864"/>
      <c r="BN154" s="1864"/>
      <c r="BO154" s="1864"/>
      <c r="BP154" s="1864"/>
      <c r="BQ154" s="1864"/>
      <c r="BR154" s="1864"/>
      <c r="BS154" s="1864"/>
      <c r="BT154" s="1864"/>
      <c r="BU154" s="1864"/>
      <c r="BV154" s="1864"/>
      <c r="BW154" s="1897"/>
      <c r="BX154" s="183"/>
      <c r="BY154" s="969"/>
      <c r="BZ154" s="489" t="s">
        <v>1238</v>
      </c>
      <c r="CA154" s="1506"/>
      <c r="CB154" s="1506"/>
      <c r="CC154" s="0" cm="1" t="str">
        <f t="array" ref="CC154:CC154">CC153</f>
        <v>ТЭ.42.31656254.0001</v>
      </c>
      <c r="CD154" s="0" t="s">
        <v>1221</v>
      </c>
      <c r="CE154" s="1751"/>
      <c r="CF154" s="1751"/>
      <c r="CG154" s="1751"/>
      <c r="CH154" s="0" t="s">
        <v>449</v>
      </c>
      <c r="CI154" s="0" t="s">
        <v>303</v>
      </c>
      <c r="CJ154" s="0" t="s">
        <v>1224</v>
      </c>
      <c r="CK154" s="0" t="s">
        <v>1225</v>
      </c>
      <c r="CL154" s="1751"/>
      <c r="CM154" s="1751"/>
      <c r="CN154" s="1751"/>
    </row>
    <row s="986" customFormat="1" customHeight="1" ht="14.25">
      <c r="A155" s="986"/>
      <c r="B155" s="986"/>
      <c r="C155" s="986"/>
      <c r="D155" s="986"/>
      <c r="E155" s="180">
        <v>15</v>
      </c>
      <c r="F155" s="175" cm="1" t="str">
        <f t="array" ref="F155:F155">F154</f>
        <v>1</v>
      </c>
      <c r="G155" s="986"/>
      <c r="H155" s="986"/>
      <c r="I155" s="986"/>
      <c r="J155" s="986"/>
      <c r="K155" s="986"/>
      <c r="L155" s="986"/>
      <c r="M155" s="986"/>
      <c r="N155" s="986"/>
      <c r="O155" s="986"/>
      <c r="P155" s="986"/>
      <c r="Q155" s="986"/>
      <c r="R155" s="986"/>
      <c r="S155" s="986"/>
      <c r="T155" s="753" cm="1" t="str">
        <f t="array" ref="T155:T155">T154</f>
        <v>true</v>
      </c>
      <c r="U155" s="986"/>
      <c r="V155" s="986"/>
      <c r="W155" s="986"/>
      <c r="X155" s="986"/>
      <c r="Y155" s="986"/>
      <c r="Z155" s="986"/>
      <c r="AA155" s="986"/>
      <c r="AB155" s="556">
        <v>3</v>
      </c>
      <c r="AC155" s="555" t="s">
        <v>1239</v>
      </c>
      <c r="AD155" s="551" t="s">
        <v>917</v>
      </c>
      <c r="AE155" s="2286">
        <f>SUM(AE156:AE159)+SUM(AE165:AE168)</f>
        <v>0</v>
      </c>
      <c r="AF155" s="2286">
        <f>SUM(AF156:AF159)+SUM(AF165:AF168)</f>
        <v>0</v>
      </c>
      <c r="AG155" s="2286">
        <f>SUM(AG156:AG159)+SUM(AG165:AG168)</f>
        <v>0</v>
      </c>
      <c r="AH155" s="2286">
        <f>SUM(AH156:AH159)+SUM(AH165:AH168)</f>
        <v>0</v>
      </c>
      <c r="AI155" s="588">
        <f>SUM(AI156:AI159)+SUM(AI165:AI168)</f>
        <v>0</v>
      </c>
      <c r="AJ155" s="2286">
        <f>SUM(AJ156:AJ159)+SUM(AJ165:AJ168)</f>
        <v>0</v>
      </c>
      <c r="AK155" s="2286">
        <f>SUM(AK156:AK159)+SUM(AK165:AK168)</f>
        <v>0</v>
      </c>
      <c r="AL155" s="2286">
        <f>SUM(AL156:AL159)+SUM(AL165:AL168)</f>
        <v>0</v>
      </c>
      <c r="AM155" s="2286">
        <f>SUM(AM156:AM159)+SUM(AM165:AM168)</f>
        <v>0</v>
      </c>
      <c r="AN155" s="2286">
        <f>SUM(AN156:AN159)+SUM(AN165:AN168)</f>
        <v>0</v>
      </c>
      <c r="AO155" s="2286">
        <f>SUM(AO156:AO159)+SUM(AO165:AO168)</f>
        <v>0</v>
      </c>
      <c r="AP155" s="2286">
        <f>SUM(AP156:AP159)+SUM(AP165:AP168)</f>
        <v>0</v>
      </c>
      <c r="AQ155" s="2286">
        <f>SUM(AQ156:AQ159)+SUM(AQ165:AQ168)</f>
        <v>0</v>
      </c>
      <c r="AR155" s="2286">
        <f>SUM(AR156:AR159)+SUM(AR165:AR168)</f>
        <v>0</v>
      </c>
      <c r="AS155" s="2286">
        <f>SUM(AS156:AS159)+SUM(AS165:AS168)</f>
        <v>0</v>
      </c>
      <c r="AT155" s="2286">
        <f>SUM(AT156:AT159)+SUM(AT165:AT168)</f>
        <v>0</v>
      </c>
      <c r="AU155" s="2286">
        <f>SUM(AU156:AU159)+SUM(AU165:AU168)</f>
        <v>0</v>
      </c>
      <c r="AV155" s="2286">
        <f>SUM(AV156:AV159)+SUM(AV165:AV168)</f>
        <v>0</v>
      </c>
      <c r="AW155" s="2286">
        <f>SUM(AW156:AW159)+SUM(AW165:AW168)</f>
        <v>0</v>
      </c>
      <c r="AX155" s="2286">
        <f>SUM(AX156:AX159)+SUM(AX165:AX168)</f>
        <v>0</v>
      </c>
      <c r="AY155" s="2286">
        <f>SUM(AY156:AY159)+SUM(AY165:AY168)</f>
        <v>0</v>
      </c>
      <c r="AZ155" s="2286">
        <f>SUM(AZ156:AZ159)+SUM(AZ165:AZ168)</f>
        <v>0</v>
      </c>
      <c r="BA155" s="2286">
        <f>SUM(BA156:BA159)+SUM(BA165:BA168)</f>
        <v>0</v>
      </c>
      <c r="BB155" s="2286">
        <f>SUM(BB156:BB159)+SUM(BB165:BB168)</f>
        <v>0</v>
      </c>
      <c r="BC155" s="588">
        <f>SUM(BC156:BC159)+SUM(BC165:BC168)</f>
        <v>0</v>
      </c>
      <c r="BD155" s="2286">
        <f>SUM(BD156:BD159)+SUM(BD165:BD168)</f>
        <v>0</v>
      </c>
      <c r="BE155" s="2286">
        <f>SUM(BE156:BE159)+SUM(BE165:BE168)</f>
        <v>0</v>
      </c>
      <c r="BF155" s="2286">
        <f>SUM(BF156:BF159)+SUM(BF165:BF168)</f>
        <v>0</v>
      </c>
      <c r="BG155" s="2286">
        <f>SUM(BG156:BG159)+SUM(BG165:BG168)</f>
        <v>0</v>
      </c>
      <c r="BH155" s="2286">
        <f>SUM(BH156:BH159)+SUM(BH165:BH168)</f>
        <v>0</v>
      </c>
      <c r="BI155" s="2286">
        <f>SUM(BI156:BI159)+SUM(BI165:BI168)</f>
        <v>0</v>
      </c>
      <c r="BJ155" s="2286">
        <f>SUM(BJ156:BJ159)+SUM(BJ165:BJ168)</f>
        <v>0</v>
      </c>
      <c r="BK155" s="2286">
        <f>SUM(BK156:BK159)+SUM(BK165:BK168)</f>
        <v>0</v>
      </c>
      <c r="BL155" s="2286">
        <f>SUM(BL156:BL159)+SUM(BL165:BL168)</f>
        <v>0</v>
      </c>
      <c r="BM155" s="2286">
        <f>SUM(BM156:BM159)+SUM(BM165:BM168)</f>
        <v>0</v>
      </c>
      <c r="BN155" s="2286">
        <f>SUM(BN156:BN159)+SUM(BN165:BN168)</f>
        <v>0</v>
      </c>
      <c r="BO155" s="2286">
        <f>SUM(BO156:BO159)+SUM(BO165:BO168)</f>
        <v>0</v>
      </c>
      <c r="BP155" s="2286">
        <f>SUM(BP156:BP159)+SUM(BP165:BP168)</f>
        <v>0</v>
      </c>
      <c r="BQ155" s="2286">
        <f>SUM(BQ156:BQ159)+SUM(BQ165:BQ168)</f>
        <v>0</v>
      </c>
      <c r="BR155" s="2286">
        <f>SUM(BR156:BR159)+SUM(BR165:BR168)</f>
        <v>0</v>
      </c>
      <c r="BS155" s="2286">
        <f>SUM(BS156:BS159)+SUM(BS165:BS168)</f>
        <v>0</v>
      </c>
      <c r="BT155" s="2286">
        <f>SUM(BT156:BT159)+SUM(BT165:BT168)</f>
        <v>0</v>
      </c>
      <c r="BU155" s="2286">
        <f>SUM(BU156:BU159)+SUM(BU165:BU168)</f>
        <v>0</v>
      </c>
      <c r="BV155" s="2286">
        <f>SUM(BV156:BV159)+SUM(BV165:BV168)</f>
        <v>0</v>
      </c>
      <c r="BW155" s="1897"/>
      <c r="BX155" s="986"/>
      <c r="BY155" s="986"/>
      <c r="BZ155" s="489" t="s">
        <v>1240</v>
      </c>
      <c r="CA155" s="986"/>
      <c r="CB155" s="986"/>
      <c r="CC155" s="0" cm="1" t="str">
        <f t="array" ref="CC155:CC155">CC154</f>
        <v>ТЭ.42.31656254.0001</v>
      </c>
      <c r="CD155" s="986"/>
      <c r="CE155" s="986"/>
      <c r="CF155" s="986"/>
      <c r="CG155" s="986"/>
      <c r="CH155" s="0" t="s">
        <v>449</v>
      </c>
      <c r="CI155" s="0" t="s">
        <v>303</v>
      </c>
      <c r="CJ155" s="0" t="s">
        <v>1241</v>
      </c>
      <c r="CK155" s="0" t="s">
        <v>1242</v>
      </c>
      <c r="CL155" s="986"/>
      <c r="CM155" s="986"/>
      <c r="CN155" s="986"/>
    </row>
    <row s="1751" customFormat="1" customHeight="1" ht="14.25">
      <c r="A156" s="371"/>
      <c r="B156" s="1548"/>
      <c r="C156" s="1548"/>
      <c r="D156" s="1548"/>
      <c r="E156" s="180">
        <v>15</v>
      </c>
      <c r="F156" s="175" cm="1" t="str">
        <f t="array" ref="F156:F156">F155</f>
        <v>1</v>
      </c>
      <c r="G156" s="1659"/>
      <c r="H156" s="1659"/>
      <c r="I156" s="1659"/>
      <c r="J156" s="1659"/>
      <c r="K156" s="1659"/>
      <c r="L156" s="1659"/>
      <c r="M156" s="1659"/>
      <c r="N156" s="1659"/>
      <c r="O156" s="1659"/>
      <c r="P156" s="1659"/>
      <c r="Q156" s="1659"/>
      <c r="R156" s="1659"/>
      <c r="S156" s="1659"/>
      <c r="T156" s="753" cm="1" t="str">
        <f t="array" ref="T156:T156">T155</f>
        <v>true</v>
      </c>
      <c r="U156" s="1548"/>
      <c r="V156" s="1548"/>
      <c r="W156" s="1548"/>
      <c r="X156" s="1548"/>
      <c r="Y156" s="1548"/>
      <c r="Z156" s="1548"/>
      <c r="AA156" s="183"/>
      <c r="AB156" s="633" t="str">
        <f>AB155&amp;".1"</f>
        <v>3.1</v>
      </c>
      <c r="AC156" s="634" t="s">
        <v>1177</v>
      </c>
      <c r="AD156" s="633" t="s">
        <v>1178</v>
      </c>
      <c r="AE156" s="1864"/>
      <c r="AF156" s="1864"/>
      <c r="AG156" s="1864"/>
      <c r="AH156" s="1864"/>
      <c r="AI156" s="353"/>
      <c r="AJ156" s="1864"/>
      <c r="AK156" s="1864"/>
      <c r="AL156" s="1864"/>
      <c r="AM156" s="1864"/>
      <c r="AN156" s="1864"/>
      <c r="AO156" s="1864"/>
      <c r="AP156" s="1864"/>
      <c r="AQ156" s="1864"/>
      <c r="AR156" s="1864"/>
      <c r="AS156" s="1864"/>
      <c r="AT156" s="1864"/>
      <c r="AU156" s="1864"/>
      <c r="AV156" s="1864"/>
      <c r="AW156" s="1864"/>
      <c r="AX156" s="1864"/>
      <c r="AY156" s="1864"/>
      <c r="AZ156" s="1864"/>
      <c r="BA156" s="1864"/>
      <c r="BB156" s="1864"/>
      <c r="BC156" s="353"/>
      <c r="BD156" s="1864"/>
      <c r="BE156" s="1864"/>
      <c r="BF156" s="1864"/>
      <c r="BG156" s="1864"/>
      <c r="BH156" s="1864"/>
      <c r="BI156" s="1864"/>
      <c r="BJ156" s="1864"/>
      <c r="BK156" s="1864"/>
      <c r="BL156" s="1864"/>
      <c r="BM156" s="1864"/>
      <c r="BN156" s="1864"/>
      <c r="BO156" s="1864"/>
      <c r="BP156" s="1864"/>
      <c r="BQ156" s="1864"/>
      <c r="BR156" s="1864"/>
      <c r="BS156" s="1864"/>
      <c r="BT156" s="1864"/>
      <c r="BU156" s="1864"/>
      <c r="BV156" s="1864"/>
      <c r="BW156" s="1897"/>
      <c r="BX156" s="183"/>
      <c r="BY156" s="969"/>
      <c r="BZ156" s="489" t="s">
        <v>1243</v>
      </c>
      <c r="CA156" s="1506"/>
      <c r="CB156" s="1506"/>
      <c r="CC156" s="0" cm="1" t="str">
        <f t="array" ref="CC156:CC156">CC155</f>
        <v>ТЭ.42.31656254.0001</v>
      </c>
      <c r="CD156" s="0" t="s">
        <v>1180</v>
      </c>
      <c r="CE156" s="1751"/>
      <c r="CF156" s="1751"/>
      <c r="CG156" s="1751"/>
      <c r="CH156" s="0" t="s">
        <v>449</v>
      </c>
      <c r="CI156" s="0" t="s">
        <v>303</v>
      </c>
      <c r="CJ156" s="0" t="s">
        <v>1241</v>
      </c>
      <c r="CK156" s="0" t="s">
        <v>1242</v>
      </c>
      <c r="CL156" s="1751"/>
      <c r="CM156" s="1751"/>
      <c r="CN156" s="1751"/>
    </row>
    <row s="1751" customFormat="1" customHeight="1" ht="14.25">
      <c r="A157" s="371"/>
      <c r="B157" s="1548"/>
      <c r="C157" s="1548"/>
      <c r="D157" s="1548"/>
      <c r="E157" s="180">
        <v>15</v>
      </c>
      <c r="F157" s="175" cm="1" t="str">
        <f t="array" ref="F157:F157">F156</f>
        <v>1</v>
      </c>
      <c r="G157" s="1659"/>
      <c r="H157" s="1659"/>
      <c r="I157" s="1659"/>
      <c r="J157" s="1659"/>
      <c r="K157" s="1659"/>
      <c r="L157" s="1659"/>
      <c r="M157" s="1659"/>
      <c r="N157" s="1659"/>
      <c r="O157" s="1659"/>
      <c r="P157" s="1659"/>
      <c r="Q157" s="1659"/>
      <c r="R157" s="1659"/>
      <c r="S157" s="1659"/>
      <c r="T157" s="753" cm="1" t="str">
        <f t="array" ref="T157:T157">T156</f>
        <v>true</v>
      </c>
      <c r="U157" s="1548"/>
      <c r="V157" s="1548"/>
      <c r="W157" s="1548"/>
      <c r="X157" s="1548"/>
      <c r="Y157" s="1548"/>
      <c r="Z157" s="1548"/>
      <c r="AA157" s="183"/>
      <c r="AB157" s="633" t="str">
        <f>AB155&amp;".2"</f>
        <v>3.2</v>
      </c>
      <c r="AC157" s="634" t="s">
        <v>1181</v>
      </c>
      <c r="AD157" s="633" t="s">
        <v>1178</v>
      </c>
      <c r="AE157" s="1864"/>
      <c r="AF157" s="1864"/>
      <c r="AG157" s="1864"/>
      <c r="AH157" s="1864"/>
      <c r="AI157" s="353"/>
      <c r="AJ157" s="1864"/>
      <c r="AK157" s="1864"/>
      <c r="AL157" s="1864"/>
      <c r="AM157" s="1864"/>
      <c r="AN157" s="1864"/>
      <c r="AO157" s="1864"/>
      <c r="AP157" s="1864"/>
      <c r="AQ157" s="1864"/>
      <c r="AR157" s="1864"/>
      <c r="AS157" s="1864"/>
      <c r="AT157" s="1864"/>
      <c r="AU157" s="1864"/>
      <c r="AV157" s="1864"/>
      <c r="AW157" s="1864"/>
      <c r="AX157" s="1864"/>
      <c r="AY157" s="1864"/>
      <c r="AZ157" s="1864"/>
      <c r="BA157" s="1864"/>
      <c r="BB157" s="1864"/>
      <c r="BC157" s="353"/>
      <c r="BD157" s="1864"/>
      <c r="BE157" s="1864"/>
      <c r="BF157" s="1864"/>
      <c r="BG157" s="1864"/>
      <c r="BH157" s="1864"/>
      <c r="BI157" s="1864"/>
      <c r="BJ157" s="1864"/>
      <c r="BK157" s="1864"/>
      <c r="BL157" s="1864"/>
      <c r="BM157" s="1864"/>
      <c r="BN157" s="1864"/>
      <c r="BO157" s="1864"/>
      <c r="BP157" s="1864"/>
      <c r="BQ157" s="1864"/>
      <c r="BR157" s="1864"/>
      <c r="BS157" s="1864"/>
      <c r="BT157" s="1864"/>
      <c r="BU157" s="1864"/>
      <c r="BV157" s="1864"/>
      <c r="BW157" s="1897"/>
      <c r="BX157" s="183"/>
      <c r="BY157" s="969"/>
      <c r="BZ157" s="489" t="s">
        <v>1244</v>
      </c>
      <c r="CA157" s="1506"/>
      <c r="CB157" s="1506"/>
      <c r="CC157" s="0" cm="1" t="str">
        <f t="array" ref="CC157:CC157">CC156</f>
        <v>ТЭ.42.31656254.0001</v>
      </c>
      <c r="CD157" s="0" t="s">
        <v>1183</v>
      </c>
      <c r="CE157" s="1751"/>
      <c r="CF157" s="1751"/>
      <c r="CG157" s="1751"/>
      <c r="CH157" s="0" t="s">
        <v>449</v>
      </c>
      <c r="CI157" s="0" t="s">
        <v>303</v>
      </c>
      <c r="CJ157" s="0" t="s">
        <v>1241</v>
      </c>
      <c r="CK157" s="0" t="s">
        <v>1242</v>
      </c>
      <c r="CL157" s="1751"/>
      <c r="CM157" s="1751"/>
      <c r="CN157" s="1751"/>
    </row>
    <row s="1751" customFormat="1" customHeight="1" ht="14.25">
      <c r="A158" s="371"/>
      <c r="B158" s="1548"/>
      <c r="C158" s="1548"/>
      <c r="D158" s="1548"/>
      <c r="E158" s="180">
        <v>15</v>
      </c>
      <c r="F158" s="175" cm="1" t="str">
        <f t="array" ref="F158:F158">F157</f>
        <v>1</v>
      </c>
      <c r="G158" s="1659"/>
      <c r="H158" s="1659"/>
      <c r="I158" s="1659"/>
      <c r="J158" s="1659"/>
      <c r="K158" s="1659"/>
      <c r="L158" s="1659"/>
      <c r="M158" s="1659"/>
      <c r="N158" s="1659"/>
      <c r="O158" s="1659"/>
      <c r="P158" s="1659"/>
      <c r="Q158" s="1659"/>
      <c r="R158" s="1659"/>
      <c r="S158" s="1659"/>
      <c r="T158" s="753" cm="1" t="str">
        <f t="array" ref="T158:T158">T157</f>
        <v>true</v>
      </c>
      <c r="U158" s="1548"/>
      <c r="V158" s="1548"/>
      <c r="W158" s="1548"/>
      <c r="X158" s="1548"/>
      <c r="Y158" s="1548"/>
      <c r="Z158" s="1548"/>
      <c r="AA158" s="183"/>
      <c r="AB158" s="633" t="str">
        <f>AB155&amp;".3"</f>
        <v>3.3</v>
      </c>
      <c r="AC158" s="634" t="s">
        <v>1184</v>
      </c>
      <c r="AD158" s="633" t="s">
        <v>1178</v>
      </c>
      <c r="AE158" s="1864"/>
      <c r="AF158" s="1864"/>
      <c r="AG158" s="1864"/>
      <c r="AH158" s="1864"/>
      <c r="AI158" s="353"/>
      <c r="AJ158" s="1864"/>
      <c r="AK158" s="1864"/>
      <c r="AL158" s="1864"/>
      <c r="AM158" s="1864"/>
      <c r="AN158" s="1864"/>
      <c r="AO158" s="1864"/>
      <c r="AP158" s="1864"/>
      <c r="AQ158" s="1864"/>
      <c r="AR158" s="1864"/>
      <c r="AS158" s="1864"/>
      <c r="AT158" s="1864"/>
      <c r="AU158" s="1864"/>
      <c r="AV158" s="1864"/>
      <c r="AW158" s="1864"/>
      <c r="AX158" s="1864"/>
      <c r="AY158" s="1864"/>
      <c r="AZ158" s="1864"/>
      <c r="BA158" s="1864"/>
      <c r="BB158" s="1864"/>
      <c r="BC158" s="353"/>
      <c r="BD158" s="1864"/>
      <c r="BE158" s="1864"/>
      <c r="BF158" s="1864"/>
      <c r="BG158" s="1864"/>
      <c r="BH158" s="1864"/>
      <c r="BI158" s="1864"/>
      <c r="BJ158" s="1864"/>
      <c r="BK158" s="1864"/>
      <c r="BL158" s="1864"/>
      <c r="BM158" s="1864"/>
      <c r="BN158" s="1864"/>
      <c r="BO158" s="1864"/>
      <c r="BP158" s="1864"/>
      <c r="BQ158" s="1864"/>
      <c r="BR158" s="1864"/>
      <c r="BS158" s="1864"/>
      <c r="BT158" s="1864"/>
      <c r="BU158" s="1864"/>
      <c r="BV158" s="1864"/>
      <c r="BW158" s="1897"/>
      <c r="BX158" s="183"/>
      <c r="BY158" s="969"/>
      <c r="BZ158" s="489" t="s">
        <v>1245</v>
      </c>
      <c r="CA158" s="1506"/>
      <c r="CB158" s="1506"/>
      <c r="CC158" s="0" cm="1" t="str">
        <f t="array" ref="CC158:CC158">CC157</f>
        <v>ТЭ.42.31656254.0001</v>
      </c>
      <c r="CD158" s="0" t="s">
        <v>1186</v>
      </c>
      <c r="CE158" s="1751"/>
      <c r="CF158" s="1751"/>
      <c r="CG158" s="1751"/>
      <c r="CH158" s="0" t="s">
        <v>449</v>
      </c>
      <c r="CI158" s="0" t="s">
        <v>303</v>
      </c>
      <c r="CJ158" s="0" t="s">
        <v>1241</v>
      </c>
      <c r="CK158" s="0" t="s">
        <v>1242</v>
      </c>
      <c r="CL158" s="1751"/>
      <c r="CM158" s="1751"/>
      <c r="CN158" s="1751"/>
    </row>
    <row s="1751" customFormat="1" customHeight="1" ht="14.25">
      <c r="A159" s="371"/>
      <c r="B159" s="1548"/>
      <c r="C159" s="1548"/>
      <c r="D159" s="1548"/>
      <c r="E159" s="180">
        <v>15</v>
      </c>
      <c r="F159" s="175" cm="1" t="str">
        <f t="array" ref="F159:F159">F158</f>
        <v>1</v>
      </c>
      <c r="G159" s="1659"/>
      <c r="H159" s="1659"/>
      <c r="I159" s="1659"/>
      <c r="J159" s="1659"/>
      <c r="K159" s="1659"/>
      <c r="L159" s="1659"/>
      <c r="M159" s="1659"/>
      <c r="N159" s="1659"/>
      <c r="O159" s="1659"/>
      <c r="P159" s="1659"/>
      <c r="Q159" s="1659"/>
      <c r="R159" s="1659"/>
      <c r="S159" s="1659"/>
      <c r="T159" s="753" cm="1" t="str">
        <f t="array" ref="T159:T159">T158</f>
        <v>true</v>
      </c>
      <c r="U159" s="1548"/>
      <c r="V159" s="1548"/>
      <c r="W159" s="1548"/>
      <c r="X159" s="1548"/>
      <c r="Y159" s="1548"/>
      <c r="Z159" s="1548"/>
      <c r="AA159" s="183"/>
      <c r="AB159" s="633" t="str">
        <f>AB155&amp;".4"</f>
        <v>3.4</v>
      </c>
      <c r="AC159" s="634" t="s">
        <v>1187</v>
      </c>
      <c r="AD159" s="633" t="s">
        <v>1178</v>
      </c>
      <c r="AE159" s="2310">
        <f>SUM(AE160:AE164)</f>
        <v>0</v>
      </c>
      <c r="AF159" s="2310">
        <f>SUM(AF160:AF164)</f>
        <v>0</v>
      </c>
      <c r="AG159" s="2310">
        <f>SUM(AG160:AG164)</f>
        <v>0</v>
      </c>
      <c r="AH159" s="2310">
        <f>SUM(AH160:AH164)</f>
        <v>0</v>
      </c>
      <c r="AI159" s="484">
        <f>SUM(AI160:AI164)</f>
        <v>0</v>
      </c>
      <c r="AJ159" s="2310">
        <f>SUM(AJ160:AJ164)</f>
        <v>0</v>
      </c>
      <c r="AK159" s="2310">
        <f>SUM(AK160:AK164)</f>
        <v>0</v>
      </c>
      <c r="AL159" s="2310">
        <f>SUM(AL160:AL164)</f>
        <v>0</v>
      </c>
      <c r="AM159" s="2310">
        <f>SUM(AM160:AM164)</f>
        <v>0</v>
      </c>
      <c r="AN159" s="2310">
        <f>SUM(AN160:AN164)</f>
        <v>0</v>
      </c>
      <c r="AO159" s="2310">
        <f>SUM(AO160:AO164)</f>
        <v>0</v>
      </c>
      <c r="AP159" s="2310">
        <f>SUM(AP160:AP164)</f>
        <v>0</v>
      </c>
      <c r="AQ159" s="2310">
        <f>SUM(AQ160:AQ164)</f>
        <v>0</v>
      </c>
      <c r="AR159" s="2310">
        <f>SUM(AR160:AR164)</f>
        <v>0</v>
      </c>
      <c r="AS159" s="2310">
        <f>SUM(AS160:AS164)</f>
        <v>0</v>
      </c>
      <c r="AT159" s="2310">
        <f>SUM(AT160:AT164)</f>
        <v>0</v>
      </c>
      <c r="AU159" s="2310">
        <f>SUM(AU160:AU164)</f>
        <v>0</v>
      </c>
      <c r="AV159" s="2310">
        <f>SUM(AV160:AV164)</f>
        <v>0</v>
      </c>
      <c r="AW159" s="2310">
        <f>SUM(AW160:AW164)</f>
        <v>0</v>
      </c>
      <c r="AX159" s="2310">
        <f>SUM(AX160:AX164)</f>
        <v>0</v>
      </c>
      <c r="AY159" s="2310">
        <f>SUM(AY160:AY164)</f>
        <v>0</v>
      </c>
      <c r="AZ159" s="2310">
        <f>SUM(AZ160:AZ164)</f>
        <v>0</v>
      </c>
      <c r="BA159" s="2310">
        <f>SUM(BA160:BA164)</f>
        <v>0</v>
      </c>
      <c r="BB159" s="2310">
        <f>SUM(BB160:BB164)</f>
        <v>0</v>
      </c>
      <c r="BC159" s="484">
        <f>SUM(BC160:BC164)</f>
        <v>0</v>
      </c>
      <c r="BD159" s="2310">
        <f>SUM(BD160:BD164)</f>
        <v>0</v>
      </c>
      <c r="BE159" s="2310">
        <f>SUM(BE160:BE164)</f>
        <v>0</v>
      </c>
      <c r="BF159" s="2310">
        <f>SUM(BF160:BF164)</f>
        <v>0</v>
      </c>
      <c r="BG159" s="2310">
        <f>SUM(BG160:BG164)</f>
        <v>0</v>
      </c>
      <c r="BH159" s="2310">
        <f>SUM(BH160:BH164)</f>
        <v>0</v>
      </c>
      <c r="BI159" s="2310">
        <f>SUM(BI160:BI164)</f>
        <v>0</v>
      </c>
      <c r="BJ159" s="2310">
        <f>SUM(BJ160:BJ164)</f>
        <v>0</v>
      </c>
      <c r="BK159" s="2310">
        <f>SUM(BK160:BK164)</f>
        <v>0</v>
      </c>
      <c r="BL159" s="2310">
        <f>SUM(BL160:BL164)</f>
        <v>0</v>
      </c>
      <c r="BM159" s="2310">
        <f>SUM(BM160:BM164)</f>
        <v>0</v>
      </c>
      <c r="BN159" s="2310">
        <f>SUM(BN160:BN164)</f>
        <v>0</v>
      </c>
      <c r="BO159" s="2310">
        <f>SUM(BO160:BO164)</f>
        <v>0</v>
      </c>
      <c r="BP159" s="2310">
        <f>SUM(BP160:BP164)</f>
        <v>0</v>
      </c>
      <c r="BQ159" s="2310">
        <f>SUM(BQ160:BQ164)</f>
        <v>0</v>
      </c>
      <c r="BR159" s="2310">
        <f>SUM(BR160:BR164)</f>
        <v>0</v>
      </c>
      <c r="BS159" s="2310">
        <f>SUM(BS160:BS164)</f>
        <v>0</v>
      </c>
      <c r="BT159" s="2310">
        <f>SUM(BT160:BT164)</f>
        <v>0</v>
      </c>
      <c r="BU159" s="2310">
        <f>SUM(BU160:BU164)</f>
        <v>0</v>
      </c>
      <c r="BV159" s="2310">
        <f>SUM(BV160:BV164)</f>
        <v>0</v>
      </c>
      <c r="BW159" s="1897"/>
      <c r="BX159" s="183"/>
      <c r="BY159" s="969"/>
      <c r="BZ159" s="489" t="s">
        <v>1246</v>
      </c>
      <c r="CA159" s="1506"/>
      <c r="CB159" s="1506"/>
      <c r="CC159" s="0" cm="1" t="str">
        <f t="array" ref="CC159:CC159">CC158</f>
        <v>ТЭ.42.31656254.0001</v>
      </c>
      <c r="CD159" s="0" t="s">
        <v>1189</v>
      </c>
      <c r="CE159" s="1751"/>
      <c r="CF159" s="1751"/>
      <c r="CG159" s="1751"/>
      <c r="CH159" s="0" t="s">
        <v>449</v>
      </c>
      <c r="CI159" s="0" t="s">
        <v>303</v>
      </c>
      <c r="CJ159" s="0" t="s">
        <v>1241</v>
      </c>
      <c r="CK159" s="0" t="s">
        <v>1242</v>
      </c>
      <c r="CL159" s="1751"/>
      <c r="CM159" s="1751"/>
      <c r="CN159" s="1751"/>
    </row>
    <row s="1751" customFormat="1" customHeight="1" ht="14.25">
      <c r="A160" s="371"/>
      <c r="B160" s="1548"/>
      <c r="C160" s="1548"/>
      <c r="D160" s="1548"/>
      <c r="E160" s="180">
        <v>15</v>
      </c>
      <c r="F160" s="175" cm="1" t="str">
        <f t="array" ref="F160:F160">F159</f>
        <v>1</v>
      </c>
      <c r="G160" s="1659"/>
      <c r="H160" s="1659"/>
      <c r="I160" s="1659"/>
      <c r="J160" s="1659"/>
      <c r="K160" s="1659"/>
      <c r="L160" s="1659"/>
      <c r="M160" s="1659"/>
      <c r="N160" s="1659"/>
      <c r="O160" s="1659"/>
      <c r="P160" s="1659"/>
      <c r="Q160" s="1659"/>
      <c r="R160" s="1659"/>
      <c r="S160" s="1659"/>
      <c r="T160" s="753" cm="1" t="str">
        <f t="array" ref="T160:T160">T159</f>
        <v>true</v>
      </c>
      <c r="U160" s="1548"/>
      <c r="V160" s="1548"/>
      <c r="W160" s="1548"/>
      <c r="X160" s="1548"/>
      <c r="Y160" s="1548"/>
      <c r="Z160" s="1548"/>
      <c r="AA160" s="183"/>
      <c r="AB160" s="633" t="str">
        <f>AB159&amp;".1"</f>
        <v>3.4.1</v>
      </c>
      <c r="AC160" s="635" t="s">
        <v>1191</v>
      </c>
      <c r="AD160" s="633" t="s">
        <v>1178</v>
      </c>
      <c r="AE160" s="1864"/>
      <c r="AF160" s="1864"/>
      <c r="AG160" s="1864"/>
      <c r="AH160" s="1864"/>
      <c r="AI160" s="353"/>
      <c r="AJ160" s="1864"/>
      <c r="AK160" s="1864"/>
      <c r="AL160" s="1864"/>
      <c r="AM160" s="1864"/>
      <c r="AN160" s="1864"/>
      <c r="AO160" s="1864"/>
      <c r="AP160" s="1864"/>
      <c r="AQ160" s="1864"/>
      <c r="AR160" s="1864"/>
      <c r="AS160" s="1864"/>
      <c r="AT160" s="1864"/>
      <c r="AU160" s="1864"/>
      <c r="AV160" s="1864"/>
      <c r="AW160" s="1864"/>
      <c r="AX160" s="1864"/>
      <c r="AY160" s="1864"/>
      <c r="AZ160" s="1864"/>
      <c r="BA160" s="1864"/>
      <c r="BB160" s="1864"/>
      <c r="BC160" s="353"/>
      <c r="BD160" s="1864"/>
      <c r="BE160" s="1864"/>
      <c r="BF160" s="1864"/>
      <c r="BG160" s="1864"/>
      <c r="BH160" s="1864"/>
      <c r="BI160" s="1864"/>
      <c r="BJ160" s="1864"/>
      <c r="BK160" s="1864"/>
      <c r="BL160" s="1864"/>
      <c r="BM160" s="1864"/>
      <c r="BN160" s="1864"/>
      <c r="BO160" s="1864"/>
      <c r="BP160" s="1864"/>
      <c r="BQ160" s="1864"/>
      <c r="BR160" s="1864"/>
      <c r="BS160" s="1864"/>
      <c r="BT160" s="1864"/>
      <c r="BU160" s="1864"/>
      <c r="BV160" s="1864"/>
      <c r="BW160" s="1897"/>
      <c r="BX160" s="183"/>
      <c r="BY160" s="969"/>
      <c r="BZ160" s="489" t="s">
        <v>1247</v>
      </c>
      <c r="CA160" s="1506"/>
      <c r="CB160" s="1506"/>
      <c r="CC160" s="0" cm="1" t="str">
        <f t="array" ref="CC160:CC160">CC159</f>
        <v>ТЭ.42.31656254.0001</v>
      </c>
      <c r="CD160" s="0" t="s">
        <v>1189</v>
      </c>
      <c r="CE160" s="0" t="s">
        <v>1193</v>
      </c>
      <c r="CF160" s="1751"/>
      <c r="CG160" s="1751"/>
      <c r="CH160" s="0" t="s">
        <v>449</v>
      </c>
      <c r="CI160" s="0" t="s">
        <v>303</v>
      </c>
      <c r="CJ160" s="0" t="s">
        <v>1241</v>
      </c>
      <c r="CK160" s="0" t="s">
        <v>1242</v>
      </c>
      <c r="CL160" s="1751"/>
      <c r="CM160" s="1751"/>
      <c r="CN160" s="1751"/>
    </row>
    <row s="1751" customFormat="1" customHeight="1" ht="14.25">
      <c r="A161" s="371"/>
      <c r="B161" s="1548"/>
      <c r="C161" s="1548"/>
      <c r="D161" s="1548"/>
      <c r="E161" s="180">
        <v>15</v>
      </c>
      <c r="F161" s="175" cm="1" t="str">
        <f t="array" ref="F161:F161">F160</f>
        <v>1</v>
      </c>
      <c r="G161" s="1659"/>
      <c r="H161" s="1659"/>
      <c r="I161" s="1659"/>
      <c r="J161" s="1659"/>
      <c r="K161" s="1659"/>
      <c r="L161" s="1659"/>
      <c r="M161" s="1659"/>
      <c r="N161" s="1659"/>
      <c r="O161" s="1659"/>
      <c r="P161" s="1659"/>
      <c r="Q161" s="1659"/>
      <c r="R161" s="1659"/>
      <c r="S161" s="1659"/>
      <c r="T161" s="753" cm="1" t="str">
        <f t="array" ref="T161:T161">T160</f>
        <v>true</v>
      </c>
      <c r="U161" s="1548"/>
      <c r="V161" s="1548"/>
      <c r="W161" s="1548"/>
      <c r="X161" s="1548"/>
      <c r="Y161" s="1548"/>
      <c r="Z161" s="1548"/>
      <c r="AA161" s="183"/>
      <c r="AB161" s="633" t="str">
        <f>AB159&amp;".2"</f>
        <v>3.4.2</v>
      </c>
      <c r="AC161" s="635" t="s">
        <v>1195</v>
      </c>
      <c r="AD161" s="633" t="s">
        <v>1178</v>
      </c>
      <c r="AE161" s="1864"/>
      <c r="AF161" s="1864"/>
      <c r="AG161" s="1864"/>
      <c r="AH161" s="1864"/>
      <c r="AI161" s="353"/>
      <c r="AJ161" s="1864"/>
      <c r="AK161" s="1864"/>
      <c r="AL161" s="1864"/>
      <c r="AM161" s="1864"/>
      <c r="AN161" s="1864"/>
      <c r="AO161" s="1864"/>
      <c r="AP161" s="1864"/>
      <c r="AQ161" s="1864"/>
      <c r="AR161" s="1864"/>
      <c r="AS161" s="1864"/>
      <c r="AT161" s="1864"/>
      <c r="AU161" s="1864"/>
      <c r="AV161" s="1864"/>
      <c r="AW161" s="1864"/>
      <c r="AX161" s="1864"/>
      <c r="AY161" s="1864"/>
      <c r="AZ161" s="1864"/>
      <c r="BA161" s="1864"/>
      <c r="BB161" s="1864"/>
      <c r="BC161" s="353"/>
      <c r="BD161" s="1864"/>
      <c r="BE161" s="1864"/>
      <c r="BF161" s="1864"/>
      <c r="BG161" s="1864"/>
      <c r="BH161" s="1864"/>
      <c r="BI161" s="1864"/>
      <c r="BJ161" s="1864"/>
      <c r="BK161" s="1864"/>
      <c r="BL161" s="1864"/>
      <c r="BM161" s="1864"/>
      <c r="BN161" s="1864"/>
      <c r="BO161" s="1864"/>
      <c r="BP161" s="1864"/>
      <c r="BQ161" s="1864"/>
      <c r="BR161" s="1864"/>
      <c r="BS161" s="1864"/>
      <c r="BT161" s="1864"/>
      <c r="BU161" s="1864"/>
      <c r="BV161" s="1864"/>
      <c r="BW161" s="1897"/>
      <c r="BX161" s="183"/>
      <c r="BY161" s="969"/>
      <c r="BZ161" s="489" t="s">
        <v>1248</v>
      </c>
      <c r="CA161" s="1506"/>
      <c r="CB161" s="1506"/>
      <c r="CC161" s="0" cm="1" t="str">
        <f t="array" ref="CC161:CC161">CC160</f>
        <v>ТЭ.42.31656254.0001</v>
      </c>
      <c r="CD161" s="0" t="s">
        <v>1189</v>
      </c>
      <c r="CE161" s="0" t="s">
        <v>1197</v>
      </c>
      <c r="CF161" s="1751"/>
      <c r="CG161" s="1751"/>
      <c r="CH161" s="0" t="s">
        <v>449</v>
      </c>
      <c r="CI161" s="0" t="s">
        <v>303</v>
      </c>
      <c r="CJ161" s="0" t="s">
        <v>1241</v>
      </c>
      <c r="CK161" s="0" t="s">
        <v>1242</v>
      </c>
      <c r="CL161" s="1751"/>
      <c r="CM161" s="1751"/>
      <c r="CN161" s="1751"/>
    </row>
    <row s="1751" customFormat="1" customHeight="1" ht="14.25">
      <c r="A162" s="371"/>
      <c r="B162" s="1548"/>
      <c r="C162" s="1548"/>
      <c r="D162" s="1548"/>
      <c r="E162" s="180">
        <v>15</v>
      </c>
      <c r="F162" s="175" cm="1" t="str">
        <f t="array" ref="F162:F162">F161</f>
        <v>1</v>
      </c>
      <c r="G162" s="1659"/>
      <c r="H162" s="1659"/>
      <c r="I162" s="1659"/>
      <c r="J162" s="1659"/>
      <c r="K162" s="1659"/>
      <c r="L162" s="1659"/>
      <c r="M162" s="1659"/>
      <c r="N162" s="1659"/>
      <c r="O162" s="1659"/>
      <c r="P162" s="1659"/>
      <c r="Q162" s="1659"/>
      <c r="R162" s="1659"/>
      <c r="S162" s="1659"/>
      <c r="T162" s="753" cm="1" t="str">
        <f t="array" ref="T162:T162">T161</f>
        <v>true</v>
      </c>
      <c r="U162" s="1548"/>
      <c r="V162" s="1548"/>
      <c r="W162" s="1548"/>
      <c r="X162" s="1548"/>
      <c r="Y162" s="1548"/>
      <c r="Z162" s="1548"/>
      <c r="AA162" s="183"/>
      <c r="AB162" s="633" t="str">
        <f>AB159&amp;".3"</f>
        <v>3.4.3</v>
      </c>
      <c r="AC162" s="635" t="s">
        <v>1199</v>
      </c>
      <c r="AD162" s="633" t="s">
        <v>1178</v>
      </c>
      <c r="AE162" s="1864"/>
      <c r="AF162" s="1864"/>
      <c r="AG162" s="1864"/>
      <c r="AH162" s="1864"/>
      <c r="AI162" s="353"/>
      <c r="AJ162" s="1864"/>
      <c r="AK162" s="1864"/>
      <c r="AL162" s="1864"/>
      <c r="AM162" s="1864"/>
      <c r="AN162" s="1864"/>
      <c r="AO162" s="1864"/>
      <c r="AP162" s="1864"/>
      <c r="AQ162" s="1864"/>
      <c r="AR162" s="1864"/>
      <c r="AS162" s="1864"/>
      <c r="AT162" s="1864"/>
      <c r="AU162" s="1864"/>
      <c r="AV162" s="1864"/>
      <c r="AW162" s="1864"/>
      <c r="AX162" s="1864"/>
      <c r="AY162" s="1864"/>
      <c r="AZ162" s="1864"/>
      <c r="BA162" s="1864"/>
      <c r="BB162" s="1864"/>
      <c r="BC162" s="353"/>
      <c r="BD162" s="1864"/>
      <c r="BE162" s="1864"/>
      <c r="BF162" s="1864"/>
      <c r="BG162" s="1864"/>
      <c r="BH162" s="1864"/>
      <c r="BI162" s="1864"/>
      <c r="BJ162" s="1864"/>
      <c r="BK162" s="1864"/>
      <c r="BL162" s="1864"/>
      <c r="BM162" s="1864"/>
      <c r="BN162" s="1864"/>
      <c r="BO162" s="1864"/>
      <c r="BP162" s="1864"/>
      <c r="BQ162" s="1864"/>
      <c r="BR162" s="1864"/>
      <c r="BS162" s="1864"/>
      <c r="BT162" s="1864"/>
      <c r="BU162" s="1864"/>
      <c r="BV162" s="1864"/>
      <c r="BW162" s="1897"/>
      <c r="BX162" s="183"/>
      <c r="BY162" s="969"/>
      <c r="BZ162" s="489" t="s">
        <v>1249</v>
      </c>
      <c r="CA162" s="1506"/>
      <c r="CB162" s="1506"/>
      <c r="CC162" s="0" cm="1" t="str">
        <f t="array" ref="CC162:CC162">CC161</f>
        <v>ТЭ.42.31656254.0001</v>
      </c>
      <c r="CD162" s="0" t="s">
        <v>1189</v>
      </c>
      <c r="CE162" s="0" t="s">
        <v>1201</v>
      </c>
      <c r="CF162" s="1751"/>
      <c r="CG162" s="1751"/>
      <c r="CH162" s="0" t="s">
        <v>449</v>
      </c>
      <c r="CI162" s="0" t="s">
        <v>303</v>
      </c>
      <c r="CJ162" s="0" t="s">
        <v>1241</v>
      </c>
      <c r="CK162" s="0" t="s">
        <v>1242</v>
      </c>
      <c r="CL162" s="1751"/>
      <c r="CM162" s="1751"/>
      <c r="CN162" s="1751"/>
    </row>
    <row s="1751" customFormat="1" customHeight="1" ht="14.25">
      <c r="A163" s="371"/>
      <c r="B163" s="1548"/>
      <c r="C163" s="1548"/>
      <c r="D163" s="1548"/>
      <c r="E163" s="180">
        <v>15</v>
      </c>
      <c r="F163" s="175" cm="1" t="str">
        <f t="array" ref="F163:F163">F162</f>
        <v>1</v>
      </c>
      <c r="G163" s="1659"/>
      <c r="H163" s="1659"/>
      <c r="I163" s="1659"/>
      <c r="J163" s="1659"/>
      <c r="K163" s="1659"/>
      <c r="L163" s="1659"/>
      <c r="M163" s="1659"/>
      <c r="N163" s="1659"/>
      <c r="O163" s="1659"/>
      <c r="P163" s="1659"/>
      <c r="Q163" s="1659"/>
      <c r="R163" s="1659"/>
      <c r="S163" s="1659"/>
      <c r="T163" s="753" cm="1" t="str">
        <f t="array" ref="T163:T163">T162</f>
        <v>true</v>
      </c>
      <c r="U163" s="1548"/>
      <c r="V163" s="1548"/>
      <c r="W163" s="1548"/>
      <c r="X163" s="1548"/>
      <c r="Y163" s="1548"/>
      <c r="Z163" s="1548"/>
      <c r="AA163" s="183"/>
      <c r="AB163" s="633" t="str">
        <f>AB159&amp;".4"</f>
        <v>3.4.4</v>
      </c>
      <c r="AC163" s="635" t="s">
        <v>1203</v>
      </c>
      <c r="AD163" s="633" t="s">
        <v>1178</v>
      </c>
      <c r="AE163" s="1864"/>
      <c r="AF163" s="1864"/>
      <c r="AG163" s="1864"/>
      <c r="AH163" s="1864"/>
      <c r="AI163" s="353"/>
      <c r="AJ163" s="1864"/>
      <c r="AK163" s="1864"/>
      <c r="AL163" s="1864"/>
      <c r="AM163" s="1864"/>
      <c r="AN163" s="1864"/>
      <c r="AO163" s="1864"/>
      <c r="AP163" s="1864"/>
      <c r="AQ163" s="1864"/>
      <c r="AR163" s="1864"/>
      <c r="AS163" s="1864"/>
      <c r="AT163" s="1864"/>
      <c r="AU163" s="1864"/>
      <c r="AV163" s="1864"/>
      <c r="AW163" s="1864"/>
      <c r="AX163" s="1864"/>
      <c r="AY163" s="1864"/>
      <c r="AZ163" s="1864"/>
      <c r="BA163" s="1864"/>
      <c r="BB163" s="1864"/>
      <c r="BC163" s="353"/>
      <c r="BD163" s="1864"/>
      <c r="BE163" s="1864"/>
      <c r="BF163" s="1864"/>
      <c r="BG163" s="1864"/>
      <c r="BH163" s="1864"/>
      <c r="BI163" s="1864"/>
      <c r="BJ163" s="1864"/>
      <c r="BK163" s="1864"/>
      <c r="BL163" s="1864"/>
      <c r="BM163" s="1864"/>
      <c r="BN163" s="1864"/>
      <c r="BO163" s="1864"/>
      <c r="BP163" s="1864"/>
      <c r="BQ163" s="1864"/>
      <c r="BR163" s="1864"/>
      <c r="BS163" s="1864"/>
      <c r="BT163" s="1864"/>
      <c r="BU163" s="1864"/>
      <c r="BV163" s="1864"/>
      <c r="BW163" s="1897"/>
      <c r="BX163" s="183"/>
      <c r="BY163" s="969"/>
      <c r="BZ163" s="489" t="s">
        <v>1250</v>
      </c>
      <c r="CA163" s="1506"/>
      <c r="CB163" s="1506"/>
      <c r="CC163" s="0" cm="1" t="str">
        <f t="array" ref="CC163:CC163">CC162</f>
        <v>ТЭ.42.31656254.0001</v>
      </c>
      <c r="CD163" s="0" t="s">
        <v>1189</v>
      </c>
      <c r="CE163" s="0" t="s">
        <v>1205</v>
      </c>
      <c r="CF163" s="1751"/>
      <c r="CG163" s="1751"/>
      <c r="CH163" s="0" t="s">
        <v>449</v>
      </c>
      <c r="CI163" s="0" t="s">
        <v>303</v>
      </c>
      <c r="CJ163" s="0" t="s">
        <v>1241</v>
      </c>
      <c r="CK163" s="0" t="s">
        <v>1242</v>
      </c>
      <c r="CL163" s="1751"/>
      <c r="CM163" s="1751"/>
      <c r="CN163" s="1751"/>
    </row>
    <row s="1751" customFormat="1" customHeight="1" ht="14.25">
      <c r="A164" s="371"/>
      <c r="B164" s="1548"/>
      <c r="C164" s="1548"/>
      <c r="D164" s="1548"/>
      <c r="E164" s="180">
        <v>15</v>
      </c>
      <c r="F164" s="175" cm="1" t="str">
        <f t="array" ref="F164:F164">F163</f>
        <v>1</v>
      </c>
      <c r="G164" s="1659"/>
      <c r="H164" s="1659"/>
      <c r="I164" s="1659"/>
      <c r="J164" s="1659"/>
      <c r="K164" s="1659"/>
      <c r="L164" s="1659"/>
      <c r="M164" s="1659"/>
      <c r="N164" s="1659"/>
      <c r="O164" s="1659"/>
      <c r="P164" s="1659"/>
      <c r="Q164" s="1659"/>
      <c r="R164" s="1659"/>
      <c r="S164" s="1659"/>
      <c r="T164" s="753" cm="1" t="str">
        <f t="array" ref="T164:T164">T163</f>
        <v>true</v>
      </c>
      <c r="U164" s="1548"/>
      <c r="V164" s="1548"/>
      <c r="W164" s="1548"/>
      <c r="X164" s="1548"/>
      <c r="Y164" s="1548"/>
      <c r="Z164" s="1548"/>
      <c r="AA164" s="183"/>
      <c r="AB164" s="633" t="str">
        <f>AB159&amp;".5"</f>
        <v>3.4.5</v>
      </c>
      <c r="AC164" s="635" t="s">
        <v>1207</v>
      </c>
      <c r="AD164" s="633" t="s">
        <v>1178</v>
      </c>
      <c r="AE164" s="1864"/>
      <c r="AF164" s="1864"/>
      <c r="AG164" s="1864"/>
      <c r="AH164" s="1864"/>
      <c r="AI164" s="353"/>
      <c r="AJ164" s="1864"/>
      <c r="AK164" s="1864"/>
      <c r="AL164" s="1864"/>
      <c r="AM164" s="1864"/>
      <c r="AN164" s="1864"/>
      <c r="AO164" s="1864"/>
      <c r="AP164" s="1864"/>
      <c r="AQ164" s="1864"/>
      <c r="AR164" s="1864"/>
      <c r="AS164" s="1864"/>
      <c r="AT164" s="1864"/>
      <c r="AU164" s="1864"/>
      <c r="AV164" s="1864"/>
      <c r="AW164" s="1864"/>
      <c r="AX164" s="1864"/>
      <c r="AY164" s="1864"/>
      <c r="AZ164" s="1864"/>
      <c r="BA164" s="1864"/>
      <c r="BB164" s="1864"/>
      <c r="BC164" s="353"/>
      <c r="BD164" s="1864"/>
      <c r="BE164" s="1864"/>
      <c r="BF164" s="1864"/>
      <c r="BG164" s="1864"/>
      <c r="BH164" s="1864"/>
      <c r="BI164" s="1864"/>
      <c r="BJ164" s="1864"/>
      <c r="BK164" s="1864"/>
      <c r="BL164" s="1864"/>
      <c r="BM164" s="1864"/>
      <c r="BN164" s="1864"/>
      <c r="BO164" s="1864"/>
      <c r="BP164" s="1864"/>
      <c r="BQ164" s="1864"/>
      <c r="BR164" s="1864"/>
      <c r="BS164" s="1864"/>
      <c r="BT164" s="1864"/>
      <c r="BU164" s="1864"/>
      <c r="BV164" s="1864"/>
      <c r="BW164" s="1897"/>
      <c r="BX164" s="183"/>
      <c r="BY164" s="969"/>
      <c r="BZ164" s="489" t="s">
        <v>1251</v>
      </c>
      <c r="CA164" s="1506"/>
      <c r="CB164" s="1506"/>
      <c r="CC164" s="0" cm="1" t="str">
        <f t="array" ref="CC164:CC164">CC163</f>
        <v>ТЭ.42.31656254.0001</v>
      </c>
      <c r="CD164" s="0" t="s">
        <v>1189</v>
      </c>
      <c r="CE164" s="0" t="s">
        <v>1209</v>
      </c>
      <c r="CF164" s="1751"/>
      <c r="CG164" s="1751"/>
      <c r="CH164" s="0" t="s">
        <v>449</v>
      </c>
      <c r="CI164" s="0" t="s">
        <v>303</v>
      </c>
      <c r="CJ164" s="0" t="s">
        <v>1241</v>
      </c>
      <c r="CK164" s="0" t="s">
        <v>1242</v>
      </c>
      <c r="CL164" s="1751"/>
      <c r="CM164" s="1751"/>
      <c r="CN164" s="1751"/>
    </row>
    <row s="1751" customFormat="1" customHeight="1" ht="14.25">
      <c r="A165" s="371"/>
      <c r="B165" s="1548"/>
      <c r="C165" s="1548"/>
      <c r="D165" s="1548"/>
      <c r="E165" s="180">
        <v>15</v>
      </c>
      <c r="F165" s="175" cm="1" t="str">
        <f t="array" ref="F165:F165">F164</f>
        <v>1</v>
      </c>
      <c r="G165" s="1659"/>
      <c r="H165" s="1659"/>
      <c r="I165" s="1659"/>
      <c r="J165" s="1659"/>
      <c r="K165" s="1659"/>
      <c r="L165" s="1659"/>
      <c r="M165" s="1659"/>
      <c r="N165" s="1659"/>
      <c r="O165" s="1659"/>
      <c r="P165" s="1659"/>
      <c r="Q165" s="1659"/>
      <c r="R165" s="1659"/>
      <c r="S165" s="1659"/>
      <c r="T165" s="753" cm="1" t="str">
        <f t="array" ref="T165:T165">T164</f>
        <v>true</v>
      </c>
      <c r="U165" s="1548"/>
      <c r="V165" s="1548"/>
      <c r="W165" s="1548"/>
      <c r="X165" s="1548"/>
      <c r="Y165" s="1548"/>
      <c r="Z165" s="1548"/>
      <c r="AA165" s="183"/>
      <c r="AB165" s="633" t="str">
        <f>AB155&amp;".5"</f>
        <v>3.5</v>
      </c>
      <c r="AC165" s="634" t="s">
        <v>1210</v>
      </c>
      <c r="AD165" s="633" t="s">
        <v>1178</v>
      </c>
      <c r="AE165" s="1864"/>
      <c r="AF165" s="1864"/>
      <c r="AG165" s="1864"/>
      <c r="AH165" s="1864"/>
      <c r="AI165" s="353"/>
      <c r="AJ165" s="1864"/>
      <c r="AK165" s="1864"/>
      <c r="AL165" s="1864"/>
      <c r="AM165" s="1864"/>
      <c r="AN165" s="1864"/>
      <c r="AO165" s="1864"/>
      <c r="AP165" s="1864"/>
      <c r="AQ165" s="1864"/>
      <c r="AR165" s="1864"/>
      <c r="AS165" s="1864"/>
      <c r="AT165" s="1864"/>
      <c r="AU165" s="1864"/>
      <c r="AV165" s="1864"/>
      <c r="AW165" s="1864"/>
      <c r="AX165" s="1864"/>
      <c r="AY165" s="1864"/>
      <c r="AZ165" s="1864"/>
      <c r="BA165" s="1864"/>
      <c r="BB165" s="1864"/>
      <c r="BC165" s="353"/>
      <c r="BD165" s="1864"/>
      <c r="BE165" s="1864"/>
      <c r="BF165" s="1864"/>
      <c r="BG165" s="1864"/>
      <c r="BH165" s="1864"/>
      <c r="BI165" s="1864"/>
      <c r="BJ165" s="1864"/>
      <c r="BK165" s="1864"/>
      <c r="BL165" s="1864"/>
      <c r="BM165" s="1864"/>
      <c r="BN165" s="1864"/>
      <c r="BO165" s="1864"/>
      <c r="BP165" s="1864"/>
      <c r="BQ165" s="1864"/>
      <c r="BR165" s="1864"/>
      <c r="BS165" s="1864"/>
      <c r="BT165" s="1864"/>
      <c r="BU165" s="1864"/>
      <c r="BV165" s="1864"/>
      <c r="BW165" s="1897"/>
      <c r="BX165" s="183"/>
      <c r="BY165" s="969"/>
      <c r="BZ165" s="489" t="s">
        <v>1252</v>
      </c>
      <c r="CA165" s="1506"/>
      <c r="CB165" s="1506"/>
      <c r="CC165" s="0" cm="1" t="str">
        <f t="array" ref="CC165:CC165">CC164</f>
        <v>ТЭ.42.31656254.0001</v>
      </c>
      <c r="CD165" s="0" t="s">
        <v>1212</v>
      </c>
      <c r="CE165" s="1751"/>
      <c r="CF165" s="1751"/>
      <c r="CG165" s="1751"/>
      <c r="CH165" s="0" t="s">
        <v>449</v>
      </c>
      <c r="CI165" s="0" t="s">
        <v>303</v>
      </c>
      <c r="CJ165" s="0" t="s">
        <v>1241</v>
      </c>
      <c r="CK165" s="0" t="s">
        <v>1242</v>
      </c>
      <c r="CL165" s="1751"/>
      <c r="CM165" s="1751"/>
      <c r="CN165" s="1751"/>
    </row>
    <row s="1751" customFormat="1" customHeight="1" ht="14.25">
      <c r="A166" s="371"/>
      <c r="B166" s="1548"/>
      <c r="C166" s="1548"/>
      <c r="D166" s="1548"/>
      <c r="E166" s="180">
        <v>15</v>
      </c>
      <c r="F166" s="175" cm="1" t="str">
        <f t="array" ref="F166:F166">F165</f>
        <v>1</v>
      </c>
      <c r="G166" s="1659"/>
      <c r="H166" s="1659"/>
      <c r="I166" s="1659"/>
      <c r="J166" s="1659"/>
      <c r="K166" s="1659"/>
      <c r="L166" s="1659"/>
      <c r="M166" s="1659"/>
      <c r="N166" s="1659"/>
      <c r="O166" s="1659"/>
      <c r="P166" s="1659"/>
      <c r="Q166" s="1659"/>
      <c r="R166" s="1659"/>
      <c r="S166" s="1659"/>
      <c r="T166" s="753" cm="1" t="str">
        <f t="array" ref="T166:T166">T165</f>
        <v>true</v>
      </c>
      <c r="U166" s="1548"/>
      <c r="V166" s="1548"/>
      <c r="W166" s="1548"/>
      <c r="X166" s="1548"/>
      <c r="Y166" s="1548"/>
      <c r="Z166" s="1548"/>
      <c r="AA166" s="183"/>
      <c r="AB166" s="633" t="str">
        <f>AB155&amp;".6"</f>
        <v>3.6</v>
      </c>
      <c r="AC166" s="634" t="s">
        <v>1213</v>
      </c>
      <c r="AD166" s="633" t="s">
        <v>1178</v>
      </c>
      <c r="AE166" s="1864"/>
      <c r="AF166" s="1864"/>
      <c r="AG166" s="1864"/>
      <c r="AH166" s="1864"/>
      <c r="AI166" s="353"/>
      <c r="AJ166" s="1864"/>
      <c r="AK166" s="1864"/>
      <c r="AL166" s="1864"/>
      <c r="AM166" s="1864"/>
      <c r="AN166" s="1864"/>
      <c r="AO166" s="1864"/>
      <c r="AP166" s="1864"/>
      <c r="AQ166" s="1864"/>
      <c r="AR166" s="1864"/>
      <c r="AS166" s="1864"/>
      <c r="AT166" s="1864"/>
      <c r="AU166" s="1864"/>
      <c r="AV166" s="1864"/>
      <c r="AW166" s="1864"/>
      <c r="AX166" s="1864"/>
      <c r="AY166" s="1864"/>
      <c r="AZ166" s="1864"/>
      <c r="BA166" s="1864"/>
      <c r="BB166" s="1864"/>
      <c r="BC166" s="353"/>
      <c r="BD166" s="1864"/>
      <c r="BE166" s="1864"/>
      <c r="BF166" s="1864"/>
      <c r="BG166" s="1864"/>
      <c r="BH166" s="1864"/>
      <c r="BI166" s="1864"/>
      <c r="BJ166" s="1864"/>
      <c r="BK166" s="1864"/>
      <c r="BL166" s="1864"/>
      <c r="BM166" s="1864"/>
      <c r="BN166" s="1864"/>
      <c r="BO166" s="1864"/>
      <c r="BP166" s="1864"/>
      <c r="BQ166" s="1864"/>
      <c r="BR166" s="1864"/>
      <c r="BS166" s="1864"/>
      <c r="BT166" s="1864"/>
      <c r="BU166" s="1864"/>
      <c r="BV166" s="1864"/>
      <c r="BW166" s="1897"/>
      <c r="BX166" s="183"/>
      <c r="BY166" s="969"/>
      <c r="BZ166" s="489" t="s">
        <v>1253</v>
      </c>
      <c r="CA166" s="1506"/>
      <c r="CB166" s="1506"/>
      <c r="CC166" s="0" cm="1" t="str">
        <f t="array" ref="CC166:CC166">CC165</f>
        <v>ТЭ.42.31656254.0001</v>
      </c>
      <c r="CD166" s="1751"/>
      <c r="CE166" s="1751"/>
      <c r="CF166" s="0" t="s">
        <v>1215</v>
      </c>
      <c r="CG166" s="1751"/>
      <c r="CH166" s="0" t="s">
        <v>449</v>
      </c>
      <c r="CI166" s="0" t="s">
        <v>303</v>
      </c>
      <c r="CJ166" s="0" t="s">
        <v>1241</v>
      </c>
      <c r="CK166" s="0" t="s">
        <v>1242</v>
      </c>
      <c r="CL166" s="1751"/>
      <c r="CM166" s="1751"/>
      <c r="CN166" s="1751"/>
    </row>
    <row s="1751" customFormat="1" customHeight="1" ht="14.25">
      <c r="A167" s="371"/>
      <c r="B167" s="1548"/>
      <c r="C167" s="1548"/>
      <c r="D167" s="1548"/>
      <c r="E167" s="180">
        <v>15</v>
      </c>
      <c r="F167" s="175" cm="1" t="str">
        <f t="array" ref="F167:F167">F166</f>
        <v>1</v>
      </c>
      <c r="G167" s="1659"/>
      <c r="H167" s="1659"/>
      <c r="I167" s="1659"/>
      <c r="J167" s="1659"/>
      <c r="K167" s="1659"/>
      <c r="L167" s="1659"/>
      <c r="M167" s="1659"/>
      <c r="N167" s="1659"/>
      <c r="O167" s="1659"/>
      <c r="P167" s="1659"/>
      <c r="Q167" s="1659"/>
      <c r="R167" s="1659"/>
      <c r="S167" s="1659"/>
      <c r="T167" s="753" cm="1" t="str">
        <f t="array" ref="T167:T167">T166</f>
        <v>true</v>
      </c>
      <c r="U167" s="1548"/>
      <c r="V167" s="1548"/>
      <c r="W167" s="1548"/>
      <c r="X167" s="1548"/>
      <c r="Y167" s="1548"/>
      <c r="Z167" s="1548"/>
      <c r="AA167" s="183"/>
      <c r="AB167" s="633" t="str">
        <f>AB155&amp;".7"</f>
        <v>3.7</v>
      </c>
      <c r="AC167" s="634" t="s">
        <v>1216</v>
      </c>
      <c r="AD167" s="633" t="s">
        <v>1178</v>
      </c>
      <c r="AE167" s="1864"/>
      <c r="AF167" s="1864"/>
      <c r="AG167" s="1864"/>
      <c r="AH167" s="1864"/>
      <c r="AI167" s="353"/>
      <c r="AJ167" s="1864"/>
      <c r="AK167" s="1864"/>
      <c r="AL167" s="1864"/>
      <c r="AM167" s="1864"/>
      <c r="AN167" s="1864"/>
      <c r="AO167" s="1864"/>
      <c r="AP167" s="1864"/>
      <c r="AQ167" s="1864"/>
      <c r="AR167" s="1864"/>
      <c r="AS167" s="1864"/>
      <c r="AT167" s="1864"/>
      <c r="AU167" s="1864"/>
      <c r="AV167" s="1864"/>
      <c r="AW167" s="1864"/>
      <c r="AX167" s="1864"/>
      <c r="AY167" s="1864"/>
      <c r="AZ167" s="1864"/>
      <c r="BA167" s="1864"/>
      <c r="BB167" s="1864"/>
      <c r="BC167" s="353"/>
      <c r="BD167" s="1864"/>
      <c r="BE167" s="1864"/>
      <c r="BF167" s="1864"/>
      <c r="BG167" s="1864"/>
      <c r="BH167" s="1864"/>
      <c r="BI167" s="1864"/>
      <c r="BJ167" s="1864"/>
      <c r="BK167" s="1864"/>
      <c r="BL167" s="1864"/>
      <c r="BM167" s="1864"/>
      <c r="BN167" s="1864"/>
      <c r="BO167" s="1864"/>
      <c r="BP167" s="1864"/>
      <c r="BQ167" s="1864"/>
      <c r="BR167" s="1864"/>
      <c r="BS167" s="1864"/>
      <c r="BT167" s="1864"/>
      <c r="BU167" s="1864"/>
      <c r="BV167" s="1864"/>
      <c r="BW167" s="1897"/>
      <c r="BX167" s="183"/>
      <c r="BY167" s="969"/>
      <c r="BZ167" s="489" t="s">
        <v>1254</v>
      </c>
      <c r="CA167" s="1506"/>
      <c r="CB167" s="1506"/>
      <c r="CC167" s="0" cm="1" t="str">
        <f t="array" ref="CC167:CC167">CC166</f>
        <v>ТЭ.42.31656254.0001</v>
      </c>
      <c r="CD167" s="1751"/>
      <c r="CE167" s="1751"/>
      <c r="CF167" s="0" t="s">
        <v>1218</v>
      </c>
      <c r="CG167" s="1751"/>
      <c r="CH167" s="0" t="s">
        <v>449</v>
      </c>
      <c r="CI167" s="0" t="s">
        <v>303</v>
      </c>
      <c r="CJ167" s="0" t="s">
        <v>1241</v>
      </c>
      <c r="CK167" s="0" t="s">
        <v>1242</v>
      </c>
      <c r="CL167" s="1751"/>
      <c r="CM167" s="1751"/>
      <c r="CN167" s="1751"/>
    </row>
    <row s="1751" customFormat="1" customHeight="1" ht="14.25">
      <c r="A168" s="371"/>
      <c r="B168" s="1548"/>
      <c r="C168" s="1548"/>
      <c r="D168" s="1548"/>
      <c r="E168" s="180">
        <v>15</v>
      </c>
      <c r="F168" s="175" cm="1" t="str">
        <f t="array" ref="F168:F168">F167</f>
        <v>1</v>
      </c>
      <c r="G168" s="1659"/>
      <c r="H168" s="1659"/>
      <c r="I168" s="1659"/>
      <c r="J168" s="1659"/>
      <c r="K168" s="1659"/>
      <c r="L168" s="1659"/>
      <c r="M168" s="1659"/>
      <c r="N168" s="1659"/>
      <c r="O168" s="1659"/>
      <c r="P168" s="1659"/>
      <c r="Q168" s="1659"/>
      <c r="R168" s="1659"/>
      <c r="S168" s="1659"/>
      <c r="T168" s="753" cm="1" t="str">
        <f t="array" ref="T168:T168">T167</f>
        <v>true</v>
      </c>
      <c r="U168" s="1548"/>
      <c r="V168" s="1548"/>
      <c r="W168" s="1548"/>
      <c r="X168" s="1548"/>
      <c r="Y168" s="1548"/>
      <c r="Z168" s="1548"/>
      <c r="AA168" s="183"/>
      <c r="AB168" s="633" t="str">
        <f>AB155&amp;".8"</f>
        <v>3.8</v>
      </c>
      <c r="AC168" s="634" t="s">
        <v>1219</v>
      </c>
      <c r="AD168" s="633" t="s">
        <v>1178</v>
      </c>
      <c r="AE168" s="1864"/>
      <c r="AF168" s="1864"/>
      <c r="AG168" s="1864"/>
      <c r="AH168" s="1864"/>
      <c r="AI168" s="353"/>
      <c r="AJ168" s="1864"/>
      <c r="AK168" s="1864"/>
      <c r="AL168" s="1864"/>
      <c r="AM168" s="1864"/>
      <c r="AN168" s="1864"/>
      <c r="AO168" s="1864"/>
      <c r="AP168" s="1864"/>
      <c r="AQ168" s="1864"/>
      <c r="AR168" s="1864"/>
      <c r="AS168" s="1864"/>
      <c r="AT168" s="1864"/>
      <c r="AU168" s="1864"/>
      <c r="AV168" s="1864"/>
      <c r="AW168" s="1864"/>
      <c r="AX168" s="1864"/>
      <c r="AY168" s="1864"/>
      <c r="AZ168" s="1864"/>
      <c r="BA168" s="1864"/>
      <c r="BB168" s="1864"/>
      <c r="BC168" s="353"/>
      <c r="BD168" s="1864"/>
      <c r="BE168" s="1864"/>
      <c r="BF168" s="1864"/>
      <c r="BG168" s="1864"/>
      <c r="BH168" s="1864"/>
      <c r="BI168" s="1864"/>
      <c r="BJ168" s="1864"/>
      <c r="BK168" s="1864"/>
      <c r="BL168" s="1864"/>
      <c r="BM168" s="1864"/>
      <c r="BN168" s="1864"/>
      <c r="BO168" s="1864"/>
      <c r="BP168" s="1864"/>
      <c r="BQ168" s="1864"/>
      <c r="BR168" s="1864"/>
      <c r="BS168" s="1864"/>
      <c r="BT168" s="1864"/>
      <c r="BU168" s="1864"/>
      <c r="BV168" s="1864"/>
      <c r="BW168" s="1897"/>
      <c r="BX168" s="183"/>
      <c r="BY168" s="969"/>
      <c r="BZ168" s="489" t="s">
        <v>1255</v>
      </c>
      <c r="CA168" s="1506"/>
      <c r="CB168" s="1506"/>
      <c r="CC168" s="0" cm="1" t="str">
        <f t="array" ref="CC168:CC168">CC167</f>
        <v>ТЭ.42.31656254.0001</v>
      </c>
      <c r="CD168" s="0" t="s">
        <v>1221</v>
      </c>
      <c r="CE168" s="1751"/>
      <c r="CF168" s="1751"/>
      <c r="CG168" s="1751"/>
      <c r="CH168" s="0" t="s">
        <v>883</v>
      </c>
      <c r="CI168" s="0" t="s">
        <v>303</v>
      </c>
      <c r="CJ168" s="0" t="s">
        <v>1241</v>
      </c>
      <c r="CK168" s="0" t="s">
        <v>1242</v>
      </c>
      <c r="CL168" s="1751"/>
      <c r="CM168" s="1751"/>
      <c r="CN168" s="1751"/>
    </row>
    <row s="986" customFormat="1" customHeight="1" ht="14.25">
      <c r="A169" s="986"/>
      <c r="B169" s="986"/>
      <c r="C169" s="986"/>
      <c r="D169" s="986"/>
      <c r="E169" s="180">
        <v>15</v>
      </c>
      <c r="F169" s="175" cm="1" t="str">
        <f t="array" ref="F169:F169">F168</f>
        <v>1</v>
      </c>
      <c r="G169" s="986"/>
      <c r="H169" s="986"/>
      <c r="I169" s="986"/>
      <c r="J169" s="986"/>
      <c r="K169" s="986"/>
      <c r="L169" s="986"/>
      <c r="M169" s="986"/>
      <c r="N169" s="986"/>
      <c r="O169" s="986"/>
      <c r="P169" s="986"/>
      <c r="Q169" s="986"/>
      <c r="R169" s="986"/>
      <c r="S169" s="986"/>
      <c r="T169" s="753" cm="1" t="str">
        <f t="array" ref="T169:T169">T168</f>
        <v>true</v>
      </c>
      <c r="U169" s="986"/>
      <c r="V169" s="986"/>
      <c r="W169" s="986"/>
      <c r="X169" s="986"/>
      <c r="Y169" s="986"/>
      <c r="Z169" s="986"/>
      <c r="AA169" s="986"/>
      <c r="AB169" s="556">
        <v>4</v>
      </c>
      <c r="AC169" s="555" t="s">
        <v>1256</v>
      </c>
      <c r="AD169" s="551" t="s">
        <v>917</v>
      </c>
      <c r="AE169" s="2286">
        <f>SUM(AE170:AE173)+SUM(AE179:AE182)</f>
        <v>0</v>
      </c>
      <c r="AF169" s="2286">
        <f>SUM(AF170:AF173)+SUM(AF179:AF182)</f>
        <v>0</v>
      </c>
      <c r="AG169" s="2286">
        <f>SUM(AG170:AG173)+SUM(AG179:AG182)</f>
        <v>0</v>
      </c>
      <c r="AH169" s="2286">
        <f>SUM(AH170:AH173)+SUM(AH179:AH182)</f>
        <v>0</v>
      </c>
      <c r="AI169" s="588">
        <f>SUM(AI170:AI173)+SUM(AI179:AI182)</f>
        <v>0</v>
      </c>
      <c r="AJ169" s="2286">
        <f>SUM(AJ170:AJ173)+SUM(AJ179:AJ182)</f>
        <v>0</v>
      </c>
      <c r="AK169" s="2286">
        <f>SUM(AK170:AK173)+SUM(AK179:AK182)</f>
        <v>0</v>
      </c>
      <c r="AL169" s="2286">
        <f>SUM(AL170:AL173)+SUM(AL179:AL182)</f>
        <v>0</v>
      </c>
      <c r="AM169" s="2286">
        <f>SUM(AM170:AM173)+SUM(AM179:AM182)</f>
        <v>0</v>
      </c>
      <c r="AN169" s="2286">
        <f>SUM(AN170:AN173)+SUM(AN179:AN182)</f>
        <v>0</v>
      </c>
      <c r="AO169" s="2286">
        <f>SUM(AO170:AO173)+SUM(AO179:AO182)</f>
        <v>0</v>
      </c>
      <c r="AP169" s="2286">
        <f>SUM(AP170:AP173)+SUM(AP179:AP182)</f>
        <v>0</v>
      </c>
      <c r="AQ169" s="2286">
        <f>SUM(AQ170:AQ173)+SUM(AQ179:AQ182)</f>
        <v>0</v>
      </c>
      <c r="AR169" s="2286">
        <f>SUM(AR170:AR173)+SUM(AR179:AR182)</f>
        <v>0</v>
      </c>
      <c r="AS169" s="2286">
        <f>SUM(AS170:AS173)+SUM(AS179:AS182)</f>
        <v>0</v>
      </c>
      <c r="AT169" s="2286">
        <f>SUM(AT170:AT173)+SUM(AT179:AT182)</f>
        <v>0</v>
      </c>
      <c r="AU169" s="2286">
        <f>SUM(AU170:AU173)+SUM(AU179:AU182)</f>
        <v>0</v>
      </c>
      <c r="AV169" s="2286">
        <f>SUM(AV170:AV173)+SUM(AV179:AV182)</f>
        <v>0</v>
      </c>
      <c r="AW169" s="2286">
        <f>SUM(AW170:AW173)+SUM(AW179:AW182)</f>
        <v>0</v>
      </c>
      <c r="AX169" s="2286">
        <f>SUM(AX170:AX173)+SUM(AX179:AX182)</f>
        <v>0</v>
      </c>
      <c r="AY169" s="2286">
        <f>SUM(AY170:AY173)+SUM(AY179:AY182)</f>
        <v>0</v>
      </c>
      <c r="AZ169" s="2286">
        <f>SUM(AZ170:AZ173)+SUM(AZ179:AZ182)</f>
        <v>0</v>
      </c>
      <c r="BA169" s="2286">
        <f>SUM(BA170:BA173)+SUM(BA179:BA182)</f>
        <v>0</v>
      </c>
      <c r="BB169" s="2286">
        <f>SUM(BB170:BB173)+SUM(BB179:BB182)</f>
        <v>0</v>
      </c>
      <c r="BC169" s="588">
        <f>SUM(BC170:BC173)+SUM(BC179:BC182)</f>
        <v>0</v>
      </c>
      <c r="BD169" s="2286">
        <f>SUM(BD170:BD173)+SUM(BD179:BD182)</f>
        <v>0</v>
      </c>
      <c r="BE169" s="2286">
        <f>SUM(BE170:BE173)+SUM(BE179:BE182)</f>
        <v>0</v>
      </c>
      <c r="BF169" s="2286">
        <f>SUM(BF170:BF173)+SUM(BF179:BF182)</f>
        <v>0</v>
      </c>
      <c r="BG169" s="2286">
        <f>SUM(BG170:BG173)+SUM(BG179:BG182)</f>
        <v>0</v>
      </c>
      <c r="BH169" s="2286">
        <f>SUM(BH170:BH173)+SUM(BH179:BH182)</f>
        <v>0</v>
      </c>
      <c r="BI169" s="2286">
        <f>SUM(BI170:BI173)+SUM(BI179:BI182)</f>
        <v>0</v>
      </c>
      <c r="BJ169" s="2286">
        <f>SUM(BJ170:BJ173)+SUM(BJ179:BJ182)</f>
        <v>0</v>
      </c>
      <c r="BK169" s="2286">
        <f>SUM(BK170:BK173)+SUM(BK179:BK182)</f>
        <v>0</v>
      </c>
      <c r="BL169" s="2286">
        <f>SUM(BL170:BL173)+SUM(BL179:BL182)</f>
        <v>0</v>
      </c>
      <c r="BM169" s="2286">
        <f>SUM(BM170:BM173)+SUM(BM179:BM182)</f>
        <v>0</v>
      </c>
      <c r="BN169" s="2286">
        <f>SUM(BN170:BN173)+SUM(BN179:BN182)</f>
        <v>0</v>
      </c>
      <c r="BO169" s="2286">
        <f>SUM(BO170:BO173)+SUM(BO179:BO182)</f>
        <v>0</v>
      </c>
      <c r="BP169" s="2286">
        <f>SUM(BP170:BP173)+SUM(BP179:BP182)</f>
        <v>0</v>
      </c>
      <c r="BQ169" s="2286">
        <f>SUM(BQ170:BQ173)+SUM(BQ179:BQ182)</f>
        <v>0</v>
      </c>
      <c r="BR169" s="2286">
        <f>SUM(BR170:BR173)+SUM(BR179:BR182)</f>
        <v>0</v>
      </c>
      <c r="BS169" s="2286">
        <f>SUM(BS170:BS173)+SUM(BS179:BS182)</f>
        <v>0</v>
      </c>
      <c r="BT169" s="2286">
        <f>SUM(BT170:BT173)+SUM(BT179:BT182)</f>
        <v>0</v>
      </c>
      <c r="BU169" s="2286">
        <f>SUM(BU170:BU173)+SUM(BU179:BU182)</f>
        <v>0</v>
      </c>
      <c r="BV169" s="2286">
        <f>SUM(BV170:BV173)+SUM(BV179:BV182)</f>
        <v>0</v>
      </c>
      <c r="BW169" s="1897"/>
      <c r="BX169" s="986"/>
      <c r="BY169" s="986"/>
      <c r="BZ169" s="489" t="s">
        <v>1257</v>
      </c>
      <c r="CA169" s="986"/>
      <c r="CB169" s="986"/>
      <c r="CC169" s="0" cm="1" t="str">
        <f t="array" ref="CC169:CC169">CC168</f>
        <v>ТЭ.42.31656254.0001</v>
      </c>
      <c r="CD169" s="986"/>
      <c r="CE169" s="986"/>
      <c r="CF169" s="986"/>
      <c r="CG169" s="986"/>
      <c r="CH169" s="0" t="s">
        <v>883</v>
      </c>
      <c r="CI169" s="0" t="s">
        <v>303</v>
      </c>
      <c r="CJ169" s="0" t="s">
        <v>1258</v>
      </c>
      <c r="CK169" s="0" t="s">
        <v>1259</v>
      </c>
      <c r="CL169" s="986"/>
      <c r="CM169" s="986"/>
      <c r="CN169" s="986"/>
    </row>
    <row s="1751" customFormat="1" customHeight="1" ht="14.25">
      <c r="A170" s="371"/>
      <c r="B170" s="1548"/>
      <c r="C170" s="1548"/>
      <c r="D170" s="1548"/>
      <c r="E170" s="180">
        <v>15</v>
      </c>
      <c r="F170" s="175" cm="1" t="str">
        <f t="array" ref="F170:F170">F169</f>
        <v>1</v>
      </c>
      <c r="G170" s="1659"/>
      <c r="H170" s="1659"/>
      <c r="I170" s="1659"/>
      <c r="J170" s="1659"/>
      <c r="K170" s="1659"/>
      <c r="L170" s="1659"/>
      <c r="M170" s="1659"/>
      <c r="N170" s="1659"/>
      <c r="O170" s="1659"/>
      <c r="P170" s="1659"/>
      <c r="Q170" s="1659"/>
      <c r="R170" s="1659"/>
      <c r="S170" s="1659"/>
      <c r="T170" s="753" cm="1" t="str">
        <f t="array" ref="T170:T170">T169</f>
        <v>true</v>
      </c>
      <c r="U170" s="1548"/>
      <c r="V170" s="1548"/>
      <c r="W170" s="1548"/>
      <c r="X170" s="1548"/>
      <c r="Y170" s="1548"/>
      <c r="Z170" s="1548"/>
      <c r="AA170" s="183"/>
      <c r="AB170" s="633" t="str">
        <f>AB169&amp;".1"</f>
        <v>4.1</v>
      </c>
      <c r="AC170" s="634" t="s">
        <v>1177</v>
      </c>
      <c r="AD170" s="633" t="s">
        <v>1178</v>
      </c>
      <c r="AE170" s="1864"/>
      <c r="AF170" s="1864"/>
      <c r="AG170" s="1864"/>
      <c r="AH170" s="1864"/>
      <c r="AI170" s="353"/>
      <c r="AJ170" s="1864"/>
      <c r="AK170" s="1864"/>
      <c r="AL170" s="1864"/>
      <c r="AM170" s="1864"/>
      <c r="AN170" s="1864"/>
      <c r="AO170" s="1864"/>
      <c r="AP170" s="1864"/>
      <c r="AQ170" s="1864"/>
      <c r="AR170" s="1864"/>
      <c r="AS170" s="1864"/>
      <c r="AT170" s="1864"/>
      <c r="AU170" s="1864"/>
      <c r="AV170" s="1864"/>
      <c r="AW170" s="1864"/>
      <c r="AX170" s="1864"/>
      <c r="AY170" s="1864"/>
      <c r="AZ170" s="1864"/>
      <c r="BA170" s="1864"/>
      <c r="BB170" s="1864"/>
      <c r="BC170" s="353"/>
      <c r="BD170" s="1864"/>
      <c r="BE170" s="1864"/>
      <c r="BF170" s="1864"/>
      <c r="BG170" s="1864"/>
      <c r="BH170" s="1864"/>
      <c r="BI170" s="1864"/>
      <c r="BJ170" s="1864"/>
      <c r="BK170" s="1864"/>
      <c r="BL170" s="1864"/>
      <c r="BM170" s="1864"/>
      <c r="BN170" s="1864"/>
      <c r="BO170" s="1864"/>
      <c r="BP170" s="1864"/>
      <c r="BQ170" s="1864"/>
      <c r="BR170" s="1864"/>
      <c r="BS170" s="1864"/>
      <c r="BT170" s="1864"/>
      <c r="BU170" s="1864"/>
      <c r="BV170" s="1864"/>
      <c r="BW170" s="1897"/>
      <c r="BX170" s="183"/>
      <c r="BY170" s="969"/>
      <c r="BZ170" s="489" t="s">
        <v>1260</v>
      </c>
      <c r="CA170" s="1506"/>
      <c r="CB170" s="1506"/>
      <c r="CC170" s="0" cm="1" t="str">
        <f t="array" ref="CC170:CC170">CC169</f>
        <v>ТЭ.42.31656254.0001</v>
      </c>
      <c r="CD170" s="0" t="s">
        <v>1180</v>
      </c>
      <c r="CE170" s="1751"/>
      <c r="CF170" s="1751"/>
      <c r="CG170" s="1751"/>
      <c r="CH170" s="0" t="s">
        <v>883</v>
      </c>
      <c r="CI170" s="0" t="s">
        <v>303</v>
      </c>
      <c r="CJ170" s="0" t="s">
        <v>1258</v>
      </c>
      <c r="CK170" s="0" t="s">
        <v>1259</v>
      </c>
      <c r="CL170" s="1751"/>
      <c r="CM170" s="1751"/>
      <c r="CN170" s="1751"/>
    </row>
    <row s="1751" customFormat="1" customHeight="1" ht="14.25">
      <c r="A171" s="371"/>
      <c r="B171" s="1548"/>
      <c r="C171" s="1548"/>
      <c r="D171" s="1548"/>
      <c r="E171" s="180">
        <v>15</v>
      </c>
      <c r="F171" s="175" cm="1" t="str">
        <f t="array" ref="F171:F171">F170</f>
        <v>1</v>
      </c>
      <c r="G171" s="1659"/>
      <c r="H171" s="1659"/>
      <c r="I171" s="1659"/>
      <c r="J171" s="1659"/>
      <c r="K171" s="1659"/>
      <c r="L171" s="1659"/>
      <c r="M171" s="1659"/>
      <c r="N171" s="1659"/>
      <c r="O171" s="1659"/>
      <c r="P171" s="1659"/>
      <c r="Q171" s="1659"/>
      <c r="R171" s="1659"/>
      <c r="S171" s="1659"/>
      <c r="T171" s="753" cm="1" t="str">
        <f t="array" ref="T171:T171">T170</f>
        <v>true</v>
      </c>
      <c r="U171" s="1548"/>
      <c r="V171" s="1548"/>
      <c r="W171" s="1548"/>
      <c r="X171" s="1548"/>
      <c r="Y171" s="1548"/>
      <c r="Z171" s="1548"/>
      <c r="AA171" s="183"/>
      <c r="AB171" s="633" t="str">
        <f>AB169&amp;".2"</f>
        <v>4.2</v>
      </c>
      <c r="AC171" s="634" t="s">
        <v>1181</v>
      </c>
      <c r="AD171" s="633" t="s">
        <v>1178</v>
      </c>
      <c r="AE171" s="1864"/>
      <c r="AF171" s="1864"/>
      <c r="AG171" s="1864"/>
      <c r="AH171" s="1864"/>
      <c r="AI171" s="353"/>
      <c r="AJ171" s="1864"/>
      <c r="AK171" s="1864"/>
      <c r="AL171" s="1864"/>
      <c r="AM171" s="1864"/>
      <c r="AN171" s="1864"/>
      <c r="AO171" s="1864"/>
      <c r="AP171" s="1864"/>
      <c r="AQ171" s="1864"/>
      <c r="AR171" s="1864"/>
      <c r="AS171" s="1864"/>
      <c r="AT171" s="1864"/>
      <c r="AU171" s="1864"/>
      <c r="AV171" s="1864"/>
      <c r="AW171" s="1864"/>
      <c r="AX171" s="1864"/>
      <c r="AY171" s="1864"/>
      <c r="AZ171" s="1864"/>
      <c r="BA171" s="1864"/>
      <c r="BB171" s="1864"/>
      <c r="BC171" s="353"/>
      <c r="BD171" s="1864"/>
      <c r="BE171" s="1864"/>
      <c r="BF171" s="1864"/>
      <c r="BG171" s="1864"/>
      <c r="BH171" s="1864"/>
      <c r="BI171" s="1864"/>
      <c r="BJ171" s="1864"/>
      <c r="BK171" s="1864"/>
      <c r="BL171" s="1864"/>
      <c r="BM171" s="1864"/>
      <c r="BN171" s="1864"/>
      <c r="BO171" s="1864"/>
      <c r="BP171" s="1864"/>
      <c r="BQ171" s="1864"/>
      <c r="BR171" s="1864"/>
      <c r="BS171" s="1864"/>
      <c r="BT171" s="1864"/>
      <c r="BU171" s="1864"/>
      <c r="BV171" s="1864"/>
      <c r="BW171" s="1897"/>
      <c r="BX171" s="183"/>
      <c r="BY171" s="969"/>
      <c r="BZ171" s="489" t="s">
        <v>1261</v>
      </c>
      <c r="CA171" s="1506"/>
      <c r="CB171" s="1506"/>
      <c r="CC171" s="0" cm="1" t="str">
        <f t="array" ref="CC171:CC171">CC170</f>
        <v>ТЭ.42.31656254.0001</v>
      </c>
      <c r="CD171" s="0" t="s">
        <v>1183</v>
      </c>
      <c r="CE171" s="1751"/>
      <c r="CF171" s="1751"/>
      <c r="CG171" s="1751"/>
      <c r="CH171" s="0" t="s">
        <v>883</v>
      </c>
      <c r="CI171" s="0" t="s">
        <v>303</v>
      </c>
      <c r="CJ171" s="0" t="s">
        <v>1258</v>
      </c>
      <c r="CK171" s="0" t="s">
        <v>1259</v>
      </c>
      <c r="CL171" s="1751"/>
      <c r="CM171" s="1751"/>
      <c r="CN171" s="1751"/>
    </row>
    <row s="1751" customFormat="1" customHeight="1" ht="14.25">
      <c r="A172" s="371"/>
      <c r="B172" s="1548"/>
      <c r="C172" s="1548"/>
      <c r="D172" s="1548"/>
      <c r="E172" s="180">
        <v>15</v>
      </c>
      <c r="F172" s="175" cm="1" t="str">
        <f t="array" ref="F172:F172">F171</f>
        <v>1</v>
      </c>
      <c r="G172" s="1659"/>
      <c r="H172" s="1659"/>
      <c r="I172" s="1659"/>
      <c r="J172" s="1659"/>
      <c r="K172" s="1659"/>
      <c r="L172" s="1659"/>
      <c r="M172" s="1659"/>
      <c r="N172" s="1659"/>
      <c r="O172" s="1659"/>
      <c r="P172" s="1659"/>
      <c r="Q172" s="1659"/>
      <c r="R172" s="1659"/>
      <c r="S172" s="1659"/>
      <c r="T172" s="753" cm="1" t="str">
        <f t="array" ref="T172:T172">T171</f>
        <v>true</v>
      </c>
      <c r="U172" s="1548"/>
      <c r="V172" s="1548"/>
      <c r="W172" s="1548"/>
      <c r="X172" s="1548"/>
      <c r="Y172" s="1548"/>
      <c r="Z172" s="1548"/>
      <c r="AA172" s="183"/>
      <c r="AB172" s="633" t="str">
        <f>AB169&amp;".3"</f>
        <v>4.3</v>
      </c>
      <c r="AC172" s="634" t="s">
        <v>1184</v>
      </c>
      <c r="AD172" s="633" t="s">
        <v>1178</v>
      </c>
      <c r="AE172" s="1864"/>
      <c r="AF172" s="1864"/>
      <c r="AG172" s="1864"/>
      <c r="AH172" s="1864"/>
      <c r="AI172" s="353"/>
      <c r="AJ172" s="1864"/>
      <c r="AK172" s="1864"/>
      <c r="AL172" s="1864"/>
      <c r="AM172" s="1864"/>
      <c r="AN172" s="1864"/>
      <c r="AO172" s="1864"/>
      <c r="AP172" s="1864"/>
      <c r="AQ172" s="1864"/>
      <c r="AR172" s="1864"/>
      <c r="AS172" s="1864"/>
      <c r="AT172" s="1864"/>
      <c r="AU172" s="1864"/>
      <c r="AV172" s="1864"/>
      <c r="AW172" s="1864"/>
      <c r="AX172" s="1864"/>
      <c r="AY172" s="1864"/>
      <c r="AZ172" s="1864"/>
      <c r="BA172" s="1864"/>
      <c r="BB172" s="1864"/>
      <c r="BC172" s="353"/>
      <c r="BD172" s="1864"/>
      <c r="BE172" s="1864"/>
      <c r="BF172" s="1864"/>
      <c r="BG172" s="1864"/>
      <c r="BH172" s="1864"/>
      <c r="BI172" s="1864"/>
      <c r="BJ172" s="1864"/>
      <c r="BK172" s="1864"/>
      <c r="BL172" s="1864"/>
      <c r="BM172" s="1864"/>
      <c r="BN172" s="1864"/>
      <c r="BO172" s="1864"/>
      <c r="BP172" s="1864"/>
      <c r="BQ172" s="1864"/>
      <c r="BR172" s="1864"/>
      <c r="BS172" s="1864"/>
      <c r="BT172" s="1864"/>
      <c r="BU172" s="1864"/>
      <c r="BV172" s="1864"/>
      <c r="BW172" s="1897"/>
      <c r="BX172" s="183"/>
      <c r="BY172" s="969"/>
      <c r="BZ172" s="489" t="s">
        <v>1262</v>
      </c>
      <c r="CA172" s="1506"/>
      <c r="CB172" s="1506"/>
      <c r="CC172" s="0" cm="1" t="str">
        <f t="array" ref="CC172:CC172">CC171</f>
        <v>ТЭ.42.31656254.0001</v>
      </c>
      <c r="CD172" s="0" t="s">
        <v>1186</v>
      </c>
      <c r="CE172" s="1751"/>
      <c r="CF172" s="1751"/>
      <c r="CG172" s="1751"/>
      <c r="CH172" s="0" t="s">
        <v>883</v>
      </c>
      <c r="CI172" s="0" t="s">
        <v>303</v>
      </c>
      <c r="CJ172" s="0" t="s">
        <v>1258</v>
      </c>
      <c r="CK172" s="0" t="s">
        <v>1259</v>
      </c>
      <c r="CL172" s="1751"/>
      <c r="CM172" s="1751"/>
      <c r="CN172" s="1751"/>
    </row>
    <row s="1751" customFormat="1" customHeight="1" ht="14.25">
      <c r="A173" s="371"/>
      <c r="B173" s="1548"/>
      <c r="C173" s="1548"/>
      <c r="D173" s="1548"/>
      <c r="E173" s="180">
        <v>15</v>
      </c>
      <c r="F173" s="175" cm="1" t="str">
        <f t="array" ref="F173:F173">F172</f>
        <v>1</v>
      </c>
      <c r="G173" s="1659"/>
      <c r="H173" s="1659"/>
      <c r="I173" s="1659"/>
      <c r="J173" s="1659"/>
      <c r="K173" s="1659"/>
      <c r="L173" s="1659"/>
      <c r="M173" s="1659"/>
      <c r="N173" s="1659"/>
      <c r="O173" s="1659"/>
      <c r="P173" s="1659"/>
      <c r="Q173" s="1659"/>
      <c r="R173" s="1659"/>
      <c r="S173" s="1659"/>
      <c r="T173" s="753" cm="1" t="str">
        <f t="array" ref="T173:T173">T172</f>
        <v>true</v>
      </c>
      <c r="U173" s="1548"/>
      <c r="V173" s="1548"/>
      <c r="W173" s="1548"/>
      <c r="X173" s="1548"/>
      <c r="Y173" s="1548"/>
      <c r="Z173" s="1548"/>
      <c r="AA173" s="183"/>
      <c r="AB173" s="633" t="str">
        <f>AB169&amp;".4"</f>
        <v>4.4</v>
      </c>
      <c r="AC173" s="634" t="s">
        <v>1187</v>
      </c>
      <c r="AD173" s="633" t="s">
        <v>1178</v>
      </c>
      <c r="AE173" s="2310">
        <f>SUM(AE174:AE178)</f>
        <v>0</v>
      </c>
      <c r="AF173" s="2310">
        <f>SUM(AF174:AF178)</f>
        <v>0</v>
      </c>
      <c r="AG173" s="2310">
        <f>SUM(AG174:AG178)</f>
        <v>0</v>
      </c>
      <c r="AH173" s="2310">
        <f>SUM(AH174:AH178)</f>
        <v>0</v>
      </c>
      <c r="AI173" s="484">
        <f>SUM(AI174:AI178)</f>
        <v>0</v>
      </c>
      <c r="AJ173" s="2310">
        <f>SUM(AJ174:AJ178)</f>
        <v>0</v>
      </c>
      <c r="AK173" s="2310">
        <f>SUM(AK174:AK178)</f>
        <v>0</v>
      </c>
      <c r="AL173" s="2310">
        <f>SUM(AL174:AL178)</f>
        <v>0</v>
      </c>
      <c r="AM173" s="2310">
        <f>SUM(AM174:AM178)</f>
        <v>0</v>
      </c>
      <c r="AN173" s="2310">
        <f>SUM(AN174:AN178)</f>
        <v>0</v>
      </c>
      <c r="AO173" s="2310">
        <f>SUM(AO174:AO178)</f>
        <v>0</v>
      </c>
      <c r="AP173" s="2310">
        <f>SUM(AP174:AP178)</f>
        <v>0</v>
      </c>
      <c r="AQ173" s="2310">
        <f>SUM(AQ174:AQ178)</f>
        <v>0</v>
      </c>
      <c r="AR173" s="2310">
        <f>SUM(AR174:AR178)</f>
        <v>0</v>
      </c>
      <c r="AS173" s="2310">
        <f>SUM(AS174:AS178)</f>
        <v>0</v>
      </c>
      <c r="AT173" s="2310">
        <f>SUM(AT174:AT178)</f>
        <v>0</v>
      </c>
      <c r="AU173" s="2310">
        <f>SUM(AU174:AU178)</f>
        <v>0</v>
      </c>
      <c r="AV173" s="2310">
        <f>SUM(AV174:AV178)</f>
        <v>0</v>
      </c>
      <c r="AW173" s="2310">
        <f>SUM(AW174:AW178)</f>
        <v>0</v>
      </c>
      <c r="AX173" s="2310">
        <f>SUM(AX174:AX178)</f>
        <v>0</v>
      </c>
      <c r="AY173" s="2310">
        <f>SUM(AY174:AY178)</f>
        <v>0</v>
      </c>
      <c r="AZ173" s="2310">
        <f>SUM(AZ174:AZ178)</f>
        <v>0</v>
      </c>
      <c r="BA173" s="2310">
        <f>SUM(BA174:BA178)</f>
        <v>0</v>
      </c>
      <c r="BB173" s="2310">
        <f>SUM(BB174:BB178)</f>
        <v>0</v>
      </c>
      <c r="BC173" s="484">
        <f>SUM(BC174:BC178)</f>
        <v>0</v>
      </c>
      <c r="BD173" s="2310">
        <f>SUM(BD174:BD178)</f>
        <v>0</v>
      </c>
      <c r="BE173" s="2310">
        <f>SUM(BE174:BE178)</f>
        <v>0</v>
      </c>
      <c r="BF173" s="2310">
        <f>SUM(BF174:BF178)</f>
        <v>0</v>
      </c>
      <c r="BG173" s="2310">
        <f>SUM(BG174:BG178)</f>
        <v>0</v>
      </c>
      <c r="BH173" s="2310">
        <f>SUM(BH174:BH178)</f>
        <v>0</v>
      </c>
      <c r="BI173" s="2310">
        <f>SUM(BI174:BI178)</f>
        <v>0</v>
      </c>
      <c r="BJ173" s="2310">
        <f>SUM(BJ174:BJ178)</f>
        <v>0</v>
      </c>
      <c r="BK173" s="2310">
        <f>SUM(BK174:BK178)</f>
        <v>0</v>
      </c>
      <c r="BL173" s="2310">
        <f>SUM(BL174:BL178)</f>
        <v>0</v>
      </c>
      <c r="BM173" s="2310">
        <f>SUM(BM174:BM178)</f>
        <v>0</v>
      </c>
      <c r="BN173" s="2310">
        <f>SUM(BN174:BN178)</f>
        <v>0</v>
      </c>
      <c r="BO173" s="2310">
        <f>SUM(BO174:BO178)</f>
        <v>0</v>
      </c>
      <c r="BP173" s="2310">
        <f>SUM(BP174:BP178)</f>
        <v>0</v>
      </c>
      <c r="BQ173" s="2310">
        <f>SUM(BQ174:BQ178)</f>
        <v>0</v>
      </c>
      <c r="BR173" s="2310">
        <f>SUM(BR174:BR178)</f>
        <v>0</v>
      </c>
      <c r="BS173" s="2310">
        <f>SUM(BS174:BS178)</f>
        <v>0</v>
      </c>
      <c r="BT173" s="2310">
        <f>SUM(BT174:BT178)</f>
        <v>0</v>
      </c>
      <c r="BU173" s="2310">
        <f>SUM(BU174:BU178)</f>
        <v>0</v>
      </c>
      <c r="BV173" s="2310">
        <f>SUM(BV174:BV178)</f>
        <v>0</v>
      </c>
      <c r="BW173" s="1897"/>
      <c r="BX173" s="183"/>
      <c r="BY173" s="969"/>
      <c r="BZ173" s="489" t="s">
        <v>1263</v>
      </c>
      <c r="CA173" s="1506"/>
      <c r="CB173" s="1506"/>
      <c r="CC173" s="0" cm="1" t="str">
        <f t="array" ref="CC173:CC173">CC172</f>
        <v>ТЭ.42.31656254.0001</v>
      </c>
      <c r="CD173" s="0" t="s">
        <v>1189</v>
      </c>
      <c r="CE173" s="1751"/>
      <c r="CF173" s="1751"/>
      <c r="CG173" s="1751"/>
      <c r="CH173" s="0" t="s">
        <v>883</v>
      </c>
      <c r="CI173" s="0" t="s">
        <v>303</v>
      </c>
      <c r="CJ173" s="0" t="s">
        <v>1258</v>
      </c>
      <c r="CK173" s="0" t="s">
        <v>1259</v>
      </c>
      <c r="CL173" s="1751"/>
      <c r="CM173" s="1751"/>
      <c r="CN173" s="1751"/>
    </row>
    <row s="1751" customFormat="1" customHeight="1" ht="14.25">
      <c r="A174" s="371"/>
      <c r="B174" s="1548"/>
      <c r="C174" s="1548"/>
      <c r="D174" s="1548"/>
      <c r="E174" s="180">
        <v>15</v>
      </c>
      <c r="F174" s="175" cm="1" t="str">
        <f t="array" ref="F174:F174">F173</f>
        <v>1</v>
      </c>
      <c r="G174" s="1659"/>
      <c r="H174" s="1659"/>
      <c r="I174" s="1659"/>
      <c r="J174" s="1659"/>
      <c r="K174" s="1659"/>
      <c r="L174" s="1659"/>
      <c r="M174" s="1659"/>
      <c r="N174" s="1659"/>
      <c r="O174" s="1659"/>
      <c r="P174" s="1659"/>
      <c r="Q174" s="1659"/>
      <c r="R174" s="1659"/>
      <c r="S174" s="1659"/>
      <c r="T174" s="753" cm="1" t="str">
        <f t="array" ref="T174:T174">T173</f>
        <v>true</v>
      </c>
      <c r="U174" s="1548"/>
      <c r="V174" s="1548"/>
      <c r="W174" s="1548"/>
      <c r="X174" s="1548"/>
      <c r="Y174" s="1548"/>
      <c r="Z174" s="1548"/>
      <c r="AA174" s="183"/>
      <c r="AB174" s="633" t="str">
        <f>AB173&amp;".1"</f>
        <v>4.4.1</v>
      </c>
      <c r="AC174" s="635" t="s">
        <v>1191</v>
      </c>
      <c r="AD174" s="633" t="s">
        <v>1178</v>
      </c>
      <c r="AE174" s="1864"/>
      <c r="AF174" s="1864"/>
      <c r="AG174" s="1864"/>
      <c r="AH174" s="1864"/>
      <c r="AI174" s="353"/>
      <c r="AJ174" s="1864"/>
      <c r="AK174" s="1864"/>
      <c r="AL174" s="1864"/>
      <c r="AM174" s="1864"/>
      <c r="AN174" s="1864"/>
      <c r="AO174" s="1864"/>
      <c r="AP174" s="1864"/>
      <c r="AQ174" s="1864"/>
      <c r="AR174" s="1864"/>
      <c r="AS174" s="1864"/>
      <c r="AT174" s="1864"/>
      <c r="AU174" s="1864"/>
      <c r="AV174" s="1864"/>
      <c r="AW174" s="1864"/>
      <c r="AX174" s="1864"/>
      <c r="AY174" s="1864"/>
      <c r="AZ174" s="1864"/>
      <c r="BA174" s="1864"/>
      <c r="BB174" s="1864"/>
      <c r="BC174" s="353"/>
      <c r="BD174" s="1864"/>
      <c r="BE174" s="1864"/>
      <c r="BF174" s="1864"/>
      <c r="BG174" s="1864"/>
      <c r="BH174" s="1864"/>
      <c r="BI174" s="1864"/>
      <c r="BJ174" s="1864"/>
      <c r="BK174" s="1864"/>
      <c r="BL174" s="1864"/>
      <c r="BM174" s="1864"/>
      <c r="BN174" s="1864"/>
      <c r="BO174" s="1864"/>
      <c r="BP174" s="1864"/>
      <c r="BQ174" s="1864"/>
      <c r="BR174" s="1864"/>
      <c r="BS174" s="1864"/>
      <c r="BT174" s="1864"/>
      <c r="BU174" s="1864"/>
      <c r="BV174" s="1864"/>
      <c r="BW174" s="1897"/>
      <c r="BX174" s="183"/>
      <c r="BY174" s="969"/>
      <c r="BZ174" s="489" t="s">
        <v>1264</v>
      </c>
      <c r="CA174" s="1506"/>
      <c r="CB174" s="1506"/>
      <c r="CC174" s="0" cm="1" t="str">
        <f t="array" ref="CC174:CC174">CC173</f>
        <v>ТЭ.42.31656254.0001</v>
      </c>
      <c r="CD174" s="0" t="s">
        <v>1189</v>
      </c>
      <c r="CE174" s="0" t="s">
        <v>1193</v>
      </c>
      <c r="CF174" s="1751"/>
      <c r="CG174" s="1751"/>
      <c r="CH174" s="0" t="s">
        <v>883</v>
      </c>
      <c r="CI174" s="0" t="s">
        <v>303</v>
      </c>
      <c r="CJ174" s="0" t="s">
        <v>1258</v>
      </c>
      <c r="CK174" s="0" t="s">
        <v>1259</v>
      </c>
      <c r="CL174" s="1751"/>
      <c r="CM174" s="1751"/>
      <c r="CN174" s="1751"/>
    </row>
    <row s="1751" customFormat="1" customHeight="1" ht="14.25">
      <c r="A175" s="371"/>
      <c r="B175" s="1548"/>
      <c r="C175" s="1548"/>
      <c r="D175" s="1548"/>
      <c r="E175" s="180">
        <v>15</v>
      </c>
      <c r="F175" s="175" cm="1" t="str">
        <f t="array" ref="F175:F175">F174</f>
        <v>1</v>
      </c>
      <c r="G175" s="1659"/>
      <c r="H175" s="1659"/>
      <c r="I175" s="1659"/>
      <c r="J175" s="1659"/>
      <c r="K175" s="1659"/>
      <c r="L175" s="1659"/>
      <c r="M175" s="1659"/>
      <c r="N175" s="1659"/>
      <c r="O175" s="1659"/>
      <c r="P175" s="1659"/>
      <c r="Q175" s="1659"/>
      <c r="R175" s="1659"/>
      <c r="S175" s="1659"/>
      <c r="T175" s="753" cm="1" t="str">
        <f t="array" ref="T175:T175">T174</f>
        <v>true</v>
      </c>
      <c r="U175" s="1548"/>
      <c r="V175" s="1548"/>
      <c r="W175" s="1548"/>
      <c r="X175" s="1548"/>
      <c r="Y175" s="1548"/>
      <c r="Z175" s="1548"/>
      <c r="AA175" s="183"/>
      <c r="AB175" s="633" t="str">
        <f>AB173&amp;".2"</f>
        <v>4.4.2</v>
      </c>
      <c r="AC175" s="635" t="s">
        <v>1195</v>
      </c>
      <c r="AD175" s="633" t="s">
        <v>1178</v>
      </c>
      <c r="AE175" s="1864"/>
      <c r="AF175" s="1864"/>
      <c r="AG175" s="1864"/>
      <c r="AH175" s="1864"/>
      <c r="AI175" s="353"/>
      <c r="AJ175" s="1864"/>
      <c r="AK175" s="1864"/>
      <c r="AL175" s="1864"/>
      <c r="AM175" s="1864"/>
      <c r="AN175" s="1864"/>
      <c r="AO175" s="1864"/>
      <c r="AP175" s="1864"/>
      <c r="AQ175" s="1864"/>
      <c r="AR175" s="1864"/>
      <c r="AS175" s="1864"/>
      <c r="AT175" s="1864"/>
      <c r="AU175" s="1864"/>
      <c r="AV175" s="1864"/>
      <c r="AW175" s="1864"/>
      <c r="AX175" s="1864"/>
      <c r="AY175" s="1864"/>
      <c r="AZ175" s="1864"/>
      <c r="BA175" s="1864"/>
      <c r="BB175" s="1864"/>
      <c r="BC175" s="353"/>
      <c r="BD175" s="1864"/>
      <c r="BE175" s="1864"/>
      <c r="BF175" s="1864"/>
      <c r="BG175" s="1864"/>
      <c r="BH175" s="1864"/>
      <c r="BI175" s="1864"/>
      <c r="BJ175" s="1864"/>
      <c r="BK175" s="1864"/>
      <c r="BL175" s="1864"/>
      <c r="BM175" s="1864"/>
      <c r="BN175" s="1864"/>
      <c r="BO175" s="1864"/>
      <c r="BP175" s="1864"/>
      <c r="BQ175" s="1864"/>
      <c r="BR175" s="1864"/>
      <c r="BS175" s="1864"/>
      <c r="BT175" s="1864"/>
      <c r="BU175" s="1864"/>
      <c r="BV175" s="1864"/>
      <c r="BW175" s="1897"/>
      <c r="BX175" s="183"/>
      <c r="BY175" s="969"/>
      <c r="BZ175" s="489" t="s">
        <v>1265</v>
      </c>
      <c r="CA175" s="1506"/>
      <c r="CB175" s="1506"/>
      <c r="CC175" s="0" cm="1" t="str">
        <f t="array" ref="CC175:CC175">CC174</f>
        <v>ТЭ.42.31656254.0001</v>
      </c>
      <c r="CD175" s="0" t="s">
        <v>1189</v>
      </c>
      <c r="CE175" s="0" t="s">
        <v>1197</v>
      </c>
      <c r="CF175" s="1751"/>
      <c r="CG175" s="1751"/>
      <c r="CH175" s="0" t="s">
        <v>883</v>
      </c>
      <c r="CI175" s="0" t="s">
        <v>303</v>
      </c>
      <c r="CJ175" s="0" t="s">
        <v>1258</v>
      </c>
      <c r="CK175" s="0" t="s">
        <v>1259</v>
      </c>
      <c r="CL175" s="1751"/>
      <c r="CM175" s="1751"/>
      <c r="CN175" s="1751"/>
    </row>
    <row s="1751" customFormat="1" customHeight="1" ht="14.25">
      <c r="A176" s="371"/>
      <c r="B176" s="1548"/>
      <c r="C176" s="1548"/>
      <c r="D176" s="1548"/>
      <c r="E176" s="180">
        <v>15</v>
      </c>
      <c r="F176" s="175" cm="1" t="str">
        <f t="array" ref="F176:F176">F175</f>
        <v>1</v>
      </c>
      <c r="G176" s="1659"/>
      <c r="H176" s="1659"/>
      <c r="I176" s="1659"/>
      <c r="J176" s="1659"/>
      <c r="K176" s="1659"/>
      <c r="L176" s="1659"/>
      <c r="M176" s="1659"/>
      <c r="N176" s="1659"/>
      <c r="O176" s="1659"/>
      <c r="P176" s="1659"/>
      <c r="Q176" s="1659"/>
      <c r="R176" s="1659"/>
      <c r="S176" s="1659"/>
      <c r="T176" s="753" cm="1" t="str">
        <f t="array" ref="T176:T176">T175</f>
        <v>true</v>
      </c>
      <c r="U176" s="1548"/>
      <c r="V176" s="1548"/>
      <c r="W176" s="1548"/>
      <c r="X176" s="1548"/>
      <c r="Y176" s="1548"/>
      <c r="Z176" s="1548"/>
      <c r="AA176" s="183"/>
      <c r="AB176" s="633" t="str">
        <f>AB173&amp;".3"</f>
        <v>4.4.3</v>
      </c>
      <c r="AC176" s="635" t="s">
        <v>1199</v>
      </c>
      <c r="AD176" s="633" t="s">
        <v>1178</v>
      </c>
      <c r="AE176" s="1864"/>
      <c r="AF176" s="1864"/>
      <c r="AG176" s="1864"/>
      <c r="AH176" s="1864"/>
      <c r="AI176" s="353"/>
      <c r="AJ176" s="1864"/>
      <c r="AK176" s="1864"/>
      <c r="AL176" s="1864"/>
      <c r="AM176" s="1864"/>
      <c r="AN176" s="1864"/>
      <c r="AO176" s="1864"/>
      <c r="AP176" s="1864"/>
      <c r="AQ176" s="1864"/>
      <c r="AR176" s="1864"/>
      <c r="AS176" s="1864"/>
      <c r="AT176" s="1864"/>
      <c r="AU176" s="1864"/>
      <c r="AV176" s="1864"/>
      <c r="AW176" s="1864"/>
      <c r="AX176" s="1864"/>
      <c r="AY176" s="1864"/>
      <c r="AZ176" s="1864"/>
      <c r="BA176" s="1864"/>
      <c r="BB176" s="1864"/>
      <c r="BC176" s="353"/>
      <c r="BD176" s="1864"/>
      <c r="BE176" s="1864"/>
      <c r="BF176" s="1864"/>
      <c r="BG176" s="1864"/>
      <c r="BH176" s="1864"/>
      <c r="BI176" s="1864"/>
      <c r="BJ176" s="1864"/>
      <c r="BK176" s="1864"/>
      <c r="BL176" s="1864"/>
      <c r="BM176" s="1864"/>
      <c r="BN176" s="1864"/>
      <c r="BO176" s="1864"/>
      <c r="BP176" s="1864"/>
      <c r="BQ176" s="1864"/>
      <c r="BR176" s="1864"/>
      <c r="BS176" s="1864"/>
      <c r="BT176" s="1864"/>
      <c r="BU176" s="1864"/>
      <c r="BV176" s="1864"/>
      <c r="BW176" s="1897"/>
      <c r="BX176" s="183"/>
      <c r="BY176" s="969"/>
      <c r="BZ176" s="489" t="s">
        <v>1266</v>
      </c>
      <c r="CA176" s="1506"/>
      <c r="CB176" s="1506"/>
      <c r="CC176" s="0" cm="1" t="str">
        <f t="array" ref="CC176:CC176">CC175</f>
        <v>ТЭ.42.31656254.0001</v>
      </c>
      <c r="CD176" s="0" t="s">
        <v>1189</v>
      </c>
      <c r="CE176" s="0" t="s">
        <v>1201</v>
      </c>
      <c r="CF176" s="1751"/>
      <c r="CG176" s="1751"/>
      <c r="CH176" s="0" t="s">
        <v>883</v>
      </c>
      <c r="CI176" s="0" t="s">
        <v>303</v>
      </c>
      <c r="CJ176" s="0" t="s">
        <v>1258</v>
      </c>
      <c r="CK176" s="0" t="s">
        <v>1259</v>
      </c>
      <c r="CL176" s="1751"/>
      <c r="CM176" s="1751"/>
      <c r="CN176" s="1751"/>
    </row>
    <row s="1751" customFormat="1" customHeight="1" ht="14.25">
      <c r="A177" s="371"/>
      <c r="B177" s="1548"/>
      <c r="C177" s="1548"/>
      <c r="D177" s="1548"/>
      <c r="E177" s="180">
        <v>15</v>
      </c>
      <c r="F177" s="175" cm="1" t="str">
        <f t="array" ref="F177:F177">F176</f>
        <v>1</v>
      </c>
      <c r="G177" s="1659"/>
      <c r="H177" s="1659"/>
      <c r="I177" s="1659"/>
      <c r="J177" s="1659"/>
      <c r="K177" s="1659"/>
      <c r="L177" s="1659"/>
      <c r="M177" s="1659"/>
      <c r="N177" s="1659"/>
      <c r="O177" s="1659"/>
      <c r="P177" s="1659"/>
      <c r="Q177" s="1659"/>
      <c r="R177" s="1659"/>
      <c r="S177" s="1659"/>
      <c r="T177" s="753" cm="1" t="str">
        <f t="array" ref="T177:T177">T176</f>
        <v>true</v>
      </c>
      <c r="U177" s="1548"/>
      <c r="V177" s="1548"/>
      <c r="W177" s="1548"/>
      <c r="X177" s="1548"/>
      <c r="Y177" s="1548"/>
      <c r="Z177" s="1548"/>
      <c r="AA177" s="183"/>
      <c r="AB177" s="633" t="str">
        <f>AB173&amp;".4"</f>
        <v>4.4.4</v>
      </c>
      <c r="AC177" s="635" t="s">
        <v>1203</v>
      </c>
      <c r="AD177" s="633" t="s">
        <v>1178</v>
      </c>
      <c r="AE177" s="1864"/>
      <c r="AF177" s="1864"/>
      <c r="AG177" s="1864"/>
      <c r="AH177" s="1864"/>
      <c r="AI177" s="353"/>
      <c r="AJ177" s="1864"/>
      <c r="AK177" s="1864"/>
      <c r="AL177" s="1864"/>
      <c r="AM177" s="1864"/>
      <c r="AN177" s="1864"/>
      <c r="AO177" s="1864"/>
      <c r="AP177" s="1864"/>
      <c r="AQ177" s="1864"/>
      <c r="AR177" s="1864"/>
      <c r="AS177" s="1864"/>
      <c r="AT177" s="1864"/>
      <c r="AU177" s="1864"/>
      <c r="AV177" s="1864"/>
      <c r="AW177" s="1864"/>
      <c r="AX177" s="1864"/>
      <c r="AY177" s="1864"/>
      <c r="AZ177" s="1864"/>
      <c r="BA177" s="1864"/>
      <c r="BB177" s="1864"/>
      <c r="BC177" s="353"/>
      <c r="BD177" s="1864"/>
      <c r="BE177" s="1864"/>
      <c r="BF177" s="1864"/>
      <c r="BG177" s="1864"/>
      <c r="BH177" s="1864"/>
      <c r="BI177" s="1864"/>
      <c r="BJ177" s="1864"/>
      <c r="BK177" s="1864"/>
      <c r="BL177" s="1864"/>
      <c r="BM177" s="1864"/>
      <c r="BN177" s="1864"/>
      <c r="BO177" s="1864"/>
      <c r="BP177" s="1864"/>
      <c r="BQ177" s="1864"/>
      <c r="BR177" s="1864"/>
      <c r="BS177" s="1864"/>
      <c r="BT177" s="1864"/>
      <c r="BU177" s="1864"/>
      <c r="BV177" s="1864"/>
      <c r="BW177" s="1897"/>
      <c r="BX177" s="183"/>
      <c r="BY177" s="969"/>
      <c r="BZ177" s="489" t="s">
        <v>1267</v>
      </c>
      <c r="CA177" s="1506"/>
      <c r="CB177" s="1506"/>
      <c r="CC177" s="0" cm="1" t="str">
        <f t="array" ref="CC177:CC177">CC176</f>
        <v>ТЭ.42.31656254.0001</v>
      </c>
      <c r="CD177" s="0" t="s">
        <v>1189</v>
      </c>
      <c r="CE177" s="0" t="s">
        <v>1205</v>
      </c>
      <c r="CF177" s="1751"/>
      <c r="CG177" s="1751"/>
      <c r="CH177" s="0" t="s">
        <v>883</v>
      </c>
      <c r="CI177" s="0" t="s">
        <v>303</v>
      </c>
      <c r="CJ177" s="0" t="s">
        <v>1258</v>
      </c>
      <c r="CK177" s="0" t="s">
        <v>1259</v>
      </c>
      <c r="CL177" s="1751"/>
      <c r="CM177" s="1751"/>
      <c r="CN177" s="1751"/>
    </row>
    <row s="1751" customFormat="1" customHeight="1" ht="14.25">
      <c r="A178" s="371"/>
      <c r="B178" s="1548"/>
      <c r="C178" s="1548"/>
      <c r="D178" s="1548"/>
      <c r="E178" s="180">
        <v>15</v>
      </c>
      <c r="F178" s="175" cm="1" t="str">
        <f t="array" ref="F178:F178">F177</f>
        <v>1</v>
      </c>
      <c r="G178" s="1659"/>
      <c r="H178" s="1659"/>
      <c r="I178" s="1659"/>
      <c r="J178" s="1659"/>
      <c r="K178" s="1659"/>
      <c r="L178" s="1659"/>
      <c r="M178" s="1659"/>
      <c r="N178" s="1659"/>
      <c r="O178" s="1659"/>
      <c r="P178" s="1659"/>
      <c r="Q178" s="1659"/>
      <c r="R178" s="1659"/>
      <c r="S178" s="1659"/>
      <c r="T178" s="753" cm="1" t="str">
        <f t="array" ref="T178:T178">T177</f>
        <v>true</v>
      </c>
      <c r="U178" s="1548"/>
      <c r="V178" s="1548"/>
      <c r="W178" s="1548"/>
      <c r="X178" s="1548"/>
      <c r="Y178" s="1548"/>
      <c r="Z178" s="1548"/>
      <c r="AA178" s="183"/>
      <c r="AB178" s="633" t="str">
        <f>AB173&amp;".5"</f>
        <v>4.4.5</v>
      </c>
      <c r="AC178" s="635" t="s">
        <v>1207</v>
      </c>
      <c r="AD178" s="633" t="s">
        <v>1178</v>
      </c>
      <c r="AE178" s="1864"/>
      <c r="AF178" s="1864"/>
      <c r="AG178" s="1864"/>
      <c r="AH178" s="1864"/>
      <c r="AI178" s="353"/>
      <c r="AJ178" s="1864"/>
      <c r="AK178" s="1864"/>
      <c r="AL178" s="1864"/>
      <c r="AM178" s="1864"/>
      <c r="AN178" s="1864"/>
      <c r="AO178" s="1864"/>
      <c r="AP178" s="1864"/>
      <c r="AQ178" s="1864"/>
      <c r="AR178" s="1864"/>
      <c r="AS178" s="1864"/>
      <c r="AT178" s="1864"/>
      <c r="AU178" s="1864"/>
      <c r="AV178" s="1864"/>
      <c r="AW178" s="1864"/>
      <c r="AX178" s="1864"/>
      <c r="AY178" s="1864"/>
      <c r="AZ178" s="1864"/>
      <c r="BA178" s="1864"/>
      <c r="BB178" s="1864"/>
      <c r="BC178" s="353"/>
      <c r="BD178" s="1864"/>
      <c r="BE178" s="1864"/>
      <c r="BF178" s="1864"/>
      <c r="BG178" s="1864"/>
      <c r="BH178" s="1864"/>
      <c r="BI178" s="1864"/>
      <c r="BJ178" s="1864"/>
      <c r="BK178" s="1864"/>
      <c r="BL178" s="1864"/>
      <c r="BM178" s="1864"/>
      <c r="BN178" s="1864"/>
      <c r="BO178" s="1864"/>
      <c r="BP178" s="1864"/>
      <c r="BQ178" s="1864"/>
      <c r="BR178" s="1864"/>
      <c r="BS178" s="1864"/>
      <c r="BT178" s="1864"/>
      <c r="BU178" s="1864"/>
      <c r="BV178" s="1864"/>
      <c r="BW178" s="1897"/>
      <c r="BX178" s="183"/>
      <c r="BY178" s="969"/>
      <c r="BZ178" s="489" t="s">
        <v>1268</v>
      </c>
      <c r="CA178" s="1506"/>
      <c r="CB178" s="1506"/>
      <c r="CC178" s="0" cm="1" t="str">
        <f t="array" ref="CC178:CC178">CC177</f>
        <v>ТЭ.42.31656254.0001</v>
      </c>
      <c r="CD178" s="0" t="s">
        <v>1189</v>
      </c>
      <c r="CE178" s="0" t="s">
        <v>1209</v>
      </c>
      <c r="CF178" s="1751"/>
      <c r="CG178" s="1751"/>
      <c r="CH178" s="0" t="s">
        <v>883</v>
      </c>
      <c r="CI178" s="0" t="s">
        <v>303</v>
      </c>
      <c r="CJ178" s="0" t="s">
        <v>1258</v>
      </c>
      <c r="CK178" s="0" t="s">
        <v>1259</v>
      </c>
      <c r="CL178" s="1751"/>
      <c r="CM178" s="1751"/>
      <c r="CN178" s="1751"/>
    </row>
    <row s="1751" customFormat="1" customHeight="1" ht="14.25">
      <c r="A179" s="371"/>
      <c r="B179" s="1548"/>
      <c r="C179" s="1548"/>
      <c r="D179" s="1548"/>
      <c r="E179" s="180">
        <v>15</v>
      </c>
      <c r="F179" s="175" cm="1" t="str">
        <f t="array" ref="F179:F179">F178</f>
        <v>1</v>
      </c>
      <c r="G179" s="1659"/>
      <c r="H179" s="1659"/>
      <c r="I179" s="1659"/>
      <c r="J179" s="1659"/>
      <c r="K179" s="1659"/>
      <c r="L179" s="1659"/>
      <c r="M179" s="1659"/>
      <c r="N179" s="1659"/>
      <c r="O179" s="1659"/>
      <c r="P179" s="1659"/>
      <c r="Q179" s="1659"/>
      <c r="R179" s="1659"/>
      <c r="S179" s="1659"/>
      <c r="T179" s="753" cm="1" t="str">
        <f t="array" ref="T179:T179">T178</f>
        <v>true</v>
      </c>
      <c r="U179" s="1548"/>
      <c r="V179" s="1548"/>
      <c r="W179" s="1548"/>
      <c r="X179" s="1548"/>
      <c r="Y179" s="1548"/>
      <c r="Z179" s="1548"/>
      <c r="AA179" s="183"/>
      <c r="AB179" s="633" t="str">
        <f>AB169&amp;".5"</f>
        <v>4.5</v>
      </c>
      <c r="AC179" s="634" t="s">
        <v>1210</v>
      </c>
      <c r="AD179" s="633" t="s">
        <v>1178</v>
      </c>
      <c r="AE179" s="1864"/>
      <c r="AF179" s="1864"/>
      <c r="AG179" s="1864"/>
      <c r="AH179" s="1864"/>
      <c r="AI179" s="353"/>
      <c r="AJ179" s="1864"/>
      <c r="AK179" s="1864"/>
      <c r="AL179" s="1864"/>
      <c r="AM179" s="1864"/>
      <c r="AN179" s="1864"/>
      <c r="AO179" s="1864"/>
      <c r="AP179" s="1864"/>
      <c r="AQ179" s="1864"/>
      <c r="AR179" s="1864"/>
      <c r="AS179" s="1864"/>
      <c r="AT179" s="1864"/>
      <c r="AU179" s="1864"/>
      <c r="AV179" s="1864"/>
      <c r="AW179" s="1864"/>
      <c r="AX179" s="1864"/>
      <c r="AY179" s="1864"/>
      <c r="AZ179" s="1864"/>
      <c r="BA179" s="1864"/>
      <c r="BB179" s="1864"/>
      <c r="BC179" s="353"/>
      <c r="BD179" s="1864"/>
      <c r="BE179" s="1864"/>
      <c r="BF179" s="1864"/>
      <c r="BG179" s="1864"/>
      <c r="BH179" s="1864"/>
      <c r="BI179" s="1864"/>
      <c r="BJ179" s="1864"/>
      <c r="BK179" s="1864"/>
      <c r="BL179" s="1864"/>
      <c r="BM179" s="1864"/>
      <c r="BN179" s="1864"/>
      <c r="BO179" s="1864"/>
      <c r="BP179" s="1864"/>
      <c r="BQ179" s="1864"/>
      <c r="BR179" s="1864"/>
      <c r="BS179" s="1864"/>
      <c r="BT179" s="1864"/>
      <c r="BU179" s="1864"/>
      <c r="BV179" s="1864"/>
      <c r="BW179" s="1897"/>
      <c r="BX179" s="183"/>
      <c r="BY179" s="969"/>
      <c r="BZ179" s="489" t="s">
        <v>1269</v>
      </c>
      <c r="CA179" s="1506"/>
      <c r="CB179" s="1506"/>
      <c r="CC179" s="0" cm="1" t="str">
        <f t="array" ref="CC179:CC179">CC178</f>
        <v>ТЭ.42.31656254.0001</v>
      </c>
      <c r="CD179" s="0" t="s">
        <v>1212</v>
      </c>
      <c r="CE179" s="1751"/>
      <c r="CF179" s="1751"/>
      <c r="CG179" s="1751"/>
      <c r="CH179" s="0" t="s">
        <v>883</v>
      </c>
      <c r="CI179" s="0" t="s">
        <v>303</v>
      </c>
      <c r="CJ179" s="0" t="s">
        <v>1258</v>
      </c>
      <c r="CK179" s="0" t="s">
        <v>1259</v>
      </c>
      <c r="CL179" s="1751"/>
      <c r="CM179" s="1751"/>
      <c r="CN179" s="1751"/>
    </row>
    <row s="1751" customFormat="1" customHeight="1" ht="14.25">
      <c r="A180" s="371"/>
      <c r="B180" s="1548"/>
      <c r="C180" s="1548"/>
      <c r="D180" s="1548"/>
      <c r="E180" s="180">
        <v>15</v>
      </c>
      <c r="F180" s="175" cm="1" t="str">
        <f t="array" ref="F180:F180">F179</f>
        <v>1</v>
      </c>
      <c r="G180" s="1659"/>
      <c r="H180" s="1659"/>
      <c r="I180" s="1659"/>
      <c r="J180" s="1659"/>
      <c r="K180" s="1659"/>
      <c r="L180" s="1659"/>
      <c r="M180" s="1659"/>
      <c r="N180" s="1659"/>
      <c r="O180" s="1659"/>
      <c r="P180" s="1659"/>
      <c r="Q180" s="1659"/>
      <c r="R180" s="1659"/>
      <c r="S180" s="1659"/>
      <c r="T180" s="753" cm="1" t="str">
        <f t="array" ref="T180:T180">T179</f>
        <v>true</v>
      </c>
      <c r="U180" s="1548"/>
      <c r="V180" s="1548"/>
      <c r="W180" s="1548"/>
      <c r="X180" s="1548"/>
      <c r="Y180" s="1548"/>
      <c r="Z180" s="1548"/>
      <c r="AA180" s="183"/>
      <c r="AB180" s="633" t="str">
        <f>AB169&amp;".6"</f>
        <v>4.6</v>
      </c>
      <c r="AC180" s="634" t="s">
        <v>1213</v>
      </c>
      <c r="AD180" s="633" t="s">
        <v>1178</v>
      </c>
      <c r="AE180" s="1864"/>
      <c r="AF180" s="1864"/>
      <c r="AG180" s="1864"/>
      <c r="AH180" s="1864"/>
      <c r="AI180" s="353"/>
      <c r="AJ180" s="1864"/>
      <c r="AK180" s="1864"/>
      <c r="AL180" s="1864"/>
      <c r="AM180" s="1864"/>
      <c r="AN180" s="1864"/>
      <c r="AO180" s="1864"/>
      <c r="AP180" s="1864"/>
      <c r="AQ180" s="1864"/>
      <c r="AR180" s="1864"/>
      <c r="AS180" s="1864"/>
      <c r="AT180" s="1864"/>
      <c r="AU180" s="1864"/>
      <c r="AV180" s="1864"/>
      <c r="AW180" s="1864"/>
      <c r="AX180" s="1864"/>
      <c r="AY180" s="1864"/>
      <c r="AZ180" s="1864"/>
      <c r="BA180" s="1864"/>
      <c r="BB180" s="1864"/>
      <c r="BC180" s="353"/>
      <c r="BD180" s="1864"/>
      <c r="BE180" s="1864"/>
      <c r="BF180" s="1864"/>
      <c r="BG180" s="1864"/>
      <c r="BH180" s="1864"/>
      <c r="BI180" s="1864"/>
      <c r="BJ180" s="1864"/>
      <c r="BK180" s="1864"/>
      <c r="BL180" s="1864"/>
      <c r="BM180" s="1864"/>
      <c r="BN180" s="1864"/>
      <c r="BO180" s="1864"/>
      <c r="BP180" s="1864"/>
      <c r="BQ180" s="1864"/>
      <c r="BR180" s="1864"/>
      <c r="BS180" s="1864"/>
      <c r="BT180" s="1864"/>
      <c r="BU180" s="1864"/>
      <c r="BV180" s="1864"/>
      <c r="BW180" s="1897"/>
      <c r="BX180" s="183"/>
      <c r="BY180" s="969"/>
      <c r="BZ180" s="489" t="s">
        <v>1270</v>
      </c>
      <c r="CA180" s="1506"/>
      <c r="CB180" s="1506"/>
      <c r="CC180" s="2312" cm="1" t="str">
        <f t="array" ref="CC180:CC180">CC179</f>
        <v>ТЭ.42.31656254.0001</v>
      </c>
      <c r="CD180" s="1751"/>
      <c r="CE180" s="1751"/>
      <c r="CF180" s="2312" t="s">
        <v>1215</v>
      </c>
      <c r="CG180" s="1751"/>
      <c r="CH180" s="2312" t="s">
        <v>883</v>
      </c>
      <c r="CI180" s="2312" t="s">
        <v>303</v>
      </c>
      <c r="CJ180" s="2312" t="s">
        <v>1258</v>
      </c>
      <c r="CK180" s="2312" t="s">
        <v>1259</v>
      </c>
      <c r="CL180" s="1751"/>
      <c r="CM180" s="1751"/>
      <c r="CN180" s="1751"/>
    </row>
    <row s="1751" customFormat="1" customHeight="1" ht="14.25">
      <c r="A181" s="371"/>
      <c r="B181" s="1548"/>
      <c r="C181" s="1548"/>
      <c r="D181" s="1548"/>
      <c r="E181" s="180">
        <v>15</v>
      </c>
      <c r="F181" s="175" cm="1" t="str">
        <f t="array" ref="F181:F181">F180</f>
        <v>1</v>
      </c>
      <c r="G181" s="1659"/>
      <c r="H181" s="1659"/>
      <c r="I181" s="1659"/>
      <c r="J181" s="1659"/>
      <c r="K181" s="1659"/>
      <c r="L181" s="1659"/>
      <c r="M181" s="1659"/>
      <c r="N181" s="1659"/>
      <c r="O181" s="1659"/>
      <c r="P181" s="1659"/>
      <c r="Q181" s="1659"/>
      <c r="R181" s="1659"/>
      <c r="S181" s="1659"/>
      <c r="T181" s="753" cm="1" t="str">
        <f t="array" ref="T181:T181">T180</f>
        <v>true</v>
      </c>
      <c r="U181" s="1548"/>
      <c r="V181" s="1548"/>
      <c r="W181" s="1548"/>
      <c r="X181" s="1548"/>
      <c r="Y181" s="1548"/>
      <c r="Z181" s="1548"/>
      <c r="AA181" s="183"/>
      <c r="AB181" s="633" t="str">
        <f>AB169&amp;".7"</f>
        <v>4.7</v>
      </c>
      <c r="AC181" s="634" t="s">
        <v>1216</v>
      </c>
      <c r="AD181" s="633" t="s">
        <v>1178</v>
      </c>
      <c r="AE181" s="1864"/>
      <c r="AF181" s="1864"/>
      <c r="AG181" s="1864"/>
      <c r="AH181" s="1864"/>
      <c r="AI181" s="353"/>
      <c r="AJ181" s="1864"/>
      <c r="AK181" s="1864"/>
      <c r="AL181" s="1864"/>
      <c r="AM181" s="1864"/>
      <c r="AN181" s="1864"/>
      <c r="AO181" s="1864"/>
      <c r="AP181" s="1864"/>
      <c r="AQ181" s="1864"/>
      <c r="AR181" s="1864"/>
      <c r="AS181" s="1864"/>
      <c r="AT181" s="1864"/>
      <c r="AU181" s="1864"/>
      <c r="AV181" s="1864"/>
      <c r="AW181" s="1864"/>
      <c r="AX181" s="1864"/>
      <c r="AY181" s="1864"/>
      <c r="AZ181" s="1864"/>
      <c r="BA181" s="1864"/>
      <c r="BB181" s="1864"/>
      <c r="BC181" s="353"/>
      <c r="BD181" s="1864"/>
      <c r="BE181" s="1864"/>
      <c r="BF181" s="1864"/>
      <c r="BG181" s="1864"/>
      <c r="BH181" s="1864"/>
      <c r="BI181" s="1864"/>
      <c r="BJ181" s="1864"/>
      <c r="BK181" s="1864"/>
      <c r="BL181" s="1864"/>
      <c r="BM181" s="1864"/>
      <c r="BN181" s="1864"/>
      <c r="BO181" s="1864"/>
      <c r="BP181" s="1864"/>
      <c r="BQ181" s="1864"/>
      <c r="BR181" s="1864"/>
      <c r="BS181" s="1864"/>
      <c r="BT181" s="1864"/>
      <c r="BU181" s="1864"/>
      <c r="BV181" s="1864"/>
      <c r="BW181" s="1897"/>
      <c r="BX181" s="183"/>
      <c r="BY181" s="969"/>
      <c r="BZ181" s="489" t="s">
        <v>1271</v>
      </c>
      <c r="CA181" s="1506"/>
      <c r="CB181" s="1506"/>
      <c r="CC181" s="2312" cm="1" t="str">
        <f t="array" ref="CC181:CC181">CC180</f>
        <v>ТЭ.42.31656254.0001</v>
      </c>
      <c r="CD181" s="1751"/>
      <c r="CE181" s="1751"/>
      <c r="CF181" s="2312" t="s">
        <v>1218</v>
      </c>
      <c r="CG181" s="1751"/>
      <c r="CH181" s="2312" t="s">
        <v>883</v>
      </c>
      <c r="CI181" s="2312" t="s">
        <v>303</v>
      </c>
      <c r="CJ181" s="2312" t="s">
        <v>1258</v>
      </c>
      <c r="CK181" s="2312" t="s">
        <v>1259</v>
      </c>
      <c r="CL181" s="1751"/>
      <c r="CM181" s="1751"/>
      <c r="CN181" s="1751"/>
    </row>
    <row s="1751" customFormat="1" customHeight="1" ht="14.25">
      <c r="A182" s="371"/>
      <c r="B182" s="1548"/>
      <c r="C182" s="1548"/>
      <c r="D182" s="1548"/>
      <c r="E182" s="180">
        <v>15</v>
      </c>
      <c r="F182" s="175" cm="1" t="str">
        <f t="array" ref="F182:F182">F181</f>
        <v>1</v>
      </c>
      <c r="G182" s="1659"/>
      <c r="H182" s="1659"/>
      <c r="I182" s="1659"/>
      <c r="J182" s="1659"/>
      <c r="K182" s="1659"/>
      <c r="L182" s="1659"/>
      <c r="M182" s="1659"/>
      <c r="N182" s="1659"/>
      <c r="O182" s="1659"/>
      <c r="P182" s="1659"/>
      <c r="Q182" s="1659"/>
      <c r="R182" s="1659"/>
      <c r="S182" s="1659"/>
      <c r="T182" s="753" cm="1" t="str">
        <f t="array" ref="T182:T182">T181</f>
        <v>true</v>
      </c>
      <c r="U182" s="1548"/>
      <c r="V182" s="1548"/>
      <c r="W182" s="1548"/>
      <c r="X182" s="1548"/>
      <c r="Y182" s="1548"/>
      <c r="Z182" s="1548"/>
      <c r="AA182" s="183"/>
      <c r="AB182" s="633" t="str">
        <f>AB169&amp;".8"</f>
        <v>4.8</v>
      </c>
      <c r="AC182" s="634" t="s">
        <v>1219</v>
      </c>
      <c r="AD182" s="633" t="s">
        <v>1178</v>
      </c>
      <c r="AE182" s="1864"/>
      <c r="AF182" s="1864"/>
      <c r="AG182" s="1864"/>
      <c r="AH182" s="1864"/>
      <c r="AI182" s="353"/>
      <c r="AJ182" s="1864"/>
      <c r="AK182" s="1864"/>
      <c r="AL182" s="1864"/>
      <c r="AM182" s="1864"/>
      <c r="AN182" s="1864"/>
      <c r="AO182" s="1864"/>
      <c r="AP182" s="1864"/>
      <c r="AQ182" s="1864"/>
      <c r="AR182" s="1864"/>
      <c r="AS182" s="1864"/>
      <c r="AT182" s="1864"/>
      <c r="AU182" s="1864"/>
      <c r="AV182" s="1864"/>
      <c r="AW182" s="1864"/>
      <c r="AX182" s="1864"/>
      <c r="AY182" s="1864"/>
      <c r="AZ182" s="1864"/>
      <c r="BA182" s="1864"/>
      <c r="BB182" s="1864"/>
      <c r="BC182" s="353"/>
      <c r="BD182" s="1864"/>
      <c r="BE182" s="1864"/>
      <c r="BF182" s="1864"/>
      <c r="BG182" s="1864"/>
      <c r="BH182" s="1864"/>
      <c r="BI182" s="1864"/>
      <c r="BJ182" s="1864"/>
      <c r="BK182" s="1864"/>
      <c r="BL182" s="1864"/>
      <c r="BM182" s="1864"/>
      <c r="BN182" s="1864"/>
      <c r="BO182" s="1864"/>
      <c r="BP182" s="1864"/>
      <c r="BQ182" s="1864"/>
      <c r="BR182" s="1864"/>
      <c r="BS182" s="1864"/>
      <c r="BT182" s="1864"/>
      <c r="BU182" s="1864"/>
      <c r="BV182" s="1864"/>
      <c r="BW182" s="1897"/>
      <c r="BX182" s="183"/>
      <c r="BY182" s="969"/>
      <c r="BZ182" s="489" t="s">
        <v>1272</v>
      </c>
      <c r="CA182" s="1506"/>
      <c r="CB182" s="1506"/>
      <c r="CC182" s="2312" cm="1" t="str">
        <f t="array" ref="CC182:CC182">CC181</f>
        <v>ТЭ.42.31656254.0001</v>
      </c>
      <c r="CD182" s="2312" t="s">
        <v>1221</v>
      </c>
      <c r="CE182" s="1751"/>
      <c r="CF182" s="1751"/>
      <c r="CG182" s="1751"/>
      <c r="CH182" s="2312" t="s">
        <v>886</v>
      </c>
      <c r="CI182" s="2312" t="s">
        <v>303</v>
      </c>
      <c r="CJ182" s="2312" t="s">
        <v>1258</v>
      </c>
      <c r="CK182" s="2312" t="s">
        <v>1259</v>
      </c>
      <c r="CL182" s="1751"/>
      <c r="CM182" s="1751"/>
      <c r="CN182" s="1751"/>
    </row>
    <row s="986" customFormat="1" customHeight="1" ht="21.75">
      <c r="A183" s="986"/>
      <c r="B183" s="986"/>
      <c r="C183" s="986"/>
      <c r="D183" s="986"/>
      <c r="E183" s="180">
        <v>23</v>
      </c>
      <c r="F183" s="175" cm="1" t="str">
        <f t="array" ref="F183:F183">F182</f>
        <v>1</v>
      </c>
      <c r="G183" s="986"/>
      <c r="H183" s="986"/>
      <c r="I183" s="986"/>
      <c r="J183" s="986"/>
      <c r="K183" s="986"/>
      <c r="L183" s="986"/>
      <c r="M183" s="986"/>
      <c r="N183" s="986"/>
      <c r="O183" s="986"/>
      <c r="P183" s="986"/>
      <c r="Q183" s="986"/>
      <c r="R183" s="986"/>
      <c r="S183" s="986"/>
      <c r="T183" s="753" cm="1" t="str">
        <f t="array" ref="T183:T183">T182</f>
        <v>true</v>
      </c>
      <c r="U183" s="986"/>
      <c r="V183" s="986"/>
      <c r="W183" s="986"/>
      <c r="X183" s="986"/>
      <c r="Y183" s="986"/>
      <c r="Z183" s="986"/>
      <c r="AA183" s="986"/>
      <c r="AB183" s="556">
        <v>5</v>
      </c>
      <c r="AC183" s="555" t="s">
        <v>1273</v>
      </c>
      <c r="AD183" s="551" t="s">
        <v>917</v>
      </c>
      <c r="AE183" s="2286">
        <f>SUM(AE184:AE187)+SUM(AE193:AE196)</f>
        <v>0</v>
      </c>
      <c r="AF183" s="2286">
        <f>SUM(AF184:AF187)+SUM(AF193:AF196)</f>
        <v>0</v>
      </c>
      <c r="AG183" s="2286">
        <f>SUM(AG184:AG187)+SUM(AG193:AG196)</f>
        <v>0</v>
      </c>
      <c r="AH183" s="2286">
        <f>SUM(AH184:AH187)+SUM(AH193:AH196)</f>
        <v>0</v>
      </c>
      <c r="AI183" s="588">
        <f>SUM(AI184:AI187)+SUM(AI193:AI196)</f>
        <v>0</v>
      </c>
      <c r="AJ183" s="2286">
        <f>SUM(AJ184:AJ187)+SUM(AJ193:AJ196)</f>
        <v>0</v>
      </c>
      <c r="AK183" s="2286">
        <f>SUM(AK184:AK187)+SUM(AK193:AK196)</f>
        <v>0</v>
      </c>
      <c r="AL183" s="2286">
        <f>SUM(AL184:AL187)+SUM(AL193:AL196)</f>
        <v>0</v>
      </c>
      <c r="AM183" s="2286">
        <f>SUM(AM184:AM187)+SUM(AM193:AM196)</f>
        <v>0</v>
      </c>
      <c r="AN183" s="2286">
        <f>SUM(AN184:AN187)+SUM(AN193:AN196)</f>
        <v>0</v>
      </c>
      <c r="AO183" s="2286">
        <f>SUM(AO184:AO187)+SUM(AO193:AO196)</f>
        <v>0</v>
      </c>
      <c r="AP183" s="2286">
        <f>SUM(AP184:AP187)+SUM(AP193:AP196)</f>
        <v>0</v>
      </c>
      <c r="AQ183" s="2286">
        <f>SUM(AQ184:AQ187)+SUM(AQ193:AQ196)</f>
        <v>0</v>
      </c>
      <c r="AR183" s="2286">
        <f>SUM(AR184:AR187)+SUM(AR193:AR196)</f>
        <v>0</v>
      </c>
      <c r="AS183" s="2286">
        <f>SUM(AS184:AS187)+SUM(AS193:AS196)</f>
        <v>0</v>
      </c>
      <c r="AT183" s="2286">
        <f>SUM(AT184:AT187)+SUM(AT193:AT196)</f>
        <v>0</v>
      </c>
      <c r="AU183" s="2286">
        <f>SUM(AU184:AU187)+SUM(AU193:AU196)</f>
        <v>0</v>
      </c>
      <c r="AV183" s="2286">
        <f>SUM(AV184:AV187)+SUM(AV193:AV196)</f>
        <v>0</v>
      </c>
      <c r="AW183" s="2286">
        <f>SUM(AW184:AW187)+SUM(AW193:AW196)</f>
        <v>0</v>
      </c>
      <c r="AX183" s="2286">
        <f>SUM(AX184:AX187)+SUM(AX193:AX196)</f>
        <v>0</v>
      </c>
      <c r="AY183" s="2286">
        <f>SUM(AY184:AY187)+SUM(AY193:AY196)</f>
        <v>0</v>
      </c>
      <c r="AZ183" s="2286">
        <f>SUM(AZ184:AZ187)+SUM(AZ193:AZ196)</f>
        <v>0</v>
      </c>
      <c r="BA183" s="2286">
        <f>SUM(BA184:BA187)+SUM(BA193:BA196)</f>
        <v>0</v>
      </c>
      <c r="BB183" s="2286">
        <f>SUM(BB184:BB187)+SUM(BB193:BB196)</f>
        <v>0</v>
      </c>
      <c r="BC183" s="588">
        <f>SUM(BC184:BC187)+SUM(BC193:BC196)</f>
        <v>0</v>
      </c>
      <c r="BD183" s="2286">
        <f>SUM(BD184:BD187)+SUM(BD193:BD196)</f>
        <v>0</v>
      </c>
      <c r="BE183" s="2286">
        <f>SUM(BE184:BE187)+SUM(BE193:BE196)</f>
        <v>0</v>
      </c>
      <c r="BF183" s="2286">
        <f>SUM(BF184:BF187)+SUM(BF193:BF196)</f>
        <v>0</v>
      </c>
      <c r="BG183" s="2286">
        <f>SUM(BG184:BG187)+SUM(BG193:BG196)</f>
        <v>0</v>
      </c>
      <c r="BH183" s="2286">
        <f>SUM(BH184:BH187)+SUM(BH193:BH196)</f>
        <v>0</v>
      </c>
      <c r="BI183" s="2286">
        <f>SUM(BI184:BI187)+SUM(BI193:BI196)</f>
        <v>0</v>
      </c>
      <c r="BJ183" s="2286">
        <f>SUM(BJ184:BJ187)+SUM(BJ193:BJ196)</f>
        <v>0</v>
      </c>
      <c r="BK183" s="2286">
        <f>SUM(BK184:BK187)+SUM(BK193:BK196)</f>
        <v>0</v>
      </c>
      <c r="BL183" s="2286">
        <f>SUM(BL184:BL187)+SUM(BL193:BL196)</f>
        <v>0</v>
      </c>
      <c r="BM183" s="2286">
        <f>SUM(BM184:BM187)+SUM(BM193:BM196)</f>
        <v>0</v>
      </c>
      <c r="BN183" s="2286">
        <f>SUM(BN184:BN187)+SUM(BN193:BN196)</f>
        <v>0</v>
      </c>
      <c r="BO183" s="2286">
        <f>SUM(BO184:BO187)+SUM(BO193:BO196)</f>
        <v>0</v>
      </c>
      <c r="BP183" s="2286">
        <f>SUM(BP184:BP187)+SUM(BP193:BP196)</f>
        <v>0</v>
      </c>
      <c r="BQ183" s="2286">
        <f>SUM(BQ184:BQ187)+SUM(BQ193:BQ196)</f>
        <v>0</v>
      </c>
      <c r="BR183" s="2286">
        <f>SUM(BR184:BR187)+SUM(BR193:BR196)</f>
        <v>0</v>
      </c>
      <c r="BS183" s="2286">
        <f>SUM(BS184:BS187)+SUM(BS193:BS196)</f>
        <v>0</v>
      </c>
      <c r="BT183" s="2286">
        <f>SUM(BT184:BT187)+SUM(BT193:BT196)</f>
        <v>0</v>
      </c>
      <c r="BU183" s="2286">
        <f>SUM(BU184:BU187)+SUM(BU193:BU196)</f>
        <v>0</v>
      </c>
      <c r="BV183" s="2286">
        <f>SUM(BV184:BV187)+SUM(BV193:BV196)</f>
        <v>0</v>
      </c>
      <c r="BW183" s="1897"/>
      <c r="BX183" s="986"/>
      <c r="BY183" s="986"/>
      <c r="BZ183" s="489" t="s">
        <v>1274</v>
      </c>
      <c r="CA183" s="986"/>
      <c r="CB183" s="986"/>
      <c r="CC183" s="0" cm="1" t="str">
        <f t="array" ref="CC183:CC183">CC182</f>
        <v>ТЭ.42.31656254.0001</v>
      </c>
      <c r="CD183" s="986"/>
      <c r="CE183" s="986"/>
      <c r="CF183" s="986"/>
      <c r="CG183" s="986"/>
      <c r="CH183" s="0" t="s">
        <v>886</v>
      </c>
      <c r="CI183" s="0" t="s">
        <v>303</v>
      </c>
      <c r="CJ183" s="0" t="s">
        <v>1275</v>
      </c>
      <c r="CK183" s="0" t="s">
        <v>1276</v>
      </c>
      <c r="CL183" s="986"/>
      <c r="CM183" s="986"/>
      <c r="CN183" s="986"/>
    </row>
    <row s="1751" customFormat="1" customHeight="1" ht="14.25">
      <c r="A184" s="371"/>
      <c r="B184" s="1548"/>
      <c r="C184" s="1548"/>
      <c r="D184" s="1548"/>
      <c r="E184" s="180">
        <v>15</v>
      </c>
      <c r="F184" s="175" cm="1" t="str">
        <f t="array" ref="F184:F184">F183</f>
        <v>1</v>
      </c>
      <c r="G184" s="1659"/>
      <c r="H184" s="1659"/>
      <c r="I184" s="1659"/>
      <c r="J184" s="1659"/>
      <c r="K184" s="1659"/>
      <c r="L184" s="1659"/>
      <c r="M184" s="1659"/>
      <c r="N184" s="1659"/>
      <c r="O184" s="1659"/>
      <c r="P184" s="1659"/>
      <c r="Q184" s="1659"/>
      <c r="R184" s="1659"/>
      <c r="S184" s="1659"/>
      <c r="T184" s="753" cm="1" t="str">
        <f t="array" ref="T184:T184">T183</f>
        <v>true</v>
      </c>
      <c r="U184" s="1548"/>
      <c r="V184" s="1548"/>
      <c r="W184" s="1548"/>
      <c r="X184" s="1548"/>
      <c r="Y184" s="1548"/>
      <c r="Z184" s="1548"/>
      <c r="AA184" s="183"/>
      <c r="AB184" s="339" t="str">
        <f>AB183&amp;".1"</f>
        <v>5.1</v>
      </c>
      <c r="AC184" s="228" t="s">
        <v>1177</v>
      </c>
      <c r="AD184" s="339" t="s">
        <v>1178</v>
      </c>
      <c r="AE184" s="2310">
        <f>(AE128*2+AE142+AE156-AE170)/2</f>
        <v>0</v>
      </c>
      <c r="AF184" s="2310">
        <f>(AF128*2+AF142+AF156-AF170)/2</f>
        <v>0</v>
      </c>
      <c r="AG184" s="2310">
        <f>(AG128*2+AG142+AG156-AG170)/2</f>
        <v>0</v>
      </c>
      <c r="AH184" s="2310">
        <f>(AH128*2+AH142+AH156-AH170)/2</f>
        <v>0</v>
      </c>
      <c r="AI184" s="484">
        <f>(AI128*2+AI142+AI156-AI170)/2</f>
        <v>0</v>
      </c>
      <c r="AJ184" s="2310">
        <f>(AJ128*2+AJ142+AJ156-AJ170)/2</f>
        <v>0</v>
      </c>
      <c r="AK184" s="2310">
        <f>(AK128*2+AK142+AK156-AK170)/2</f>
        <v>0</v>
      </c>
      <c r="AL184" s="2310">
        <f>(AL128*2+AL142+AL156-AL170)/2</f>
        <v>0</v>
      </c>
      <c r="AM184" s="2310">
        <f>(AM128*2+AM142+AM156-AM170)/2</f>
        <v>0</v>
      </c>
      <c r="AN184" s="2310">
        <f>(AN128*2+AN142+AN156-AN170)/2</f>
        <v>0</v>
      </c>
      <c r="AO184" s="2310">
        <f>(AO128*2+AO142+AO156-AO170)/2</f>
        <v>0</v>
      </c>
      <c r="AP184" s="2310">
        <f>(AP128*2+AP142+AP156-AP170)/2</f>
        <v>0</v>
      </c>
      <c r="AQ184" s="2310">
        <f>(AQ128*2+AQ142+AQ156-AQ170)/2</f>
        <v>0</v>
      </c>
      <c r="AR184" s="2310">
        <f>(AR128*2+AR142+AR156-AR170)/2</f>
        <v>0</v>
      </c>
      <c r="AS184" s="2310">
        <f>(AS128*2+AS142+AS156-AS170)/2</f>
        <v>0</v>
      </c>
      <c r="AT184" s="2310">
        <f>(AT128*2+AT142+AT156-AT170)/2</f>
        <v>0</v>
      </c>
      <c r="AU184" s="2310">
        <f>(AU128*2+AU142+AU156-AU170)/2</f>
        <v>0</v>
      </c>
      <c r="AV184" s="2310">
        <f>(AV128*2+AV142+AV156-AV170)/2</f>
        <v>0</v>
      </c>
      <c r="AW184" s="2310">
        <f>(AW128*2+AW142+AW156-AW170)/2</f>
        <v>0</v>
      </c>
      <c r="AX184" s="2310">
        <f>(AX128*2+AX142+AX156-AX170)/2</f>
        <v>0</v>
      </c>
      <c r="AY184" s="2310">
        <f>(AY128*2+AY142+AY156-AY170)/2</f>
        <v>0</v>
      </c>
      <c r="AZ184" s="2310">
        <f>(AZ128*2+AZ142+AZ156-AZ170)/2</f>
        <v>0</v>
      </c>
      <c r="BA184" s="2310">
        <f>(BA128*2+BA142+BA156-BA170)/2</f>
        <v>0</v>
      </c>
      <c r="BB184" s="2310">
        <f>(BB128*2+BB142+BB156-BB170)/2</f>
        <v>0</v>
      </c>
      <c r="BC184" s="484">
        <f>(BC128*2+BC142+BC156-BC170)/2</f>
        <v>0</v>
      </c>
      <c r="BD184" s="2310">
        <f>(BD128*2+BD142+BD156-BD170)/2</f>
        <v>0</v>
      </c>
      <c r="BE184" s="2310">
        <f>(BE128*2+BE142+BE156-BE170)/2</f>
        <v>0</v>
      </c>
      <c r="BF184" s="2310">
        <f>(BF128*2+BF142+BF156-BF170)/2</f>
        <v>0</v>
      </c>
      <c r="BG184" s="2310">
        <f>(BG128*2+BG142+BG156-BG170)/2</f>
        <v>0</v>
      </c>
      <c r="BH184" s="2310">
        <f>(BH128*2+BH142+BH156-BH170)/2</f>
        <v>0</v>
      </c>
      <c r="BI184" s="2310">
        <f>(BI128*2+BI142+BI156-BI170)/2</f>
        <v>0</v>
      </c>
      <c r="BJ184" s="2310">
        <f>(BJ128*2+BJ142+BJ156-BJ170)/2</f>
        <v>0</v>
      </c>
      <c r="BK184" s="2310">
        <f>(BK128*2+BK142+BK156-BK170)/2</f>
        <v>0</v>
      </c>
      <c r="BL184" s="2310">
        <f>(BL128*2+BL142+BL156-BL170)/2</f>
        <v>0</v>
      </c>
      <c r="BM184" s="2310">
        <f>(BM128*2+BM142+BM156-BM170)/2</f>
        <v>0</v>
      </c>
      <c r="BN184" s="2310">
        <f>(BN128*2+BN142+BN156-BN170)/2</f>
        <v>0</v>
      </c>
      <c r="BO184" s="2310">
        <f>(BO128*2+BO142+BO156-BO170)/2</f>
        <v>0</v>
      </c>
      <c r="BP184" s="2310">
        <f>(BP128*2+BP142+BP156-BP170)/2</f>
        <v>0</v>
      </c>
      <c r="BQ184" s="2310">
        <f>(BQ128*2+BQ142+BQ156-BQ170)/2</f>
        <v>0</v>
      </c>
      <c r="BR184" s="2310">
        <f>(BR128*2+BR142+BR156-BR170)/2</f>
        <v>0</v>
      </c>
      <c r="BS184" s="2310">
        <f>(BS128*2+BS142+BS156-BS170)/2</f>
        <v>0</v>
      </c>
      <c r="BT184" s="2310">
        <f>(BT128*2+BT142+BT156-BT170)/2</f>
        <v>0</v>
      </c>
      <c r="BU184" s="2310">
        <f>(BU128*2+BU142+BU156-BU170)/2</f>
        <v>0</v>
      </c>
      <c r="BV184" s="2310">
        <f>(BV128*2+BV142+BV156-BV170)/2</f>
        <v>0</v>
      </c>
      <c r="BW184" s="2313"/>
      <c r="BX184" s="183"/>
      <c r="BY184" s="969"/>
      <c r="BZ184" s="489" t="s">
        <v>1277</v>
      </c>
      <c r="CA184" s="1506"/>
      <c r="CB184" s="1506"/>
      <c r="CC184" s="2312" cm="1" t="str">
        <f t="array" ref="CC184:CC184">CC183</f>
        <v>ТЭ.42.31656254.0001</v>
      </c>
      <c r="CD184" s="2312" t="s">
        <v>1180</v>
      </c>
      <c r="CE184" s="1751"/>
      <c r="CF184" s="1751"/>
      <c r="CG184" s="1751"/>
      <c r="CH184" s="2312" t="s">
        <v>886</v>
      </c>
      <c r="CI184" s="2312" t="s">
        <v>303</v>
      </c>
      <c r="CJ184" s="2312" t="s">
        <v>1275</v>
      </c>
      <c r="CK184" s="2312" t="s">
        <v>1276</v>
      </c>
      <c r="CL184" s="1751"/>
      <c r="CM184" s="1751"/>
      <c r="CN184" s="1751"/>
    </row>
    <row s="1751" customFormat="1" customHeight="1" ht="14.25">
      <c r="A185" s="371"/>
      <c r="B185" s="1548"/>
      <c r="C185" s="1548"/>
      <c r="D185" s="1548"/>
      <c r="E185" s="180">
        <v>15</v>
      </c>
      <c r="F185" s="175" cm="1" t="str">
        <f t="array" ref="F185:F185">F184</f>
        <v>1</v>
      </c>
      <c r="G185" s="1659"/>
      <c r="H185" s="1659"/>
      <c r="I185" s="1659"/>
      <c r="J185" s="1659"/>
      <c r="K185" s="1659"/>
      <c r="L185" s="1659"/>
      <c r="M185" s="1659"/>
      <c r="N185" s="1659"/>
      <c r="O185" s="1659"/>
      <c r="P185" s="1659"/>
      <c r="Q185" s="1659"/>
      <c r="R185" s="1659"/>
      <c r="S185" s="1659"/>
      <c r="T185" s="753" cm="1" t="str">
        <f t="array" ref="T185:T185">T184</f>
        <v>true</v>
      </c>
      <c r="U185" s="1548"/>
      <c r="V185" s="1548"/>
      <c r="W185" s="1548"/>
      <c r="X185" s="1548"/>
      <c r="Y185" s="1548"/>
      <c r="Z185" s="1548"/>
      <c r="AA185" s="183"/>
      <c r="AB185" s="339" t="str">
        <f>AB183&amp;".2"</f>
        <v>5.2</v>
      </c>
      <c r="AC185" s="228" t="s">
        <v>1181</v>
      </c>
      <c r="AD185" s="339" t="s">
        <v>1178</v>
      </c>
      <c r="AE185" s="2310">
        <f>(AE129*2+AE143+AE157-AE171)/2</f>
        <v>0</v>
      </c>
      <c r="AF185" s="2310">
        <f>(AF129*2+AF143+AF157-AF171)/2</f>
        <v>0</v>
      </c>
      <c r="AG185" s="2310">
        <f>(AG129*2+AG143+AG157-AG171)/2</f>
        <v>0</v>
      </c>
      <c r="AH185" s="2310">
        <f>(AH129*2+AH143+AH157-AH171)/2</f>
        <v>0</v>
      </c>
      <c r="AI185" s="484">
        <f>(AI129*2+AI143+AI157-AI171)/2</f>
        <v>0</v>
      </c>
      <c r="AJ185" s="2310">
        <f>(AJ129*2+AJ143+AJ157-AJ171)/2</f>
        <v>0</v>
      </c>
      <c r="AK185" s="2310">
        <f>(AK129*2+AK143+AK157-AK171)/2</f>
        <v>0</v>
      </c>
      <c r="AL185" s="2310">
        <f>(AL129*2+AL143+AL157-AL171)/2</f>
        <v>0</v>
      </c>
      <c r="AM185" s="2310">
        <f>(AM129*2+AM143+AM157-AM171)/2</f>
        <v>0</v>
      </c>
      <c r="AN185" s="2310">
        <f>(AN129*2+AN143+AN157-AN171)/2</f>
        <v>0</v>
      </c>
      <c r="AO185" s="2310">
        <f>(AO129*2+AO143+AO157-AO171)/2</f>
        <v>0</v>
      </c>
      <c r="AP185" s="2310">
        <f>(AP129*2+AP143+AP157-AP171)/2</f>
        <v>0</v>
      </c>
      <c r="AQ185" s="2310">
        <f>(AQ129*2+AQ143+AQ157-AQ171)/2</f>
        <v>0</v>
      </c>
      <c r="AR185" s="2310">
        <f>(AR129*2+AR143+AR157-AR171)/2</f>
        <v>0</v>
      </c>
      <c r="AS185" s="2310">
        <f>(AS129*2+AS143+AS157-AS171)/2</f>
        <v>0</v>
      </c>
      <c r="AT185" s="2310">
        <f>(AT129*2+AT143+AT157-AT171)/2</f>
        <v>0</v>
      </c>
      <c r="AU185" s="2310">
        <f>(AU129*2+AU143+AU157-AU171)/2</f>
        <v>0</v>
      </c>
      <c r="AV185" s="2310">
        <f>(AV129*2+AV143+AV157-AV171)/2</f>
        <v>0</v>
      </c>
      <c r="AW185" s="2310">
        <f>(AW129*2+AW143+AW157-AW171)/2</f>
        <v>0</v>
      </c>
      <c r="AX185" s="2310">
        <f>(AX129*2+AX143+AX157-AX171)/2</f>
        <v>0</v>
      </c>
      <c r="AY185" s="2310">
        <f>(AY129*2+AY143+AY157-AY171)/2</f>
        <v>0</v>
      </c>
      <c r="AZ185" s="2310">
        <f>(AZ129*2+AZ143+AZ157-AZ171)/2</f>
        <v>0</v>
      </c>
      <c r="BA185" s="2310">
        <f>(BA129*2+BA143+BA157-BA171)/2</f>
        <v>0</v>
      </c>
      <c r="BB185" s="2310">
        <f>(BB129*2+BB143+BB157-BB171)/2</f>
        <v>0</v>
      </c>
      <c r="BC185" s="484">
        <f>(BC129*2+BC143+BC157-BC171)/2</f>
        <v>0</v>
      </c>
      <c r="BD185" s="2310">
        <f>(BD129*2+BD143+BD157-BD171)/2</f>
        <v>0</v>
      </c>
      <c r="BE185" s="2310">
        <f>(BE129*2+BE143+BE157-BE171)/2</f>
        <v>0</v>
      </c>
      <c r="BF185" s="2310">
        <f>(BF129*2+BF143+BF157-BF171)/2</f>
        <v>0</v>
      </c>
      <c r="BG185" s="2310">
        <f>(BG129*2+BG143+BG157-BG171)/2</f>
        <v>0</v>
      </c>
      <c r="BH185" s="2310">
        <f>(BH129*2+BH143+BH157-BH171)/2</f>
        <v>0</v>
      </c>
      <c r="BI185" s="2310">
        <f>(BI129*2+BI143+BI157-BI171)/2</f>
        <v>0</v>
      </c>
      <c r="BJ185" s="2310">
        <f>(BJ129*2+BJ143+BJ157-BJ171)/2</f>
        <v>0</v>
      </c>
      <c r="BK185" s="2310">
        <f>(BK129*2+BK143+BK157-BK171)/2</f>
        <v>0</v>
      </c>
      <c r="BL185" s="2310">
        <f>(BL129*2+BL143+BL157-BL171)/2</f>
        <v>0</v>
      </c>
      <c r="BM185" s="2310">
        <f>(BM129*2+BM143+BM157-BM171)/2</f>
        <v>0</v>
      </c>
      <c r="BN185" s="2310">
        <f>(BN129*2+BN143+BN157-BN171)/2</f>
        <v>0</v>
      </c>
      <c r="BO185" s="2310">
        <f>(BO129*2+BO143+BO157-BO171)/2</f>
        <v>0</v>
      </c>
      <c r="BP185" s="2310">
        <f>(BP129*2+BP143+BP157-BP171)/2</f>
        <v>0</v>
      </c>
      <c r="BQ185" s="2310">
        <f>(BQ129*2+BQ143+BQ157-BQ171)/2</f>
        <v>0</v>
      </c>
      <c r="BR185" s="2310">
        <f>(BR129*2+BR143+BR157-BR171)/2</f>
        <v>0</v>
      </c>
      <c r="BS185" s="2310">
        <f>(BS129*2+BS143+BS157-BS171)/2</f>
        <v>0</v>
      </c>
      <c r="BT185" s="2310">
        <f>(BT129*2+BT143+BT157-BT171)/2</f>
        <v>0</v>
      </c>
      <c r="BU185" s="2310">
        <f>(BU129*2+BU143+BU157-BU171)/2</f>
        <v>0</v>
      </c>
      <c r="BV185" s="2310">
        <f>(BV129*2+BV143+BV157-BV171)/2</f>
        <v>0</v>
      </c>
      <c r="BW185" s="2313"/>
      <c r="BX185" s="183"/>
      <c r="BY185" s="969"/>
      <c r="BZ185" s="489" t="s">
        <v>1278</v>
      </c>
      <c r="CA185" s="1506"/>
      <c r="CB185" s="1506"/>
      <c r="CC185" s="2312" cm="1" t="str">
        <f t="array" ref="CC185:CC185">CC184</f>
        <v>ТЭ.42.31656254.0001</v>
      </c>
      <c r="CD185" s="2312" t="s">
        <v>1183</v>
      </c>
      <c r="CE185" s="1751"/>
      <c r="CF185" s="1751"/>
      <c r="CG185" s="1751"/>
      <c r="CH185" s="2312" t="s">
        <v>886</v>
      </c>
      <c r="CI185" s="2312" t="s">
        <v>303</v>
      </c>
      <c r="CJ185" s="2312" t="s">
        <v>1275</v>
      </c>
      <c r="CK185" s="2312" t="s">
        <v>1276</v>
      </c>
      <c r="CL185" s="1751"/>
      <c r="CM185" s="1751"/>
      <c r="CN185" s="1751"/>
    </row>
    <row s="1751" customFormat="1" customHeight="1" ht="14.25">
      <c r="A186" s="371"/>
      <c r="B186" s="1548"/>
      <c r="C186" s="1548"/>
      <c r="D186" s="1548"/>
      <c r="E186" s="180">
        <v>15</v>
      </c>
      <c r="F186" s="175" cm="1" t="str">
        <f t="array" ref="F186:F186">F185</f>
        <v>1</v>
      </c>
      <c r="G186" s="1659"/>
      <c r="H186" s="1659"/>
      <c r="I186" s="1659"/>
      <c r="J186" s="1659"/>
      <c r="K186" s="1659"/>
      <c r="L186" s="1659"/>
      <c r="M186" s="1659"/>
      <c r="N186" s="1659"/>
      <c r="O186" s="1659"/>
      <c r="P186" s="1659"/>
      <c r="Q186" s="1659"/>
      <c r="R186" s="1659"/>
      <c r="S186" s="1659"/>
      <c r="T186" s="753" cm="1" t="str">
        <f t="array" ref="T186:T186">T185</f>
        <v>true</v>
      </c>
      <c r="U186" s="1548"/>
      <c r="V186" s="1548"/>
      <c r="W186" s="1548"/>
      <c r="X186" s="1548"/>
      <c r="Y186" s="1548"/>
      <c r="Z186" s="1548"/>
      <c r="AA186" s="183"/>
      <c r="AB186" s="339" t="str">
        <f>AB183&amp;".3"</f>
        <v>5.3</v>
      </c>
      <c r="AC186" s="228" t="s">
        <v>1184</v>
      </c>
      <c r="AD186" s="339" t="s">
        <v>1178</v>
      </c>
      <c r="AE186" s="2310">
        <f>(AE130*2+AE144+AE158-AE172)/2</f>
        <v>0</v>
      </c>
      <c r="AF186" s="2310">
        <f>(AF130*2+AF144+AF158-AF172)/2</f>
        <v>0</v>
      </c>
      <c r="AG186" s="2310">
        <f>(AG130*2+AG144+AG158-AG172)/2</f>
        <v>0</v>
      </c>
      <c r="AH186" s="2310">
        <f>(AH130*2+AH144+AH158-AH172)/2</f>
        <v>0</v>
      </c>
      <c r="AI186" s="484">
        <f>(AI130*2+AI144+AI158-AI172)/2</f>
        <v>0</v>
      </c>
      <c r="AJ186" s="2310">
        <f>(AJ130*2+AJ144+AJ158-AJ172)/2</f>
        <v>0</v>
      </c>
      <c r="AK186" s="2310">
        <f>(AK130*2+AK144+AK158-AK172)/2</f>
        <v>0</v>
      </c>
      <c r="AL186" s="2310">
        <f>(AL130*2+AL144+AL158-AL172)/2</f>
        <v>0</v>
      </c>
      <c r="AM186" s="2310">
        <f>(AM130*2+AM144+AM158-AM172)/2</f>
        <v>0</v>
      </c>
      <c r="AN186" s="2310">
        <f>(AN130*2+AN144+AN158-AN172)/2</f>
        <v>0</v>
      </c>
      <c r="AO186" s="2310">
        <f>(AO130*2+AO144+AO158-AO172)/2</f>
        <v>0</v>
      </c>
      <c r="AP186" s="2310">
        <f>(AP130*2+AP144+AP158-AP172)/2</f>
        <v>0</v>
      </c>
      <c r="AQ186" s="2310">
        <f>(AQ130*2+AQ144+AQ158-AQ172)/2</f>
        <v>0</v>
      </c>
      <c r="AR186" s="2310">
        <f>(AR130*2+AR144+AR158-AR172)/2</f>
        <v>0</v>
      </c>
      <c r="AS186" s="2310">
        <f>(AS130*2+AS144+AS158-AS172)/2</f>
        <v>0</v>
      </c>
      <c r="AT186" s="2310">
        <f>(AT130*2+AT144+AT158-AT172)/2</f>
        <v>0</v>
      </c>
      <c r="AU186" s="2310">
        <f>(AU130*2+AU144+AU158-AU172)/2</f>
        <v>0</v>
      </c>
      <c r="AV186" s="2310">
        <f>(AV130*2+AV144+AV158-AV172)/2</f>
        <v>0</v>
      </c>
      <c r="AW186" s="2310">
        <f>(AW130*2+AW144+AW158-AW172)/2</f>
        <v>0</v>
      </c>
      <c r="AX186" s="2310">
        <f>(AX130*2+AX144+AX158-AX172)/2</f>
        <v>0</v>
      </c>
      <c r="AY186" s="2310">
        <f>(AY130*2+AY144+AY158-AY172)/2</f>
        <v>0</v>
      </c>
      <c r="AZ186" s="2310">
        <f>(AZ130*2+AZ144+AZ158-AZ172)/2</f>
        <v>0</v>
      </c>
      <c r="BA186" s="2310">
        <f>(BA130*2+BA144+BA158-BA172)/2</f>
        <v>0</v>
      </c>
      <c r="BB186" s="2310">
        <f>(BB130*2+BB144+BB158-BB172)/2</f>
        <v>0</v>
      </c>
      <c r="BC186" s="484">
        <f>(BC130*2+BC144+BC158-BC172)/2</f>
        <v>0</v>
      </c>
      <c r="BD186" s="2310">
        <f>(BD130*2+BD144+BD158-BD172)/2</f>
        <v>0</v>
      </c>
      <c r="BE186" s="2310">
        <f>(BE130*2+BE144+BE158-BE172)/2</f>
        <v>0</v>
      </c>
      <c r="BF186" s="2310">
        <f>(BF130*2+BF144+BF158-BF172)/2</f>
        <v>0</v>
      </c>
      <c r="BG186" s="2310">
        <f>(BG130*2+BG144+BG158-BG172)/2</f>
        <v>0</v>
      </c>
      <c r="BH186" s="2310">
        <f>(BH130*2+BH144+BH158-BH172)/2</f>
        <v>0</v>
      </c>
      <c r="BI186" s="2310">
        <f>(BI130*2+BI144+BI158-BI172)/2</f>
        <v>0</v>
      </c>
      <c r="BJ186" s="2310">
        <f>(BJ130*2+BJ144+BJ158-BJ172)/2</f>
        <v>0</v>
      </c>
      <c r="BK186" s="2310">
        <f>(BK130*2+BK144+BK158-BK172)/2</f>
        <v>0</v>
      </c>
      <c r="BL186" s="2310">
        <f>(BL130*2+BL144+BL158-BL172)/2</f>
        <v>0</v>
      </c>
      <c r="BM186" s="2310">
        <f>(BM130*2+BM144+BM158-BM172)/2</f>
        <v>0</v>
      </c>
      <c r="BN186" s="2310">
        <f>(BN130*2+BN144+BN158-BN172)/2</f>
        <v>0</v>
      </c>
      <c r="BO186" s="2310">
        <f>(BO130*2+BO144+BO158-BO172)/2</f>
        <v>0</v>
      </c>
      <c r="BP186" s="2310">
        <f>(BP130*2+BP144+BP158-BP172)/2</f>
        <v>0</v>
      </c>
      <c r="BQ186" s="2310">
        <f>(BQ130*2+BQ144+BQ158-BQ172)/2</f>
        <v>0</v>
      </c>
      <c r="BR186" s="2310">
        <f>(BR130*2+BR144+BR158-BR172)/2</f>
        <v>0</v>
      </c>
      <c r="BS186" s="2310">
        <f>(BS130*2+BS144+BS158-BS172)/2</f>
        <v>0</v>
      </c>
      <c r="BT186" s="2310">
        <f>(BT130*2+BT144+BT158-BT172)/2</f>
        <v>0</v>
      </c>
      <c r="BU186" s="2310">
        <f>(BU130*2+BU144+BU158-BU172)/2</f>
        <v>0</v>
      </c>
      <c r="BV186" s="2310">
        <f>(BV130*2+BV144+BV158-BV172)/2</f>
        <v>0</v>
      </c>
      <c r="BW186" s="2313"/>
      <c r="BX186" s="183"/>
      <c r="BY186" s="969"/>
      <c r="BZ186" s="489" t="s">
        <v>1279</v>
      </c>
      <c r="CA186" s="1506"/>
      <c r="CB186" s="1506"/>
      <c r="CC186" s="2312" cm="1" t="str">
        <f t="array" ref="CC186:CC186">CC185</f>
        <v>ТЭ.42.31656254.0001</v>
      </c>
      <c r="CD186" s="2312" t="s">
        <v>1186</v>
      </c>
      <c r="CE186" s="1751"/>
      <c r="CF186" s="1751"/>
      <c r="CG186" s="1751"/>
      <c r="CH186" s="2312" t="s">
        <v>886</v>
      </c>
      <c r="CI186" s="2312" t="s">
        <v>303</v>
      </c>
      <c r="CJ186" s="2312" t="s">
        <v>1275</v>
      </c>
      <c r="CK186" s="2312" t="s">
        <v>1276</v>
      </c>
      <c r="CL186" s="1751"/>
      <c r="CM186" s="1751"/>
      <c r="CN186" s="1751"/>
    </row>
    <row s="1751" customFormat="1" customHeight="1" ht="14.25">
      <c r="A187" s="371"/>
      <c r="B187" s="1548"/>
      <c r="C187" s="1548"/>
      <c r="D187" s="1548"/>
      <c r="E187" s="180">
        <v>15</v>
      </c>
      <c r="F187" s="175" cm="1" t="str">
        <f t="array" ref="F187:F187">F186</f>
        <v>1</v>
      </c>
      <c r="G187" s="1659"/>
      <c r="H187" s="1659"/>
      <c r="I187" s="1659"/>
      <c r="J187" s="1659"/>
      <c r="K187" s="1659"/>
      <c r="L187" s="1659"/>
      <c r="M187" s="1659"/>
      <c r="N187" s="1659"/>
      <c r="O187" s="1659"/>
      <c r="P187" s="1659"/>
      <c r="Q187" s="1659"/>
      <c r="R187" s="1659"/>
      <c r="S187" s="1659"/>
      <c r="T187" s="753" cm="1" t="str">
        <f t="array" ref="T187:T187">T186</f>
        <v>true</v>
      </c>
      <c r="U187" s="1548"/>
      <c r="V187" s="1548"/>
      <c r="W187" s="1548"/>
      <c r="X187" s="1548"/>
      <c r="Y187" s="1548"/>
      <c r="Z187" s="1548"/>
      <c r="AA187" s="183"/>
      <c r="AB187" s="339" t="str">
        <f>AB183&amp;".4"</f>
        <v>5.4</v>
      </c>
      <c r="AC187" s="228" t="s">
        <v>1187</v>
      </c>
      <c r="AD187" s="339" t="s">
        <v>1178</v>
      </c>
      <c r="AE187" s="2310">
        <f>SUM(AE188:AE192)</f>
        <v>0</v>
      </c>
      <c r="AF187" s="2310">
        <f>SUM(AF188:AF192)</f>
        <v>0</v>
      </c>
      <c r="AG187" s="2310">
        <f>SUM(AG188:AG192)</f>
        <v>0</v>
      </c>
      <c r="AH187" s="2310">
        <f>SUM(AH188:AH192)</f>
        <v>0</v>
      </c>
      <c r="AI187" s="484">
        <f>SUM(AI188:AI192)</f>
        <v>0</v>
      </c>
      <c r="AJ187" s="2310">
        <f>SUM(AJ188:AJ192)</f>
        <v>0</v>
      </c>
      <c r="AK187" s="2310">
        <f>SUM(AK188:AK192)</f>
        <v>0</v>
      </c>
      <c r="AL187" s="2310">
        <f>SUM(AL188:AL192)</f>
        <v>0</v>
      </c>
      <c r="AM187" s="2310">
        <f>SUM(AM188:AM192)</f>
        <v>0</v>
      </c>
      <c r="AN187" s="2310">
        <f>SUM(AN188:AN192)</f>
        <v>0</v>
      </c>
      <c r="AO187" s="2310">
        <f>SUM(AO188:AO192)</f>
        <v>0</v>
      </c>
      <c r="AP187" s="2310">
        <f>SUM(AP188:AP192)</f>
        <v>0</v>
      </c>
      <c r="AQ187" s="2310">
        <f>SUM(AQ188:AQ192)</f>
        <v>0</v>
      </c>
      <c r="AR187" s="2310">
        <f>SUM(AR188:AR192)</f>
        <v>0</v>
      </c>
      <c r="AS187" s="2310">
        <f>SUM(AS188:AS192)</f>
        <v>0</v>
      </c>
      <c r="AT187" s="2310">
        <f>SUM(AT188:AT192)</f>
        <v>0</v>
      </c>
      <c r="AU187" s="2310">
        <f>SUM(AU188:AU192)</f>
        <v>0</v>
      </c>
      <c r="AV187" s="2310">
        <f>SUM(AV188:AV192)</f>
        <v>0</v>
      </c>
      <c r="AW187" s="2310">
        <f>SUM(AW188:AW192)</f>
        <v>0</v>
      </c>
      <c r="AX187" s="2310">
        <f>SUM(AX188:AX192)</f>
        <v>0</v>
      </c>
      <c r="AY187" s="2310">
        <f>SUM(AY188:AY192)</f>
        <v>0</v>
      </c>
      <c r="AZ187" s="2310">
        <f>SUM(AZ188:AZ192)</f>
        <v>0</v>
      </c>
      <c r="BA187" s="2310">
        <f>SUM(BA188:BA192)</f>
        <v>0</v>
      </c>
      <c r="BB187" s="2310">
        <f>SUM(BB188:BB192)</f>
        <v>0</v>
      </c>
      <c r="BC187" s="484">
        <f>SUM(BC188:BC192)</f>
        <v>0</v>
      </c>
      <c r="BD187" s="2310">
        <f>SUM(BD188:BD192)</f>
        <v>0</v>
      </c>
      <c r="BE187" s="2310">
        <f>SUM(BE188:BE192)</f>
        <v>0</v>
      </c>
      <c r="BF187" s="2310">
        <f>SUM(BF188:BF192)</f>
        <v>0</v>
      </c>
      <c r="BG187" s="2310">
        <f>SUM(BG188:BG192)</f>
        <v>0</v>
      </c>
      <c r="BH187" s="2310">
        <f>SUM(BH188:BH192)</f>
        <v>0</v>
      </c>
      <c r="BI187" s="2310">
        <f>SUM(BI188:BI192)</f>
        <v>0</v>
      </c>
      <c r="BJ187" s="2310">
        <f>SUM(BJ188:BJ192)</f>
        <v>0</v>
      </c>
      <c r="BK187" s="2310">
        <f>SUM(BK188:BK192)</f>
        <v>0</v>
      </c>
      <c r="BL187" s="2310">
        <f>SUM(BL188:BL192)</f>
        <v>0</v>
      </c>
      <c r="BM187" s="2310">
        <f>SUM(BM188:BM192)</f>
        <v>0</v>
      </c>
      <c r="BN187" s="2310">
        <f>SUM(BN188:BN192)</f>
        <v>0</v>
      </c>
      <c r="BO187" s="2310">
        <f>SUM(BO188:BO192)</f>
        <v>0</v>
      </c>
      <c r="BP187" s="2310">
        <f>SUM(BP188:BP192)</f>
        <v>0</v>
      </c>
      <c r="BQ187" s="2310">
        <f>SUM(BQ188:BQ192)</f>
        <v>0</v>
      </c>
      <c r="BR187" s="2310">
        <f>SUM(BR188:BR192)</f>
        <v>0</v>
      </c>
      <c r="BS187" s="2310">
        <f>SUM(BS188:BS192)</f>
        <v>0</v>
      </c>
      <c r="BT187" s="2310">
        <f>SUM(BT188:BT192)</f>
        <v>0</v>
      </c>
      <c r="BU187" s="2310">
        <f>SUM(BU188:BU192)</f>
        <v>0</v>
      </c>
      <c r="BV187" s="2310">
        <f>SUM(BV188:BV192)</f>
        <v>0</v>
      </c>
      <c r="BW187" s="2313"/>
      <c r="BX187" s="183"/>
      <c r="BY187" s="969"/>
      <c r="BZ187" s="489" t="s">
        <v>1280</v>
      </c>
      <c r="CA187" s="1506"/>
      <c r="CB187" s="1506"/>
      <c r="CC187" s="2312" cm="1" t="str">
        <f t="array" ref="CC187:CC187">CC186</f>
        <v>ТЭ.42.31656254.0001</v>
      </c>
      <c r="CD187" s="2312" t="s">
        <v>1189</v>
      </c>
      <c r="CE187" s="1751"/>
      <c r="CF187" s="1751"/>
      <c r="CG187" s="1751"/>
      <c r="CH187" s="2312" t="s">
        <v>886</v>
      </c>
      <c r="CI187" s="2312" t="s">
        <v>303</v>
      </c>
      <c r="CJ187" s="2312" t="s">
        <v>1275</v>
      </c>
      <c r="CK187" s="2312" t="s">
        <v>1276</v>
      </c>
      <c r="CL187" s="1751"/>
      <c r="CM187" s="1751"/>
      <c r="CN187" s="1751"/>
    </row>
    <row s="1751" customFormat="1" customHeight="1" ht="14.25">
      <c r="A188" s="371"/>
      <c r="B188" s="1548"/>
      <c r="C188" s="1548"/>
      <c r="D188" s="1548"/>
      <c r="E188" s="180">
        <v>15</v>
      </c>
      <c r="F188" s="175" cm="1" t="str">
        <f t="array" ref="F188:F188">F187</f>
        <v>1</v>
      </c>
      <c r="G188" s="1659"/>
      <c r="H188" s="1659"/>
      <c r="I188" s="1659"/>
      <c r="J188" s="1659"/>
      <c r="K188" s="1659"/>
      <c r="L188" s="1659"/>
      <c r="M188" s="1659"/>
      <c r="N188" s="1659"/>
      <c r="O188" s="1659"/>
      <c r="P188" s="1659"/>
      <c r="Q188" s="1659"/>
      <c r="R188" s="1659"/>
      <c r="S188" s="1659"/>
      <c r="T188" s="753" cm="1" t="str">
        <f t="array" ref="T188:T188">T187</f>
        <v>true</v>
      </c>
      <c r="U188" s="1548"/>
      <c r="V188" s="1548"/>
      <c r="W188" s="1548"/>
      <c r="X188" s="1548"/>
      <c r="Y188" s="1548"/>
      <c r="Z188" s="1548"/>
      <c r="AA188" s="183"/>
      <c r="AB188" s="339" t="str">
        <f>AB187&amp;".1"</f>
        <v>5.4.1</v>
      </c>
      <c r="AC188" s="636" t="s">
        <v>1191</v>
      </c>
      <c r="AD188" s="339" t="s">
        <v>1178</v>
      </c>
      <c r="AE188" s="2310">
        <f>(AE132*2+AE146+AE160-AE174)/2</f>
        <v>0</v>
      </c>
      <c r="AF188" s="2310">
        <f>(AF132*2+AF146+AF160-AF174)/2</f>
        <v>0</v>
      </c>
      <c r="AG188" s="2310">
        <f>(AG132*2+AG146+AG160-AG174)/2</f>
        <v>0</v>
      </c>
      <c r="AH188" s="2310">
        <f>(AH132*2+AH146+AH160-AH174)/2</f>
        <v>0</v>
      </c>
      <c r="AI188" s="484">
        <f>(AI132*2+AI146+AI160-AI174)/2</f>
        <v>0</v>
      </c>
      <c r="AJ188" s="2310">
        <f>(AJ132*2+AJ146+AJ160-AJ174)/2</f>
        <v>0</v>
      </c>
      <c r="AK188" s="2310">
        <f>(AK132*2+AK146+AK160-AK174)/2</f>
        <v>0</v>
      </c>
      <c r="AL188" s="2310">
        <f>(AL132*2+AL146+AL160-AL174)/2</f>
        <v>0</v>
      </c>
      <c r="AM188" s="2310">
        <f>(AM132*2+AM146+AM160-AM174)/2</f>
        <v>0</v>
      </c>
      <c r="AN188" s="2310">
        <f>(AN132*2+AN146+AN160-AN174)/2</f>
        <v>0</v>
      </c>
      <c r="AO188" s="2310">
        <f>(AO132*2+AO146+AO160-AO174)/2</f>
        <v>0</v>
      </c>
      <c r="AP188" s="2310">
        <f>(AP132*2+AP146+AP160-AP174)/2</f>
        <v>0</v>
      </c>
      <c r="AQ188" s="2310">
        <f>(AQ132*2+AQ146+AQ160-AQ174)/2</f>
        <v>0</v>
      </c>
      <c r="AR188" s="2310">
        <f>(AR132*2+AR146+AR160-AR174)/2</f>
        <v>0</v>
      </c>
      <c r="AS188" s="2310">
        <f>(AS132*2+AS146+AS160-AS174)/2</f>
        <v>0</v>
      </c>
      <c r="AT188" s="2310">
        <f>(AT132*2+AT146+AT160-AT174)/2</f>
        <v>0</v>
      </c>
      <c r="AU188" s="2310">
        <f>(AU132*2+AU146+AU160-AU174)/2</f>
        <v>0</v>
      </c>
      <c r="AV188" s="2310">
        <f>(AV132*2+AV146+AV160-AV174)/2</f>
        <v>0</v>
      </c>
      <c r="AW188" s="2310">
        <f>(AW132*2+AW146+AW160-AW174)/2</f>
        <v>0</v>
      </c>
      <c r="AX188" s="2310">
        <f>(AX132*2+AX146+AX160-AX174)/2</f>
        <v>0</v>
      </c>
      <c r="AY188" s="2310">
        <f>(AY132*2+AY146+AY160-AY174)/2</f>
        <v>0</v>
      </c>
      <c r="AZ188" s="2310">
        <f>(AZ132*2+AZ146+AZ160-AZ174)/2</f>
        <v>0</v>
      </c>
      <c r="BA188" s="2310">
        <f>(BA132*2+BA146+BA160-BA174)/2</f>
        <v>0</v>
      </c>
      <c r="BB188" s="2310">
        <f>(BB132*2+BB146+BB160-BB174)/2</f>
        <v>0</v>
      </c>
      <c r="BC188" s="484">
        <f>(BC132*2+BC146+BC160-BC174)/2</f>
        <v>0</v>
      </c>
      <c r="BD188" s="2310">
        <f>(BD132*2+BD146+BD160-BD174)/2</f>
        <v>0</v>
      </c>
      <c r="BE188" s="2310">
        <f>(BE132*2+BE146+BE160-BE174)/2</f>
        <v>0</v>
      </c>
      <c r="BF188" s="2310">
        <f>(BF132*2+BF146+BF160-BF174)/2</f>
        <v>0</v>
      </c>
      <c r="BG188" s="2310">
        <f>(BG132*2+BG146+BG160-BG174)/2</f>
        <v>0</v>
      </c>
      <c r="BH188" s="2310">
        <f>(BH132*2+BH146+BH160-BH174)/2</f>
        <v>0</v>
      </c>
      <c r="BI188" s="2310">
        <f>(BI132*2+BI146+BI160-BI174)/2</f>
        <v>0</v>
      </c>
      <c r="BJ188" s="2310">
        <f>(BJ132*2+BJ146+BJ160-BJ174)/2</f>
        <v>0</v>
      </c>
      <c r="BK188" s="2310">
        <f>(BK132*2+BK146+BK160-BK174)/2</f>
        <v>0</v>
      </c>
      <c r="BL188" s="2310">
        <f>(BL132*2+BL146+BL160-BL174)/2</f>
        <v>0</v>
      </c>
      <c r="BM188" s="2310">
        <f>(BM132*2+BM146+BM160-BM174)/2</f>
        <v>0</v>
      </c>
      <c r="BN188" s="2310">
        <f>(BN132*2+BN146+BN160-BN174)/2</f>
        <v>0</v>
      </c>
      <c r="BO188" s="2310">
        <f>(BO132*2+BO146+BO160-BO174)/2</f>
        <v>0</v>
      </c>
      <c r="BP188" s="2310">
        <f>(BP132*2+BP146+BP160-BP174)/2</f>
        <v>0</v>
      </c>
      <c r="BQ188" s="2310">
        <f>(BQ132*2+BQ146+BQ160-BQ174)/2</f>
        <v>0</v>
      </c>
      <c r="BR188" s="2310">
        <f>(BR132*2+BR146+BR160-BR174)/2</f>
        <v>0</v>
      </c>
      <c r="BS188" s="2310">
        <f>(BS132*2+BS146+BS160-BS174)/2</f>
        <v>0</v>
      </c>
      <c r="BT188" s="2310">
        <f>(BT132*2+BT146+BT160-BT174)/2</f>
        <v>0</v>
      </c>
      <c r="BU188" s="2310">
        <f>(BU132*2+BU146+BU160-BU174)/2</f>
        <v>0</v>
      </c>
      <c r="BV188" s="2310">
        <f>(BV132*2+BV146+BV160-BV174)/2</f>
        <v>0</v>
      </c>
      <c r="BW188" s="2313"/>
      <c r="BX188" s="183"/>
      <c r="BY188" s="969"/>
      <c r="BZ188" s="489" t="s">
        <v>1281</v>
      </c>
      <c r="CA188" s="1506"/>
      <c r="CB188" s="1506"/>
      <c r="CC188" s="2312" cm="1" t="str">
        <f t="array" ref="CC188:CC188">CC187</f>
        <v>ТЭ.42.31656254.0001</v>
      </c>
      <c r="CD188" s="2312" t="s">
        <v>1189</v>
      </c>
      <c r="CE188" s="2312" t="s">
        <v>1193</v>
      </c>
      <c r="CF188" s="1751"/>
      <c r="CG188" s="1751"/>
      <c r="CH188" s="2312" t="s">
        <v>886</v>
      </c>
      <c r="CI188" s="2312" t="s">
        <v>303</v>
      </c>
      <c r="CJ188" s="2312" t="s">
        <v>1275</v>
      </c>
      <c r="CK188" s="2312" t="s">
        <v>1276</v>
      </c>
      <c r="CL188" s="1751"/>
      <c r="CM188" s="1751"/>
      <c r="CN188" s="1751"/>
    </row>
    <row s="1751" customFormat="1" customHeight="1" ht="14.25">
      <c r="A189" s="371"/>
      <c r="B189" s="1548"/>
      <c r="C189" s="1548"/>
      <c r="D189" s="1548"/>
      <c r="E189" s="180">
        <v>15</v>
      </c>
      <c r="F189" s="175" cm="1" t="str">
        <f t="array" ref="F189:F189">F188</f>
        <v>1</v>
      </c>
      <c r="G189" s="1659"/>
      <c r="H189" s="1659"/>
      <c r="I189" s="1659"/>
      <c r="J189" s="1659"/>
      <c r="K189" s="1659"/>
      <c r="L189" s="1659"/>
      <c r="M189" s="1659"/>
      <c r="N189" s="1659"/>
      <c r="O189" s="1659"/>
      <c r="P189" s="1659"/>
      <c r="Q189" s="1659"/>
      <c r="R189" s="1659"/>
      <c r="S189" s="1659"/>
      <c r="T189" s="753" cm="1" t="str">
        <f t="array" ref="T189:T189">T188</f>
        <v>true</v>
      </c>
      <c r="U189" s="1548"/>
      <c r="V189" s="1548"/>
      <c r="W189" s="1548"/>
      <c r="X189" s="1548"/>
      <c r="Y189" s="1548"/>
      <c r="Z189" s="1548"/>
      <c r="AA189" s="183"/>
      <c r="AB189" s="339" t="str">
        <f>AB187&amp;".2"</f>
        <v>5.4.2</v>
      </c>
      <c r="AC189" s="636" t="s">
        <v>1195</v>
      </c>
      <c r="AD189" s="339" t="s">
        <v>1178</v>
      </c>
      <c r="AE189" s="2310">
        <f>(AE133*2+AE147+AE161-AE175)/2</f>
        <v>0</v>
      </c>
      <c r="AF189" s="2310">
        <f>(AF133*2+AF147+AF161-AF175)/2</f>
        <v>0</v>
      </c>
      <c r="AG189" s="2310">
        <f>(AG133*2+AG147+AG161-AG175)/2</f>
        <v>0</v>
      </c>
      <c r="AH189" s="2310">
        <f>(AH133*2+AH147+AH161-AH175)/2</f>
        <v>0</v>
      </c>
      <c r="AI189" s="484">
        <f>(AI133*2+AI147+AI161-AI175)/2</f>
        <v>0</v>
      </c>
      <c r="AJ189" s="2310">
        <f>(AJ133*2+AJ147+AJ161-AJ175)/2</f>
        <v>0</v>
      </c>
      <c r="AK189" s="2310">
        <f>(AK133*2+AK147+AK161-AK175)/2</f>
        <v>0</v>
      </c>
      <c r="AL189" s="2310">
        <f>(AL133*2+AL147+AL161-AL175)/2</f>
        <v>0</v>
      </c>
      <c r="AM189" s="2310">
        <f>(AM133*2+AM147+AM161-AM175)/2</f>
        <v>0</v>
      </c>
      <c r="AN189" s="2310">
        <f>(AN133*2+AN147+AN161-AN175)/2</f>
        <v>0</v>
      </c>
      <c r="AO189" s="2310">
        <f>(AO133*2+AO147+AO161-AO175)/2</f>
        <v>0</v>
      </c>
      <c r="AP189" s="2310">
        <f>(AP133*2+AP147+AP161-AP175)/2</f>
        <v>0</v>
      </c>
      <c r="AQ189" s="2310">
        <f>(AQ133*2+AQ147+AQ161-AQ175)/2</f>
        <v>0</v>
      </c>
      <c r="AR189" s="2310">
        <f>(AR133*2+AR147+AR161-AR175)/2</f>
        <v>0</v>
      </c>
      <c r="AS189" s="2310">
        <f>(AS133*2+AS147+AS161-AS175)/2</f>
        <v>0</v>
      </c>
      <c r="AT189" s="2310">
        <f>(AT133*2+AT147+AT161-AT175)/2</f>
        <v>0</v>
      </c>
      <c r="AU189" s="2310">
        <f>(AU133*2+AU147+AU161-AU175)/2</f>
        <v>0</v>
      </c>
      <c r="AV189" s="2310">
        <f>(AV133*2+AV147+AV161-AV175)/2</f>
        <v>0</v>
      </c>
      <c r="AW189" s="2310">
        <f>(AW133*2+AW147+AW161-AW175)/2</f>
        <v>0</v>
      </c>
      <c r="AX189" s="2310">
        <f>(AX133*2+AX147+AX161-AX175)/2</f>
        <v>0</v>
      </c>
      <c r="AY189" s="2310">
        <f>(AY133*2+AY147+AY161-AY175)/2</f>
        <v>0</v>
      </c>
      <c r="AZ189" s="2310">
        <f>(AZ133*2+AZ147+AZ161-AZ175)/2</f>
        <v>0</v>
      </c>
      <c r="BA189" s="2310">
        <f>(BA133*2+BA147+BA161-BA175)/2</f>
        <v>0</v>
      </c>
      <c r="BB189" s="2310">
        <f>(BB133*2+BB147+BB161-BB175)/2</f>
        <v>0</v>
      </c>
      <c r="BC189" s="484">
        <f>(BC133*2+BC147+BC161-BC175)/2</f>
        <v>0</v>
      </c>
      <c r="BD189" s="2310">
        <f>(BD133*2+BD147+BD161-BD175)/2</f>
        <v>0</v>
      </c>
      <c r="BE189" s="2310">
        <f>(BE133*2+BE147+BE161-BE175)/2</f>
        <v>0</v>
      </c>
      <c r="BF189" s="2310">
        <f>(BF133*2+BF147+BF161-BF175)/2</f>
        <v>0</v>
      </c>
      <c r="BG189" s="2310">
        <f>(BG133*2+BG147+BG161-BG175)/2</f>
        <v>0</v>
      </c>
      <c r="BH189" s="2310">
        <f>(BH133*2+BH147+BH161-BH175)/2</f>
        <v>0</v>
      </c>
      <c r="BI189" s="2310">
        <f>(BI133*2+BI147+BI161-BI175)/2</f>
        <v>0</v>
      </c>
      <c r="BJ189" s="2310">
        <f>(BJ133*2+BJ147+BJ161-BJ175)/2</f>
        <v>0</v>
      </c>
      <c r="BK189" s="2310">
        <f>(BK133*2+BK147+BK161-BK175)/2</f>
        <v>0</v>
      </c>
      <c r="BL189" s="2310">
        <f>(BL133*2+BL147+BL161-BL175)/2</f>
        <v>0</v>
      </c>
      <c r="BM189" s="2310">
        <f>(BM133*2+BM147+BM161-BM175)/2</f>
        <v>0</v>
      </c>
      <c r="BN189" s="2310">
        <f>(BN133*2+BN147+BN161-BN175)/2</f>
        <v>0</v>
      </c>
      <c r="BO189" s="2310">
        <f>(BO133*2+BO147+BO161-BO175)/2</f>
        <v>0</v>
      </c>
      <c r="BP189" s="2310">
        <f>(BP133*2+BP147+BP161-BP175)/2</f>
        <v>0</v>
      </c>
      <c r="BQ189" s="2310">
        <f>(BQ133*2+BQ147+BQ161-BQ175)/2</f>
        <v>0</v>
      </c>
      <c r="BR189" s="2310">
        <f>(BR133*2+BR147+BR161-BR175)/2</f>
        <v>0</v>
      </c>
      <c r="BS189" s="2310">
        <f>(BS133*2+BS147+BS161-BS175)/2</f>
        <v>0</v>
      </c>
      <c r="BT189" s="2310">
        <f>(BT133*2+BT147+BT161-BT175)/2</f>
        <v>0</v>
      </c>
      <c r="BU189" s="2310">
        <f>(BU133*2+BU147+BU161-BU175)/2</f>
        <v>0</v>
      </c>
      <c r="BV189" s="2310">
        <f>(BV133*2+BV147+BV161-BV175)/2</f>
        <v>0</v>
      </c>
      <c r="BW189" s="2313"/>
      <c r="BX189" s="183"/>
      <c r="BY189" s="969"/>
      <c r="BZ189" s="489" t="s">
        <v>1282</v>
      </c>
      <c r="CA189" s="1506"/>
      <c r="CB189" s="1506"/>
      <c r="CC189" s="2312" cm="1" t="str">
        <f t="array" ref="CC189:CC189">CC188</f>
        <v>ТЭ.42.31656254.0001</v>
      </c>
      <c r="CD189" s="2312" t="s">
        <v>1189</v>
      </c>
      <c r="CE189" s="2312" t="s">
        <v>1197</v>
      </c>
      <c r="CF189" s="1751"/>
      <c r="CG189" s="1751"/>
      <c r="CH189" s="2312" t="s">
        <v>886</v>
      </c>
      <c r="CI189" s="2312" t="s">
        <v>303</v>
      </c>
      <c r="CJ189" s="2312" t="s">
        <v>1275</v>
      </c>
      <c r="CK189" s="2312" t="s">
        <v>1276</v>
      </c>
      <c r="CL189" s="1751"/>
      <c r="CM189" s="1751"/>
      <c r="CN189" s="1751"/>
    </row>
    <row s="1751" customFormat="1" customHeight="1" ht="14.25">
      <c r="A190" s="371"/>
      <c r="B190" s="1548"/>
      <c r="C190" s="1548"/>
      <c r="D190" s="1548"/>
      <c r="E190" s="180">
        <v>15</v>
      </c>
      <c r="F190" s="175" cm="1" t="str">
        <f t="array" ref="F190:F190">F189</f>
        <v>1</v>
      </c>
      <c r="G190" s="1659"/>
      <c r="H190" s="1659"/>
      <c r="I190" s="1659"/>
      <c r="J190" s="1659"/>
      <c r="K190" s="1659"/>
      <c r="L190" s="1659"/>
      <c r="M190" s="1659"/>
      <c r="N190" s="1659"/>
      <c r="O190" s="1659"/>
      <c r="P190" s="1659"/>
      <c r="Q190" s="1659"/>
      <c r="R190" s="1659"/>
      <c r="S190" s="1659"/>
      <c r="T190" s="753" cm="1" t="str">
        <f t="array" ref="T190:T190">T189</f>
        <v>true</v>
      </c>
      <c r="U190" s="1548"/>
      <c r="V190" s="1548"/>
      <c r="W190" s="1548"/>
      <c r="X190" s="1548"/>
      <c r="Y190" s="1548"/>
      <c r="Z190" s="1548"/>
      <c r="AA190" s="183"/>
      <c r="AB190" s="339" t="str">
        <f>AB187&amp;".3"</f>
        <v>5.4.3</v>
      </c>
      <c r="AC190" s="636" t="s">
        <v>1199</v>
      </c>
      <c r="AD190" s="339" t="s">
        <v>1178</v>
      </c>
      <c r="AE190" s="2310">
        <f>(AE134*2+AE148+AE162-AE176)/2</f>
        <v>0</v>
      </c>
      <c r="AF190" s="2310">
        <f>(AF134*2+AF148+AF162-AF176)/2</f>
        <v>0</v>
      </c>
      <c r="AG190" s="2310">
        <f>(AG134*2+AG148+AG162-AG176)/2</f>
        <v>0</v>
      </c>
      <c r="AH190" s="2310">
        <f>(AH134*2+AH148+AH162-AH176)/2</f>
        <v>0</v>
      </c>
      <c r="AI190" s="484">
        <f>(AI134*2+AI148+AI162-AI176)/2</f>
        <v>0</v>
      </c>
      <c r="AJ190" s="2310">
        <f>(AJ134*2+AJ148+AJ162-AJ176)/2</f>
        <v>0</v>
      </c>
      <c r="AK190" s="2310">
        <f>(AK134*2+AK148+AK162-AK176)/2</f>
        <v>0</v>
      </c>
      <c r="AL190" s="2310">
        <f>(AL134*2+AL148+AL162-AL176)/2</f>
        <v>0</v>
      </c>
      <c r="AM190" s="2310">
        <f>(AM134*2+AM148+AM162-AM176)/2</f>
        <v>0</v>
      </c>
      <c r="AN190" s="2310">
        <f>(AN134*2+AN148+AN162-AN176)/2</f>
        <v>0</v>
      </c>
      <c r="AO190" s="2310">
        <f>(AO134*2+AO148+AO162-AO176)/2</f>
        <v>0</v>
      </c>
      <c r="AP190" s="2310">
        <f>(AP134*2+AP148+AP162-AP176)/2</f>
        <v>0</v>
      </c>
      <c r="AQ190" s="2310">
        <f>(AQ134*2+AQ148+AQ162-AQ176)/2</f>
        <v>0</v>
      </c>
      <c r="AR190" s="2310">
        <f>(AR134*2+AR148+AR162-AR176)/2</f>
        <v>0</v>
      </c>
      <c r="AS190" s="2310">
        <f>(AS134*2+AS148+AS162-AS176)/2</f>
        <v>0</v>
      </c>
      <c r="AT190" s="2310">
        <f>(AT134*2+AT148+AT162-AT176)/2</f>
        <v>0</v>
      </c>
      <c r="AU190" s="2310">
        <f>(AU134*2+AU148+AU162-AU176)/2</f>
        <v>0</v>
      </c>
      <c r="AV190" s="2310">
        <f>(AV134*2+AV148+AV162-AV176)/2</f>
        <v>0</v>
      </c>
      <c r="AW190" s="2310">
        <f>(AW134*2+AW148+AW162-AW176)/2</f>
        <v>0</v>
      </c>
      <c r="AX190" s="2310">
        <f>(AX134*2+AX148+AX162-AX176)/2</f>
        <v>0</v>
      </c>
      <c r="AY190" s="2310">
        <f>(AY134*2+AY148+AY162-AY176)/2</f>
        <v>0</v>
      </c>
      <c r="AZ190" s="2310">
        <f>(AZ134*2+AZ148+AZ162-AZ176)/2</f>
        <v>0</v>
      </c>
      <c r="BA190" s="2310">
        <f>(BA134*2+BA148+BA162-BA176)/2</f>
        <v>0</v>
      </c>
      <c r="BB190" s="2310">
        <f>(BB134*2+BB148+BB162-BB176)/2</f>
        <v>0</v>
      </c>
      <c r="BC190" s="484">
        <f>(BC134*2+BC148+BC162-BC176)/2</f>
        <v>0</v>
      </c>
      <c r="BD190" s="2310">
        <f>(BD134*2+BD148+BD162-BD176)/2</f>
        <v>0</v>
      </c>
      <c r="BE190" s="2310">
        <f>(BE134*2+BE148+BE162-BE176)/2</f>
        <v>0</v>
      </c>
      <c r="BF190" s="2310">
        <f>(BF134*2+BF148+BF162-BF176)/2</f>
        <v>0</v>
      </c>
      <c r="BG190" s="2310">
        <f>(BG134*2+BG148+BG162-BG176)/2</f>
        <v>0</v>
      </c>
      <c r="BH190" s="2310">
        <f>(BH134*2+BH148+BH162-BH176)/2</f>
        <v>0</v>
      </c>
      <c r="BI190" s="2310">
        <f>(BI134*2+BI148+BI162-BI176)/2</f>
        <v>0</v>
      </c>
      <c r="BJ190" s="2310">
        <f>(BJ134*2+BJ148+BJ162-BJ176)/2</f>
        <v>0</v>
      </c>
      <c r="BK190" s="2310">
        <f>(BK134*2+BK148+BK162-BK176)/2</f>
        <v>0</v>
      </c>
      <c r="BL190" s="2310">
        <f>(BL134*2+BL148+BL162-BL176)/2</f>
        <v>0</v>
      </c>
      <c r="BM190" s="2310">
        <f>(BM134*2+BM148+BM162-BM176)/2</f>
        <v>0</v>
      </c>
      <c r="BN190" s="2310">
        <f>(BN134*2+BN148+BN162-BN176)/2</f>
        <v>0</v>
      </c>
      <c r="BO190" s="2310">
        <f>(BO134*2+BO148+BO162-BO176)/2</f>
        <v>0</v>
      </c>
      <c r="BP190" s="2310">
        <f>(BP134*2+BP148+BP162-BP176)/2</f>
        <v>0</v>
      </c>
      <c r="BQ190" s="2310">
        <f>(BQ134*2+BQ148+BQ162-BQ176)/2</f>
        <v>0</v>
      </c>
      <c r="BR190" s="2310">
        <f>(BR134*2+BR148+BR162-BR176)/2</f>
        <v>0</v>
      </c>
      <c r="BS190" s="2310">
        <f>(BS134*2+BS148+BS162-BS176)/2</f>
        <v>0</v>
      </c>
      <c r="BT190" s="2310">
        <f>(BT134*2+BT148+BT162-BT176)/2</f>
        <v>0</v>
      </c>
      <c r="BU190" s="2310">
        <f>(BU134*2+BU148+BU162-BU176)/2</f>
        <v>0</v>
      </c>
      <c r="BV190" s="2310">
        <f>(BV134*2+BV148+BV162-BV176)/2</f>
        <v>0</v>
      </c>
      <c r="BW190" s="2313"/>
      <c r="BX190" s="183"/>
      <c r="BY190" s="969"/>
      <c r="BZ190" s="489" t="s">
        <v>1283</v>
      </c>
      <c r="CA190" s="1506"/>
      <c r="CB190" s="1506"/>
      <c r="CC190" s="2312" cm="1" t="str">
        <f t="array" ref="CC190:CC190">CC189</f>
        <v>ТЭ.42.31656254.0001</v>
      </c>
      <c r="CD190" s="2312" t="s">
        <v>1189</v>
      </c>
      <c r="CE190" s="2312" t="s">
        <v>1201</v>
      </c>
      <c r="CF190" s="1751"/>
      <c r="CG190" s="1751"/>
      <c r="CH190" s="2312" t="s">
        <v>886</v>
      </c>
      <c r="CI190" s="2312" t="s">
        <v>303</v>
      </c>
      <c r="CJ190" s="2312" t="s">
        <v>1275</v>
      </c>
      <c r="CK190" s="2312" t="s">
        <v>1276</v>
      </c>
      <c r="CL190" s="1751"/>
      <c r="CM190" s="1751"/>
      <c r="CN190" s="1751"/>
    </row>
    <row s="1751" customFormat="1" customHeight="1" ht="14.25">
      <c r="A191" s="371"/>
      <c r="B191" s="1548"/>
      <c r="C191" s="1548"/>
      <c r="D191" s="1548"/>
      <c r="E191" s="180">
        <v>15</v>
      </c>
      <c r="F191" s="175" cm="1" t="str">
        <f t="array" ref="F191:F191">F190</f>
        <v>1</v>
      </c>
      <c r="G191" s="1659"/>
      <c r="H191" s="1659"/>
      <c r="I191" s="1659"/>
      <c r="J191" s="1659"/>
      <c r="K191" s="1659"/>
      <c r="L191" s="1659"/>
      <c r="M191" s="1659"/>
      <c r="N191" s="1659"/>
      <c r="O191" s="1659"/>
      <c r="P191" s="1659"/>
      <c r="Q191" s="1659"/>
      <c r="R191" s="1659"/>
      <c r="S191" s="1659"/>
      <c r="T191" s="753" cm="1" t="str">
        <f t="array" ref="T191:T191">T190</f>
        <v>true</v>
      </c>
      <c r="U191" s="1548"/>
      <c r="V191" s="1548"/>
      <c r="W191" s="1548"/>
      <c r="X191" s="1548"/>
      <c r="Y191" s="1548"/>
      <c r="Z191" s="1548"/>
      <c r="AA191" s="183"/>
      <c r="AB191" s="339" t="str">
        <f>AB187&amp;".4"</f>
        <v>5.4.4</v>
      </c>
      <c r="AC191" s="636" t="s">
        <v>1203</v>
      </c>
      <c r="AD191" s="339" t="s">
        <v>1178</v>
      </c>
      <c r="AE191" s="2310">
        <f>(AE135*2+AE149+AE163-AE177)/2</f>
        <v>0</v>
      </c>
      <c r="AF191" s="2310">
        <f>(AF135*2+AF149+AF163-AF177)/2</f>
        <v>0</v>
      </c>
      <c r="AG191" s="2310">
        <f>(AG135*2+AG149+AG163-AG177)/2</f>
        <v>0</v>
      </c>
      <c r="AH191" s="2310">
        <f>(AH135*2+AH149+AH163-AH177)/2</f>
        <v>0</v>
      </c>
      <c r="AI191" s="484">
        <f>(AI135*2+AI149+AI163-AI177)/2</f>
        <v>0</v>
      </c>
      <c r="AJ191" s="2310">
        <f>(AJ135*2+AJ149+AJ163-AJ177)/2</f>
        <v>0</v>
      </c>
      <c r="AK191" s="2310">
        <f>(AK135*2+AK149+AK163-AK177)/2</f>
        <v>0</v>
      </c>
      <c r="AL191" s="2310">
        <f>(AL135*2+AL149+AL163-AL177)/2</f>
        <v>0</v>
      </c>
      <c r="AM191" s="2310">
        <f>(AM135*2+AM149+AM163-AM177)/2</f>
        <v>0</v>
      </c>
      <c r="AN191" s="2310">
        <f>(AN135*2+AN149+AN163-AN177)/2</f>
        <v>0</v>
      </c>
      <c r="AO191" s="2310">
        <f>(AO135*2+AO149+AO163-AO177)/2</f>
        <v>0</v>
      </c>
      <c r="AP191" s="2310">
        <f>(AP135*2+AP149+AP163-AP177)/2</f>
        <v>0</v>
      </c>
      <c r="AQ191" s="2310">
        <f>(AQ135*2+AQ149+AQ163-AQ177)/2</f>
        <v>0</v>
      </c>
      <c r="AR191" s="2310">
        <f>(AR135*2+AR149+AR163-AR177)/2</f>
        <v>0</v>
      </c>
      <c r="AS191" s="2310">
        <f>(AS135*2+AS149+AS163-AS177)/2</f>
        <v>0</v>
      </c>
      <c r="AT191" s="2310">
        <f>(AT135*2+AT149+AT163-AT177)/2</f>
        <v>0</v>
      </c>
      <c r="AU191" s="2310">
        <f>(AU135*2+AU149+AU163-AU177)/2</f>
        <v>0</v>
      </c>
      <c r="AV191" s="2310">
        <f>(AV135*2+AV149+AV163-AV177)/2</f>
        <v>0</v>
      </c>
      <c r="AW191" s="2310">
        <f>(AW135*2+AW149+AW163-AW177)/2</f>
        <v>0</v>
      </c>
      <c r="AX191" s="2310">
        <f>(AX135*2+AX149+AX163-AX177)/2</f>
        <v>0</v>
      </c>
      <c r="AY191" s="2310">
        <f>(AY135*2+AY149+AY163-AY177)/2</f>
        <v>0</v>
      </c>
      <c r="AZ191" s="2310">
        <f>(AZ135*2+AZ149+AZ163-AZ177)/2</f>
        <v>0</v>
      </c>
      <c r="BA191" s="2310">
        <f>(BA135*2+BA149+BA163-BA177)/2</f>
        <v>0</v>
      </c>
      <c r="BB191" s="2310">
        <f>(BB135*2+BB149+BB163-BB177)/2</f>
        <v>0</v>
      </c>
      <c r="BC191" s="484">
        <f>(BC135*2+BC149+BC163-BC177)/2</f>
        <v>0</v>
      </c>
      <c r="BD191" s="2310">
        <f>(BD135*2+BD149+BD163-BD177)/2</f>
        <v>0</v>
      </c>
      <c r="BE191" s="2310">
        <f>(BE135*2+BE149+BE163-BE177)/2</f>
        <v>0</v>
      </c>
      <c r="BF191" s="2310">
        <f>(BF135*2+BF149+BF163-BF177)/2</f>
        <v>0</v>
      </c>
      <c r="BG191" s="2310">
        <f>(BG135*2+BG149+BG163-BG177)/2</f>
        <v>0</v>
      </c>
      <c r="BH191" s="2310">
        <f>(BH135*2+BH149+BH163-BH177)/2</f>
        <v>0</v>
      </c>
      <c r="BI191" s="2310">
        <f>(BI135*2+BI149+BI163-BI177)/2</f>
        <v>0</v>
      </c>
      <c r="BJ191" s="2310">
        <f>(BJ135*2+BJ149+BJ163-BJ177)/2</f>
        <v>0</v>
      </c>
      <c r="BK191" s="2310">
        <f>(BK135*2+BK149+BK163-BK177)/2</f>
        <v>0</v>
      </c>
      <c r="BL191" s="2310">
        <f>(BL135*2+BL149+BL163-BL177)/2</f>
        <v>0</v>
      </c>
      <c r="BM191" s="2310">
        <f>(BM135*2+BM149+BM163-BM177)/2</f>
        <v>0</v>
      </c>
      <c r="BN191" s="2310">
        <f>(BN135*2+BN149+BN163-BN177)/2</f>
        <v>0</v>
      </c>
      <c r="BO191" s="2310">
        <f>(BO135*2+BO149+BO163-BO177)/2</f>
        <v>0</v>
      </c>
      <c r="BP191" s="2310">
        <f>(BP135*2+BP149+BP163-BP177)/2</f>
        <v>0</v>
      </c>
      <c r="BQ191" s="2310">
        <f>(BQ135*2+BQ149+BQ163-BQ177)/2</f>
        <v>0</v>
      </c>
      <c r="BR191" s="2310">
        <f>(BR135*2+BR149+BR163-BR177)/2</f>
        <v>0</v>
      </c>
      <c r="BS191" s="2310">
        <f>(BS135*2+BS149+BS163-BS177)/2</f>
        <v>0</v>
      </c>
      <c r="BT191" s="2310">
        <f>(BT135*2+BT149+BT163-BT177)/2</f>
        <v>0</v>
      </c>
      <c r="BU191" s="2310">
        <f>(BU135*2+BU149+BU163-BU177)/2</f>
        <v>0</v>
      </c>
      <c r="BV191" s="2310">
        <f>(BV135*2+BV149+BV163-BV177)/2</f>
        <v>0</v>
      </c>
      <c r="BW191" s="2313"/>
      <c r="BX191" s="183"/>
      <c r="BY191" s="969"/>
      <c r="BZ191" s="489" t="s">
        <v>1284</v>
      </c>
      <c r="CA191" s="1506"/>
      <c r="CB191" s="1506"/>
      <c r="CC191" s="2312" cm="1" t="str">
        <f t="array" ref="CC191:CC191">CC190</f>
        <v>ТЭ.42.31656254.0001</v>
      </c>
      <c r="CD191" s="2312" t="s">
        <v>1189</v>
      </c>
      <c r="CE191" s="2312" t="s">
        <v>1205</v>
      </c>
      <c r="CF191" s="1751"/>
      <c r="CG191" s="1751"/>
      <c r="CH191" s="2312" t="s">
        <v>886</v>
      </c>
      <c r="CI191" s="2312" t="s">
        <v>303</v>
      </c>
      <c r="CJ191" s="2312" t="s">
        <v>1275</v>
      </c>
      <c r="CK191" s="2312" t="s">
        <v>1276</v>
      </c>
      <c r="CL191" s="1751"/>
      <c r="CM191" s="1751"/>
      <c r="CN191" s="1751"/>
    </row>
    <row s="1751" customFormat="1" customHeight="1" ht="14.25">
      <c r="A192" s="371"/>
      <c r="B192" s="1548"/>
      <c r="C192" s="1548"/>
      <c r="D192" s="1548"/>
      <c r="E192" s="180">
        <v>15</v>
      </c>
      <c r="F192" s="175" cm="1" t="str">
        <f t="array" ref="F192:F192">F191</f>
        <v>1</v>
      </c>
      <c r="G192" s="1659"/>
      <c r="H192" s="1659"/>
      <c r="I192" s="1659"/>
      <c r="J192" s="1659"/>
      <c r="K192" s="1659"/>
      <c r="L192" s="1659"/>
      <c r="M192" s="1659"/>
      <c r="N192" s="1659"/>
      <c r="O192" s="1659"/>
      <c r="P192" s="1659"/>
      <c r="Q192" s="1659"/>
      <c r="R192" s="1659"/>
      <c r="S192" s="1659"/>
      <c r="T192" s="753" cm="1" t="str">
        <f t="array" ref="T192:T192">T191</f>
        <v>true</v>
      </c>
      <c r="U192" s="1548"/>
      <c r="V192" s="1548"/>
      <c r="W192" s="1548"/>
      <c r="X192" s="1548"/>
      <c r="Y192" s="1548"/>
      <c r="Z192" s="1548"/>
      <c r="AA192" s="183"/>
      <c r="AB192" s="339" t="str">
        <f>AB187&amp;".5"</f>
        <v>5.4.5</v>
      </c>
      <c r="AC192" s="636" t="s">
        <v>1207</v>
      </c>
      <c r="AD192" s="339" t="s">
        <v>1178</v>
      </c>
      <c r="AE192" s="2310">
        <f>(AE136*2+AE150+AE164-AE178)/2</f>
        <v>0</v>
      </c>
      <c r="AF192" s="2310">
        <f>(AF136*2+AF150+AF164-AF178)/2</f>
        <v>0</v>
      </c>
      <c r="AG192" s="2310">
        <f>(AG136*2+AG150+AG164-AG178)/2</f>
        <v>0</v>
      </c>
      <c r="AH192" s="2310">
        <f>(AH136*2+AH150+AH164-AH178)/2</f>
        <v>0</v>
      </c>
      <c r="AI192" s="484">
        <f>(AI136*2+AI150+AI164-AI178)/2</f>
        <v>0</v>
      </c>
      <c r="AJ192" s="2310">
        <f>(AJ136*2+AJ150+AJ164-AJ178)/2</f>
        <v>0</v>
      </c>
      <c r="AK192" s="2310">
        <f>(AK136*2+AK150+AK164-AK178)/2</f>
        <v>0</v>
      </c>
      <c r="AL192" s="2310">
        <f>(AL136*2+AL150+AL164-AL178)/2</f>
        <v>0</v>
      </c>
      <c r="AM192" s="2310">
        <f>(AM136*2+AM150+AM164-AM178)/2</f>
        <v>0</v>
      </c>
      <c r="AN192" s="2310">
        <f>(AN136*2+AN150+AN164-AN178)/2</f>
        <v>0</v>
      </c>
      <c r="AO192" s="2310">
        <f>(AO136*2+AO150+AO164-AO178)/2</f>
        <v>0</v>
      </c>
      <c r="AP192" s="2310">
        <f>(AP136*2+AP150+AP164-AP178)/2</f>
        <v>0</v>
      </c>
      <c r="AQ192" s="2310">
        <f>(AQ136*2+AQ150+AQ164-AQ178)/2</f>
        <v>0</v>
      </c>
      <c r="AR192" s="2310">
        <f>(AR136*2+AR150+AR164-AR178)/2</f>
        <v>0</v>
      </c>
      <c r="AS192" s="2310">
        <f>(AS136*2+AS150+AS164-AS178)/2</f>
        <v>0</v>
      </c>
      <c r="AT192" s="2310">
        <f>(AT136*2+AT150+AT164-AT178)/2</f>
        <v>0</v>
      </c>
      <c r="AU192" s="2310">
        <f>(AU136*2+AU150+AU164-AU178)/2</f>
        <v>0</v>
      </c>
      <c r="AV192" s="2310">
        <f>(AV136*2+AV150+AV164-AV178)/2</f>
        <v>0</v>
      </c>
      <c r="AW192" s="2310">
        <f>(AW136*2+AW150+AW164-AW178)/2</f>
        <v>0</v>
      </c>
      <c r="AX192" s="2310">
        <f>(AX136*2+AX150+AX164-AX178)/2</f>
        <v>0</v>
      </c>
      <c r="AY192" s="2310">
        <f>(AY136*2+AY150+AY164-AY178)/2</f>
        <v>0</v>
      </c>
      <c r="AZ192" s="2310">
        <f>(AZ136*2+AZ150+AZ164-AZ178)/2</f>
        <v>0</v>
      </c>
      <c r="BA192" s="2310">
        <f>(BA136*2+BA150+BA164-BA178)/2</f>
        <v>0</v>
      </c>
      <c r="BB192" s="2310">
        <f>(BB136*2+BB150+BB164-BB178)/2</f>
        <v>0</v>
      </c>
      <c r="BC192" s="484">
        <f>(BC136*2+BC150+BC164-BC178)/2</f>
        <v>0</v>
      </c>
      <c r="BD192" s="2310">
        <f>(BD136*2+BD150+BD164-BD178)/2</f>
        <v>0</v>
      </c>
      <c r="BE192" s="2310">
        <f>(BE136*2+BE150+BE164-BE178)/2</f>
        <v>0</v>
      </c>
      <c r="BF192" s="2310">
        <f>(BF136*2+BF150+BF164-BF178)/2</f>
        <v>0</v>
      </c>
      <c r="BG192" s="2310">
        <f>(BG136*2+BG150+BG164-BG178)/2</f>
        <v>0</v>
      </c>
      <c r="BH192" s="2310">
        <f>(BH136*2+BH150+BH164-BH178)/2</f>
        <v>0</v>
      </c>
      <c r="BI192" s="2310">
        <f>(BI136*2+BI150+BI164-BI178)/2</f>
        <v>0</v>
      </c>
      <c r="BJ192" s="2310">
        <f>(BJ136*2+BJ150+BJ164-BJ178)/2</f>
        <v>0</v>
      </c>
      <c r="BK192" s="2310">
        <f>(BK136*2+BK150+BK164-BK178)/2</f>
        <v>0</v>
      </c>
      <c r="BL192" s="2310">
        <f>(BL136*2+BL150+BL164-BL178)/2</f>
        <v>0</v>
      </c>
      <c r="BM192" s="2310">
        <f>(BM136*2+BM150+BM164-BM178)/2</f>
        <v>0</v>
      </c>
      <c r="BN192" s="2310">
        <f>(BN136*2+BN150+BN164-BN178)/2</f>
        <v>0</v>
      </c>
      <c r="BO192" s="2310">
        <f>(BO136*2+BO150+BO164-BO178)/2</f>
        <v>0</v>
      </c>
      <c r="BP192" s="2310">
        <f>(BP136*2+BP150+BP164-BP178)/2</f>
        <v>0</v>
      </c>
      <c r="BQ192" s="2310">
        <f>(BQ136*2+BQ150+BQ164-BQ178)/2</f>
        <v>0</v>
      </c>
      <c r="BR192" s="2310">
        <f>(BR136*2+BR150+BR164-BR178)/2</f>
        <v>0</v>
      </c>
      <c r="BS192" s="2310">
        <f>(BS136*2+BS150+BS164-BS178)/2</f>
        <v>0</v>
      </c>
      <c r="BT192" s="2310">
        <f>(BT136*2+BT150+BT164-BT178)/2</f>
        <v>0</v>
      </c>
      <c r="BU192" s="2310">
        <f>(BU136*2+BU150+BU164-BU178)/2</f>
        <v>0</v>
      </c>
      <c r="BV192" s="2310">
        <f>(BV136*2+BV150+BV164-BV178)/2</f>
        <v>0</v>
      </c>
      <c r="BW192" s="2313"/>
      <c r="BX192" s="183"/>
      <c r="BY192" s="969"/>
      <c r="BZ192" s="489" t="s">
        <v>1285</v>
      </c>
      <c r="CA192" s="1506"/>
      <c r="CB192" s="1506"/>
      <c r="CC192" s="2312" cm="1" t="str">
        <f t="array" ref="CC192:CC192">CC191</f>
        <v>ТЭ.42.31656254.0001</v>
      </c>
      <c r="CD192" s="2312" t="s">
        <v>1189</v>
      </c>
      <c r="CE192" s="2312" t="s">
        <v>1209</v>
      </c>
      <c r="CF192" s="1751"/>
      <c r="CG192" s="1751"/>
      <c r="CH192" s="2312" t="s">
        <v>886</v>
      </c>
      <c r="CI192" s="2312" t="s">
        <v>303</v>
      </c>
      <c r="CJ192" s="2312" t="s">
        <v>1275</v>
      </c>
      <c r="CK192" s="2312" t="s">
        <v>1276</v>
      </c>
      <c r="CL192" s="1751"/>
      <c r="CM192" s="1751"/>
      <c r="CN192" s="1751"/>
    </row>
    <row s="1751" customFormat="1" customHeight="1" ht="14.25">
      <c r="A193" s="371"/>
      <c r="B193" s="1548"/>
      <c r="C193" s="1548"/>
      <c r="D193" s="1548"/>
      <c r="E193" s="180">
        <v>15</v>
      </c>
      <c r="F193" s="175" cm="1" t="str">
        <f t="array" ref="F193:F193">F192</f>
        <v>1</v>
      </c>
      <c r="G193" s="1659"/>
      <c r="H193" s="1659"/>
      <c r="I193" s="1659"/>
      <c r="J193" s="1659"/>
      <c r="K193" s="1659"/>
      <c r="L193" s="1659"/>
      <c r="M193" s="1659"/>
      <c r="N193" s="1659"/>
      <c r="O193" s="1659"/>
      <c r="P193" s="1659"/>
      <c r="Q193" s="1659"/>
      <c r="R193" s="1659"/>
      <c r="S193" s="1659"/>
      <c r="T193" s="753" cm="1" t="str">
        <f t="array" ref="T193:T193">T192</f>
        <v>true</v>
      </c>
      <c r="U193" s="1548"/>
      <c r="V193" s="1548"/>
      <c r="W193" s="1548"/>
      <c r="X193" s="1548"/>
      <c r="Y193" s="1548"/>
      <c r="Z193" s="1548"/>
      <c r="AA193" s="183"/>
      <c r="AB193" s="339" t="str">
        <f>AB183&amp;".5"</f>
        <v>5.5</v>
      </c>
      <c r="AC193" s="228" t="s">
        <v>1210</v>
      </c>
      <c r="AD193" s="339" t="s">
        <v>1178</v>
      </c>
      <c r="AE193" s="2310">
        <f>(AE137*2+AE151+AE165-AE179)/2</f>
        <v>0</v>
      </c>
      <c r="AF193" s="2310">
        <f>(AF137*2+AF151+AF165-AF179)/2</f>
        <v>0</v>
      </c>
      <c r="AG193" s="2310">
        <f>(AG137*2+AG151+AG165-AG179)/2</f>
        <v>0</v>
      </c>
      <c r="AH193" s="2310">
        <f>(AH137*2+AH151+AH165-AH179)/2</f>
        <v>0</v>
      </c>
      <c r="AI193" s="484">
        <f>(AI137*2+AI151+AI165-AI179)/2</f>
        <v>0</v>
      </c>
      <c r="AJ193" s="2310">
        <f>(AJ137*2+AJ151+AJ165-AJ179)/2</f>
        <v>0</v>
      </c>
      <c r="AK193" s="2310">
        <f>(AK137*2+AK151+AK165-AK179)/2</f>
        <v>0</v>
      </c>
      <c r="AL193" s="2310">
        <f>(AL137*2+AL151+AL165-AL179)/2</f>
        <v>0</v>
      </c>
      <c r="AM193" s="2310">
        <f>(AM137*2+AM151+AM165-AM179)/2</f>
        <v>0</v>
      </c>
      <c r="AN193" s="2310">
        <f>(AN137*2+AN151+AN165-AN179)/2</f>
        <v>0</v>
      </c>
      <c r="AO193" s="2310">
        <f>(AO137*2+AO151+AO165-AO179)/2</f>
        <v>0</v>
      </c>
      <c r="AP193" s="2310">
        <f>(AP137*2+AP151+AP165-AP179)/2</f>
        <v>0</v>
      </c>
      <c r="AQ193" s="2310">
        <f>(AQ137*2+AQ151+AQ165-AQ179)/2</f>
        <v>0</v>
      </c>
      <c r="AR193" s="2310">
        <f>(AR137*2+AR151+AR165-AR179)/2</f>
        <v>0</v>
      </c>
      <c r="AS193" s="2310">
        <f>(AS137*2+AS151+AS165-AS179)/2</f>
        <v>0</v>
      </c>
      <c r="AT193" s="2310">
        <f>(AT137*2+AT151+AT165-AT179)/2</f>
        <v>0</v>
      </c>
      <c r="AU193" s="2310">
        <f>(AU137*2+AU151+AU165-AU179)/2</f>
        <v>0</v>
      </c>
      <c r="AV193" s="2310">
        <f>(AV137*2+AV151+AV165-AV179)/2</f>
        <v>0</v>
      </c>
      <c r="AW193" s="2310">
        <f>(AW137*2+AW151+AW165-AW179)/2</f>
        <v>0</v>
      </c>
      <c r="AX193" s="2310">
        <f>(AX137*2+AX151+AX165-AX179)/2</f>
        <v>0</v>
      </c>
      <c r="AY193" s="2310">
        <f>(AY137*2+AY151+AY165-AY179)/2</f>
        <v>0</v>
      </c>
      <c r="AZ193" s="2310">
        <f>(AZ137*2+AZ151+AZ165-AZ179)/2</f>
        <v>0</v>
      </c>
      <c r="BA193" s="2310">
        <f>(BA137*2+BA151+BA165-BA179)/2</f>
        <v>0</v>
      </c>
      <c r="BB193" s="2310">
        <f>(BB137*2+BB151+BB165-BB179)/2</f>
        <v>0</v>
      </c>
      <c r="BC193" s="484">
        <f>(BC137*2+BC151+BC165-BC179)/2</f>
        <v>0</v>
      </c>
      <c r="BD193" s="2310">
        <f>(BD137*2+BD151+BD165-BD179)/2</f>
        <v>0</v>
      </c>
      <c r="BE193" s="2310">
        <f>(BE137*2+BE151+BE165-BE179)/2</f>
        <v>0</v>
      </c>
      <c r="BF193" s="2310">
        <f>(BF137*2+BF151+BF165-BF179)/2</f>
        <v>0</v>
      </c>
      <c r="BG193" s="2310">
        <f>(BG137*2+BG151+BG165-BG179)/2</f>
        <v>0</v>
      </c>
      <c r="BH193" s="2310">
        <f>(BH137*2+BH151+BH165-BH179)/2</f>
        <v>0</v>
      </c>
      <c r="BI193" s="2310">
        <f>(BI137*2+BI151+BI165-BI179)/2</f>
        <v>0</v>
      </c>
      <c r="BJ193" s="2310">
        <f>(BJ137*2+BJ151+BJ165-BJ179)/2</f>
        <v>0</v>
      </c>
      <c r="BK193" s="2310">
        <f>(BK137*2+BK151+BK165-BK179)/2</f>
        <v>0</v>
      </c>
      <c r="BL193" s="2310">
        <f>(BL137*2+BL151+BL165-BL179)/2</f>
        <v>0</v>
      </c>
      <c r="BM193" s="2310">
        <f>(BM137*2+BM151+BM165-BM179)/2</f>
        <v>0</v>
      </c>
      <c r="BN193" s="2310">
        <f>(BN137*2+BN151+BN165-BN179)/2</f>
        <v>0</v>
      </c>
      <c r="BO193" s="2310">
        <f>(BO137*2+BO151+BO165-BO179)/2</f>
        <v>0</v>
      </c>
      <c r="BP193" s="2310">
        <f>(BP137*2+BP151+BP165-BP179)/2</f>
        <v>0</v>
      </c>
      <c r="BQ193" s="2310">
        <f>(BQ137*2+BQ151+BQ165-BQ179)/2</f>
        <v>0</v>
      </c>
      <c r="BR193" s="2310">
        <f>(BR137*2+BR151+BR165-BR179)/2</f>
        <v>0</v>
      </c>
      <c r="BS193" s="2310">
        <f>(BS137*2+BS151+BS165-BS179)/2</f>
        <v>0</v>
      </c>
      <c r="BT193" s="2310">
        <f>(BT137*2+BT151+BT165-BT179)/2</f>
        <v>0</v>
      </c>
      <c r="BU193" s="2310">
        <f>(BU137*2+BU151+BU165-BU179)/2</f>
        <v>0</v>
      </c>
      <c r="BV193" s="2310">
        <f>(BV137*2+BV151+BV165-BV179)/2</f>
        <v>0</v>
      </c>
      <c r="BW193" s="2313"/>
      <c r="BX193" s="183"/>
      <c r="BY193" s="969"/>
      <c r="BZ193" s="489" t="s">
        <v>1286</v>
      </c>
      <c r="CA193" s="1506"/>
      <c r="CB193" s="1506"/>
      <c r="CC193" s="2312" cm="1" t="str">
        <f t="array" ref="CC193:CC193">CC192</f>
        <v>ТЭ.42.31656254.0001</v>
      </c>
      <c r="CD193" s="2312" t="s">
        <v>1212</v>
      </c>
      <c r="CE193" s="1751"/>
      <c r="CF193" s="1751"/>
      <c r="CG193" s="1751"/>
      <c r="CH193" s="2312" t="s">
        <v>886</v>
      </c>
      <c r="CI193" s="2312" t="s">
        <v>303</v>
      </c>
      <c r="CJ193" s="2312" t="s">
        <v>1275</v>
      </c>
      <c r="CK193" s="2312" t="s">
        <v>1276</v>
      </c>
      <c r="CL193" s="1751"/>
      <c r="CM193" s="1751"/>
      <c r="CN193" s="1751"/>
    </row>
    <row s="1751" customFormat="1" customHeight="1" ht="14.25">
      <c r="A194" s="371"/>
      <c r="B194" s="1548"/>
      <c r="C194" s="1548"/>
      <c r="D194" s="1548"/>
      <c r="E194" s="180">
        <v>15</v>
      </c>
      <c r="F194" s="175" cm="1" t="str">
        <f t="array" ref="F194:F194">F193</f>
        <v>1</v>
      </c>
      <c r="G194" s="1659"/>
      <c r="H194" s="1659"/>
      <c r="I194" s="1659"/>
      <c r="J194" s="1659"/>
      <c r="K194" s="1659"/>
      <c r="L194" s="1659"/>
      <c r="M194" s="1659"/>
      <c r="N194" s="1659"/>
      <c r="O194" s="1659"/>
      <c r="P194" s="1659"/>
      <c r="Q194" s="1659"/>
      <c r="R194" s="1659"/>
      <c r="S194" s="1659"/>
      <c r="T194" s="753" cm="1" t="str">
        <f t="array" ref="T194:T194">T193</f>
        <v>true</v>
      </c>
      <c r="U194" s="1548"/>
      <c r="V194" s="1548"/>
      <c r="W194" s="1548"/>
      <c r="X194" s="1548"/>
      <c r="Y194" s="1548"/>
      <c r="Z194" s="1548"/>
      <c r="AA194" s="183"/>
      <c r="AB194" s="339" t="str">
        <f>AB183&amp;".6"</f>
        <v>5.6</v>
      </c>
      <c r="AC194" s="228" t="s">
        <v>1213</v>
      </c>
      <c r="AD194" s="339" t="s">
        <v>1178</v>
      </c>
      <c r="AE194" s="2310">
        <f>(AE138*2+AE152+AE166-AE180)/2</f>
        <v>0</v>
      </c>
      <c r="AF194" s="2310">
        <f>(AF138*2+AF152+AF166-AF180)/2</f>
        <v>0</v>
      </c>
      <c r="AG194" s="2310">
        <f>(AG138*2+AG152+AG166-AG180)/2</f>
        <v>0</v>
      </c>
      <c r="AH194" s="2310">
        <f>(AH138*2+AH152+AH166-AH180)/2</f>
        <v>0</v>
      </c>
      <c r="AI194" s="484">
        <f>(AI138*2+AI152+AI166-AI180)/2</f>
        <v>0</v>
      </c>
      <c r="AJ194" s="2310">
        <f>(AJ138*2+AJ152+AJ166-AJ180)/2</f>
        <v>0</v>
      </c>
      <c r="AK194" s="2310">
        <f>(AK138*2+AK152+AK166-AK180)/2</f>
        <v>0</v>
      </c>
      <c r="AL194" s="2310">
        <f>(AL138*2+AL152+AL166-AL180)/2</f>
        <v>0</v>
      </c>
      <c r="AM194" s="2310">
        <f>(AM138*2+AM152+AM166-AM180)/2</f>
        <v>0</v>
      </c>
      <c r="AN194" s="2310">
        <f>(AN138*2+AN152+AN166-AN180)/2</f>
        <v>0</v>
      </c>
      <c r="AO194" s="2310">
        <f>(AO138*2+AO152+AO166-AO180)/2</f>
        <v>0</v>
      </c>
      <c r="AP194" s="2310">
        <f>(AP138*2+AP152+AP166-AP180)/2</f>
        <v>0</v>
      </c>
      <c r="AQ194" s="2310">
        <f>(AQ138*2+AQ152+AQ166-AQ180)/2</f>
        <v>0</v>
      </c>
      <c r="AR194" s="2310">
        <f>(AR138*2+AR152+AR166-AR180)/2</f>
        <v>0</v>
      </c>
      <c r="AS194" s="2310">
        <f>(AS138*2+AS152+AS166-AS180)/2</f>
        <v>0</v>
      </c>
      <c r="AT194" s="2310">
        <f>(AT138*2+AT152+AT166-AT180)/2</f>
        <v>0</v>
      </c>
      <c r="AU194" s="2310">
        <f>(AU138*2+AU152+AU166-AU180)/2</f>
        <v>0</v>
      </c>
      <c r="AV194" s="2310">
        <f>(AV138*2+AV152+AV166-AV180)/2</f>
        <v>0</v>
      </c>
      <c r="AW194" s="2310">
        <f>(AW138*2+AW152+AW166-AW180)/2</f>
        <v>0</v>
      </c>
      <c r="AX194" s="2310">
        <f>(AX138*2+AX152+AX166-AX180)/2</f>
        <v>0</v>
      </c>
      <c r="AY194" s="2310">
        <f>(AY138*2+AY152+AY166-AY180)/2</f>
        <v>0</v>
      </c>
      <c r="AZ194" s="2310">
        <f>(AZ138*2+AZ152+AZ166-AZ180)/2</f>
        <v>0</v>
      </c>
      <c r="BA194" s="2310">
        <f>(BA138*2+BA152+BA166-BA180)/2</f>
        <v>0</v>
      </c>
      <c r="BB194" s="2310">
        <f>(BB138*2+BB152+BB166-BB180)/2</f>
        <v>0</v>
      </c>
      <c r="BC194" s="484">
        <f>(BC138*2+BC152+BC166-BC180)/2</f>
        <v>0</v>
      </c>
      <c r="BD194" s="2310">
        <f>(BD138*2+BD152+BD166-BD180)/2</f>
        <v>0</v>
      </c>
      <c r="BE194" s="2310">
        <f>(BE138*2+BE152+BE166-BE180)/2</f>
        <v>0</v>
      </c>
      <c r="BF194" s="2310">
        <f>(BF138*2+BF152+BF166-BF180)/2</f>
        <v>0</v>
      </c>
      <c r="BG194" s="2310">
        <f>(BG138*2+BG152+BG166-BG180)/2</f>
        <v>0</v>
      </c>
      <c r="BH194" s="2310">
        <f>(BH138*2+BH152+BH166-BH180)/2</f>
        <v>0</v>
      </c>
      <c r="BI194" s="2310">
        <f>(BI138*2+BI152+BI166-BI180)/2</f>
        <v>0</v>
      </c>
      <c r="BJ194" s="2310">
        <f>(BJ138*2+BJ152+BJ166-BJ180)/2</f>
        <v>0</v>
      </c>
      <c r="BK194" s="2310">
        <f>(BK138*2+BK152+BK166-BK180)/2</f>
        <v>0</v>
      </c>
      <c r="BL194" s="2310">
        <f>(BL138*2+BL152+BL166-BL180)/2</f>
        <v>0</v>
      </c>
      <c r="BM194" s="2310">
        <f>(BM138*2+BM152+BM166-BM180)/2</f>
        <v>0</v>
      </c>
      <c r="BN194" s="2310">
        <f>(BN138*2+BN152+BN166-BN180)/2</f>
        <v>0</v>
      </c>
      <c r="BO194" s="2310">
        <f>(BO138*2+BO152+BO166-BO180)/2</f>
        <v>0</v>
      </c>
      <c r="BP194" s="2310">
        <f>(BP138*2+BP152+BP166-BP180)/2</f>
        <v>0</v>
      </c>
      <c r="BQ194" s="2310">
        <f>(BQ138*2+BQ152+BQ166-BQ180)/2</f>
        <v>0</v>
      </c>
      <c r="BR194" s="2310">
        <f>(BR138*2+BR152+BR166-BR180)/2</f>
        <v>0</v>
      </c>
      <c r="BS194" s="2310">
        <f>(BS138*2+BS152+BS166-BS180)/2</f>
        <v>0</v>
      </c>
      <c r="BT194" s="2310">
        <f>(BT138*2+BT152+BT166-BT180)/2</f>
        <v>0</v>
      </c>
      <c r="BU194" s="2310">
        <f>(BU138*2+BU152+BU166-BU180)/2</f>
        <v>0</v>
      </c>
      <c r="BV194" s="2310">
        <f>(BV138*2+BV152+BV166-BV180)/2</f>
        <v>0</v>
      </c>
      <c r="BW194" s="2313"/>
      <c r="BX194" s="183"/>
      <c r="BY194" s="969"/>
      <c r="BZ194" s="489" t="s">
        <v>1287</v>
      </c>
      <c r="CA194" s="1506"/>
      <c r="CB194" s="1506"/>
      <c r="CC194" s="2312" cm="1" t="str">
        <f t="array" ref="CC194:CC194">CC193</f>
        <v>ТЭ.42.31656254.0001</v>
      </c>
      <c r="CD194" s="1751"/>
      <c r="CE194" s="1751"/>
      <c r="CF194" s="2312" t="s">
        <v>1215</v>
      </c>
      <c r="CG194" s="1751"/>
      <c r="CH194" s="2312" t="s">
        <v>886</v>
      </c>
      <c r="CI194" s="2312" t="s">
        <v>303</v>
      </c>
      <c r="CJ194" s="2312" t="s">
        <v>1275</v>
      </c>
      <c r="CK194" s="2312" t="s">
        <v>1276</v>
      </c>
      <c r="CL194" s="1751"/>
      <c r="CM194" s="1751"/>
      <c r="CN194" s="1751"/>
    </row>
    <row s="1751" customFormat="1" customHeight="1" ht="14.25">
      <c r="A195" s="371"/>
      <c r="B195" s="1548"/>
      <c r="C195" s="1548"/>
      <c r="D195" s="1548"/>
      <c r="E195" s="180">
        <v>15</v>
      </c>
      <c r="F195" s="175" cm="1" t="str">
        <f t="array" ref="F195:F195">F194</f>
        <v>1</v>
      </c>
      <c r="G195" s="1659"/>
      <c r="H195" s="1659"/>
      <c r="I195" s="1659"/>
      <c r="J195" s="1659"/>
      <c r="K195" s="1659"/>
      <c r="L195" s="1659"/>
      <c r="M195" s="1659"/>
      <c r="N195" s="1659"/>
      <c r="O195" s="1659"/>
      <c r="P195" s="1659"/>
      <c r="Q195" s="1659"/>
      <c r="R195" s="1659"/>
      <c r="S195" s="1659"/>
      <c r="T195" s="753" cm="1" t="str">
        <f t="array" ref="T195:T195">T194</f>
        <v>true</v>
      </c>
      <c r="U195" s="1548"/>
      <c r="V195" s="1548"/>
      <c r="W195" s="1548"/>
      <c r="X195" s="1548"/>
      <c r="Y195" s="1548"/>
      <c r="Z195" s="1548"/>
      <c r="AA195" s="183"/>
      <c r="AB195" s="339" t="str">
        <f>AB183&amp;".7"</f>
        <v>5.7</v>
      </c>
      <c r="AC195" s="228" t="s">
        <v>1216</v>
      </c>
      <c r="AD195" s="339" t="s">
        <v>1178</v>
      </c>
      <c r="AE195" s="2310">
        <f>(AE139*2+AE153+AE167-AE181)/2</f>
        <v>0</v>
      </c>
      <c r="AF195" s="2310">
        <f>(AF139*2+AF153+AF167-AF181)/2</f>
        <v>0</v>
      </c>
      <c r="AG195" s="2310">
        <f>(AG139*2+AG153+AG167-AG181)/2</f>
        <v>0</v>
      </c>
      <c r="AH195" s="2310">
        <f>(AH139*2+AH153+AH167-AH181)/2</f>
        <v>0</v>
      </c>
      <c r="AI195" s="484">
        <f>(AI139*2+AI153+AI167-AI181)/2</f>
        <v>0</v>
      </c>
      <c r="AJ195" s="2310">
        <f>(AJ139*2+AJ153+AJ167-AJ181)/2</f>
        <v>0</v>
      </c>
      <c r="AK195" s="2310">
        <f>(AK139*2+AK153+AK167-AK181)/2</f>
        <v>0</v>
      </c>
      <c r="AL195" s="2310">
        <f>(AL139*2+AL153+AL167-AL181)/2</f>
        <v>0</v>
      </c>
      <c r="AM195" s="2310">
        <f>(AM139*2+AM153+AM167-AM181)/2</f>
        <v>0</v>
      </c>
      <c r="AN195" s="2310">
        <f>(AN139*2+AN153+AN167-AN181)/2</f>
        <v>0</v>
      </c>
      <c r="AO195" s="2310">
        <f>(AO139*2+AO153+AO167-AO181)/2</f>
        <v>0</v>
      </c>
      <c r="AP195" s="2310">
        <f>(AP139*2+AP153+AP167-AP181)/2</f>
        <v>0</v>
      </c>
      <c r="AQ195" s="2310">
        <f>(AQ139*2+AQ153+AQ167-AQ181)/2</f>
        <v>0</v>
      </c>
      <c r="AR195" s="2310">
        <f>(AR139*2+AR153+AR167-AR181)/2</f>
        <v>0</v>
      </c>
      <c r="AS195" s="2310">
        <f>(AS139*2+AS153+AS167-AS181)/2</f>
        <v>0</v>
      </c>
      <c r="AT195" s="2310">
        <f>(AT139*2+AT153+AT167-AT181)/2</f>
        <v>0</v>
      </c>
      <c r="AU195" s="2310">
        <f>(AU139*2+AU153+AU167-AU181)/2</f>
        <v>0</v>
      </c>
      <c r="AV195" s="2310">
        <f>(AV139*2+AV153+AV167-AV181)/2</f>
        <v>0</v>
      </c>
      <c r="AW195" s="2310">
        <f>(AW139*2+AW153+AW167-AW181)/2</f>
        <v>0</v>
      </c>
      <c r="AX195" s="2310">
        <f>(AX139*2+AX153+AX167-AX181)/2</f>
        <v>0</v>
      </c>
      <c r="AY195" s="2310">
        <f>(AY139*2+AY153+AY167-AY181)/2</f>
        <v>0</v>
      </c>
      <c r="AZ195" s="2310">
        <f>(AZ139*2+AZ153+AZ167-AZ181)/2</f>
        <v>0</v>
      </c>
      <c r="BA195" s="2310">
        <f>(BA139*2+BA153+BA167-BA181)/2</f>
        <v>0</v>
      </c>
      <c r="BB195" s="2310">
        <f>(BB139*2+BB153+BB167-BB181)/2</f>
        <v>0</v>
      </c>
      <c r="BC195" s="484">
        <f>(BC139*2+BC153+BC167-BC181)/2</f>
        <v>0</v>
      </c>
      <c r="BD195" s="2310">
        <f>(BD139*2+BD153+BD167-BD181)/2</f>
        <v>0</v>
      </c>
      <c r="BE195" s="2310">
        <f>(BE139*2+BE153+BE167-BE181)/2</f>
        <v>0</v>
      </c>
      <c r="BF195" s="2310">
        <f>(BF139*2+BF153+BF167-BF181)/2</f>
        <v>0</v>
      </c>
      <c r="BG195" s="2310">
        <f>(BG139*2+BG153+BG167-BG181)/2</f>
        <v>0</v>
      </c>
      <c r="BH195" s="2310">
        <f>(BH139*2+BH153+BH167-BH181)/2</f>
        <v>0</v>
      </c>
      <c r="BI195" s="2310">
        <f>(BI139*2+BI153+BI167-BI181)/2</f>
        <v>0</v>
      </c>
      <c r="BJ195" s="2310">
        <f>(BJ139*2+BJ153+BJ167-BJ181)/2</f>
        <v>0</v>
      </c>
      <c r="BK195" s="2310">
        <f>(BK139*2+BK153+BK167-BK181)/2</f>
        <v>0</v>
      </c>
      <c r="BL195" s="2310">
        <f>(BL139*2+BL153+BL167-BL181)/2</f>
        <v>0</v>
      </c>
      <c r="BM195" s="2310">
        <f>(BM139*2+BM153+BM167-BM181)/2</f>
        <v>0</v>
      </c>
      <c r="BN195" s="2310">
        <f>(BN139*2+BN153+BN167-BN181)/2</f>
        <v>0</v>
      </c>
      <c r="BO195" s="2310">
        <f>(BO139*2+BO153+BO167-BO181)/2</f>
        <v>0</v>
      </c>
      <c r="BP195" s="2310">
        <f>(BP139*2+BP153+BP167-BP181)/2</f>
        <v>0</v>
      </c>
      <c r="BQ195" s="2310">
        <f>(BQ139*2+BQ153+BQ167-BQ181)/2</f>
        <v>0</v>
      </c>
      <c r="BR195" s="2310">
        <f>(BR139*2+BR153+BR167-BR181)/2</f>
        <v>0</v>
      </c>
      <c r="BS195" s="2310">
        <f>(BS139*2+BS153+BS167-BS181)/2</f>
        <v>0</v>
      </c>
      <c r="BT195" s="2310">
        <f>(BT139*2+BT153+BT167-BT181)/2</f>
        <v>0</v>
      </c>
      <c r="BU195" s="2310">
        <f>(BU139*2+BU153+BU167-BU181)/2</f>
        <v>0</v>
      </c>
      <c r="BV195" s="2310">
        <f>(BV139*2+BV153+BV167-BV181)/2</f>
        <v>0</v>
      </c>
      <c r="BW195" s="2313"/>
      <c r="BX195" s="183"/>
      <c r="BY195" s="969"/>
      <c r="BZ195" s="489" t="s">
        <v>1288</v>
      </c>
      <c r="CA195" s="1506"/>
      <c r="CB195" s="1506"/>
      <c r="CC195" s="2312" cm="1" t="str">
        <f t="array" ref="CC195:CC195">CC194</f>
        <v>ТЭ.42.31656254.0001</v>
      </c>
      <c r="CD195" s="1751"/>
      <c r="CE195" s="1751"/>
      <c r="CF195" s="2312" t="s">
        <v>1218</v>
      </c>
      <c r="CG195" s="1751"/>
      <c r="CH195" s="2312" t="s">
        <v>886</v>
      </c>
      <c r="CI195" s="2312" t="s">
        <v>303</v>
      </c>
      <c r="CJ195" s="2312" t="s">
        <v>1275</v>
      </c>
      <c r="CK195" s="2312" t="s">
        <v>1276</v>
      </c>
      <c r="CL195" s="1751"/>
      <c r="CM195" s="1751"/>
      <c r="CN195" s="1751"/>
    </row>
    <row s="1751" customFormat="1" customHeight="1" ht="14.25">
      <c r="A196" s="371"/>
      <c r="B196" s="1548"/>
      <c r="C196" s="1548"/>
      <c r="D196" s="1548"/>
      <c r="E196" s="180">
        <v>15</v>
      </c>
      <c r="F196" s="175" cm="1" t="str">
        <f t="array" ref="F196:F196">F195</f>
        <v>1</v>
      </c>
      <c r="G196" s="1659"/>
      <c r="H196" s="1659"/>
      <c r="I196" s="1659"/>
      <c r="J196" s="1659"/>
      <c r="K196" s="1659"/>
      <c r="L196" s="1659"/>
      <c r="M196" s="1659"/>
      <c r="N196" s="1659"/>
      <c r="O196" s="1659"/>
      <c r="P196" s="1659"/>
      <c r="Q196" s="1659"/>
      <c r="R196" s="1659"/>
      <c r="S196" s="1659"/>
      <c r="T196" s="753" cm="1" t="str">
        <f t="array" ref="T196:T196">T195</f>
        <v>true</v>
      </c>
      <c r="U196" s="1548"/>
      <c r="V196" s="1548"/>
      <c r="W196" s="1548"/>
      <c r="X196" s="1548"/>
      <c r="Y196" s="1548"/>
      <c r="Z196" s="1548"/>
      <c r="AA196" s="183"/>
      <c r="AB196" s="339" t="str">
        <f>AB183&amp;".8"</f>
        <v>5.8</v>
      </c>
      <c r="AC196" s="228" t="s">
        <v>1219</v>
      </c>
      <c r="AD196" s="339" t="s">
        <v>1178</v>
      </c>
      <c r="AE196" s="2310">
        <f>(AE140*2+AE154+AE168-AE182)/2</f>
        <v>0</v>
      </c>
      <c r="AF196" s="2310">
        <f>(AF140*2+AF154+AF168-AF182)/2</f>
        <v>0</v>
      </c>
      <c r="AG196" s="2310">
        <f>(AG140*2+AG154+AG168-AG182)/2</f>
        <v>0</v>
      </c>
      <c r="AH196" s="2310">
        <f>(AH140*2+AH154+AH168-AH182)/2</f>
        <v>0</v>
      </c>
      <c r="AI196" s="484">
        <f>(AI140*2+AI154+AI168-AI182)/2</f>
        <v>0</v>
      </c>
      <c r="AJ196" s="2310">
        <f>(AJ140*2+AJ154+AJ168-AJ182)/2</f>
        <v>0</v>
      </c>
      <c r="AK196" s="2310">
        <f>(AK140*2+AK154+AK168-AK182)/2</f>
        <v>0</v>
      </c>
      <c r="AL196" s="2310">
        <f>(AL140*2+AL154+AL168-AL182)/2</f>
        <v>0</v>
      </c>
      <c r="AM196" s="2310">
        <f>(AM140*2+AM154+AM168-AM182)/2</f>
        <v>0</v>
      </c>
      <c r="AN196" s="2310">
        <f>(AN140*2+AN154+AN168-AN182)/2</f>
        <v>0</v>
      </c>
      <c r="AO196" s="2310">
        <f>(AO140*2+AO154+AO168-AO182)/2</f>
        <v>0</v>
      </c>
      <c r="AP196" s="2310">
        <f>(AP140*2+AP154+AP168-AP182)/2</f>
        <v>0</v>
      </c>
      <c r="AQ196" s="2310">
        <f>(AQ140*2+AQ154+AQ168-AQ182)/2</f>
        <v>0</v>
      </c>
      <c r="AR196" s="2310">
        <f>(AR140*2+AR154+AR168-AR182)/2</f>
        <v>0</v>
      </c>
      <c r="AS196" s="2310">
        <f>(AS140*2+AS154+AS168-AS182)/2</f>
        <v>0</v>
      </c>
      <c r="AT196" s="2310">
        <f>(AT140*2+AT154+AT168-AT182)/2</f>
        <v>0</v>
      </c>
      <c r="AU196" s="2310">
        <f>(AU140*2+AU154+AU168-AU182)/2</f>
        <v>0</v>
      </c>
      <c r="AV196" s="2310">
        <f>(AV140*2+AV154+AV168-AV182)/2</f>
        <v>0</v>
      </c>
      <c r="AW196" s="2310">
        <f>(AW140*2+AW154+AW168-AW182)/2</f>
        <v>0</v>
      </c>
      <c r="AX196" s="2310">
        <f>(AX140*2+AX154+AX168-AX182)/2</f>
        <v>0</v>
      </c>
      <c r="AY196" s="2310">
        <f>(AY140*2+AY154+AY168-AY182)/2</f>
        <v>0</v>
      </c>
      <c r="AZ196" s="2310">
        <f>(AZ140*2+AZ154+AZ168-AZ182)/2</f>
        <v>0</v>
      </c>
      <c r="BA196" s="2310">
        <f>(BA140*2+BA154+BA168-BA182)/2</f>
        <v>0</v>
      </c>
      <c r="BB196" s="2310">
        <f>(BB140*2+BB154+BB168-BB182)/2</f>
        <v>0</v>
      </c>
      <c r="BC196" s="484">
        <f>(BC140*2+BC154+BC168-BC182)/2</f>
        <v>0</v>
      </c>
      <c r="BD196" s="2310">
        <f>(BD140*2+BD154+BD168-BD182)/2</f>
        <v>0</v>
      </c>
      <c r="BE196" s="2310">
        <f>(BE140*2+BE154+BE168-BE182)/2</f>
        <v>0</v>
      </c>
      <c r="BF196" s="2310">
        <f>(BF140*2+BF154+BF168-BF182)/2</f>
        <v>0</v>
      </c>
      <c r="BG196" s="2310">
        <f>(BG140*2+BG154+BG168-BG182)/2</f>
        <v>0</v>
      </c>
      <c r="BH196" s="2310">
        <f>(BH140*2+BH154+BH168-BH182)/2</f>
        <v>0</v>
      </c>
      <c r="BI196" s="2310">
        <f>(BI140*2+BI154+BI168-BI182)/2</f>
        <v>0</v>
      </c>
      <c r="BJ196" s="2310">
        <f>(BJ140*2+BJ154+BJ168-BJ182)/2</f>
        <v>0</v>
      </c>
      <c r="BK196" s="2310">
        <f>(BK140*2+BK154+BK168-BK182)/2</f>
        <v>0</v>
      </c>
      <c r="BL196" s="2310">
        <f>(BL140*2+BL154+BL168-BL182)/2</f>
        <v>0</v>
      </c>
      <c r="BM196" s="2310">
        <f>(BM140*2+BM154+BM168-BM182)/2</f>
        <v>0</v>
      </c>
      <c r="BN196" s="2310">
        <f>(BN140*2+BN154+BN168-BN182)/2</f>
        <v>0</v>
      </c>
      <c r="BO196" s="2310">
        <f>(BO140*2+BO154+BO168-BO182)/2</f>
        <v>0</v>
      </c>
      <c r="BP196" s="2310">
        <f>(BP140*2+BP154+BP168-BP182)/2</f>
        <v>0</v>
      </c>
      <c r="BQ196" s="2310">
        <f>(BQ140*2+BQ154+BQ168-BQ182)/2</f>
        <v>0</v>
      </c>
      <c r="BR196" s="2310">
        <f>(BR140*2+BR154+BR168-BR182)/2</f>
        <v>0</v>
      </c>
      <c r="BS196" s="2310">
        <f>(BS140*2+BS154+BS168-BS182)/2</f>
        <v>0</v>
      </c>
      <c r="BT196" s="2310">
        <f>(BT140*2+BT154+BT168-BT182)/2</f>
        <v>0</v>
      </c>
      <c r="BU196" s="2310">
        <f>(BU140*2+BU154+BU168-BU182)/2</f>
        <v>0</v>
      </c>
      <c r="BV196" s="2310">
        <f>(BV140*2+BV154+BV168-BV182)/2</f>
        <v>0</v>
      </c>
      <c r="BW196" s="2313"/>
      <c r="BX196" s="183"/>
      <c r="BY196" s="969"/>
      <c r="BZ196" s="489" t="s">
        <v>1289</v>
      </c>
      <c r="CA196" s="1506"/>
      <c r="CB196" s="1506"/>
      <c r="CC196" s="2312" cm="1" t="str">
        <f t="array" ref="CC196:CC196">CC195</f>
        <v>ТЭ.42.31656254.0001</v>
      </c>
      <c r="CD196" s="2312" t="s">
        <v>1221</v>
      </c>
      <c r="CE196" s="1751"/>
      <c r="CF196" s="1751"/>
      <c r="CG196" s="1751"/>
      <c r="CH196" s="2312" t="s">
        <v>1290</v>
      </c>
      <c r="CI196" s="2312" t="s">
        <v>303</v>
      </c>
      <c r="CJ196" s="2312" t="s">
        <v>1275</v>
      </c>
      <c r="CK196" s="2312" t="s">
        <v>1276</v>
      </c>
      <c r="CL196" s="1751"/>
      <c r="CM196" s="1751"/>
      <c r="CN196" s="1751"/>
    </row>
    <row s="986" customFormat="1" customHeight="1" ht="21.75">
      <c r="A197" s="986"/>
      <c r="B197" s="986"/>
      <c r="C197" s="986"/>
      <c r="D197" s="986"/>
      <c r="E197" s="180">
        <v>23</v>
      </c>
      <c r="F197" s="175" cm="1" t="str">
        <f t="array" ref="F197:F197">F196</f>
        <v>1</v>
      </c>
      <c r="G197" s="986"/>
      <c r="H197" s="986"/>
      <c r="I197" s="986"/>
      <c r="J197" s="986"/>
      <c r="K197" s="986"/>
      <c r="L197" s="986"/>
      <c r="M197" s="986"/>
      <c r="N197" s="986"/>
      <c r="O197" s="986"/>
      <c r="P197" s="986"/>
      <c r="Q197" s="986"/>
      <c r="R197" s="986"/>
      <c r="S197" s="986"/>
      <c r="T197" s="753" cm="1" t="str">
        <f t="array" ref="T197:T197">T196</f>
        <v>true</v>
      </c>
      <c r="U197" s="986"/>
      <c r="V197" s="986"/>
      <c r="W197" s="986"/>
      <c r="X197" s="986"/>
      <c r="Y197" s="986"/>
      <c r="Z197" s="986"/>
      <c r="AA197" s="986"/>
      <c r="AB197" s="556">
        <v>6</v>
      </c>
      <c r="AC197" s="555" t="s">
        <v>1291</v>
      </c>
      <c r="AD197" s="633" t="s">
        <v>495</v>
      </c>
      <c r="AE197" s="2286"/>
      <c r="AF197" s="2286"/>
      <c r="AG197" s="2286"/>
      <c r="AH197" s="2286"/>
      <c r="AI197" s="588"/>
      <c r="AJ197" s="2286"/>
      <c r="AK197" s="2286"/>
      <c r="AL197" s="2286"/>
      <c r="AM197" s="2286"/>
      <c r="AN197" s="2286"/>
      <c r="AO197" s="2286"/>
      <c r="AP197" s="2286"/>
      <c r="AQ197" s="2286"/>
      <c r="AR197" s="2286"/>
      <c r="AS197" s="2286"/>
      <c r="AT197" s="2286"/>
      <c r="AU197" s="2286"/>
      <c r="AV197" s="2286"/>
      <c r="AW197" s="2286"/>
      <c r="AX197" s="2286"/>
      <c r="AY197" s="2286"/>
      <c r="AZ197" s="2286"/>
      <c r="BA197" s="2286"/>
      <c r="BB197" s="2286"/>
      <c r="BC197" s="588"/>
      <c r="BD197" s="2286"/>
      <c r="BE197" s="2286"/>
      <c r="BF197" s="2286"/>
      <c r="BG197" s="2286"/>
      <c r="BH197" s="2286"/>
      <c r="BI197" s="2286"/>
      <c r="BJ197" s="2286"/>
      <c r="BK197" s="2286"/>
      <c r="BL197" s="2286"/>
      <c r="BM197" s="2286"/>
      <c r="BN197" s="2286"/>
      <c r="BO197" s="2286"/>
      <c r="BP197" s="2286"/>
      <c r="BQ197" s="2286"/>
      <c r="BR197" s="2286"/>
      <c r="BS197" s="2286"/>
      <c r="BT197" s="2286"/>
      <c r="BU197" s="2286"/>
      <c r="BV197" s="2286"/>
      <c r="BW197" s="1897"/>
      <c r="BX197" s="986"/>
      <c r="BY197" s="986"/>
      <c r="BZ197" s="489" t="s">
        <v>1292</v>
      </c>
      <c r="CA197" s="986"/>
      <c r="CB197" s="986"/>
      <c r="CC197" s="0" cm="1" t="str">
        <f t="array" ref="CC197:CC197">CC196</f>
        <v>ТЭ.42.31656254.0001</v>
      </c>
      <c r="CD197" s="986"/>
      <c r="CE197" s="986"/>
      <c r="CF197" s="986"/>
      <c r="CG197" s="986"/>
      <c r="CH197" s="0" t="s">
        <v>1290</v>
      </c>
      <c r="CI197" s="0" t="s">
        <v>303</v>
      </c>
      <c r="CJ197" s="0" t="s">
        <v>1293</v>
      </c>
      <c r="CK197" s="0" t="s">
        <v>1294</v>
      </c>
      <c r="CL197" s="986"/>
      <c r="CM197" s="986"/>
      <c r="CN197" s="986"/>
    </row>
    <row s="1751" customFormat="1" customHeight="1" ht="14.25">
      <c r="A198" s="371"/>
      <c r="B198" s="1548"/>
      <c r="C198" s="1548"/>
      <c r="D198" s="1548"/>
      <c r="E198" s="180">
        <v>15</v>
      </c>
      <c r="F198" s="175" cm="1" t="str">
        <f t="array" ref="F198:F198">F197</f>
        <v>1</v>
      </c>
      <c r="G198" s="1659"/>
      <c r="H198" s="1659"/>
      <c r="I198" s="1659"/>
      <c r="J198" s="1659"/>
      <c r="K198" s="1659"/>
      <c r="L198" s="1659"/>
      <c r="M198" s="1659"/>
      <c r="N198" s="1659"/>
      <c r="O198" s="1659"/>
      <c r="P198" s="1659"/>
      <c r="Q198" s="1659"/>
      <c r="R198" s="1659"/>
      <c r="S198" s="1659"/>
      <c r="T198" s="753" cm="1" t="str">
        <f t="array" ref="T198:T198">T197</f>
        <v>true</v>
      </c>
      <c r="U198" s="1548"/>
      <c r="V198" s="1548"/>
      <c r="W198" s="1548"/>
      <c r="X198" s="1548"/>
      <c r="Y198" s="1548"/>
      <c r="Z198" s="1548"/>
      <c r="AA198" s="183"/>
      <c r="AB198" s="633" t="str">
        <f>AB197&amp;".1"</f>
        <v>6.1</v>
      </c>
      <c r="AC198" s="634" t="s">
        <v>1177</v>
      </c>
      <c r="AD198" s="633" t="s">
        <v>495</v>
      </c>
      <c r="AE198" s="1864">
        <f>IF(AE184=0,0,AE212/AE184*100)</f>
        <v>0</v>
      </c>
      <c r="AF198" s="1864">
        <f>IF(AF184=0,0,AF212/AF184*100)</f>
        <v>0</v>
      </c>
      <c r="AG198" s="1864">
        <f>IF(AG184=0,0,AG212/AG184*100)</f>
        <v>0</v>
      </c>
      <c r="AH198" s="1864">
        <f>IF(AH184=0,0,AH212/AH184*100)</f>
        <v>0</v>
      </c>
      <c r="AI198" s="353">
        <f>IF(AI184=0,0,AI212/AI184*100)</f>
        <v>0</v>
      </c>
      <c r="AJ198" s="1864">
        <f>IF(AJ184=0,0,AJ212/AJ184*100)</f>
        <v>0</v>
      </c>
      <c r="AK198" s="1864">
        <f>IF(AK184=0,0,AK212/AK184*100)</f>
        <v>0</v>
      </c>
      <c r="AL198" s="1864">
        <f>IF(AL184=0,0,AL212/AL184*100)</f>
        <v>0</v>
      </c>
      <c r="AM198" s="1864">
        <f>IF(AM184=0,0,AM212/AM184*100)</f>
        <v>0</v>
      </c>
      <c r="AN198" s="1864">
        <f>IF(AN184=0,0,AN212/AN184*100)</f>
        <v>0</v>
      </c>
      <c r="AO198" s="1864">
        <f>IF(AO184=0,0,AO212/AO184*100)</f>
        <v>0</v>
      </c>
      <c r="AP198" s="1864">
        <f>IF(AP184=0,0,AP212/AP184*100)</f>
        <v>0</v>
      </c>
      <c r="AQ198" s="1864">
        <f>IF(AQ184=0,0,AQ212/AQ184*100)</f>
        <v>0</v>
      </c>
      <c r="AR198" s="1864">
        <f>IF(AR184=0,0,AR212/AR184*100)</f>
        <v>0</v>
      </c>
      <c r="AS198" s="1864">
        <f>IF(AS184=0,0,AS212/AS184*100)</f>
        <v>0</v>
      </c>
      <c r="AT198" s="1864">
        <f>IF(AT184=0,0,AT212/AT184*100)</f>
        <v>0</v>
      </c>
      <c r="AU198" s="1864">
        <f>IF(AU184=0,0,AU212/AU184*100)</f>
        <v>0</v>
      </c>
      <c r="AV198" s="1864">
        <f>IF(AV184=0,0,AV212/AV184*100)</f>
        <v>0</v>
      </c>
      <c r="AW198" s="1864">
        <f>IF(AW184=0,0,AW212/AW184*100)</f>
        <v>0</v>
      </c>
      <c r="AX198" s="1864">
        <f>IF(AX184=0,0,AX212/AX184*100)</f>
        <v>0</v>
      </c>
      <c r="AY198" s="1864">
        <f>IF(AY184=0,0,AY212/AY184*100)</f>
        <v>0</v>
      </c>
      <c r="AZ198" s="1864">
        <f>IF(AZ184=0,0,AZ212/AZ184*100)</f>
        <v>0</v>
      </c>
      <c r="BA198" s="1864">
        <f>IF(BA184=0,0,BA212/BA184*100)</f>
        <v>0</v>
      </c>
      <c r="BB198" s="1864">
        <f>IF(BB184=0,0,BB212/BB184*100)</f>
        <v>0</v>
      </c>
      <c r="BC198" s="353">
        <f>IF(BC184=0,0,BC212/BC184*100)</f>
        <v>0</v>
      </c>
      <c r="BD198" s="1864">
        <f>IF(BD184=0,0,BD212/BD184*100)</f>
        <v>0</v>
      </c>
      <c r="BE198" s="1864">
        <f>IF(BE184=0,0,BE212/BE184*100)</f>
        <v>0</v>
      </c>
      <c r="BF198" s="1864">
        <f>IF(BF184=0,0,BF212/BF184*100)</f>
        <v>0</v>
      </c>
      <c r="BG198" s="1864">
        <f>IF(BG184=0,0,BG212/BG184*100)</f>
        <v>0</v>
      </c>
      <c r="BH198" s="1864">
        <f>IF(BH184=0,0,BH212/BH184*100)</f>
        <v>0</v>
      </c>
      <c r="BI198" s="1864">
        <f>IF(BI184=0,0,BI212/BI184*100)</f>
        <v>0</v>
      </c>
      <c r="BJ198" s="1864">
        <f>IF(BJ184=0,0,BJ212/BJ184*100)</f>
        <v>0</v>
      </c>
      <c r="BK198" s="1864">
        <f>IF(BK184=0,0,BK212/BK184*100)</f>
        <v>0</v>
      </c>
      <c r="BL198" s="1864">
        <f>IF(BL184=0,0,BL212/BL184*100)</f>
        <v>0</v>
      </c>
      <c r="BM198" s="1864">
        <f>IF(BM184=0,0,BM212/BM184*100)</f>
        <v>0</v>
      </c>
      <c r="BN198" s="1864">
        <f>IF(BN184=0,0,BN212/BN184*100)</f>
        <v>0</v>
      </c>
      <c r="BO198" s="1864">
        <f>IF(BO184=0,0,BO212/BO184*100)</f>
        <v>0</v>
      </c>
      <c r="BP198" s="1864">
        <f>IF(BP184=0,0,BP212/BP184*100)</f>
        <v>0</v>
      </c>
      <c r="BQ198" s="1864">
        <f>IF(BQ184=0,0,BQ212/BQ184*100)</f>
        <v>0</v>
      </c>
      <c r="BR198" s="1864">
        <f>IF(BR184=0,0,BR212/BR184*100)</f>
        <v>0</v>
      </c>
      <c r="BS198" s="1864">
        <f>IF(BS184=0,0,BS212/BS184*100)</f>
        <v>0</v>
      </c>
      <c r="BT198" s="1864">
        <f>IF(BT184=0,0,BT212/BT184*100)</f>
        <v>0</v>
      </c>
      <c r="BU198" s="1864">
        <f>IF(BU184=0,0,BU212/BU184*100)</f>
        <v>0</v>
      </c>
      <c r="BV198" s="1864">
        <f>IF(BV184=0,0,BV212/BV184*100)</f>
        <v>0</v>
      </c>
      <c r="BW198" s="1897"/>
      <c r="BX198" s="183"/>
      <c r="BY198" s="969"/>
      <c r="BZ198" s="489" t="s">
        <v>1295</v>
      </c>
      <c r="CA198" s="1506"/>
      <c r="CB198" s="1506"/>
      <c r="CC198" s="2312" cm="1" t="str">
        <f t="array" ref="CC198:CC198">CC197</f>
        <v>ТЭ.42.31656254.0001</v>
      </c>
      <c r="CD198" s="2312" t="s">
        <v>1180</v>
      </c>
      <c r="CE198" s="1751"/>
      <c r="CF198" s="1751"/>
      <c r="CG198" s="1751"/>
      <c r="CH198" s="2312" t="s">
        <v>1290</v>
      </c>
      <c r="CI198" s="2312" t="s">
        <v>303</v>
      </c>
      <c r="CJ198" s="2312" t="s">
        <v>1293</v>
      </c>
      <c r="CK198" s="2312" t="s">
        <v>1294</v>
      </c>
      <c r="CL198" s="1751"/>
      <c r="CM198" s="1751"/>
      <c r="CN198" s="1751"/>
    </row>
    <row s="1751" customFormat="1" customHeight="1" ht="14.25">
      <c r="A199" s="371"/>
      <c r="B199" s="1548"/>
      <c r="C199" s="1548"/>
      <c r="D199" s="1548"/>
      <c r="E199" s="180">
        <v>15</v>
      </c>
      <c r="F199" s="175" cm="1" t="str">
        <f t="array" ref="F199:F199">F198</f>
        <v>1</v>
      </c>
      <c r="G199" s="1659"/>
      <c r="H199" s="1659"/>
      <c r="I199" s="1659"/>
      <c r="J199" s="1659"/>
      <c r="K199" s="1659"/>
      <c r="L199" s="1659"/>
      <c r="M199" s="1659"/>
      <c r="N199" s="1659"/>
      <c r="O199" s="1659"/>
      <c r="P199" s="1659"/>
      <c r="Q199" s="1659"/>
      <c r="R199" s="1659"/>
      <c r="S199" s="1659"/>
      <c r="T199" s="753" cm="1" t="str">
        <f t="array" ref="T199:T199">T198</f>
        <v>true</v>
      </c>
      <c r="U199" s="1548"/>
      <c r="V199" s="1548"/>
      <c r="W199" s="1548"/>
      <c r="X199" s="1548"/>
      <c r="Y199" s="1548"/>
      <c r="Z199" s="1548"/>
      <c r="AA199" s="183"/>
      <c r="AB199" s="633" t="str">
        <f>AB197&amp;".2"</f>
        <v>6.2</v>
      </c>
      <c r="AC199" s="634" t="s">
        <v>1181</v>
      </c>
      <c r="AD199" s="633" t="s">
        <v>495</v>
      </c>
      <c r="AE199" s="1864">
        <f>IF(AE185=0,0,AE213/AE185*100)</f>
        <v>0</v>
      </c>
      <c r="AF199" s="1864">
        <f>IF(AF185=0,0,AF213/AF185*100)</f>
        <v>0</v>
      </c>
      <c r="AG199" s="1864">
        <f>IF(AG185=0,0,AG213/AG185*100)</f>
        <v>0</v>
      </c>
      <c r="AH199" s="1864">
        <f>IF(AH185=0,0,AH213/AH185*100)</f>
        <v>0</v>
      </c>
      <c r="AI199" s="353">
        <f>IF(AI185=0,0,AI213/AI185*100)</f>
        <v>0</v>
      </c>
      <c r="AJ199" s="1864">
        <f>IF(AJ185=0,0,AJ213/AJ185*100)</f>
        <v>0</v>
      </c>
      <c r="AK199" s="1864">
        <f>IF(AK185=0,0,AK213/AK185*100)</f>
        <v>0</v>
      </c>
      <c r="AL199" s="1864">
        <f>IF(AL185=0,0,AL213/AL185*100)</f>
        <v>0</v>
      </c>
      <c r="AM199" s="1864">
        <f>IF(AM185=0,0,AM213/AM185*100)</f>
        <v>0</v>
      </c>
      <c r="AN199" s="1864">
        <f>IF(AN185=0,0,AN213/AN185*100)</f>
        <v>0</v>
      </c>
      <c r="AO199" s="1864">
        <f>IF(AO185=0,0,AO213/AO185*100)</f>
        <v>0</v>
      </c>
      <c r="AP199" s="1864">
        <f>IF(AP185=0,0,AP213/AP185*100)</f>
        <v>0</v>
      </c>
      <c r="AQ199" s="1864">
        <f>IF(AQ185=0,0,AQ213/AQ185*100)</f>
        <v>0</v>
      </c>
      <c r="AR199" s="1864">
        <f>IF(AR185=0,0,AR213/AR185*100)</f>
        <v>0</v>
      </c>
      <c r="AS199" s="1864">
        <f>IF(AS185=0,0,AS213/AS185*100)</f>
        <v>0</v>
      </c>
      <c r="AT199" s="1864">
        <f>IF(AT185=0,0,AT213/AT185*100)</f>
        <v>0</v>
      </c>
      <c r="AU199" s="1864">
        <f>IF(AU185=0,0,AU213/AU185*100)</f>
        <v>0</v>
      </c>
      <c r="AV199" s="1864">
        <f>IF(AV185=0,0,AV213/AV185*100)</f>
        <v>0</v>
      </c>
      <c r="AW199" s="1864">
        <f>IF(AW185=0,0,AW213/AW185*100)</f>
        <v>0</v>
      </c>
      <c r="AX199" s="1864">
        <f>IF(AX185=0,0,AX213/AX185*100)</f>
        <v>0</v>
      </c>
      <c r="AY199" s="1864">
        <f>IF(AY185=0,0,AY213/AY185*100)</f>
        <v>0</v>
      </c>
      <c r="AZ199" s="1864">
        <f>IF(AZ185=0,0,AZ213/AZ185*100)</f>
        <v>0</v>
      </c>
      <c r="BA199" s="1864">
        <f>IF(BA185=0,0,BA213/BA185*100)</f>
        <v>0</v>
      </c>
      <c r="BB199" s="1864">
        <f>IF(BB185=0,0,BB213/BB185*100)</f>
        <v>0</v>
      </c>
      <c r="BC199" s="353">
        <f>IF(BC185=0,0,BC213/BC185*100)</f>
        <v>0</v>
      </c>
      <c r="BD199" s="1864">
        <f>IF(BD185=0,0,BD213/BD185*100)</f>
        <v>0</v>
      </c>
      <c r="BE199" s="1864">
        <f>IF(BE185=0,0,BE213/BE185*100)</f>
        <v>0</v>
      </c>
      <c r="BF199" s="1864">
        <f>IF(BF185=0,0,BF213/BF185*100)</f>
        <v>0</v>
      </c>
      <c r="BG199" s="1864">
        <f>IF(BG185=0,0,BG213/BG185*100)</f>
        <v>0</v>
      </c>
      <c r="BH199" s="1864">
        <f>IF(BH185=0,0,BH213/BH185*100)</f>
        <v>0</v>
      </c>
      <c r="BI199" s="1864">
        <f>IF(BI185=0,0,BI213/BI185*100)</f>
        <v>0</v>
      </c>
      <c r="BJ199" s="1864">
        <f>IF(BJ185=0,0,BJ213/BJ185*100)</f>
        <v>0</v>
      </c>
      <c r="BK199" s="1864">
        <f>IF(BK185=0,0,BK213/BK185*100)</f>
        <v>0</v>
      </c>
      <c r="BL199" s="1864">
        <f>IF(BL185=0,0,BL213/BL185*100)</f>
        <v>0</v>
      </c>
      <c r="BM199" s="1864">
        <f>IF(BM185=0,0,BM213/BM185*100)</f>
        <v>0</v>
      </c>
      <c r="BN199" s="1864">
        <f>IF(BN185=0,0,BN213/BN185*100)</f>
        <v>0</v>
      </c>
      <c r="BO199" s="1864">
        <f>IF(BO185=0,0,BO213/BO185*100)</f>
        <v>0</v>
      </c>
      <c r="BP199" s="1864">
        <f>IF(BP185=0,0,BP213/BP185*100)</f>
        <v>0</v>
      </c>
      <c r="BQ199" s="1864">
        <f>IF(BQ185=0,0,BQ213/BQ185*100)</f>
        <v>0</v>
      </c>
      <c r="BR199" s="1864">
        <f>IF(BR185=0,0,BR213/BR185*100)</f>
        <v>0</v>
      </c>
      <c r="BS199" s="1864">
        <f>IF(BS185=0,0,BS213/BS185*100)</f>
        <v>0</v>
      </c>
      <c r="BT199" s="1864">
        <f>IF(BT185=0,0,BT213/BT185*100)</f>
        <v>0</v>
      </c>
      <c r="BU199" s="1864">
        <f>IF(BU185=0,0,BU213/BU185*100)</f>
        <v>0</v>
      </c>
      <c r="BV199" s="1864">
        <f>IF(BV185=0,0,BV213/BV185*100)</f>
        <v>0</v>
      </c>
      <c r="BW199" s="1897"/>
      <c r="BX199" s="183"/>
      <c r="BY199" s="969"/>
      <c r="BZ199" s="489" t="s">
        <v>1296</v>
      </c>
      <c r="CA199" s="1506"/>
      <c r="CB199" s="1506"/>
      <c r="CC199" s="2312" cm="1" t="str">
        <f t="array" ref="CC199:CC199">CC198</f>
        <v>ТЭ.42.31656254.0001</v>
      </c>
      <c r="CD199" s="2312" t="s">
        <v>1183</v>
      </c>
      <c r="CE199" s="1751"/>
      <c r="CF199" s="1751"/>
      <c r="CG199" s="1751"/>
      <c r="CH199" s="2312" t="s">
        <v>1290</v>
      </c>
      <c r="CI199" s="2312" t="s">
        <v>303</v>
      </c>
      <c r="CJ199" s="2312" t="s">
        <v>1293</v>
      </c>
      <c r="CK199" s="2312" t="s">
        <v>1294</v>
      </c>
      <c r="CL199" s="1751"/>
      <c r="CM199" s="1751"/>
      <c r="CN199" s="1751"/>
    </row>
    <row s="1751" customFormat="1" customHeight="1" ht="14.25">
      <c r="A200" s="371"/>
      <c r="B200" s="1548"/>
      <c r="C200" s="1548"/>
      <c r="D200" s="1548"/>
      <c r="E200" s="180">
        <v>15</v>
      </c>
      <c r="F200" s="175" cm="1" t="str">
        <f t="array" ref="F200:F200">F199</f>
        <v>1</v>
      </c>
      <c r="G200" s="1659"/>
      <c r="H200" s="1659"/>
      <c r="I200" s="1659"/>
      <c r="J200" s="1659"/>
      <c r="K200" s="1659"/>
      <c r="L200" s="1659"/>
      <c r="M200" s="1659"/>
      <c r="N200" s="1659"/>
      <c r="O200" s="1659"/>
      <c r="P200" s="1659"/>
      <c r="Q200" s="1659"/>
      <c r="R200" s="1659"/>
      <c r="S200" s="1659"/>
      <c r="T200" s="753" cm="1" t="str">
        <f t="array" ref="T200:T200">T199</f>
        <v>true</v>
      </c>
      <c r="U200" s="1548"/>
      <c r="V200" s="1548"/>
      <c r="W200" s="1548"/>
      <c r="X200" s="1548"/>
      <c r="Y200" s="1548"/>
      <c r="Z200" s="1548"/>
      <c r="AA200" s="183"/>
      <c r="AB200" s="633" t="str">
        <f>AB197&amp;".3"</f>
        <v>6.3</v>
      </c>
      <c r="AC200" s="634" t="s">
        <v>1184</v>
      </c>
      <c r="AD200" s="633" t="s">
        <v>495</v>
      </c>
      <c r="AE200" s="1864">
        <f>IF(AE186=0,0,AE214/AE186*100)</f>
        <v>0</v>
      </c>
      <c r="AF200" s="1864">
        <f>IF(AF186=0,0,AF214/AF186*100)</f>
        <v>0</v>
      </c>
      <c r="AG200" s="1864">
        <f>IF(AG186=0,0,AG214/AG186*100)</f>
        <v>0</v>
      </c>
      <c r="AH200" s="1864">
        <f>IF(AH186=0,0,AH214/AH186*100)</f>
        <v>0</v>
      </c>
      <c r="AI200" s="353">
        <f>IF(AI186=0,0,AI214/AI186*100)</f>
        <v>0</v>
      </c>
      <c r="AJ200" s="1864">
        <f>IF(AJ186=0,0,AJ214/AJ186*100)</f>
        <v>0</v>
      </c>
      <c r="AK200" s="1864">
        <f>IF(AK186=0,0,AK214/AK186*100)</f>
        <v>0</v>
      </c>
      <c r="AL200" s="1864">
        <f>IF(AL186=0,0,AL214/AL186*100)</f>
        <v>0</v>
      </c>
      <c r="AM200" s="1864">
        <f>IF(AM186=0,0,AM214/AM186*100)</f>
        <v>0</v>
      </c>
      <c r="AN200" s="1864">
        <f>IF(AN186=0,0,AN214/AN186*100)</f>
        <v>0</v>
      </c>
      <c r="AO200" s="1864">
        <f>IF(AO186=0,0,AO214/AO186*100)</f>
        <v>0</v>
      </c>
      <c r="AP200" s="1864">
        <f>IF(AP186=0,0,AP214/AP186*100)</f>
        <v>0</v>
      </c>
      <c r="AQ200" s="1864">
        <f>IF(AQ186=0,0,AQ214/AQ186*100)</f>
        <v>0</v>
      </c>
      <c r="AR200" s="1864">
        <f>IF(AR186=0,0,AR214/AR186*100)</f>
        <v>0</v>
      </c>
      <c r="AS200" s="1864">
        <f>IF(AS186=0,0,AS214/AS186*100)</f>
        <v>0</v>
      </c>
      <c r="AT200" s="1864">
        <f>IF(AT186=0,0,AT214/AT186*100)</f>
        <v>0</v>
      </c>
      <c r="AU200" s="1864">
        <f>IF(AU186=0,0,AU214/AU186*100)</f>
        <v>0</v>
      </c>
      <c r="AV200" s="1864">
        <f>IF(AV186=0,0,AV214/AV186*100)</f>
        <v>0</v>
      </c>
      <c r="AW200" s="1864">
        <f>IF(AW186=0,0,AW214/AW186*100)</f>
        <v>0</v>
      </c>
      <c r="AX200" s="1864">
        <f>IF(AX186=0,0,AX214/AX186*100)</f>
        <v>0</v>
      </c>
      <c r="AY200" s="1864">
        <f>IF(AY186=0,0,AY214/AY186*100)</f>
        <v>0</v>
      </c>
      <c r="AZ200" s="1864">
        <f>IF(AZ186=0,0,AZ214/AZ186*100)</f>
        <v>0</v>
      </c>
      <c r="BA200" s="1864">
        <f>IF(BA186=0,0,BA214/BA186*100)</f>
        <v>0</v>
      </c>
      <c r="BB200" s="1864">
        <f>IF(BB186=0,0,BB214/BB186*100)</f>
        <v>0</v>
      </c>
      <c r="BC200" s="353">
        <f>IF(BC186=0,0,BC214/BC186*100)</f>
        <v>0</v>
      </c>
      <c r="BD200" s="1864">
        <f>IF(BD186=0,0,BD214/BD186*100)</f>
        <v>0</v>
      </c>
      <c r="BE200" s="1864">
        <f>IF(BE186=0,0,BE214/BE186*100)</f>
        <v>0</v>
      </c>
      <c r="BF200" s="1864">
        <f>IF(BF186=0,0,BF214/BF186*100)</f>
        <v>0</v>
      </c>
      <c r="BG200" s="1864">
        <f>IF(BG186=0,0,BG214/BG186*100)</f>
        <v>0</v>
      </c>
      <c r="BH200" s="1864">
        <f>IF(BH186=0,0,BH214/BH186*100)</f>
        <v>0</v>
      </c>
      <c r="BI200" s="1864">
        <f>IF(BI186=0,0,BI214/BI186*100)</f>
        <v>0</v>
      </c>
      <c r="BJ200" s="1864">
        <f>IF(BJ186=0,0,BJ214/BJ186*100)</f>
        <v>0</v>
      </c>
      <c r="BK200" s="1864">
        <f>IF(BK186=0,0,BK214/BK186*100)</f>
        <v>0</v>
      </c>
      <c r="BL200" s="1864">
        <f>IF(BL186=0,0,BL214/BL186*100)</f>
        <v>0</v>
      </c>
      <c r="BM200" s="1864">
        <f>IF(BM186=0,0,BM214/BM186*100)</f>
        <v>0</v>
      </c>
      <c r="BN200" s="1864">
        <f>IF(BN186=0,0,BN214/BN186*100)</f>
        <v>0</v>
      </c>
      <c r="BO200" s="1864">
        <f>IF(BO186=0,0,BO214/BO186*100)</f>
        <v>0</v>
      </c>
      <c r="BP200" s="1864">
        <f>IF(BP186=0,0,BP214/BP186*100)</f>
        <v>0</v>
      </c>
      <c r="BQ200" s="1864">
        <f>IF(BQ186=0,0,BQ214/BQ186*100)</f>
        <v>0</v>
      </c>
      <c r="BR200" s="1864">
        <f>IF(BR186=0,0,BR214/BR186*100)</f>
        <v>0</v>
      </c>
      <c r="BS200" s="1864">
        <f>IF(BS186=0,0,BS214/BS186*100)</f>
        <v>0</v>
      </c>
      <c r="BT200" s="1864">
        <f>IF(BT186=0,0,BT214/BT186*100)</f>
        <v>0</v>
      </c>
      <c r="BU200" s="1864">
        <f>IF(BU186=0,0,BU214/BU186*100)</f>
        <v>0</v>
      </c>
      <c r="BV200" s="1864">
        <f>IF(BV186=0,0,BV214/BV186*100)</f>
        <v>0</v>
      </c>
      <c r="BW200" s="1897"/>
      <c r="BX200" s="183"/>
      <c r="BY200" s="969"/>
      <c r="BZ200" s="489" t="s">
        <v>1297</v>
      </c>
      <c r="CA200" s="1506"/>
      <c r="CB200" s="1506"/>
      <c r="CC200" s="2312" cm="1" t="str">
        <f t="array" ref="CC200:CC200">CC199</f>
        <v>ТЭ.42.31656254.0001</v>
      </c>
      <c r="CD200" s="2312" t="s">
        <v>1186</v>
      </c>
      <c r="CE200" s="1751"/>
      <c r="CF200" s="1751"/>
      <c r="CG200" s="1751"/>
      <c r="CH200" s="2312" t="s">
        <v>1290</v>
      </c>
      <c r="CI200" s="2312" t="s">
        <v>303</v>
      </c>
      <c r="CJ200" s="2312" t="s">
        <v>1293</v>
      </c>
      <c r="CK200" s="2312" t="s">
        <v>1294</v>
      </c>
      <c r="CL200" s="1751"/>
      <c r="CM200" s="1751"/>
      <c r="CN200" s="1751"/>
    </row>
    <row s="1751" customFormat="1" customHeight="1" ht="14.25">
      <c r="A201" s="371"/>
      <c r="B201" s="1548"/>
      <c r="C201" s="1548"/>
      <c r="D201" s="1548"/>
      <c r="E201" s="180">
        <v>15</v>
      </c>
      <c r="F201" s="175" cm="1" t="str">
        <f t="array" ref="F201:F201">F200</f>
        <v>1</v>
      </c>
      <c r="G201" s="1659"/>
      <c r="H201" s="1659"/>
      <c r="I201" s="1659"/>
      <c r="J201" s="1659"/>
      <c r="K201" s="1659"/>
      <c r="L201" s="1659"/>
      <c r="M201" s="1659"/>
      <c r="N201" s="1659"/>
      <c r="O201" s="1659"/>
      <c r="P201" s="1659"/>
      <c r="Q201" s="1659"/>
      <c r="R201" s="1659"/>
      <c r="S201" s="1659"/>
      <c r="T201" s="753" cm="1" t="str">
        <f t="array" ref="T201:T201">T200</f>
        <v>true</v>
      </c>
      <c r="U201" s="1548"/>
      <c r="V201" s="1548"/>
      <c r="W201" s="1548"/>
      <c r="X201" s="1548"/>
      <c r="Y201" s="1548"/>
      <c r="Z201" s="1548"/>
      <c r="AA201" s="183"/>
      <c r="AB201" s="633" t="str">
        <f>AB197&amp;".4"</f>
        <v>6.4</v>
      </c>
      <c r="AC201" s="634" t="s">
        <v>1187</v>
      </c>
      <c r="AD201" s="633" t="s">
        <v>495</v>
      </c>
      <c r="AE201" s="1864">
        <f>IF(AE187=0,0,AE215/AE187*100)</f>
        <v>0</v>
      </c>
      <c r="AF201" s="1864">
        <f>IF(AF187=0,0,AF215/AF187*100)</f>
        <v>0</v>
      </c>
      <c r="AG201" s="1864">
        <f>IF(AG187=0,0,AG215/AG187*100)</f>
        <v>0</v>
      </c>
      <c r="AH201" s="1864">
        <f>IF(AH187=0,0,AH215/AH187*100)</f>
        <v>0</v>
      </c>
      <c r="AI201" s="353">
        <f>IF(AI187=0,0,AI215/AI187*100)</f>
        <v>0</v>
      </c>
      <c r="AJ201" s="1864">
        <f>IF(AJ187=0,0,AJ215/AJ187*100)</f>
        <v>0</v>
      </c>
      <c r="AK201" s="1864">
        <f>IF(AK187=0,0,AK215/AK187*100)</f>
        <v>0</v>
      </c>
      <c r="AL201" s="1864">
        <f>IF(AL187=0,0,AL215/AL187*100)</f>
        <v>0</v>
      </c>
      <c r="AM201" s="1864">
        <f>IF(AM187=0,0,AM215/AM187*100)</f>
        <v>0</v>
      </c>
      <c r="AN201" s="1864">
        <f>IF(AN187=0,0,AN215/AN187*100)</f>
        <v>0</v>
      </c>
      <c r="AO201" s="1864">
        <f>IF(AO187=0,0,AO215/AO187*100)</f>
        <v>0</v>
      </c>
      <c r="AP201" s="1864">
        <f>IF(AP187=0,0,AP215/AP187*100)</f>
        <v>0</v>
      </c>
      <c r="AQ201" s="1864">
        <f>IF(AQ187=0,0,AQ215/AQ187*100)</f>
        <v>0</v>
      </c>
      <c r="AR201" s="1864">
        <f>IF(AR187=0,0,AR215/AR187*100)</f>
        <v>0</v>
      </c>
      <c r="AS201" s="1864">
        <f>IF(AS187=0,0,AS215/AS187*100)</f>
        <v>0</v>
      </c>
      <c r="AT201" s="1864">
        <f>IF(AT187=0,0,AT215/AT187*100)</f>
        <v>0</v>
      </c>
      <c r="AU201" s="1864">
        <f>IF(AU187=0,0,AU215/AU187*100)</f>
        <v>0</v>
      </c>
      <c r="AV201" s="1864">
        <f>IF(AV187=0,0,AV215/AV187*100)</f>
        <v>0</v>
      </c>
      <c r="AW201" s="1864">
        <f>IF(AW187=0,0,AW215/AW187*100)</f>
        <v>0</v>
      </c>
      <c r="AX201" s="1864">
        <f>IF(AX187=0,0,AX215/AX187*100)</f>
        <v>0</v>
      </c>
      <c r="AY201" s="1864">
        <f>IF(AY187=0,0,AY215/AY187*100)</f>
        <v>0</v>
      </c>
      <c r="AZ201" s="1864">
        <f>IF(AZ187=0,0,AZ215/AZ187*100)</f>
        <v>0</v>
      </c>
      <c r="BA201" s="1864">
        <f>IF(BA187=0,0,BA215/BA187*100)</f>
        <v>0</v>
      </c>
      <c r="BB201" s="1864">
        <f>IF(BB187=0,0,BB215/BB187*100)</f>
        <v>0</v>
      </c>
      <c r="BC201" s="353">
        <f>IF(BC187=0,0,BC215/BC187*100)</f>
        <v>0</v>
      </c>
      <c r="BD201" s="1864">
        <f>IF(BD187=0,0,BD215/BD187*100)</f>
        <v>0</v>
      </c>
      <c r="BE201" s="1864">
        <f>IF(BE187=0,0,BE215/BE187*100)</f>
        <v>0</v>
      </c>
      <c r="BF201" s="1864">
        <f>IF(BF187=0,0,BF215/BF187*100)</f>
        <v>0</v>
      </c>
      <c r="BG201" s="1864">
        <f>IF(BG187=0,0,BG215/BG187*100)</f>
        <v>0</v>
      </c>
      <c r="BH201" s="1864">
        <f>IF(BH187=0,0,BH215/BH187*100)</f>
        <v>0</v>
      </c>
      <c r="BI201" s="1864">
        <f>IF(BI187=0,0,BI215/BI187*100)</f>
        <v>0</v>
      </c>
      <c r="BJ201" s="1864">
        <f>IF(BJ187=0,0,BJ215/BJ187*100)</f>
        <v>0</v>
      </c>
      <c r="BK201" s="1864">
        <f>IF(BK187=0,0,BK215/BK187*100)</f>
        <v>0</v>
      </c>
      <c r="BL201" s="1864">
        <f>IF(BL187=0,0,BL215/BL187*100)</f>
        <v>0</v>
      </c>
      <c r="BM201" s="1864">
        <f>IF(BM187=0,0,BM215/BM187*100)</f>
        <v>0</v>
      </c>
      <c r="BN201" s="1864">
        <f>IF(BN187=0,0,BN215/BN187*100)</f>
        <v>0</v>
      </c>
      <c r="BO201" s="1864">
        <f>IF(BO187=0,0,BO215/BO187*100)</f>
        <v>0</v>
      </c>
      <c r="BP201" s="1864">
        <f>IF(BP187=0,0,BP215/BP187*100)</f>
        <v>0</v>
      </c>
      <c r="BQ201" s="1864">
        <f>IF(BQ187=0,0,BQ215/BQ187*100)</f>
        <v>0</v>
      </c>
      <c r="BR201" s="1864">
        <f>IF(BR187=0,0,BR215/BR187*100)</f>
        <v>0</v>
      </c>
      <c r="BS201" s="1864">
        <f>IF(BS187=0,0,BS215/BS187*100)</f>
        <v>0</v>
      </c>
      <c r="BT201" s="1864">
        <f>IF(BT187=0,0,BT215/BT187*100)</f>
        <v>0</v>
      </c>
      <c r="BU201" s="1864">
        <f>IF(BU187=0,0,BU215/BU187*100)</f>
        <v>0</v>
      </c>
      <c r="BV201" s="1864">
        <f>IF(BV187=0,0,BV215/BV187*100)</f>
        <v>0</v>
      </c>
      <c r="BW201" s="1897"/>
      <c r="BX201" s="183"/>
      <c r="BY201" s="969"/>
      <c r="BZ201" s="489" t="s">
        <v>1298</v>
      </c>
      <c r="CA201" s="1506"/>
      <c r="CB201" s="1506"/>
      <c r="CC201" s="2312" cm="1" t="str">
        <f t="array" ref="CC201:CC201">CC200</f>
        <v>ТЭ.42.31656254.0001</v>
      </c>
      <c r="CD201" s="2312" t="s">
        <v>1189</v>
      </c>
      <c r="CE201" s="1751"/>
      <c r="CF201" s="1751"/>
      <c r="CG201" s="1751"/>
      <c r="CH201" s="2312" t="s">
        <v>1290</v>
      </c>
      <c r="CI201" s="2312" t="s">
        <v>303</v>
      </c>
      <c r="CJ201" s="2312" t="s">
        <v>1293</v>
      </c>
      <c r="CK201" s="2312" t="s">
        <v>1294</v>
      </c>
      <c r="CL201" s="1751"/>
      <c r="CM201" s="1751"/>
      <c r="CN201" s="1751"/>
    </row>
    <row s="1751" customFormat="1" customHeight="1" ht="14.25">
      <c r="A202" s="371"/>
      <c r="B202" s="1548"/>
      <c r="C202" s="1548"/>
      <c r="D202" s="1548"/>
      <c r="E202" s="180">
        <v>15</v>
      </c>
      <c r="F202" s="175" cm="1" t="str">
        <f t="array" ref="F202:F202">F201</f>
        <v>1</v>
      </c>
      <c r="G202" s="1659"/>
      <c r="H202" s="1659"/>
      <c r="I202" s="1659"/>
      <c r="J202" s="1659"/>
      <c r="K202" s="1659"/>
      <c r="L202" s="1659"/>
      <c r="M202" s="1659"/>
      <c r="N202" s="1659"/>
      <c r="O202" s="1659"/>
      <c r="P202" s="1659"/>
      <c r="Q202" s="1659"/>
      <c r="R202" s="1659"/>
      <c r="S202" s="1659"/>
      <c r="T202" s="753" cm="1" t="str">
        <f t="array" ref="T202:T202">T201</f>
        <v>true</v>
      </c>
      <c r="U202" s="1548"/>
      <c r="V202" s="1548"/>
      <c r="W202" s="1548"/>
      <c r="X202" s="1548"/>
      <c r="Y202" s="1548"/>
      <c r="Z202" s="1548"/>
      <c r="AA202" s="183"/>
      <c r="AB202" s="633" t="str">
        <f>AB201&amp;".1"</f>
        <v>6.4.1</v>
      </c>
      <c r="AC202" s="635" t="s">
        <v>1191</v>
      </c>
      <c r="AD202" s="633" t="s">
        <v>495</v>
      </c>
      <c r="AE202" s="1864">
        <f>IF(AE188=0,0,AE216/AE188*100)</f>
        <v>0</v>
      </c>
      <c r="AF202" s="1864">
        <f>IF(AF188=0,0,AF216/AF188*100)</f>
        <v>0</v>
      </c>
      <c r="AG202" s="1864">
        <f>IF(AG188=0,0,AG216/AG188*100)</f>
        <v>0</v>
      </c>
      <c r="AH202" s="1864">
        <f>IF(AH188=0,0,AH216/AH188*100)</f>
        <v>0</v>
      </c>
      <c r="AI202" s="353">
        <f>IF(AI188=0,0,AI216/AI188*100)</f>
        <v>0</v>
      </c>
      <c r="AJ202" s="1864">
        <f>IF(AJ188=0,0,AJ216/AJ188*100)</f>
        <v>0</v>
      </c>
      <c r="AK202" s="1864">
        <f>IF(AK188=0,0,AK216/AK188*100)</f>
        <v>0</v>
      </c>
      <c r="AL202" s="1864">
        <f>IF(AL188=0,0,AL216/AL188*100)</f>
        <v>0</v>
      </c>
      <c r="AM202" s="1864">
        <f>IF(AM188=0,0,AM216/AM188*100)</f>
        <v>0</v>
      </c>
      <c r="AN202" s="1864">
        <f>IF(AN188=0,0,AN216/AN188*100)</f>
        <v>0</v>
      </c>
      <c r="AO202" s="1864">
        <f>IF(AO188=0,0,AO216/AO188*100)</f>
        <v>0</v>
      </c>
      <c r="AP202" s="1864">
        <f>IF(AP188=0,0,AP216/AP188*100)</f>
        <v>0</v>
      </c>
      <c r="AQ202" s="1864">
        <f>IF(AQ188=0,0,AQ216/AQ188*100)</f>
        <v>0</v>
      </c>
      <c r="AR202" s="1864">
        <f>IF(AR188=0,0,AR216/AR188*100)</f>
        <v>0</v>
      </c>
      <c r="AS202" s="1864">
        <f>IF(AS188=0,0,AS216/AS188*100)</f>
        <v>0</v>
      </c>
      <c r="AT202" s="1864">
        <f>IF(AT188=0,0,AT216/AT188*100)</f>
        <v>0</v>
      </c>
      <c r="AU202" s="1864">
        <f>IF(AU188=0,0,AU216/AU188*100)</f>
        <v>0</v>
      </c>
      <c r="AV202" s="1864">
        <f>IF(AV188=0,0,AV216/AV188*100)</f>
        <v>0</v>
      </c>
      <c r="AW202" s="1864">
        <f>IF(AW188=0,0,AW216/AW188*100)</f>
        <v>0</v>
      </c>
      <c r="AX202" s="1864">
        <f>IF(AX188=0,0,AX216/AX188*100)</f>
        <v>0</v>
      </c>
      <c r="AY202" s="1864">
        <f>IF(AY188=0,0,AY216/AY188*100)</f>
        <v>0</v>
      </c>
      <c r="AZ202" s="1864">
        <f>IF(AZ188=0,0,AZ216/AZ188*100)</f>
        <v>0</v>
      </c>
      <c r="BA202" s="1864">
        <f>IF(BA188=0,0,BA216/BA188*100)</f>
        <v>0</v>
      </c>
      <c r="BB202" s="1864">
        <f>IF(BB188=0,0,BB216/BB188*100)</f>
        <v>0</v>
      </c>
      <c r="BC202" s="353">
        <f>IF(BC188=0,0,BC216/BC188*100)</f>
        <v>0</v>
      </c>
      <c r="BD202" s="1864">
        <f>IF(BD188=0,0,BD216/BD188*100)</f>
        <v>0</v>
      </c>
      <c r="BE202" s="1864">
        <f>IF(BE188=0,0,BE216/BE188*100)</f>
        <v>0</v>
      </c>
      <c r="BF202" s="1864">
        <f>IF(BF188=0,0,BF216/BF188*100)</f>
        <v>0</v>
      </c>
      <c r="BG202" s="1864">
        <f>IF(BG188=0,0,BG216/BG188*100)</f>
        <v>0</v>
      </c>
      <c r="BH202" s="1864">
        <f>IF(BH188=0,0,BH216/BH188*100)</f>
        <v>0</v>
      </c>
      <c r="BI202" s="1864">
        <f>IF(BI188=0,0,BI216/BI188*100)</f>
        <v>0</v>
      </c>
      <c r="BJ202" s="1864">
        <f>IF(BJ188=0,0,BJ216/BJ188*100)</f>
        <v>0</v>
      </c>
      <c r="BK202" s="1864">
        <f>IF(BK188=0,0,BK216/BK188*100)</f>
        <v>0</v>
      </c>
      <c r="BL202" s="1864">
        <f>IF(BL188=0,0,BL216/BL188*100)</f>
        <v>0</v>
      </c>
      <c r="BM202" s="1864">
        <f>IF(BM188=0,0,BM216/BM188*100)</f>
        <v>0</v>
      </c>
      <c r="BN202" s="1864">
        <f>IF(BN188=0,0,BN216/BN188*100)</f>
        <v>0</v>
      </c>
      <c r="BO202" s="1864">
        <f>IF(BO188=0,0,BO216/BO188*100)</f>
        <v>0</v>
      </c>
      <c r="BP202" s="1864">
        <f>IF(BP188=0,0,BP216/BP188*100)</f>
        <v>0</v>
      </c>
      <c r="BQ202" s="1864">
        <f>IF(BQ188=0,0,BQ216/BQ188*100)</f>
        <v>0</v>
      </c>
      <c r="BR202" s="1864">
        <f>IF(BR188=0,0,BR216/BR188*100)</f>
        <v>0</v>
      </c>
      <c r="BS202" s="1864">
        <f>IF(BS188=0,0,BS216/BS188*100)</f>
        <v>0</v>
      </c>
      <c r="BT202" s="1864">
        <f>IF(BT188=0,0,BT216/BT188*100)</f>
        <v>0</v>
      </c>
      <c r="BU202" s="1864">
        <f>IF(BU188=0,0,BU216/BU188*100)</f>
        <v>0</v>
      </c>
      <c r="BV202" s="1864">
        <f>IF(BV188=0,0,BV216/BV188*100)</f>
        <v>0</v>
      </c>
      <c r="BW202" s="1897"/>
      <c r="BX202" s="183"/>
      <c r="BY202" s="969"/>
      <c r="BZ202" s="489" t="s">
        <v>1299</v>
      </c>
      <c r="CA202" s="1506"/>
      <c r="CB202" s="1506"/>
      <c r="CC202" s="2312" cm="1" t="str">
        <f t="array" ref="CC202:CC202">CC201</f>
        <v>ТЭ.42.31656254.0001</v>
      </c>
      <c r="CD202" s="2312" t="s">
        <v>1189</v>
      </c>
      <c r="CE202" s="2312" t="s">
        <v>1193</v>
      </c>
      <c r="CF202" s="1751"/>
      <c r="CG202" s="1751"/>
      <c r="CH202" s="2312" t="s">
        <v>1290</v>
      </c>
      <c r="CI202" s="2312" t="s">
        <v>303</v>
      </c>
      <c r="CJ202" s="2312" t="s">
        <v>1293</v>
      </c>
      <c r="CK202" s="2312" t="s">
        <v>1294</v>
      </c>
      <c r="CL202" s="1751"/>
      <c r="CM202" s="1751"/>
      <c r="CN202" s="1751"/>
    </row>
    <row s="1751" customFormat="1" customHeight="1" ht="14.25">
      <c r="A203" s="371"/>
      <c r="B203" s="1548"/>
      <c r="C203" s="1548"/>
      <c r="D203" s="1548"/>
      <c r="E203" s="180">
        <v>15</v>
      </c>
      <c r="F203" s="175" cm="1" t="str">
        <f t="array" ref="F203:F203">F202</f>
        <v>1</v>
      </c>
      <c r="G203" s="1659"/>
      <c r="H203" s="1659"/>
      <c r="I203" s="1659"/>
      <c r="J203" s="1659"/>
      <c r="K203" s="1659"/>
      <c r="L203" s="1659"/>
      <c r="M203" s="1659"/>
      <c r="N203" s="1659"/>
      <c r="O203" s="1659"/>
      <c r="P203" s="1659"/>
      <c r="Q203" s="1659"/>
      <c r="R203" s="1659"/>
      <c r="S203" s="1659"/>
      <c r="T203" s="753" cm="1" t="str">
        <f t="array" ref="T203:T203">T202</f>
        <v>true</v>
      </c>
      <c r="U203" s="1548"/>
      <c r="V203" s="1548"/>
      <c r="W203" s="1548"/>
      <c r="X203" s="1548"/>
      <c r="Y203" s="1548"/>
      <c r="Z203" s="1548"/>
      <c r="AA203" s="183"/>
      <c r="AB203" s="633" t="str">
        <f>AB201&amp;".2"</f>
        <v>6.4.2</v>
      </c>
      <c r="AC203" s="635" t="s">
        <v>1195</v>
      </c>
      <c r="AD203" s="633" t="s">
        <v>495</v>
      </c>
      <c r="AE203" s="1864">
        <f>IF(AE189=0,0,AE217/AE189*100)</f>
        <v>0</v>
      </c>
      <c r="AF203" s="1864">
        <f>IF(AF189=0,0,AF217/AF189*100)</f>
        <v>0</v>
      </c>
      <c r="AG203" s="1864">
        <f>IF(AG189=0,0,AG217/AG189*100)</f>
        <v>0</v>
      </c>
      <c r="AH203" s="1864">
        <f>IF(AH189=0,0,AH217/AH189*100)</f>
        <v>0</v>
      </c>
      <c r="AI203" s="353">
        <f>IF(AI189=0,0,AI217/AI189*100)</f>
        <v>0</v>
      </c>
      <c r="AJ203" s="1864">
        <f>IF(AJ189=0,0,AJ217/AJ189*100)</f>
        <v>0</v>
      </c>
      <c r="AK203" s="1864">
        <f>IF(AK189=0,0,AK217/AK189*100)</f>
        <v>0</v>
      </c>
      <c r="AL203" s="1864">
        <f>IF(AL189=0,0,AL217/AL189*100)</f>
        <v>0</v>
      </c>
      <c r="AM203" s="1864">
        <f>IF(AM189=0,0,AM217/AM189*100)</f>
        <v>0</v>
      </c>
      <c r="AN203" s="1864">
        <f>IF(AN189=0,0,AN217/AN189*100)</f>
        <v>0</v>
      </c>
      <c r="AO203" s="1864">
        <f>IF(AO189=0,0,AO217/AO189*100)</f>
        <v>0</v>
      </c>
      <c r="AP203" s="1864">
        <f>IF(AP189=0,0,AP217/AP189*100)</f>
        <v>0</v>
      </c>
      <c r="AQ203" s="1864">
        <f>IF(AQ189=0,0,AQ217/AQ189*100)</f>
        <v>0</v>
      </c>
      <c r="AR203" s="1864">
        <f>IF(AR189=0,0,AR217/AR189*100)</f>
        <v>0</v>
      </c>
      <c r="AS203" s="1864">
        <f>IF(AS189=0,0,AS217/AS189*100)</f>
        <v>0</v>
      </c>
      <c r="AT203" s="1864">
        <f>IF(AT189=0,0,AT217/AT189*100)</f>
        <v>0</v>
      </c>
      <c r="AU203" s="1864">
        <f>IF(AU189=0,0,AU217/AU189*100)</f>
        <v>0</v>
      </c>
      <c r="AV203" s="1864">
        <f>IF(AV189=0,0,AV217/AV189*100)</f>
        <v>0</v>
      </c>
      <c r="AW203" s="1864">
        <f>IF(AW189=0,0,AW217/AW189*100)</f>
        <v>0</v>
      </c>
      <c r="AX203" s="1864">
        <f>IF(AX189=0,0,AX217/AX189*100)</f>
        <v>0</v>
      </c>
      <c r="AY203" s="1864">
        <f>IF(AY189=0,0,AY217/AY189*100)</f>
        <v>0</v>
      </c>
      <c r="AZ203" s="1864">
        <f>IF(AZ189=0,0,AZ217/AZ189*100)</f>
        <v>0</v>
      </c>
      <c r="BA203" s="1864">
        <f>IF(BA189=0,0,BA217/BA189*100)</f>
        <v>0</v>
      </c>
      <c r="BB203" s="1864">
        <f>IF(BB189=0,0,BB217/BB189*100)</f>
        <v>0</v>
      </c>
      <c r="BC203" s="353">
        <f>IF(BC189=0,0,BC217/BC189*100)</f>
        <v>0</v>
      </c>
      <c r="BD203" s="1864">
        <f>IF(BD189=0,0,BD217/BD189*100)</f>
        <v>0</v>
      </c>
      <c r="BE203" s="1864">
        <f>IF(BE189=0,0,BE217/BE189*100)</f>
        <v>0</v>
      </c>
      <c r="BF203" s="1864">
        <f>IF(BF189=0,0,BF217/BF189*100)</f>
        <v>0</v>
      </c>
      <c r="BG203" s="1864">
        <f>IF(BG189=0,0,BG217/BG189*100)</f>
        <v>0</v>
      </c>
      <c r="BH203" s="1864">
        <f>IF(BH189=0,0,BH217/BH189*100)</f>
        <v>0</v>
      </c>
      <c r="BI203" s="1864">
        <f>IF(BI189=0,0,BI217/BI189*100)</f>
        <v>0</v>
      </c>
      <c r="BJ203" s="1864">
        <f>IF(BJ189=0,0,BJ217/BJ189*100)</f>
        <v>0</v>
      </c>
      <c r="BK203" s="1864">
        <f>IF(BK189=0,0,BK217/BK189*100)</f>
        <v>0</v>
      </c>
      <c r="BL203" s="1864">
        <f>IF(BL189=0,0,BL217/BL189*100)</f>
        <v>0</v>
      </c>
      <c r="BM203" s="1864">
        <f>IF(BM189=0,0,BM217/BM189*100)</f>
        <v>0</v>
      </c>
      <c r="BN203" s="1864">
        <f>IF(BN189=0,0,BN217/BN189*100)</f>
        <v>0</v>
      </c>
      <c r="BO203" s="1864">
        <f>IF(BO189=0,0,BO217/BO189*100)</f>
        <v>0</v>
      </c>
      <c r="BP203" s="1864">
        <f>IF(BP189=0,0,BP217/BP189*100)</f>
        <v>0</v>
      </c>
      <c r="BQ203" s="1864">
        <f>IF(BQ189=0,0,BQ217/BQ189*100)</f>
        <v>0</v>
      </c>
      <c r="BR203" s="1864">
        <f>IF(BR189=0,0,BR217/BR189*100)</f>
        <v>0</v>
      </c>
      <c r="BS203" s="1864">
        <f>IF(BS189=0,0,BS217/BS189*100)</f>
        <v>0</v>
      </c>
      <c r="BT203" s="1864">
        <f>IF(BT189=0,0,BT217/BT189*100)</f>
        <v>0</v>
      </c>
      <c r="BU203" s="1864">
        <f>IF(BU189=0,0,BU217/BU189*100)</f>
        <v>0</v>
      </c>
      <c r="BV203" s="1864">
        <f>IF(BV189=0,0,BV217/BV189*100)</f>
        <v>0</v>
      </c>
      <c r="BW203" s="1897"/>
      <c r="BX203" s="183"/>
      <c r="BY203" s="969"/>
      <c r="BZ203" s="489" t="s">
        <v>1300</v>
      </c>
      <c r="CA203" s="1506"/>
      <c r="CB203" s="1506"/>
      <c r="CC203" s="2312" cm="1" t="str">
        <f t="array" ref="CC203:CC203">CC202</f>
        <v>ТЭ.42.31656254.0001</v>
      </c>
      <c r="CD203" s="2312" t="s">
        <v>1189</v>
      </c>
      <c r="CE203" s="2312" t="s">
        <v>1197</v>
      </c>
      <c r="CF203" s="1751"/>
      <c r="CG203" s="1751"/>
      <c r="CH203" s="2312" t="s">
        <v>1290</v>
      </c>
      <c r="CI203" s="2312" t="s">
        <v>303</v>
      </c>
      <c r="CJ203" s="2312" t="s">
        <v>1293</v>
      </c>
      <c r="CK203" s="2312" t="s">
        <v>1294</v>
      </c>
      <c r="CL203" s="1751"/>
      <c r="CM203" s="1751"/>
      <c r="CN203" s="1751"/>
    </row>
    <row s="1751" customFormat="1" customHeight="1" ht="14.25">
      <c r="A204" s="371"/>
      <c r="B204" s="1548"/>
      <c r="C204" s="1548"/>
      <c r="D204" s="1548"/>
      <c r="E204" s="180">
        <v>15</v>
      </c>
      <c r="F204" s="175" cm="1" t="str">
        <f t="array" ref="F204:F204">F203</f>
        <v>1</v>
      </c>
      <c r="G204" s="1659"/>
      <c r="H204" s="1659"/>
      <c r="I204" s="1659"/>
      <c r="J204" s="1659"/>
      <c r="K204" s="1659"/>
      <c r="L204" s="1659"/>
      <c r="M204" s="1659"/>
      <c r="N204" s="1659"/>
      <c r="O204" s="1659"/>
      <c r="P204" s="1659"/>
      <c r="Q204" s="1659"/>
      <c r="R204" s="1659"/>
      <c r="S204" s="1659"/>
      <c r="T204" s="753" cm="1" t="str">
        <f t="array" ref="T204:T204">T203</f>
        <v>true</v>
      </c>
      <c r="U204" s="1548"/>
      <c r="V204" s="1548"/>
      <c r="W204" s="1548"/>
      <c r="X204" s="1548"/>
      <c r="Y204" s="1548"/>
      <c r="Z204" s="1548"/>
      <c r="AA204" s="183"/>
      <c r="AB204" s="633" t="str">
        <f>AB201&amp;".3"</f>
        <v>6.4.3</v>
      </c>
      <c r="AC204" s="635" t="s">
        <v>1199</v>
      </c>
      <c r="AD204" s="633" t="s">
        <v>495</v>
      </c>
      <c r="AE204" s="1864">
        <f>IF(AE190=0,0,AE218/AE190*100)</f>
        <v>0</v>
      </c>
      <c r="AF204" s="1864">
        <f>IF(AF190=0,0,AF218/AF190*100)</f>
        <v>0</v>
      </c>
      <c r="AG204" s="1864">
        <f>IF(AG190=0,0,AG218/AG190*100)</f>
        <v>0</v>
      </c>
      <c r="AH204" s="1864">
        <f>IF(AH190=0,0,AH218/AH190*100)</f>
        <v>0</v>
      </c>
      <c r="AI204" s="353">
        <f>IF(AI190=0,0,AI218/AI190*100)</f>
        <v>0</v>
      </c>
      <c r="AJ204" s="1864">
        <f>IF(AJ190=0,0,AJ218/AJ190*100)</f>
        <v>0</v>
      </c>
      <c r="AK204" s="1864">
        <f>IF(AK190=0,0,AK218/AK190*100)</f>
        <v>0</v>
      </c>
      <c r="AL204" s="1864">
        <f>IF(AL190=0,0,AL218/AL190*100)</f>
        <v>0</v>
      </c>
      <c r="AM204" s="1864">
        <f>IF(AM190=0,0,AM218/AM190*100)</f>
        <v>0</v>
      </c>
      <c r="AN204" s="1864">
        <f>IF(AN190=0,0,AN218/AN190*100)</f>
        <v>0</v>
      </c>
      <c r="AO204" s="1864">
        <f>IF(AO190=0,0,AO218/AO190*100)</f>
        <v>0</v>
      </c>
      <c r="AP204" s="1864">
        <f>IF(AP190=0,0,AP218/AP190*100)</f>
        <v>0</v>
      </c>
      <c r="AQ204" s="1864">
        <f>IF(AQ190=0,0,AQ218/AQ190*100)</f>
        <v>0</v>
      </c>
      <c r="AR204" s="1864">
        <f>IF(AR190=0,0,AR218/AR190*100)</f>
        <v>0</v>
      </c>
      <c r="AS204" s="1864">
        <f>IF(AS190=0,0,AS218/AS190*100)</f>
        <v>0</v>
      </c>
      <c r="AT204" s="1864">
        <f>IF(AT190=0,0,AT218/AT190*100)</f>
        <v>0</v>
      </c>
      <c r="AU204" s="1864">
        <f>IF(AU190=0,0,AU218/AU190*100)</f>
        <v>0</v>
      </c>
      <c r="AV204" s="1864">
        <f>IF(AV190=0,0,AV218/AV190*100)</f>
        <v>0</v>
      </c>
      <c r="AW204" s="1864">
        <f>IF(AW190=0,0,AW218/AW190*100)</f>
        <v>0</v>
      </c>
      <c r="AX204" s="1864">
        <f>IF(AX190=0,0,AX218/AX190*100)</f>
        <v>0</v>
      </c>
      <c r="AY204" s="1864">
        <f>IF(AY190=0,0,AY218/AY190*100)</f>
        <v>0</v>
      </c>
      <c r="AZ204" s="1864">
        <f>IF(AZ190=0,0,AZ218/AZ190*100)</f>
        <v>0</v>
      </c>
      <c r="BA204" s="1864">
        <f>IF(BA190=0,0,BA218/BA190*100)</f>
        <v>0</v>
      </c>
      <c r="BB204" s="1864">
        <f>IF(BB190=0,0,BB218/BB190*100)</f>
        <v>0</v>
      </c>
      <c r="BC204" s="353">
        <f>IF(BC190=0,0,BC218/BC190*100)</f>
        <v>0</v>
      </c>
      <c r="BD204" s="1864">
        <f>IF(BD190=0,0,BD218/BD190*100)</f>
        <v>0</v>
      </c>
      <c r="BE204" s="1864">
        <f>IF(BE190=0,0,BE218/BE190*100)</f>
        <v>0</v>
      </c>
      <c r="BF204" s="1864">
        <f>IF(BF190=0,0,BF218/BF190*100)</f>
        <v>0</v>
      </c>
      <c r="BG204" s="1864">
        <f>IF(BG190=0,0,BG218/BG190*100)</f>
        <v>0</v>
      </c>
      <c r="BH204" s="1864">
        <f>IF(BH190=0,0,BH218/BH190*100)</f>
        <v>0</v>
      </c>
      <c r="BI204" s="1864">
        <f>IF(BI190=0,0,BI218/BI190*100)</f>
        <v>0</v>
      </c>
      <c r="BJ204" s="1864">
        <f>IF(BJ190=0,0,BJ218/BJ190*100)</f>
        <v>0</v>
      </c>
      <c r="BK204" s="1864">
        <f>IF(BK190=0,0,BK218/BK190*100)</f>
        <v>0</v>
      </c>
      <c r="BL204" s="1864">
        <f>IF(BL190=0,0,BL218/BL190*100)</f>
        <v>0</v>
      </c>
      <c r="BM204" s="1864">
        <f>IF(BM190=0,0,BM218/BM190*100)</f>
        <v>0</v>
      </c>
      <c r="BN204" s="1864">
        <f>IF(BN190=0,0,BN218/BN190*100)</f>
        <v>0</v>
      </c>
      <c r="BO204" s="1864">
        <f>IF(BO190=0,0,BO218/BO190*100)</f>
        <v>0</v>
      </c>
      <c r="BP204" s="1864">
        <f>IF(BP190=0,0,BP218/BP190*100)</f>
        <v>0</v>
      </c>
      <c r="BQ204" s="1864">
        <f>IF(BQ190=0,0,BQ218/BQ190*100)</f>
        <v>0</v>
      </c>
      <c r="BR204" s="1864">
        <f>IF(BR190=0,0,BR218/BR190*100)</f>
        <v>0</v>
      </c>
      <c r="BS204" s="1864">
        <f>IF(BS190=0,0,BS218/BS190*100)</f>
        <v>0</v>
      </c>
      <c r="BT204" s="1864">
        <f>IF(BT190=0,0,BT218/BT190*100)</f>
        <v>0</v>
      </c>
      <c r="BU204" s="1864">
        <f>IF(BU190=0,0,BU218/BU190*100)</f>
        <v>0</v>
      </c>
      <c r="BV204" s="1864">
        <f>IF(BV190=0,0,BV218/BV190*100)</f>
        <v>0</v>
      </c>
      <c r="BW204" s="1897"/>
      <c r="BX204" s="183"/>
      <c r="BY204" s="969"/>
      <c r="BZ204" s="489" t="s">
        <v>1301</v>
      </c>
      <c r="CA204" s="1506"/>
      <c r="CB204" s="1506"/>
      <c r="CC204" s="2312" cm="1" t="str">
        <f t="array" ref="CC204:CC204">CC203</f>
        <v>ТЭ.42.31656254.0001</v>
      </c>
      <c r="CD204" s="2312" t="s">
        <v>1189</v>
      </c>
      <c r="CE204" s="2312" t="s">
        <v>1201</v>
      </c>
      <c r="CF204" s="1751"/>
      <c r="CG204" s="1751"/>
      <c r="CH204" s="2312" t="s">
        <v>1290</v>
      </c>
      <c r="CI204" s="2312" t="s">
        <v>303</v>
      </c>
      <c r="CJ204" s="2312" t="s">
        <v>1293</v>
      </c>
      <c r="CK204" s="2312" t="s">
        <v>1294</v>
      </c>
      <c r="CL204" s="1751"/>
      <c r="CM204" s="1751"/>
      <c r="CN204" s="1751"/>
    </row>
    <row s="1751" customFormat="1" customHeight="1" ht="14.25">
      <c r="A205" s="371"/>
      <c r="B205" s="1548"/>
      <c r="C205" s="1548"/>
      <c r="D205" s="1548"/>
      <c r="E205" s="180">
        <v>15</v>
      </c>
      <c r="F205" s="175" cm="1" t="str">
        <f t="array" ref="F205:F205">F204</f>
        <v>1</v>
      </c>
      <c r="G205" s="1659"/>
      <c r="H205" s="1659"/>
      <c r="I205" s="1659"/>
      <c r="J205" s="1659"/>
      <c r="K205" s="1659"/>
      <c r="L205" s="1659"/>
      <c r="M205" s="1659"/>
      <c r="N205" s="1659"/>
      <c r="O205" s="1659"/>
      <c r="P205" s="1659"/>
      <c r="Q205" s="1659"/>
      <c r="R205" s="1659"/>
      <c r="S205" s="1659"/>
      <c r="T205" s="753" cm="1" t="str">
        <f t="array" ref="T205:T205">T204</f>
        <v>true</v>
      </c>
      <c r="U205" s="1548"/>
      <c r="V205" s="1548"/>
      <c r="W205" s="1548"/>
      <c r="X205" s="1548"/>
      <c r="Y205" s="1548"/>
      <c r="Z205" s="1548"/>
      <c r="AA205" s="183"/>
      <c r="AB205" s="633" t="str">
        <f>AB201&amp;".4"</f>
        <v>6.4.4</v>
      </c>
      <c r="AC205" s="635" t="s">
        <v>1203</v>
      </c>
      <c r="AD205" s="633" t="s">
        <v>495</v>
      </c>
      <c r="AE205" s="1864">
        <f>IF(AE191=0,0,AE219/AE191*100)</f>
        <v>0</v>
      </c>
      <c r="AF205" s="1864">
        <f>IF(AF191=0,0,AF219/AF191*100)</f>
        <v>0</v>
      </c>
      <c r="AG205" s="1864">
        <f>IF(AG191=0,0,AG219/AG191*100)</f>
        <v>0</v>
      </c>
      <c r="AH205" s="1864">
        <f>IF(AH191=0,0,AH219/AH191*100)</f>
        <v>0</v>
      </c>
      <c r="AI205" s="353">
        <f>IF(AI191=0,0,AI219/AI191*100)</f>
        <v>0</v>
      </c>
      <c r="AJ205" s="1864">
        <f>IF(AJ191=0,0,AJ219/AJ191*100)</f>
        <v>0</v>
      </c>
      <c r="AK205" s="1864">
        <f>IF(AK191=0,0,AK219/AK191*100)</f>
        <v>0</v>
      </c>
      <c r="AL205" s="1864">
        <f>IF(AL191=0,0,AL219/AL191*100)</f>
        <v>0</v>
      </c>
      <c r="AM205" s="1864">
        <f>IF(AM191=0,0,AM219/AM191*100)</f>
        <v>0</v>
      </c>
      <c r="AN205" s="1864">
        <f>IF(AN191=0,0,AN219/AN191*100)</f>
        <v>0</v>
      </c>
      <c r="AO205" s="1864">
        <f>IF(AO191=0,0,AO219/AO191*100)</f>
        <v>0</v>
      </c>
      <c r="AP205" s="1864">
        <f>IF(AP191=0,0,AP219/AP191*100)</f>
        <v>0</v>
      </c>
      <c r="AQ205" s="1864">
        <f>IF(AQ191=0,0,AQ219/AQ191*100)</f>
        <v>0</v>
      </c>
      <c r="AR205" s="1864">
        <f>IF(AR191=0,0,AR219/AR191*100)</f>
        <v>0</v>
      </c>
      <c r="AS205" s="1864">
        <f>IF(AS191=0,0,AS219/AS191*100)</f>
        <v>0</v>
      </c>
      <c r="AT205" s="1864">
        <f>IF(AT191=0,0,AT219/AT191*100)</f>
        <v>0</v>
      </c>
      <c r="AU205" s="1864">
        <f>IF(AU191=0,0,AU219/AU191*100)</f>
        <v>0</v>
      </c>
      <c r="AV205" s="1864">
        <f>IF(AV191=0,0,AV219/AV191*100)</f>
        <v>0</v>
      </c>
      <c r="AW205" s="1864">
        <f>IF(AW191=0,0,AW219/AW191*100)</f>
        <v>0</v>
      </c>
      <c r="AX205" s="1864">
        <f>IF(AX191=0,0,AX219/AX191*100)</f>
        <v>0</v>
      </c>
      <c r="AY205" s="1864">
        <f>IF(AY191=0,0,AY219/AY191*100)</f>
        <v>0</v>
      </c>
      <c r="AZ205" s="1864">
        <f>IF(AZ191=0,0,AZ219/AZ191*100)</f>
        <v>0</v>
      </c>
      <c r="BA205" s="1864">
        <f>IF(BA191=0,0,BA219/BA191*100)</f>
        <v>0</v>
      </c>
      <c r="BB205" s="1864">
        <f>IF(BB191=0,0,BB219/BB191*100)</f>
        <v>0</v>
      </c>
      <c r="BC205" s="353">
        <f>IF(BC191=0,0,BC219/BC191*100)</f>
        <v>0</v>
      </c>
      <c r="BD205" s="1864">
        <f>IF(BD191=0,0,BD219/BD191*100)</f>
        <v>0</v>
      </c>
      <c r="BE205" s="1864">
        <f>IF(BE191=0,0,BE219/BE191*100)</f>
        <v>0</v>
      </c>
      <c r="BF205" s="1864">
        <f>IF(BF191=0,0,BF219/BF191*100)</f>
        <v>0</v>
      </c>
      <c r="BG205" s="1864">
        <f>IF(BG191=0,0,BG219/BG191*100)</f>
        <v>0</v>
      </c>
      <c r="BH205" s="1864">
        <f>IF(BH191=0,0,BH219/BH191*100)</f>
        <v>0</v>
      </c>
      <c r="BI205" s="1864">
        <f>IF(BI191=0,0,BI219/BI191*100)</f>
        <v>0</v>
      </c>
      <c r="BJ205" s="1864">
        <f>IF(BJ191=0,0,BJ219/BJ191*100)</f>
        <v>0</v>
      </c>
      <c r="BK205" s="1864">
        <f>IF(BK191=0,0,BK219/BK191*100)</f>
        <v>0</v>
      </c>
      <c r="BL205" s="1864">
        <f>IF(BL191=0,0,BL219/BL191*100)</f>
        <v>0</v>
      </c>
      <c r="BM205" s="1864">
        <f>IF(BM191=0,0,BM219/BM191*100)</f>
        <v>0</v>
      </c>
      <c r="BN205" s="1864">
        <f>IF(BN191=0,0,BN219/BN191*100)</f>
        <v>0</v>
      </c>
      <c r="BO205" s="1864">
        <f>IF(BO191=0,0,BO219/BO191*100)</f>
        <v>0</v>
      </c>
      <c r="BP205" s="1864">
        <f>IF(BP191=0,0,BP219/BP191*100)</f>
        <v>0</v>
      </c>
      <c r="BQ205" s="1864">
        <f>IF(BQ191=0,0,BQ219/BQ191*100)</f>
        <v>0</v>
      </c>
      <c r="BR205" s="1864">
        <f>IF(BR191=0,0,BR219/BR191*100)</f>
        <v>0</v>
      </c>
      <c r="BS205" s="1864">
        <f>IF(BS191=0,0,BS219/BS191*100)</f>
        <v>0</v>
      </c>
      <c r="BT205" s="1864">
        <f>IF(BT191=0,0,BT219/BT191*100)</f>
        <v>0</v>
      </c>
      <c r="BU205" s="1864">
        <f>IF(BU191=0,0,BU219/BU191*100)</f>
        <v>0</v>
      </c>
      <c r="BV205" s="1864">
        <f>IF(BV191=0,0,BV219/BV191*100)</f>
        <v>0</v>
      </c>
      <c r="BW205" s="1897"/>
      <c r="BX205" s="183"/>
      <c r="BY205" s="969"/>
      <c r="BZ205" s="489" t="s">
        <v>1302</v>
      </c>
      <c r="CA205" s="1506"/>
      <c r="CB205" s="1506"/>
      <c r="CC205" s="2312" cm="1" t="str">
        <f t="array" ref="CC205:CC205">CC204</f>
        <v>ТЭ.42.31656254.0001</v>
      </c>
      <c r="CD205" s="2312" t="s">
        <v>1189</v>
      </c>
      <c r="CE205" s="2312" t="s">
        <v>1205</v>
      </c>
      <c r="CF205" s="1751"/>
      <c r="CG205" s="1751"/>
      <c r="CH205" s="2312" t="s">
        <v>1290</v>
      </c>
      <c r="CI205" s="2312" t="s">
        <v>303</v>
      </c>
      <c r="CJ205" s="2312" t="s">
        <v>1293</v>
      </c>
      <c r="CK205" s="2312" t="s">
        <v>1294</v>
      </c>
      <c r="CL205" s="1751"/>
      <c r="CM205" s="1751"/>
      <c r="CN205" s="1751"/>
    </row>
    <row s="1751" customFormat="1" customHeight="1" ht="14.25">
      <c r="A206" s="371"/>
      <c r="B206" s="1548"/>
      <c r="C206" s="1548"/>
      <c r="D206" s="1548"/>
      <c r="E206" s="180">
        <v>15</v>
      </c>
      <c r="F206" s="175" cm="1" t="str">
        <f t="array" ref="F206:F206">F205</f>
        <v>1</v>
      </c>
      <c r="G206" s="1659"/>
      <c r="H206" s="1659"/>
      <c r="I206" s="1659"/>
      <c r="J206" s="1659"/>
      <c r="K206" s="1659"/>
      <c r="L206" s="1659"/>
      <c r="M206" s="1659"/>
      <c r="N206" s="1659"/>
      <c r="O206" s="1659"/>
      <c r="P206" s="1659"/>
      <c r="Q206" s="1659"/>
      <c r="R206" s="1659"/>
      <c r="S206" s="1659"/>
      <c r="T206" s="753" cm="1" t="str">
        <f t="array" ref="T206:T206">T205</f>
        <v>true</v>
      </c>
      <c r="U206" s="1548"/>
      <c r="V206" s="1548"/>
      <c r="W206" s="1548"/>
      <c r="X206" s="1548"/>
      <c r="Y206" s="1548"/>
      <c r="Z206" s="1548"/>
      <c r="AA206" s="183"/>
      <c r="AB206" s="633" t="str">
        <f>AB201&amp;".5"</f>
        <v>6.4.5</v>
      </c>
      <c r="AC206" s="635" t="s">
        <v>1207</v>
      </c>
      <c r="AD206" s="633" t="s">
        <v>495</v>
      </c>
      <c r="AE206" s="1864">
        <f>IF(AE192=0,0,AE220/AE192*100)</f>
        <v>0</v>
      </c>
      <c r="AF206" s="1864">
        <f>IF(AF192=0,0,AF220/AF192*100)</f>
        <v>0</v>
      </c>
      <c r="AG206" s="1864">
        <f>IF(AG192=0,0,AG220/AG192*100)</f>
        <v>0</v>
      </c>
      <c r="AH206" s="1864">
        <f>IF(AH192=0,0,AH220/AH192*100)</f>
        <v>0</v>
      </c>
      <c r="AI206" s="353">
        <f>IF(AI192=0,0,AI220/AI192*100)</f>
        <v>0</v>
      </c>
      <c r="AJ206" s="1864">
        <f>IF(AJ192=0,0,AJ220/AJ192*100)</f>
        <v>0</v>
      </c>
      <c r="AK206" s="1864">
        <f>IF(AK192=0,0,AK220/AK192*100)</f>
        <v>0</v>
      </c>
      <c r="AL206" s="1864">
        <f>IF(AL192=0,0,AL220/AL192*100)</f>
        <v>0</v>
      </c>
      <c r="AM206" s="1864">
        <f>IF(AM192=0,0,AM220/AM192*100)</f>
        <v>0</v>
      </c>
      <c r="AN206" s="1864">
        <f>IF(AN192=0,0,AN220/AN192*100)</f>
        <v>0</v>
      </c>
      <c r="AO206" s="1864">
        <f>IF(AO192=0,0,AO220/AO192*100)</f>
        <v>0</v>
      </c>
      <c r="AP206" s="1864">
        <f>IF(AP192=0,0,AP220/AP192*100)</f>
        <v>0</v>
      </c>
      <c r="AQ206" s="1864">
        <f>IF(AQ192=0,0,AQ220/AQ192*100)</f>
        <v>0</v>
      </c>
      <c r="AR206" s="1864">
        <f>IF(AR192=0,0,AR220/AR192*100)</f>
        <v>0</v>
      </c>
      <c r="AS206" s="1864">
        <f>IF(AS192=0,0,AS220/AS192*100)</f>
        <v>0</v>
      </c>
      <c r="AT206" s="1864">
        <f>IF(AT192=0,0,AT220/AT192*100)</f>
        <v>0</v>
      </c>
      <c r="AU206" s="1864">
        <f>IF(AU192=0,0,AU220/AU192*100)</f>
        <v>0</v>
      </c>
      <c r="AV206" s="1864">
        <f>IF(AV192=0,0,AV220/AV192*100)</f>
        <v>0</v>
      </c>
      <c r="AW206" s="1864">
        <f>IF(AW192=0,0,AW220/AW192*100)</f>
        <v>0</v>
      </c>
      <c r="AX206" s="1864">
        <f>IF(AX192=0,0,AX220/AX192*100)</f>
        <v>0</v>
      </c>
      <c r="AY206" s="1864">
        <f>IF(AY192=0,0,AY220/AY192*100)</f>
        <v>0</v>
      </c>
      <c r="AZ206" s="1864">
        <f>IF(AZ192=0,0,AZ220/AZ192*100)</f>
        <v>0</v>
      </c>
      <c r="BA206" s="1864">
        <f>IF(BA192=0,0,BA220/BA192*100)</f>
        <v>0</v>
      </c>
      <c r="BB206" s="1864">
        <f>IF(BB192=0,0,BB220/BB192*100)</f>
        <v>0</v>
      </c>
      <c r="BC206" s="353">
        <f>IF(BC192=0,0,BC220/BC192*100)</f>
        <v>0</v>
      </c>
      <c r="BD206" s="1864">
        <f>IF(BD192=0,0,BD220/BD192*100)</f>
        <v>0</v>
      </c>
      <c r="BE206" s="1864">
        <f>IF(BE192=0,0,BE220/BE192*100)</f>
        <v>0</v>
      </c>
      <c r="BF206" s="1864">
        <f>IF(BF192=0,0,BF220/BF192*100)</f>
        <v>0</v>
      </c>
      <c r="BG206" s="1864">
        <f>IF(BG192=0,0,BG220/BG192*100)</f>
        <v>0</v>
      </c>
      <c r="BH206" s="1864">
        <f>IF(BH192=0,0,BH220/BH192*100)</f>
        <v>0</v>
      </c>
      <c r="BI206" s="1864">
        <f>IF(BI192=0,0,BI220/BI192*100)</f>
        <v>0</v>
      </c>
      <c r="BJ206" s="1864">
        <f>IF(BJ192=0,0,BJ220/BJ192*100)</f>
        <v>0</v>
      </c>
      <c r="BK206" s="1864">
        <f>IF(BK192=0,0,BK220/BK192*100)</f>
        <v>0</v>
      </c>
      <c r="BL206" s="1864">
        <f>IF(BL192=0,0,BL220/BL192*100)</f>
        <v>0</v>
      </c>
      <c r="BM206" s="1864">
        <f>IF(BM192=0,0,BM220/BM192*100)</f>
        <v>0</v>
      </c>
      <c r="BN206" s="1864">
        <f>IF(BN192=0,0,BN220/BN192*100)</f>
        <v>0</v>
      </c>
      <c r="BO206" s="1864">
        <f>IF(BO192=0,0,BO220/BO192*100)</f>
        <v>0</v>
      </c>
      <c r="BP206" s="1864">
        <f>IF(BP192=0,0,BP220/BP192*100)</f>
        <v>0</v>
      </c>
      <c r="BQ206" s="1864">
        <f>IF(BQ192=0,0,BQ220/BQ192*100)</f>
        <v>0</v>
      </c>
      <c r="BR206" s="1864">
        <f>IF(BR192=0,0,BR220/BR192*100)</f>
        <v>0</v>
      </c>
      <c r="BS206" s="1864">
        <f>IF(BS192=0,0,BS220/BS192*100)</f>
        <v>0</v>
      </c>
      <c r="BT206" s="1864">
        <f>IF(BT192=0,0,BT220/BT192*100)</f>
        <v>0</v>
      </c>
      <c r="BU206" s="1864">
        <f>IF(BU192=0,0,BU220/BU192*100)</f>
        <v>0</v>
      </c>
      <c r="BV206" s="1864">
        <f>IF(BV192=0,0,BV220/BV192*100)</f>
        <v>0</v>
      </c>
      <c r="BW206" s="1897"/>
      <c r="BX206" s="183"/>
      <c r="BY206" s="969"/>
      <c r="BZ206" s="489" t="s">
        <v>1303</v>
      </c>
      <c r="CA206" s="1506"/>
      <c r="CB206" s="1506"/>
      <c r="CC206" s="2312" cm="1" t="str">
        <f t="array" ref="CC206:CC206">CC205</f>
        <v>ТЭ.42.31656254.0001</v>
      </c>
      <c r="CD206" s="2312" t="s">
        <v>1189</v>
      </c>
      <c r="CE206" s="2312" t="s">
        <v>1209</v>
      </c>
      <c r="CF206" s="1751"/>
      <c r="CG206" s="1751"/>
      <c r="CH206" s="2312" t="s">
        <v>1290</v>
      </c>
      <c r="CI206" s="2312" t="s">
        <v>303</v>
      </c>
      <c r="CJ206" s="2312" t="s">
        <v>1293</v>
      </c>
      <c r="CK206" s="2312" t="s">
        <v>1294</v>
      </c>
      <c r="CL206" s="1751"/>
      <c r="CM206" s="1751"/>
      <c r="CN206" s="1751"/>
    </row>
    <row s="1751" customFormat="1" customHeight="1" ht="14.25">
      <c r="A207" s="371"/>
      <c r="B207" s="1548"/>
      <c r="C207" s="1548"/>
      <c r="D207" s="1548"/>
      <c r="E207" s="180">
        <v>15</v>
      </c>
      <c r="F207" s="175" cm="1" t="str">
        <f t="array" ref="F207:F207">F206</f>
        <v>1</v>
      </c>
      <c r="G207" s="1659"/>
      <c r="H207" s="1659"/>
      <c r="I207" s="1659"/>
      <c r="J207" s="1659"/>
      <c r="K207" s="1659"/>
      <c r="L207" s="1659"/>
      <c r="M207" s="1659"/>
      <c r="N207" s="1659"/>
      <c r="O207" s="1659"/>
      <c r="P207" s="1659"/>
      <c r="Q207" s="1659"/>
      <c r="R207" s="1659"/>
      <c r="S207" s="1659"/>
      <c r="T207" s="753" cm="1" t="str">
        <f t="array" ref="T207:T207">T206</f>
        <v>true</v>
      </c>
      <c r="U207" s="1548"/>
      <c r="V207" s="1548"/>
      <c r="W207" s="1548"/>
      <c r="X207" s="1548"/>
      <c r="Y207" s="1548"/>
      <c r="Z207" s="1548"/>
      <c r="AA207" s="183"/>
      <c r="AB207" s="633" t="str">
        <f>AB197&amp;".5"</f>
        <v>6.5</v>
      </c>
      <c r="AC207" s="634" t="s">
        <v>1210</v>
      </c>
      <c r="AD207" s="633" t="s">
        <v>495</v>
      </c>
      <c r="AE207" s="1864">
        <f>IF(AE193=0,0,AE221/AE193*100)</f>
        <v>0</v>
      </c>
      <c r="AF207" s="1864">
        <f>IF(AF193=0,0,AF221/AF193*100)</f>
        <v>0</v>
      </c>
      <c r="AG207" s="1864">
        <f>IF(AG193=0,0,AG221/AG193*100)</f>
        <v>0</v>
      </c>
      <c r="AH207" s="1864">
        <f>IF(AH193=0,0,AH221/AH193*100)</f>
        <v>0</v>
      </c>
      <c r="AI207" s="353">
        <f>IF(AI193=0,0,AI221/AI193*100)</f>
        <v>0</v>
      </c>
      <c r="AJ207" s="1864">
        <f>IF(AJ193=0,0,AJ221/AJ193*100)</f>
        <v>0</v>
      </c>
      <c r="AK207" s="1864">
        <f>IF(AK193=0,0,AK221/AK193*100)</f>
        <v>0</v>
      </c>
      <c r="AL207" s="1864">
        <f>IF(AL193=0,0,AL221/AL193*100)</f>
        <v>0</v>
      </c>
      <c r="AM207" s="1864">
        <f>IF(AM193=0,0,AM221/AM193*100)</f>
        <v>0</v>
      </c>
      <c r="AN207" s="1864">
        <f>IF(AN193=0,0,AN221/AN193*100)</f>
        <v>0</v>
      </c>
      <c r="AO207" s="1864">
        <f>IF(AO193=0,0,AO221/AO193*100)</f>
        <v>0</v>
      </c>
      <c r="AP207" s="1864">
        <f>IF(AP193=0,0,AP221/AP193*100)</f>
        <v>0</v>
      </c>
      <c r="AQ207" s="1864">
        <f>IF(AQ193=0,0,AQ221/AQ193*100)</f>
        <v>0</v>
      </c>
      <c r="AR207" s="1864">
        <f>IF(AR193=0,0,AR221/AR193*100)</f>
        <v>0</v>
      </c>
      <c r="AS207" s="1864">
        <f>IF(AS193=0,0,AS221/AS193*100)</f>
        <v>0</v>
      </c>
      <c r="AT207" s="1864">
        <f>IF(AT193=0,0,AT221/AT193*100)</f>
        <v>0</v>
      </c>
      <c r="AU207" s="1864">
        <f>IF(AU193=0,0,AU221/AU193*100)</f>
        <v>0</v>
      </c>
      <c r="AV207" s="1864">
        <f>IF(AV193=0,0,AV221/AV193*100)</f>
        <v>0</v>
      </c>
      <c r="AW207" s="1864">
        <f>IF(AW193=0,0,AW221/AW193*100)</f>
        <v>0</v>
      </c>
      <c r="AX207" s="1864">
        <f>IF(AX193=0,0,AX221/AX193*100)</f>
        <v>0</v>
      </c>
      <c r="AY207" s="1864">
        <f>IF(AY193=0,0,AY221/AY193*100)</f>
        <v>0</v>
      </c>
      <c r="AZ207" s="1864">
        <f>IF(AZ193=0,0,AZ221/AZ193*100)</f>
        <v>0</v>
      </c>
      <c r="BA207" s="1864">
        <f>IF(BA193=0,0,BA221/BA193*100)</f>
        <v>0</v>
      </c>
      <c r="BB207" s="1864">
        <f>IF(BB193=0,0,BB221/BB193*100)</f>
        <v>0</v>
      </c>
      <c r="BC207" s="353">
        <f>IF(BC193=0,0,BC221/BC193*100)</f>
        <v>0</v>
      </c>
      <c r="BD207" s="1864">
        <f>IF(BD193=0,0,BD221/BD193*100)</f>
        <v>0</v>
      </c>
      <c r="BE207" s="1864">
        <f>IF(BE193=0,0,BE221/BE193*100)</f>
        <v>0</v>
      </c>
      <c r="BF207" s="1864">
        <f>IF(BF193=0,0,BF221/BF193*100)</f>
        <v>0</v>
      </c>
      <c r="BG207" s="1864">
        <f>IF(BG193=0,0,BG221/BG193*100)</f>
        <v>0</v>
      </c>
      <c r="BH207" s="1864">
        <f>IF(BH193=0,0,BH221/BH193*100)</f>
        <v>0</v>
      </c>
      <c r="BI207" s="1864">
        <f>IF(BI193=0,0,BI221/BI193*100)</f>
        <v>0</v>
      </c>
      <c r="BJ207" s="1864">
        <f>IF(BJ193=0,0,BJ221/BJ193*100)</f>
        <v>0</v>
      </c>
      <c r="BK207" s="1864">
        <f>IF(BK193=0,0,BK221/BK193*100)</f>
        <v>0</v>
      </c>
      <c r="BL207" s="1864">
        <f>IF(BL193=0,0,BL221/BL193*100)</f>
        <v>0</v>
      </c>
      <c r="BM207" s="1864">
        <f>IF(BM193=0,0,BM221/BM193*100)</f>
        <v>0</v>
      </c>
      <c r="BN207" s="1864">
        <f>IF(BN193=0,0,BN221/BN193*100)</f>
        <v>0</v>
      </c>
      <c r="BO207" s="1864">
        <f>IF(BO193=0,0,BO221/BO193*100)</f>
        <v>0</v>
      </c>
      <c r="BP207" s="1864">
        <f>IF(BP193=0,0,BP221/BP193*100)</f>
        <v>0</v>
      </c>
      <c r="BQ207" s="1864">
        <f>IF(BQ193=0,0,BQ221/BQ193*100)</f>
        <v>0</v>
      </c>
      <c r="BR207" s="1864">
        <f>IF(BR193=0,0,BR221/BR193*100)</f>
        <v>0</v>
      </c>
      <c r="BS207" s="1864">
        <f>IF(BS193=0,0,BS221/BS193*100)</f>
        <v>0</v>
      </c>
      <c r="BT207" s="1864">
        <f>IF(BT193=0,0,BT221/BT193*100)</f>
        <v>0</v>
      </c>
      <c r="BU207" s="1864">
        <f>IF(BU193=0,0,BU221/BU193*100)</f>
        <v>0</v>
      </c>
      <c r="BV207" s="1864">
        <f>IF(BV193=0,0,BV221/BV193*100)</f>
        <v>0</v>
      </c>
      <c r="BW207" s="1897"/>
      <c r="BX207" s="183"/>
      <c r="BY207" s="969"/>
      <c r="BZ207" s="489" t="s">
        <v>1304</v>
      </c>
      <c r="CA207" s="1506"/>
      <c r="CB207" s="1506"/>
      <c r="CC207" s="2312" cm="1" t="str">
        <f t="array" ref="CC207:CC207">CC206</f>
        <v>ТЭ.42.31656254.0001</v>
      </c>
      <c r="CD207" s="2312" t="s">
        <v>1212</v>
      </c>
      <c r="CE207" s="1751"/>
      <c r="CF207" s="1751"/>
      <c r="CG207" s="1751"/>
      <c r="CH207" s="2312" t="s">
        <v>1290</v>
      </c>
      <c r="CI207" s="2312" t="s">
        <v>303</v>
      </c>
      <c r="CJ207" s="2312" t="s">
        <v>1293</v>
      </c>
      <c r="CK207" s="2312" t="s">
        <v>1294</v>
      </c>
      <c r="CL207" s="1751"/>
      <c r="CM207" s="1751"/>
      <c r="CN207" s="1751"/>
    </row>
    <row s="1751" customFormat="1" customHeight="1" ht="14.25">
      <c r="A208" s="371"/>
      <c r="B208" s="1548"/>
      <c r="C208" s="1548"/>
      <c r="D208" s="1548"/>
      <c r="E208" s="180">
        <v>15</v>
      </c>
      <c r="F208" s="175" cm="1" t="str">
        <f t="array" ref="F208:F208">F207</f>
        <v>1</v>
      </c>
      <c r="G208" s="1659"/>
      <c r="H208" s="1659"/>
      <c r="I208" s="1659"/>
      <c r="J208" s="1659"/>
      <c r="K208" s="1659"/>
      <c r="L208" s="1659"/>
      <c r="M208" s="1659"/>
      <c r="N208" s="1659"/>
      <c r="O208" s="1659"/>
      <c r="P208" s="1659"/>
      <c r="Q208" s="1659"/>
      <c r="R208" s="1659"/>
      <c r="S208" s="1659"/>
      <c r="T208" s="753" cm="1" t="str">
        <f t="array" ref="T208:T208">T207</f>
        <v>true</v>
      </c>
      <c r="U208" s="1548"/>
      <c r="V208" s="1548"/>
      <c r="W208" s="1548"/>
      <c r="X208" s="1548"/>
      <c r="Y208" s="1548"/>
      <c r="Z208" s="1548"/>
      <c r="AA208" s="183"/>
      <c r="AB208" s="633" t="str">
        <f>AB197&amp;".6"</f>
        <v>6.6</v>
      </c>
      <c r="AC208" s="634" t="s">
        <v>1213</v>
      </c>
      <c r="AD208" s="633" t="s">
        <v>495</v>
      </c>
      <c r="AE208" s="1864">
        <f>IF(AE194=0,0,AE222/AE194*100)</f>
        <v>0</v>
      </c>
      <c r="AF208" s="1864">
        <f>IF(AF194=0,0,AF222/AF194*100)</f>
        <v>0</v>
      </c>
      <c r="AG208" s="1864">
        <f>IF(AG194=0,0,AG222/AG194*100)</f>
        <v>0</v>
      </c>
      <c r="AH208" s="1864">
        <f>IF(AH194=0,0,AH222/AH194*100)</f>
        <v>0</v>
      </c>
      <c r="AI208" s="353">
        <f>IF(AI194=0,0,AI222/AI194*100)</f>
        <v>0</v>
      </c>
      <c r="AJ208" s="1864">
        <f>IF(AJ194=0,0,AJ222/AJ194*100)</f>
        <v>0</v>
      </c>
      <c r="AK208" s="1864">
        <f>IF(AK194=0,0,AK222/AK194*100)</f>
        <v>0</v>
      </c>
      <c r="AL208" s="1864">
        <f>IF(AL194=0,0,AL222/AL194*100)</f>
        <v>0</v>
      </c>
      <c r="AM208" s="1864">
        <f>IF(AM194=0,0,AM222/AM194*100)</f>
        <v>0</v>
      </c>
      <c r="AN208" s="1864">
        <f>IF(AN194=0,0,AN222/AN194*100)</f>
        <v>0</v>
      </c>
      <c r="AO208" s="1864">
        <f>IF(AO194=0,0,AO222/AO194*100)</f>
        <v>0</v>
      </c>
      <c r="AP208" s="1864">
        <f>IF(AP194=0,0,AP222/AP194*100)</f>
        <v>0</v>
      </c>
      <c r="AQ208" s="1864">
        <f>IF(AQ194=0,0,AQ222/AQ194*100)</f>
        <v>0</v>
      </c>
      <c r="AR208" s="1864">
        <f>IF(AR194=0,0,AR222/AR194*100)</f>
        <v>0</v>
      </c>
      <c r="AS208" s="1864">
        <f>IF(AS194=0,0,AS222/AS194*100)</f>
        <v>0</v>
      </c>
      <c r="AT208" s="1864">
        <f>IF(AT194=0,0,AT222/AT194*100)</f>
        <v>0</v>
      </c>
      <c r="AU208" s="1864">
        <f>IF(AU194=0,0,AU222/AU194*100)</f>
        <v>0</v>
      </c>
      <c r="AV208" s="1864">
        <f>IF(AV194=0,0,AV222/AV194*100)</f>
        <v>0</v>
      </c>
      <c r="AW208" s="1864">
        <f>IF(AW194=0,0,AW222/AW194*100)</f>
        <v>0</v>
      </c>
      <c r="AX208" s="1864">
        <f>IF(AX194=0,0,AX222/AX194*100)</f>
        <v>0</v>
      </c>
      <c r="AY208" s="1864">
        <f>IF(AY194=0,0,AY222/AY194*100)</f>
        <v>0</v>
      </c>
      <c r="AZ208" s="1864">
        <f>IF(AZ194=0,0,AZ222/AZ194*100)</f>
        <v>0</v>
      </c>
      <c r="BA208" s="1864">
        <f>IF(BA194=0,0,BA222/BA194*100)</f>
        <v>0</v>
      </c>
      <c r="BB208" s="1864">
        <f>IF(BB194=0,0,BB222/BB194*100)</f>
        <v>0</v>
      </c>
      <c r="BC208" s="353">
        <f>IF(BC194=0,0,BC222/BC194*100)</f>
        <v>0</v>
      </c>
      <c r="BD208" s="1864">
        <f>IF(BD194=0,0,BD222/BD194*100)</f>
        <v>0</v>
      </c>
      <c r="BE208" s="1864">
        <f>IF(BE194=0,0,BE222/BE194*100)</f>
        <v>0</v>
      </c>
      <c r="BF208" s="1864">
        <f>IF(BF194=0,0,BF222/BF194*100)</f>
        <v>0</v>
      </c>
      <c r="BG208" s="1864">
        <f>IF(BG194=0,0,BG222/BG194*100)</f>
        <v>0</v>
      </c>
      <c r="BH208" s="1864">
        <f>IF(BH194=0,0,BH222/BH194*100)</f>
        <v>0</v>
      </c>
      <c r="BI208" s="1864">
        <f>IF(BI194=0,0,BI222/BI194*100)</f>
        <v>0</v>
      </c>
      <c r="BJ208" s="1864">
        <f>IF(BJ194=0,0,BJ222/BJ194*100)</f>
        <v>0</v>
      </c>
      <c r="BK208" s="1864">
        <f>IF(BK194=0,0,BK222/BK194*100)</f>
        <v>0</v>
      </c>
      <c r="BL208" s="1864">
        <f>IF(BL194=0,0,BL222/BL194*100)</f>
        <v>0</v>
      </c>
      <c r="BM208" s="1864">
        <f>IF(BM194=0,0,BM222/BM194*100)</f>
        <v>0</v>
      </c>
      <c r="BN208" s="1864">
        <f>IF(BN194=0,0,BN222/BN194*100)</f>
        <v>0</v>
      </c>
      <c r="BO208" s="1864">
        <f>IF(BO194=0,0,BO222/BO194*100)</f>
        <v>0</v>
      </c>
      <c r="BP208" s="1864">
        <f>IF(BP194=0,0,BP222/BP194*100)</f>
        <v>0</v>
      </c>
      <c r="BQ208" s="1864">
        <f>IF(BQ194=0,0,BQ222/BQ194*100)</f>
        <v>0</v>
      </c>
      <c r="BR208" s="1864">
        <f>IF(BR194=0,0,BR222/BR194*100)</f>
        <v>0</v>
      </c>
      <c r="BS208" s="1864">
        <f>IF(BS194=0,0,BS222/BS194*100)</f>
        <v>0</v>
      </c>
      <c r="BT208" s="1864">
        <f>IF(BT194=0,0,BT222/BT194*100)</f>
        <v>0</v>
      </c>
      <c r="BU208" s="1864">
        <f>IF(BU194=0,0,BU222/BU194*100)</f>
        <v>0</v>
      </c>
      <c r="BV208" s="1864">
        <f>IF(BV194=0,0,BV222/BV194*100)</f>
        <v>0</v>
      </c>
      <c r="BW208" s="1897"/>
      <c r="BX208" s="183"/>
      <c r="BY208" s="969"/>
      <c r="BZ208" s="489" t="s">
        <v>1305</v>
      </c>
      <c r="CA208" s="1506"/>
      <c r="CB208" s="1506"/>
      <c r="CC208" s="2312" cm="1" t="str">
        <f t="array" ref="CC208:CC208">CC207</f>
        <v>ТЭ.42.31656254.0001</v>
      </c>
      <c r="CD208" s="1751"/>
      <c r="CE208" s="1751"/>
      <c r="CF208" s="2312" t="s">
        <v>1215</v>
      </c>
      <c r="CG208" s="1751"/>
      <c r="CH208" s="2312" t="s">
        <v>1290</v>
      </c>
      <c r="CI208" s="2312" t="s">
        <v>303</v>
      </c>
      <c r="CJ208" s="2312" t="s">
        <v>1293</v>
      </c>
      <c r="CK208" s="2312" t="s">
        <v>1294</v>
      </c>
      <c r="CL208" s="1751"/>
      <c r="CM208" s="1751"/>
      <c r="CN208" s="1751"/>
    </row>
    <row s="1751" customFormat="1" customHeight="1" ht="14.25">
      <c r="A209" s="371"/>
      <c r="B209" s="1548"/>
      <c r="C209" s="1548"/>
      <c r="D209" s="1548"/>
      <c r="E209" s="180">
        <v>15</v>
      </c>
      <c r="F209" s="175" cm="1" t="str">
        <f t="array" ref="F209:F209">F208</f>
        <v>1</v>
      </c>
      <c r="G209" s="1659"/>
      <c r="H209" s="1659"/>
      <c r="I209" s="1659"/>
      <c r="J209" s="1659"/>
      <c r="K209" s="1659"/>
      <c r="L209" s="1659"/>
      <c r="M209" s="1659"/>
      <c r="N209" s="1659"/>
      <c r="O209" s="1659"/>
      <c r="P209" s="1659"/>
      <c r="Q209" s="1659"/>
      <c r="R209" s="1659"/>
      <c r="S209" s="1659"/>
      <c r="T209" s="753" cm="1" t="str">
        <f t="array" ref="T209:T209">T208</f>
        <v>true</v>
      </c>
      <c r="U209" s="1548"/>
      <c r="V209" s="1548"/>
      <c r="W209" s="1548"/>
      <c r="X209" s="1548"/>
      <c r="Y209" s="1548"/>
      <c r="Z209" s="1548"/>
      <c r="AA209" s="183"/>
      <c r="AB209" s="633" t="str">
        <f>AB197&amp;".7"</f>
        <v>6.7</v>
      </c>
      <c r="AC209" s="634" t="s">
        <v>1216</v>
      </c>
      <c r="AD209" s="633" t="s">
        <v>495</v>
      </c>
      <c r="AE209" s="1864">
        <f>IF(AE195=0,0,AE223/AE195*100)</f>
        <v>0</v>
      </c>
      <c r="AF209" s="1864">
        <f>IF(AF195=0,0,AF223/AF195*100)</f>
        <v>0</v>
      </c>
      <c r="AG209" s="1864">
        <f>IF(AG195=0,0,AG223/AG195*100)</f>
        <v>0</v>
      </c>
      <c r="AH209" s="1864">
        <f>IF(AH195=0,0,AH223/AH195*100)</f>
        <v>0</v>
      </c>
      <c r="AI209" s="353">
        <f>IF(AI195=0,0,AI223/AI195*100)</f>
        <v>0</v>
      </c>
      <c r="AJ209" s="1864">
        <f>IF(AJ195=0,0,AJ223/AJ195*100)</f>
        <v>0</v>
      </c>
      <c r="AK209" s="1864">
        <f>IF(AK195=0,0,AK223/AK195*100)</f>
        <v>0</v>
      </c>
      <c r="AL209" s="1864">
        <f>IF(AL195=0,0,AL223/AL195*100)</f>
        <v>0</v>
      </c>
      <c r="AM209" s="1864">
        <f>IF(AM195=0,0,AM223/AM195*100)</f>
        <v>0</v>
      </c>
      <c r="AN209" s="1864">
        <f>IF(AN195=0,0,AN223/AN195*100)</f>
        <v>0</v>
      </c>
      <c r="AO209" s="1864">
        <f>IF(AO195=0,0,AO223/AO195*100)</f>
        <v>0</v>
      </c>
      <c r="AP209" s="1864">
        <f>IF(AP195=0,0,AP223/AP195*100)</f>
        <v>0</v>
      </c>
      <c r="AQ209" s="1864">
        <f>IF(AQ195=0,0,AQ223/AQ195*100)</f>
        <v>0</v>
      </c>
      <c r="AR209" s="1864">
        <f>IF(AR195=0,0,AR223/AR195*100)</f>
        <v>0</v>
      </c>
      <c r="AS209" s="1864">
        <f>IF(AS195=0,0,AS223/AS195*100)</f>
        <v>0</v>
      </c>
      <c r="AT209" s="1864">
        <f>IF(AT195=0,0,AT223/AT195*100)</f>
        <v>0</v>
      </c>
      <c r="AU209" s="1864">
        <f>IF(AU195=0,0,AU223/AU195*100)</f>
        <v>0</v>
      </c>
      <c r="AV209" s="1864">
        <f>IF(AV195=0,0,AV223/AV195*100)</f>
        <v>0</v>
      </c>
      <c r="AW209" s="1864">
        <f>IF(AW195=0,0,AW223/AW195*100)</f>
        <v>0</v>
      </c>
      <c r="AX209" s="1864">
        <f>IF(AX195=0,0,AX223/AX195*100)</f>
        <v>0</v>
      </c>
      <c r="AY209" s="1864">
        <f>IF(AY195=0,0,AY223/AY195*100)</f>
        <v>0</v>
      </c>
      <c r="AZ209" s="1864">
        <f>IF(AZ195=0,0,AZ223/AZ195*100)</f>
        <v>0</v>
      </c>
      <c r="BA209" s="1864">
        <f>IF(BA195=0,0,BA223/BA195*100)</f>
        <v>0</v>
      </c>
      <c r="BB209" s="1864">
        <f>IF(BB195=0,0,BB223/BB195*100)</f>
        <v>0</v>
      </c>
      <c r="BC209" s="353">
        <f>IF(BC195=0,0,BC223/BC195*100)</f>
        <v>0</v>
      </c>
      <c r="BD209" s="1864">
        <f>IF(BD195=0,0,BD223/BD195*100)</f>
        <v>0</v>
      </c>
      <c r="BE209" s="1864">
        <f>IF(BE195=0,0,BE223/BE195*100)</f>
        <v>0</v>
      </c>
      <c r="BF209" s="1864">
        <f>IF(BF195=0,0,BF223/BF195*100)</f>
        <v>0</v>
      </c>
      <c r="BG209" s="1864">
        <f>IF(BG195=0,0,BG223/BG195*100)</f>
        <v>0</v>
      </c>
      <c r="BH209" s="1864">
        <f>IF(BH195=0,0,BH223/BH195*100)</f>
        <v>0</v>
      </c>
      <c r="BI209" s="1864">
        <f>IF(BI195=0,0,BI223/BI195*100)</f>
        <v>0</v>
      </c>
      <c r="BJ209" s="1864">
        <f>IF(BJ195=0,0,BJ223/BJ195*100)</f>
        <v>0</v>
      </c>
      <c r="BK209" s="1864">
        <f>IF(BK195=0,0,BK223/BK195*100)</f>
        <v>0</v>
      </c>
      <c r="BL209" s="1864">
        <f>IF(BL195=0,0,BL223/BL195*100)</f>
        <v>0</v>
      </c>
      <c r="BM209" s="1864">
        <f>IF(BM195=0,0,BM223/BM195*100)</f>
        <v>0</v>
      </c>
      <c r="BN209" s="1864">
        <f>IF(BN195=0,0,BN223/BN195*100)</f>
        <v>0</v>
      </c>
      <c r="BO209" s="1864">
        <f>IF(BO195=0,0,BO223/BO195*100)</f>
        <v>0</v>
      </c>
      <c r="BP209" s="1864">
        <f>IF(BP195=0,0,BP223/BP195*100)</f>
        <v>0</v>
      </c>
      <c r="BQ209" s="1864">
        <f>IF(BQ195=0,0,BQ223/BQ195*100)</f>
        <v>0</v>
      </c>
      <c r="BR209" s="1864">
        <f>IF(BR195=0,0,BR223/BR195*100)</f>
        <v>0</v>
      </c>
      <c r="BS209" s="1864">
        <f>IF(BS195=0,0,BS223/BS195*100)</f>
        <v>0</v>
      </c>
      <c r="BT209" s="1864">
        <f>IF(BT195=0,0,BT223/BT195*100)</f>
        <v>0</v>
      </c>
      <c r="BU209" s="1864">
        <f>IF(BU195=0,0,BU223/BU195*100)</f>
        <v>0</v>
      </c>
      <c r="BV209" s="1864">
        <f>IF(BV195=0,0,BV223/BV195*100)</f>
        <v>0</v>
      </c>
      <c r="BW209" s="1897"/>
      <c r="BX209" s="183"/>
      <c r="BY209" s="969"/>
      <c r="BZ209" s="489" t="s">
        <v>1306</v>
      </c>
      <c r="CA209" s="1506"/>
      <c r="CB209" s="1506"/>
      <c r="CC209" s="2312" cm="1" t="str">
        <f t="array" ref="CC209:CC209">CC208</f>
        <v>ТЭ.42.31656254.0001</v>
      </c>
      <c r="CD209" s="1751"/>
      <c r="CE209" s="1751"/>
      <c r="CF209" s="2312" t="s">
        <v>1218</v>
      </c>
      <c r="CG209" s="1751"/>
      <c r="CH209" s="2312" t="s">
        <v>1290</v>
      </c>
      <c r="CI209" s="2312" t="s">
        <v>303</v>
      </c>
      <c r="CJ209" s="2312" t="s">
        <v>1293</v>
      </c>
      <c r="CK209" s="2312" t="s">
        <v>1294</v>
      </c>
      <c r="CL209" s="1751"/>
      <c r="CM209" s="1751"/>
      <c r="CN209" s="1751"/>
    </row>
    <row s="1751" customFormat="1" customHeight="1" ht="14.25">
      <c r="A210" s="371"/>
      <c r="B210" s="1548"/>
      <c r="C210" s="1548"/>
      <c r="D210" s="1548"/>
      <c r="E210" s="180">
        <v>15</v>
      </c>
      <c r="F210" s="175" cm="1" t="str">
        <f t="array" ref="F210:F210">F209</f>
        <v>1</v>
      </c>
      <c r="G210" s="1659"/>
      <c r="H210" s="1659"/>
      <c r="I210" s="1659"/>
      <c r="J210" s="1659"/>
      <c r="K210" s="1659"/>
      <c r="L210" s="1659"/>
      <c r="M210" s="1659"/>
      <c r="N210" s="1659"/>
      <c r="O210" s="1659"/>
      <c r="P210" s="1659"/>
      <c r="Q210" s="1659"/>
      <c r="R210" s="1659"/>
      <c r="S210" s="1659"/>
      <c r="T210" s="753" cm="1" t="str">
        <f t="array" ref="T210:T210">T209</f>
        <v>true</v>
      </c>
      <c r="U210" s="1548"/>
      <c r="V210" s="1548"/>
      <c r="W210" s="1548"/>
      <c r="X210" s="1548"/>
      <c r="Y210" s="1548"/>
      <c r="Z210" s="1548"/>
      <c r="AA210" s="183"/>
      <c r="AB210" s="633" t="str">
        <f>AB197&amp;".8"</f>
        <v>6.8</v>
      </c>
      <c r="AC210" s="634" t="s">
        <v>1219</v>
      </c>
      <c r="AD210" s="633" t="s">
        <v>495</v>
      </c>
      <c r="AE210" s="1864">
        <f>IF(AE196=0,0,AE224/AE196*100)</f>
        <v>0</v>
      </c>
      <c r="AF210" s="1864">
        <f>IF(AF196=0,0,AF224/AF196*100)</f>
        <v>0</v>
      </c>
      <c r="AG210" s="1864">
        <f>IF(AG196=0,0,AG224/AG196*100)</f>
        <v>0</v>
      </c>
      <c r="AH210" s="1864">
        <f>IF(AH196=0,0,AH224/AH196*100)</f>
        <v>0</v>
      </c>
      <c r="AI210" s="353">
        <f>IF(AI196=0,0,AI224/AI196*100)</f>
        <v>0</v>
      </c>
      <c r="AJ210" s="1864">
        <f>IF(AJ196=0,0,AJ224/AJ196*100)</f>
        <v>0</v>
      </c>
      <c r="AK210" s="1864">
        <f>IF(AK196=0,0,AK224/AK196*100)</f>
        <v>0</v>
      </c>
      <c r="AL210" s="1864">
        <f>IF(AL196=0,0,AL224/AL196*100)</f>
        <v>0</v>
      </c>
      <c r="AM210" s="1864">
        <f>IF(AM196=0,0,AM224/AM196*100)</f>
        <v>0</v>
      </c>
      <c r="AN210" s="1864">
        <f>IF(AN196=0,0,AN224/AN196*100)</f>
        <v>0</v>
      </c>
      <c r="AO210" s="1864">
        <f>IF(AO196=0,0,AO224/AO196*100)</f>
        <v>0</v>
      </c>
      <c r="AP210" s="1864">
        <f>IF(AP196=0,0,AP224/AP196*100)</f>
        <v>0</v>
      </c>
      <c r="AQ210" s="1864">
        <f>IF(AQ196=0,0,AQ224/AQ196*100)</f>
        <v>0</v>
      </c>
      <c r="AR210" s="1864">
        <f>IF(AR196=0,0,AR224/AR196*100)</f>
        <v>0</v>
      </c>
      <c r="AS210" s="1864">
        <f>IF(AS196=0,0,AS224/AS196*100)</f>
        <v>0</v>
      </c>
      <c r="AT210" s="1864">
        <f>IF(AT196=0,0,AT224/AT196*100)</f>
        <v>0</v>
      </c>
      <c r="AU210" s="1864">
        <f>IF(AU196=0,0,AU224/AU196*100)</f>
        <v>0</v>
      </c>
      <c r="AV210" s="1864">
        <f>IF(AV196=0,0,AV224/AV196*100)</f>
        <v>0</v>
      </c>
      <c r="AW210" s="1864">
        <f>IF(AW196=0,0,AW224/AW196*100)</f>
        <v>0</v>
      </c>
      <c r="AX210" s="1864">
        <f>IF(AX196=0,0,AX224/AX196*100)</f>
        <v>0</v>
      </c>
      <c r="AY210" s="1864">
        <f>IF(AY196=0,0,AY224/AY196*100)</f>
        <v>0</v>
      </c>
      <c r="AZ210" s="1864">
        <f>IF(AZ196=0,0,AZ224/AZ196*100)</f>
        <v>0</v>
      </c>
      <c r="BA210" s="1864">
        <f>IF(BA196=0,0,BA224/BA196*100)</f>
        <v>0</v>
      </c>
      <c r="BB210" s="1864">
        <f>IF(BB196=0,0,BB224/BB196*100)</f>
        <v>0</v>
      </c>
      <c r="BC210" s="353">
        <f>IF(BC196=0,0,BC224/BC196*100)</f>
        <v>0</v>
      </c>
      <c r="BD210" s="1864">
        <f>IF(BD196=0,0,BD224/BD196*100)</f>
        <v>0</v>
      </c>
      <c r="BE210" s="1864">
        <f>IF(BE196=0,0,BE224/BE196*100)</f>
        <v>0</v>
      </c>
      <c r="BF210" s="1864">
        <f>IF(BF196=0,0,BF224/BF196*100)</f>
        <v>0</v>
      </c>
      <c r="BG210" s="1864">
        <f>IF(BG196=0,0,BG224/BG196*100)</f>
        <v>0</v>
      </c>
      <c r="BH210" s="1864">
        <f>IF(BH196=0,0,BH224/BH196*100)</f>
        <v>0</v>
      </c>
      <c r="BI210" s="1864">
        <f>IF(BI196=0,0,BI224/BI196*100)</f>
        <v>0</v>
      </c>
      <c r="BJ210" s="1864">
        <f>IF(BJ196=0,0,BJ224/BJ196*100)</f>
        <v>0</v>
      </c>
      <c r="BK210" s="1864">
        <f>IF(BK196=0,0,BK224/BK196*100)</f>
        <v>0</v>
      </c>
      <c r="BL210" s="1864">
        <f>IF(BL196=0,0,BL224/BL196*100)</f>
        <v>0</v>
      </c>
      <c r="BM210" s="1864">
        <f>IF(BM196=0,0,BM224/BM196*100)</f>
        <v>0</v>
      </c>
      <c r="BN210" s="1864">
        <f>IF(BN196=0,0,BN224/BN196*100)</f>
        <v>0</v>
      </c>
      <c r="BO210" s="1864">
        <f>IF(BO196=0,0,BO224/BO196*100)</f>
        <v>0</v>
      </c>
      <c r="BP210" s="1864">
        <f>IF(BP196=0,0,BP224/BP196*100)</f>
        <v>0</v>
      </c>
      <c r="BQ210" s="1864">
        <f>IF(BQ196=0,0,BQ224/BQ196*100)</f>
        <v>0</v>
      </c>
      <c r="BR210" s="1864">
        <f>IF(BR196=0,0,BR224/BR196*100)</f>
        <v>0</v>
      </c>
      <c r="BS210" s="1864">
        <f>IF(BS196=0,0,BS224/BS196*100)</f>
        <v>0</v>
      </c>
      <c r="BT210" s="1864">
        <f>IF(BT196=0,0,BT224/BT196*100)</f>
        <v>0</v>
      </c>
      <c r="BU210" s="1864">
        <f>IF(BU196=0,0,BU224/BU196*100)</f>
        <v>0</v>
      </c>
      <c r="BV210" s="1864">
        <f>IF(BV196=0,0,BV224/BV196*100)</f>
        <v>0</v>
      </c>
      <c r="BW210" s="1897"/>
      <c r="BX210" s="183"/>
      <c r="BY210" s="969"/>
      <c r="BZ210" s="489" t="s">
        <v>1307</v>
      </c>
      <c r="CA210" s="1506"/>
      <c r="CB210" s="1506"/>
      <c r="CC210" s="2312" cm="1" t="str">
        <f t="array" ref="CC210:CC210">CC209</f>
        <v>ТЭ.42.31656254.0001</v>
      </c>
      <c r="CD210" s="2312" t="s">
        <v>1221</v>
      </c>
      <c r="CE210" s="1751"/>
      <c r="CF210" s="1751"/>
      <c r="CG210" s="1751"/>
      <c r="CH210" s="2312" t="s">
        <v>1308</v>
      </c>
      <c r="CI210" s="2312" t="s">
        <v>303</v>
      </c>
      <c r="CJ210" s="2312" t="s">
        <v>1293</v>
      </c>
      <c r="CK210" s="2312" t="s">
        <v>1294</v>
      </c>
      <c r="CL210" s="1751"/>
      <c r="CM210" s="1751"/>
      <c r="CN210" s="1751"/>
    </row>
    <row s="986" customFormat="1" customHeight="1" ht="14.25">
      <c r="A211" s="986"/>
      <c r="B211" s="986"/>
      <c r="C211" s="986"/>
      <c r="D211" s="986"/>
      <c r="E211" s="180">
        <v>15</v>
      </c>
      <c r="F211" s="175" cm="1" t="str">
        <f t="array" ref="F211:F211">F210</f>
        <v>1</v>
      </c>
      <c r="G211" s="193" t="s">
        <v>1309</v>
      </c>
      <c r="H211" s="986"/>
      <c r="I211" s="986"/>
      <c r="J211" s="986"/>
      <c r="K211" s="986"/>
      <c r="L211" s="986"/>
      <c r="M211" s="986"/>
      <c r="N211" s="986"/>
      <c r="O211" s="986"/>
      <c r="P211" s="986"/>
      <c r="Q211" s="986"/>
      <c r="R211" s="986"/>
      <c r="S211" s="986"/>
      <c r="T211" s="753" cm="1" t="str">
        <f t="array" ref="T211:T211">T210</f>
        <v>true</v>
      </c>
      <c r="U211" s="986"/>
      <c r="V211" s="986"/>
      <c r="W211" s="986"/>
      <c r="X211" s="986"/>
      <c r="Y211" s="986"/>
      <c r="Z211" s="986"/>
      <c r="AA211" s="986"/>
      <c r="AB211" s="556">
        <v>7</v>
      </c>
      <c r="AC211" s="555" t="s">
        <v>1310</v>
      </c>
      <c r="AD211" s="551" t="s">
        <v>917</v>
      </c>
      <c r="AE211" s="2286">
        <f>SUM(AE212:AE215)+SUM(AE221:AE224)</f>
        <v>324</v>
      </c>
      <c r="AF211" s="2286">
        <f>SUM(AF212:AF215)+SUM(AF221:AF224)</f>
        <v>781.8</v>
      </c>
      <c r="AG211" s="2286">
        <f>SUM(AG212:AG215)+SUM(AG221:AG224)</f>
        <v>324.19</v>
      </c>
      <c r="AH211" s="2286">
        <f>SUM(AH212:AH215)+SUM(AH221:AH224)</f>
        <v>611</v>
      </c>
      <c r="AI211" s="588">
        <f>SUM(AI212:AI215)+SUM(AI221:AI224)</f>
        <v>848</v>
      </c>
      <c r="AJ211" s="2286">
        <f>SUM(AJ212:AJ215)+SUM(AJ221:AJ224)</f>
        <v>0</v>
      </c>
      <c r="AK211" s="2286">
        <f>SUM(AK212:AK215)+SUM(AK221:AK224)</f>
        <v>0</v>
      </c>
      <c r="AL211" s="2286">
        <f>SUM(AL212:AL215)+SUM(AL221:AL224)</f>
        <v>0</v>
      </c>
      <c r="AM211" s="2286">
        <f>SUM(AM212:AM215)+SUM(AM221:AM224)</f>
        <v>0</v>
      </c>
      <c r="AN211" s="2286">
        <f>SUM(AN212:AN215)+SUM(AN221:AN224)</f>
        <v>0</v>
      </c>
      <c r="AO211" s="2286">
        <f>SUM(AO212:AO215)+SUM(AO221:AO224)</f>
        <v>0</v>
      </c>
      <c r="AP211" s="2286">
        <f>SUM(AP212:AP215)+SUM(AP221:AP224)</f>
        <v>0</v>
      </c>
      <c r="AQ211" s="2286">
        <f>SUM(AQ212:AQ215)+SUM(AQ221:AQ224)</f>
        <v>0</v>
      </c>
      <c r="AR211" s="2286">
        <f>SUM(AR212:AR215)+SUM(AR221:AR224)</f>
        <v>0</v>
      </c>
      <c r="AS211" s="2286">
        <f>SUM(AS212:AS215)+SUM(AS221:AS224)</f>
        <v>0</v>
      </c>
      <c r="AT211" s="2286">
        <f>SUM(AT212:AT215)+SUM(AT221:AT224)</f>
        <v>0</v>
      </c>
      <c r="AU211" s="2286">
        <f>SUM(AU212:AU215)+SUM(AU221:AU224)</f>
        <v>0</v>
      </c>
      <c r="AV211" s="2286">
        <f>SUM(AV212:AV215)+SUM(AV221:AV224)</f>
        <v>0</v>
      </c>
      <c r="AW211" s="2286">
        <f>SUM(AW212:AW215)+SUM(AW221:AW224)</f>
        <v>0</v>
      </c>
      <c r="AX211" s="2286">
        <f>SUM(AX212:AX215)+SUM(AX221:AX224)</f>
        <v>0</v>
      </c>
      <c r="AY211" s="2286">
        <f>SUM(AY212:AY215)+SUM(AY221:AY224)</f>
        <v>0</v>
      </c>
      <c r="AZ211" s="2286">
        <f>SUM(AZ212:AZ215)+SUM(AZ221:AZ224)</f>
        <v>0</v>
      </c>
      <c r="BA211" s="2286">
        <f>SUM(BA212:BA215)+SUM(BA221:BA224)</f>
        <v>0</v>
      </c>
      <c r="BB211" s="2286">
        <f>SUM(BB212:BB215)+SUM(BB221:BB224)</f>
        <v>0</v>
      </c>
      <c r="BC211" s="588">
        <f>SUM(BC212:BC215)+SUM(BC221:BC224)</f>
        <v>588.45</v>
      </c>
      <c r="BD211" s="2286">
        <f>SUM(BD212:BD215)+SUM(BD221:BD224)</f>
        <v>0</v>
      </c>
      <c r="BE211" s="2286">
        <f>SUM(BE212:BE215)+SUM(BE221:BE224)</f>
        <v>0</v>
      </c>
      <c r="BF211" s="2286">
        <f>SUM(BF212:BF215)+SUM(BF221:BF224)</f>
        <v>0</v>
      </c>
      <c r="BG211" s="2286">
        <f>SUM(BG212:BG215)+SUM(BG221:BG224)</f>
        <v>0</v>
      </c>
      <c r="BH211" s="2286">
        <f>SUM(BH212:BH215)+SUM(BH221:BH224)</f>
        <v>0</v>
      </c>
      <c r="BI211" s="2286">
        <f>SUM(BI212:BI215)+SUM(BI221:BI224)</f>
        <v>0</v>
      </c>
      <c r="BJ211" s="2286">
        <f>SUM(BJ212:BJ215)+SUM(BJ221:BJ224)</f>
        <v>0</v>
      </c>
      <c r="BK211" s="2286">
        <f>SUM(BK212:BK215)+SUM(BK221:BK224)</f>
        <v>0</v>
      </c>
      <c r="BL211" s="2286">
        <f>SUM(BL212:BL215)+SUM(BL221:BL224)</f>
        <v>0</v>
      </c>
      <c r="BM211" s="2286">
        <f>SUM(BM212:BM215)+SUM(BM221:BM224)</f>
        <v>0</v>
      </c>
      <c r="BN211" s="2286">
        <f>SUM(BN212:BN215)+SUM(BN221:BN224)</f>
        <v>0</v>
      </c>
      <c r="BO211" s="2286">
        <f>SUM(BO212:BO215)+SUM(BO221:BO224)</f>
        <v>0</v>
      </c>
      <c r="BP211" s="2286">
        <f>SUM(BP212:BP215)+SUM(BP221:BP224)</f>
        <v>0</v>
      </c>
      <c r="BQ211" s="2286">
        <f>SUM(BQ212:BQ215)+SUM(BQ221:BQ224)</f>
        <v>0</v>
      </c>
      <c r="BR211" s="2286">
        <f>SUM(BR212:BR215)+SUM(BR221:BR224)</f>
        <v>0</v>
      </c>
      <c r="BS211" s="2286">
        <f>SUM(BS212:BS215)+SUM(BS221:BS224)</f>
        <v>0</v>
      </c>
      <c r="BT211" s="2286">
        <f>SUM(BT212:BT215)+SUM(BT221:BT224)</f>
        <v>0</v>
      </c>
      <c r="BU211" s="2286">
        <f>SUM(BU212:BU215)+SUM(BU221:BU224)</f>
        <v>0</v>
      </c>
      <c r="BV211" s="2286">
        <f>SUM(BV212:BV215)+SUM(BV221:BV224)</f>
        <v>0</v>
      </c>
      <c r="BW211" s="1897"/>
      <c r="BX211" s="986"/>
      <c r="BY211" s="986"/>
      <c r="BZ211" s="489" t="s">
        <v>1311</v>
      </c>
      <c r="CA211" s="986"/>
      <c r="CB211" s="986"/>
      <c r="CC211" s="0" cm="1" t="str">
        <f t="array" ref="CC211:CC211">CC210</f>
        <v>ТЭ.42.31656254.0001</v>
      </c>
      <c r="CD211" s="986"/>
      <c r="CE211" s="986"/>
      <c r="CF211" s="986"/>
      <c r="CG211" s="986"/>
      <c r="CH211" s="0" t="s">
        <v>1308</v>
      </c>
      <c r="CI211" s="0" t="s">
        <v>303</v>
      </c>
      <c r="CJ211" s="0" t="s">
        <v>1312</v>
      </c>
      <c r="CK211" s="0" t="s">
        <v>1313</v>
      </c>
      <c r="CL211" s="986"/>
      <c r="CM211" s="986"/>
      <c r="CN211" s="986"/>
    </row>
    <row s="1751" customFormat="1" customHeight="1" ht="14.25">
      <c r="A212" s="371"/>
      <c r="B212" s="1548"/>
      <c r="C212" s="1548"/>
      <c r="D212" s="1548"/>
      <c r="E212" s="180">
        <v>15</v>
      </c>
      <c r="F212" s="175" cm="1" t="str">
        <f t="array" ref="F212:F212">F211</f>
        <v>1</v>
      </c>
      <c r="G212" s="1659"/>
      <c r="H212" s="1659"/>
      <c r="I212" s="1659"/>
      <c r="J212" s="1659"/>
      <c r="K212" s="1659"/>
      <c r="L212" s="1659"/>
      <c r="M212" s="1659"/>
      <c r="N212" s="1659"/>
      <c r="O212" s="1659"/>
      <c r="P212" s="1659"/>
      <c r="Q212" s="1659"/>
      <c r="R212" s="1659"/>
      <c r="S212" s="1659"/>
      <c r="T212" s="753" cm="1" t="str">
        <f t="array" ref="T212:T212">T211</f>
        <v>true</v>
      </c>
      <c r="U212" s="1548"/>
      <c r="V212" s="1548"/>
      <c r="W212" s="1548"/>
      <c r="X212" s="1548"/>
      <c r="Y212" s="1548"/>
      <c r="Z212" s="1548"/>
      <c r="AA212" s="183"/>
      <c r="AB212" s="633" t="str">
        <f>AB211&amp;".1"</f>
        <v>7.1</v>
      </c>
      <c r="AC212" s="634" t="s">
        <v>1177</v>
      </c>
      <c r="AD212" s="633" t="s">
        <v>1178</v>
      </c>
      <c r="AE212" s="1864"/>
      <c r="AF212" s="1864"/>
      <c r="AG212" s="1864"/>
      <c r="AH212" s="1864"/>
      <c r="AI212" s="353"/>
      <c r="AJ212" s="1864"/>
      <c r="AK212" s="1864"/>
      <c r="AL212" s="1864"/>
      <c r="AM212" s="1864"/>
      <c r="AN212" s="1864"/>
      <c r="AO212" s="1864"/>
      <c r="AP212" s="1864"/>
      <c r="AQ212" s="1864"/>
      <c r="AR212" s="1864"/>
      <c r="AS212" s="1864"/>
      <c r="AT212" s="1864"/>
      <c r="AU212" s="1864"/>
      <c r="AV212" s="1864"/>
      <c r="AW212" s="1864"/>
      <c r="AX212" s="1864"/>
      <c r="AY212" s="1864"/>
      <c r="AZ212" s="1864"/>
      <c r="BA212" s="1864"/>
      <c r="BB212" s="1864"/>
      <c r="BC212" s="353">
        <v>169.58</v>
      </c>
      <c r="BD212" s="1864"/>
      <c r="BE212" s="1864"/>
      <c r="BF212" s="1864"/>
      <c r="BG212" s="1864"/>
      <c r="BH212" s="1864"/>
      <c r="BI212" s="1864"/>
      <c r="BJ212" s="1864"/>
      <c r="BK212" s="1864"/>
      <c r="BL212" s="1864"/>
      <c r="BM212" s="1864"/>
      <c r="BN212" s="1864"/>
      <c r="BO212" s="1864"/>
      <c r="BP212" s="1864"/>
      <c r="BQ212" s="1864"/>
      <c r="BR212" s="1864"/>
      <c r="BS212" s="1864"/>
      <c r="BT212" s="1864"/>
      <c r="BU212" s="1864"/>
      <c r="BV212" s="1864"/>
      <c r="BW212" s="1897"/>
      <c r="BX212" s="183"/>
      <c r="BY212" s="969"/>
      <c r="BZ212" s="489" t="s">
        <v>1314</v>
      </c>
      <c r="CA212" s="1506"/>
      <c r="CB212" s="1506"/>
      <c r="CC212" s="2312" cm="1" t="str">
        <f t="array" ref="CC212:CC212">CC211</f>
        <v>ТЭ.42.31656254.0001</v>
      </c>
      <c r="CD212" s="2312" t="s">
        <v>1180</v>
      </c>
      <c r="CE212" s="1751"/>
      <c r="CF212" s="1751"/>
      <c r="CG212" s="1751"/>
      <c r="CH212" s="2312" t="s">
        <v>1308</v>
      </c>
      <c r="CI212" s="2312" t="s">
        <v>303</v>
      </c>
      <c r="CJ212" s="2312" t="s">
        <v>1312</v>
      </c>
      <c r="CK212" s="2312" t="s">
        <v>1313</v>
      </c>
      <c r="CL212" s="1751"/>
      <c r="CM212" s="1751"/>
      <c r="CN212" s="1751"/>
    </row>
    <row s="1751" customFormat="1" customHeight="1" ht="14.25">
      <c r="A213" s="371"/>
      <c r="B213" s="1548"/>
      <c r="C213" s="1548"/>
      <c r="D213" s="1548"/>
      <c r="E213" s="180">
        <v>15</v>
      </c>
      <c r="F213" s="175" cm="1" t="str">
        <f t="array" ref="F213:F213">F212</f>
        <v>1</v>
      </c>
      <c r="G213" s="1659"/>
      <c r="H213" s="1659"/>
      <c r="I213" s="1659"/>
      <c r="J213" s="1659"/>
      <c r="K213" s="1659"/>
      <c r="L213" s="1659"/>
      <c r="M213" s="1659"/>
      <c r="N213" s="1659"/>
      <c r="O213" s="1659"/>
      <c r="P213" s="1659"/>
      <c r="Q213" s="1659"/>
      <c r="R213" s="1659"/>
      <c r="S213" s="1659"/>
      <c r="T213" s="753" cm="1" t="str">
        <f t="array" ref="T213:T213">T212</f>
        <v>true</v>
      </c>
      <c r="U213" s="1548"/>
      <c r="V213" s="1548"/>
      <c r="W213" s="1548"/>
      <c r="X213" s="1548"/>
      <c r="Y213" s="1548"/>
      <c r="Z213" s="1548"/>
      <c r="AA213" s="183"/>
      <c r="AB213" s="633" t="str">
        <f>AB211&amp;".2"</f>
        <v>7.2</v>
      </c>
      <c r="AC213" s="634" t="s">
        <v>1181</v>
      </c>
      <c r="AD213" s="633" t="s">
        <v>1178</v>
      </c>
      <c r="AE213" s="1864"/>
      <c r="AF213" s="1864"/>
      <c r="AG213" s="1864"/>
      <c r="AH213" s="1864"/>
      <c r="AI213" s="353"/>
      <c r="AJ213" s="1864"/>
      <c r="AK213" s="1864"/>
      <c r="AL213" s="1864"/>
      <c r="AM213" s="1864"/>
      <c r="AN213" s="1864"/>
      <c r="AO213" s="1864"/>
      <c r="AP213" s="1864"/>
      <c r="AQ213" s="1864"/>
      <c r="AR213" s="1864"/>
      <c r="AS213" s="1864"/>
      <c r="AT213" s="1864"/>
      <c r="AU213" s="1864"/>
      <c r="AV213" s="1864"/>
      <c r="AW213" s="1864"/>
      <c r="AX213" s="1864"/>
      <c r="AY213" s="1864"/>
      <c r="AZ213" s="1864"/>
      <c r="BA213" s="1864"/>
      <c r="BB213" s="1864"/>
      <c r="BC213" s="353"/>
      <c r="BD213" s="1864"/>
      <c r="BE213" s="1864"/>
      <c r="BF213" s="1864"/>
      <c r="BG213" s="1864"/>
      <c r="BH213" s="1864"/>
      <c r="BI213" s="1864"/>
      <c r="BJ213" s="1864"/>
      <c r="BK213" s="1864"/>
      <c r="BL213" s="1864"/>
      <c r="BM213" s="1864"/>
      <c r="BN213" s="1864"/>
      <c r="BO213" s="1864"/>
      <c r="BP213" s="1864"/>
      <c r="BQ213" s="1864"/>
      <c r="BR213" s="1864"/>
      <c r="BS213" s="1864"/>
      <c r="BT213" s="1864"/>
      <c r="BU213" s="1864"/>
      <c r="BV213" s="1864"/>
      <c r="BW213" s="1897"/>
      <c r="BX213" s="183"/>
      <c r="BY213" s="969"/>
      <c r="BZ213" s="489" t="s">
        <v>1315</v>
      </c>
      <c r="CA213" s="1506"/>
      <c r="CB213" s="1506"/>
      <c r="CC213" s="2312" cm="1" t="str">
        <f t="array" ref="CC213:CC213">CC212</f>
        <v>ТЭ.42.31656254.0001</v>
      </c>
      <c r="CD213" s="2312" t="s">
        <v>1183</v>
      </c>
      <c r="CE213" s="1751"/>
      <c r="CF213" s="1751"/>
      <c r="CG213" s="1751"/>
      <c r="CH213" s="2312" t="s">
        <v>1308</v>
      </c>
      <c r="CI213" s="2312" t="s">
        <v>303</v>
      </c>
      <c r="CJ213" s="2312" t="s">
        <v>1312</v>
      </c>
      <c r="CK213" s="2312" t="s">
        <v>1313</v>
      </c>
      <c r="CL213" s="1751"/>
      <c r="CM213" s="1751"/>
      <c r="CN213" s="1751"/>
    </row>
    <row s="1751" customFormat="1" customHeight="1" ht="14.25">
      <c r="A214" s="371"/>
      <c r="B214" s="1548"/>
      <c r="C214" s="1548"/>
      <c r="D214" s="1548"/>
      <c r="E214" s="180">
        <v>15</v>
      </c>
      <c r="F214" s="175" cm="1" t="str">
        <f t="array" ref="F214:F214">F213</f>
        <v>1</v>
      </c>
      <c r="G214" s="1659"/>
      <c r="H214" s="1659"/>
      <c r="I214" s="1659"/>
      <c r="J214" s="1659"/>
      <c r="K214" s="1659"/>
      <c r="L214" s="1659"/>
      <c r="M214" s="1659"/>
      <c r="N214" s="1659"/>
      <c r="O214" s="1659"/>
      <c r="P214" s="1659"/>
      <c r="Q214" s="1659"/>
      <c r="R214" s="1659"/>
      <c r="S214" s="1659"/>
      <c r="T214" s="753" cm="1" t="str">
        <f t="array" ref="T214:T214">T213</f>
        <v>true</v>
      </c>
      <c r="U214" s="1548"/>
      <c r="V214" s="1548"/>
      <c r="W214" s="1548"/>
      <c r="X214" s="1548"/>
      <c r="Y214" s="1548"/>
      <c r="Z214" s="1548"/>
      <c r="AA214" s="183"/>
      <c r="AB214" s="633" t="str">
        <f>AB211&amp;".3"</f>
        <v>7.3</v>
      </c>
      <c r="AC214" s="634" t="s">
        <v>1184</v>
      </c>
      <c r="AD214" s="633" t="s">
        <v>1178</v>
      </c>
      <c r="AE214" s="1864"/>
      <c r="AF214" s="1864"/>
      <c r="AG214" s="1864"/>
      <c r="AH214" s="1864"/>
      <c r="AI214" s="353"/>
      <c r="AJ214" s="1864"/>
      <c r="AK214" s="1864"/>
      <c r="AL214" s="1864"/>
      <c r="AM214" s="1864"/>
      <c r="AN214" s="1864"/>
      <c r="AO214" s="1864"/>
      <c r="AP214" s="1864"/>
      <c r="AQ214" s="1864"/>
      <c r="AR214" s="1864"/>
      <c r="AS214" s="1864"/>
      <c r="AT214" s="1864"/>
      <c r="AU214" s="1864"/>
      <c r="AV214" s="1864"/>
      <c r="AW214" s="1864"/>
      <c r="AX214" s="1864"/>
      <c r="AY214" s="1864"/>
      <c r="AZ214" s="1864"/>
      <c r="BA214" s="1864"/>
      <c r="BB214" s="1864"/>
      <c r="BC214" s="353"/>
      <c r="BD214" s="1864"/>
      <c r="BE214" s="1864"/>
      <c r="BF214" s="1864"/>
      <c r="BG214" s="1864"/>
      <c r="BH214" s="1864"/>
      <c r="BI214" s="1864"/>
      <c r="BJ214" s="1864"/>
      <c r="BK214" s="1864"/>
      <c r="BL214" s="1864"/>
      <c r="BM214" s="1864"/>
      <c r="BN214" s="1864"/>
      <c r="BO214" s="1864"/>
      <c r="BP214" s="1864"/>
      <c r="BQ214" s="1864"/>
      <c r="BR214" s="1864"/>
      <c r="BS214" s="1864"/>
      <c r="BT214" s="1864"/>
      <c r="BU214" s="1864"/>
      <c r="BV214" s="1864"/>
      <c r="BW214" s="1897"/>
      <c r="BX214" s="183"/>
      <c r="BY214" s="969"/>
      <c r="BZ214" s="489" t="s">
        <v>1316</v>
      </c>
      <c r="CA214" s="1506"/>
      <c r="CB214" s="1506"/>
      <c r="CC214" s="2312" cm="1" t="str">
        <f t="array" ref="CC214:CC214">CC213</f>
        <v>ТЭ.42.31656254.0001</v>
      </c>
      <c r="CD214" s="2312" t="s">
        <v>1186</v>
      </c>
      <c r="CE214" s="1751"/>
      <c r="CF214" s="1751"/>
      <c r="CG214" s="1751"/>
      <c r="CH214" s="2312" t="s">
        <v>1308</v>
      </c>
      <c r="CI214" s="2312" t="s">
        <v>303</v>
      </c>
      <c r="CJ214" s="2312" t="s">
        <v>1312</v>
      </c>
      <c r="CK214" s="2312" t="s">
        <v>1313</v>
      </c>
      <c r="CL214" s="1751"/>
      <c r="CM214" s="1751"/>
      <c r="CN214" s="1751"/>
    </row>
    <row s="1751" customFormat="1" customHeight="1" ht="14.25">
      <c r="A215" s="371"/>
      <c r="B215" s="1548"/>
      <c r="C215" s="1548"/>
      <c r="D215" s="1548"/>
      <c r="E215" s="180">
        <v>15</v>
      </c>
      <c r="F215" s="175" cm="1" t="str">
        <f t="array" ref="F215:F215">F214</f>
        <v>1</v>
      </c>
      <c r="G215" s="1659"/>
      <c r="H215" s="1659"/>
      <c r="I215" s="1659"/>
      <c r="J215" s="1659"/>
      <c r="K215" s="1659"/>
      <c r="L215" s="1659"/>
      <c r="M215" s="1659"/>
      <c r="N215" s="1659"/>
      <c r="O215" s="1659"/>
      <c r="P215" s="1659"/>
      <c r="Q215" s="1659"/>
      <c r="R215" s="1659"/>
      <c r="S215" s="1659"/>
      <c r="T215" s="753" cm="1" t="str">
        <f t="array" ref="T215:T215">T214</f>
        <v>true</v>
      </c>
      <c r="U215" s="1548"/>
      <c r="V215" s="1548"/>
      <c r="W215" s="1548"/>
      <c r="X215" s="1548"/>
      <c r="Y215" s="1548"/>
      <c r="Z215" s="1548"/>
      <c r="AA215" s="183"/>
      <c r="AB215" s="633" t="str">
        <f>AB211&amp;".4"</f>
        <v>7.4</v>
      </c>
      <c r="AC215" s="634" t="s">
        <v>1187</v>
      </c>
      <c r="AD215" s="633" t="s">
        <v>1178</v>
      </c>
      <c r="AE215" s="2310">
        <v>324</v>
      </c>
      <c r="AF215" s="2310">
        <v>781.8</v>
      </c>
      <c r="AG215" s="2310">
        <v>324.19</v>
      </c>
      <c r="AH215" s="2310">
        <v>611</v>
      </c>
      <c r="AI215" s="484">
        <v>848</v>
      </c>
      <c r="AJ215" s="2310">
        <f>SUM(AJ216:AJ220)</f>
        <v>0</v>
      </c>
      <c r="AK215" s="2310">
        <f>SUM(AK216:AK220)</f>
        <v>0</v>
      </c>
      <c r="AL215" s="2310">
        <f>SUM(AL216:AL220)</f>
        <v>0</v>
      </c>
      <c r="AM215" s="2310">
        <f>SUM(AM216:AM220)</f>
        <v>0</v>
      </c>
      <c r="AN215" s="2310">
        <f>SUM(AN216:AN220)</f>
        <v>0</v>
      </c>
      <c r="AO215" s="2310">
        <f>SUM(AO216:AO220)</f>
        <v>0</v>
      </c>
      <c r="AP215" s="2310">
        <f>SUM(AP216:AP220)</f>
        <v>0</v>
      </c>
      <c r="AQ215" s="2310">
        <f>SUM(AQ216:AQ220)</f>
        <v>0</v>
      </c>
      <c r="AR215" s="2310">
        <f>SUM(AR216:AR220)</f>
        <v>0</v>
      </c>
      <c r="AS215" s="2310">
        <f>SUM(AS216:AS220)</f>
        <v>0</v>
      </c>
      <c r="AT215" s="2310">
        <f>SUM(AT216:AT220)</f>
        <v>0</v>
      </c>
      <c r="AU215" s="2310">
        <f>SUM(AU216:AU220)</f>
        <v>0</v>
      </c>
      <c r="AV215" s="2310">
        <f>SUM(AV216:AV220)</f>
        <v>0</v>
      </c>
      <c r="AW215" s="2310">
        <f>SUM(AW216:AW220)</f>
        <v>0</v>
      </c>
      <c r="AX215" s="2310">
        <f>SUM(AX216:AX220)</f>
        <v>0</v>
      </c>
      <c r="AY215" s="2310">
        <f>SUM(AY216:AY220)</f>
        <v>0</v>
      </c>
      <c r="AZ215" s="2310">
        <f>SUM(AZ216:AZ220)</f>
        <v>0</v>
      </c>
      <c r="BA215" s="2310">
        <f>SUM(BA216:BA220)</f>
        <v>0</v>
      </c>
      <c r="BB215" s="2310">
        <f>SUM(BB216:BB220)</f>
        <v>0</v>
      </c>
      <c r="BC215" s="484">
        <f>588.45-169.58</f>
        <v>418.87</v>
      </c>
      <c r="BD215" s="2310">
        <f>SUM(BD216:BD220)</f>
        <v>0</v>
      </c>
      <c r="BE215" s="2310">
        <f>SUM(BE216:BE220)</f>
        <v>0</v>
      </c>
      <c r="BF215" s="2310">
        <f>SUM(BF216:BF220)</f>
        <v>0</v>
      </c>
      <c r="BG215" s="2310">
        <f>SUM(BG216:BG220)</f>
        <v>0</v>
      </c>
      <c r="BH215" s="2310">
        <f>SUM(BH216:BH220)</f>
        <v>0</v>
      </c>
      <c r="BI215" s="2310">
        <f>SUM(BI216:BI220)</f>
        <v>0</v>
      </c>
      <c r="BJ215" s="2310">
        <f>SUM(BJ216:BJ220)</f>
        <v>0</v>
      </c>
      <c r="BK215" s="2310">
        <f>SUM(BK216:BK220)</f>
        <v>0</v>
      </c>
      <c r="BL215" s="2310">
        <f>SUM(BL216:BL220)</f>
        <v>0</v>
      </c>
      <c r="BM215" s="2310">
        <f>SUM(BM216:BM220)</f>
        <v>0</v>
      </c>
      <c r="BN215" s="2310">
        <f>SUM(BN216:BN220)</f>
        <v>0</v>
      </c>
      <c r="BO215" s="2310">
        <f>SUM(BO216:BO220)</f>
        <v>0</v>
      </c>
      <c r="BP215" s="2310">
        <f>SUM(BP216:BP220)</f>
        <v>0</v>
      </c>
      <c r="BQ215" s="2310">
        <f>SUM(BQ216:BQ220)</f>
        <v>0</v>
      </c>
      <c r="BR215" s="2310">
        <f>SUM(BR216:BR220)</f>
        <v>0</v>
      </c>
      <c r="BS215" s="2310">
        <f>SUM(BS216:BS220)</f>
        <v>0</v>
      </c>
      <c r="BT215" s="2310">
        <f>SUM(BT216:BT220)</f>
        <v>0</v>
      </c>
      <c r="BU215" s="2310">
        <f>SUM(BU216:BU220)</f>
        <v>0</v>
      </c>
      <c r="BV215" s="2310">
        <f>SUM(BV216:BV220)</f>
        <v>0</v>
      </c>
      <c r="BW215" s="1897"/>
      <c r="BX215" s="183"/>
      <c r="BY215" s="969"/>
      <c r="BZ215" s="489" t="s">
        <v>1317</v>
      </c>
      <c r="CA215" s="1506"/>
      <c r="CB215" s="1506"/>
      <c r="CC215" s="2312" cm="1" t="str">
        <f t="array" ref="CC215:CC215">CC214</f>
        <v>ТЭ.42.31656254.0001</v>
      </c>
      <c r="CD215" s="2312" t="s">
        <v>1189</v>
      </c>
      <c r="CE215" s="1751"/>
      <c r="CF215" s="1751"/>
      <c r="CG215" s="1751"/>
      <c r="CH215" s="2312" t="s">
        <v>1308</v>
      </c>
      <c r="CI215" s="2312" t="s">
        <v>303</v>
      </c>
      <c r="CJ215" s="2312" t="s">
        <v>1312</v>
      </c>
      <c r="CK215" s="2312" t="s">
        <v>1313</v>
      </c>
      <c r="CL215" s="1751"/>
      <c r="CM215" s="1751"/>
      <c r="CN215" s="1751"/>
    </row>
    <row s="1751" customFormat="1" customHeight="1" ht="14.25">
      <c r="A216" s="371"/>
      <c r="B216" s="1548"/>
      <c r="C216" s="1548"/>
      <c r="D216" s="1548"/>
      <c r="E216" s="180">
        <v>15</v>
      </c>
      <c r="F216" s="175" cm="1" t="str">
        <f t="array" ref="F216:F216">F215</f>
        <v>1</v>
      </c>
      <c r="G216" s="1659"/>
      <c r="H216" s="1659"/>
      <c r="I216" s="1659"/>
      <c r="J216" s="1659"/>
      <c r="K216" s="1659"/>
      <c r="L216" s="1659"/>
      <c r="M216" s="1659"/>
      <c r="N216" s="1659"/>
      <c r="O216" s="1659"/>
      <c r="P216" s="1659"/>
      <c r="Q216" s="1659"/>
      <c r="R216" s="1659"/>
      <c r="S216" s="1659"/>
      <c r="T216" s="753" cm="1" t="str">
        <f t="array" ref="T216:T216">T215</f>
        <v>true</v>
      </c>
      <c r="U216" s="1548"/>
      <c r="V216" s="1548"/>
      <c r="W216" s="1548"/>
      <c r="X216" s="1548"/>
      <c r="Y216" s="1548"/>
      <c r="Z216" s="1548"/>
      <c r="AA216" s="183"/>
      <c r="AB216" s="633" t="str">
        <f>AB215&amp;".1"</f>
        <v>7.4.1</v>
      </c>
      <c r="AC216" s="635" t="s">
        <v>1191</v>
      </c>
      <c r="AD216" s="633" t="s">
        <v>1178</v>
      </c>
      <c r="AE216" s="1864"/>
      <c r="AF216" s="1864"/>
      <c r="AG216" s="1864"/>
      <c r="AH216" s="1864"/>
      <c r="AI216" s="353"/>
      <c r="AJ216" s="1864"/>
      <c r="AK216" s="1864"/>
      <c r="AL216" s="1864"/>
      <c r="AM216" s="1864"/>
      <c r="AN216" s="1864"/>
      <c r="AO216" s="1864"/>
      <c r="AP216" s="1864"/>
      <c r="AQ216" s="1864"/>
      <c r="AR216" s="1864"/>
      <c r="AS216" s="1864"/>
      <c r="AT216" s="1864"/>
      <c r="AU216" s="1864"/>
      <c r="AV216" s="1864"/>
      <c r="AW216" s="1864"/>
      <c r="AX216" s="1864"/>
      <c r="AY216" s="1864"/>
      <c r="AZ216" s="1864"/>
      <c r="BA216" s="1864"/>
      <c r="BB216" s="1864"/>
      <c r="BC216" s="353"/>
      <c r="BD216" s="1864"/>
      <c r="BE216" s="1864"/>
      <c r="BF216" s="1864"/>
      <c r="BG216" s="1864"/>
      <c r="BH216" s="1864"/>
      <c r="BI216" s="1864"/>
      <c r="BJ216" s="1864"/>
      <c r="BK216" s="1864"/>
      <c r="BL216" s="1864"/>
      <c r="BM216" s="1864"/>
      <c r="BN216" s="1864"/>
      <c r="BO216" s="1864"/>
      <c r="BP216" s="1864"/>
      <c r="BQ216" s="1864"/>
      <c r="BR216" s="1864"/>
      <c r="BS216" s="1864"/>
      <c r="BT216" s="1864"/>
      <c r="BU216" s="1864"/>
      <c r="BV216" s="1864"/>
      <c r="BW216" s="1897"/>
      <c r="BX216" s="183"/>
      <c r="BY216" s="969"/>
      <c r="BZ216" s="489" t="s">
        <v>1318</v>
      </c>
      <c r="CA216" s="1506"/>
      <c r="CB216" s="1506"/>
      <c r="CC216" s="2312" cm="1" t="str">
        <f t="array" ref="CC216:CC216">CC215</f>
        <v>ТЭ.42.31656254.0001</v>
      </c>
      <c r="CD216" s="2312" t="s">
        <v>1189</v>
      </c>
      <c r="CE216" s="2312" t="s">
        <v>1193</v>
      </c>
      <c r="CF216" s="1751"/>
      <c r="CG216" s="1751"/>
      <c r="CH216" s="2312" t="s">
        <v>1308</v>
      </c>
      <c r="CI216" s="2312" t="s">
        <v>303</v>
      </c>
      <c r="CJ216" s="2312" t="s">
        <v>1312</v>
      </c>
      <c r="CK216" s="2312" t="s">
        <v>1313</v>
      </c>
      <c r="CL216" s="1751"/>
      <c r="CM216" s="1751"/>
      <c r="CN216" s="1751"/>
    </row>
    <row s="1751" customFormat="1" customHeight="1" ht="14.25">
      <c r="A217" s="371"/>
      <c r="B217" s="1548"/>
      <c r="C217" s="1548"/>
      <c r="D217" s="1548"/>
      <c r="E217" s="180">
        <v>15</v>
      </c>
      <c r="F217" s="175" cm="1" t="str">
        <f t="array" ref="F217:F217">F216</f>
        <v>1</v>
      </c>
      <c r="G217" s="1659"/>
      <c r="H217" s="1659"/>
      <c r="I217" s="1659"/>
      <c r="J217" s="1659"/>
      <c r="K217" s="1659"/>
      <c r="L217" s="1659"/>
      <c r="M217" s="1659"/>
      <c r="N217" s="1659"/>
      <c r="O217" s="1659"/>
      <c r="P217" s="1659"/>
      <c r="Q217" s="1659"/>
      <c r="R217" s="1659"/>
      <c r="S217" s="1659"/>
      <c r="T217" s="753" cm="1" t="str">
        <f t="array" ref="T217:T217">T216</f>
        <v>true</v>
      </c>
      <c r="U217" s="1548"/>
      <c r="V217" s="1548"/>
      <c r="W217" s="1548"/>
      <c r="X217" s="1548"/>
      <c r="Y217" s="1548"/>
      <c r="Z217" s="1548"/>
      <c r="AA217" s="183"/>
      <c r="AB217" s="633" t="str">
        <f>AB215&amp;".2"</f>
        <v>7.4.2</v>
      </c>
      <c r="AC217" s="635" t="s">
        <v>1195</v>
      </c>
      <c r="AD217" s="633" t="s">
        <v>1178</v>
      </c>
      <c r="AE217" s="1864"/>
      <c r="AF217" s="1864"/>
      <c r="AG217" s="1864"/>
      <c r="AH217" s="1864"/>
      <c r="AI217" s="353"/>
      <c r="AJ217" s="1864"/>
      <c r="AK217" s="1864"/>
      <c r="AL217" s="1864"/>
      <c r="AM217" s="1864"/>
      <c r="AN217" s="1864"/>
      <c r="AO217" s="1864"/>
      <c r="AP217" s="1864"/>
      <c r="AQ217" s="1864"/>
      <c r="AR217" s="1864"/>
      <c r="AS217" s="1864"/>
      <c r="AT217" s="1864"/>
      <c r="AU217" s="1864"/>
      <c r="AV217" s="1864"/>
      <c r="AW217" s="1864"/>
      <c r="AX217" s="1864"/>
      <c r="AY217" s="1864"/>
      <c r="AZ217" s="1864"/>
      <c r="BA217" s="1864"/>
      <c r="BB217" s="1864"/>
      <c r="BC217" s="353"/>
      <c r="BD217" s="1864"/>
      <c r="BE217" s="1864"/>
      <c r="BF217" s="1864"/>
      <c r="BG217" s="1864"/>
      <c r="BH217" s="1864"/>
      <c r="BI217" s="1864"/>
      <c r="BJ217" s="1864"/>
      <c r="BK217" s="1864"/>
      <c r="BL217" s="1864"/>
      <c r="BM217" s="1864"/>
      <c r="BN217" s="1864"/>
      <c r="BO217" s="1864"/>
      <c r="BP217" s="1864"/>
      <c r="BQ217" s="1864"/>
      <c r="BR217" s="1864"/>
      <c r="BS217" s="1864"/>
      <c r="BT217" s="1864"/>
      <c r="BU217" s="1864"/>
      <c r="BV217" s="1864"/>
      <c r="BW217" s="1897"/>
      <c r="BX217" s="183"/>
      <c r="BY217" s="969"/>
      <c r="BZ217" s="489" t="s">
        <v>1319</v>
      </c>
      <c r="CA217" s="1506"/>
      <c r="CB217" s="1506"/>
      <c r="CC217" s="2312" cm="1" t="str">
        <f t="array" ref="CC217:CC217">CC216</f>
        <v>ТЭ.42.31656254.0001</v>
      </c>
      <c r="CD217" s="2312" t="s">
        <v>1189</v>
      </c>
      <c r="CE217" s="2312" t="s">
        <v>1197</v>
      </c>
      <c r="CF217" s="1751"/>
      <c r="CG217" s="1751"/>
      <c r="CH217" s="2312" t="s">
        <v>1308</v>
      </c>
      <c r="CI217" s="2312" t="s">
        <v>303</v>
      </c>
      <c r="CJ217" s="2312" t="s">
        <v>1312</v>
      </c>
      <c r="CK217" s="2312" t="s">
        <v>1313</v>
      </c>
      <c r="CL217" s="1751"/>
      <c r="CM217" s="1751"/>
      <c r="CN217" s="1751"/>
    </row>
    <row s="1751" customFormat="1" customHeight="1" ht="14.25">
      <c r="A218" s="371"/>
      <c r="B218" s="1548"/>
      <c r="C218" s="1548"/>
      <c r="D218" s="1548"/>
      <c r="E218" s="180">
        <v>15</v>
      </c>
      <c r="F218" s="175" cm="1" t="str">
        <f t="array" ref="F218:F218">F217</f>
        <v>1</v>
      </c>
      <c r="G218" s="1659"/>
      <c r="H218" s="1659"/>
      <c r="I218" s="1659"/>
      <c r="J218" s="1659"/>
      <c r="K218" s="1659"/>
      <c r="L218" s="1659"/>
      <c r="M218" s="1659"/>
      <c r="N218" s="1659"/>
      <c r="O218" s="1659"/>
      <c r="P218" s="1659"/>
      <c r="Q218" s="1659"/>
      <c r="R218" s="1659"/>
      <c r="S218" s="1659"/>
      <c r="T218" s="753" cm="1" t="str">
        <f t="array" ref="T218:T218">T217</f>
        <v>true</v>
      </c>
      <c r="U218" s="1548"/>
      <c r="V218" s="1548"/>
      <c r="W218" s="1548"/>
      <c r="X218" s="1548"/>
      <c r="Y218" s="1548"/>
      <c r="Z218" s="1548"/>
      <c r="AA218" s="183"/>
      <c r="AB218" s="633" t="str">
        <f>AB215&amp;".3"</f>
        <v>7.4.3</v>
      </c>
      <c r="AC218" s="635" t="s">
        <v>1199</v>
      </c>
      <c r="AD218" s="633" t="s">
        <v>1178</v>
      </c>
      <c r="AE218" s="1864"/>
      <c r="AF218" s="1864"/>
      <c r="AG218" s="1864"/>
      <c r="AH218" s="1864"/>
      <c r="AI218" s="353"/>
      <c r="AJ218" s="1864"/>
      <c r="AK218" s="1864"/>
      <c r="AL218" s="1864"/>
      <c r="AM218" s="1864"/>
      <c r="AN218" s="1864"/>
      <c r="AO218" s="1864"/>
      <c r="AP218" s="1864"/>
      <c r="AQ218" s="1864"/>
      <c r="AR218" s="1864"/>
      <c r="AS218" s="1864"/>
      <c r="AT218" s="1864"/>
      <c r="AU218" s="1864"/>
      <c r="AV218" s="1864"/>
      <c r="AW218" s="1864"/>
      <c r="AX218" s="1864"/>
      <c r="AY218" s="1864"/>
      <c r="AZ218" s="1864"/>
      <c r="BA218" s="1864"/>
      <c r="BB218" s="1864"/>
      <c r="BC218" s="353"/>
      <c r="BD218" s="1864"/>
      <c r="BE218" s="1864"/>
      <c r="BF218" s="1864"/>
      <c r="BG218" s="1864"/>
      <c r="BH218" s="1864"/>
      <c r="BI218" s="1864"/>
      <c r="BJ218" s="1864"/>
      <c r="BK218" s="1864"/>
      <c r="BL218" s="1864"/>
      <c r="BM218" s="1864"/>
      <c r="BN218" s="1864"/>
      <c r="BO218" s="1864"/>
      <c r="BP218" s="1864"/>
      <c r="BQ218" s="1864"/>
      <c r="BR218" s="1864"/>
      <c r="BS218" s="1864"/>
      <c r="BT218" s="1864"/>
      <c r="BU218" s="1864"/>
      <c r="BV218" s="1864"/>
      <c r="BW218" s="1897"/>
      <c r="BX218" s="183"/>
      <c r="BY218" s="969"/>
      <c r="BZ218" s="489" t="s">
        <v>1320</v>
      </c>
      <c r="CA218" s="1506"/>
      <c r="CB218" s="1506"/>
      <c r="CC218" s="2312" cm="1" t="str">
        <f t="array" ref="CC218:CC218">CC217</f>
        <v>ТЭ.42.31656254.0001</v>
      </c>
      <c r="CD218" s="2312" t="s">
        <v>1189</v>
      </c>
      <c r="CE218" s="2312" t="s">
        <v>1201</v>
      </c>
      <c r="CF218" s="1751"/>
      <c r="CG218" s="1751"/>
      <c r="CH218" s="2312" t="s">
        <v>1308</v>
      </c>
      <c r="CI218" s="2312" t="s">
        <v>303</v>
      </c>
      <c r="CJ218" s="2312" t="s">
        <v>1312</v>
      </c>
      <c r="CK218" s="2312" t="s">
        <v>1313</v>
      </c>
      <c r="CL218" s="1751"/>
      <c r="CM218" s="1751"/>
      <c r="CN218" s="1751"/>
    </row>
    <row s="1751" customFormat="1" customHeight="1" ht="14.25">
      <c r="A219" s="371"/>
      <c r="B219" s="1548"/>
      <c r="C219" s="1548"/>
      <c r="D219" s="1548"/>
      <c r="E219" s="180">
        <v>15</v>
      </c>
      <c r="F219" s="175" cm="1" t="str">
        <f t="array" ref="F219:F219">F218</f>
        <v>1</v>
      </c>
      <c r="G219" s="1659"/>
      <c r="H219" s="1659"/>
      <c r="I219" s="1659"/>
      <c r="J219" s="1659"/>
      <c r="K219" s="1659"/>
      <c r="L219" s="1659"/>
      <c r="M219" s="1659"/>
      <c r="N219" s="1659"/>
      <c r="O219" s="1659"/>
      <c r="P219" s="1659"/>
      <c r="Q219" s="1659"/>
      <c r="R219" s="1659"/>
      <c r="S219" s="1659"/>
      <c r="T219" s="753" cm="1" t="str">
        <f t="array" ref="T219:T219">T218</f>
        <v>true</v>
      </c>
      <c r="U219" s="1548"/>
      <c r="V219" s="1548"/>
      <c r="W219" s="1548"/>
      <c r="X219" s="1548"/>
      <c r="Y219" s="1548"/>
      <c r="Z219" s="1548"/>
      <c r="AA219" s="183"/>
      <c r="AB219" s="633" t="str">
        <f>AB215&amp;".4"</f>
        <v>7.4.4</v>
      </c>
      <c r="AC219" s="635" t="s">
        <v>1203</v>
      </c>
      <c r="AD219" s="633" t="s">
        <v>1178</v>
      </c>
      <c r="AE219" s="1864"/>
      <c r="AF219" s="1864"/>
      <c r="AG219" s="1864"/>
      <c r="AH219" s="1864"/>
      <c r="AI219" s="353"/>
      <c r="AJ219" s="1864"/>
      <c r="AK219" s="1864"/>
      <c r="AL219" s="1864"/>
      <c r="AM219" s="1864"/>
      <c r="AN219" s="1864"/>
      <c r="AO219" s="1864"/>
      <c r="AP219" s="1864"/>
      <c r="AQ219" s="1864"/>
      <c r="AR219" s="1864"/>
      <c r="AS219" s="1864"/>
      <c r="AT219" s="1864"/>
      <c r="AU219" s="1864"/>
      <c r="AV219" s="1864"/>
      <c r="AW219" s="1864"/>
      <c r="AX219" s="1864"/>
      <c r="AY219" s="1864"/>
      <c r="AZ219" s="1864"/>
      <c r="BA219" s="1864"/>
      <c r="BB219" s="1864"/>
      <c r="BC219" s="353"/>
      <c r="BD219" s="1864"/>
      <c r="BE219" s="1864"/>
      <c r="BF219" s="1864"/>
      <c r="BG219" s="1864"/>
      <c r="BH219" s="1864"/>
      <c r="BI219" s="1864"/>
      <c r="BJ219" s="1864"/>
      <c r="BK219" s="1864"/>
      <c r="BL219" s="1864"/>
      <c r="BM219" s="1864"/>
      <c r="BN219" s="1864"/>
      <c r="BO219" s="1864"/>
      <c r="BP219" s="1864"/>
      <c r="BQ219" s="1864"/>
      <c r="BR219" s="1864"/>
      <c r="BS219" s="1864"/>
      <c r="BT219" s="1864"/>
      <c r="BU219" s="1864"/>
      <c r="BV219" s="1864"/>
      <c r="BW219" s="1897"/>
      <c r="BX219" s="183"/>
      <c r="BY219" s="969"/>
      <c r="BZ219" s="489" t="s">
        <v>1321</v>
      </c>
      <c r="CA219" s="1506"/>
      <c r="CB219" s="1506"/>
      <c r="CC219" s="2312" cm="1" t="str">
        <f t="array" ref="CC219:CC219">CC218</f>
        <v>ТЭ.42.31656254.0001</v>
      </c>
      <c r="CD219" s="2312" t="s">
        <v>1189</v>
      </c>
      <c r="CE219" s="2312" t="s">
        <v>1205</v>
      </c>
      <c r="CF219" s="1751"/>
      <c r="CG219" s="1751"/>
      <c r="CH219" s="2312" t="s">
        <v>1308</v>
      </c>
      <c r="CI219" s="2312" t="s">
        <v>303</v>
      </c>
      <c r="CJ219" s="2312" t="s">
        <v>1312</v>
      </c>
      <c r="CK219" s="2312" t="s">
        <v>1313</v>
      </c>
      <c r="CL219" s="1751"/>
      <c r="CM219" s="1751"/>
      <c r="CN219" s="1751"/>
    </row>
    <row s="1751" customFormat="1" customHeight="1" ht="14.25">
      <c r="A220" s="371"/>
      <c r="B220" s="1548"/>
      <c r="C220" s="1548"/>
      <c r="D220" s="1548"/>
      <c r="E220" s="180">
        <v>15</v>
      </c>
      <c r="F220" s="175" cm="1" t="str">
        <f t="array" ref="F220:F220">F219</f>
        <v>1</v>
      </c>
      <c r="G220" s="1659"/>
      <c r="H220" s="1659"/>
      <c r="I220" s="1659"/>
      <c r="J220" s="1659"/>
      <c r="K220" s="1659"/>
      <c r="L220" s="1659"/>
      <c r="M220" s="1659"/>
      <c r="N220" s="1659"/>
      <c r="O220" s="1659"/>
      <c r="P220" s="1659"/>
      <c r="Q220" s="1659"/>
      <c r="R220" s="1659"/>
      <c r="S220" s="1659"/>
      <c r="T220" s="753" cm="1" t="str">
        <f t="array" ref="T220:T220">T219</f>
        <v>true</v>
      </c>
      <c r="U220" s="1548"/>
      <c r="V220" s="1548"/>
      <c r="W220" s="1548"/>
      <c r="X220" s="1548"/>
      <c r="Y220" s="1548"/>
      <c r="Z220" s="1548"/>
      <c r="AA220" s="183"/>
      <c r="AB220" s="633" t="str">
        <f>AB215&amp;".5"</f>
        <v>7.4.5</v>
      </c>
      <c r="AC220" s="635" t="s">
        <v>1207</v>
      </c>
      <c r="AD220" s="633" t="s">
        <v>1178</v>
      </c>
      <c r="AE220" s="1864"/>
      <c r="AF220" s="1864"/>
      <c r="AG220" s="1864"/>
      <c r="AH220" s="1864"/>
      <c r="AI220" s="353"/>
      <c r="AJ220" s="1864"/>
      <c r="AK220" s="1864"/>
      <c r="AL220" s="1864"/>
      <c r="AM220" s="1864"/>
      <c r="AN220" s="1864"/>
      <c r="AO220" s="1864"/>
      <c r="AP220" s="1864"/>
      <c r="AQ220" s="1864"/>
      <c r="AR220" s="1864"/>
      <c r="AS220" s="1864"/>
      <c r="AT220" s="1864"/>
      <c r="AU220" s="1864"/>
      <c r="AV220" s="1864"/>
      <c r="AW220" s="1864"/>
      <c r="AX220" s="1864"/>
      <c r="AY220" s="1864"/>
      <c r="AZ220" s="1864"/>
      <c r="BA220" s="1864"/>
      <c r="BB220" s="1864"/>
      <c r="BC220" s="353"/>
      <c r="BD220" s="1864"/>
      <c r="BE220" s="1864"/>
      <c r="BF220" s="1864"/>
      <c r="BG220" s="1864"/>
      <c r="BH220" s="1864"/>
      <c r="BI220" s="1864"/>
      <c r="BJ220" s="1864"/>
      <c r="BK220" s="1864"/>
      <c r="BL220" s="1864"/>
      <c r="BM220" s="1864"/>
      <c r="BN220" s="1864"/>
      <c r="BO220" s="1864"/>
      <c r="BP220" s="1864"/>
      <c r="BQ220" s="1864"/>
      <c r="BR220" s="1864"/>
      <c r="BS220" s="1864"/>
      <c r="BT220" s="1864"/>
      <c r="BU220" s="1864"/>
      <c r="BV220" s="1864"/>
      <c r="BW220" s="1897"/>
      <c r="BX220" s="183"/>
      <c r="BY220" s="969"/>
      <c r="BZ220" s="489" t="s">
        <v>1322</v>
      </c>
      <c r="CA220" s="1506"/>
      <c r="CB220" s="1506"/>
      <c r="CC220" s="2312" cm="1" t="str">
        <f t="array" ref="CC220:CC220">CC219</f>
        <v>ТЭ.42.31656254.0001</v>
      </c>
      <c r="CD220" s="2312" t="s">
        <v>1189</v>
      </c>
      <c r="CE220" s="2312" t="s">
        <v>1209</v>
      </c>
      <c r="CF220" s="1751"/>
      <c r="CG220" s="1751"/>
      <c r="CH220" s="2312" t="s">
        <v>1308</v>
      </c>
      <c r="CI220" s="2312" t="s">
        <v>303</v>
      </c>
      <c r="CJ220" s="2312" t="s">
        <v>1312</v>
      </c>
      <c r="CK220" s="2312" t="s">
        <v>1313</v>
      </c>
      <c r="CL220" s="1751"/>
      <c r="CM220" s="1751"/>
      <c r="CN220" s="1751"/>
    </row>
    <row s="1751" customFormat="1" customHeight="1" ht="14.25">
      <c r="A221" s="371"/>
      <c r="B221" s="1548"/>
      <c r="C221" s="1548"/>
      <c r="D221" s="1548"/>
      <c r="E221" s="180">
        <v>15</v>
      </c>
      <c r="F221" s="175" cm="1" t="str">
        <f t="array" ref="F221:F221">F220</f>
        <v>1</v>
      </c>
      <c r="G221" s="1659"/>
      <c r="H221" s="1659"/>
      <c r="I221" s="1659"/>
      <c r="J221" s="1659"/>
      <c r="K221" s="1659"/>
      <c r="L221" s="1659"/>
      <c r="M221" s="1659"/>
      <c r="N221" s="1659"/>
      <c r="O221" s="1659"/>
      <c r="P221" s="1659"/>
      <c r="Q221" s="1659"/>
      <c r="R221" s="1659"/>
      <c r="S221" s="1659"/>
      <c r="T221" s="753" cm="1" t="str">
        <f t="array" ref="T221:T221">T220</f>
        <v>true</v>
      </c>
      <c r="U221" s="1548"/>
      <c r="V221" s="1548"/>
      <c r="W221" s="1548"/>
      <c r="X221" s="1548"/>
      <c r="Y221" s="1548"/>
      <c r="Z221" s="1548"/>
      <c r="AA221" s="183"/>
      <c r="AB221" s="633" t="str">
        <f>AB211&amp;".5"</f>
        <v>7.5</v>
      </c>
      <c r="AC221" s="634" t="s">
        <v>1210</v>
      </c>
      <c r="AD221" s="633" t="s">
        <v>1178</v>
      </c>
      <c r="AE221" s="1864"/>
      <c r="AF221" s="1864"/>
      <c r="AG221" s="1864"/>
      <c r="AH221" s="1864"/>
      <c r="AI221" s="353"/>
      <c r="AJ221" s="1864"/>
      <c r="AK221" s="1864"/>
      <c r="AL221" s="1864"/>
      <c r="AM221" s="1864"/>
      <c r="AN221" s="1864"/>
      <c r="AO221" s="1864"/>
      <c r="AP221" s="1864"/>
      <c r="AQ221" s="1864"/>
      <c r="AR221" s="1864"/>
      <c r="AS221" s="1864"/>
      <c r="AT221" s="1864"/>
      <c r="AU221" s="1864"/>
      <c r="AV221" s="1864"/>
      <c r="AW221" s="1864"/>
      <c r="AX221" s="1864"/>
      <c r="AY221" s="1864"/>
      <c r="AZ221" s="1864"/>
      <c r="BA221" s="1864"/>
      <c r="BB221" s="1864"/>
      <c r="BC221" s="353"/>
      <c r="BD221" s="1864"/>
      <c r="BE221" s="1864"/>
      <c r="BF221" s="1864"/>
      <c r="BG221" s="1864"/>
      <c r="BH221" s="1864"/>
      <c r="BI221" s="1864"/>
      <c r="BJ221" s="1864"/>
      <c r="BK221" s="1864"/>
      <c r="BL221" s="1864"/>
      <c r="BM221" s="1864"/>
      <c r="BN221" s="1864"/>
      <c r="BO221" s="1864"/>
      <c r="BP221" s="1864"/>
      <c r="BQ221" s="1864"/>
      <c r="BR221" s="1864"/>
      <c r="BS221" s="1864"/>
      <c r="BT221" s="1864"/>
      <c r="BU221" s="1864"/>
      <c r="BV221" s="1864"/>
      <c r="BW221" s="1897"/>
      <c r="BX221" s="183"/>
      <c r="BY221" s="969"/>
      <c r="BZ221" s="489" t="s">
        <v>1323</v>
      </c>
      <c r="CA221" s="1506"/>
      <c r="CB221" s="1506"/>
      <c r="CC221" s="2312" cm="1" t="str">
        <f t="array" ref="CC221:CC221">CC220</f>
        <v>ТЭ.42.31656254.0001</v>
      </c>
      <c r="CD221" s="2312" t="s">
        <v>1212</v>
      </c>
      <c r="CE221" s="1751"/>
      <c r="CF221" s="1751"/>
      <c r="CG221" s="1751"/>
      <c r="CH221" s="2312" t="s">
        <v>1308</v>
      </c>
      <c r="CI221" s="2312" t="s">
        <v>303</v>
      </c>
      <c r="CJ221" s="2312" t="s">
        <v>1312</v>
      </c>
      <c r="CK221" s="2312" t="s">
        <v>1313</v>
      </c>
      <c r="CL221" s="1751"/>
      <c r="CM221" s="1751"/>
      <c r="CN221" s="1751"/>
    </row>
    <row s="1751" customFormat="1" customHeight="1" ht="14.25">
      <c r="A222" s="371"/>
      <c r="B222" s="1548"/>
      <c r="C222" s="1548"/>
      <c r="D222" s="1548"/>
      <c r="E222" s="180">
        <v>15</v>
      </c>
      <c r="F222" s="175" cm="1" t="str">
        <f t="array" ref="F222:F222">F221</f>
        <v>1</v>
      </c>
      <c r="G222" s="1659"/>
      <c r="H222" s="1659"/>
      <c r="I222" s="1659"/>
      <c r="J222" s="1659"/>
      <c r="K222" s="1659"/>
      <c r="L222" s="1659"/>
      <c r="M222" s="1659"/>
      <c r="N222" s="1659"/>
      <c r="O222" s="1659"/>
      <c r="P222" s="1659"/>
      <c r="Q222" s="1659"/>
      <c r="R222" s="1659"/>
      <c r="S222" s="1659"/>
      <c r="T222" s="753" cm="1" t="str">
        <f t="array" ref="T222:T222">T221</f>
        <v>true</v>
      </c>
      <c r="U222" s="1548"/>
      <c r="V222" s="1548"/>
      <c r="W222" s="1548"/>
      <c r="X222" s="1548"/>
      <c r="Y222" s="1548"/>
      <c r="Z222" s="1548"/>
      <c r="AA222" s="183"/>
      <c r="AB222" s="633" t="str">
        <f>AB211&amp;".6"</f>
        <v>7.6</v>
      </c>
      <c r="AC222" s="634" t="s">
        <v>1213</v>
      </c>
      <c r="AD222" s="633" t="s">
        <v>1178</v>
      </c>
      <c r="AE222" s="1864"/>
      <c r="AF222" s="1864"/>
      <c r="AG222" s="1864"/>
      <c r="AH222" s="1864"/>
      <c r="AI222" s="353"/>
      <c r="AJ222" s="1864"/>
      <c r="AK222" s="1864"/>
      <c r="AL222" s="1864"/>
      <c r="AM222" s="1864"/>
      <c r="AN222" s="1864"/>
      <c r="AO222" s="1864"/>
      <c r="AP222" s="1864"/>
      <c r="AQ222" s="1864"/>
      <c r="AR222" s="1864"/>
      <c r="AS222" s="1864"/>
      <c r="AT222" s="1864"/>
      <c r="AU222" s="1864"/>
      <c r="AV222" s="1864"/>
      <c r="AW222" s="1864"/>
      <c r="AX222" s="1864"/>
      <c r="AY222" s="1864"/>
      <c r="AZ222" s="1864"/>
      <c r="BA222" s="1864"/>
      <c r="BB222" s="1864"/>
      <c r="BC222" s="353"/>
      <c r="BD222" s="1864"/>
      <c r="BE222" s="1864"/>
      <c r="BF222" s="1864"/>
      <c r="BG222" s="1864"/>
      <c r="BH222" s="1864"/>
      <c r="BI222" s="1864"/>
      <c r="BJ222" s="1864"/>
      <c r="BK222" s="1864"/>
      <c r="BL222" s="1864"/>
      <c r="BM222" s="1864"/>
      <c r="BN222" s="1864"/>
      <c r="BO222" s="1864"/>
      <c r="BP222" s="1864"/>
      <c r="BQ222" s="1864"/>
      <c r="BR222" s="1864"/>
      <c r="BS222" s="1864"/>
      <c r="BT222" s="1864"/>
      <c r="BU222" s="1864"/>
      <c r="BV222" s="1864"/>
      <c r="BW222" s="1897"/>
      <c r="BX222" s="183"/>
      <c r="BY222" s="969"/>
      <c r="BZ222" s="489" t="s">
        <v>1324</v>
      </c>
      <c r="CA222" s="1506"/>
      <c r="CB222" s="1506"/>
      <c r="CC222" s="2312" cm="1" t="str">
        <f t="array" ref="CC222:CC222">CC221</f>
        <v>ТЭ.42.31656254.0001</v>
      </c>
      <c r="CD222" s="1751"/>
      <c r="CE222" s="1751"/>
      <c r="CF222" s="2312" t="s">
        <v>1215</v>
      </c>
      <c r="CG222" s="1751"/>
      <c r="CH222" s="2312" t="s">
        <v>1308</v>
      </c>
      <c r="CI222" s="2312" t="s">
        <v>303</v>
      </c>
      <c r="CJ222" s="2312" t="s">
        <v>1312</v>
      </c>
      <c r="CK222" s="2312" t="s">
        <v>1313</v>
      </c>
      <c r="CL222" s="1751"/>
      <c r="CM222" s="1751"/>
      <c r="CN222" s="1751"/>
    </row>
    <row s="1751" customFormat="1" customHeight="1" ht="14.25">
      <c r="A223" s="371"/>
      <c r="B223" s="1548"/>
      <c r="C223" s="1548"/>
      <c r="D223" s="1548"/>
      <c r="E223" s="180">
        <v>15</v>
      </c>
      <c r="F223" s="175" cm="1" t="str">
        <f t="array" ref="F223:F223">F222</f>
        <v>1</v>
      </c>
      <c r="G223" s="1659"/>
      <c r="H223" s="1659"/>
      <c r="I223" s="1659"/>
      <c r="J223" s="1659"/>
      <c r="K223" s="1659"/>
      <c r="L223" s="1659"/>
      <c r="M223" s="1659"/>
      <c r="N223" s="1659"/>
      <c r="O223" s="1659"/>
      <c r="P223" s="1659"/>
      <c r="Q223" s="1659"/>
      <c r="R223" s="1659"/>
      <c r="S223" s="1659"/>
      <c r="T223" s="753" cm="1" t="str">
        <f t="array" ref="T223:T223">T222</f>
        <v>true</v>
      </c>
      <c r="U223" s="1548"/>
      <c r="V223" s="1548"/>
      <c r="W223" s="1548"/>
      <c r="X223" s="1548"/>
      <c r="Y223" s="1548"/>
      <c r="Z223" s="1548"/>
      <c r="AA223" s="183"/>
      <c r="AB223" s="633" t="str">
        <f>AB211&amp;".7"</f>
        <v>7.7</v>
      </c>
      <c r="AC223" s="634" t="s">
        <v>1216</v>
      </c>
      <c r="AD223" s="633" t="s">
        <v>1178</v>
      </c>
      <c r="AE223" s="1864"/>
      <c r="AF223" s="1864"/>
      <c r="AG223" s="1864"/>
      <c r="AH223" s="1864"/>
      <c r="AI223" s="353"/>
      <c r="AJ223" s="1864"/>
      <c r="AK223" s="1864"/>
      <c r="AL223" s="1864"/>
      <c r="AM223" s="1864"/>
      <c r="AN223" s="1864"/>
      <c r="AO223" s="1864"/>
      <c r="AP223" s="1864"/>
      <c r="AQ223" s="1864"/>
      <c r="AR223" s="1864"/>
      <c r="AS223" s="1864"/>
      <c r="AT223" s="1864"/>
      <c r="AU223" s="1864"/>
      <c r="AV223" s="1864"/>
      <c r="AW223" s="1864"/>
      <c r="AX223" s="1864"/>
      <c r="AY223" s="1864"/>
      <c r="AZ223" s="1864"/>
      <c r="BA223" s="1864"/>
      <c r="BB223" s="1864"/>
      <c r="BC223" s="353"/>
      <c r="BD223" s="1864"/>
      <c r="BE223" s="1864"/>
      <c r="BF223" s="1864"/>
      <c r="BG223" s="1864"/>
      <c r="BH223" s="1864"/>
      <c r="BI223" s="1864"/>
      <c r="BJ223" s="1864"/>
      <c r="BK223" s="1864"/>
      <c r="BL223" s="1864"/>
      <c r="BM223" s="1864"/>
      <c r="BN223" s="1864"/>
      <c r="BO223" s="1864"/>
      <c r="BP223" s="1864"/>
      <c r="BQ223" s="1864"/>
      <c r="BR223" s="1864"/>
      <c r="BS223" s="1864"/>
      <c r="BT223" s="1864"/>
      <c r="BU223" s="1864"/>
      <c r="BV223" s="1864"/>
      <c r="BW223" s="1897"/>
      <c r="BX223" s="183"/>
      <c r="BY223" s="969"/>
      <c r="BZ223" s="489" t="s">
        <v>1325</v>
      </c>
      <c r="CA223" s="1506"/>
      <c r="CB223" s="1506"/>
      <c r="CC223" s="2312" cm="1" t="str">
        <f t="array" ref="CC223:CC223">CC222</f>
        <v>ТЭ.42.31656254.0001</v>
      </c>
      <c r="CD223" s="1751"/>
      <c r="CE223" s="1751"/>
      <c r="CF223" s="2312" t="s">
        <v>1218</v>
      </c>
      <c r="CG223" s="1751"/>
      <c r="CH223" s="2312" t="s">
        <v>1308</v>
      </c>
      <c r="CI223" s="2312" t="s">
        <v>303</v>
      </c>
      <c r="CJ223" s="2312" t="s">
        <v>1312</v>
      </c>
      <c r="CK223" s="2312" t="s">
        <v>1313</v>
      </c>
      <c r="CL223" s="1751"/>
      <c r="CM223" s="1751"/>
      <c r="CN223" s="1751"/>
    </row>
    <row s="1751" customFormat="1" customHeight="1" ht="14.25">
      <c r="A224" s="371"/>
      <c r="B224" s="1548"/>
      <c r="C224" s="1548"/>
      <c r="D224" s="1548"/>
      <c r="E224" s="180">
        <v>15</v>
      </c>
      <c r="F224" s="175" cm="1" t="str">
        <f t="array" ref="F224:F224">F223</f>
        <v>1</v>
      </c>
      <c r="G224" s="1659"/>
      <c r="H224" s="1659"/>
      <c r="I224" s="1659"/>
      <c r="J224" s="1659"/>
      <c r="K224" s="1659"/>
      <c r="L224" s="1659"/>
      <c r="M224" s="1659"/>
      <c r="N224" s="1659"/>
      <c r="O224" s="1659"/>
      <c r="P224" s="1659"/>
      <c r="Q224" s="1659"/>
      <c r="R224" s="1659"/>
      <c r="S224" s="1659"/>
      <c r="T224" s="753" cm="1" t="str">
        <f t="array" ref="T224:T224">T223</f>
        <v>true</v>
      </c>
      <c r="U224" s="1548"/>
      <c r="V224" s="1548"/>
      <c r="W224" s="1548"/>
      <c r="X224" s="1548"/>
      <c r="Y224" s="1548"/>
      <c r="Z224" s="1548"/>
      <c r="AA224" s="183"/>
      <c r="AB224" s="633" t="str">
        <f>AB211&amp;".8"</f>
        <v>7.8</v>
      </c>
      <c r="AC224" s="634" t="s">
        <v>1219</v>
      </c>
      <c r="AD224" s="633" t="s">
        <v>1178</v>
      </c>
      <c r="AE224" s="1864"/>
      <c r="AF224" s="1864"/>
      <c r="AG224" s="1864"/>
      <c r="AH224" s="1864"/>
      <c r="AI224" s="353"/>
      <c r="AJ224" s="1864"/>
      <c r="AK224" s="1864"/>
      <c r="AL224" s="1864"/>
      <c r="AM224" s="1864"/>
      <c r="AN224" s="1864"/>
      <c r="AO224" s="1864"/>
      <c r="AP224" s="1864"/>
      <c r="AQ224" s="1864"/>
      <c r="AR224" s="1864"/>
      <c r="AS224" s="1864"/>
      <c r="AT224" s="1864"/>
      <c r="AU224" s="1864"/>
      <c r="AV224" s="1864"/>
      <c r="AW224" s="1864"/>
      <c r="AX224" s="1864"/>
      <c r="AY224" s="1864"/>
      <c r="AZ224" s="1864"/>
      <c r="BA224" s="1864"/>
      <c r="BB224" s="1864"/>
      <c r="BC224" s="353"/>
      <c r="BD224" s="1864"/>
      <c r="BE224" s="1864"/>
      <c r="BF224" s="1864"/>
      <c r="BG224" s="1864"/>
      <c r="BH224" s="1864"/>
      <c r="BI224" s="1864"/>
      <c r="BJ224" s="1864"/>
      <c r="BK224" s="1864"/>
      <c r="BL224" s="1864"/>
      <c r="BM224" s="1864"/>
      <c r="BN224" s="1864"/>
      <c r="BO224" s="1864"/>
      <c r="BP224" s="1864"/>
      <c r="BQ224" s="1864"/>
      <c r="BR224" s="1864"/>
      <c r="BS224" s="1864"/>
      <c r="BT224" s="1864"/>
      <c r="BU224" s="1864"/>
      <c r="BV224" s="1864"/>
      <c r="BW224" s="1897"/>
      <c r="BX224" s="183"/>
      <c r="BY224" s="969"/>
      <c r="BZ224" s="489" t="s">
        <v>1326</v>
      </c>
      <c r="CA224" s="1506"/>
      <c r="CB224" s="1506"/>
      <c r="CC224" s="2312" cm="1" t="str">
        <f t="array" ref="CC224:CC224">CC223</f>
        <v>ТЭ.42.31656254.0001</v>
      </c>
      <c r="CD224" s="2312" t="s">
        <v>1221</v>
      </c>
      <c r="CE224" s="1751"/>
      <c r="CF224" s="1751"/>
      <c r="CG224" s="1751"/>
      <c r="CH224" s="2312" t="s">
        <v>1327</v>
      </c>
      <c r="CI224" s="2312" t="s">
        <v>303</v>
      </c>
      <c r="CJ224" s="2312" t="s">
        <v>1312</v>
      </c>
      <c r="CK224" s="2312" t="s">
        <v>1313</v>
      </c>
      <c r="CL224" s="1751"/>
      <c r="CM224" s="1751"/>
      <c r="CN224" s="1751"/>
    </row>
    <row customHeight="1" ht="10.725000000000001">
      <c r="E225" s="180">
        <v>11</v>
      </c>
      <c r="U225" s="175" t="s">
        <v>191</v>
      </c>
      <c r="V225" s="176" t="s">
        <v>1328</v>
      </c>
      <c r="AD225" s="183"/>
      <c r="AE225" s="183"/>
      <c r="AF225" s="183"/>
      <c r="AG225" s="183"/>
      <c r="AH225" s="183"/>
      <c r="AI225" s="183"/>
      <c r="AJ225" s="183"/>
      <c r="AK225" s="183"/>
      <c r="AL225" s="183"/>
      <c r="AM225" s="183"/>
      <c r="AN225" s="183"/>
      <c r="AO225" s="183"/>
      <c r="AP225" s="183"/>
      <c r="AQ225" s="183"/>
      <c r="AR225" s="183"/>
      <c r="AS225" s="183"/>
      <c r="AT225" s="183"/>
      <c r="AU225" s="183"/>
      <c r="AV225" s="183"/>
      <c r="AW225" s="183"/>
      <c r="AX225" s="183"/>
      <c r="AY225" s="183"/>
      <c r="AZ225" s="183"/>
      <c r="BA225" s="183"/>
      <c r="BB225" s="183"/>
      <c r="BC225" s="183"/>
      <c r="BD225" s="183"/>
      <c r="BE225" s="183"/>
      <c r="BF225" s="183"/>
      <c r="BG225" s="183"/>
      <c r="BH225" s="183"/>
      <c r="BI225" s="183"/>
      <c r="BJ225" s="183"/>
      <c r="BK225" s="183"/>
      <c r="BL225" s="183"/>
      <c r="BM225" s="183"/>
      <c r="BN225" s="183"/>
      <c r="BO225" s="183"/>
      <c r="BP225" s="183"/>
      <c r="BQ225" s="183"/>
      <c r="BR225" s="183"/>
      <c r="BS225" s="183"/>
      <c r="BT225" s="183"/>
      <c r="BU225" s="183"/>
      <c r="BV225" s="183"/>
    </row>
    <row customHeight="1" ht="11.25" hidden="1">
      <c r="E226" s="965">
        <v>0</v>
      </c>
      <c r="AB226" s="178"/>
      <c r="AC226" s="287"/>
      <c r="AD226" s="178"/>
      <c r="AE226" s="637"/>
      <c r="AF226" s="637"/>
      <c r="AG226" s="637"/>
      <c r="AH226" s="637"/>
      <c r="AI226" s="637"/>
      <c r="AJ226" s="637"/>
      <c r="AK226" s="637"/>
      <c r="AL226" s="637"/>
      <c r="AM226" s="637"/>
      <c r="AN226" s="637"/>
      <c r="AO226" s="637"/>
      <c r="AP226" s="637"/>
      <c r="AQ226" s="637"/>
      <c r="AR226" s="637"/>
      <c r="AS226" s="637"/>
      <c r="AT226" s="637"/>
      <c r="AU226" s="637"/>
      <c r="AV226" s="637"/>
      <c r="AW226" s="637"/>
      <c r="AX226" s="637"/>
      <c r="AY226" s="637"/>
      <c r="AZ226" s="637"/>
      <c r="BA226" s="637"/>
      <c r="BB226" s="637"/>
      <c r="BC226" s="377"/>
      <c r="BD226" s="377"/>
      <c r="BE226" s="377"/>
      <c r="BF226" s="377"/>
      <c r="BG226" s="377"/>
      <c r="BH226" s="377"/>
      <c r="BI226" s="377"/>
      <c r="BJ226" s="377"/>
      <c r="BK226" s="377"/>
      <c r="BL226" s="377"/>
      <c r="BM226" s="377"/>
      <c r="BN226" s="377"/>
      <c r="BO226" s="377"/>
      <c r="BP226" s="377"/>
      <c r="BQ226" s="377"/>
      <c r="BR226" s="377"/>
      <c r="BS226" s="377"/>
      <c r="BT226" s="377"/>
      <c r="BU226" s="377"/>
      <c r="BV226" s="377"/>
    </row>
    <row s="1659" customFormat="1" customHeight="1" ht="14.625">
      <c r="A227" s="371"/>
      <c r="B227" s="175"/>
      <c r="C227" s="175"/>
      <c r="D227" s="175"/>
      <c r="E227" s="180">
        <v>15</v>
      </c>
      <c r="F227" s="175"/>
      <c r="T227" s="175"/>
      <c r="U227" s="175"/>
      <c r="V227" s="175"/>
      <c r="W227" s="175"/>
      <c r="X227" s="175"/>
      <c r="Y227" s="175"/>
      <c r="Z227" s="175"/>
      <c r="AA227" s="286"/>
      <c r="AB227" s="1653" t="s">
        <v>765</v>
      </c>
      <c r="AC227" s="1653"/>
      <c r="AD227" s="1653"/>
      <c r="AE227" s="1653"/>
      <c r="AF227" s="1653"/>
      <c r="AG227" s="1653"/>
      <c r="AH227" s="1653"/>
      <c r="AI227" s="1654"/>
      <c r="AJ227" s="1654"/>
      <c r="AK227" s="1654"/>
      <c r="AL227" s="1654"/>
      <c r="AM227" s="1654"/>
      <c r="AN227" s="1654"/>
      <c r="AO227" s="1654"/>
      <c r="AP227" s="1654"/>
      <c r="AQ227" s="1654"/>
      <c r="AR227" s="1654"/>
      <c r="AS227" s="1654"/>
      <c r="AT227" s="1654"/>
      <c r="AU227" s="1654"/>
      <c r="AV227" s="1654"/>
      <c r="AW227" s="1654"/>
      <c r="AX227" s="1654"/>
      <c r="AY227" s="1654"/>
      <c r="AZ227" s="1654"/>
      <c r="BA227" s="1654"/>
      <c r="BB227" s="1654"/>
      <c r="BC227" s="1654"/>
      <c r="BD227" s="1654"/>
      <c r="BE227" s="1654"/>
      <c r="BF227" s="1654"/>
      <c r="BG227" s="1654"/>
      <c r="BH227" s="1654"/>
      <c r="BI227" s="1654"/>
      <c r="BJ227" s="1654"/>
      <c r="BK227" s="1654"/>
      <c r="BL227" s="1654"/>
      <c r="BM227" s="1654"/>
      <c r="BN227" s="1654"/>
      <c r="BO227" s="1654"/>
      <c r="BP227" s="1654"/>
      <c r="BQ227" s="1654"/>
      <c r="BR227" s="1654"/>
      <c r="BS227" s="1654"/>
      <c r="BT227" s="1654"/>
      <c r="BU227" s="1654"/>
      <c r="BV227" s="1654"/>
      <c r="BW227" s="1654"/>
      <c r="BX227" s="286"/>
      <c r="BZ227" s="489"/>
      <c r="CC227" s="0"/>
      <c r="CD227" s="0"/>
      <c r="CE227" s="0"/>
      <c r="CF227" s="0"/>
      <c r="CG227" s="0"/>
      <c r="CH227" s="0"/>
      <c r="CI227" s="0"/>
      <c r="CJ227" s="0"/>
      <c r="CK227" s="0"/>
      <c r="CL227" s="0"/>
      <c r="CM227" s="0"/>
      <c r="CN227" s="0"/>
    </row>
    <row s="1659" customFormat="1" customHeight="1" ht="14.625">
      <c r="A228" s="371"/>
      <c r="B228" s="175"/>
      <c r="C228" s="175"/>
      <c r="D228" s="175"/>
      <c r="E228" s="180">
        <v>15</v>
      </c>
      <c r="F228" s="175"/>
      <c r="T228" s="175"/>
      <c r="U228" s="175"/>
      <c r="V228" s="175"/>
      <c r="W228" s="175"/>
      <c r="X228" s="175"/>
      <c r="Y228" s="175"/>
      <c r="Z228" s="175"/>
      <c r="AA228" s="477"/>
      <c r="AB228" s="1655"/>
      <c r="AC228" s="1655"/>
      <c r="AD228" s="1655"/>
      <c r="AE228" s="1655"/>
      <c r="AF228" s="1655"/>
      <c r="AG228" s="1655"/>
      <c r="AH228" s="1655"/>
      <c r="AI228" s="1656"/>
      <c r="AJ228" s="2292"/>
      <c r="AK228" s="2292"/>
      <c r="AL228" s="2292"/>
      <c r="AM228" s="2292"/>
      <c r="AN228" s="2292"/>
      <c r="AO228" s="2292"/>
      <c r="AP228" s="2292"/>
      <c r="AQ228" s="2292"/>
      <c r="AR228" s="2292"/>
      <c r="AS228" s="2292"/>
      <c r="AT228" s="2292"/>
      <c r="AU228" s="2292"/>
      <c r="AV228" s="2292"/>
      <c r="AW228" s="2292"/>
      <c r="AX228" s="2292"/>
      <c r="AY228" s="2292"/>
      <c r="AZ228" s="2292"/>
      <c r="BA228" s="2292"/>
      <c r="BB228" s="2292"/>
      <c r="BC228" s="1656"/>
      <c r="BD228" s="2292"/>
      <c r="BE228" s="2292"/>
      <c r="BF228" s="2292"/>
      <c r="BG228" s="2292"/>
      <c r="BH228" s="2292"/>
      <c r="BI228" s="2292"/>
      <c r="BJ228" s="2292"/>
      <c r="BK228" s="2292"/>
      <c r="BL228" s="2292"/>
      <c r="BM228" s="2292"/>
      <c r="BN228" s="2292"/>
      <c r="BO228" s="2292"/>
      <c r="BP228" s="2292"/>
      <c r="BQ228" s="2292"/>
      <c r="BR228" s="2292"/>
      <c r="BS228" s="2292"/>
      <c r="BT228" s="2292"/>
      <c r="BU228" s="2292"/>
      <c r="BV228" s="2292"/>
      <c r="BW228" s="1657"/>
      <c r="BX228" s="286"/>
      <c r="BZ228" s="489"/>
      <c r="CC228" s="0"/>
      <c r="CD228" s="0"/>
      <c r="CE228" s="0"/>
      <c r="CF228" s="0"/>
      <c r="CG228" s="0"/>
      <c r="CH228" s="0"/>
      <c r="CI228" s="0"/>
      <c r="CJ228" s="0"/>
      <c r="CK228" s="0"/>
      <c r="CL228" s="0"/>
      <c r="CM228" s="0"/>
      <c r="CN228" s="0"/>
    </row>
    <row s="1659" customFormat="1" customHeight="1" ht="14.625" hidden="1">
      <c r="A229" s="371"/>
      <c r="B229" s="175"/>
      <c r="C229" s="175"/>
      <c r="D229" s="175"/>
      <c r="E229" s="180">
        <v>15</v>
      </c>
      <c r="F229" s="175"/>
      <c r="G229" s="1659"/>
      <c r="H229" s="1659"/>
      <c r="I229" s="1659"/>
      <c r="J229" s="1659"/>
      <c r="K229" s="1659"/>
      <c r="L229" s="1659"/>
      <c r="M229" s="1659"/>
      <c r="N229" s="1659"/>
      <c r="O229" s="1659"/>
      <c r="P229" s="1659"/>
      <c r="Q229" s="1659"/>
      <c r="R229" s="1659"/>
      <c r="S229" s="1659"/>
      <c r="T229" s="753">
        <f>ROW(W229)&gt;ROW(W$229)</f>
        <v>0</v>
      </c>
      <c r="U229" s="175"/>
      <c r="V229" s="175"/>
      <c r="W229" s="175" t="s">
        <v>189</v>
      </c>
      <c r="X229" s="175"/>
      <c r="Y229" s="175"/>
      <c r="Z229" s="175"/>
      <c r="AA229" s="477" t="s">
        <v>171</v>
      </c>
      <c r="AB229" s="2293"/>
      <c r="AC229" s="2293"/>
      <c r="AD229" s="2293"/>
      <c r="AE229" s="2293"/>
      <c r="AF229" s="2293"/>
      <c r="AG229" s="2293"/>
      <c r="AH229" s="2293"/>
      <c r="AI229" s="1656"/>
      <c r="AJ229" s="2292"/>
      <c r="AK229" s="2292"/>
      <c r="AL229" s="2292"/>
      <c r="AM229" s="2292"/>
      <c r="AN229" s="2292"/>
      <c r="AO229" s="2292"/>
      <c r="AP229" s="2292"/>
      <c r="AQ229" s="2292"/>
      <c r="AR229" s="2292"/>
      <c r="AS229" s="2292"/>
      <c r="AT229" s="2292"/>
      <c r="AU229" s="2292"/>
      <c r="AV229" s="2292"/>
      <c r="AW229" s="2292"/>
      <c r="AX229" s="2292"/>
      <c r="AY229" s="2292"/>
      <c r="AZ229" s="2292"/>
      <c r="BA229" s="2292"/>
      <c r="BB229" s="2292"/>
      <c r="BC229" s="1656"/>
      <c r="BD229" s="2292"/>
      <c r="BE229" s="2292"/>
      <c r="BF229" s="2292"/>
      <c r="BG229" s="2292"/>
      <c r="BH229" s="2292"/>
      <c r="BI229" s="2292"/>
      <c r="BJ229" s="2292"/>
      <c r="BK229" s="2292"/>
      <c r="BL229" s="2292"/>
      <c r="BM229" s="2292"/>
      <c r="BN229" s="2292"/>
      <c r="BO229" s="2292"/>
      <c r="BP229" s="2292"/>
      <c r="BQ229" s="2292"/>
      <c r="BR229" s="2292"/>
      <c r="BS229" s="2292"/>
      <c r="BT229" s="2292"/>
      <c r="BU229" s="2292"/>
      <c r="BV229" s="2292"/>
      <c r="BW229" s="2294"/>
      <c r="BX229" s="286"/>
      <c r="BY229" s="1659"/>
      <c r="BZ229" s="489"/>
      <c r="CA229" s="1659"/>
      <c r="CB229" s="1659"/>
      <c r="CC229" s="0"/>
      <c r="CD229" s="0"/>
      <c r="CE229" s="0"/>
      <c r="CF229" s="0"/>
      <c r="CG229" s="0"/>
      <c r="CH229" s="0"/>
      <c r="CI229" s="0"/>
      <c r="CJ229" s="0"/>
      <c r="CK229" s="0"/>
      <c r="CL229" s="0"/>
      <c r="CM229" s="0"/>
      <c r="CN229" s="0"/>
    </row>
    <row s="1659" customFormat="1" customHeight="1" ht="14.625">
      <c r="A230" s="371"/>
      <c r="B230" s="175"/>
      <c r="C230" s="175"/>
      <c r="D230" s="175"/>
      <c r="E230" s="180">
        <v>15</v>
      </c>
      <c r="F230" s="175"/>
      <c r="T230" s="175"/>
      <c r="U230" s="175"/>
      <c r="V230" s="175"/>
      <c r="W230" s="176" t="s">
        <v>190</v>
      </c>
      <c r="X230" s="175"/>
      <c r="Y230" s="175"/>
      <c r="Z230" s="175"/>
      <c r="AA230" s="286"/>
      <c r="AB230" s="1599" t="s">
        <v>766</v>
      </c>
      <c r="AC230" s="1600"/>
      <c r="AD230" s="480"/>
      <c r="AE230" s="480"/>
      <c r="AF230" s="481"/>
      <c r="AG230" s="481"/>
      <c r="AH230" s="481"/>
      <c r="AI230" s="481"/>
      <c r="AJ230" s="481"/>
      <c r="AK230" s="481"/>
      <c r="AL230" s="481"/>
      <c r="AM230" s="481"/>
      <c r="AN230" s="481"/>
      <c r="AO230" s="481"/>
      <c r="AP230" s="481"/>
      <c r="AQ230" s="481"/>
      <c r="AR230" s="481"/>
      <c r="AS230" s="481"/>
      <c r="AT230" s="481"/>
      <c r="AU230" s="481"/>
      <c r="AV230" s="481"/>
      <c r="AW230" s="481"/>
      <c r="AX230" s="481"/>
      <c r="AY230" s="481"/>
      <c r="AZ230" s="481"/>
      <c r="BA230" s="481"/>
      <c r="BB230" s="481"/>
      <c r="BC230" s="481"/>
      <c r="BD230" s="481"/>
      <c r="BE230" s="481"/>
      <c r="BF230" s="481"/>
      <c r="BG230" s="481"/>
      <c r="BH230" s="481"/>
      <c r="BI230" s="481"/>
      <c r="BJ230" s="481"/>
      <c r="BK230" s="481"/>
      <c r="BL230" s="481"/>
      <c r="BM230" s="481"/>
      <c r="BN230" s="481"/>
      <c r="BO230" s="481"/>
      <c r="BP230" s="481"/>
      <c r="BQ230" s="481"/>
      <c r="BR230" s="481"/>
      <c r="BS230" s="481"/>
      <c r="BT230" s="481"/>
      <c r="BU230" s="481"/>
      <c r="BV230" s="481"/>
      <c r="BW230" s="611"/>
      <c r="BX230" s="286"/>
      <c r="BZ230" s="489"/>
      <c r="CC230" s="0"/>
      <c r="CD230" s="0"/>
      <c r="CE230" s="0"/>
      <c r="CF230" s="0"/>
      <c r="CG230" s="0"/>
      <c r="CH230" s="0"/>
      <c r="CI230" s="0"/>
      <c r="CJ230" s="0"/>
      <c r="CK230" s="0"/>
      <c r="CL230" s="0"/>
      <c r="CM230" s="0"/>
      <c r="CN230" s="0"/>
    </row>
    <row customHeight="1" ht="11.25">
      <c r="AI231" s="377"/>
      <c r="AJ231" s="377"/>
      <c r="AK231" s="377"/>
      <c r="AL231" s="377"/>
      <c r="AM231" s="377"/>
      <c r="AN231" s="377"/>
      <c r="AO231" s="377"/>
      <c r="AP231" s="377"/>
      <c r="AQ231" s="377"/>
      <c r="AR231" s="377"/>
      <c r="AS231" s="377"/>
      <c r="AT231" s="377"/>
      <c r="AU231" s="377"/>
      <c r="AV231" s="377"/>
      <c r="AW231" s="377"/>
      <c r="AX231" s="377"/>
      <c r="AY231" s="377"/>
      <c r="AZ231" s="377"/>
      <c r="BA231" s="377"/>
      <c r="BB231" s="377"/>
      <c r="BC231" s="377"/>
      <c r="BD231" s="377"/>
      <c r="BE231" s="377"/>
      <c r="BF231" s="377"/>
      <c r="BG231" s="377"/>
      <c r="BH231" s="377"/>
      <c r="BI231" s="377"/>
      <c r="BJ231" s="377"/>
      <c r="BK231" s="377"/>
      <c r="BL231" s="377"/>
      <c r="BM231" s="377"/>
      <c r="BN231" s="377"/>
      <c r="BO231" s="377"/>
      <c r="BP231" s="377"/>
      <c r="BQ231" s="377"/>
      <c r="BR231" s="377"/>
      <c r="BS231" s="377"/>
      <c r="BT231" s="377"/>
      <c r="BU231" s="377"/>
      <c r="BV231" s="377"/>
      <c r="BX231" s="183"/>
    </row>
    <row customHeight="1" ht="11.25" hidden="1">
      <c r="AI232" s="377"/>
      <c r="AJ232" s="377"/>
      <c r="AK232" s="377"/>
      <c r="AL232" s="377"/>
      <c r="AM232" s="377"/>
      <c r="AN232" s="377"/>
      <c r="AO232" s="377"/>
      <c r="AP232" s="377"/>
      <c r="AQ232" s="377"/>
      <c r="AR232" s="377"/>
      <c r="AS232" s="377"/>
      <c r="AT232" s="377"/>
      <c r="AU232" s="377"/>
      <c r="AV232" s="377"/>
      <c r="AW232" s="377"/>
      <c r="AX232" s="377"/>
      <c r="AY232" s="377"/>
      <c r="AZ232" s="377"/>
      <c r="BA232" s="377"/>
      <c r="BB232" s="377"/>
      <c r="BC232" s="377"/>
      <c r="BD232" s="377"/>
      <c r="BE232" s="377"/>
      <c r="BF232" s="377"/>
      <c r="BG232" s="377"/>
      <c r="BH232" s="377"/>
      <c r="BI232" s="377"/>
      <c r="BJ232" s="377"/>
      <c r="BK232" s="377"/>
      <c r="BL232" s="377"/>
      <c r="BM232" s="377"/>
      <c r="BN232" s="377"/>
      <c r="BO232" s="377"/>
      <c r="BP232" s="377"/>
      <c r="BQ232" s="377"/>
      <c r="BR232" s="377"/>
      <c r="BS232" s="377"/>
      <c r="BT232" s="377"/>
      <c r="BU232" s="377"/>
      <c r="BV232" s="377"/>
    </row>
    <row customHeight="1" ht="11.25" hidden="1">
      <c r="AI233" s="377"/>
      <c r="AJ233" s="377"/>
      <c r="AK233" s="377"/>
      <c r="AL233" s="377"/>
      <c r="AM233" s="377"/>
      <c r="AN233" s="377"/>
      <c r="AO233" s="377"/>
      <c r="AP233" s="377"/>
      <c r="AQ233" s="377"/>
      <c r="AR233" s="377"/>
      <c r="AS233" s="377"/>
      <c r="AT233" s="377"/>
      <c r="AU233" s="377"/>
      <c r="AV233" s="377"/>
      <c r="AW233" s="377"/>
      <c r="AX233" s="377"/>
      <c r="AY233" s="377"/>
      <c r="AZ233" s="377"/>
      <c r="BA233" s="377"/>
      <c r="BB233" s="377"/>
      <c r="BC233" s="377"/>
      <c r="BD233" s="377"/>
      <c r="BE233" s="377"/>
      <c r="BF233" s="377"/>
      <c r="BG233" s="377"/>
      <c r="BH233" s="377"/>
      <c r="BI233" s="377"/>
      <c r="BJ233" s="377"/>
      <c r="BK233" s="377"/>
      <c r="BL233" s="377"/>
      <c r="BM233" s="377"/>
      <c r="BN233" s="377"/>
      <c r="BO233" s="377"/>
      <c r="BP233" s="377"/>
      <c r="BQ233" s="377"/>
      <c r="BR233" s="377"/>
      <c r="BS233" s="377"/>
      <c r="BT233" s="377"/>
      <c r="BU233" s="377"/>
      <c r="BV233" s="377"/>
    </row>
    <row customHeight="1" ht="11.25" hidden="1">
      <c r="A234" s="371" t="s">
        <v>109</v>
      </c>
      <c r="AE234" s="377" t="str">
        <f>"389.0."&amp;AE$9-2010&amp;"."</f>
        <v>389.0.15.</v>
      </c>
      <c r="AF234" s="377" t="str">
        <f>"389.0."&amp;AF$9-2010&amp;"."</f>
        <v>389.0.15.</v>
      </c>
      <c r="AG234" s="377" t="str">
        <f>"389.0."&amp;AG$9-2010&amp;"."</f>
        <v>389.0.15.</v>
      </c>
      <c r="AH234" s="377" t="str">
        <f>"389.0."&amp;AH$9-2010&amp;"."</f>
        <v>389.0.16.</v>
      </c>
      <c r="AI234" s="377" t="str">
        <f>"389.0."&amp;AI$9-2010&amp;"."</f>
        <v>389.0.17.</v>
      </c>
      <c r="AJ234" s="377" t="str">
        <f>"389.0."&amp;AJ$9-2010&amp;"."</f>
        <v>389.0.18.</v>
      </c>
      <c r="AK234" s="377" t="str">
        <f>"389.0."&amp;AK$9-2010&amp;"."</f>
        <v>389.0.19.</v>
      </c>
      <c r="AL234" s="377" t="str">
        <f>"389.0."&amp;AL$9-2010&amp;"."</f>
        <v>389.0.20.</v>
      </c>
      <c r="AM234" s="377" t="str">
        <f>"389.0."&amp;AM$9-2010&amp;"."</f>
        <v>389.0.21.</v>
      </c>
      <c r="AN234" s="377" t="str">
        <f>"389.0."&amp;AN$9-2010&amp;"."</f>
        <v>389.0.22.</v>
      </c>
      <c r="AO234" s="377" t="str">
        <f>"389.0."&amp;AO$9-2010&amp;"."</f>
        <v>389.0.23.</v>
      </c>
      <c r="AP234" s="377" t="str">
        <f>"389.0."&amp;AP$9-2010&amp;"."</f>
        <v>389.0.24.</v>
      </c>
      <c r="AQ234" s="377" t="str">
        <f>"389.0."&amp;AQ$9-2010&amp;"."</f>
        <v>389.0.25.</v>
      </c>
      <c r="AR234" s="377" t="str">
        <f>"389.0."&amp;AR$9-2010&amp;"."</f>
        <v>389.0.26.</v>
      </c>
      <c r="AS234" s="377" t="str">
        <f>"389.0."&amp;AS$9-2010&amp;"."</f>
        <v>389.0.27.</v>
      </c>
      <c r="AT234" s="377" t="str">
        <f>"389.0."&amp;AT$9-2010&amp;"."</f>
        <v>389.0.28.</v>
      </c>
      <c r="AU234" s="377" t="str">
        <f>"389.0."&amp;AU$9-2010&amp;"."</f>
        <v>389.0.29.</v>
      </c>
      <c r="AV234" s="377" t="str">
        <f>"389.0."&amp;AV$9-2010&amp;"."</f>
        <v>389.0.30.</v>
      </c>
      <c r="AW234" s="377" t="str">
        <f>"389.0."&amp;AW$9-2010&amp;"."</f>
        <v>389.0.31.</v>
      </c>
      <c r="AX234" s="377" t="str">
        <f>"389.0."&amp;AX$9-2010&amp;"."</f>
        <v>389.0.32.</v>
      </c>
      <c r="AY234" s="377" t="str">
        <f>"389.0."&amp;AY$9-2010&amp;"."</f>
        <v>389.0.33.</v>
      </c>
      <c r="AZ234" s="377" t="str">
        <f>"389.0."&amp;AZ$9-2010&amp;"."</f>
        <v>389.0.34.</v>
      </c>
      <c r="BA234" s="377" t="str">
        <f>"389.0."&amp;BA$9-2010&amp;"."</f>
        <v>389.0.35.</v>
      </c>
      <c r="BB234" s="377" t="str">
        <f>"389.0."&amp;BB$9-2010&amp;"."</f>
        <v>389.0.36.</v>
      </c>
      <c r="BC234" s="377" t="str">
        <f>"389.0."&amp;BC$9-2010&amp;"."</f>
        <v>389.0.17.</v>
      </c>
      <c r="BD234" s="377" t="str">
        <f>"389.0."&amp;BD$9-2010&amp;"."</f>
        <v>389.0.18.</v>
      </c>
      <c r="BE234" s="377" t="str">
        <f>"389.0."&amp;BE$9-2010&amp;"."</f>
        <v>389.0.19.</v>
      </c>
      <c r="BF234" s="377" t="str">
        <f>"389.0."&amp;BF$9-2010&amp;"."</f>
        <v>389.0.20.</v>
      </c>
      <c r="BG234" s="377" t="str">
        <f>"389.0."&amp;BG$9-2010&amp;"."</f>
        <v>389.0.21.</v>
      </c>
      <c r="BH234" s="377" t="str">
        <f>"389.0."&amp;BH$9-2010&amp;"."</f>
        <v>389.0.22.</v>
      </c>
      <c r="BI234" s="377" t="str">
        <f>"389.0."&amp;BI$9-2010&amp;"."</f>
        <v>389.0.23.</v>
      </c>
      <c r="BJ234" s="377" t="str">
        <f>"389.0."&amp;BJ$9-2010&amp;"."</f>
        <v>389.0.24.</v>
      </c>
      <c r="BK234" s="377" t="str">
        <f>"389.0."&amp;BK$9-2010&amp;"."</f>
        <v>389.0.25.</v>
      </c>
      <c r="BL234" s="377" t="str">
        <f>"389.0."&amp;BL$9-2010&amp;"."</f>
        <v>389.0.26.</v>
      </c>
      <c r="BM234" s="377" t="str">
        <f>"389.0."&amp;BM$9-2010&amp;"."</f>
        <v>389.0.27.</v>
      </c>
      <c r="BN234" s="377" t="str">
        <f>"389.0."&amp;BN$9-2010&amp;"."</f>
        <v>389.0.28.</v>
      </c>
      <c r="BO234" s="377" t="str">
        <f>"389.0."&amp;BO$9-2010&amp;"."</f>
        <v>389.0.29.</v>
      </c>
      <c r="BP234" s="377" t="str">
        <f>"389.0."&amp;BP$9-2010&amp;"."</f>
        <v>389.0.30.</v>
      </c>
      <c r="BQ234" s="377" t="str">
        <f>"389.0."&amp;BQ$9-2010&amp;"."</f>
        <v>389.0.31.</v>
      </c>
      <c r="BR234" s="377" t="str">
        <f>"389.0."&amp;BR$9-2010&amp;"."</f>
        <v>389.0.32.</v>
      </c>
      <c r="BS234" s="377" t="str">
        <f>"389.0."&amp;BS$9-2010&amp;"."</f>
        <v>389.0.33.</v>
      </c>
      <c r="BT234" s="377" t="str">
        <f>"389.0."&amp;BT$9-2010&amp;"."</f>
        <v>389.0.34.</v>
      </c>
      <c r="BU234" s="377" t="str">
        <f>"389.0."&amp;BU$9-2010&amp;"."</f>
        <v>389.0.35.</v>
      </c>
      <c r="BV234" s="377" t="str">
        <f>"389.0."&amp;BV$9-2010&amp;"."</f>
        <v>389.0.36.</v>
      </c>
    </row>
    <row customHeight="1" ht="11.25" hidden="1">
      <c r="A235" s="371" t="s">
        <v>406</v>
      </c>
      <c r="AE235" s="377" cm="1" t="str">
        <f t="array" ref="AE235:AE235">IF($A235="uni_org_reg_NAME",INDEX(org_reg_values,MATCH(AE$10,org_reg_codes,0),1),IF($A235="uni_pf_NAME",INDEX(pf_codes_values,MATCH(AE$10,pf_codes,0),1),""))</f>
        <v>328.0.2.</v>
      </c>
      <c r="AF235" s="377" cm="1" t="str">
        <f t="array" ref="AF235:AF235">IF($A235="uni_org_reg_NAME",INDEX(org_reg_values,MATCH(AF$10,org_reg_codes,0),1),IF($A235="uni_pf_NAME",INDEX(pf_codes_values,MATCH(AF$10,pf_codes,0),1),""))</f>
        <v>328.0.1.</v>
      </c>
      <c r="AG235" s="377" cm="1" t="str">
        <f t="array" ref="AG235:AG235">IF($A235="uni_org_reg_NAME",INDEX(org_reg_values,MATCH(AG$10,org_reg_codes,0),1),IF($A235="uni_pf_NAME",INDEX(pf_codes_values,MATCH(AG$10,pf_codes,0),1),""))</f>
        <v>328.0.2.</v>
      </c>
      <c r="AH235" s="377" cm="1" t="str">
        <f t="array" ref="AH235:AH235">IF($A235="uni_org_reg_NAME",INDEX(org_reg_values,MATCH(AH$10,org_reg_codes,0),1),IF($A235="uni_pf_NAME",INDEX(pf_codes_values,MATCH(AH$10,pf_codes,0),1),""))</f>
        <v>328.0.2.</v>
      </c>
      <c r="AI235" s="377" cm="1" t="str">
        <f t="array" ref="AI235:AI235">IF($A235="uni_org_reg_NAME",INDEX(org_reg_values,MATCH(AI$10,org_reg_codes,0),1),IF($A235="uni_pf_NAME",INDEX(pf_codes_values,MATCH(AI$10,pf_codes,0),1),""))</f>
        <v>328.0.1.</v>
      </c>
      <c r="AJ235" s="377" cm="1" t="str">
        <f t="array" ref="AJ235:AJ235">IF($A235="uni_org_reg_NAME",INDEX(org_reg_values,MATCH(AJ$10,org_reg_codes,0),1),IF($A235="uni_pf_NAME",INDEX(pf_codes_values,MATCH(AJ$10,pf_codes,0),1),""))</f>
        <v>328.0.1.</v>
      </c>
      <c r="AK235" s="377" cm="1" t="str">
        <f t="array" ref="AK235:AK235">IF($A235="uni_org_reg_NAME",INDEX(org_reg_values,MATCH(AK$10,org_reg_codes,0),1),IF($A235="uni_pf_NAME",INDEX(pf_codes_values,MATCH(AK$10,pf_codes,0),1),""))</f>
        <v>328.0.1.</v>
      </c>
      <c r="AL235" s="377" cm="1" t="str">
        <f t="array" ref="AL235:AL235">IF($A235="uni_org_reg_NAME",INDEX(org_reg_values,MATCH(AL$10,org_reg_codes,0),1),IF($A235="uni_pf_NAME",INDEX(pf_codes_values,MATCH(AL$10,pf_codes,0),1),""))</f>
        <v>328.0.1.</v>
      </c>
      <c r="AM235" s="377" cm="1" t="str">
        <f t="array" ref="AM235:AM235">IF($A235="uni_org_reg_NAME",INDEX(org_reg_values,MATCH(AM$10,org_reg_codes,0),1),IF($A235="uni_pf_NAME",INDEX(pf_codes_values,MATCH(AM$10,pf_codes,0),1),""))</f>
        <v>328.0.1.</v>
      </c>
      <c r="AN235" s="377" cm="1" t="str">
        <f t="array" ref="AN235:AN235">IF($A235="uni_org_reg_NAME",INDEX(org_reg_values,MATCH(AN$10,org_reg_codes,0),1),IF($A235="uni_pf_NAME",INDEX(pf_codes_values,MATCH(AN$10,pf_codes,0),1),""))</f>
        <v>328.0.1.</v>
      </c>
      <c r="AO235" s="377" cm="1" t="str">
        <f t="array" ref="AO235:AO235">IF($A235="uni_org_reg_NAME",INDEX(org_reg_values,MATCH(AO$10,org_reg_codes,0),1),IF($A235="uni_pf_NAME",INDEX(pf_codes_values,MATCH(AO$10,pf_codes,0),1),""))</f>
        <v>328.0.1.</v>
      </c>
      <c r="AP235" s="377" cm="1" t="str">
        <f t="array" ref="AP235:AP235">IF($A235="uni_org_reg_NAME",INDEX(org_reg_values,MATCH(AP$10,org_reg_codes,0),1),IF($A235="uni_pf_NAME",INDEX(pf_codes_values,MATCH(AP$10,pf_codes,0),1),""))</f>
        <v>328.0.1.</v>
      </c>
      <c r="AQ235" s="377" cm="1" t="str">
        <f t="array" ref="AQ235:AQ235">IF($A235="uni_org_reg_NAME",INDEX(org_reg_values,MATCH(AQ$10,org_reg_codes,0),1),IF($A235="uni_pf_NAME",INDEX(pf_codes_values,MATCH(AQ$10,pf_codes,0),1),""))</f>
        <v>328.0.1.</v>
      </c>
      <c r="AR235" s="377" cm="1" t="str">
        <f t="array" ref="AR235:AR235">IF($A235="uni_org_reg_NAME",INDEX(org_reg_values,MATCH(AR$10,org_reg_codes,0),1),IF($A235="uni_pf_NAME",INDEX(pf_codes_values,MATCH(AR$10,pf_codes,0),1),""))</f>
        <v>328.0.1.</v>
      </c>
      <c r="AS235" s="377" cm="1" t="str">
        <f t="array" ref="AS235:AS235">IF($A235="uni_org_reg_NAME",INDEX(org_reg_values,MATCH(AS$10,org_reg_codes,0),1),IF($A235="uni_pf_NAME",INDEX(pf_codes_values,MATCH(AS$10,pf_codes,0),1),""))</f>
        <v>328.0.1.</v>
      </c>
      <c r="AT235" s="377" cm="1" t="str">
        <f t="array" ref="AT235:AT235">IF($A235="uni_org_reg_NAME",INDEX(org_reg_values,MATCH(AT$10,org_reg_codes,0),1),IF($A235="uni_pf_NAME",INDEX(pf_codes_values,MATCH(AT$10,pf_codes,0),1),""))</f>
        <v>328.0.1.</v>
      </c>
      <c r="AU235" s="377" cm="1" t="str">
        <f t="array" ref="AU235:AU235">IF($A235="uni_org_reg_NAME",INDEX(org_reg_values,MATCH(AU$10,org_reg_codes,0),1),IF($A235="uni_pf_NAME",INDEX(pf_codes_values,MATCH(AU$10,pf_codes,0),1),""))</f>
        <v>328.0.1.</v>
      </c>
      <c r="AV235" s="377" cm="1" t="str">
        <f t="array" ref="AV235:AV235">IF($A235="uni_org_reg_NAME",INDEX(org_reg_values,MATCH(AV$10,org_reg_codes,0),1),IF($A235="uni_pf_NAME",INDEX(pf_codes_values,MATCH(AV$10,pf_codes,0),1),""))</f>
        <v>328.0.1.</v>
      </c>
      <c r="AW235" s="377" cm="1" t="str">
        <f t="array" ref="AW235:AW235">IF($A235="uni_org_reg_NAME",INDEX(org_reg_values,MATCH(AW$10,org_reg_codes,0),1),IF($A235="uni_pf_NAME",INDEX(pf_codes_values,MATCH(AW$10,pf_codes,0),1),""))</f>
        <v>328.0.1.</v>
      </c>
      <c r="AX235" s="377" cm="1" t="str">
        <f t="array" ref="AX235:AX235">IF($A235="uni_org_reg_NAME",INDEX(org_reg_values,MATCH(AX$10,org_reg_codes,0),1),IF($A235="uni_pf_NAME",INDEX(pf_codes_values,MATCH(AX$10,pf_codes,0),1),""))</f>
        <v>328.0.1.</v>
      </c>
      <c r="AY235" s="377" cm="1" t="str">
        <f t="array" ref="AY235:AY235">IF($A235="uni_org_reg_NAME",INDEX(org_reg_values,MATCH(AY$10,org_reg_codes,0),1),IF($A235="uni_pf_NAME",INDEX(pf_codes_values,MATCH(AY$10,pf_codes,0),1),""))</f>
        <v>328.0.1.</v>
      </c>
      <c r="AZ235" s="377" cm="1" t="str">
        <f t="array" ref="AZ235:AZ235">IF($A235="uni_org_reg_NAME",INDEX(org_reg_values,MATCH(AZ$10,org_reg_codes,0),1),IF($A235="uni_pf_NAME",INDEX(pf_codes_values,MATCH(AZ$10,pf_codes,0),1),""))</f>
        <v>328.0.1.</v>
      </c>
      <c r="BA235" s="377" cm="1" t="str">
        <f t="array" ref="BA235:BA235">IF($A235="uni_org_reg_NAME",INDEX(org_reg_values,MATCH(BA$10,org_reg_codes,0),1),IF($A235="uni_pf_NAME",INDEX(pf_codes_values,MATCH(BA$10,pf_codes,0),1),""))</f>
        <v>328.0.1.</v>
      </c>
      <c r="BB235" s="377" cm="1" t="str">
        <f t="array" ref="BB235:BB235">IF($A235="uni_org_reg_NAME",INDEX(org_reg_values,MATCH(BB$10,org_reg_codes,0),1),IF($A235="uni_pf_NAME",INDEX(pf_codes_values,MATCH(BB$10,pf_codes,0),1),""))</f>
        <v>328.0.1.</v>
      </c>
      <c r="BC235" s="377" cm="1" t="str">
        <f t="array" ref="BC235:BC235">IF($A235="uni_org_reg_NAME",INDEX(org_reg_values,MATCH(BC$10,org_reg_codes,0),1),IF($A235="uni_pf_NAME",INDEX(pf_codes_values,MATCH(BC$10,pf_codes,0),1),""))</f>
        <v>328.0.2.</v>
      </c>
      <c r="BD235" s="377" cm="1" t="str">
        <f t="array" ref="BD235:BD235">IF($A235="uni_org_reg_NAME",INDEX(org_reg_values,MATCH(BD$10,org_reg_codes,0),1),IF($A235="uni_pf_NAME",INDEX(pf_codes_values,MATCH(BD$10,pf_codes,0),1),""))</f>
        <v>328.0.2.</v>
      </c>
      <c r="BE235" s="377" cm="1" t="str">
        <f t="array" ref="BE235:BE235">IF($A235="uni_org_reg_NAME",INDEX(org_reg_values,MATCH(BE$10,org_reg_codes,0),1),IF($A235="uni_pf_NAME",INDEX(pf_codes_values,MATCH(BE$10,pf_codes,0),1),""))</f>
        <v>328.0.2.</v>
      </c>
      <c r="BF235" s="377" cm="1" t="str">
        <f t="array" ref="BF235:BF235">IF($A235="uni_org_reg_NAME",INDEX(org_reg_values,MATCH(BF$10,org_reg_codes,0),1),IF($A235="uni_pf_NAME",INDEX(pf_codes_values,MATCH(BF$10,pf_codes,0),1),""))</f>
        <v>328.0.2.</v>
      </c>
      <c r="BG235" s="377" cm="1" t="str">
        <f t="array" ref="BG235:BG235">IF($A235="uni_org_reg_NAME",INDEX(org_reg_values,MATCH(BG$10,org_reg_codes,0),1),IF($A235="uni_pf_NAME",INDEX(pf_codes_values,MATCH(BG$10,pf_codes,0),1),""))</f>
        <v>328.0.2.</v>
      </c>
      <c r="BH235" s="377" cm="1" t="str">
        <f t="array" ref="BH235:BH235">IF($A235="uni_org_reg_NAME",INDEX(org_reg_values,MATCH(BH$10,org_reg_codes,0),1),IF($A235="uni_pf_NAME",INDEX(pf_codes_values,MATCH(BH$10,pf_codes,0),1),""))</f>
        <v>328.0.2.</v>
      </c>
      <c r="BI235" s="377" cm="1" t="str">
        <f t="array" ref="BI235:BI235">IF($A235="uni_org_reg_NAME",INDEX(org_reg_values,MATCH(BI$10,org_reg_codes,0),1),IF($A235="uni_pf_NAME",INDEX(pf_codes_values,MATCH(BI$10,pf_codes,0),1),""))</f>
        <v>328.0.2.</v>
      </c>
      <c r="BJ235" s="377" cm="1" t="str">
        <f t="array" ref="BJ235:BJ235">IF($A235="uni_org_reg_NAME",INDEX(org_reg_values,MATCH(BJ$10,org_reg_codes,0),1),IF($A235="uni_pf_NAME",INDEX(pf_codes_values,MATCH(BJ$10,pf_codes,0),1),""))</f>
        <v>328.0.2.</v>
      </c>
      <c r="BK235" s="377" cm="1" t="str">
        <f t="array" ref="BK235:BK235">IF($A235="uni_org_reg_NAME",INDEX(org_reg_values,MATCH(BK$10,org_reg_codes,0),1),IF($A235="uni_pf_NAME",INDEX(pf_codes_values,MATCH(BK$10,pf_codes,0),1),""))</f>
        <v>328.0.2.</v>
      </c>
      <c r="BL235" s="377" cm="1" t="str">
        <f t="array" ref="BL235:BL235">IF($A235="uni_org_reg_NAME",INDEX(org_reg_values,MATCH(BL$10,org_reg_codes,0),1),IF($A235="uni_pf_NAME",INDEX(pf_codes_values,MATCH(BL$10,pf_codes,0),1),""))</f>
        <v>328.0.2.</v>
      </c>
      <c r="BM235" s="377" cm="1" t="str">
        <f t="array" ref="BM235:BM235">IF($A235="uni_org_reg_NAME",INDEX(org_reg_values,MATCH(BM$10,org_reg_codes,0),1),IF($A235="uni_pf_NAME",INDEX(pf_codes_values,MATCH(BM$10,pf_codes,0),1),""))</f>
        <v>328.0.2.</v>
      </c>
      <c r="BN235" s="377" cm="1" t="str">
        <f t="array" ref="BN235:BN235">IF($A235="uni_org_reg_NAME",INDEX(org_reg_values,MATCH(BN$10,org_reg_codes,0),1),IF($A235="uni_pf_NAME",INDEX(pf_codes_values,MATCH(BN$10,pf_codes,0),1),""))</f>
        <v>328.0.2.</v>
      </c>
      <c r="BO235" s="377" cm="1" t="str">
        <f t="array" ref="BO235:BO235">IF($A235="uni_org_reg_NAME",INDEX(org_reg_values,MATCH(BO$10,org_reg_codes,0),1),IF($A235="uni_pf_NAME",INDEX(pf_codes_values,MATCH(BO$10,pf_codes,0),1),""))</f>
        <v>328.0.2.</v>
      </c>
      <c r="BP235" s="377" cm="1" t="str">
        <f t="array" ref="BP235:BP235">IF($A235="uni_org_reg_NAME",INDEX(org_reg_values,MATCH(BP$10,org_reg_codes,0),1),IF($A235="uni_pf_NAME",INDEX(pf_codes_values,MATCH(BP$10,pf_codes,0),1),""))</f>
        <v>328.0.2.</v>
      </c>
      <c r="BQ235" s="377" cm="1" t="str">
        <f t="array" ref="BQ235:BQ235">IF($A235="uni_org_reg_NAME",INDEX(org_reg_values,MATCH(BQ$10,org_reg_codes,0),1),IF($A235="uni_pf_NAME",INDEX(pf_codes_values,MATCH(BQ$10,pf_codes,0),1),""))</f>
        <v>328.0.2.</v>
      </c>
      <c r="BR235" s="377" cm="1" t="str">
        <f t="array" ref="BR235:BR235">IF($A235="uni_org_reg_NAME",INDEX(org_reg_values,MATCH(BR$10,org_reg_codes,0),1),IF($A235="uni_pf_NAME",INDEX(pf_codes_values,MATCH(BR$10,pf_codes,0),1),""))</f>
        <v>328.0.2.</v>
      </c>
      <c r="BS235" s="377" cm="1" t="str">
        <f t="array" ref="BS235:BS235">IF($A235="uni_org_reg_NAME",INDEX(org_reg_values,MATCH(BS$10,org_reg_codes,0),1),IF($A235="uni_pf_NAME",INDEX(pf_codes_values,MATCH(BS$10,pf_codes,0),1),""))</f>
        <v>328.0.2.</v>
      </c>
      <c r="BT235" s="377" cm="1" t="str">
        <f t="array" ref="BT235:BT235">IF($A235="uni_org_reg_NAME",INDEX(org_reg_values,MATCH(BT$10,org_reg_codes,0),1),IF($A235="uni_pf_NAME",INDEX(pf_codes_values,MATCH(BT$10,pf_codes,0),1),""))</f>
        <v>328.0.2.</v>
      </c>
      <c r="BU235" s="377" cm="1" t="str">
        <f t="array" ref="BU235:BU235">IF($A235="uni_org_reg_NAME",INDEX(org_reg_values,MATCH(BU$10,org_reg_codes,0),1),IF($A235="uni_pf_NAME",INDEX(pf_codes_values,MATCH(BU$10,pf_codes,0),1),""))</f>
        <v>328.0.2.</v>
      </c>
      <c r="BV235" s="377" cm="1" t="str">
        <f t="array" ref="BV235:BV235">IF($A235="uni_org_reg_NAME",INDEX(org_reg_values,MATCH(BV$10,org_reg_codes,0),1),IF($A235="uni_pf_NAME",INDEX(pf_codes_values,MATCH(BV$10,pf_codes,0),1),""))</f>
        <v>328.0.2.</v>
      </c>
    </row>
    <row customHeight="1" ht="11.25" hidden="1">
      <c r="A236" s="371" t="s">
        <v>409</v>
      </c>
      <c r="AE236" s="377" cm="1" t="str">
        <f t="array" ref="AE236:AE236">IF($A236="uni_org_reg_NAME",INDEX(org_reg_values,MATCH(AE$10,org_reg_codes,0),1),IF($A236="uni_pf_NAME",INDEX(pf_codes_values,MATCH(AE$10,pf_codes,0),1),""))</f>
        <v>36.0.7.</v>
      </c>
      <c r="AF236" s="377" cm="1" t="str">
        <f t="array" ref="AF236:AF236">IF($A236="uni_org_reg_NAME",INDEX(org_reg_values,MATCH(AF$10,org_reg_codes,0),1),IF($A236="uni_pf_NAME",INDEX(pf_codes_values,MATCH(AF$10,pf_codes,0),1),""))</f>
        <v>36.0.1.</v>
      </c>
      <c r="AG236" s="377" cm="1" t="str">
        <f t="array" ref="AG236:AG236">IF($A236="uni_org_reg_NAME",INDEX(org_reg_values,MATCH(AG$10,org_reg_codes,0),1),IF($A236="uni_pf_NAME",INDEX(pf_codes_values,MATCH(AG$10,pf_codes,0),1),""))</f>
        <v>36.0.1.</v>
      </c>
      <c r="AH236" s="377" cm="1" t="str">
        <f t="array" ref="AH236:AH236">IF($A236="uni_org_reg_NAME",INDEX(org_reg_values,MATCH(AH$10,org_reg_codes,0),1),IF($A236="uni_pf_NAME",INDEX(pf_codes_values,MATCH(AH$10,pf_codes,0),1),""))</f>
        <v>36.0.7.</v>
      </c>
      <c r="AI236" s="377" cm="1" t="str">
        <f t="array" ref="AI236:AI236">IF($A236="uni_org_reg_NAME",INDEX(org_reg_values,MATCH(AI$10,org_reg_codes,0),1),IF($A236="uni_pf_NAME",INDEX(pf_codes_values,MATCH(AI$10,pf_codes,0),1),""))</f>
        <v>36.0.3.</v>
      </c>
      <c r="AJ236" s="377" cm="1" t="str">
        <f t="array" ref="AJ236:AJ236">IF($A236="uni_org_reg_NAME",INDEX(org_reg_values,MATCH(AJ$10,org_reg_codes,0),1),IF($A236="uni_pf_NAME",INDEX(pf_codes_values,MATCH(AJ$10,pf_codes,0),1),""))</f>
        <v>36.0.3.</v>
      </c>
      <c r="AK236" s="377" cm="1" t="str">
        <f t="array" ref="AK236:AK236">IF($A236="uni_org_reg_NAME",INDEX(org_reg_values,MATCH(AK$10,org_reg_codes,0),1),IF($A236="uni_pf_NAME",INDEX(pf_codes_values,MATCH(AK$10,pf_codes,0),1),""))</f>
        <v>36.0.3.</v>
      </c>
      <c r="AL236" s="377" cm="1" t="str">
        <f t="array" ref="AL236:AL236">IF($A236="uni_org_reg_NAME",INDEX(org_reg_values,MATCH(AL$10,org_reg_codes,0),1),IF($A236="uni_pf_NAME",INDEX(pf_codes_values,MATCH(AL$10,pf_codes,0),1),""))</f>
        <v>36.0.3.</v>
      </c>
      <c r="AM236" s="377" cm="1" t="str">
        <f t="array" ref="AM236:AM236">IF($A236="uni_org_reg_NAME",INDEX(org_reg_values,MATCH(AM$10,org_reg_codes,0),1),IF($A236="uni_pf_NAME",INDEX(pf_codes_values,MATCH(AM$10,pf_codes,0),1),""))</f>
        <v>36.0.3.</v>
      </c>
      <c r="AN236" s="377" cm="1" t="str">
        <f t="array" ref="AN236:AN236">IF($A236="uni_org_reg_NAME",INDEX(org_reg_values,MATCH(AN$10,org_reg_codes,0),1),IF($A236="uni_pf_NAME",INDEX(pf_codes_values,MATCH(AN$10,pf_codes,0),1),""))</f>
        <v>36.0.3.</v>
      </c>
      <c r="AO236" s="377" cm="1" t="str">
        <f t="array" ref="AO236:AO236">IF($A236="uni_org_reg_NAME",INDEX(org_reg_values,MATCH(AO$10,org_reg_codes,0),1),IF($A236="uni_pf_NAME",INDEX(pf_codes_values,MATCH(AO$10,pf_codes,0),1),""))</f>
        <v>36.0.3.</v>
      </c>
      <c r="AP236" s="377" cm="1" t="str">
        <f t="array" ref="AP236:AP236">IF($A236="uni_org_reg_NAME",INDEX(org_reg_values,MATCH(AP$10,org_reg_codes,0),1),IF($A236="uni_pf_NAME",INDEX(pf_codes_values,MATCH(AP$10,pf_codes,0),1),""))</f>
        <v>36.0.3.</v>
      </c>
      <c r="AQ236" s="377" cm="1" t="str">
        <f t="array" ref="AQ236:AQ236">IF($A236="uni_org_reg_NAME",INDEX(org_reg_values,MATCH(AQ$10,org_reg_codes,0),1),IF($A236="uni_pf_NAME",INDEX(pf_codes_values,MATCH(AQ$10,pf_codes,0),1),""))</f>
        <v>36.0.3.</v>
      </c>
      <c r="AR236" s="377" cm="1" t="str">
        <f t="array" ref="AR236:AR236">IF($A236="uni_org_reg_NAME",INDEX(org_reg_values,MATCH(AR$10,org_reg_codes,0),1),IF($A236="uni_pf_NAME",INDEX(pf_codes_values,MATCH(AR$10,pf_codes,0),1),""))</f>
        <v>36.0.3.</v>
      </c>
      <c r="AS236" s="377" cm="1" t="str">
        <f t="array" ref="AS236:AS236">IF($A236="uni_org_reg_NAME",INDEX(org_reg_values,MATCH(AS$10,org_reg_codes,0),1),IF($A236="uni_pf_NAME",INDEX(pf_codes_values,MATCH(AS$10,pf_codes,0),1),""))</f>
        <v>36.0.3.</v>
      </c>
      <c r="AT236" s="377" cm="1" t="str">
        <f t="array" ref="AT236:AT236">IF($A236="uni_org_reg_NAME",INDEX(org_reg_values,MATCH(AT$10,org_reg_codes,0),1),IF($A236="uni_pf_NAME",INDEX(pf_codes_values,MATCH(AT$10,pf_codes,0),1),""))</f>
        <v>36.0.3.</v>
      </c>
      <c r="AU236" s="377" cm="1" t="str">
        <f t="array" ref="AU236:AU236">IF($A236="uni_org_reg_NAME",INDEX(org_reg_values,MATCH(AU$10,org_reg_codes,0),1),IF($A236="uni_pf_NAME",INDEX(pf_codes_values,MATCH(AU$10,pf_codes,0),1),""))</f>
        <v>36.0.3.</v>
      </c>
      <c r="AV236" s="377" cm="1" t="str">
        <f t="array" ref="AV236:AV236">IF($A236="uni_org_reg_NAME",INDEX(org_reg_values,MATCH(AV$10,org_reg_codes,0),1),IF($A236="uni_pf_NAME",INDEX(pf_codes_values,MATCH(AV$10,pf_codes,0),1),""))</f>
        <v>36.0.3.</v>
      </c>
      <c r="AW236" s="377" cm="1" t="str">
        <f t="array" ref="AW236:AW236">IF($A236="uni_org_reg_NAME",INDEX(org_reg_values,MATCH(AW$10,org_reg_codes,0),1),IF($A236="uni_pf_NAME",INDEX(pf_codes_values,MATCH(AW$10,pf_codes,0),1),""))</f>
        <v>36.0.3.</v>
      </c>
      <c r="AX236" s="377" cm="1" t="str">
        <f t="array" ref="AX236:AX236">IF($A236="uni_org_reg_NAME",INDEX(org_reg_values,MATCH(AX$10,org_reg_codes,0),1),IF($A236="uni_pf_NAME",INDEX(pf_codes_values,MATCH(AX$10,pf_codes,0),1),""))</f>
        <v>36.0.3.</v>
      </c>
      <c r="AY236" s="377" cm="1" t="str">
        <f t="array" ref="AY236:AY236">IF($A236="uni_org_reg_NAME",INDEX(org_reg_values,MATCH(AY$10,org_reg_codes,0),1),IF($A236="uni_pf_NAME",INDEX(pf_codes_values,MATCH(AY$10,pf_codes,0),1),""))</f>
        <v>36.0.3.</v>
      </c>
      <c r="AZ236" s="377" cm="1" t="str">
        <f t="array" ref="AZ236:AZ236">IF($A236="uni_org_reg_NAME",INDEX(org_reg_values,MATCH(AZ$10,org_reg_codes,0),1),IF($A236="uni_pf_NAME",INDEX(pf_codes_values,MATCH(AZ$10,pf_codes,0),1),""))</f>
        <v>36.0.3.</v>
      </c>
      <c r="BA236" s="377" cm="1" t="str">
        <f t="array" ref="BA236:BA236">IF($A236="uni_org_reg_NAME",INDEX(org_reg_values,MATCH(BA$10,org_reg_codes,0),1),IF($A236="uni_pf_NAME",INDEX(pf_codes_values,MATCH(BA$10,pf_codes,0),1),""))</f>
        <v>36.0.3.</v>
      </c>
      <c r="BB236" s="377" cm="1" t="str">
        <f t="array" ref="BB236:BB236">IF($A236="uni_org_reg_NAME",INDEX(org_reg_values,MATCH(BB$10,org_reg_codes,0),1),IF($A236="uni_pf_NAME",INDEX(pf_codes_values,MATCH(BB$10,pf_codes,0),1),""))</f>
        <v>36.0.3.</v>
      </c>
      <c r="BC236" s="377" cm="1" t="str">
        <f t="array" ref="BC236:BC236">IF($A236="uni_org_reg_NAME",INDEX(org_reg_values,MATCH(BC$10,org_reg_codes,0),1),IF($A236="uni_pf_NAME",INDEX(pf_codes_values,MATCH(BC$10,pf_codes,0),1),""))</f>
        <v>36.0.7.</v>
      </c>
      <c r="BD236" s="377" cm="1" t="str">
        <f t="array" ref="BD236:BD236">IF($A236="uni_org_reg_NAME",INDEX(org_reg_values,MATCH(BD$10,org_reg_codes,0),1),IF($A236="uni_pf_NAME",INDEX(pf_codes_values,MATCH(BD$10,pf_codes,0),1),""))</f>
        <v>36.0.7.</v>
      </c>
      <c r="BE236" s="377" cm="1" t="str">
        <f t="array" ref="BE236:BE236">IF($A236="uni_org_reg_NAME",INDEX(org_reg_values,MATCH(BE$10,org_reg_codes,0),1),IF($A236="uni_pf_NAME",INDEX(pf_codes_values,MATCH(BE$10,pf_codes,0),1),""))</f>
        <v>36.0.7.</v>
      </c>
      <c r="BF236" s="377" cm="1" t="str">
        <f t="array" ref="BF236:BF236">IF($A236="uni_org_reg_NAME",INDEX(org_reg_values,MATCH(BF$10,org_reg_codes,0),1),IF($A236="uni_pf_NAME",INDEX(pf_codes_values,MATCH(BF$10,pf_codes,0),1),""))</f>
        <v>36.0.7.</v>
      </c>
      <c r="BG236" s="377" cm="1" t="str">
        <f t="array" ref="BG236:BG236">IF($A236="uni_org_reg_NAME",INDEX(org_reg_values,MATCH(BG$10,org_reg_codes,0),1),IF($A236="uni_pf_NAME",INDEX(pf_codes_values,MATCH(BG$10,pf_codes,0),1),""))</f>
        <v>36.0.7.</v>
      </c>
      <c r="BH236" s="377" cm="1" t="str">
        <f t="array" ref="BH236:BH236">IF($A236="uni_org_reg_NAME",INDEX(org_reg_values,MATCH(BH$10,org_reg_codes,0),1),IF($A236="uni_pf_NAME",INDEX(pf_codes_values,MATCH(BH$10,pf_codes,0),1),""))</f>
        <v>36.0.7.</v>
      </c>
      <c r="BI236" s="377" cm="1" t="str">
        <f t="array" ref="BI236:BI236">IF($A236="uni_org_reg_NAME",INDEX(org_reg_values,MATCH(BI$10,org_reg_codes,0),1),IF($A236="uni_pf_NAME",INDEX(pf_codes_values,MATCH(BI$10,pf_codes,0),1),""))</f>
        <v>36.0.7.</v>
      </c>
      <c r="BJ236" s="377" cm="1" t="str">
        <f t="array" ref="BJ236:BJ236">IF($A236="uni_org_reg_NAME",INDEX(org_reg_values,MATCH(BJ$10,org_reg_codes,0),1),IF($A236="uni_pf_NAME",INDEX(pf_codes_values,MATCH(BJ$10,pf_codes,0),1),""))</f>
        <v>36.0.7.</v>
      </c>
      <c r="BK236" s="377" cm="1" t="str">
        <f t="array" ref="BK236:BK236">IF($A236="uni_org_reg_NAME",INDEX(org_reg_values,MATCH(BK$10,org_reg_codes,0),1),IF($A236="uni_pf_NAME",INDEX(pf_codes_values,MATCH(BK$10,pf_codes,0),1),""))</f>
        <v>36.0.7.</v>
      </c>
      <c r="BL236" s="377" cm="1" t="str">
        <f t="array" ref="BL236:BL236">IF($A236="uni_org_reg_NAME",INDEX(org_reg_values,MATCH(BL$10,org_reg_codes,0),1),IF($A236="uni_pf_NAME",INDEX(pf_codes_values,MATCH(BL$10,pf_codes,0),1),""))</f>
        <v>36.0.7.</v>
      </c>
      <c r="BM236" s="377" cm="1" t="str">
        <f t="array" ref="BM236:BM236">IF($A236="uni_org_reg_NAME",INDEX(org_reg_values,MATCH(BM$10,org_reg_codes,0),1),IF($A236="uni_pf_NAME",INDEX(pf_codes_values,MATCH(BM$10,pf_codes,0),1),""))</f>
        <v>36.0.7.</v>
      </c>
      <c r="BN236" s="377" cm="1" t="str">
        <f t="array" ref="BN236:BN236">IF($A236="uni_org_reg_NAME",INDEX(org_reg_values,MATCH(BN$10,org_reg_codes,0),1),IF($A236="uni_pf_NAME",INDEX(pf_codes_values,MATCH(BN$10,pf_codes,0),1),""))</f>
        <v>36.0.7.</v>
      </c>
      <c r="BO236" s="377" cm="1" t="str">
        <f t="array" ref="BO236:BO236">IF($A236="uni_org_reg_NAME",INDEX(org_reg_values,MATCH(BO$10,org_reg_codes,0),1),IF($A236="uni_pf_NAME",INDEX(pf_codes_values,MATCH(BO$10,pf_codes,0),1),""))</f>
        <v>36.0.7.</v>
      </c>
      <c r="BP236" s="377" cm="1" t="str">
        <f t="array" ref="BP236:BP236">IF($A236="uni_org_reg_NAME",INDEX(org_reg_values,MATCH(BP$10,org_reg_codes,0),1),IF($A236="uni_pf_NAME",INDEX(pf_codes_values,MATCH(BP$10,pf_codes,0),1),""))</f>
        <v>36.0.7.</v>
      </c>
      <c r="BQ236" s="377" cm="1" t="str">
        <f t="array" ref="BQ236:BQ236">IF($A236="uni_org_reg_NAME",INDEX(org_reg_values,MATCH(BQ$10,org_reg_codes,0),1),IF($A236="uni_pf_NAME",INDEX(pf_codes_values,MATCH(BQ$10,pf_codes,0),1),""))</f>
        <v>36.0.7.</v>
      </c>
      <c r="BR236" s="377" cm="1" t="str">
        <f t="array" ref="BR236:BR236">IF($A236="uni_org_reg_NAME",INDEX(org_reg_values,MATCH(BR$10,org_reg_codes,0),1),IF($A236="uni_pf_NAME",INDEX(pf_codes_values,MATCH(BR$10,pf_codes,0),1),""))</f>
        <v>36.0.7.</v>
      </c>
      <c r="BS236" s="377" cm="1" t="str">
        <f t="array" ref="BS236:BS236">IF($A236="uni_org_reg_NAME",INDEX(org_reg_values,MATCH(BS$10,org_reg_codes,0),1),IF($A236="uni_pf_NAME",INDEX(pf_codes_values,MATCH(BS$10,pf_codes,0),1),""))</f>
        <v>36.0.7.</v>
      </c>
      <c r="BT236" s="377" cm="1" t="str">
        <f t="array" ref="BT236:BT236">IF($A236="uni_org_reg_NAME",INDEX(org_reg_values,MATCH(BT$10,org_reg_codes,0),1),IF($A236="uni_pf_NAME",INDEX(pf_codes_values,MATCH(BT$10,pf_codes,0),1),""))</f>
        <v>36.0.7.</v>
      </c>
      <c r="BU236" s="377" cm="1" t="str">
        <f t="array" ref="BU236:BU236">IF($A236="uni_org_reg_NAME",INDEX(org_reg_values,MATCH(BU$10,org_reg_codes,0),1),IF($A236="uni_pf_NAME",INDEX(pf_codes_values,MATCH(BU$10,pf_codes,0),1),""))</f>
        <v>36.0.7.</v>
      </c>
      <c r="BV236" s="377" cm="1" t="str">
        <f t="array" ref="BV236:BV236">IF($A236="uni_org_reg_NAME",INDEX(org_reg_values,MATCH(BV$10,org_reg_codes,0),1),IF($A236="uni_pf_NAME",INDEX(pf_codes_values,MATCH(BV$10,pf_codes,0),1),""))</f>
        <v>36.0.7.</v>
      </c>
    </row>
    <row customHeight="1" ht="11.25" hidden="1">
      <c r="A237" s="371" t="s">
        <v>351</v>
      </c>
      <c r="AI237" s="377"/>
      <c r="AJ237" s="377"/>
      <c r="AK237" s="377"/>
      <c r="AL237" s="377"/>
      <c r="AM237" s="377"/>
      <c r="AN237" s="377"/>
      <c r="AO237" s="377"/>
      <c r="AP237" s="377"/>
      <c r="AQ237" s="377"/>
      <c r="AR237" s="377"/>
      <c r="AS237" s="377"/>
      <c r="AT237" s="377"/>
      <c r="AU237" s="377"/>
      <c r="AV237" s="377"/>
      <c r="AW237" s="377"/>
      <c r="AX237" s="377"/>
      <c r="AY237" s="377"/>
      <c r="AZ237" s="377"/>
      <c r="BA237" s="377"/>
      <c r="BB237" s="377"/>
      <c r="BC237" s="377"/>
      <c r="BD237" s="377"/>
      <c r="BE237" s="377"/>
      <c r="BF237" s="377"/>
      <c r="BG237" s="377"/>
      <c r="BH237" s="377"/>
      <c r="BI237" s="377"/>
      <c r="BJ237" s="377"/>
      <c r="BK237" s="377"/>
      <c r="BL237" s="377"/>
      <c r="BM237" s="377"/>
      <c r="BN237" s="377"/>
      <c r="BO237" s="377"/>
      <c r="BP237" s="377"/>
      <c r="BQ237" s="377"/>
      <c r="BR237" s="377"/>
      <c r="BS237" s="377"/>
      <c r="BT237" s="377"/>
      <c r="BU237" s="377"/>
      <c r="BV237" s="377"/>
      <c r="BW237" s="183" t="s">
        <v>178</v>
      </c>
    </row>
    <row customHeight="1" ht="11.25" hidden="1">
      <c r="A238" s="371" t="s">
        <v>352</v>
      </c>
      <c r="AI238" s="377"/>
      <c r="AJ238" s="377"/>
      <c r="AK238" s="377"/>
      <c r="AL238" s="377"/>
      <c r="AM238" s="377"/>
      <c r="AN238" s="377"/>
      <c r="AO238" s="377"/>
      <c r="AP238" s="377"/>
      <c r="AQ238" s="377"/>
      <c r="AR238" s="377"/>
      <c r="AS238" s="377"/>
      <c r="AT238" s="377"/>
      <c r="AU238" s="377"/>
      <c r="AV238" s="377"/>
      <c r="AW238" s="377"/>
      <c r="AX238" s="377"/>
      <c r="AY238" s="377"/>
      <c r="AZ238" s="377"/>
      <c r="BA238" s="377"/>
      <c r="BB238" s="377"/>
      <c r="BC238" s="377"/>
      <c r="BD238" s="377"/>
      <c r="BE238" s="377"/>
      <c r="BF238" s="377"/>
      <c r="BG238" s="377"/>
      <c r="BH238" s="377"/>
      <c r="BI238" s="377"/>
      <c r="BJ238" s="377"/>
      <c r="BK238" s="377"/>
      <c r="BL238" s="377"/>
      <c r="BM238" s="377"/>
      <c r="BN238" s="377"/>
      <c r="BO238" s="377"/>
      <c r="BP238" s="377"/>
      <c r="BQ238" s="377"/>
      <c r="BR238" s="377"/>
      <c r="BS238" s="377"/>
      <c r="BT238" s="377"/>
      <c r="BU238" s="377"/>
      <c r="BV238" s="377"/>
      <c r="BW238" s="183" t="s">
        <v>798</v>
      </c>
    </row>
    <row customHeight="1" ht="11.25" hidden="1">
      <c r="A239" s="371" t="s">
        <v>379</v>
      </c>
      <c r="AI239" s="377"/>
      <c r="AJ239" s="377"/>
      <c r="AK239" s="377"/>
      <c r="AL239" s="377"/>
      <c r="AM239" s="377"/>
      <c r="AN239" s="377"/>
      <c r="AO239" s="377"/>
      <c r="AP239" s="377"/>
      <c r="AQ239" s="377"/>
      <c r="AR239" s="377"/>
      <c r="AS239" s="377"/>
      <c r="AT239" s="377"/>
      <c r="AU239" s="377"/>
      <c r="AV239" s="377"/>
      <c r="AW239" s="377"/>
      <c r="AX239" s="377"/>
      <c r="AY239" s="377"/>
      <c r="AZ239" s="377"/>
      <c r="BA239" s="377"/>
      <c r="BB239" s="377"/>
      <c r="BC239" s="377"/>
      <c r="BD239" s="377"/>
      <c r="BE239" s="377"/>
      <c r="BF239" s="377"/>
      <c r="BG239" s="377"/>
      <c r="BH239" s="377"/>
      <c r="BI239" s="377"/>
      <c r="BJ239" s="377"/>
      <c r="BK239" s="377"/>
      <c r="BL239" s="377"/>
      <c r="BM239" s="377"/>
      <c r="BN239" s="377"/>
      <c r="BO239" s="377"/>
      <c r="BP239" s="377"/>
      <c r="BQ239" s="377"/>
      <c r="BR239" s="377"/>
      <c r="BS239" s="377"/>
      <c r="BT239" s="377"/>
      <c r="BU239" s="377"/>
      <c r="BV239" s="377"/>
      <c r="BW239" s="183" t="s">
        <v>799</v>
      </c>
    </row>
  </sheetData>
  <sheetProtection formatColumns="0" formatRows="0" insertRows="0" deleteColumns="0" deleteRows="0" sort="0" autoFilter="0" insertColumns="1"/>
  <mergeCells count="13">
    <mergeCell ref="Z27:Z125"/>
    <mergeCell ref="X27:X125"/>
    <mergeCell ref="AB229:BW229"/>
    <mergeCell ref="AB230:AC230"/>
    <mergeCell ref="AB228:BW228"/>
    <mergeCell ref="AB227:BW227"/>
    <mergeCell ref="AB23:BV23"/>
    <mergeCell ref="AB24:AB25"/>
    <mergeCell ref="AC24:AC25"/>
    <mergeCell ref="AD24:AD25"/>
    <mergeCell ref="BW24:BW25"/>
    <mergeCell ref="Z126:Z224"/>
    <mergeCell ref="X126:X224"/>
  </mergeCells>
  <dataValidations count="1">
    <dataValidation type="decimal" allowBlank="1" showErrorMessage="1" errorTitle="Ошибка" error="Допускается ввод только неотрицательных чисел!" sqref="AE61:BV69 AE71:BV73 AE99:BV111 AE43:BV45 AE75:BV83 AE33:BV41 AE29:BV31 AE113:BV115 AE47:BV55 AE57:BV59 BV117:BV125 BV128:BV130 BV132:BV140 BV142:BV144 BV146:BV154 BV156:BV158 BV160:BV168 BV170:BV172 BV174:BV182 BV198:BV210 BV212:BV214 BV216:BV224 BU117:BU125 BU128:BU130 BU132:BU140 BU142:BU144 BU146:BU154 BU156:BU158 BU160:BU168 BU170:BU172 BU174:BU182 BU198:BU210 BU212:BU214 BU216:BU224 BT117:BT125 BT128:BT130 BT132:BT140 BT142:BT144 BT146:BT154 BT156:BT158 BT160:BT168 BT170:BT172 BT174:BT182 BT198:BT210 BT212:BT214 BT216:BT224 BS117:BS125 BS128:BS130 BS132:BS140 BS142:BS144 BS146:BS154 BS156:BS158 BS160:BS168 BS170:BS172 BS174:BS182 BS198:BS210 BS212:BS214 BS216:BS224 BR117:BR125 BR128:BR130 BR132:BR140 BR142:BR144 BR146:BR154 BR156:BR158 BR160:BR168 BR170:BR172 BR174:BR182 BR198:BR210 BR212:BR214 BR216:BR224 BQ117:BQ125 BQ128:BQ130 BQ132:BQ140 BQ142:BQ144 BQ146:BQ154 BQ156:BQ158 BQ160:BQ168 BQ170:BQ172 BQ174:BQ182 BQ198:BQ210 BQ212:BQ214 BQ216:BQ224 BP117:BP125 BP128:BP130 BP132:BP140 BP142:BP144 BP146:BP154 BP156:BP158 BP160:BP168 BP170:BP172 BP174:BP182 BP198:BP210 BP212:BP214 BP216:BP224 BO117:BO125 BO128:BO130 BO132:BO140 BO142:BO144 BO146:BO154 BO156:BO158 BO160:BO168 BO170:BO172 BO174:BO182 BO198:BO210 BO212:BO214 BO216:BO224 BN117:BN125 BN128:BN130 BN132:BN140 BN142:BN144 BN146:BN154 BN156:BN158 BN160:BN168 BN170:BN172 BN174:BN182 BN198:BN210 BN212:BN214 BN216:BN224 BM117:BM125 BM128:BM130 BM132:BM140 BM142:BM144 BM146:BM154 BM156:BM158 BM160:BM168 BM170:BM172 BM174:BM182 BM198:BM210 BM212:BM214 BM216:BM224 BL117:BL125 BL128:BL130 BL132:BL140 BL142:BL144 BL146:BL154 BL156:BL158 BL160:BL168 BL170:BL172 BL174:BL182 BL198:BL210 BL212:BL214 BL216:BL224 BK117:BK125 BK128:BK130 BK132:BK140 BK142:BK144 BK146:BK154 BK156:BK158 BK160:BK168 BK170:BK172 BK174:BK182 BK198:BK210 BK212:BK214 BK216:BK224 BJ117:BJ125 BJ128:BJ130 BJ132:BJ140 BJ142:BJ144 BJ146:BJ154 BJ156:BJ158 BJ160:BJ168 BJ170:BJ172 BJ174:BJ182 BJ198:BJ210 BJ212:BJ214 BJ216:BJ224 BI117:BI125 BI128:BI130 BI132:BI140 BI142:BI144 BI146:BI154 BI156:BI158 BI160:BI168 BI170:BI172 BI174:BI182 BI198:BI210 BI212:BI214 BI216:BI224 BH117:BH125 BH128:BH130 BH132:BH140 BH142:BH144 BH146:BH154 BH156:BH158 BH160:BH168 BH170:BH172 BH174:BH182 BH198:BH210 BH212:BH214 BH216:BH224 BG117:BG125 BG128:BG130 BG132:BG140 BG142:BG144 BG146:BG154 BG156:BG158 BG160:BG168 BG170:BG172 BG174:BG182 BG198:BG210 BG212:BG214 BG216:BG224 BF117:BF125 BF128:BF130 BF132:BF140 BF142:BF144 BF146:BF154 BF156:BF158 BF160:BF168 BF170:BF172 BF174:BF182 BF198:BF210 BF212:BF214 BF216:BF224 BE117:BE125 BE128:BE130 BE132:BE140 BE142:BE144 BE146:BE154 BE156:BE158 BE160:BE168 BE170:BE172 BE174:BE182 BE198:BE210 BE212:BE214 BE216:BE224 BD117:BD125 BD128:BD130 BD132:BD140 BD142:BD144 BD146:BD154 BD156:BD158 BD160:BD168 BD170:BD172 BD174:BD182 BD198:BD210 BD212:BD214 BD216:BD224 BC117:BC125 BC128:BC130 BC132:BC140 BC142:BC144 BC146:BC154 BC156:BC158 BC160:BC168 BC170:BC172 BC174:BC182 BC198:BC210 BC212:BC214 BC216:BC224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DA2668-4818-E108-7CE2-71BF7CDA63D7}" mc:Ignorable="x14ac xr xr2 xr3">
  <sheetPr>
    <tabColor rgb="FF002060"/>
    <outlinePr summaryRight="0" summaryBelow="0"/>
    <pageSetUpPr fitToPage="1"/>
  </sheetPr>
  <dimension ref="A1:CG65"/>
  <sheetViews>
    <sheetView showGridLines="0" workbookViewId="0">
      <pane xSplit="30" ySplit="26" topLeftCell="AE39"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9.42187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1727" width="3.00390625" customWidth="1"/>
    <col min="28" max="28" style="1727" width="5.00390625" customWidth="1"/>
    <col min="29" max="29" style="1727" width="58.00390625" customWidth="1"/>
    <col min="30" max="30" style="1727" width="12.00390625" customWidth="1"/>
    <col min="31" max="31" style="379" width="13.00390625" customWidth="1"/>
    <col min="32" max="35" style="1727" width="13.00390625" customWidth="1"/>
    <col min="36" max="54" style="1727" width="13.00390625" hidden="1" customWidth="1"/>
    <col min="55" max="55" style="1727" width="13.00390625" customWidth="1"/>
    <col min="56" max="74" style="1727" width="13.00390625" hidden="1" customWidth="1"/>
    <col min="75" max="75" style="1727" width="20.00390625" customWidth="1"/>
    <col min="76" max="76" style="1727" width="3.00390625" customWidth="1"/>
    <col min="77" max="77" style="969" width="9.140625" hidden="1"/>
    <col min="78" max="78" style="1125" width="9.140625" hidden="1"/>
    <col min="79" max="79" style="1506" width="9.140625" hidden="1"/>
    <col min="80" max="85" width="9.140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I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Z1" s="489" t="s">
        <v>336</v>
      </c>
      <c r="CB1" s="0" t="s">
        <v>94</v>
      </c>
      <c r="CC1" s="0" t="s">
        <v>1329</v>
      </c>
      <c r="CD1" s="0" t="s">
        <v>110</v>
      </c>
      <c r="CE1" s="0" t="s">
        <v>112</v>
      </c>
      <c r="CF1" s="0" t="s">
        <v>113</v>
      </c>
      <c r="CG1" s="0" t="s">
        <v>114</v>
      </c>
    </row>
    <row s="1548" customFormat="1" customHeight="1" ht="11.25" hidden="1">
      <c r="A2" s="371"/>
      <c r="B2" s="179" t="s">
        <v>16</v>
      </c>
      <c r="G2" s="193"/>
      <c r="H2" s="193"/>
      <c r="I2" s="193"/>
      <c r="J2" s="193"/>
      <c r="K2" s="193"/>
      <c r="L2" s="193"/>
      <c r="M2" s="193"/>
      <c r="N2" s="193"/>
      <c r="O2" s="193"/>
      <c r="P2" s="193"/>
      <c r="Q2" s="193"/>
      <c r="R2" s="193"/>
      <c r="S2" s="193"/>
      <c r="AF2" s="179" cm="1" t="str">
        <f t="array" ref="AF2:AF2">isOrgDeclare</f>
        <v>true</v>
      </c>
      <c r="AI2" s="179">
        <f>AND(AI9&lt;=last_year_vis,isOrgDeclare)</f>
        <v>1</v>
      </c>
      <c r="AJ2" s="179">
        <f>AND(AJ9&lt;=last_year_vis,isOrgDeclare)</f>
        <v>0</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BC9&lt;=last_year_vis</f>
        <v>1</v>
      </c>
      <c r="BD2" s="179">
        <f>BD9&lt;=last_year_vis</f>
        <v>0</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Z2" s="489"/>
      <c r="CB2" s="0"/>
      <c r="CC2" s="0"/>
      <c r="CD2" s="0"/>
      <c r="CE2" s="0"/>
      <c r="CF2" s="0"/>
      <c r="CG2" s="0"/>
    </row>
    <row s="1548" customFormat="1" customHeight="1" ht="11.25" hidden="1">
      <c r="A3" s="371"/>
      <c r="G3" s="193"/>
      <c r="H3" s="193"/>
      <c r="I3" s="193"/>
      <c r="J3" s="193"/>
      <c r="K3" s="193"/>
      <c r="L3" s="193"/>
      <c r="M3" s="193"/>
      <c r="N3" s="193"/>
      <c r="O3" s="193"/>
      <c r="P3" s="193"/>
      <c r="Q3" s="193"/>
      <c r="R3" s="193"/>
      <c r="S3" s="193"/>
      <c r="AI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Z3" s="489"/>
      <c r="CB3" s="0"/>
      <c r="CC3" s="0"/>
      <c r="CD3" s="0"/>
      <c r="CE3" s="0"/>
      <c r="CF3" s="0"/>
      <c r="CG3" s="0"/>
    </row>
    <row s="1548" customFormat="1" customHeight="1" ht="11.25" hidden="1">
      <c r="A4" s="371"/>
      <c r="G4" s="193"/>
      <c r="H4" s="193"/>
      <c r="I4" s="193"/>
      <c r="J4" s="193"/>
      <c r="K4" s="193"/>
      <c r="L4" s="193"/>
      <c r="M4" s="193"/>
      <c r="N4" s="193"/>
      <c r="O4" s="193"/>
      <c r="P4" s="193"/>
      <c r="Q4" s="193"/>
      <c r="R4" s="193"/>
      <c r="S4" s="193"/>
      <c r="AI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Z4" s="489"/>
      <c r="CB4" s="0"/>
      <c r="CC4" s="0"/>
      <c r="CD4" s="0"/>
      <c r="CE4" s="0"/>
      <c r="CF4" s="0"/>
      <c r="CG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5</v>
      </c>
      <c r="AC5" s="180">
        <v>58</v>
      </c>
      <c r="AD5" s="180">
        <v>12</v>
      </c>
      <c r="AE5" s="180">
        <v>13</v>
      </c>
      <c r="AF5" s="180">
        <v>13</v>
      </c>
      <c r="AG5" s="180">
        <v>13</v>
      </c>
      <c r="AH5" s="180">
        <v>13</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180">
        <v>20</v>
      </c>
      <c r="BX5" s="180">
        <v>3</v>
      </c>
      <c r="BZ5" s="489"/>
      <c r="CB5" s="1729"/>
      <c r="CC5" s="1729"/>
      <c r="CD5" s="1729"/>
      <c r="CE5" s="1729"/>
      <c r="CF5" s="1729"/>
      <c r="CG5" s="1729"/>
    </row>
    <row s="1548" customFormat="1" customHeight="1" ht="11.25" hidden="1">
      <c r="A6" s="371"/>
      <c r="E6" s="180"/>
      <c r="G6" s="193"/>
      <c r="H6" s="193"/>
      <c r="I6" s="193"/>
      <c r="J6" s="193"/>
      <c r="K6" s="193"/>
      <c r="L6" s="193"/>
      <c r="M6" s="193"/>
      <c r="N6" s="193"/>
      <c r="O6" s="193"/>
      <c r="P6" s="193"/>
      <c r="Q6" s="193"/>
      <c r="R6" s="193"/>
      <c r="S6" s="193"/>
      <c r="AI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Z6" s="489"/>
      <c r="CB6" s="0"/>
      <c r="CC6" s="0"/>
      <c r="CD6" s="0"/>
      <c r="CE6" s="0"/>
      <c r="CF6" s="0"/>
      <c r="CG6" s="0"/>
    </row>
    <row s="1659" customFormat="1" customHeight="1" ht="11.25" hidden="1">
      <c r="A7" s="371"/>
      <c r="B7" s="175"/>
      <c r="C7" s="175"/>
      <c r="D7" s="175"/>
      <c r="E7" s="180"/>
      <c r="AI7" s="1659"/>
      <c r="AJ7" s="1659"/>
      <c r="AK7" s="1659"/>
      <c r="AL7" s="1659"/>
      <c r="AM7" s="1659"/>
      <c r="AN7" s="1659"/>
      <c r="AO7" s="1659"/>
      <c r="AP7" s="1659"/>
      <c r="AQ7" s="1659"/>
      <c r="AR7" s="1659"/>
      <c r="AS7" s="1659"/>
      <c r="AT7" s="1659"/>
      <c r="AU7" s="1659"/>
      <c r="AV7" s="1659"/>
      <c r="AW7" s="1659"/>
      <c r="AX7" s="1659"/>
      <c r="AY7" s="1659"/>
      <c r="AZ7" s="1659"/>
      <c r="BA7" s="1659"/>
      <c r="BB7" s="1659"/>
      <c r="BC7" s="1659"/>
      <c r="BD7" s="1659"/>
      <c r="BE7" s="1659"/>
      <c r="BF7" s="1659"/>
      <c r="BG7" s="1659"/>
      <c r="BH7" s="1659"/>
      <c r="BI7" s="1659"/>
      <c r="BJ7" s="1659"/>
      <c r="BK7" s="1659"/>
      <c r="BL7" s="1659"/>
      <c r="BM7" s="1659"/>
      <c r="BN7" s="1659"/>
      <c r="BO7" s="1659"/>
      <c r="BP7" s="1659"/>
      <c r="BQ7" s="1659"/>
      <c r="BR7" s="1659"/>
      <c r="BS7" s="1659"/>
      <c r="BT7" s="1659"/>
      <c r="BU7" s="1659"/>
      <c r="BV7" s="1659"/>
      <c r="BZ7" s="489"/>
      <c r="CB7" s="0"/>
      <c r="CC7" s="0"/>
      <c r="CD7" s="0"/>
      <c r="CE7" s="0"/>
      <c r="CF7" s="0"/>
      <c r="CG7" s="0"/>
    </row>
    <row s="1659" customFormat="1" customHeight="1" ht="11.25" hidden="1">
      <c r="A8" s="371"/>
      <c r="B8" s="175"/>
      <c r="C8" s="175"/>
      <c r="D8" s="175"/>
      <c r="E8" s="180"/>
      <c r="AI8" s="1659"/>
      <c r="AJ8" s="1659"/>
      <c r="AK8" s="1659"/>
      <c r="AL8" s="1659"/>
      <c r="AM8" s="1659"/>
      <c r="AN8" s="1659"/>
      <c r="AO8" s="1659"/>
      <c r="AP8" s="1659"/>
      <c r="AQ8" s="1659"/>
      <c r="AR8" s="1659"/>
      <c r="AS8" s="1659"/>
      <c r="AT8" s="1659"/>
      <c r="AU8" s="1659"/>
      <c r="AV8" s="1659"/>
      <c r="AW8" s="1659"/>
      <c r="AX8" s="1659"/>
      <c r="AY8" s="1659"/>
      <c r="AZ8" s="1659"/>
      <c r="BA8" s="1659"/>
      <c r="BB8" s="1659"/>
      <c r="BC8" s="1659"/>
      <c r="BD8" s="1659"/>
      <c r="BE8" s="1659"/>
      <c r="BF8" s="1659"/>
      <c r="BG8" s="1659"/>
      <c r="BH8" s="1659"/>
      <c r="BI8" s="1659"/>
      <c r="BJ8" s="1659"/>
      <c r="BK8" s="1659"/>
      <c r="BL8" s="1659"/>
      <c r="BM8" s="1659"/>
      <c r="BN8" s="1659"/>
      <c r="BO8" s="1659"/>
      <c r="BP8" s="1659"/>
      <c r="BQ8" s="1659"/>
      <c r="BR8" s="1659"/>
      <c r="BS8" s="1659"/>
      <c r="BT8" s="1659"/>
      <c r="BU8" s="1659"/>
      <c r="BV8" s="1659"/>
      <c r="BZ8" s="489"/>
      <c r="CB8" s="0"/>
      <c r="CC8" s="0"/>
      <c r="CD8" s="0"/>
      <c r="CE8" s="0"/>
      <c r="CF8" s="0"/>
      <c r="CG8" s="0"/>
    </row>
    <row s="1143" customFormat="1" customHeight="1" ht="11.25" hidden="1">
      <c r="A9" s="309" t="s">
        <v>403</v>
      </c>
      <c r="AE9" s="312">
        <f>god-2</f>
        <v>2025</v>
      </c>
      <c r="AF9" s="312">
        <f>god-2</f>
        <v>2025</v>
      </c>
      <c r="AG9" s="312">
        <f>god-2</f>
        <v>2025</v>
      </c>
      <c r="AH9" s="312">
        <f>god-1</f>
        <v>2026</v>
      </c>
      <c r="AI9" s="312" cm="1" t="str">
        <f t="array" ref="AI9:AI9">god</f>
        <v>2027</v>
      </c>
      <c r="AJ9" s="312">
        <f>god+1</f>
        <v>2028</v>
      </c>
      <c r="AK9" s="312">
        <f>god+2</f>
        <v>2029</v>
      </c>
      <c r="AL9" s="312">
        <f>god+3</f>
        <v>2030</v>
      </c>
      <c r="AM9" s="312">
        <f>god+4</f>
        <v>2031</v>
      </c>
      <c r="AN9" s="312">
        <f>god+5</f>
        <v>2032</v>
      </c>
      <c r="AO9" s="312">
        <f>god+6</f>
        <v>2033</v>
      </c>
      <c r="AP9" s="312">
        <f>god+7</f>
        <v>2034</v>
      </c>
      <c r="AQ9" s="312">
        <f>god+8</f>
        <v>2035</v>
      </c>
      <c r="AR9" s="312">
        <f>god+9</f>
        <v>2036</v>
      </c>
      <c r="AS9" s="312">
        <f>god+10</f>
        <v>2037</v>
      </c>
      <c r="AT9" s="312">
        <f>god+11</f>
        <v>2038</v>
      </c>
      <c r="AU9" s="312">
        <f>god+12</f>
        <v>2039</v>
      </c>
      <c r="AV9" s="312">
        <f>god+13</f>
        <v>2040</v>
      </c>
      <c r="AW9" s="312">
        <f>god+14</f>
        <v>2041</v>
      </c>
      <c r="AX9" s="312">
        <f>god+15</f>
        <v>2042</v>
      </c>
      <c r="AY9" s="312">
        <f>god+16</f>
        <v>2043</v>
      </c>
      <c r="AZ9" s="312">
        <f>god+17</f>
        <v>2044</v>
      </c>
      <c r="BA9" s="312">
        <f>god+18</f>
        <v>2045</v>
      </c>
      <c r="BB9" s="312">
        <f>god+19</f>
        <v>2046</v>
      </c>
      <c r="BC9" s="312" cm="1" t="str">
        <f t="array" ref="BC9:BC9">god</f>
        <v>2027</v>
      </c>
      <c r="BD9" s="312">
        <f>god+1</f>
        <v>2028</v>
      </c>
      <c r="BE9" s="312">
        <f>god+2</f>
        <v>2029</v>
      </c>
      <c r="BF9" s="312">
        <f>god+3</f>
        <v>2030</v>
      </c>
      <c r="BG9" s="312">
        <f>god+4</f>
        <v>2031</v>
      </c>
      <c r="BH9" s="312">
        <f>god+5</f>
        <v>2032</v>
      </c>
      <c r="BI9" s="312">
        <f>god+6</f>
        <v>2033</v>
      </c>
      <c r="BJ9" s="312">
        <f>god+7</f>
        <v>2034</v>
      </c>
      <c r="BK9" s="312">
        <f>god+8</f>
        <v>2035</v>
      </c>
      <c r="BL9" s="312">
        <f>god+9</f>
        <v>2036</v>
      </c>
      <c r="BM9" s="312">
        <f>god+10</f>
        <v>2037</v>
      </c>
      <c r="BN9" s="312">
        <f>god+11</f>
        <v>2038</v>
      </c>
      <c r="BO9" s="312">
        <f>god+12</f>
        <v>2039</v>
      </c>
      <c r="BP9" s="312">
        <f>god+13</f>
        <v>2040</v>
      </c>
      <c r="BQ9" s="312">
        <f>god+14</f>
        <v>2041</v>
      </c>
      <c r="BR9" s="312">
        <f>god+15</f>
        <v>2042</v>
      </c>
      <c r="BS9" s="312">
        <f>god+16</f>
        <v>2043</v>
      </c>
      <c r="BT9" s="312">
        <f>god+17</f>
        <v>2044</v>
      </c>
      <c r="BU9" s="312">
        <f>god+18</f>
        <v>2045</v>
      </c>
      <c r="BV9" s="312">
        <f>god+19</f>
        <v>2046</v>
      </c>
      <c r="BZ9" s="489"/>
      <c r="CB9" s="1730"/>
      <c r="CC9" s="1730"/>
      <c r="CD9" s="1730"/>
      <c r="CE9" s="1730"/>
      <c r="CF9" s="1730"/>
      <c r="CG9" s="1730"/>
    </row>
    <row s="1143" customFormat="1" customHeight="1" ht="11.25" hidden="1">
      <c r="A10" s="309" t="s">
        <v>404</v>
      </c>
      <c r="AE10" s="312" cm="1" t="str">
        <f t="array" ref="AE10:AE10">AE25</f>
        <v>Принято органом регулирования</v>
      </c>
      <c r="AF10" s="312" cm="1" t="str">
        <f t="array" ref="AF10:AF10">AF25</f>
        <v>Факт по данным организации</v>
      </c>
      <c r="AG10" s="312" cm="1" t="str">
        <f t="array" ref="AG10:AG10">AG25</f>
        <v>Факт, принятый органом регулирования</v>
      </c>
      <c r="AH10" s="312" cm="1" t="str">
        <f t="array" ref="AH10:AH10">AH25</f>
        <v>Принято органом регулирования</v>
      </c>
      <c r="AI10" s="312" cm="1" t="str">
        <f t="array" ref="AI10:AI10">AI25</f>
        <v>Предложение организации</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Предложение организации</v>
      </c>
      <c r="AZ10" s="312" cm="1" t="str">
        <f t="array" ref="AZ10:AZ10">AZ25</f>
        <v>Предложение организации</v>
      </c>
      <c r="BA10" s="312" cm="1" t="str">
        <f t="array" ref="BA10:BA10">BA25</f>
        <v>Предложение организации</v>
      </c>
      <c r="BB10" s="312" cm="1" t="str">
        <f t="array" ref="BB10:BB10">BB25</f>
        <v>Предложение организации</v>
      </c>
      <c r="BC10" s="312" cm="1" t="str">
        <f t="array" ref="BC10:BC10">BC25</f>
        <v>Принято органом регулирования</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S10" s="312" cm="1" t="str">
        <f t="array" ref="BS10:BS10">BS25</f>
        <v>Принято органом регулирования</v>
      </c>
      <c r="BT10" s="312" cm="1" t="str">
        <f t="array" ref="BT10:BT10">BT25</f>
        <v>Принято органом регулирования</v>
      </c>
      <c r="BU10" s="312" cm="1" t="str">
        <f t="array" ref="BU10:BU10">BU25</f>
        <v>Принято органом регулирования</v>
      </c>
      <c r="BV10" s="312" cm="1" t="str">
        <f t="array" ref="BV10:BV10">BV25</f>
        <v>Принято органом регулирования</v>
      </c>
      <c r="BZ10" s="489"/>
      <c r="CB10" s="1730"/>
      <c r="CC10" s="1730"/>
      <c r="CD10" s="1730"/>
      <c r="CE10" s="1730"/>
      <c r="CF10" s="1730"/>
      <c r="CG10" s="1730"/>
    </row>
    <row s="1143" customFormat="1" customHeight="1" ht="11.25" hidden="1">
      <c r="A11" s="309" t="s">
        <v>405</v>
      </c>
      <c r="G11" s="483"/>
      <c r="H11" s="483"/>
      <c r="I11" s="483"/>
      <c r="J11" s="483"/>
      <c r="K11" s="483"/>
      <c r="L11" s="483"/>
      <c r="M11" s="483"/>
      <c r="N11" s="483"/>
      <c r="O11" s="483"/>
      <c r="P11" s="483"/>
      <c r="Q11" s="483"/>
      <c r="R11" s="483"/>
      <c r="S11" s="483"/>
      <c r="AI11" s="1143"/>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312" cm="1" t="str">
        <f t="array" ref="BW11:BW11">BW24</f>
        <v>Ссылка на правовую норму (основание для принятия показателя в расчет тарифа)</v>
      </c>
      <c r="BZ11" s="489"/>
      <c r="CB11" s="1730"/>
      <c r="CC11" s="1730"/>
      <c r="CD11" s="1730"/>
      <c r="CE11" s="1730"/>
      <c r="CF11" s="1730"/>
      <c r="CG11" s="1730"/>
    </row>
    <row s="1548" customFormat="1" customHeight="1" ht="11.25" hidden="1">
      <c r="A12" s="371"/>
      <c r="E12" s="180"/>
      <c r="G12" s="193"/>
      <c r="H12" s="193"/>
      <c r="I12" s="193"/>
      <c r="J12" s="193"/>
      <c r="K12" s="193"/>
      <c r="L12" s="193"/>
      <c r="M12" s="193"/>
      <c r="N12" s="193"/>
      <c r="O12" s="193"/>
      <c r="P12" s="193"/>
      <c r="Q12" s="193"/>
      <c r="R12" s="193"/>
      <c r="S12" s="193"/>
      <c r="AI12" s="1548"/>
      <c r="AJ12" s="1548"/>
      <c r="AK12" s="1548"/>
      <c r="AL12" s="1548"/>
      <c r="AM12" s="1548"/>
      <c r="AN12" s="1548"/>
      <c r="AO12" s="1548"/>
      <c r="AP12" s="1548"/>
      <c r="AQ12" s="1548"/>
      <c r="AR12" s="1548"/>
      <c r="AS12" s="1548"/>
      <c r="AT12" s="1548"/>
      <c r="AU12" s="1548"/>
      <c r="AV12" s="1548"/>
      <c r="AW12" s="1548"/>
      <c r="AX12" s="1548"/>
      <c r="AY12" s="1548"/>
      <c r="AZ12" s="1548"/>
      <c r="BA12" s="1548"/>
      <c r="BB12" s="1548"/>
      <c r="BC12" s="1548"/>
      <c r="BD12" s="1548"/>
      <c r="BE12" s="1548"/>
      <c r="BF12" s="1548"/>
      <c r="BG12" s="1548"/>
      <c r="BH12" s="1548"/>
      <c r="BI12" s="1548"/>
      <c r="BJ12" s="1548"/>
      <c r="BK12" s="1548"/>
      <c r="BL12" s="1548"/>
      <c r="BM12" s="1548"/>
      <c r="BN12" s="1548"/>
      <c r="BO12" s="1548"/>
      <c r="BP12" s="1548"/>
      <c r="BQ12" s="1548"/>
      <c r="BR12" s="1548"/>
      <c r="BS12" s="1548"/>
      <c r="BT12" s="1548"/>
      <c r="BU12" s="1548"/>
      <c r="BV12" s="1548"/>
      <c r="BZ12" s="489"/>
      <c r="CB12" s="0"/>
      <c r="CC12" s="0"/>
      <c r="CD12" s="0"/>
      <c r="CE12" s="0"/>
      <c r="CF12" s="0"/>
      <c r="CG12" s="0"/>
    </row>
    <row s="1548" customFormat="1" customHeight="1" ht="11.25" hidden="1">
      <c r="A13" s="371"/>
      <c r="E13" s="180"/>
      <c r="G13" s="193"/>
      <c r="H13" s="193"/>
      <c r="I13" s="193"/>
      <c r="J13" s="193"/>
      <c r="K13" s="193"/>
      <c r="L13" s="193"/>
      <c r="M13" s="193"/>
      <c r="N13" s="193"/>
      <c r="O13" s="193"/>
      <c r="P13" s="193"/>
      <c r="Q13" s="193"/>
      <c r="R13" s="193"/>
      <c r="S13" s="193"/>
      <c r="AI13" s="1548"/>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S13" s="1548"/>
      <c r="BT13" s="1548"/>
      <c r="BU13" s="1548"/>
      <c r="BV13" s="1548"/>
      <c r="BZ13" s="489"/>
      <c r="CB13" s="0"/>
      <c r="CC13" s="0"/>
      <c r="CD13" s="0"/>
      <c r="CE13" s="0"/>
      <c r="CF13" s="0"/>
      <c r="CG13" s="0"/>
    </row>
    <row s="1548" customFormat="1" customHeight="1" ht="11.25" hidden="1">
      <c r="A14" s="371"/>
      <c r="E14" s="180"/>
      <c r="G14" s="193"/>
      <c r="H14" s="193"/>
      <c r="I14" s="193"/>
      <c r="J14" s="193"/>
      <c r="K14" s="193"/>
      <c r="L14" s="193"/>
      <c r="M14" s="193"/>
      <c r="N14" s="193"/>
      <c r="O14" s="193"/>
      <c r="P14" s="193"/>
      <c r="Q14" s="193"/>
      <c r="R14" s="193"/>
      <c r="S14" s="193"/>
      <c r="AI14" s="1548"/>
      <c r="AJ14" s="1548"/>
      <c r="AK14" s="1548"/>
      <c r="AL14" s="1548"/>
      <c r="AM14" s="1548"/>
      <c r="AN14" s="1548"/>
      <c r="AO14" s="1548"/>
      <c r="AP14" s="1548"/>
      <c r="AQ14" s="1548"/>
      <c r="AR14" s="1548"/>
      <c r="AS14" s="1548"/>
      <c r="AT14" s="1548"/>
      <c r="AU14" s="1548"/>
      <c r="AV14" s="1548"/>
      <c r="AW14" s="1548"/>
      <c r="AX14" s="1548"/>
      <c r="AY14" s="1548"/>
      <c r="AZ14" s="1548"/>
      <c r="BA14" s="1548"/>
      <c r="BB14" s="1548"/>
      <c r="BC14" s="1548"/>
      <c r="BD14" s="1548"/>
      <c r="BE14" s="1548"/>
      <c r="BF14" s="1548"/>
      <c r="BG14" s="1548"/>
      <c r="BH14" s="1548"/>
      <c r="BI14" s="1548"/>
      <c r="BJ14" s="1548"/>
      <c r="BK14" s="1548"/>
      <c r="BL14" s="1548"/>
      <c r="BM14" s="1548"/>
      <c r="BN14" s="1548"/>
      <c r="BO14" s="1548"/>
      <c r="BP14" s="1548"/>
      <c r="BQ14" s="1548"/>
      <c r="BR14" s="1548"/>
      <c r="BS14" s="1548"/>
      <c r="BT14" s="1548"/>
      <c r="BU14" s="1548"/>
      <c r="BV14" s="1548"/>
      <c r="BZ14" s="489"/>
      <c r="CB14" s="0"/>
      <c r="CC14" s="0"/>
      <c r="CD14" s="0"/>
      <c r="CE14" s="0"/>
      <c r="CF14" s="0"/>
      <c r="CG14" s="0"/>
    </row>
    <row s="1548" customFormat="1" customHeight="1" ht="11.25" hidden="1">
      <c r="A15" s="371"/>
      <c r="E15" s="180"/>
      <c r="G15" s="193"/>
      <c r="H15" s="193"/>
      <c r="I15" s="193"/>
      <c r="J15" s="193"/>
      <c r="K15" s="193"/>
      <c r="L15" s="193"/>
      <c r="M15" s="193"/>
      <c r="N15" s="193"/>
      <c r="O15" s="193"/>
      <c r="P15" s="193"/>
      <c r="Q15" s="193"/>
      <c r="R15" s="193"/>
      <c r="S15" s="193"/>
      <c r="AI15" s="1548"/>
      <c r="AJ15" s="1548"/>
      <c r="AK15" s="1548"/>
      <c r="AL15" s="1548"/>
      <c r="AM15" s="1548"/>
      <c r="AN15" s="1548"/>
      <c r="AO15" s="1548"/>
      <c r="AP15" s="1548"/>
      <c r="AQ15" s="1548"/>
      <c r="AR15" s="1548"/>
      <c r="AS15" s="1548"/>
      <c r="AT15" s="1548"/>
      <c r="AU15" s="1548"/>
      <c r="AV15" s="1548"/>
      <c r="AW15" s="1548"/>
      <c r="AX15" s="1548"/>
      <c r="AY15" s="1548"/>
      <c r="AZ15" s="1548"/>
      <c r="BA15" s="1548"/>
      <c r="BB15" s="1548"/>
      <c r="BC15" s="1548"/>
      <c r="BD15" s="1548"/>
      <c r="BE15" s="1548"/>
      <c r="BF15" s="1548"/>
      <c r="BG15" s="1548"/>
      <c r="BH15" s="1548"/>
      <c r="BI15" s="1548"/>
      <c r="BJ15" s="1548"/>
      <c r="BK15" s="1548"/>
      <c r="BL15" s="1548"/>
      <c r="BM15" s="1548"/>
      <c r="BN15" s="1548"/>
      <c r="BO15" s="1548"/>
      <c r="BP15" s="1548"/>
      <c r="BQ15" s="1548"/>
      <c r="BR15" s="1548"/>
      <c r="BS15" s="1548"/>
      <c r="BT15" s="1548"/>
      <c r="BU15" s="1548"/>
      <c r="BV15" s="1548"/>
      <c r="BZ15" s="489"/>
      <c r="CB15" s="0"/>
      <c r="CC15" s="0"/>
      <c r="CD15" s="0"/>
      <c r="CE15" s="0"/>
      <c r="CF15" s="0"/>
      <c r="CG15" s="0"/>
    </row>
    <row s="1548" customFormat="1" customHeight="1" ht="11.25" hidden="1">
      <c r="A16" s="371"/>
      <c r="E16" s="180"/>
      <c r="G16" s="193"/>
      <c r="H16" s="193"/>
      <c r="I16" s="193"/>
      <c r="J16" s="193"/>
      <c r="K16" s="193"/>
      <c r="L16" s="193"/>
      <c r="M16" s="193"/>
      <c r="N16" s="193"/>
      <c r="O16" s="193"/>
      <c r="P16" s="193"/>
      <c r="Q16" s="193"/>
      <c r="R16" s="193"/>
      <c r="S16" s="193"/>
      <c r="AI16" s="1548"/>
      <c r="AJ16" s="1548"/>
      <c r="AK16" s="1548"/>
      <c r="AL16" s="1548"/>
      <c r="AM16" s="1548"/>
      <c r="AN16" s="1548"/>
      <c r="AO16" s="1548"/>
      <c r="AP16" s="1548"/>
      <c r="AQ16" s="1548"/>
      <c r="AR16" s="1548"/>
      <c r="AS16" s="1548"/>
      <c r="AT16" s="1548"/>
      <c r="AU16" s="1548"/>
      <c r="AV16" s="1548"/>
      <c r="AW16" s="1548"/>
      <c r="AX16" s="1548"/>
      <c r="AY16" s="1548"/>
      <c r="AZ16" s="1548"/>
      <c r="BA16" s="1548"/>
      <c r="BB16" s="1548"/>
      <c r="BC16" s="1548"/>
      <c r="BD16" s="1548"/>
      <c r="BE16" s="1548"/>
      <c r="BF16" s="1548"/>
      <c r="BG16" s="1548"/>
      <c r="BH16" s="1548"/>
      <c r="BI16" s="1548"/>
      <c r="BJ16" s="1548"/>
      <c r="BK16" s="1548"/>
      <c r="BL16" s="1548"/>
      <c r="BM16" s="1548"/>
      <c r="BN16" s="1548"/>
      <c r="BO16" s="1548"/>
      <c r="BP16" s="1548"/>
      <c r="BQ16" s="1548"/>
      <c r="BR16" s="1548"/>
      <c r="BS16" s="1548"/>
      <c r="BT16" s="1548"/>
      <c r="BU16" s="1548"/>
      <c r="BV16" s="1548"/>
      <c r="BZ16" s="489"/>
      <c r="CB16" s="0"/>
      <c r="CC16" s="0"/>
      <c r="CD16" s="0"/>
      <c r="CE16" s="0"/>
      <c r="CF16" s="0"/>
      <c r="CG16" s="0"/>
    </row>
    <row s="1548" customFormat="1" customHeight="1" ht="11.25" hidden="1">
      <c r="A17" s="371"/>
      <c r="E17" s="180"/>
      <c r="G17" s="193"/>
      <c r="H17" s="193"/>
      <c r="I17" s="193"/>
      <c r="J17" s="193"/>
      <c r="K17" s="193"/>
      <c r="L17" s="193"/>
      <c r="M17" s="193"/>
      <c r="N17" s="193"/>
      <c r="O17" s="193"/>
      <c r="P17" s="193"/>
      <c r="Q17" s="193"/>
      <c r="R17" s="193"/>
      <c r="S17" s="193"/>
      <c r="AI17" s="1548"/>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S17" s="1548"/>
      <c r="BT17" s="1548"/>
      <c r="BU17" s="1548"/>
      <c r="BV17" s="1548"/>
      <c r="BZ17" s="489"/>
      <c r="CB17" s="0"/>
      <c r="CC17" s="0"/>
      <c r="CD17" s="0"/>
      <c r="CE17" s="0"/>
      <c r="CF17" s="0"/>
      <c r="CG17" s="0"/>
    </row>
    <row s="1548" customFormat="1" customHeight="1" ht="11.25" hidden="1">
      <c r="A18" s="371"/>
      <c r="E18" s="180"/>
      <c r="G18" s="193"/>
      <c r="H18" s="193"/>
      <c r="I18" s="193"/>
      <c r="J18" s="193"/>
      <c r="K18" s="193"/>
      <c r="L18" s="193"/>
      <c r="M18" s="193"/>
      <c r="N18" s="193"/>
      <c r="O18" s="193"/>
      <c r="P18" s="193"/>
      <c r="Q18" s="193"/>
      <c r="R18" s="193"/>
      <c r="S18" s="193"/>
      <c r="AI18" s="1548"/>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S18" s="1548"/>
      <c r="BT18" s="1548"/>
      <c r="BU18" s="1548"/>
      <c r="BV18" s="1548"/>
      <c r="BZ18" s="489"/>
      <c r="CB18" s="0"/>
      <c r="CC18" s="0"/>
      <c r="CD18" s="0"/>
      <c r="CE18" s="0"/>
      <c r="CF18" s="0"/>
      <c r="CG18" s="0"/>
    </row>
    <row s="1548" customFormat="1" customHeight="1" ht="11.25" hidden="1">
      <c r="A19" s="371"/>
      <c r="E19" s="180"/>
      <c r="G19" s="193"/>
      <c r="H19" s="193"/>
      <c r="I19" s="193"/>
      <c r="J19" s="193"/>
      <c r="K19" s="193"/>
      <c r="L19" s="193"/>
      <c r="M19" s="193"/>
      <c r="N19" s="193"/>
      <c r="O19" s="193"/>
      <c r="P19" s="193"/>
      <c r="Q19" s="193"/>
      <c r="R19" s="193"/>
      <c r="S19" s="193"/>
      <c r="AI19" s="1548"/>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T19" s="1548"/>
      <c r="BU19" s="1548"/>
      <c r="BV19" s="1548"/>
      <c r="BZ19" s="489"/>
      <c r="CB19" s="0"/>
      <c r="CC19" s="0"/>
      <c r="CD19" s="0"/>
      <c r="CE19" s="0"/>
      <c r="CF19" s="0"/>
      <c r="CG19" s="0"/>
    </row>
    <row s="1548" customFormat="1" customHeight="1" ht="11.25" hidden="1">
      <c r="A20" s="371"/>
      <c r="E20" s="180"/>
      <c r="G20" s="193"/>
      <c r="H20" s="193"/>
      <c r="I20" s="193"/>
      <c r="J20" s="193"/>
      <c r="K20" s="193"/>
      <c r="L20" s="193"/>
      <c r="M20" s="193"/>
      <c r="N20" s="193"/>
      <c r="O20" s="193"/>
      <c r="P20" s="193"/>
      <c r="Q20" s="193"/>
      <c r="R20" s="193"/>
      <c r="S20" s="193"/>
      <c r="AI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Z20" s="489"/>
      <c r="CB20" s="0"/>
      <c r="CC20" s="0"/>
      <c r="CD20" s="0"/>
      <c r="CE20" s="0"/>
      <c r="CF20" s="0"/>
      <c r="CG20" s="0"/>
    </row>
    <row customHeight="1" ht="14.625">
      <c r="E21" s="180">
        <v>15</v>
      </c>
      <c r="AA21" s="182"/>
      <c r="AC21" s="278" cm="1" t="str">
        <f t="array" ref="AC21:AC21">tpl_title</f>
        <v>Кемеровская область / 2027 / ООО "КК-ИНВЕСТ" (ИНН:1901133713, КПП:190101001) / ДПР: 2025-2027</v>
      </c>
      <c r="AI21" s="1727"/>
      <c r="AJ21" s="1727"/>
      <c r="AK21" s="1727"/>
      <c r="AL21" s="1727"/>
      <c r="AM21" s="1727"/>
      <c r="AN21" s="1727"/>
      <c r="AO21" s="1727"/>
      <c r="AP21" s="1727"/>
      <c r="AQ21" s="1727"/>
      <c r="AR21" s="1727"/>
      <c r="AS21" s="1727"/>
      <c r="AT21" s="1727"/>
      <c r="AU21" s="1727"/>
      <c r="AV21" s="1727"/>
      <c r="AW21" s="1727"/>
      <c r="AX21" s="1727"/>
      <c r="AY21" s="1727"/>
      <c r="AZ21" s="1727"/>
      <c r="BA21" s="1727"/>
      <c r="BB21" s="1727"/>
      <c r="BC21" s="1727"/>
      <c r="BD21" s="1727"/>
      <c r="BE21" s="1727"/>
      <c r="BF21" s="1727"/>
      <c r="BG21" s="1727"/>
      <c r="BH21" s="1727"/>
      <c r="BI21" s="1727"/>
      <c r="BJ21" s="1727"/>
      <c r="BK21" s="1727"/>
      <c r="BL21" s="1727"/>
      <c r="BM21" s="1727"/>
      <c r="BN21" s="1727"/>
      <c r="BO21" s="1727"/>
      <c r="BP21" s="1727"/>
      <c r="BQ21" s="1727"/>
      <c r="BR21" s="1727"/>
      <c r="BS21" s="1727"/>
      <c r="BT21" s="1727"/>
      <c r="BU21" s="1727"/>
      <c r="BV21" s="1727"/>
    </row>
    <row s="969" customFormat="1" customHeight="1" ht="19.5">
      <c r="A22" s="371"/>
      <c r="B22" s="175"/>
      <c r="C22" s="175"/>
      <c r="D22" s="175"/>
      <c r="E22" s="180">
        <v>20</v>
      </c>
      <c r="F22" s="175"/>
      <c r="G22" s="193"/>
      <c r="H22" s="193"/>
      <c r="I22" s="193"/>
      <c r="J22" s="193"/>
      <c r="K22" s="193"/>
      <c r="L22" s="193"/>
      <c r="M22" s="193"/>
      <c r="N22" s="193"/>
      <c r="O22" s="193"/>
      <c r="P22" s="193"/>
      <c r="Q22" s="193"/>
      <c r="R22" s="193"/>
      <c r="S22" s="193"/>
      <c r="T22" s="175"/>
      <c r="U22" s="175"/>
      <c r="V22" s="175"/>
      <c r="W22" s="175"/>
      <c r="X22" s="175"/>
      <c r="Y22" s="175"/>
      <c r="Z22" s="175"/>
      <c r="AA22" s="318"/>
      <c r="AB22" s="547" t="s">
        <v>46</v>
      </c>
      <c r="AC22" s="638"/>
      <c r="AD22" s="638"/>
      <c r="AE22" s="638"/>
      <c r="AF22" s="638"/>
      <c r="AG22" s="638"/>
      <c r="AH22" s="638"/>
      <c r="AI22" s="638"/>
      <c r="AJ22" s="638"/>
      <c r="AK22" s="638"/>
      <c r="AL22" s="638"/>
      <c r="AM22" s="638"/>
      <c r="AN22" s="638"/>
      <c r="AO22" s="638"/>
      <c r="AP22" s="638"/>
      <c r="AQ22" s="638"/>
      <c r="AR22" s="638"/>
      <c r="AS22" s="638"/>
      <c r="AT22" s="638"/>
      <c r="AU22" s="638"/>
      <c r="AV22" s="638"/>
      <c r="AW22" s="638"/>
      <c r="AX22" s="638"/>
      <c r="AY22" s="638"/>
      <c r="AZ22" s="638"/>
      <c r="BA22" s="638"/>
      <c r="BB22" s="638"/>
      <c r="BC22" s="638"/>
      <c r="BD22" s="638"/>
      <c r="BE22" s="638"/>
      <c r="BF22" s="638"/>
      <c r="BG22" s="638"/>
      <c r="BH22" s="638"/>
      <c r="BI22" s="638"/>
      <c r="BJ22" s="638"/>
      <c r="BK22" s="638"/>
      <c r="BL22" s="638"/>
      <c r="BM22" s="638"/>
      <c r="BN22" s="638"/>
      <c r="BO22" s="638"/>
      <c r="BP22" s="638"/>
      <c r="BQ22" s="638"/>
      <c r="BR22" s="638"/>
      <c r="BS22" s="638"/>
      <c r="BT22" s="638"/>
      <c r="BU22" s="638"/>
      <c r="BV22" s="638"/>
      <c r="BW22" s="638"/>
      <c r="BX22" s="318"/>
      <c r="BZ22" s="489"/>
      <c r="CB22" s="0"/>
      <c r="CC22" s="0"/>
      <c r="CD22" s="0"/>
      <c r="CE22" s="0"/>
      <c r="CF22" s="0"/>
      <c r="CG22" s="0"/>
    </row>
    <row s="969" customFormat="1" customHeight="1" ht="10.725000000000001">
      <c r="A23" s="371"/>
      <c r="B23" s="175"/>
      <c r="C23" s="175"/>
      <c r="D23" s="175"/>
      <c r="E23" s="180">
        <v>11</v>
      </c>
      <c r="F23" s="175"/>
      <c r="G23" s="193"/>
      <c r="H23" s="193"/>
      <c r="I23" s="193"/>
      <c r="J23" s="193"/>
      <c r="K23" s="193"/>
      <c r="L23" s="193"/>
      <c r="M23" s="193"/>
      <c r="N23" s="193"/>
      <c r="O23" s="193"/>
      <c r="P23" s="193"/>
      <c r="Q23" s="193"/>
      <c r="R23" s="193"/>
      <c r="S23" s="193"/>
      <c r="T23" s="175"/>
      <c r="U23" s="175"/>
      <c r="V23" s="175"/>
      <c r="W23" s="175"/>
      <c r="X23" s="175"/>
      <c r="Y23" s="175"/>
      <c r="Z23" s="175"/>
      <c r="AA23" s="318"/>
      <c r="AB23" s="639"/>
      <c r="AC23" s="318"/>
      <c r="AD23" s="318"/>
      <c r="AE23" s="379"/>
      <c r="AF23" s="318"/>
      <c r="AG23" s="318"/>
      <c r="AH23" s="318"/>
      <c r="AI23" s="318"/>
      <c r="AJ23" s="318"/>
      <c r="AK23" s="318"/>
      <c r="AL23" s="318"/>
      <c r="AM23" s="318"/>
      <c r="AN23" s="318"/>
      <c r="AO23" s="318"/>
      <c r="AP23" s="318"/>
      <c r="AQ23" s="318"/>
      <c r="AR23" s="318"/>
      <c r="AS23" s="318"/>
      <c r="AT23" s="318"/>
      <c r="AU23" s="318"/>
      <c r="AV23" s="318"/>
      <c r="AW23" s="318"/>
      <c r="AX23" s="318"/>
      <c r="AY23" s="318"/>
      <c r="AZ23" s="318"/>
      <c r="BA23" s="318"/>
      <c r="BB23" s="318"/>
      <c r="BC23" s="318"/>
      <c r="BD23" s="318"/>
      <c r="BE23" s="318"/>
      <c r="BF23" s="318"/>
      <c r="BG23" s="318"/>
      <c r="BH23" s="318"/>
      <c r="BI23" s="318"/>
      <c r="BJ23" s="318"/>
      <c r="BK23" s="318"/>
      <c r="BL23" s="318"/>
      <c r="BM23" s="318"/>
      <c r="BN23" s="318"/>
      <c r="BO23" s="318"/>
      <c r="BP23" s="318"/>
      <c r="BQ23" s="318"/>
      <c r="BR23" s="318"/>
      <c r="BS23" s="318"/>
      <c r="BT23" s="318"/>
      <c r="BU23" s="318"/>
      <c r="BV23" s="318"/>
      <c r="BW23" s="318"/>
      <c r="BX23" s="318"/>
      <c r="BZ23" s="489"/>
      <c r="CB23" s="0"/>
      <c r="CC23" s="0"/>
      <c r="CD23" s="0"/>
      <c r="CE23" s="0"/>
      <c r="CF23" s="0"/>
      <c r="CG23" s="0"/>
    </row>
    <row s="969" customFormat="1" customHeight="1" ht="14.625">
      <c r="A24" s="371"/>
      <c r="B24" s="175"/>
      <c r="C24" s="175"/>
      <c r="D24" s="175"/>
      <c r="E24" s="180">
        <v>15</v>
      </c>
      <c r="F24" s="175"/>
      <c r="G24" s="193"/>
      <c r="H24" s="193"/>
      <c r="I24" s="193"/>
      <c r="J24" s="193"/>
      <c r="K24" s="193"/>
      <c r="L24" s="193"/>
      <c r="M24" s="193"/>
      <c r="N24" s="193"/>
      <c r="O24" s="193"/>
      <c r="P24" s="193"/>
      <c r="Q24" s="193"/>
      <c r="R24" s="193"/>
      <c r="S24" s="193"/>
      <c r="T24" s="175"/>
      <c r="U24" s="175"/>
      <c r="V24" s="175"/>
      <c r="W24" s="175"/>
      <c r="X24" s="175"/>
      <c r="Y24" s="175"/>
      <c r="Z24" s="175"/>
      <c r="AA24" s="318"/>
      <c r="AB24" s="1653" t="s">
        <v>355</v>
      </c>
      <c r="AC24" s="1653" t="s">
        <v>412</v>
      </c>
      <c r="AD24" s="1653" t="s">
        <v>1330</v>
      </c>
      <c r="AE24" s="432" t="str">
        <f>god-2&amp;" год"</f>
        <v>2025 год</v>
      </c>
      <c r="AF24" s="433" t="str">
        <f>god-2&amp;" год"</f>
        <v>2025 год</v>
      </c>
      <c r="AG24" s="432" t="str">
        <f>god-2&amp;" год"</f>
        <v>2025 год</v>
      </c>
      <c r="AH24" s="330" t="str">
        <f>god-1&amp;" год"</f>
        <v>2026 год</v>
      </c>
      <c r="AI24" s="329" t="str">
        <f>god&amp;" год"</f>
        <v>2027 год</v>
      </c>
      <c r="AJ24" s="329" t="str">
        <f>god+1&amp;" год"</f>
        <v>2028 год</v>
      </c>
      <c r="AK24" s="329" t="str">
        <f>god+2&amp;" год"</f>
        <v>2029 год</v>
      </c>
      <c r="AL24" s="329" t="str">
        <f>god+3&amp;" год"</f>
        <v>2030 год</v>
      </c>
      <c r="AM24" s="329" t="str">
        <f>god+4&amp;" год"</f>
        <v>2031 год</v>
      </c>
      <c r="AN24" s="329" t="str">
        <f>god+5&amp;" год"</f>
        <v>2032 год</v>
      </c>
      <c r="AO24" s="329" t="str">
        <f>god+6&amp;" год"</f>
        <v>2033 год</v>
      </c>
      <c r="AP24" s="329" t="str">
        <f>god+7&amp;" год"</f>
        <v>2034 год</v>
      </c>
      <c r="AQ24" s="329" t="str">
        <f>god+8&amp;" год"</f>
        <v>2035 год</v>
      </c>
      <c r="AR24" s="329" t="str">
        <f>god+9&amp;" год"</f>
        <v>2036 год</v>
      </c>
      <c r="AS24" s="329" t="str">
        <f>god+10&amp;" год"</f>
        <v>2037 год</v>
      </c>
      <c r="AT24" s="329" t="str">
        <f>god+11&amp;" год"</f>
        <v>2038 год</v>
      </c>
      <c r="AU24" s="329" t="str">
        <f>god+12&amp;" год"</f>
        <v>2039 год</v>
      </c>
      <c r="AV24" s="329" t="str">
        <f>god+13&amp;" год"</f>
        <v>2040 год</v>
      </c>
      <c r="AW24" s="329" t="str">
        <f>god+14&amp;" год"</f>
        <v>2041 год</v>
      </c>
      <c r="AX24" s="329" t="str">
        <f>god+15&amp;" год"</f>
        <v>2042 год</v>
      </c>
      <c r="AY24" s="329" t="str">
        <f>god+16&amp;" год"</f>
        <v>2043 год</v>
      </c>
      <c r="AZ24" s="329" t="str">
        <f>god+17&amp;" год"</f>
        <v>2044 год</v>
      </c>
      <c r="BA24" s="329" t="str">
        <f>god+18&amp;" год"</f>
        <v>2045 год</v>
      </c>
      <c r="BB24" s="329" t="str">
        <f>god+19&amp;" год"</f>
        <v>2046 год</v>
      </c>
      <c r="BC24" s="328" t="str">
        <f>god&amp;" год"</f>
        <v>2027 год</v>
      </c>
      <c r="BD24" s="328" t="str">
        <f>god+1&amp;" год"</f>
        <v>2028 год</v>
      </c>
      <c r="BE24" s="328" t="str">
        <f>god+2&amp;" год"</f>
        <v>2029 год</v>
      </c>
      <c r="BF24" s="328" t="str">
        <f>god+3&amp;" год"</f>
        <v>2030 год</v>
      </c>
      <c r="BG24" s="328" t="str">
        <f>god+4&amp;" год"</f>
        <v>2031 год</v>
      </c>
      <c r="BH24" s="328" t="str">
        <f>god+5&amp;" год"</f>
        <v>2032 год</v>
      </c>
      <c r="BI24" s="328" t="str">
        <f>god+6&amp;" год"</f>
        <v>2033 год</v>
      </c>
      <c r="BJ24" s="328" t="str">
        <f>god+7&amp;" год"</f>
        <v>2034 год</v>
      </c>
      <c r="BK24" s="328" t="str">
        <f>god+8&amp;" год"</f>
        <v>2035 год</v>
      </c>
      <c r="BL24" s="328" t="str">
        <f>god+9&amp;" год"</f>
        <v>2036 год</v>
      </c>
      <c r="BM24" s="328" t="str">
        <f>god+10&amp;" год"</f>
        <v>2037 год</v>
      </c>
      <c r="BN24" s="328" t="str">
        <f>god+11&amp;" год"</f>
        <v>2038 год</v>
      </c>
      <c r="BO24" s="328" t="str">
        <f>god+12&amp;" год"</f>
        <v>2039 год</v>
      </c>
      <c r="BP24" s="328" t="str">
        <f>god+13&amp;" год"</f>
        <v>2040 год</v>
      </c>
      <c r="BQ24" s="328" t="str">
        <f>god+14&amp;" год"</f>
        <v>2041 год</v>
      </c>
      <c r="BR24" s="328" t="str">
        <f>god+15&amp;" год"</f>
        <v>2042 год</v>
      </c>
      <c r="BS24" s="328" t="str">
        <f>god+16&amp;" год"</f>
        <v>2043 год</v>
      </c>
      <c r="BT24" s="328" t="str">
        <f>god+17&amp;" год"</f>
        <v>2044 год</v>
      </c>
      <c r="BU24" s="328" t="str">
        <f>god+18&amp;" год"</f>
        <v>2045 год</v>
      </c>
      <c r="BV24" s="328" t="str">
        <f>god+19&amp;" год"</f>
        <v>2046 год</v>
      </c>
      <c r="BW24" s="1596" t="s">
        <v>625</v>
      </c>
      <c r="BX24" s="318"/>
      <c r="BZ24" s="489"/>
      <c r="CB24" s="0"/>
      <c r="CC24" s="0"/>
      <c r="CD24" s="0"/>
      <c r="CE24" s="0"/>
      <c r="CF24" s="0"/>
      <c r="CG24" s="0"/>
    </row>
    <row s="969" customFormat="1" customHeight="1" ht="48.75">
      <c r="A25" s="371"/>
      <c r="B25" s="175"/>
      <c r="C25" s="175"/>
      <c r="D25" s="175"/>
      <c r="E25" s="180">
        <v>50</v>
      </c>
      <c r="F25" s="175"/>
      <c r="G25" s="193"/>
      <c r="H25" s="193"/>
      <c r="I25" s="193"/>
      <c r="J25" s="193"/>
      <c r="K25" s="193"/>
      <c r="L25" s="193"/>
      <c r="M25" s="193"/>
      <c r="N25" s="193"/>
      <c r="O25" s="193"/>
      <c r="P25" s="193"/>
      <c r="Q25" s="193"/>
      <c r="R25" s="193"/>
      <c r="S25" s="193"/>
      <c r="T25" s="175"/>
      <c r="U25" s="175"/>
      <c r="V25" s="175"/>
      <c r="W25" s="175"/>
      <c r="X25" s="175"/>
      <c r="Y25" s="175"/>
      <c r="Z25" s="175"/>
      <c r="AA25" s="318"/>
      <c r="AB25" s="1653"/>
      <c r="AC25" s="1653"/>
      <c r="AD25" s="1653"/>
      <c r="AE25" s="328" t="s">
        <v>415</v>
      </c>
      <c r="AF25" s="329" t="s">
        <v>626</v>
      </c>
      <c r="AG25" s="328" t="s">
        <v>627</v>
      </c>
      <c r="AH25" s="328" t="s">
        <v>415</v>
      </c>
      <c r="AI25" s="331" t="s">
        <v>416</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331" t="s">
        <v>416</v>
      </c>
      <c r="AZ25" s="331" t="s">
        <v>416</v>
      </c>
      <c r="BA25" s="331" t="s">
        <v>416</v>
      </c>
      <c r="BB25" s="331" t="s">
        <v>416</v>
      </c>
      <c r="BC25" s="424" t="s">
        <v>415</v>
      </c>
      <c r="BD25" s="424" t="s">
        <v>415</v>
      </c>
      <c r="BE25" s="424" t="s">
        <v>415</v>
      </c>
      <c r="BF25" s="424" t="s">
        <v>415</v>
      </c>
      <c r="BG25" s="424" t="s">
        <v>415</v>
      </c>
      <c r="BH25" s="424" t="s">
        <v>415</v>
      </c>
      <c r="BI25" s="424" t="s">
        <v>415</v>
      </c>
      <c r="BJ25" s="424" t="s">
        <v>415</v>
      </c>
      <c r="BK25" s="424" t="s">
        <v>415</v>
      </c>
      <c r="BL25" s="424" t="s">
        <v>415</v>
      </c>
      <c r="BM25" s="424" t="s">
        <v>415</v>
      </c>
      <c r="BN25" s="424" t="s">
        <v>415</v>
      </c>
      <c r="BO25" s="424" t="s">
        <v>415</v>
      </c>
      <c r="BP25" s="424" t="s">
        <v>415</v>
      </c>
      <c r="BQ25" s="424" t="s">
        <v>415</v>
      </c>
      <c r="BR25" s="424" t="s">
        <v>415</v>
      </c>
      <c r="BS25" s="424" t="s">
        <v>415</v>
      </c>
      <c r="BT25" s="424" t="s">
        <v>415</v>
      </c>
      <c r="BU25" s="424" t="s">
        <v>415</v>
      </c>
      <c r="BV25" s="424" t="s">
        <v>415</v>
      </c>
      <c r="BW25" s="1596"/>
      <c r="BX25" s="318"/>
      <c r="BZ25" s="489"/>
      <c r="CB25" s="0"/>
      <c r="CC25" s="0"/>
      <c r="CD25" s="0"/>
      <c r="CE25" s="0"/>
      <c r="CF25" s="0"/>
      <c r="CG25" s="0"/>
    </row>
    <row s="969" customFormat="1" customHeight="1" ht="50.25" hidden="1">
      <c r="A26" s="371"/>
      <c r="B26" s="175"/>
      <c r="C26" s="175"/>
      <c r="D26" s="175"/>
      <c r="E26" s="965">
        <v>0</v>
      </c>
      <c r="F26" s="175"/>
      <c r="G26" s="193"/>
      <c r="H26" s="193"/>
      <c r="I26" s="193"/>
      <c r="J26" s="193"/>
      <c r="K26" s="193"/>
      <c r="L26" s="193"/>
      <c r="M26" s="193"/>
      <c r="N26" s="193"/>
      <c r="O26" s="193"/>
      <c r="P26" s="193"/>
      <c r="Q26" s="193"/>
      <c r="R26" s="193"/>
      <c r="S26" s="193"/>
      <c r="T26" s="175"/>
      <c r="U26" s="175"/>
      <c r="V26" s="175"/>
      <c r="W26" s="175"/>
      <c r="X26" s="175"/>
      <c r="Y26" s="175"/>
      <c r="Z26" s="175"/>
      <c r="AA26" s="318"/>
      <c r="AB26" s="472"/>
      <c r="AC26" s="628"/>
      <c r="AD26" s="628"/>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640"/>
      <c r="BX26" s="318"/>
      <c r="BZ26" s="489"/>
      <c r="CB26" s="0"/>
      <c r="CC26" s="0"/>
      <c r="CD26" s="0"/>
      <c r="CE26" s="0"/>
      <c r="CF26" s="0"/>
      <c r="CG26" s="0"/>
    </row>
    <row s="969" customFormat="1" customHeight="1" ht="10.725000000000001" hidden="1">
      <c r="E27" s="180">
        <v>11</v>
      </c>
      <c r="F27" s="175" cm="1" t="str">
        <f t="array" ref="F27:F27">X27</f>
        <v>0</v>
      </c>
      <c r="T27" s="753">
        <f>X27&gt;0</f>
        <v>0</v>
      </c>
      <c r="V27" s="175" t="s">
        <v>266</v>
      </c>
      <c r="X27" s="175">
        <v>0</v>
      </c>
      <c r="AB27" s="621" cm="1" t="str">
        <f t="array" ref="AB27:AB27">INDEX('Общие сведения'!$AG$169:$AG$202,MATCH($F27,'Общие сведения'!$Y$169:$Y$202,0))</f>
        <v>Тариф 0 (Теплоснабжение) - </v>
      </c>
      <c r="AC27" s="298"/>
      <c r="AD27" s="299"/>
      <c r="AE27" s="299"/>
      <c r="AF27" s="299"/>
      <c r="AG27" s="299"/>
      <c r="AH27" s="299"/>
      <c r="AI27" s="299"/>
      <c r="AJ27" s="299"/>
      <c r="AK27" s="299"/>
      <c r="AL27" s="299"/>
      <c r="AM27" s="299"/>
      <c r="AN27" s="299"/>
      <c r="AO27" s="299"/>
      <c r="AP27" s="299"/>
      <c r="AQ27" s="299"/>
      <c r="AR27" s="299"/>
      <c r="AS27" s="299"/>
      <c r="AT27" s="299"/>
      <c r="AU27" s="299"/>
      <c r="AV27" s="299"/>
      <c r="AW27" s="299"/>
      <c r="AX27" s="299"/>
      <c r="AY27" s="299"/>
      <c r="AZ27" s="299"/>
      <c r="BA27" s="299"/>
      <c r="BB27" s="299"/>
      <c r="BC27" s="299"/>
      <c r="BD27" s="299"/>
      <c r="BE27" s="299"/>
      <c r="BF27" s="299"/>
      <c r="BG27" s="299"/>
      <c r="BH27" s="299"/>
      <c r="BI27" s="299"/>
      <c r="BJ27" s="299"/>
      <c r="BK27" s="299"/>
      <c r="BL27" s="299"/>
      <c r="BM27" s="299"/>
      <c r="BN27" s="299"/>
      <c r="BO27" s="299"/>
      <c r="BP27" s="299"/>
      <c r="BQ27" s="299"/>
      <c r="BR27" s="299"/>
      <c r="BS27" s="299"/>
      <c r="BT27" s="299"/>
      <c r="BU27" s="299"/>
      <c r="BV27" s="299"/>
      <c r="BW27" s="630"/>
      <c r="BZ27" s="489"/>
    </row>
    <row s="969" customFormat="1" customHeight="1" ht="27.299999999999997" hidden="1">
      <c r="E28" s="180">
        <v>28</v>
      </c>
      <c r="F28" s="175" cm="1" t="str">
        <f t="array" ref="F28:F28">F27</f>
        <v>0</v>
      </c>
      <c r="G28" s="193" t="s">
        <v>1331</v>
      </c>
      <c r="T28" s="753" cm="1" t="str">
        <f t="array" ref="T28:T28">T27</f>
        <v>false</v>
      </c>
      <c r="AB28" s="641">
        <v>1</v>
      </c>
      <c r="AC28" s="642" t="s">
        <v>46</v>
      </c>
      <c r="AD28" s="643" t="s">
        <v>917</v>
      </c>
      <c r="AE28" s="625">
        <f>AE29+AE32+AE33+AE36</f>
        <v>0</v>
      </c>
      <c r="AF28" s="625">
        <f>AF29+AF32+AF33+AF36</f>
        <v>0</v>
      </c>
      <c r="AG28" s="625">
        <f>AG29+AG32+AG33+AG36</f>
        <v>0</v>
      </c>
      <c r="AH28" s="625">
        <f>AH29+AH32+AH33+AH36</f>
        <v>0</v>
      </c>
      <c r="AI28" s="625">
        <f>AI29+AI32+AI33+AI36</f>
        <v>0</v>
      </c>
      <c r="AJ28" s="625">
        <f>AJ29+AJ32+AJ33+AJ36</f>
        <v>0</v>
      </c>
      <c r="AK28" s="625">
        <f>AK29+AK32+AK33+AK36</f>
        <v>0</v>
      </c>
      <c r="AL28" s="625">
        <f>AL29+AL32+AL33+AL36</f>
        <v>0</v>
      </c>
      <c r="AM28" s="625">
        <f>AM29+AM32+AM33+AM36</f>
        <v>0</v>
      </c>
      <c r="AN28" s="625">
        <f>AN29+AN32+AN33+AN36</f>
        <v>0</v>
      </c>
      <c r="AO28" s="625">
        <f>AO29+AO32+AO33+AO36</f>
        <v>0</v>
      </c>
      <c r="AP28" s="625">
        <f>AP29+AP32+AP33+AP36</f>
        <v>0</v>
      </c>
      <c r="AQ28" s="625">
        <f>AQ29+AQ32+AQ33+AQ36</f>
        <v>0</v>
      </c>
      <c r="AR28" s="625">
        <f>AR29+AR32+AR33+AR36</f>
        <v>0</v>
      </c>
      <c r="AS28" s="625">
        <f>AS29+AS32+AS33+AS36</f>
        <v>0</v>
      </c>
      <c r="AT28" s="625">
        <f>AT29+AT32+AT33+AT36</f>
        <v>0</v>
      </c>
      <c r="AU28" s="625">
        <f>AU29+AU32+AU33+AU36</f>
        <v>0</v>
      </c>
      <c r="AV28" s="625">
        <f>AV29+AV32+AV33+AV36</f>
        <v>0</v>
      </c>
      <c r="AW28" s="625">
        <f>AW29+AW32+AW33+AW36</f>
        <v>0</v>
      </c>
      <c r="AX28" s="625">
        <f>AX29+AX32+AX33+AX36</f>
        <v>0</v>
      </c>
      <c r="AY28" s="625">
        <f>AY29+AY32+AY33+AY36</f>
        <v>0</v>
      </c>
      <c r="AZ28" s="625">
        <f>AZ29+AZ32+AZ33+AZ36</f>
        <v>0</v>
      </c>
      <c r="BA28" s="625">
        <f>BA29+BA32+BA33+BA36</f>
        <v>0</v>
      </c>
      <c r="BB28" s="625">
        <f>BB29+BB32+BB33+BB36</f>
        <v>0</v>
      </c>
      <c r="BC28" s="625">
        <f>BC29+BC32+BC33+BC36</f>
        <v>0</v>
      </c>
      <c r="BD28" s="625">
        <f>BD29+BD32+BD33+BD36</f>
        <v>0</v>
      </c>
      <c r="BE28" s="625">
        <f>BE29+BE32+BE33+BE36</f>
        <v>0</v>
      </c>
      <c r="BF28" s="625">
        <f>BF29+BF32+BF33+BF36</f>
        <v>0</v>
      </c>
      <c r="BG28" s="625">
        <f>BG29+BG32+BG33+BG36</f>
        <v>0</v>
      </c>
      <c r="BH28" s="625">
        <f>BH29+BH32+BH33+BH36</f>
        <v>0</v>
      </c>
      <c r="BI28" s="625">
        <f>BI29+BI32+BI33+BI36</f>
        <v>0</v>
      </c>
      <c r="BJ28" s="625">
        <f>BJ29+BJ32+BJ33+BJ36</f>
        <v>0</v>
      </c>
      <c r="BK28" s="625">
        <f>BK29+BK32+BK33+BK36</f>
        <v>0</v>
      </c>
      <c r="BL28" s="625">
        <f>BL29+BL32+BL33+BL36</f>
        <v>0</v>
      </c>
      <c r="BM28" s="625">
        <f>BM29+BM32+BM33+BM36</f>
        <v>0</v>
      </c>
      <c r="BN28" s="625">
        <f>BN29+BN32+BN33+BN36</f>
        <v>0</v>
      </c>
      <c r="BO28" s="625">
        <f>BO29+BO32+BO33+BO36</f>
        <v>0</v>
      </c>
      <c r="BP28" s="625">
        <f>BP29+BP32+BP33+BP36</f>
        <v>0</v>
      </c>
      <c r="BQ28" s="625">
        <f>BQ29+BQ32+BQ33+BQ36</f>
        <v>0</v>
      </c>
      <c r="BR28" s="625">
        <f>BR29+BR32+BR33+BR36</f>
        <v>0</v>
      </c>
      <c r="BS28" s="625">
        <f>BS29+BS32+BS33+BS36</f>
        <v>0</v>
      </c>
      <c r="BT28" s="625">
        <f>BT29+BT32+BT33+BT36</f>
        <v>0</v>
      </c>
      <c r="BU28" s="625">
        <f>BU29+BU32+BU33+BU36</f>
        <v>0</v>
      </c>
      <c r="BV28" s="625">
        <f>BV29+BV32+BV33+BV36</f>
        <v>0</v>
      </c>
      <c r="BW28" s="113"/>
      <c r="BZ28" s="489" t="s">
        <v>1332</v>
      </c>
      <c r="CB28" s="0" cm="1" t="str">
        <f t="array" ref="CB28:CB28">INDEX('Общие сведения'!$N$170:$N$202,MATCH($F28,'Общие сведения'!$Y$170:$Y$202,0)+1)</f>
        <v>0</v>
      </c>
      <c r="CE28" s="0" t="s">
        <v>303</v>
      </c>
      <c r="CF28" s="0" t="s">
        <v>1333</v>
      </c>
      <c r="CG28" s="0" t="s">
        <v>1334</v>
      </c>
    </row>
    <row s="969" customFormat="1" customHeight="1" ht="22.425" hidden="1">
      <c r="E29" s="180">
        <v>23</v>
      </c>
      <c r="F29" s="175" cm="1" t="str">
        <f t="array" ref="F29:F29">F28</f>
        <v>0</v>
      </c>
      <c r="T29" s="753" cm="1" t="str">
        <f t="array" ref="T29:T29">T28</f>
        <v>false</v>
      </c>
      <c r="AB29" s="554">
        <v>1.1</v>
      </c>
      <c r="AC29" s="644" t="s">
        <v>1335</v>
      </c>
      <c r="AD29" s="645" t="s">
        <v>917</v>
      </c>
      <c r="AE29" s="604">
        <f>AE30+AE31</f>
        <v>0</v>
      </c>
      <c r="AF29" s="625">
        <f>AF30+AF31</f>
        <v>0</v>
      </c>
      <c r="AG29" s="625">
        <f>AG30+AG31</f>
        <v>0</v>
      </c>
      <c r="AH29" s="625">
        <f>AH30+AH31</f>
        <v>0</v>
      </c>
      <c r="AI29" s="625">
        <f>AI30+AI31</f>
        <v>0</v>
      </c>
      <c r="AJ29" s="625">
        <f>AJ30+AJ31</f>
        <v>0</v>
      </c>
      <c r="AK29" s="625">
        <f>AK30+AK31</f>
        <v>0</v>
      </c>
      <c r="AL29" s="625">
        <f>AL30+AL31</f>
        <v>0</v>
      </c>
      <c r="AM29" s="625">
        <f>AM30+AM31</f>
        <v>0</v>
      </c>
      <c r="AN29" s="625">
        <f>AN30+AN31</f>
        <v>0</v>
      </c>
      <c r="AO29" s="625">
        <f>AO30+AO31</f>
        <v>0</v>
      </c>
      <c r="AP29" s="625">
        <f>AP30+AP31</f>
        <v>0</v>
      </c>
      <c r="AQ29" s="625">
        <f>AQ30+AQ31</f>
        <v>0</v>
      </c>
      <c r="AR29" s="625">
        <f>AR30+AR31</f>
        <v>0</v>
      </c>
      <c r="AS29" s="625">
        <f>AS30+AS31</f>
        <v>0</v>
      </c>
      <c r="AT29" s="625">
        <f>AT30+AT31</f>
        <v>0</v>
      </c>
      <c r="AU29" s="625">
        <f>AU30+AU31</f>
        <v>0</v>
      </c>
      <c r="AV29" s="625">
        <f>AV30+AV31</f>
        <v>0</v>
      </c>
      <c r="AW29" s="625">
        <f>AW30+AW31</f>
        <v>0</v>
      </c>
      <c r="AX29" s="625">
        <f>AX30+AX31</f>
        <v>0</v>
      </c>
      <c r="AY29" s="625">
        <f>AY30+AY31</f>
        <v>0</v>
      </c>
      <c r="AZ29" s="625">
        <f>AZ30+AZ31</f>
        <v>0</v>
      </c>
      <c r="BA29" s="625">
        <f>BA30+BA31</f>
        <v>0</v>
      </c>
      <c r="BB29" s="625">
        <f>BB30+BB31</f>
        <v>0</v>
      </c>
      <c r="BC29" s="625">
        <f>BC30+BC31</f>
        <v>0</v>
      </c>
      <c r="BD29" s="625">
        <f>BD30+BD31</f>
        <v>0</v>
      </c>
      <c r="BE29" s="625">
        <f>BE30+BE31</f>
        <v>0</v>
      </c>
      <c r="BF29" s="625">
        <f>BF30+BF31</f>
        <v>0</v>
      </c>
      <c r="BG29" s="625">
        <f>BG30+BG31</f>
        <v>0</v>
      </c>
      <c r="BH29" s="625">
        <f>BH30+BH31</f>
        <v>0</v>
      </c>
      <c r="BI29" s="625">
        <f>BI30+BI31</f>
        <v>0</v>
      </c>
      <c r="BJ29" s="625">
        <f>BJ30+BJ31</f>
        <v>0</v>
      </c>
      <c r="BK29" s="625">
        <f>BK30+BK31</f>
        <v>0</v>
      </c>
      <c r="BL29" s="625">
        <f>BL30+BL31</f>
        <v>0</v>
      </c>
      <c r="BM29" s="625">
        <f>BM30+BM31</f>
        <v>0</v>
      </c>
      <c r="BN29" s="625">
        <f>BN30+BN31</f>
        <v>0</v>
      </c>
      <c r="BO29" s="625">
        <f>BO30+BO31</f>
        <v>0</v>
      </c>
      <c r="BP29" s="625">
        <f>BP30+BP31</f>
        <v>0</v>
      </c>
      <c r="BQ29" s="625">
        <f>BQ30+BQ31</f>
        <v>0</v>
      </c>
      <c r="BR29" s="625">
        <f>BR30+BR31</f>
        <v>0</v>
      </c>
      <c r="BS29" s="625">
        <f>BS30+BS31</f>
        <v>0</v>
      </c>
      <c r="BT29" s="625">
        <f>BT30+BT31</f>
        <v>0</v>
      </c>
      <c r="BU29" s="625">
        <f>BU30+BU31</f>
        <v>0</v>
      </c>
      <c r="BV29" s="625">
        <f>BV30+BV31</f>
        <v>0</v>
      </c>
      <c r="BW29" s="113"/>
      <c r="BZ29" s="489" t="s">
        <v>1336</v>
      </c>
      <c r="CB29" s="0" cm="1" t="str">
        <f t="array" ref="CB29:CB29">CB28</f>
        <v>0</v>
      </c>
      <c r="CC29" s="0" t="s">
        <v>1337</v>
      </c>
      <c r="CE29" s="0" t="s">
        <v>303</v>
      </c>
      <c r="CF29" s="0" t="s">
        <v>1333</v>
      </c>
      <c r="CG29" s="0" t="s">
        <v>1334</v>
      </c>
    </row>
    <row s="969" customFormat="1" customHeight="1" ht="22.425" hidden="1">
      <c r="E30" s="180">
        <v>23</v>
      </c>
      <c r="F30" s="175" cm="1" t="str">
        <f t="array" ref="F30:F30">F29</f>
        <v>0</v>
      </c>
      <c r="G30" s="193" t="s">
        <v>1338</v>
      </c>
      <c r="T30" s="753" cm="1" t="str">
        <f t="array" ref="T30:T30">T29</f>
        <v>false</v>
      </c>
      <c r="AB30" s="360" t="s">
        <v>1339</v>
      </c>
      <c r="AC30" s="646" t="s">
        <v>1340</v>
      </c>
      <c r="AD30" s="647" t="s">
        <v>917</v>
      </c>
      <c r="AE30" s="74"/>
      <c r="AF30" s="71"/>
      <c r="AG30" s="71"/>
      <c r="AH30" s="71"/>
      <c r="AI30" s="353"/>
      <c r="AJ30" s="71"/>
      <c r="AK30" s="71"/>
      <c r="AL30" s="71"/>
      <c r="AM30" s="71"/>
      <c r="AN30" s="71"/>
      <c r="AO30" s="71"/>
      <c r="AP30" s="71"/>
      <c r="AQ30" s="71"/>
      <c r="AR30" s="71"/>
      <c r="AS30" s="71"/>
      <c r="AT30" s="71"/>
      <c r="AU30" s="71"/>
      <c r="AV30" s="71"/>
      <c r="AW30" s="71"/>
      <c r="AX30" s="71"/>
      <c r="AY30" s="71"/>
      <c r="AZ30" s="71"/>
      <c r="BA30" s="71"/>
      <c r="BB30" s="71"/>
      <c r="BC30" s="353"/>
      <c r="BD30" s="71"/>
      <c r="BE30" s="71"/>
      <c r="BF30" s="71"/>
      <c r="BG30" s="71"/>
      <c r="BH30" s="71"/>
      <c r="BI30" s="71"/>
      <c r="BJ30" s="71"/>
      <c r="BK30" s="71"/>
      <c r="BL30" s="71"/>
      <c r="BM30" s="71"/>
      <c r="BN30" s="71"/>
      <c r="BO30" s="71"/>
      <c r="BP30" s="71"/>
      <c r="BQ30" s="71"/>
      <c r="BR30" s="71"/>
      <c r="BS30" s="71"/>
      <c r="BT30" s="71"/>
      <c r="BU30" s="71"/>
      <c r="BV30" s="71"/>
      <c r="BW30" s="113"/>
      <c r="BZ30" s="489" t="s">
        <v>1341</v>
      </c>
      <c r="CB30" s="0" cm="1" t="str">
        <f t="array" ref="CB30:CB30">CB29</f>
        <v>0</v>
      </c>
      <c r="CC30" s="0" t="s">
        <v>1342</v>
      </c>
      <c r="CD30" s="0" t="s">
        <v>219</v>
      </c>
      <c r="CE30" s="0" t="s">
        <v>303</v>
      </c>
      <c r="CF30" s="0" t="s">
        <v>1333</v>
      </c>
      <c r="CG30" s="0" t="s">
        <v>1334</v>
      </c>
    </row>
    <row s="969" customFormat="1" customHeight="1" ht="22.425" hidden="1">
      <c r="E31" s="180">
        <v>23</v>
      </c>
      <c r="F31" s="175" cm="1" t="str">
        <f t="array" ref="F31:F31">F30</f>
        <v>0</v>
      </c>
      <c r="G31" s="193" t="s">
        <v>1343</v>
      </c>
      <c r="T31" s="753" cm="1" t="str">
        <f t="array" ref="T31:T31">T30</f>
        <v>false</v>
      </c>
      <c r="AB31" s="360" t="s">
        <v>1344</v>
      </c>
      <c r="AC31" s="646" t="s">
        <v>1345</v>
      </c>
      <c r="AD31" s="647" t="s">
        <v>917</v>
      </c>
      <c r="AE31" s="74"/>
      <c r="AF31" s="71"/>
      <c r="AG31" s="71"/>
      <c r="AH31" s="71"/>
      <c r="AI31" s="353"/>
      <c r="AJ31" s="71"/>
      <c r="AK31" s="71"/>
      <c r="AL31" s="71"/>
      <c r="AM31" s="71"/>
      <c r="AN31" s="71"/>
      <c r="AO31" s="71"/>
      <c r="AP31" s="71"/>
      <c r="AQ31" s="71"/>
      <c r="AR31" s="71"/>
      <c r="AS31" s="71"/>
      <c r="AT31" s="71"/>
      <c r="AU31" s="71"/>
      <c r="AV31" s="71"/>
      <c r="AW31" s="71"/>
      <c r="AX31" s="71"/>
      <c r="AY31" s="71"/>
      <c r="AZ31" s="71"/>
      <c r="BA31" s="71"/>
      <c r="BB31" s="71"/>
      <c r="BC31" s="353"/>
      <c r="BD31" s="71"/>
      <c r="BE31" s="71"/>
      <c r="BF31" s="71"/>
      <c r="BG31" s="71"/>
      <c r="BH31" s="71"/>
      <c r="BI31" s="71"/>
      <c r="BJ31" s="71"/>
      <c r="BK31" s="71"/>
      <c r="BL31" s="71"/>
      <c r="BM31" s="71"/>
      <c r="BN31" s="71"/>
      <c r="BO31" s="71"/>
      <c r="BP31" s="71"/>
      <c r="BQ31" s="71"/>
      <c r="BR31" s="71"/>
      <c r="BS31" s="71"/>
      <c r="BT31" s="71"/>
      <c r="BU31" s="71"/>
      <c r="BV31" s="71"/>
      <c r="BW31" s="113"/>
      <c r="BZ31" s="489" t="s">
        <v>1346</v>
      </c>
      <c r="CB31" s="0" cm="1" t="str">
        <f t="array" ref="CB31:CB31">CB30</f>
        <v>0</v>
      </c>
      <c r="CC31" s="0" t="s">
        <v>1347</v>
      </c>
      <c r="CD31" s="0" t="s">
        <v>219</v>
      </c>
      <c r="CE31" s="0" t="s">
        <v>303</v>
      </c>
      <c r="CF31" s="0" t="s">
        <v>1333</v>
      </c>
      <c r="CG31" s="0" t="s">
        <v>1334</v>
      </c>
    </row>
    <row s="969" customFormat="1" customHeight="1" ht="22.425" hidden="1">
      <c r="E32" s="180">
        <v>23</v>
      </c>
      <c r="F32" s="175" cm="1" t="str">
        <f t="array" ref="F32:F32">F31</f>
        <v>0</v>
      </c>
      <c r="G32" s="193" t="s">
        <v>1348</v>
      </c>
      <c r="T32" s="753" cm="1" t="str">
        <f t="array" ref="T32:T32">T31</f>
        <v>false</v>
      </c>
      <c r="AB32" s="554">
        <v>1.2</v>
      </c>
      <c r="AC32" s="644" t="s">
        <v>1349</v>
      </c>
      <c r="AD32" s="645" t="s">
        <v>917</v>
      </c>
      <c r="AE32" s="74"/>
      <c r="AF32" s="71"/>
      <c r="AG32" s="71"/>
      <c r="AH32" s="71"/>
      <c r="AI32" s="353"/>
      <c r="AJ32" s="71"/>
      <c r="AK32" s="71"/>
      <c r="AL32" s="71"/>
      <c r="AM32" s="71"/>
      <c r="AN32" s="71"/>
      <c r="AO32" s="71"/>
      <c r="AP32" s="71"/>
      <c r="AQ32" s="71"/>
      <c r="AR32" s="71"/>
      <c r="AS32" s="71"/>
      <c r="AT32" s="71"/>
      <c r="AU32" s="71"/>
      <c r="AV32" s="71"/>
      <c r="AW32" s="71"/>
      <c r="AX32" s="71"/>
      <c r="AY32" s="71"/>
      <c r="AZ32" s="71"/>
      <c r="BA32" s="71"/>
      <c r="BB32" s="71"/>
      <c r="BC32" s="353"/>
      <c r="BD32" s="71"/>
      <c r="BE32" s="71"/>
      <c r="BF32" s="71"/>
      <c r="BG32" s="71"/>
      <c r="BH32" s="71"/>
      <c r="BI32" s="71"/>
      <c r="BJ32" s="71"/>
      <c r="BK32" s="71"/>
      <c r="BL32" s="71"/>
      <c r="BM32" s="71"/>
      <c r="BN32" s="71"/>
      <c r="BO32" s="71"/>
      <c r="BP32" s="71"/>
      <c r="BQ32" s="71"/>
      <c r="BR32" s="71"/>
      <c r="BS32" s="71"/>
      <c r="BT32" s="71"/>
      <c r="BU32" s="71"/>
      <c r="BV32" s="71"/>
      <c r="BW32" s="113"/>
      <c r="BZ32" s="489" t="s">
        <v>1350</v>
      </c>
      <c r="CB32" s="0" cm="1" t="str">
        <f t="array" ref="CB32:CB32">CB31</f>
        <v>0</v>
      </c>
      <c r="CC32" s="0" t="s">
        <v>1351</v>
      </c>
      <c r="CE32" s="0" t="s">
        <v>303</v>
      </c>
      <c r="CF32" s="0" t="s">
        <v>1352</v>
      </c>
      <c r="CG32" s="0" t="s">
        <v>1353</v>
      </c>
    </row>
    <row s="969" customFormat="1" customHeight="1" ht="22.425" hidden="1">
      <c r="E33" s="180">
        <v>23</v>
      </c>
      <c r="F33" s="175" cm="1" t="str">
        <f t="array" ref="F33:F33">F32</f>
        <v>0</v>
      </c>
      <c r="T33" s="753" cm="1" t="str">
        <f t="array" ref="T33:T33">T32</f>
        <v>false</v>
      </c>
      <c r="AB33" s="554">
        <v>1.3</v>
      </c>
      <c r="AC33" s="644" t="s">
        <v>1354</v>
      </c>
      <c r="AD33" s="645" t="s">
        <v>917</v>
      </c>
      <c r="AE33" s="604">
        <f>AE34+AE35</f>
        <v>0</v>
      </c>
      <c r="AF33" s="625">
        <f>AF34+AF35</f>
        <v>0</v>
      </c>
      <c r="AG33" s="625">
        <f>AG34+AG35</f>
        <v>0</v>
      </c>
      <c r="AH33" s="625">
        <f>AH34+AH35</f>
        <v>0</v>
      </c>
      <c r="AI33" s="625">
        <f>AI34+AI35</f>
        <v>0</v>
      </c>
      <c r="AJ33" s="625">
        <f>AJ34+AJ35</f>
        <v>0</v>
      </c>
      <c r="AK33" s="625">
        <f>AK34+AK35</f>
        <v>0</v>
      </c>
      <c r="AL33" s="625">
        <f>AL34+AL35</f>
        <v>0</v>
      </c>
      <c r="AM33" s="625">
        <f>AM34+AM35</f>
        <v>0</v>
      </c>
      <c r="AN33" s="625">
        <f>AN34+AN35</f>
        <v>0</v>
      </c>
      <c r="AO33" s="625">
        <f>AO34+AO35</f>
        <v>0</v>
      </c>
      <c r="AP33" s="625">
        <f>AP34+AP35</f>
        <v>0</v>
      </c>
      <c r="AQ33" s="625">
        <f>AQ34+AQ35</f>
        <v>0</v>
      </c>
      <c r="AR33" s="625">
        <f>AR34+AR35</f>
        <v>0</v>
      </c>
      <c r="AS33" s="625">
        <f>AS34+AS35</f>
        <v>0</v>
      </c>
      <c r="AT33" s="625">
        <f>AT34+AT35</f>
        <v>0</v>
      </c>
      <c r="AU33" s="625">
        <f>AU34+AU35</f>
        <v>0</v>
      </c>
      <c r="AV33" s="625">
        <f>AV34+AV35</f>
        <v>0</v>
      </c>
      <c r="AW33" s="625">
        <f>AW34+AW35</f>
        <v>0</v>
      </c>
      <c r="AX33" s="625">
        <f>AX34+AX35</f>
        <v>0</v>
      </c>
      <c r="AY33" s="625">
        <f>AY34+AY35</f>
        <v>0</v>
      </c>
      <c r="AZ33" s="625">
        <f>AZ34+AZ35</f>
        <v>0</v>
      </c>
      <c r="BA33" s="625">
        <f>BA34+BA35</f>
        <v>0</v>
      </c>
      <c r="BB33" s="625">
        <f>BB34+BB35</f>
        <v>0</v>
      </c>
      <c r="BC33" s="625">
        <f>BC34+BC35</f>
        <v>0</v>
      </c>
      <c r="BD33" s="625">
        <f>BD34+BD35</f>
        <v>0</v>
      </c>
      <c r="BE33" s="625">
        <f>BE34+BE35</f>
        <v>0</v>
      </c>
      <c r="BF33" s="625">
        <f>BF34+BF35</f>
        <v>0</v>
      </c>
      <c r="BG33" s="625">
        <f>BG34+BG35</f>
        <v>0</v>
      </c>
      <c r="BH33" s="625">
        <f>BH34+BH35</f>
        <v>0</v>
      </c>
      <c r="BI33" s="625">
        <f>BI34+BI35</f>
        <v>0</v>
      </c>
      <c r="BJ33" s="625">
        <f>BJ34+BJ35</f>
        <v>0</v>
      </c>
      <c r="BK33" s="625">
        <f>BK34+BK35</f>
        <v>0</v>
      </c>
      <c r="BL33" s="625">
        <f>BL34+BL35</f>
        <v>0</v>
      </c>
      <c r="BM33" s="625">
        <f>BM34+BM35</f>
        <v>0</v>
      </c>
      <c r="BN33" s="625">
        <f>BN34+BN35</f>
        <v>0</v>
      </c>
      <c r="BO33" s="625">
        <f>BO34+BO35</f>
        <v>0</v>
      </c>
      <c r="BP33" s="625">
        <f>BP34+BP35</f>
        <v>0</v>
      </c>
      <c r="BQ33" s="625">
        <f>BQ34+BQ35</f>
        <v>0</v>
      </c>
      <c r="BR33" s="625">
        <f>BR34+BR35</f>
        <v>0</v>
      </c>
      <c r="BS33" s="625">
        <f>BS34+BS35</f>
        <v>0</v>
      </c>
      <c r="BT33" s="625">
        <f>BT34+BT35</f>
        <v>0</v>
      </c>
      <c r="BU33" s="625">
        <f>BU34+BU35</f>
        <v>0</v>
      </c>
      <c r="BV33" s="625">
        <f>BV34+BV35</f>
        <v>0</v>
      </c>
      <c r="BW33" s="113"/>
      <c r="BZ33" s="489" t="s">
        <v>1355</v>
      </c>
      <c r="CB33" s="0" cm="1" t="str">
        <f t="array" ref="CB33:CB33">CB32</f>
        <v>0</v>
      </c>
      <c r="CC33" s="0" t="s">
        <v>1356</v>
      </c>
      <c r="CD33" s="0" t="s">
        <v>219</v>
      </c>
      <c r="CE33" s="0" t="s">
        <v>303</v>
      </c>
      <c r="CF33" s="0" t="s">
        <v>1357</v>
      </c>
      <c r="CG33" s="0" t="s">
        <v>1358</v>
      </c>
    </row>
    <row s="969" customFormat="1" customHeight="1" ht="68.25" hidden="1">
      <c r="E34" s="180">
        <v>70</v>
      </c>
      <c r="F34" s="175" cm="1" t="str">
        <f t="array" ref="F34:F34">F33</f>
        <v>0</v>
      </c>
      <c r="G34" s="193" t="s">
        <v>1359</v>
      </c>
      <c r="T34" s="753" cm="1" t="str">
        <f t="array" ref="T34:T34">T33</f>
        <v>false</v>
      </c>
      <c r="AB34" s="360" t="s">
        <v>1360</v>
      </c>
      <c r="AC34" s="646" t="s">
        <v>1361</v>
      </c>
      <c r="AD34" s="647" t="s">
        <v>917</v>
      </c>
      <c r="AE34" s="74"/>
      <c r="AF34" s="71"/>
      <c r="AG34" s="71"/>
      <c r="AH34" s="71"/>
      <c r="AI34" s="353"/>
      <c r="AJ34" s="71"/>
      <c r="AK34" s="71"/>
      <c r="AL34" s="71"/>
      <c r="AM34" s="71"/>
      <c r="AN34" s="71"/>
      <c r="AO34" s="71"/>
      <c r="AP34" s="71"/>
      <c r="AQ34" s="71"/>
      <c r="AR34" s="71"/>
      <c r="AS34" s="71"/>
      <c r="AT34" s="71"/>
      <c r="AU34" s="71"/>
      <c r="AV34" s="71"/>
      <c r="AW34" s="71"/>
      <c r="AX34" s="71"/>
      <c r="AY34" s="71"/>
      <c r="AZ34" s="71"/>
      <c r="BA34" s="71"/>
      <c r="BB34" s="71"/>
      <c r="BC34" s="353"/>
      <c r="BD34" s="71"/>
      <c r="BE34" s="71"/>
      <c r="BF34" s="71"/>
      <c r="BG34" s="71"/>
      <c r="BH34" s="71"/>
      <c r="BI34" s="71"/>
      <c r="BJ34" s="71"/>
      <c r="BK34" s="71"/>
      <c r="BL34" s="71"/>
      <c r="BM34" s="71"/>
      <c r="BN34" s="71"/>
      <c r="BO34" s="71"/>
      <c r="BP34" s="71"/>
      <c r="BQ34" s="71"/>
      <c r="BR34" s="71"/>
      <c r="BS34" s="71"/>
      <c r="BT34" s="71"/>
      <c r="BU34" s="71"/>
      <c r="BV34" s="71"/>
      <c r="BW34" s="113"/>
      <c r="BZ34" s="489" t="s">
        <v>1362</v>
      </c>
      <c r="CB34" s="0" cm="1" t="str">
        <f t="array" ref="CB34:CB34">CB33</f>
        <v>0</v>
      </c>
      <c r="CC34" s="0" t="s">
        <v>1356</v>
      </c>
      <c r="CD34" s="0" t="s">
        <v>255</v>
      </c>
      <c r="CE34" s="0" t="s">
        <v>303</v>
      </c>
      <c r="CF34" s="0" t="s">
        <v>1363</v>
      </c>
      <c r="CG34" s="0" t="s">
        <v>1364</v>
      </c>
    </row>
    <row s="969" customFormat="1" customHeight="1" ht="28.275000000000002" hidden="1">
      <c r="E35" s="180">
        <v>29</v>
      </c>
      <c r="F35" s="175" cm="1" t="str">
        <f t="array" ref="F35:F35">F34</f>
        <v>0</v>
      </c>
      <c r="G35" s="193" t="s">
        <v>1365</v>
      </c>
      <c r="T35" s="753" cm="1" t="str">
        <f t="array" ref="T35:T35">T34</f>
        <v>false</v>
      </c>
      <c r="AB35" s="360" t="s">
        <v>1366</v>
      </c>
      <c r="AC35" s="646" t="s">
        <v>1367</v>
      </c>
      <c r="AD35" s="647" t="s">
        <v>917</v>
      </c>
      <c r="AE35" s="74"/>
      <c r="AF35" s="71"/>
      <c r="AG35" s="71"/>
      <c r="AH35" s="71"/>
      <c r="AI35" s="353"/>
      <c r="AJ35" s="71"/>
      <c r="AK35" s="71"/>
      <c r="AL35" s="71"/>
      <c r="AM35" s="71"/>
      <c r="AN35" s="71"/>
      <c r="AO35" s="71"/>
      <c r="AP35" s="71"/>
      <c r="AQ35" s="71"/>
      <c r="AR35" s="71"/>
      <c r="AS35" s="71"/>
      <c r="AT35" s="71"/>
      <c r="AU35" s="71"/>
      <c r="AV35" s="71"/>
      <c r="AW35" s="71"/>
      <c r="AX35" s="71"/>
      <c r="AY35" s="71"/>
      <c r="AZ35" s="71"/>
      <c r="BA35" s="71"/>
      <c r="BB35" s="71"/>
      <c r="BC35" s="353"/>
      <c r="BD35" s="71"/>
      <c r="BE35" s="71"/>
      <c r="BF35" s="71"/>
      <c r="BG35" s="71"/>
      <c r="BH35" s="71"/>
      <c r="BI35" s="71"/>
      <c r="BJ35" s="71"/>
      <c r="BK35" s="71"/>
      <c r="BL35" s="71"/>
      <c r="BM35" s="71"/>
      <c r="BN35" s="71"/>
      <c r="BO35" s="71"/>
      <c r="BP35" s="71"/>
      <c r="BQ35" s="71"/>
      <c r="BR35" s="71"/>
      <c r="BS35" s="71"/>
      <c r="BT35" s="71"/>
      <c r="BU35" s="71"/>
      <c r="BV35" s="71"/>
      <c r="BW35" s="113"/>
      <c r="BZ35" s="489" t="s">
        <v>1368</v>
      </c>
      <c r="CB35" s="0" cm="1" t="str">
        <f t="array" ref="CB35:CB35">CB34</f>
        <v>0</v>
      </c>
      <c r="CC35" s="0" t="s">
        <v>1356</v>
      </c>
      <c r="CD35" s="0" t="s">
        <v>449</v>
      </c>
      <c r="CE35" s="0" t="s">
        <v>303</v>
      </c>
      <c r="CF35" s="0" t="s">
        <v>1369</v>
      </c>
      <c r="CG35" s="0" t="s">
        <v>1370</v>
      </c>
    </row>
    <row s="969" customFormat="1" customHeight="1" ht="21.450000000000003" hidden="1">
      <c r="E36" s="180">
        <v>22</v>
      </c>
      <c r="F36" s="175" cm="1" t="str">
        <f t="array" ref="F36:F36">F35</f>
        <v>0</v>
      </c>
      <c r="T36" s="753" cm="1" t="str">
        <f t="array" ref="T36:T36">T35</f>
        <v>false</v>
      </c>
      <c r="AB36" s="554">
        <v>1.4</v>
      </c>
      <c r="AC36" s="644" t="s">
        <v>1371</v>
      </c>
      <c r="AD36" s="645" t="s">
        <v>917</v>
      </c>
      <c r="AE36" s="604">
        <f>AE37+AE38</f>
        <v>0</v>
      </c>
      <c r="AF36" s="625">
        <f>AF37+AF38</f>
        <v>0</v>
      </c>
      <c r="AG36" s="625">
        <f>AG37+AG38</f>
        <v>0</v>
      </c>
      <c r="AH36" s="625">
        <f>AH37+AH38</f>
        <v>0</v>
      </c>
      <c r="AI36" s="625">
        <f>AI37+AI38</f>
        <v>0</v>
      </c>
      <c r="AJ36" s="625">
        <f>AJ37+AJ38</f>
        <v>0</v>
      </c>
      <c r="AK36" s="625">
        <f>AK37+AK38</f>
        <v>0</v>
      </c>
      <c r="AL36" s="625">
        <f>AL37+AL38</f>
        <v>0</v>
      </c>
      <c r="AM36" s="625">
        <f>AM37+AM38</f>
        <v>0</v>
      </c>
      <c r="AN36" s="625">
        <f>AN37+AN38</f>
        <v>0</v>
      </c>
      <c r="AO36" s="625">
        <f>AO37+AO38</f>
        <v>0</v>
      </c>
      <c r="AP36" s="625">
        <f>AP37+AP38</f>
        <v>0</v>
      </c>
      <c r="AQ36" s="625">
        <f>AQ37+AQ38</f>
        <v>0</v>
      </c>
      <c r="AR36" s="625">
        <f>AR37+AR38</f>
        <v>0</v>
      </c>
      <c r="AS36" s="625">
        <f>AS37+AS38</f>
        <v>0</v>
      </c>
      <c r="AT36" s="625">
        <f>AT37+AT38</f>
        <v>0</v>
      </c>
      <c r="AU36" s="625">
        <f>AU37+AU38</f>
        <v>0</v>
      </c>
      <c r="AV36" s="625">
        <f>AV37+AV38</f>
        <v>0</v>
      </c>
      <c r="AW36" s="625">
        <f>AW37+AW38</f>
        <v>0</v>
      </c>
      <c r="AX36" s="625">
        <f>AX37+AX38</f>
        <v>0</v>
      </c>
      <c r="AY36" s="625">
        <f>AY37+AY38</f>
        <v>0</v>
      </c>
      <c r="AZ36" s="625">
        <f>AZ37+AZ38</f>
        <v>0</v>
      </c>
      <c r="BA36" s="625">
        <f>BA37+BA38</f>
        <v>0</v>
      </c>
      <c r="BB36" s="625">
        <f>BB37+BB38</f>
        <v>0</v>
      </c>
      <c r="BC36" s="625">
        <f>BC37+BC38</f>
        <v>0</v>
      </c>
      <c r="BD36" s="625">
        <f>BD37+BD38</f>
        <v>0</v>
      </c>
      <c r="BE36" s="625">
        <f>BE37+BE38</f>
        <v>0</v>
      </c>
      <c r="BF36" s="625">
        <f>BF37+BF38</f>
        <v>0</v>
      </c>
      <c r="BG36" s="625">
        <f>BG37+BG38</f>
        <v>0</v>
      </c>
      <c r="BH36" s="625">
        <f>BH37+BH38</f>
        <v>0</v>
      </c>
      <c r="BI36" s="625">
        <f>BI37+BI38</f>
        <v>0</v>
      </c>
      <c r="BJ36" s="625">
        <f>BJ37+BJ38</f>
        <v>0</v>
      </c>
      <c r="BK36" s="625">
        <f>BK37+BK38</f>
        <v>0</v>
      </c>
      <c r="BL36" s="625">
        <f>BL37+BL38</f>
        <v>0</v>
      </c>
      <c r="BM36" s="625">
        <f>BM37+BM38</f>
        <v>0</v>
      </c>
      <c r="BN36" s="625">
        <f>BN37+BN38</f>
        <v>0</v>
      </c>
      <c r="BO36" s="625">
        <f>BO37+BO38</f>
        <v>0</v>
      </c>
      <c r="BP36" s="625">
        <f>BP37+BP38</f>
        <v>0</v>
      </c>
      <c r="BQ36" s="625">
        <f>BQ37+BQ38</f>
        <v>0</v>
      </c>
      <c r="BR36" s="625">
        <f>BR37+BR38</f>
        <v>0</v>
      </c>
      <c r="BS36" s="625">
        <f>BS37+BS38</f>
        <v>0</v>
      </c>
      <c r="BT36" s="625">
        <f>BT37+BT38</f>
        <v>0</v>
      </c>
      <c r="BU36" s="625">
        <f>BU37+BU38</f>
        <v>0</v>
      </c>
      <c r="BV36" s="625">
        <f>BV37+BV38</f>
        <v>0</v>
      </c>
      <c r="BW36" s="113"/>
      <c r="BZ36" s="489" t="s">
        <v>1372</v>
      </c>
      <c r="CB36" s="0" cm="1" t="str">
        <f t="array" ref="CB36:CB36">CB35</f>
        <v>0</v>
      </c>
      <c r="CC36" s="0" t="s">
        <v>1373</v>
      </c>
      <c r="CE36" s="0" t="s">
        <v>303</v>
      </c>
      <c r="CF36" s="0" t="s">
        <v>1374</v>
      </c>
      <c r="CG36" s="0" t="s">
        <v>1375</v>
      </c>
    </row>
    <row s="969" customFormat="1" customHeight="1" ht="22.425" hidden="1">
      <c r="E37" s="180">
        <v>23</v>
      </c>
      <c r="F37" s="175" cm="1" t="str">
        <f t="array" ref="F37:F37">F36</f>
        <v>0</v>
      </c>
      <c r="G37" s="193" t="s">
        <v>1338</v>
      </c>
      <c r="T37" s="753" cm="1" t="str">
        <f t="array" ref="T37:T37">T36</f>
        <v>false</v>
      </c>
      <c r="AB37" s="360" t="s">
        <v>1190</v>
      </c>
      <c r="AC37" s="646" t="s">
        <v>1340</v>
      </c>
      <c r="AD37" s="647" t="s">
        <v>917</v>
      </c>
      <c r="AE37" s="74"/>
      <c r="AF37" s="71"/>
      <c r="AG37" s="71"/>
      <c r="AH37" s="71"/>
      <c r="AI37" s="353"/>
      <c r="AJ37" s="71"/>
      <c r="AK37" s="71"/>
      <c r="AL37" s="71"/>
      <c r="AM37" s="71"/>
      <c r="AN37" s="71"/>
      <c r="AO37" s="71"/>
      <c r="AP37" s="71"/>
      <c r="AQ37" s="71"/>
      <c r="AR37" s="71"/>
      <c r="AS37" s="71"/>
      <c r="AT37" s="71"/>
      <c r="AU37" s="71"/>
      <c r="AV37" s="71"/>
      <c r="AW37" s="71"/>
      <c r="AX37" s="71"/>
      <c r="AY37" s="71"/>
      <c r="AZ37" s="71"/>
      <c r="BA37" s="71"/>
      <c r="BB37" s="71"/>
      <c r="BC37" s="353"/>
      <c r="BD37" s="71"/>
      <c r="BE37" s="71"/>
      <c r="BF37" s="71"/>
      <c r="BG37" s="71"/>
      <c r="BH37" s="71"/>
      <c r="BI37" s="71"/>
      <c r="BJ37" s="71"/>
      <c r="BK37" s="71"/>
      <c r="BL37" s="71"/>
      <c r="BM37" s="71"/>
      <c r="BN37" s="71"/>
      <c r="BO37" s="71"/>
      <c r="BP37" s="71"/>
      <c r="BQ37" s="71"/>
      <c r="BR37" s="71"/>
      <c r="BS37" s="71"/>
      <c r="BT37" s="71"/>
      <c r="BU37" s="71"/>
      <c r="BV37" s="71"/>
      <c r="BW37" s="113"/>
      <c r="BZ37" s="489" t="s">
        <v>1376</v>
      </c>
      <c r="CB37" s="0" cm="1" t="str">
        <f t="array" ref="CB37:CB37">CB36</f>
        <v>0</v>
      </c>
      <c r="CC37" s="0" t="s">
        <v>1342</v>
      </c>
      <c r="CD37" s="0" t="s">
        <v>255</v>
      </c>
      <c r="CE37" s="0" t="s">
        <v>303</v>
      </c>
      <c r="CF37" s="0" t="s">
        <v>1377</v>
      </c>
      <c r="CG37" s="0" t="s">
        <v>1378</v>
      </c>
    </row>
    <row s="969" customFormat="1" customHeight="1" ht="22.425" hidden="1">
      <c r="E38" s="180">
        <v>23</v>
      </c>
      <c r="F38" s="175" cm="1" t="str">
        <f t="array" ref="F38:F38">F37</f>
        <v>0</v>
      </c>
      <c r="G38" s="193" t="s">
        <v>1343</v>
      </c>
      <c r="T38" s="753" cm="1" t="str">
        <f t="array" ref="T38:T38">T37</f>
        <v>false</v>
      </c>
      <c r="AB38" s="360" t="s">
        <v>1194</v>
      </c>
      <c r="AC38" s="646" t="s">
        <v>1345</v>
      </c>
      <c r="AD38" s="647" t="s">
        <v>917</v>
      </c>
      <c r="AE38" s="74"/>
      <c r="AF38" s="71"/>
      <c r="AG38" s="71"/>
      <c r="AH38" s="71"/>
      <c r="AI38" s="353"/>
      <c r="AJ38" s="71"/>
      <c r="AK38" s="71"/>
      <c r="AL38" s="71"/>
      <c r="AM38" s="71"/>
      <c r="AN38" s="71"/>
      <c r="AO38" s="71"/>
      <c r="AP38" s="71"/>
      <c r="AQ38" s="71"/>
      <c r="AR38" s="71"/>
      <c r="AS38" s="71"/>
      <c r="AT38" s="71"/>
      <c r="AU38" s="71"/>
      <c r="AV38" s="71"/>
      <c r="AW38" s="71"/>
      <c r="AX38" s="71"/>
      <c r="AY38" s="71"/>
      <c r="AZ38" s="71"/>
      <c r="BA38" s="71"/>
      <c r="BB38" s="71"/>
      <c r="BC38" s="353"/>
      <c r="BD38" s="71"/>
      <c r="BE38" s="71"/>
      <c r="BF38" s="71"/>
      <c r="BG38" s="71"/>
      <c r="BH38" s="71"/>
      <c r="BI38" s="71"/>
      <c r="BJ38" s="71"/>
      <c r="BK38" s="71"/>
      <c r="BL38" s="71"/>
      <c r="BM38" s="71"/>
      <c r="BN38" s="71"/>
      <c r="BO38" s="71"/>
      <c r="BP38" s="71"/>
      <c r="BQ38" s="71"/>
      <c r="BR38" s="71"/>
      <c r="BS38" s="71"/>
      <c r="BT38" s="71"/>
      <c r="BU38" s="71"/>
      <c r="BV38" s="71"/>
      <c r="BW38" s="113"/>
      <c r="BZ38" s="489" t="s">
        <v>1379</v>
      </c>
      <c r="CB38" s="0" cm="1" t="str">
        <f t="array" ref="CB38:CB38">CB37</f>
        <v>0</v>
      </c>
      <c r="CC38" s="0" t="s">
        <v>1347</v>
      </c>
      <c r="CD38" s="0" t="s">
        <v>255</v>
      </c>
      <c r="CE38" s="0" t="s">
        <v>303</v>
      </c>
      <c r="CF38" s="0" t="s">
        <v>1380</v>
      </c>
      <c r="CG38" s="0" t="s">
        <v>1381</v>
      </c>
    </row>
    <row s="969" customFormat="1" customHeight="1" ht="10.5">
      <c r="A39" s="969"/>
      <c r="B39" s="969"/>
      <c r="C39" s="969"/>
      <c r="D39" s="969"/>
      <c r="E39" s="180">
        <v>11</v>
      </c>
      <c r="F39" s="175" cm="1" t="str">
        <f t="array" ref="F39:F39">X39</f>
        <v>1</v>
      </c>
      <c r="G39" s="969"/>
      <c r="H39" s="969"/>
      <c r="I39" s="969"/>
      <c r="J39" s="969"/>
      <c r="K39" s="969"/>
      <c r="L39" s="969"/>
      <c r="M39" s="969"/>
      <c r="N39" s="969"/>
      <c r="O39" s="969"/>
      <c r="P39" s="969"/>
      <c r="Q39" s="969"/>
      <c r="R39" s="969"/>
      <c r="S39" s="969"/>
      <c r="T39" s="753">
        <f>X39&gt;0</f>
        <v>1</v>
      </c>
      <c r="U39" s="969"/>
      <c r="V39" s="175" cm="1" t="str">
        <f t="array" ref="V39:V39">Амортизация!$AB$126</f>
        <v>Тариф 1 (Теплоснабжение) - Тариф на тепловую энергию (мощность), поставляемую потребителям (Доп. признак не требуется)</v>
      </c>
      <c r="W39" s="969"/>
      <c r="X39" s="175" t="s">
        <v>308</v>
      </c>
      <c r="Y39" s="969"/>
      <c r="Z39" s="969"/>
      <c r="AA39" s="969"/>
      <c r="AB39" s="621" cm="1" t="str">
        <f t="array" ref="AB39:AB39">IF(ISBLANK(Амортизация!$AB$126),"",Амортизация!$AB$126)</f>
        <v>Тариф 1 (Теплоснабжение) - Тариф на тепловую энергию (мощность), поставляемую потребителям (Доп. признак не требуется)</v>
      </c>
      <c r="AC39" s="298"/>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630"/>
      <c r="BX39" s="969"/>
      <c r="BY39" s="969"/>
      <c r="BZ39" s="489"/>
      <c r="CA39" s="969"/>
      <c r="CB39" s="969"/>
      <c r="CC39" s="969"/>
      <c r="CD39" s="969"/>
      <c r="CE39" s="969"/>
      <c r="CF39" s="969"/>
      <c r="CG39" s="969"/>
    </row>
    <row s="969" customFormat="1" customHeight="1" ht="27">
      <c r="A40" s="969"/>
      <c r="B40" s="969"/>
      <c r="C40" s="969"/>
      <c r="D40" s="969"/>
      <c r="E40" s="180">
        <v>28</v>
      </c>
      <c r="F40" s="175" cm="1" t="str">
        <f t="array" ref="F40:F40">F39</f>
        <v>1</v>
      </c>
      <c r="G40" s="193" t="s">
        <v>1331</v>
      </c>
      <c r="H40" s="969"/>
      <c r="I40" s="969"/>
      <c r="J40" s="969"/>
      <c r="K40" s="969"/>
      <c r="L40" s="969"/>
      <c r="M40" s="969"/>
      <c r="N40" s="969"/>
      <c r="O40" s="969"/>
      <c r="P40" s="969"/>
      <c r="Q40" s="969"/>
      <c r="R40" s="969"/>
      <c r="S40" s="969"/>
      <c r="T40" s="753" cm="1" t="str">
        <f t="array" ref="T40:T40">T39</f>
        <v>true</v>
      </c>
      <c r="U40" s="969"/>
      <c r="V40" s="969"/>
      <c r="W40" s="969"/>
      <c r="X40" s="969"/>
      <c r="Y40" s="969"/>
      <c r="Z40" s="969"/>
      <c r="AA40" s="969"/>
      <c r="AB40" s="641">
        <v>1</v>
      </c>
      <c r="AC40" s="642" t="s">
        <v>46</v>
      </c>
      <c r="AD40" s="643" t="s">
        <v>917</v>
      </c>
      <c r="AE40" s="625">
        <f>AE41+AE44+AE45+AE48</f>
        <v>0</v>
      </c>
      <c r="AF40" s="625">
        <f>AF41+AF44+AF45+AF48</f>
        <v>0</v>
      </c>
      <c r="AG40" s="625">
        <f>AG41+AG44+AG45+AG48</f>
        <v>0</v>
      </c>
      <c r="AH40" s="625">
        <f>AH41+AH44+AH45+AH48</f>
        <v>0</v>
      </c>
      <c r="AI40" s="625">
        <f>AI41+AI44+AI45+AI48</f>
        <v>0</v>
      </c>
      <c r="AJ40" s="625">
        <f>AJ41+AJ44+AJ45+AJ48</f>
        <v>0</v>
      </c>
      <c r="AK40" s="625">
        <f>AK41+AK44+AK45+AK48</f>
        <v>0</v>
      </c>
      <c r="AL40" s="625">
        <f>AL41+AL44+AL45+AL48</f>
        <v>0</v>
      </c>
      <c r="AM40" s="625">
        <f>AM41+AM44+AM45+AM48</f>
        <v>0</v>
      </c>
      <c r="AN40" s="625">
        <f>AN41+AN44+AN45+AN48</f>
        <v>0</v>
      </c>
      <c r="AO40" s="625">
        <f>AO41+AO44+AO45+AO48</f>
        <v>0</v>
      </c>
      <c r="AP40" s="625">
        <f>AP41+AP44+AP45+AP48</f>
        <v>0</v>
      </c>
      <c r="AQ40" s="625">
        <f>AQ41+AQ44+AQ45+AQ48</f>
        <v>0</v>
      </c>
      <c r="AR40" s="625">
        <f>AR41+AR44+AR45+AR48</f>
        <v>0</v>
      </c>
      <c r="AS40" s="625">
        <f>AS41+AS44+AS45+AS48</f>
        <v>0</v>
      </c>
      <c r="AT40" s="625">
        <f>AT41+AT44+AT45+AT48</f>
        <v>0</v>
      </c>
      <c r="AU40" s="625">
        <f>AU41+AU44+AU45+AU48</f>
        <v>0</v>
      </c>
      <c r="AV40" s="625">
        <f>AV41+AV44+AV45+AV48</f>
        <v>0</v>
      </c>
      <c r="AW40" s="625">
        <f>AW41+AW44+AW45+AW48</f>
        <v>0</v>
      </c>
      <c r="AX40" s="625">
        <f>AX41+AX44+AX45+AX48</f>
        <v>0</v>
      </c>
      <c r="AY40" s="625">
        <f>AY41+AY44+AY45+AY48</f>
        <v>0</v>
      </c>
      <c r="AZ40" s="625">
        <f>AZ41+AZ44+AZ45+AZ48</f>
        <v>0</v>
      </c>
      <c r="BA40" s="625">
        <f>BA41+BA44+BA45+BA48</f>
        <v>0</v>
      </c>
      <c r="BB40" s="625">
        <f>BB41+BB44+BB45+BB48</f>
        <v>0</v>
      </c>
      <c r="BC40" s="625">
        <f>BC41+BC44+BC45+BC48</f>
        <v>0</v>
      </c>
      <c r="BD40" s="625">
        <f>BD41+BD44+BD45+BD48</f>
        <v>0</v>
      </c>
      <c r="BE40" s="625">
        <f>BE41+BE44+BE45+BE48</f>
        <v>0</v>
      </c>
      <c r="BF40" s="625">
        <f>BF41+BF44+BF45+BF48</f>
        <v>0</v>
      </c>
      <c r="BG40" s="625">
        <f>BG41+BG44+BG45+BG48</f>
        <v>0</v>
      </c>
      <c r="BH40" s="625">
        <f>BH41+BH44+BH45+BH48</f>
        <v>0</v>
      </c>
      <c r="BI40" s="625">
        <f>BI41+BI44+BI45+BI48</f>
        <v>0</v>
      </c>
      <c r="BJ40" s="625">
        <f>BJ41+BJ44+BJ45+BJ48</f>
        <v>0</v>
      </c>
      <c r="BK40" s="625">
        <f>BK41+BK44+BK45+BK48</f>
        <v>0</v>
      </c>
      <c r="BL40" s="625">
        <f>BL41+BL44+BL45+BL48</f>
        <v>0</v>
      </c>
      <c r="BM40" s="625">
        <f>BM41+BM44+BM45+BM48</f>
        <v>0</v>
      </c>
      <c r="BN40" s="625">
        <f>BN41+BN44+BN45+BN48</f>
        <v>0</v>
      </c>
      <c r="BO40" s="625">
        <f>BO41+BO44+BO45+BO48</f>
        <v>0</v>
      </c>
      <c r="BP40" s="625">
        <f>BP41+BP44+BP45+BP48</f>
        <v>0</v>
      </c>
      <c r="BQ40" s="625">
        <f>BQ41+BQ44+BQ45+BQ48</f>
        <v>0</v>
      </c>
      <c r="BR40" s="625">
        <f>BR41+BR44+BR45+BR48</f>
        <v>0</v>
      </c>
      <c r="BS40" s="625">
        <f>BS41+BS44+BS45+BS48</f>
        <v>0</v>
      </c>
      <c r="BT40" s="625">
        <f>BT41+BT44+BT45+BT48</f>
        <v>0</v>
      </c>
      <c r="BU40" s="625">
        <f>BU41+BU44+BU45+BU48</f>
        <v>0</v>
      </c>
      <c r="BV40" s="625">
        <f>BV41+BV44+BV45+BV48</f>
        <v>0</v>
      </c>
      <c r="BW40" s="2313"/>
      <c r="BX40" s="969"/>
      <c r="BY40" s="969"/>
      <c r="BZ40" s="489" t="s">
        <v>1332</v>
      </c>
      <c r="CA40" s="969"/>
      <c r="CB40" s="0" cm="1" t="str">
        <f t="array" ref="CB40:CB40">INDEX('Общие сведения'!$N$170:$N$202,MATCH($F40,'Общие сведения'!$Y$170:$Y$202,0)+1)</f>
        <v>ТЭ.42.31656254.0001</v>
      </c>
      <c r="CC40" s="969"/>
      <c r="CD40" s="969"/>
      <c r="CE40" s="0" t="s">
        <v>303</v>
      </c>
      <c r="CF40" s="0" t="s">
        <v>1333</v>
      </c>
      <c r="CG40" s="0" t="s">
        <v>1334</v>
      </c>
    </row>
    <row s="969" customFormat="1" customHeight="1" ht="21.75">
      <c r="A41" s="969"/>
      <c r="B41" s="969"/>
      <c r="C41" s="969"/>
      <c r="D41" s="969"/>
      <c r="E41" s="180">
        <v>23</v>
      </c>
      <c r="F41" s="175" cm="1" t="str">
        <f t="array" ref="F41:F41">F40</f>
        <v>1</v>
      </c>
      <c r="G41" s="969"/>
      <c r="H41" s="969"/>
      <c r="I41" s="969"/>
      <c r="J41" s="969"/>
      <c r="K41" s="969"/>
      <c r="L41" s="969"/>
      <c r="M41" s="969"/>
      <c r="N41" s="969"/>
      <c r="O41" s="969"/>
      <c r="P41" s="969"/>
      <c r="Q41" s="969"/>
      <c r="R41" s="969"/>
      <c r="S41" s="969"/>
      <c r="T41" s="753" cm="1" t="str">
        <f t="array" ref="T41:T41">T40</f>
        <v>true</v>
      </c>
      <c r="U41" s="969"/>
      <c r="V41" s="969"/>
      <c r="W41" s="969"/>
      <c r="X41" s="969"/>
      <c r="Y41" s="969"/>
      <c r="Z41" s="969"/>
      <c r="AA41" s="969"/>
      <c r="AB41" s="554">
        <v>1.1</v>
      </c>
      <c r="AC41" s="644" t="s">
        <v>1335</v>
      </c>
      <c r="AD41" s="645" t="s">
        <v>917</v>
      </c>
      <c r="AE41" s="604">
        <f>AE42+AE43</f>
        <v>0</v>
      </c>
      <c r="AF41" s="625">
        <f>AF42+AF43</f>
        <v>0</v>
      </c>
      <c r="AG41" s="625">
        <f>AG42+AG43</f>
        <v>0</v>
      </c>
      <c r="AH41" s="625">
        <f>AH42+AH43</f>
        <v>0</v>
      </c>
      <c r="AI41" s="625">
        <f>AI42+AI43</f>
        <v>0</v>
      </c>
      <c r="AJ41" s="625">
        <f>AJ42+AJ43</f>
        <v>0</v>
      </c>
      <c r="AK41" s="625">
        <f>AK42+AK43</f>
        <v>0</v>
      </c>
      <c r="AL41" s="625">
        <f>AL42+AL43</f>
        <v>0</v>
      </c>
      <c r="AM41" s="625">
        <f>AM42+AM43</f>
        <v>0</v>
      </c>
      <c r="AN41" s="625">
        <f>AN42+AN43</f>
        <v>0</v>
      </c>
      <c r="AO41" s="625">
        <f>AO42+AO43</f>
        <v>0</v>
      </c>
      <c r="AP41" s="625">
        <f>AP42+AP43</f>
        <v>0</v>
      </c>
      <c r="AQ41" s="625">
        <f>AQ42+AQ43</f>
        <v>0</v>
      </c>
      <c r="AR41" s="625">
        <f>AR42+AR43</f>
        <v>0</v>
      </c>
      <c r="AS41" s="625">
        <f>AS42+AS43</f>
        <v>0</v>
      </c>
      <c r="AT41" s="625">
        <f>AT42+AT43</f>
        <v>0</v>
      </c>
      <c r="AU41" s="625">
        <f>AU42+AU43</f>
        <v>0</v>
      </c>
      <c r="AV41" s="625">
        <f>AV42+AV43</f>
        <v>0</v>
      </c>
      <c r="AW41" s="625">
        <f>AW42+AW43</f>
        <v>0</v>
      </c>
      <c r="AX41" s="625">
        <f>AX42+AX43</f>
        <v>0</v>
      </c>
      <c r="AY41" s="625">
        <f>AY42+AY43</f>
        <v>0</v>
      </c>
      <c r="AZ41" s="625">
        <f>AZ42+AZ43</f>
        <v>0</v>
      </c>
      <c r="BA41" s="625">
        <f>BA42+BA43</f>
        <v>0</v>
      </c>
      <c r="BB41" s="625">
        <f>BB42+BB43</f>
        <v>0</v>
      </c>
      <c r="BC41" s="625">
        <f>BC42+BC43</f>
        <v>0</v>
      </c>
      <c r="BD41" s="625">
        <f>BD42+BD43</f>
        <v>0</v>
      </c>
      <c r="BE41" s="625">
        <f>BE42+BE43</f>
        <v>0</v>
      </c>
      <c r="BF41" s="625">
        <f>BF42+BF43</f>
        <v>0</v>
      </c>
      <c r="BG41" s="625">
        <f>BG42+BG43</f>
        <v>0</v>
      </c>
      <c r="BH41" s="625">
        <f>BH42+BH43</f>
        <v>0</v>
      </c>
      <c r="BI41" s="625">
        <f>BI42+BI43</f>
        <v>0</v>
      </c>
      <c r="BJ41" s="625">
        <f>BJ42+BJ43</f>
        <v>0</v>
      </c>
      <c r="BK41" s="625">
        <f>BK42+BK43</f>
        <v>0</v>
      </c>
      <c r="BL41" s="625">
        <f>BL42+BL43</f>
        <v>0</v>
      </c>
      <c r="BM41" s="625">
        <f>BM42+BM43</f>
        <v>0</v>
      </c>
      <c r="BN41" s="625">
        <f>BN42+BN43</f>
        <v>0</v>
      </c>
      <c r="BO41" s="625">
        <f>BO42+BO43</f>
        <v>0</v>
      </c>
      <c r="BP41" s="625">
        <f>BP42+BP43</f>
        <v>0</v>
      </c>
      <c r="BQ41" s="625">
        <f>BQ42+BQ43</f>
        <v>0</v>
      </c>
      <c r="BR41" s="625">
        <f>BR42+BR43</f>
        <v>0</v>
      </c>
      <c r="BS41" s="625">
        <f>BS42+BS43</f>
        <v>0</v>
      </c>
      <c r="BT41" s="625">
        <f>BT42+BT43</f>
        <v>0</v>
      </c>
      <c r="BU41" s="625">
        <f>BU42+BU43</f>
        <v>0</v>
      </c>
      <c r="BV41" s="625">
        <f>BV42+BV43</f>
        <v>0</v>
      </c>
      <c r="BW41" s="2313"/>
      <c r="BX41" s="969"/>
      <c r="BY41" s="969"/>
      <c r="BZ41" s="489" t="s">
        <v>1336</v>
      </c>
      <c r="CA41" s="969"/>
      <c r="CB41" s="0" cm="1" t="str">
        <f t="array" ref="CB41:CB41">CB40</f>
        <v>ТЭ.42.31656254.0001</v>
      </c>
      <c r="CC41" s="0" t="s">
        <v>1337</v>
      </c>
      <c r="CD41" s="969"/>
      <c r="CE41" s="0" t="s">
        <v>303</v>
      </c>
      <c r="CF41" s="0" t="s">
        <v>1333</v>
      </c>
      <c r="CG41" s="0" t="s">
        <v>1334</v>
      </c>
    </row>
    <row s="969" customFormat="1" customHeight="1" ht="21.75">
      <c r="A42" s="969"/>
      <c r="B42" s="969"/>
      <c r="C42" s="969"/>
      <c r="D42" s="969"/>
      <c r="E42" s="180">
        <v>23</v>
      </c>
      <c r="F42" s="175" cm="1" t="str">
        <f t="array" ref="F42:F42">F41</f>
        <v>1</v>
      </c>
      <c r="G42" s="193" t="s">
        <v>1338</v>
      </c>
      <c r="H42" s="969"/>
      <c r="I42" s="969"/>
      <c r="J42" s="969"/>
      <c r="K42" s="969"/>
      <c r="L42" s="969"/>
      <c r="M42" s="969"/>
      <c r="N42" s="969"/>
      <c r="O42" s="969"/>
      <c r="P42" s="969"/>
      <c r="Q42" s="969"/>
      <c r="R42" s="969"/>
      <c r="S42" s="969"/>
      <c r="T42" s="753" cm="1" t="str">
        <f t="array" ref="T42:T42">T41</f>
        <v>true</v>
      </c>
      <c r="U42" s="969"/>
      <c r="V42" s="969"/>
      <c r="W42" s="969"/>
      <c r="X42" s="969"/>
      <c r="Y42" s="969"/>
      <c r="Z42" s="969"/>
      <c r="AA42" s="969"/>
      <c r="AB42" s="360" t="s">
        <v>1339</v>
      </c>
      <c r="AC42" s="646" t="s">
        <v>1340</v>
      </c>
      <c r="AD42" s="647" t="s">
        <v>917</v>
      </c>
      <c r="AE42" s="1871"/>
      <c r="AF42" s="1864"/>
      <c r="AG42" s="1864"/>
      <c r="AH42" s="1864"/>
      <c r="AI42" s="353"/>
      <c r="AJ42" s="1864"/>
      <c r="AK42" s="1864"/>
      <c r="AL42" s="1864"/>
      <c r="AM42" s="1864"/>
      <c r="AN42" s="1864"/>
      <c r="AO42" s="1864"/>
      <c r="AP42" s="1864"/>
      <c r="AQ42" s="1864"/>
      <c r="AR42" s="1864"/>
      <c r="AS42" s="1864"/>
      <c r="AT42" s="1864"/>
      <c r="AU42" s="1864"/>
      <c r="AV42" s="1864"/>
      <c r="AW42" s="1864"/>
      <c r="AX42" s="1864"/>
      <c r="AY42" s="1864"/>
      <c r="AZ42" s="1864"/>
      <c r="BA42" s="1864"/>
      <c r="BB42" s="1864"/>
      <c r="BC42" s="353"/>
      <c r="BD42" s="1864"/>
      <c r="BE42" s="1864"/>
      <c r="BF42" s="1864"/>
      <c r="BG42" s="1864"/>
      <c r="BH42" s="1864"/>
      <c r="BI42" s="1864"/>
      <c r="BJ42" s="1864"/>
      <c r="BK42" s="1864"/>
      <c r="BL42" s="1864"/>
      <c r="BM42" s="1864"/>
      <c r="BN42" s="1864"/>
      <c r="BO42" s="1864"/>
      <c r="BP42" s="1864"/>
      <c r="BQ42" s="1864"/>
      <c r="BR42" s="1864"/>
      <c r="BS42" s="1864"/>
      <c r="BT42" s="1864"/>
      <c r="BU42" s="1864"/>
      <c r="BV42" s="1864"/>
      <c r="BW42" s="2313"/>
      <c r="BX42" s="969"/>
      <c r="BY42" s="969"/>
      <c r="BZ42" s="489" t="s">
        <v>1341</v>
      </c>
      <c r="CA42" s="969"/>
      <c r="CB42" s="0" cm="1" t="str">
        <f t="array" ref="CB42:CB42">CB41</f>
        <v>ТЭ.42.31656254.0001</v>
      </c>
      <c r="CC42" s="0" t="s">
        <v>1342</v>
      </c>
      <c r="CD42" s="0" t="s">
        <v>219</v>
      </c>
      <c r="CE42" s="0" t="s">
        <v>303</v>
      </c>
      <c r="CF42" s="0" t="s">
        <v>1333</v>
      </c>
      <c r="CG42" s="0" t="s">
        <v>1334</v>
      </c>
    </row>
    <row s="969" customFormat="1" customHeight="1" ht="21.75">
      <c r="A43" s="969"/>
      <c r="B43" s="969"/>
      <c r="C43" s="969"/>
      <c r="D43" s="969"/>
      <c r="E43" s="180">
        <v>23</v>
      </c>
      <c r="F43" s="175" cm="1" t="str">
        <f t="array" ref="F43:F43">F42</f>
        <v>1</v>
      </c>
      <c r="G43" s="193" t="s">
        <v>1343</v>
      </c>
      <c r="H43" s="969"/>
      <c r="I43" s="969"/>
      <c r="J43" s="969"/>
      <c r="K43" s="969"/>
      <c r="L43" s="969"/>
      <c r="M43" s="969"/>
      <c r="N43" s="969"/>
      <c r="O43" s="969"/>
      <c r="P43" s="969"/>
      <c r="Q43" s="969"/>
      <c r="R43" s="969"/>
      <c r="S43" s="969"/>
      <c r="T43" s="753" cm="1" t="str">
        <f t="array" ref="T43:T43">T42</f>
        <v>true</v>
      </c>
      <c r="U43" s="969"/>
      <c r="V43" s="969"/>
      <c r="W43" s="969"/>
      <c r="X43" s="969"/>
      <c r="Y43" s="969"/>
      <c r="Z43" s="969"/>
      <c r="AA43" s="969"/>
      <c r="AB43" s="360" t="s">
        <v>1344</v>
      </c>
      <c r="AC43" s="646" t="s">
        <v>1345</v>
      </c>
      <c r="AD43" s="647" t="s">
        <v>917</v>
      </c>
      <c r="AE43" s="1871"/>
      <c r="AF43" s="1864"/>
      <c r="AG43" s="1864"/>
      <c r="AH43" s="1864"/>
      <c r="AI43" s="353"/>
      <c r="AJ43" s="1864"/>
      <c r="AK43" s="1864"/>
      <c r="AL43" s="1864"/>
      <c r="AM43" s="1864"/>
      <c r="AN43" s="1864"/>
      <c r="AO43" s="1864"/>
      <c r="AP43" s="1864"/>
      <c r="AQ43" s="1864"/>
      <c r="AR43" s="1864"/>
      <c r="AS43" s="1864"/>
      <c r="AT43" s="1864"/>
      <c r="AU43" s="1864"/>
      <c r="AV43" s="1864"/>
      <c r="AW43" s="1864"/>
      <c r="AX43" s="1864"/>
      <c r="AY43" s="1864"/>
      <c r="AZ43" s="1864"/>
      <c r="BA43" s="1864"/>
      <c r="BB43" s="1864"/>
      <c r="BC43" s="353"/>
      <c r="BD43" s="1864"/>
      <c r="BE43" s="1864"/>
      <c r="BF43" s="1864"/>
      <c r="BG43" s="1864"/>
      <c r="BH43" s="1864"/>
      <c r="BI43" s="1864"/>
      <c r="BJ43" s="1864"/>
      <c r="BK43" s="1864"/>
      <c r="BL43" s="1864"/>
      <c r="BM43" s="1864"/>
      <c r="BN43" s="1864"/>
      <c r="BO43" s="1864"/>
      <c r="BP43" s="1864"/>
      <c r="BQ43" s="1864"/>
      <c r="BR43" s="1864"/>
      <c r="BS43" s="1864"/>
      <c r="BT43" s="1864"/>
      <c r="BU43" s="1864"/>
      <c r="BV43" s="1864"/>
      <c r="BW43" s="2313"/>
      <c r="BX43" s="969"/>
      <c r="BY43" s="969"/>
      <c r="BZ43" s="489" t="s">
        <v>1346</v>
      </c>
      <c r="CA43" s="969"/>
      <c r="CB43" s="0" cm="1" t="str">
        <f t="array" ref="CB43:CB43">CB42</f>
        <v>ТЭ.42.31656254.0001</v>
      </c>
      <c r="CC43" s="0" t="s">
        <v>1347</v>
      </c>
      <c r="CD43" s="0" t="s">
        <v>219</v>
      </c>
      <c r="CE43" s="0" t="s">
        <v>303</v>
      </c>
      <c r="CF43" s="0" t="s">
        <v>1333</v>
      </c>
      <c r="CG43" s="0" t="s">
        <v>1334</v>
      </c>
    </row>
    <row s="969" customFormat="1" customHeight="1" ht="21.75">
      <c r="A44" s="969"/>
      <c r="B44" s="969"/>
      <c r="C44" s="969"/>
      <c r="D44" s="969"/>
      <c r="E44" s="180">
        <v>23</v>
      </c>
      <c r="F44" s="175" cm="1" t="str">
        <f t="array" ref="F44:F44">F43</f>
        <v>1</v>
      </c>
      <c r="G44" s="193" t="s">
        <v>1348</v>
      </c>
      <c r="H44" s="969"/>
      <c r="I44" s="969"/>
      <c r="J44" s="969"/>
      <c r="K44" s="969"/>
      <c r="L44" s="969"/>
      <c r="M44" s="969"/>
      <c r="N44" s="969"/>
      <c r="O44" s="969"/>
      <c r="P44" s="969"/>
      <c r="Q44" s="969"/>
      <c r="R44" s="969"/>
      <c r="S44" s="969"/>
      <c r="T44" s="753" cm="1" t="str">
        <f t="array" ref="T44:T44">T43</f>
        <v>true</v>
      </c>
      <c r="U44" s="969"/>
      <c r="V44" s="969"/>
      <c r="W44" s="969"/>
      <c r="X44" s="969"/>
      <c r="Y44" s="969"/>
      <c r="Z44" s="969"/>
      <c r="AA44" s="969"/>
      <c r="AB44" s="554">
        <v>1.2</v>
      </c>
      <c r="AC44" s="644" t="s">
        <v>1349</v>
      </c>
      <c r="AD44" s="645" t="s">
        <v>917</v>
      </c>
      <c r="AE44" s="1871"/>
      <c r="AF44" s="1864"/>
      <c r="AG44" s="1864"/>
      <c r="AH44" s="1864"/>
      <c r="AI44" s="353"/>
      <c r="AJ44" s="1864"/>
      <c r="AK44" s="1864"/>
      <c r="AL44" s="1864"/>
      <c r="AM44" s="1864"/>
      <c r="AN44" s="1864"/>
      <c r="AO44" s="1864"/>
      <c r="AP44" s="1864"/>
      <c r="AQ44" s="1864"/>
      <c r="AR44" s="1864"/>
      <c r="AS44" s="1864"/>
      <c r="AT44" s="1864"/>
      <c r="AU44" s="1864"/>
      <c r="AV44" s="1864"/>
      <c r="AW44" s="1864"/>
      <c r="AX44" s="1864"/>
      <c r="AY44" s="1864"/>
      <c r="AZ44" s="1864"/>
      <c r="BA44" s="1864"/>
      <c r="BB44" s="1864"/>
      <c r="BC44" s="353"/>
      <c r="BD44" s="1864"/>
      <c r="BE44" s="1864"/>
      <c r="BF44" s="1864"/>
      <c r="BG44" s="1864"/>
      <c r="BH44" s="1864"/>
      <c r="BI44" s="1864"/>
      <c r="BJ44" s="1864"/>
      <c r="BK44" s="1864"/>
      <c r="BL44" s="1864"/>
      <c r="BM44" s="1864"/>
      <c r="BN44" s="1864"/>
      <c r="BO44" s="1864"/>
      <c r="BP44" s="1864"/>
      <c r="BQ44" s="1864"/>
      <c r="BR44" s="1864"/>
      <c r="BS44" s="1864"/>
      <c r="BT44" s="1864"/>
      <c r="BU44" s="1864"/>
      <c r="BV44" s="1864"/>
      <c r="BW44" s="2313"/>
      <c r="BX44" s="969"/>
      <c r="BY44" s="969"/>
      <c r="BZ44" s="489" t="s">
        <v>1350</v>
      </c>
      <c r="CA44" s="969"/>
      <c r="CB44" s="0" cm="1" t="str">
        <f t="array" ref="CB44:CB44">CB43</f>
        <v>ТЭ.42.31656254.0001</v>
      </c>
      <c r="CC44" s="0" t="s">
        <v>1351</v>
      </c>
      <c r="CD44" s="969"/>
      <c r="CE44" s="0" t="s">
        <v>303</v>
      </c>
      <c r="CF44" s="0" t="s">
        <v>1352</v>
      </c>
      <c r="CG44" s="0" t="s">
        <v>1353</v>
      </c>
    </row>
    <row s="969" customFormat="1" customHeight="1" ht="21.75">
      <c r="A45" s="969"/>
      <c r="B45" s="969"/>
      <c r="C45" s="969"/>
      <c r="D45" s="969"/>
      <c r="E45" s="180">
        <v>23</v>
      </c>
      <c r="F45" s="175" cm="1" t="str">
        <f t="array" ref="F45:F45">F44</f>
        <v>1</v>
      </c>
      <c r="G45" s="969"/>
      <c r="H45" s="969"/>
      <c r="I45" s="969"/>
      <c r="J45" s="969"/>
      <c r="K45" s="969"/>
      <c r="L45" s="969"/>
      <c r="M45" s="969"/>
      <c r="N45" s="969"/>
      <c r="O45" s="969"/>
      <c r="P45" s="969"/>
      <c r="Q45" s="969"/>
      <c r="R45" s="969"/>
      <c r="S45" s="969"/>
      <c r="T45" s="753" cm="1" t="str">
        <f t="array" ref="T45:T45">T44</f>
        <v>true</v>
      </c>
      <c r="U45" s="969"/>
      <c r="V45" s="969"/>
      <c r="W45" s="969"/>
      <c r="X45" s="969"/>
      <c r="Y45" s="969"/>
      <c r="Z45" s="969"/>
      <c r="AA45" s="969"/>
      <c r="AB45" s="554">
        <v>1.3</v>
      </c>
      <c r="AC45" s="644" t="s">
        <v>1354</v>
      </c>
      <c r="AD45" s="645" t="s">
        <v>917</v>
      </c>
      <c r="AE45" s="604">
        <f>AE46+AE47</f>
        <v>0</v>
      </c>
      <c r="AF45" s="625">
        <f>AF46+AF47</f>
        <v>0</v>
      </c>
      <c r="AG45" s="625">
        <f>AG46+AG47</f>
        <v>0</v>
      </c>
      <c r="AH45" s="625">
        <f>AH46+AH47</f>
        <v>0</v>
      </c>
      <c r="AI45" s="625">
        <f>AI46+AI47</f>
        <v>0</v>
      </c>
      <c r="AJ45" s="625">
        <f>AJ46+AJ47</f>
        <v>0</v>
      </c>
      <c r="AK45" s="625">
        <f>AK46+AK47</f>
        <v>0</v>
      </c>
      <c r="AL45" s="625">
        <f>AL46+AL47</f>
        <v>0</v>
      </c>
      <c r="AM45" s="625">
        <f>AM46+AM47</f>
        <v>0</v>
      </c>
      <c r="AN45" s="625">
        <f>AN46+AN47</f>
        <v>0</v>
      </c>
      <c r="AO45" s="625">
        <f>AO46+AO47</f>
        <v>0</v>
      </c>
      <c r="AP45" s="625">
        <f>AP46+AP47</f>
        <v>0</v>
      </c>
      <c r="AQ45" s="625">
        <f>AQ46+AQ47</f>
        <v>0</v>
      </c>
      <c r="AR45" s="625">
        <f>AR46+AR47</f>
        <v>0</v>
      </c>
      <c r="AS45" s="625">
        <f>AS46+AS47</f>
        <v>0</v>
      </c>
      <c r="AT45" s="625">
        <f>AT46+AT47</f>
        <v>0</v>
      </c>
      <c r="AU45" s="625">
        <f>AU46+AU47</f>
        <v>0</v>
      </c>
      <c r="AV45" s="625">
        <f>AV46+AV47</f>
        <v>0</v>
      </c>
      <c r="AW45" s="625">
        <f>AW46+AW47</f>
        <v>0</v>
      </c>
      <c r="AX45" s="625">
        <f>AX46+AX47</f>
        <v>0</v>
      </c>
      <c r="AY45" s="625">
        <f>AY46+AY47</f>
        <v>0</v>
      </c>
      <c r="AZ45" s="625">
        <f>AZ46+AZ47</f>
        <v>0</v>
      </c>
      <c r="BA45" s="625">
        <f>BA46+BA47</f>
        <v>0</v>
      </c>
      <c r="BB45" s="625">
        <f>BB46+BB47</f>
        <v>0</v>
      </c>
      <c r="BC45" s="625">
        <f>BC46+BC47</f>
        <v>0</v>
      </c>
      <c r="BD45" s="625">
        <f>BD46+BD47</f>
        <v>0</v>
      </c>
      <c r="BE45" s="625">
        <f>BE46+BE47</f>
        <v>0</v>
      </c>
      <c r="BF45" s="625">
        <f>BF46+BF47</f>
        <v>0</v>
      </c>
      <c r="BG45" s="625">
        <f>BG46+BG47</f>
        <v>0</v>
      </c>
      <c r="BH45" s="625">
        <f>BH46+BH47</f>
        <v>0</v>
      </c>
      <c r="BI45" s="625">
        <f>BI46+BI47</f>
        <v>0</v>
      </c>
      <c r="BJ45" s="625">
        <f>BJ46+BJ47</f>
        <v>0</v>
      </c>
      <c r="BK45" s="625">
        <f>BK46+BK47</f>
        <v>0</v>
      </c>
      <c r="BL45" s="625">
        <f>BL46+BL47</f>
        <v>0</v>
      </c>
      <c r="BM45" s="625">
        <f>BM46+BM47</f>
        <v>0</v>
      </c>
      <c r="BN45" s="625">
        <f>BN46+BN47</f>
        <v>0</v>
      </c>
      <c r="BO45" s="625">
        <f>BO46+BO47</f>
        <v>0</v>
      </c>
      <c r="BP45" s="625">
        <f>BP46+BP47</f>
        <v>0</v>
      </c>
      <c r="BQ45" s="625">
        <f>BQ46+BQ47</f>
        <v>0</v>
      </c>
      <c r="BR45" s="625">
        <f>BR46+BR47</f>
        <v>0</v>
      </c>
      <c r="BS45" s="625">
        <f>BS46+BS47</f>
        <v>0</v>
      </c>
      <c r="BT45" s="625">
        <f>BT46+BT47</f>
        <v>0</v>
      </c>
      <c r="BU45" s="625">
        <f>BU46+BU47</f>
        <v>0</v>
      </c>
      <c r="BV45" s="625">
        <f>BV46+BV47</f>
        <v>0</v>
      </c>
      <c r="BW45" s="2313"/>
      <c r="BX45" s="969"/>
      <c r="BY45" s="969"/>
      <c r="BZ45" s="489" t="s">
        <v>1355</v>
      </c>
      <c r="CA45" s="969"/>
      <c r="CB45" s="0" cm="1" t="str">
        <f t="array" ref="CB45:CB45">CB44</f>
        <v>ТЭ.42.31656254.0001</v>
      </c>
      <c r="CC45" s="0" t="s">
        <v>1356</v>
      </c>
      <c r="CD45" s="0" t="s">
        <v>219</v>
      </c>
      <c r="CE45" s="0" t="s">
        <v>303</v>
      </c>
      <c r="CF45" s="0" t="s">
        <v>1357</v>
      </c>
      <c r="CG45" s="0" t="s">
        <v>1358</v>
      </c>
    </row>
    <row s="969" customFormat="1" customHeight="1" ht="68.25">
      <c r="A46" s="969"/>
      <c r="B46" s="969"/>
      <c r="C46" s="969"/>
      <c r="D46" s="969"/>
      <c r="E46" s="180">
        <v>70</v>
      </c>
      <c r="F46" s="175" cm="1" t="str">
        <f t="array" ref="F46:F46">F45</f>
        <v>1</v>
      </c>
      <c r="G46" s="193" t="s">
        <v>1359</v>
      </c>
      <c r="H46" s="969"/>
      <c r="I46" s="969"/>
      <c r="J46" s="969"/>
      <c r="K46" s="969"/>
      <c r="L46" s="969"/>
      <c r="M46" s="969"/>
      <c r="N46" s="969"/>
      <c r="O46" s="969"/>
      <c r="P46" s="969"/>
      <c r="Q46" s="969"/>
      <c r="R46" s="969"/>
      <c r="S46" s="969"/>
      <c r="T46" s="753" cm="1" t="str">
        <f t="array" ref="T46:T46">T45</f>
        <v>true</v>
      </c>
      <c r="U46" s="969"/>
      <c r="V46" s="969"/>
      <c r="W46" s="969"/>
      <c r="X46" s="969"/>
      <c r="Y46" s="969"/>
      <c r="Z46" s="969"/>
      <c r="AA46" s="969"/>
      <c r="AB46" s="360" t="s">
        <v>1360</v>
      </c>
      <c r="AC46" s="646" t="s">
        <v>1361</v>
      </c>
      <c r="AD46" s="647" t="s">
        <v>917</v>
      </c>
      <c r="AE46" s="1871"/>
      <c r="AF46" s="1864"/>
      <c r="AG46" s="1864"/>
      <c r="AH46" s="1864"/>
      <c r="AI46" s="353"/>
      <c r="AJ46" s="1864"/>
      <c r="AK46" s="1864"/>
      <c r="AL46" s="1864"/>
      <c r="AM46" s="1864"/>
      <c r="AN46" s="1864"/>
      <c r="AO46" s="1864"/>
      <c r="AP46" s="1864"/>
      <c r="AQ46" s="1864"/>
      <c r="AR46" s="1864"/>
      <c r="AS46" s="1864"/>
      <c r="AT46" s="1864"/>
      <c r="AU46" s="1864"/>
      <c r="AV46" s="1864"/>
      <c r="AW46" s="1864"/>
      <c r="AX46" s="1864"/>
      <c r="AY46" s="1864"/>
      <c r="AZ46" s="1864"/>
      <c r="BA46" s="1864"/>
      <c r="BB46" s="1864"/>
      <c r="BC46" s="353"/>
      <c r="BD46" s="1864"/>
      <c r="BE46" s="1864"/>
      <c r="BF46" s="1864"/>
      <c r="BG46" s="1864"/>
      <c r="BH46" s="1864"/>
      <c r="BI46" s="1864"/>
      <c r="BJ46" s="1864"/>
      <c r="BK46" s="1864"/>
      <c r="BL46" s="1864"/>
      <c r="BM46" s="1864"/>
      <c r="BN46" s="1864"/>
      <c r="BO46" s="1864"/>
      <c r="BP46" s="1864"/>
      <c r="BQ46" s="1864"/>
      <c r="BR46" s="1864"/>
      <c r="BS46" s="1864"/>
      <c r="BT46" s="1864"/>
      <c r="BU46" s="1864"/>
      <c r="BV46" s="1864"/>
      <c r="BW46" s="2313"/>
      <c r="BX46" s="969"/>
      <c r="BY46" s="969"/>
      <c r="BZ46" s="489" t="s">
        <v>1362</v>
      </c>
      <c r="CA46" s="969"/>
      <c r="CB46" s="0" cm="1" t="str">
        <f t="array" ref="CB46:CB46">CB45</f>
        <v>ТЭ.42.31656254.0001</v>
      </c>
      <c r="CC46" s="0" t="s">
        <v>1356</v>
      </c>
      <c r="CD46" s="0" t="s">
        <v>255</v>
      </c>
      <c r="CE46" s="0" t="s">
        <v>303</v>
      </c>
      <c r="CF46" s="0" t="s">
        <v>1363</v>
      </c>
      <c r="CG46" s="0" t="s">
        <v>1364</v>
      </c>
    </row>
    <row s="969" customFormat="1" customHeight="1" ht="27.75">
      <c r="A47" s="969"/>
      <c r="B47" s="969"/>
      <c r="C47" s="969"/>
      <c r="D47" s="969"/>
      <c r="E47" s="180">
        <v>29</v>
      </c>
      <c r="F47" s="175" cm="1" t="str">
        <f t="array" ref="F47:F47">F46</f>
        <v>1</v>
      </c>
      <c r="G47" s="193" t="s">
        <v>1365</v>
      </c>
      <c r="H47" s="969"/>
      <c r="I47" s="969"/>
      <c r="J47" s="969"/>
      <c r="K47" s="969"/>
      <c r="L47" s="969"/>
      <c r="M47" s="969"/>
      <c r="N47" s="969"/>
      <c r="O47" s="969"/>
      <c r="P47" s="969"/>
      <c r="Q47" s="969"/>
      <c r="R47" s="969"/>
      <c r="S47" s="969"/>
      <c r="T47" s="753" cm="1" t="str">
        <f t="array" ref="T47:T47">T46</f>
        <v>true</v>
      </c>
      <c r="U47" s="969"/>
      <c r="V47" s="969"/>
      <c r="W47" s="969"/>
      <c r="X47" s="969"/>
      <c r="Y47" s="969"/>
      <c r="Z47" s="969"/>
      <c r="AA47" s="969"/>
      <c r="AB47" s="360" t="s">
        <v>1366</v>
      </c>
      <c r="AC47" s="646" t="s">
        <v>1367</v>
      </c>
      <c r="AD47" s="647" t="s">
        <v>917</v>
      </c>
      <c r="AE47" s="1871"/>
      <c r="AF47" s="1864"/>
      <c r="AG47" s="1864"/>
      <c r="AH47" s="1864"/>
      <c r="AI47" s="353"/>
      <c r="AJ47" s="1864"/>
      <c r="AK47" s="1864"/>
      <c r="AL47" s="1864"/>
      <c r="AM47" s="1864"/>
      <c r="AN47" s="1864"/>
      <c r="AO47" s="1864"/>
      <c r="AP47" s="1864"/>
      <c r="AQ47" s="1864"/>
      <c r="AR47" s="1864"/>
      <c r="AS47" s="1864"/>
      <c r="AT47" s="1864"/>
      <c r="AU47" s="1864"/>
      <c r="AV47" s="1864"/>
      <c r="AW47" s="1864"/>
      <c r="AX47" s="1864"/>
      <c r="AY47" s="1864"/>
      <c r="AZ47" s="1864"/>
      <c r="BA47" s="1864"/>
      <c r="BB47" s="1864"/>
      <c r="BC47" s="353"/>
      <c r="BD47" s="1864"/>
      <c r="BE47" s="1864"/>
      <c r="BF47" s="1864"/>
      <c r="BG47" s="1864"/>
      <c r="BH47" s="1864"/>
      <c r="BI47" s="1864"/>
      <c r="BJ47" s="1864"/>
      <c r="BK47" s="1864"/>
      <c r="BL47" s="1864"/>
      <c r="BM47" s="1864"/>
      <c r="BN47" s="1864"/>
      <c r="BO47" s="1864"/>
      <c r="BP47" s="1864"/>
      <c r="BQ47" s="1864"/>
      <c r="BR47" s="1864"/>
      <c r="BS47" s="1864"/>
      <c r="BT47" s="1864"/>
      <c r="BU47" s="1864"/>
      <c r="BV47" s="1864"/>
      <c r="BW47" s="2313"/>
      <c r="BX47" s="969"/>
      <c r="BY47" s="969"/>
      <c r="BZ47" s="489" t="s">
        <v>1368</v>
      </c>
      <c r="CA47" s="969"/>
      <c r="CB47" s="0" cm="1" t="str">
        <f t="array" ref="CB47:CB47">CB46</f>
        <v>ТЭ.42.31656254.0001</v>
      </c>
      <c r="CC47" s="0" t="s">
        <v>1356</v>
      </c>
      <c r="CD47" s="0" t="s">
        <v>449</v>
      </c>
      <c r="CE47" s="0" t="s">
        <v>303</v>
      </c>
      <c r="CF47" s="0" t="s">
        <v>1369</v>
      </c>
      <c r="CG47" s="0" t="s">
        <v>1370</v>
      </c>
    </row>
    <row s="969" customFormat="1" customHeight="1" ht="21">
      <c r="A48" s="969"/>
      <c r="B48" s="969"/>
      <c r="C48" s="969"/>
      <c r="D48" s="969"/>
      <c r="E48" s="180">
        <v>22</v>
      </c>
      <c r="F48" s="175" cm="1" t="str">
        <f t="array" ref="F48:F48">F47</f>
        <v>1</v>
      </c>
      <c r="G48" s="969"/>
      <c r="H48" s="969"/>
      <c r="I48" s="969"/>
      <c r="J48" s="969"/>
      <c r="K48" s="969"/>
      <c r="L48" s="969"/>
      <c r="M48" s="969"/>
      <c r="N48" s="969"/>
      <c r="O48" s="969"/>
      <c r="P48" s="969"/>
      <c r="Q48" s="969"/>
      <c r="R48" s="969"/>
      <c r="S48" s="969"/>
      <c r="T48" s="753" cm="1" t="str">
        <f t="array" ref="T48:T48">T47</f>
        <v>true</v>
      </c>
      <c r="U48" s="969"/>
      <c r="V48" s="969"/>
      <c r="W48" s="969"/>
      <c r="X48" s="969"/>
      <c r="Y48" s="969"/>
      <c r="Z48" s="969"/>
      <c r="AA48" s="969"/>
      <c r="AB48" s="554">
        <v>1.4</v>
      </c>
      <c r="AC48" s="644" t="s">
        <v>1371</v>
      </c>
      <c r="AD48" s="645" t="s">
        <v>917</v>
      </c>
      <c r="AE48" s="604">
        <f>AE49+AE50</f>
        <v>0</v>
      </c>
      <c r="AF48" s="625">
        <f>AF49+AF50</f>
        <v>0</v>
      </c>
      <c r="AG48" s="625">
        <f>AG49+AG50</f>
        <v>0</v>
      </c>
      <c r="AH48" s="625">
        <f>AH49+AH50</f>
        <v>0</v>
      </c>
      <c r="AI48" s="625">
        <f>AI49+AI50</f>
        <v>0</v>
      </c>
      <c r="AJ48" s="625">
        <f>AJ49+AJ50</f>
        <v>0</v>
      </c>
      <c r="AK48" s="625">
        <f>AK49+AK50</f>
        <v>0</v>
      </c>
      <c r="AL48" s="625">
        <f>AL49+AL50</f>
        <v>0</v>
      </c>
      <c r="AM48" s="625">
        <f>AM49+AM50</f>
        <v>0</v>
      </c>
      <c r="AN48" s="625">
        <f>AN49+AN50</f>
        <v>0</v>
      </c>
      <c r="AO48" s="625">
        <f>AO49+AO50</f>
        <v>0</v>
      </c>
      <c r="AP48" s="625">
        <f>AP49+AP50</f>
        <v>0</v>
      </c>
      <c r="AQ48" s="625">
        <f>AQ49+AQ50</f>
        <v>0</v>
      </c>
      <c r="AR48" s="625">
        <f>AR49+AR50</f>
        <v>0</v>
      </c>
      <c r="AS48" s="625">
        <f>AS49+AS50</f>
        <v>0</v>
      </c>
      <c r="AT48" s="625">
        <f>AT49+AT50</f>
        <v>0</v>
      </c>
      <c r="AU48" s="625">
        <f>AU49+AU50</f>
        <v>0</v>
      </c>
      <c r="AV48" s="625">
        <f>AV49+AV50</f>
        <v>0</v>
      </c>
      <c r="AW48" s="625">
        <f>AW49+AW50</f>
        <v>0</v>
      </c>
      <c r="AX48" s="625">
        <f>AX49+AX50</f>
        <v>0</v>
      </c>
      <c r="AY48" s="625">
        <f>AY49+AY50</f>
        <v>0</v>
      </c>
      <c r="AZ48" s="625">
        <f>AZ49+AZ50</f>
        <v>0</v>
      </c>
      <c r="BA48" s="625">
        <f>BA49+BA50</f>
        <v>0</v>
      </c>
      <c r="BB48" s="625">
        <f>BB49+BB50</f>
        <v>0</v>
      </c>
      <c r="BC48" s="625">
        <f>BC49+BC50</f>
        <v>0</v>
      </c>
      <c r="BD48" s="625">
        <f>BD49+BD50</f>
        <v>0</v>
      </c>
      <c r="BE48" s="625">
        <f>BE49+BE50</f>
        <v>0</v>
      </c>
      <c r="BF48" s="625">
        <f>BF49+BF50</f>
        <v>0</v>
      </c>
      <c r="BG48" s="625">
        <f>BG49+BG50</f>
        <v>0</v>
      </c>
      <c r="BH48" s="625">
        <f>BH49+BH50</f>
        <v>0</v>
      </c>
      <c r="BI48" s="625">
        <f>BI49+BI50</f>
        <v>0</v>
      </c>
      <c r="BJ48" s="625">
        <f>BJ49+BJ50</f>
        <v>0</v>
      </c>
      <c r="BK48" s="625">
        <f>BK49+BK50</f>
        <v>0</v>
      </c>
      <c r="BL48" s="625">
        <f>BL49+BL50</f>
        <v>0</v>
      </c>
      <c r="BM48" s="625">
        <f>BM49+BM50</f>
        <v>0</v>
      </c>
      <c r="BN48" s="625">
        <f>BN49+BN50</f>
        <v>0</v>
      </c>
      <c r="BO48" s="625">
        <f>BO49+BO50</f>
        <v>0</v>
      </c>
      <c r="BP48" s="625">
        <f>BP49+BP50</f>
        <v>0</v>
      </c>
      <c r="BQ48" s="625">
        <f>BQ49+BQ50</f>
        <v>0</v>
      </c>
      <c r="BR48" s="625">
        <f>BR49+BR50</f>
        <v>0</v>
      </c>
      <c r="BS48" s="625">
        <f>BS49+BS50</f>
        <v>0</v>
      </c>
      <c r="BT48" s="625">
        <f>BT49+BT50</f>
        <v>0</v>
      </c>
      <c r="BU48" s="625">
        <f>BU49+BU50</f>
        <v>0</v>
      </c>
      <c r="BV48" s="625">
        <f>BV49+BV50</f>
        <v>0</v>
      </c>
      <c r="BW48" s="2313"/>
      <c r="BX48" s="969"/>
      <c r="BY48" s="969"/>
      <c r="BZ48" s="489" t="s">
        <v>1372</v>
      </c>
      <c r="CA48" s="969"/>
      <c r="CB48" s="0" cm="1" t="str">
        <f t="array" ref="CB48:CB48">CB47</f>
        <v>ТЭ.42.31656254.0001</v>
      </c>
      <c r="CC48" s="0" t="s">
        <v>1373</v>
      </c>
      <c r="CD48" s="969"/>
      <c r="CE48" s="0" t="s">
        <v>303</v>
      </c>
      <c r="CF48" s="0" t="s">
        <v>1374</v>
      </c>
      <c r="CG48" s="0" t="s">
        <v>1375</v>
      </c>
    </row>
    <row s="969" customFormat="1" customHeight="1" ht="21.75">
      <c r="A49" s="969"/>
      <c r="B49" s="969"/>
      <c r="C49" s="969"/>
      <c r="D49" s="969"/>
      <c r="E49" s="180">
        <v>23</v>
      </c>
      <c r="F49" s="175" cm="1" t="str">
        <f t="array" ref="F49:F49">F48</f>
        <v>1</v>
      </c>
      <c r="G49" s="193" t="s">
        <v>1338</v>
      </c>
      <c r="H49" s="969"/>
      <c r="I49" s="969"/>
      <c r="J49" s="969"/>
      <c r="K49" s="969"/>
      <c r="L49" s="969"/>
      <c r="M49" s="969"/>
      <c r="N49" s="969"/>
      <c r="O49" s="969"/>
      <c r="P49" s="969"/>
      <c r="Q49" s="969"/>
      <c r="R49" s="969"/>
      <c r="S49" s="969"/>
      <c r="T49" s="753" cm="1" t="str">
        <f t="array" ref="T49:T49">T48</f>
        <v>true</v>
      </c>
      <c r="U49" s="969"/>
      <c r="V49" s="969"/>
      <c r="W49" s="969"/>
      <c r="X49" s="969"/>
      <c r="Y49" s="969"/>
      <c r="Z49" s="969"/>
      <c r="AA49" s="969"/>
      <c r="AB49" s="360" t="s">
        <v>1190</v>
      </c>
      <c r="AC49" s="646" t="s">
        <v>1340</v>
      </c>
      <c r="AD49" s="647" t="s">
        <v>917</v>
      </c>
      <c r="AE49" s="1871"/>
      <c r="AF49" s="1864"/>
      <c r="AG49" s="1864"/>
      <c r="AH49" s="1864"/>
      <c r="AI49" s="353"/>
      <c r="AJ49" s="1864"/>
      <c r="AK49" s="1864"/>
      <c r="AL49" s="1864"/>
      <c r="AM49" s="1864"/>
      <c r="AN49" s="1864"/>
      <c r="AO49" s="1864"/>
      <c r="AP49" s="1864"/>
      <c r="AQ49" s="1864"/>
      <c r="AR49" s="1864"/>
      <c r="AS49" s="1864"/>
      <c r="AT49" s="1864"/>
      <c r="AU49" s="1864"/>
      <c r="AV49" s="1864"/>
      <c r="AW49" s="1864"/>
      <c r="AX49" s="1864"/>
      <c r="AY49" s="1864"/>
      <c r="AZ49" s="1864"/>
      <c r="BA49" s="1864"/>
      <c r="BB49" s="1864"/>
      <c r="BC49" s="353"/>
      <c r="BD49" s="1864"/>
      <c r="BE49" s="1864"/>
      <c r="BF49" s="1864"/>
      <c r="BG49" s="1864"/>
      <c r="BH49" s="1864"/>
      <c r="BI49" s="1864"/>
      <c r="BJ49" s="1864"/>
      <c r="BK49" s="1864"/>
      <c r="BL49" s="1864"/>
      <c r="BM49" s="1864"/>
      <c r="BN49" s="1864"/>
      <c r="BO49" s="1864"/>
      <c r="BP49" s="1864"/>
      <c r="BQ49" s="1864"/>
      <c r="BR49" s="1864"/>
      <c r="BS49" s="1864"/>
      <c r="BT49" s="1864"/>
      <c r="BU49" s="1864"/>
      <c r="BV49" s="1864"/>
      <c r="BW49" s="2313"/>
      <c r="BX49" s="969"/>
      <c r="BY49" s="969"/>
      <c r="BZ49" s="489" t="s">
        <v>1376</v>
      </c>
      <c r="CA49" s="969"/>
      <c r="CB49" s="0" cm="1" t="str">
        <f t="array" ref="CB49:CB49">CB48</f>
        <v>ТЭ.42.31656254.0001</v>
      </c>
      <c r="CC49" s="0" t="s">
        <v>1342</v>
      </c>
      <c r="CD49" s="0" t="s">
        <v>255</v>
      </c>
      <c r="CE49" s="0" t="s">
        <v>303</v>
      </c>
      <c r="CF49" s="0" t="s">
        <v>1377</v>
      </c>
      <c r="CG49" s="0" t="s">
        <v>1378</v>
      </c>
    </row>
    <row s="969" customFormat="1" customHeight="1" ht="21.75">
      <c r="A50" s="969"/>
      <c r="B50" s="969"/>
      <c r="C50" s="969"/>
      <c r="D50" s="969"/>
      <c r="E50" s="180">
        <v>23</v>
      </c>
      <c r="F50" s="175" cm="1" t="str">
        <f t="array" ref="F50:F50">F49</f>
        <v>1</v>
      </c>
      <c r="G50" s="193" t="s">
        <v>1343</v>
      </c>
      <c r="H50" s="969"/>
      <c r="I50" s="969"/>
      <c r="J50" s="969"/>
      <c r="K50" s="969"/>
      <c r="L50" s="969"/>
      <c r="M50" s="969"/>
      <c r="N50" s="969"/>
      <c r="O50" s="969"/>
      <c r="P50" s="969"/>
      <c r="Q50" s="969"/>
      <c r="R50" s="969"/>
      <c r="S50" s="969"/>
      <c r="T50" s="753" cm="1" t="str">
        <f t="array" ref="T50:T50">T49</f>
        <v>true</v>
      </c>
      <c r="U50" s="969"/>
      <c r="V50" s="969"/>
      <c r="W50" s="969"/>
      <c r="X50" s="969"/>
      <c r="Y50" s="969"/>
      <c r="Z50" s="969"/>
      <c r="AA50" s="969"/>
      <c r="AB50" s="360" t="s">
        <v>1194</v>
      </c>
      <c r="AC50" s="646" t="s">
        <v>1345</v>
      </c>
      <c r="AD50" s="647" t="s">
        <v>917</v>
      </c>
      <c r="AE50" s="1871"/>
      <c r="AF50" s="1864"/>
      <c r="AG50" s="1864"/>
      <c r="AH50" s="1864"/>
      <c r="AI50" s="353"/>
      <c r="AJ50" s="1864"/>
      <c r="AK50" s="1864"/>
      <c r="AL50" s="1864"/>
      <c r="AM50" s="1864"/>
      <c r="AN50" s="1864"/>
      <c r="AO50" s="1864"/>
      <c r="AP50" s="1864"/>
      <c r="AQ50" s="1864"/>
      <c r="AR50" s="1864"/>
      <c r="AS50" s="1864"/>
      <c r="AT50" s="1864"/>
      <c r="AU50" s="1864"/>
      <c r="AV50" s="1864"/>
      <c r="AW50" s="1864"/>
      <c r="AX50" s="1864"/>
      <c r="AY50" s="1864"/>
      <c r="AZ50" s="1864"/>
      <c r="BA50" s="1864"/>
      <c r="BB50" s="1864"/>
      <c r="BC50" s="353"/>
      <c r="BD50" s="1864"/>
      <c r="BE50" s="1864"/>
      <c r="BF50" s="1864"/>
      <c r="BG50" s="1864"/>
      <c r="BH50" s="1864"/>
      <c r="BI50" s="1864"/>
      <c r="BJ50" s="1864"/>
      <c r="BK50" s="1864"/>
      <c r="BL50" s="1864"/>
      <c r="BM50" s="1864"/>
      <c r="BN50" s="1864"/>
      <c r="BO50" s="1864"/>
      <c r="BP50" s="1864"/>
      <c r="BQ50" s="1864"/>
      <c r="BR50" s="1864"/>
      <c r="BS50" s="1864"/>
      <c r="BT50" s="1864"/>
      <c r="BU50" s="1864"/>
      <c r="BV50" s="1864"/>
      <c r="BW50" s="2313"/>
      <c r="BX50" s="969"/>
      <c r="BY50" s="969"/>
      <c r="BZ50" s="489" t="s">
        <v>1379</v>
      </c>
      <c r="CA50" s="969"/>
      <c r="CB50" s="0" cm="1" t="str">
        <f t="array" ref="CB50:CB50">CB49</f>
        <v>ТЭ.42.31656254.0001</v>
      </c>
      <c r="CC50" s="0" t="s">
        <v>1347</v>
      </c>
      <c r="CD50" s="0" t="s">
        <v>255</v>
      </c>
      <c r="CE50" s="0" t="s">
        <v>303</v>
      </c>
      <c r="CF50" s="0" t="s">
        <v>1380</v>
      </c>
      <c r="CG50" s="0" t="s">
        <v>1381</v>
      </c>
    </row>
    <row customHeight="1" ht="10.725000000000001">
      <c r="E51" s="180">
        <v>11</v>
      </c>
      <c r="U51" s="175" t="s">
        <v>191</v>
      </c>
      <c r="V51" s="176" t="s">
        <v>1382</v>
      </c>
      <c r="AE51" s="318"/>
      <c r="AI51" s="1727"/>
      <c r="AJ51" s="1727"/>
      <c r="AK51" s="1727"/>
      <c r="AL51" s="1727"/>
      <c r="AM51" s="1727"/>
      <c r="AN51" s="1727"/>
      <c r="AO51" s="1727"/>
      <c r="AP51" s="1727"/>
      <c r="AQ51" s="1727"/>
      <c r="AR51" s="1727"/>
      <c r="AS51" s="1727"/>
      <c r="AT51" s="1727"/>
      <c r="AU51" s="1727"/>
      <c r="AV51" s="1727"/>
      <c r="AW51" s="1727"/>
      <c r="AX51" s="1727"/>
      <c r="AY51" s="1727"/>
      <c r="AZ51" s="1727"/>
      <c r="BA51" s="1727"/>
      <c r="BB51" s="1727"/>
      <c r="BC51" s="1727"/>
      <c r="BD51" s="1727"/>
      <c r="BE51" s="1727"/>
      <c r="BF51" s="1727"/>
      <c r="BG51" s="1727"/>
      <c r="BH51" s="1727"/>
      <c r="BI51" s="1727"/>
      <c r="BJ51" s="1727"/>
      <c r="BK51" s="1727"/>
      <c r="BL51" s="1727"/>
      <c r="BM51" s="1727"/>
      <c r="BN51" s="1727"/>
      <c r="BO51" s="1727"/>
      <c r="BP51" s="1727"/>
      <c r="BQ51" s="1727"/>
      <c r="BR51" s="1727"/>
      <c r="BS51" s="1727"/>
      <c r="BT51" s="1727"/>
      <c r="BU51" s="1727"/>
      <c r="BV51" s="1727"/>
    </row>
    <row customHeight="1" ht="11.25" hidden="1">
      <c r="E52" s="965">
        <v>0</v>
      </c>
      <c r="AI52" s="1727"/>
      <c r="AJ52" s="1727"/>
      <c r="AK52" s="1727"/>
      <c r="AL52" s="1727"/>
      <c r="AM52" s="1727"/>
      <c r="AN52" s="1727"/>
      <c r="AO52" s="1727"/>
      <c r="AP52" s="1727"/>
      <c r="AQ52" s="1727"/>
      <c r="AR52" s="1727"/>
      <c r="AS52" s="1727"/>
      <c r="AT52" s="1727"/>
      <c r="AU52" s="1727"/>
      <c r="AV52" s="1727"/>
      <c r="AW52" s="1727"/>
      <c r="AX52" s="1727"/>
      <c r="AY52" s="1727"/>
      <c r="AZ52" s="1727"/>
      <c r="BA52" s="1727"/>
      <c r="BB52" s="1727"/>
      <c r="BC52" s="1727"/>
      <c r="BD52" s="1727"/>
      <c r="BE52" s="1727"/>
      <c r="BF52" s="1727"/>
      <c r="BG52" s="1727"/>
      <c r="BH52" s="1727"/>
      <c r="BI52" s="1727"/>
      <c r="BJ52" s="1727"/>
      <c r="BK52" s="1727"/>
      <c r="BL52" s="1727"/>
      <c r="BM52" s="1727"/>
      <c r="BN52" s="1727"/>
      <c r="BO52" s="1727"/>
      <c r="BP52" s="1727"/>
      <c r="BQ52" s="1727"/>
      <c r="BR52" s="1727"/>
      <c r="BS52" s="1727"/>
      <c r="BT52" s="1727"/>
      <c r="BU52" s="1727"/>
      <c r="BV52" s="1727"/>
    </row>
    <row s="1659" customFormat="1" customHeight="1" ht="14.625">
      <c r="A53" s="371"/>
      <c r="B53" s="175"/>
      <c r="C53" s="175"/>
      <c r="D53" s="175"/>
      <c r="E53" s="180">
        <v>15</v>
      </c>
      <c r="F53" s="175"/>
      <c r="T53" s="175"/>
      <c r="U53" s="175"/>
      <c r="V53" s="175"/>
      <c r="W53" s="175"/>
      <c r="X53" s="175"/>
      <c r="Y53" s="175"/>
      <c r="Z53" s="175"/>
      <c r="AA53" s="286"/>
      <c r="AB53" s="1653" t="s">
        <v>765</v>
      </c>
      <c r="AC53" s="1653"/>
      <c r="AD53" s="1653"/>
      <c r="AE53" s="1653"/>
      <c r="AF53" s="1653"/>
      <c r="AG53" s="1653"/>
      <c r="AH53" s="1653"/>
      <c r="AI53" s="1654"/>
      <c r="AJ53" s="1654"/>
      <c r="AK53" s="1654"/>
      <c r="AL53" s="1654"/>
      <c r="AM53" s="1654"/>
      <c r="AN53" s="1654"/>
      <c r="AO53" s="1654"/>
      <c r="AP53" s="1654"/>
      <c r="AQ53" s="1654"/>
      <c r="AR53" s="1654"/>
      <c r="AS53" s="1654"/>
      <c r="AT53" s="1654"/>
      <c r="AU53" s="1654"/>
      <c r="AV53" s="1654"/>
      <c r="AW53" s="1654"/>
      <c r="AX53" s="1654"/>
      <c r="AY53" s="1654"/>
      <c r="AZ53" s="1654"/>
      <c r="BA53" s="1654"/>
      <c r="BB53" s="1654"/>
      <c r="BC53" s="1654"/>
      <c r="BD53" s="1654"/>
      <c r="BE53" s="1654"/>
      <c r="BF53" s="1654"/>
      <c r="BG53" s="1654"/>
      <c r="BH53" s="1654"/>
      <c r="BI53" s="1654"/>
      <c r="BJ53" s="1654"/>
      <c r="BK53" s="1654"/>
      <c r="BL53" s="1654"/>
      <c r="BM53" s="1654"/>
      <c r="BN53" s="1654"/>
      <c r="BO53" s="1654"/>
      <c r="BP53" s="1654"/>
      <c r="BQ53" s="1654"/>
      <c r="BR53" s="1654"/>
      <c r="BS53" s="1654"/>
      <c r="BT53" s="1654"/>
      <c r="BU53" s="1654"/>
      <c r="BV53" s="1654"/>
      <c r="BW53" s="1654"/>
      <c r="BX53" s="286"/>
      <c r="BZ53" s="489"/>
      <c r="CB53" s="0"/>
      <c r="CC53" s="0"/>
      <c r="CD53" s="0"/>
      <c r="CE53" s="0"/>
      <c r="CF53" s="0"/>
      <c r="CG53" s="0"/>
    </row>
    <row s="1659" customFormat="1" customHeight="1" ht="14.625">
      <c r="A54" s="371"/>
      <c r="B54" s="175"/>
      <c r="C54" s="175"/>
      <c r="D54" s="175"/>
      <c r="E54" s="180">
        <v>15</v>
      </c>
      <c r="F54" s="175"/>
      <c r="T54" s="175"/>
      <c r="U54" s="175"/>
      <c r="V54" s="175"/>
      <c r="W54" s="175"/>
      <c r="X54" s="175"/>
      <c r="Y54" s="175"/>
      <c r="Z54" s="175"/>
      <c r="AA54" s="477"/>
      <c r="AB54" s="1655"/>
      <c r="AC54" s="1655"/>
      <c r="AD54" s="1655"/>
      <c r="AE54" s="1655"/>
      <c r="AF54" s="1655"/>
      <c r="AG54" s="1655"/>
      <c r="AH54" s="1655"/>
      <c r="AI54" s="1656"/>
      <c r="AJ54" s="2292"/>
      <c r="AK54" s="2292"/>
      <c r="AL54" s="2292"/>
      <c r="AM54" s="2292"/>
      <c r="AN54" s="2292"/>
      <c r="AO54" s="2292"/>
      <c r="AP54" s="2292"/>
      <c r="AQ54" s="2292"/>
      <c r="AR54" s="2292"/>
      <c r="AS54" s="2292"/>
      <c r="AT54" s="2292"/>
      <c r="AU54" s="2292"/>
      <c r="AV54" s="2292"/>
      <c r="AW54" s="2292"/>
      <c r="AX54" s="2292"/>
      <c r="AY54" s="2292"/>
      <c r="AZ54" s="2292"/>
      <c r="BA54" s="2292"/>
      <c r="BB54" s="2292"/>
      <c r="BC54" s="1656"/>
      <c r="BD54" s="2292"/>
      <c r="BE54" s="2292"/>
      <c r="BF54" s="2292"/>
      <c r="BG54" s="2292"/>
      <c r="BH54" s="2292"/>
      <c r="BI54" s="2292"/>
      <c r="BJ54" s="2292"/>
      <c r="BK54" s="2292"/>
      <c r="BL54" s="2292"/>
      <c r="BM54" s="2292"/>
      <c r="BN54" s="2292"/>
      <c r="BO54" s="2292"/>
      <c r="BP54" s="2292"/>
      <c r="BQ54" s="2292"/>
      <c r="BR54" s="2292"/>
      <c r="BS54" s="2292"/>
      <c r="BT54" s="2292"/>
      <c r="BU54" s="2292"/>
      <c r="BV54" s="2292"/>
      <c r="BW54" s="1657"/>
      <c r="BX54" s="286"/>
      <c r="BZ54" s="489"/>
      <c r="CB54" s="0"/>
      <c r="CC54" s="0"/>
      <c r="CD54" s="0"/>
      <c r="CE54" s="0"/>
      <c r="CF54" s="0"/>
      <c r="CG54" s="0"/>
    </row>
    <row s="1659" customFormat="1" customHeight="1" ht="14.625" hidden="1">
      <c r="A55" s="371"/>
      <c r="B55" s="175"/>
      <c r="C55" s="175"/>
      <c r="D55" s="175"/>
      <c r="E55" s="180">
        <v>15</v>
      </c>
      <c r="F55" s="175"/>
      <c r="G55" s="1659"/>
      <c r="H55" s="1659"/>
      <c r="I55" s="1659"/>
      <c r="J55" s="1659"/>
      <c r="K55" s="1659"/>
      <c r="L55" s="1659"/>
      <c r="M55" s="1659"/>
      <c r="N55" s="1659"/>
      <c r="O55" s="1659"/>
      <c r="P55" s="1659"/>
      <c r="Q55" s="1659"/>
      <c r="R55" s="1659"/>
      <c r="S55" s="1659"/>
      <c r="T55" s="753">
        <f>ROW(W55)&gt;ROW(W$55)</f>
        <v>0</v>
      </c>
      <c r="U55" s="175"/>
      <c r="V55" s="175"/>
      <c r="W55" s="175" t="s">
        <v>189</v>
      </c>
      <c r="X55" s="175"/>
      <c r="Y55" s="175"/>
      <c r="Z55" s="175"/>
      <c r="AA55" s="477" t="s">
        <v>171</v>
      </c>
      <c r="AB55" s="2293"/>
      <c r="AC55" s="2293"/>
      <c r="AD55" s="2293"/>
      <c r="AE55" s="2293"/>
      <c r="AF55" s="2293"/>
      <c r="AG55" s="2293"/>
      <c r="AH55" s="2293"/>
      <c r="AI55" s="1656"/>
      <c r="AJ55" s="2292"/>
      <c r="AK55" s="2292"/>
      <c r="AL55" s="2292"/>
      <c r="AM55" s="2292"/>
      <c r="AN55" s="2292"/>
      <c r="AO55" s="2292"/>
      <c r="AP55" s="2292"/>
      <c r="AQ55" s="2292"/>
      <c r="AR55" s="2292"/>
      <c r="AS55" s="2292"/>
      <c r="AT55" s="2292"/>
      <c r="AU55" s="2292"/>
      <c r="AV55" s="2292"/>
      <c r="AW55" s="2292"/>
      <c r="AX55" s="2292"/>
      <c r="AY55" s="2292"/>
      <c r="AZ55" s="2292"/>
      <c r="BA55" s="2292"/>
      <c r="BB55" s="2292"/>
      <c r="BC55" s="1656"/>
      <c r="BD55" s="2292"/>
      <c r="BE55" s="2292"/>
      <c r="BF55" s="2292"/>
      <c r="BG55" s="2292"/>
      <c r="BH55" s="2292"/>
      <c r="BI55" s="2292"/>
      <c r="BJ55" s="2292"/>
      <c r="BK55" s="2292"/>
      <c r="BL55" s="2292"/>
      <c r="BM55" s="2292"/>
      <c r="BN55" s="2292"/>
      <c r="BO55" s="2292"/>
      <c r="BP55" s="2292"/>
      <c r="BQ55" s="2292"/>
      <c r="BR55" s="2292"/>
      <c r="BS55" s="2292"/>
      <c r="BT55" s="2292"/>
      <c r="BU55" s="2292"/>
      <c r="BV55" s="2292"/>
      <c r="BW55" s="2294"/>
      <c r="BX55" s="286"/>
      <c r="BY55" s="1659"/>
      <c r="BZ55" s="489"/>
      <c r="CA55" s="1659"/>
      <c r="CB55" s="0"/>
      <c r="CC55" s="0"/>
      <c r="CD55" s="0"/>
      <c r="CE55" s="0"/>
      <c r="CF55" s="0"/>
      <c r="CG55" s="0"/>
    </row>
    <row s="1659" customFormat="1" customHeight="1" ht="14.625">
      <c r="A56" s="371"/>
      <c r="B56" s="175"/>
      <c r="C56" s="175"/>
      <c r="D56" s="175"/>
      <c r="E56" s="180">
        <v>15</v>
      </c>
      <c r="F56" s="175"/>
      <c r="T56" s="175"/>
      <c r="U56" s="175"/>
      <c r="V56" s="175"/>
      <c r="W56" s="176" t="s">
        <v>190</v>
      </c>
      <c r="X56" s="175"/>
      <c r="Y56" s="175"/>
      <c r="Z56" s="175"/>
      <c r="AA56" s="286"/>
      <c r="AB56" s="1599" t="s">
        <v>766</v>
      </c>
      <c r="AC56" s="1600"/>
      <c r="AD56" s="480"/>
      <c r="AE56" s="480"/>
      <c r="AF56" s="481"/>
      <c r="AG56" s="481"/>
      <c r="AH56" s="481"/>
      <c r="AI56" s="481"/>
      <c r="AJ56" s="481"/>
      <c r="AK56" s="481"/>
      <c r="AL56" s="481"/>
      <c r="AM56" s="481"/>
      <c r="AN56" s="481"/>
      <c r="AO56" s="481"/>
      <c r="AP56" s="481"/>
      <c r="AQ56" s="481"/>
      <c r="AR56" s="481"/>
      <c r="AS56" s="481"/>
      <c r="AT56" s="481"/>
      <c r="AU56" s="481"/>
      <c r="AV56" s="481"/>
      <c r="AW56" s="481"/>
      <c r="AX56" s="481"/>
      <c r="AY56" s="481"/>
      <c r="AZ56" s="481"/>
      <c r="BA56" s="481"/>
      <c r="BB56" s="481"/>
      <c r="BC56" s="481"/>
      <c r="BD56" s="481"/>
      <c r="BE56" s="481"/>
      <c r="BF56" s="481"/>
      <c r="BG56" s="481"/>
      <c r="BH56" s="481"/>
      <c r="BI56" s="481"/>
      <c r="BJ56" s="481"/>
      <c r="BK56" s="481"/>
      <c r="BL56" s="481"/>
      <c r="BM56" s="481"/>
      <c r="BN56" s="481"/>
      <c r="BO56" s="481"/>
      <c r="BP56" s="481"/>
      <c r="BQ56" s="481"/>
      <c r="BR56" s="481"/>
      <c r="BS56" s="481"/>
      <c r="BT56" s="481"/>
      <c r="BU56" s="481"/>
      <c r="BV56" s="481"/>
      <c r="BW56" s="611"/>
      <c r="BX56" s="286"/>
      <c r="BZ56" s="489"/>
      <c r="CB56" s="0"/>
      <c r="CC56" s="0"/>
      <c r="CD56" s="0"/>
      <c r="CE56" s="0"/>
      <c r="CF56" s="0"/>
      <c r="CG56" s="0"/>
    </row>
    <row customHeight="1" ht="11.25">
      <c r="AI57" s="1727"/>
      <c r="AJ57" s="1727"/>
      <c r="AK57" s="1727"/>
      <c r="AL57" s="1727"/>
      <c r="AM57" s="1727"/>
      <c r="AN57" s="1727"/>
      <c r="AO57" s="1727"/>
      <c r="AP57" s="1727"/>
      <c r="AQ57" s="1727"/>
      <c r="AR57" s="1727"/>
      <c r="AS57" s="1727"/>
      <c r="AT57" s="1727"/>
      <c r="AU57" s="1727"/>
      <c r="AV57" s="1727"/>
      <c r="AW57" s="1727"/>
      <c r="AX57" s="1727"/>
      <c r="AY57" s="1727"/>
      <c r="AZ57" s="1727"/>
      <c r="BA57" s="1727"/>
      <c r="BB57" s="1727"/>
      <c r="BC57" s="1727"/>
      <c r="BD57" s="1727"/>
      <c r="BE57" s="1727"/>
      <c r="BF57" s="1727"/>
      <c r="BG57" s="1727"/>
      <c r="BH57" s="1727"/>
      <c r="BI57" s="1727"/>
      <c r="BJ57" s="1727"/>
      <c r="BK57" s="1727"/>
      <c r="BL57" s="1727"/>
      <c r="BM57" s="1727"/>
      <c r="BN57" s="1727"/>
      <c r="BO57" s="1727"/>
      <c r="BP57" s="1727"/>
      <c r="BQ57" s="1727"/>
      <c r="BR57" s="1727"/>
      <c r="BS57" s="1727"/>
      <c r="BT57" s="1727"/>
      <c r="BU57" s="1727"/>
      <c r="BV57" s="1727"/>
      <c r="BX57" s="318"/>
    </row>
    <row customHeight="1" ht="11.25" hidden="1">
      <c r="AI58" s="1727"/>
      <c r="AJ58" s="1727"/>
      <c r="AK58" s="1727"/>
      <c r="AL58" s="1727"/>
      <c r="AM58" s="1727"/>
      <c r="AN58" s="1727"/>
      <c r="AO58" s="1727"/>
      <c r="AP58" s="1727"/>
      <c r="AQ58" s="1727"/>
      <c r="AR58" s="1727"/>
      <c r="AS58" s="1727"/>
      <c r="AT58" s="1727"/>
      <c r="AU58" s="1727"/>
      <c r="AV58" s="1727"/>
      <c r="AW58" s="1727"/>
      <c r="AX58" s="1727"/>
      <c r="AY58" s="1727"/>
      <c r="AZ58" s="1727"/>
      <c r="BA58" s="1727"/>
      <c r="BB58" s="1727"/>
      <c r="BC58" s="1727"/>
      <c r="BD58" s="1727"/>
      <c r="BE58" s="1727"/>
      <c r="BF58" s="1727"/>
      <c r="BG58" s="1727"/>
      <c r="BH58" s="1727"/>
      <c r="BI58" s="1727"/>
      <c r="BJ58" s="1727"/>
      <c r="BK58" s="1727"/>
      <c r="BL58" s="1727"/>
      <c r="BM58" s="1727"/>
      <c r="BN58" s="1727"/>
      <c r="BO58" s="1727"/>
      <c r="BP58" s="1727"/>
      <c r="BQ58" s="1727"/>
      <c r="BR58" s="1727"/>
      <c r="BS58" s="1727"/>
      <c r="BT58" s="1727"/>
      <c r="BU58" s="1727"/>
      <c r="BV58" s="1727"/>
    </row>
    <row customHeight="1" ht="11.25" hidden="1">
      <c r="AI59" s="1727"/>
      <c r="AJ59" s="1727"/>
      <c r="AK59" s="1727"/>
      <c r="AL59" s="1727"/>
      <c r="AM59" s="1727"/>
      <c r="AN59" s="1727"/>
      <c r="AO59" s="1727"/>
      <c r="AP59" s="1727"/>
      <c r="AQ59" s="1727"/>
      <c r="AR59" s="1727"/>
      <c r="AS59" s="1727"/>
      <c r="AT59" s="1727"/>
      <c r="AU59" s="1727"/>
      <c r="AV59" s="1727"/>
      <c r="AW59" s="1727"/>
      <c r="AX59" s="1727"/>
      <c r="AY59" s="1727"/>
      <c r="AZ59" s="1727"/>
      <c r="BA59" s="1727"/>
      <c r="BB59" s="1727"/>
      <c r="BC59" s="1727"/>
      <c r="BD59" s="1727"/>
      <c r="BE59" s="1727"/>
      <c r="BF59" s="1727"/>
      <c r="BG59" s="1727"/>
      <c r="BH59" s="1727"/>
      <c r="BI59" s="1727"/>
      <c r="BJ59" s="1727"/>
      <c r="BK59" s="1727"/>
      <c r="BL59" s="1727"/>
      <c r="BM59" s="1727"/>
      <c r="BN59" s="1727"/>
      <c r="BO59" s="1727"/>
      <c r="BP59" s="1727"/>
      <c r="BQ59" s="1727"/>
      <c r="BR59" s="1727"/>
      <c r="BS59" s="1727"/>
      <c r="BT59" s="1727"/>
      <c r="BU59" s="1727"/>
      <c r="BV59" s="1727"/>
    </row>
    <row customHeight="1" ht="11.25" hidden="1">
      <c r="A60" s="0" t="s">
        <v>109</v>
      </c>
      <c r="AE60" s="0" t="str">
        <f>"389.0."&amp;AE$9-2010&amp;"."</f>
        <v>389.0.15.</v>
      </c>
      <c r="AF60" s="0" t="str">
        <f>"389.0."&amp;AF$9-2010&amp;"."</f>
        <v>389.0.15.</v>
      </c>
      <c r="AG60" s="0" t="str">
        <f>"389.0."&amp;AG$9-2010&amp;"."</f>
        <v>389.0.15.</v>
      </c>
      <c r="AH60" s="0" t="str">
        <f>"389.0."&amp;AH$9-2010&amp;"."</f>
        <v>389.0.16.</v>
      </c>
      <c r="AI60" s="0" t="str">
        <f>"389.0."&amp;AI$9-2010&amp;"."</f>
        <v>389.0.17.</v>
      </c>
      <c r="AJ60" s="0" t="str">
        <f>"389.0."&amp;AJ$9-2010&amp;"."</f>
        <v>389.0.18.</v>
      </c>
      <c r="AK60" s="0" t="str">
        <f>"389.0."&amp;AK$9-2010&amp;"."</f>
        <v>389.0.19.</v>
      </c>
      <c r="AL60" s="0" t="str">
        <f>"389.0."&amp;AL$9-2010&amp;"."</f>
        <v>389.0.20.</v>
      </c>
      <c r="AM60" s="0" t="str">
        <f>"389.0."&amp;AM$9-2010&amp;"."</f>
        <v>389.0.21.</v>
      </c>
      <c r="AN60" s="0" t="str">
        <f>"389.0."&amp;AN$9-2010&amp;"."</f>
        <v>389.0.22.</v>
      </c>
      <c r="AO60" s="0" t="str">
        <f>"389.0."&amp;AO$9-2010&amp;"."</f>
        <v>389.0.23.</v>
      </c>
      <c r="AP60" s="0" t="str">
        <f>"389.0."&amp;AP$9-2010&amp;"."</f>
        <v>389.0.24.</v>
      </c>
      <c r="AQ60" s="0" t="str">
        <f>"389.0."&amp;AQ$9-2010&amp;"."</f>
        <v>389.0.25.</v>
      </c>
      <c r="AR60" s="0" t="str">
        <f>"389.0."&amp;AR$9-2010&amp;"."</f>
        <v>389.0.26.</v>
      </c>
      <c r="AS60" s="0" t="str">
        <f>"389.0."&amp;AS$9-2010&amp;"."</f>
        <v>389.0.27.</v>
      </c>
      <c r="AT60" s="0" t="str">
        <f>"389.0."&amp;AT$9-2010&amp;"."</f>
        <v>389.0.28.</v>
      </c>
      <c r="AU60" s="0" t="str">
        <f>"389.0."&amp;AU$9-2010&amp;"."</f>
        <v>389.0.29.</v>
      </c>
      <c r="AV60" s="0" t="str">
        <f>"389.0."&amp;AV$9-2010&amp;"."</f>
        <v>389.0.30.</v>
      </c>
      <c r="AW60" s="0" t="str">
        <f>"389.0."&amp;AW$9-2010&amp;"."</f>
        <v>389.0.31.</v>
      </c>
      <c r="AX60" s="0" t="str">
        <f>"389.0."&amp;AX$9-2010&amp;"."</f>
        <v>389.0.32.</v>
      </c>
      <c r="AY60" s="0" t="str">
        <f>"389.0."&amp;AY$9-2010&amp;"."</f>
        <v>389.0.33.</v>
      </c>
      <c r="AZ60" s="0" t="str">
        <f>"389.0."&amp;AZ$9-2010&amp;"."</f>
        <v>389.0.34.</v>
      </c>
      <c r="BA60" s="0" t="str">
        <f>"389.0."&amp;BA$9-2010&amp;"."</f>
        <v>389.0.35.</v>
      </c>
      <c r="BB60" s="0" t="str">
        <f>"389.0."&amp;BB$9-2010&amp;"."</f>
        <v>389.0.36.</v>
      </c>
      <c r="BC60" s="0" t="str">
        <f>"389.0."&amp;BC$9-2010&amp;"."</f>
        <v>389.0.17.</v>
      </c>
      <c r="BD60" s="0" t="str">
        <f>"389.0."&amp;BD$9-2010&amp;"."</f>
        <v>389.0.18.</v>
      </c>
      <c r="BE60" s="0" t="str">
        <f>"389.0."&amp;BE$9-2010&amp;"."</f>
        <v>389.0.19.</v>
      </c>
      <c r="BF60" s="0" t="str">
        <f>"389.0."&amp;BF$9-2010&amp;"."</f>
        <v>389.0.20.</v>
      </c>
      <c r="BG60" s="0" t="str">
        <f>"389.0."&amp;BG$9-2010&amp;"."</f>
        <v>389.0.21.</v>
      </c>
      <c r="BH60" s="0" t="str">
        <f>"389.0."&amp;BH$9-2010&amp;"."</f>
        <v>389.0.22.</v>
      </c>
      <c r="BI60" s="0" t="str">
        <f>"389.0."&amp;BI$9-2010&amp;"."</f>
        <v>389.0.23.</v>
      </c>
      <c r="BJ60" s="0" t="str">
        <f>"389.0."&amp;BJ$9-2010&amp;"."</f>
        <v>389.0.24.</v>
      </c>
      <c r="BK60" s="0" t="str">
        <f>"389.0."&amp;BK$9-2010&amp;"."</f>
        <v>389.0.25.</v>
      </c>
      <c r="BL60" s="0" t="str">
        <f>"389.0."&amp;BL$9-2010&amp;"."</f>
        <v>389.0.26.</v>
      </c>
      <c r="BM60" s="0" t="str">
        <f>"389.0."&amp;BM$9-2010&amp;"."</f>
        <v>389.0.27.</v>
      </c>
      <c r="BN60" s="0" t="str">
        <f>"389.0."&amp;BN$9-2010&amp;"."</f>
        <v>389.0.28.</v>
      </c>
      <c r="BO60" s="0" t="str">
        <f>"389.0."&amp;BO$9-2010&amp;"."</f>
        <v>389.0.29.</v>
      </c>
      <c r="BP60" s="0" t="str">
        <f>"389.0."&amp;BP$9-2010&amp;"."</f>
        <v>389.0.30.</v>
      </c>
      <c r="BQ60" s="0" t="str">
        <f>"389.0."&amp;BQ$9-2010&amp;"."</f>
        <v>389.0.31.</v>
      </c>
      <c r="BR60" s="0" t="str">
        <f>"389.0."&amp;BR$9-2010&amp;"."</f>
        <v>389.0.32.</v>
      </c>
      <c r="BS60" s="0" t="str">
        <f>"389.0."&amp;BS$9-2010&amp;"."</f>
        <v>389.0.33.</v>
      </c>
      <c r="BT60" s="0" t="str">
        <f>"389.0."&amp;BT$9-2010&amp;"."</f>
        <v>389.0.34.</v>
      </c>
      <c r="BU60" s="0" t="str">
        <f>"389.0."&amp;BU$9-2010&amp;"."</f>
        <v>389.0.35.</v>
      </c>
      <c r="BV60" s="0" t="str">
        <f>"389.0."&amp;BV$9-2010&amp;"."</f>
        <v>389.0.36.</v>
      </c>
    </row>
    <row customHeight="1" ht="11.25" hidden="1">
      <c r="A61" s="0" t="s">
        <v>406</v>
      </c>
      <c r="AE61" s="0" cm="1" t="str">
        <f t="array" ref="AE61:AE61">IF($A61="uni_org_reg_NAME",INDEX(org_reg_values,MATCH(AE$10,org_reg_codes,0),1),IF($A61="uni_pf_NAME",INDEX(pf_codes_values,MATCH(AE$10,pf_codes,0),1),""))</f>
        <v>328.0.2.</v>
      </c>
      <c r="AF61" s="0" cm="1" t="str">
        <f t="array" ref="AF61:AF61">IF($A61="uni_org_reg_NAME",INDEX(org_reg_values,MATCH(AF$10,org_reg_codes,0),1),IF($A61="uni_pf_NAME",INDEX(pf_codes_values,MATCH(AF$10,pf_codes,0),1),""))</f>
        <v>328.0.1.</v>
      </c>
      <c r="AG61" s="0" cm="1" t="str">
        <f t="array" ref="AG61:AG61">IF($A61="uni_org_reg_NAME",INDEX(org_reg_values,MATCH(AG$10,org_reg_codes,0),1),IF($A61="uni_pf_NAME",INDEX(pf_codes_values,MATCH(AG$10,pf_codes,0),1),""))</f>
        <v>328.0.2.</v>
      </c>
      <c r="AH61" s="0" cm="1" t="str">
        <f t="array" ref="AH61:AH61">IF($A61="uni_org_reg_NAME",INDEX(org_reg_values,MATCH(AH$10,org_reg_codes,0),1),IF($A61="uni_pf_NAME",INDEX(pf_codes_values,MATCH(AH$10,pf_codes,0),1),""))</f>
        <v>328.0.2.</v>
      </c>
      <c r="AI61" s="0" cm="1" t="str">
        <f t="array" ref="AI61:AI61">IF($A61="uni_org_reg_NAME",INDEX(org_reg_values,MATCH(AI$10,org_reg_codes,0),1),IF($A61="uni_pf_NAME",INDEX(pf_codes_values,MATCH(AI$10,pf_codes,0),1),""))</f>
        <v>328.0.1.</v>
      </c>
      <c r="AJ61" s="0" cm="1" t="str">
        <f t="array" ref="AJ61:AJ61">IF($A61="uni_org_reg_NAME",INDEX(org_reg_values,MATCH(AJ$10,org_reg_codes,0),1),IF($A61="uni_pf_NAME",INDEX(pf_codes_values,MATCH(AJ$10,pf_codes,0),1),""))</f>
        <v>328.0.1.</v>
      </c>
      <c r="AK61" s="0" cm="1" t="str">
        <f t="array" ref="AK61:AK61">IF($A61="uni_org_reg_NAME",INDEX(org_reg_values,MATCH(AK$10,org_reg_codes,0),1),IF($A61="uni_pf_NAME",INDEX(pf_codes_values,MATCH(AK$10,pf_codes,0),1),""))</f>
        <v>328.0.1.</v>
      </c>
      <c r="AL61" s="0" cm="1" t="str">
        <f t="array" ref="AL61:AL61">IF($A61="uni_org_reg_NAME",INDEX(org_reg_values,MATCH(AL$10,org_reg_codes,0),1),IF($A61="uni_pf_NAME",INDEX(pf_codes_values,MATCH(AL$10,pf_codes,0),1),""))</f>
        <v>328.0.1.</v>
      </c>
      <c r="AM61" s="0" cm="1" t="str">
        <f t="array" ref="AM61:AM61">IF($A61="uni_org_reg_NAME",INDEX(org_reg_values,MATCH(AM$10,org_reg_codes,0),1),IF($A61="uni_pf_NAME",INDEX(pf_codes_values,MATCH(AM$10,pf_codes,0),1),""))</f>
        <v>328.0.1.</v>
      </c>
      <c r="AN61" s="0" cm="1" t="str">
        <f t="array" ref="AN61:AN61">IF($A61="uni_org_reg_NAME",INDEX(org_reg_values,MATCH(AN$10,org_reg_codes,0),1),IF($A61="uni_pf_NAME",INDEX(pf_codes_values,MATCH(AN$10,pf_codes,0),1),""))</f>
        <v>328.0.1.</v>
      </c>
      <c r="AO61" s="0" cm="1" t="str">
        <f t="array" ref="AO61:AO61">IF($A61="uni_org_reg_NAME",INDEX(org_reg_values,MATCH(AO$10,org_reg_codes,0),1),IF($A61="uni_pf_NAME",INDEX(pf_codes_values,MATCH(AO$10,pf_codes,0),1),""))</f>
        <v>328.0.1.</v>
      </c>
      <c r="AP61" s="0" cm="1" t="str">
        <f t="array" ref="AP61:AP61">IF($A61="uni_org_reg_NAME",INDEX(org_reg_values,MATCH(AP$10,org_reg_codes,0),1),IF($A61="uni_pf_NAME",INDEX(pf_codes_values,MATCH(AP$10,pf_codes,0),1),""))</f>
        <v>328.0.1.</v>
      </c>
      <c r="AQ61" s="0" cm="1" t="str">
        <f t="array" ref="AQ61:AQ61">IF($A61="uni_org_reg_NAME",INDEX(org_reg_values,MATCH(AQ$10,org_reg_codes,0),1),IF($A61="uni_pf_NAME",INDEX(pf_codes_values,MATCH(AQ$10,pf_codes,0),1),""))</f>
        <v>328.0.1.</v>
      </c>
      <c r="AR61" s="0" cm="1" t="str">
        <f t="array" ref="AR61:AR61">IF($A61="uni_org_reg_NAME",INDEX(org_reg_values,MATCH(AR$10,org_reg_codes,0),1),IF($A61="uni_pf_NAME",INDEX(pf_codes_values,MATCH(AR$10,pf_codes,0),1),""))</f>
        <v>328.0.1.</v>
      </c>
      <c r="AS61" s="0" cm="1" t="str">
        <f t="array" ref="AS61:AS61">IF($A61="uni_org_reg_NAME",INDEX(org_reg_values,MATCH(AS$10,org_reg_codes,0),1),IF($A61="uni_pf_NAME",INDEX(pf_codes_values,MATCH(AS$10,pf_codes,0),1),""))</f>
        <v>328.0.1.</v>
      </c>
      <c r="AT61" s="0" cm="1" t="str">
        <f t="array" ref="AT61:AT61">IF($A61="uni_org_reg_NAME",INDEX(org_reg_values,MATCH(AT$10,org_reg_codes,0),1),IF($A61="uni_pf_NAME",INDEX(pf_codes_values,MATCH(AT$10,pf_codes,0),1),""))</f>
        <v>328.0.1.</v>
      </c>
      <c r="AU61" s="0" cm="1" t="str">
        <f t="array" ref="AU61:AU61">IF($A61="uni_org_reg_NAME",INDEX(org_reg_values,MATCH(AU$10,org_reg_codes,0),1),IF($A61="uni_pf_NAME",INDEX(pf_codes_values,MATCH(AU$10,pf_codes,0),1),""))</f>
        <v>328.0.1.</v>
      </c>
      <c r="AV61" s="0" cm="1" t="str">
        <f t="array" ref="AV61:AV61">IF($A61="uni_org_reg_NAME",INDEX(org_reg_values,MATCH(AV$10,org_reg_codes,0),1),IF($A61="uni_pf_NAME",INDEX(pf_codes_values,MATCH(AV$10,pf_codes,0),1),""))</f>
        <v>328.0.1.</v>
      </c>
      <c r="AW61" s="0" cm="1" t="str">
        <f t="array" ref="AW61:AW61">IF($A61="uni_org_reg_NAME",INDEX(org_reg_values,MATCH(AW$10,org_reg_codes,0),1),IF($A61="uni_pf_NAME",INDEX(pf_codes_values,MATCH(AW$10,pf_codes,0),1),""))</f>
        <v>328.0.1.</v>
      </c>
      <c r="AX61" s="0" cm="1" t="str">
        <f t="array" ref="AX61:AX61">IF($A61="uni_org_reg_NAME",INDEX(org_reg_values,MATCH(AX$10,org_reg_codes,0),1),IF($A61="uni_pf_NAME",INDEX(pf_codes_values,MATCH(AX$10,pf_codes,0),1),""))</f>
        <v>328.0.1.</v>
      </c>
      <c r="AY61" s="0" cm="1" t="str">
        <f t="array" ref="AY61:AY61">IF($A61="uni_org_reg_NAME",INDEX(org_reg_values,MATCH(AY$10,org_reg_codes,0),1),IF($A61="uni_pf_NAME",INDEX(pf_codes_values,MATCH(AY$10,pf_codes,0),1),""))</f>
        <v>328.0.1.</v>
      </c>
      <c r="AZ61" s="0" cm="1" t="str">
        <f t="array" ref="AZ61:AZ61">IF($A61="uni_org_reg_NAME",INDEX(org_reg_values,MATCH(AZ$10,org_reg_codes,0),1),IF($A61="uni_pf_NAME",INDEX(pf_codes_values,MATCH(AZ$10,pf_codes,0),1),""))</f>
        <v>328.0.1.</v>
      </c>
      <c r="BA61" s="0" cm="1" t="str">
        <f t="array" ref="BA61:BA61">IF($A61="uni_org_reg_NAME",INDEX(org_reg_values,MATCH(BA$10,org_reg_codes,0),1),IF($A61="uni_pf_NAME",INDEX(pf_codes_values,MATCH(BA$10,pf_codes,0),1),""))</f>
        <v>328.0.1.</v>
      </c>
      <c r="BB61" s="0" cm="1" t="str">
        <f t="array" ref="BB61:BB61">IF($A61="uni_org_reg_NAME",INDEX(org_reg_values,MATCH(BB$10,org_reg_codes,0),1),IF($A61="uni_pf_NAME",INDEX(pf_codes_values,MATCH(BB$10,pf_codes,0),1),""))</f>
        <v>328.0.1.</v>
      </c>
      <c r="BC61" s="0" cm="1" t="str">
        <f t="array" ref="BC61:BC61">IF($A61="uni_org_reg_NAME",INDEX(org_reg_values,MATCH(BC$10,org_reg_codes,0),1),IF($A61="uni_pf_NAME",INDEX(pf_codes_values,MATCH(BC$10,pf_codes,0),1),""))</f>
        <v>328.0.2.</v>
      </c>
      <c r="BD61" s="0" cm="1" t="str">
        <f t="array" ref="BD61:BD61">IF($A61="uni_org_reg_NAME",INDEX(org_reg_values,MATCH(BD$10,org_reg_codes,0),1),IF($A61="uni_pf_NAME",INDEX(pf_codes_values,MATCH(BD$10,pf_codes,0),1),""))</f>
        <v>328.0.2.</v>
      </c>
      <c r="BE61" s="0" cm="1" t="str">
        <f t="array" ref="BE61:BE61">IF($A61="uni_org_reg_NAME",INDEX(org_reg_values,MATCH(BE$10,org_reg_codes,0),1),IF($A61="uni_pf_NAME",INDEX(pf_codes_values,MATCH(BE$10,pf_codes,0),1),""))</f>
        <v>328.0.2.</v>
      </c>
      <c r="BF61" s="0" cm="1" t="str">
        <f t="array" ref="BF61:BF61">IF($A61="uni_org_reg_NAME",INDEX(org_reg_values,MATCH(BF$10,org_reg_codes,0),1),IF($A61="uni_pf_NAME",INDEX(pf_codes_values,MATCH(BF$10,pf_codes,0),1),""))</f>
        <v>328.0.2.</v>
      </c>
      <c r="BG61" s="0" cm="1" t="str">
        <f t="array" ref="BG61:BG61">IF($A61="uni_org_reg_NAME",INDEX(org_reg_values,MATCH(BG$10,org_reg_codes,0),1),IF($A61="uni_pf_NAME",INDEX(pf_codes_values,MATCH(BG$10,pf_codes,0),1),""))</f>
        <v>328.0.2.</v>
      </c>
      <c r="BH61" s="0" cm="1" t="str">
        <f t="array" ref="BH61:BH61">IF($A61="uni_org_reg_NAME",INDEX(org_reg_values,MATCH(BH$10,org_reg_codes,0),1),IF($A61="uni_pf_NAME",INDEX(pf_codes_values,MATCH(BH$10,pf_codes,0),1),""))</f>
        <v>328.0.2.</v>
      </c>
      <c r="BI61" s="0" cm="1" t="str">
        <f t="array" ref="BI61:BI61">IF($A61="uni_org_reg_NAME",INDEX(org_reg_values,MATCH(BI$10,org_reg_codes,0),1),IF($A61="uni_pf_NAME",INDEX(pf_codes_values,MATCH(BI$10,pf_codes,0),1),""))</f>
        <v>328.0.2.</v>
      </c>
      <c r="BJ61" s="0" cm="1" t="str">
        <f t="array" ref="BJ61:BJ61">IF($A61="uni_org_reg_NAME",INDEX(org_reg_values,MATCH(BJ$10,org_reg_codes,0),1),IF($A61="uni_pf_NAME",INDEX(pf_codes_values,MATCH(BJ$10,pf_codes,0),1),""))</f>
        <v>328.0.2.</v>
      </c>
      <c r="BK61" s="0" cm="1" t="str">
        <f t="array" ref="BK61:BK61">IF($A61="uni_org_reg_NAME",INDEX(org_reg_values,MATCH(BK$10,org_reg_codes,0),1),IF($A61="uni_pf_NAME",INDEX(pf_codes_values,MATCH(BK$10,pf_codes,0),1),""))</f>
        <v>328.0.2.</v>
      </c>
      <c r="BL61" s="0" cm="1" t="str">
        <f t="array" ref="BL61:BL61">IF($A61="uni_org_reg_NAME",INDEX(org_reg_values,MATCH(BL$10,org_reg_codes,0),1),IF($A61="uni_pf_NAME",INDEX(pf_codes_values,MATCH(BL$10,pf_codes,0),1),""))</f>
        <v>328.0.2.</v>
      </c>
      <c r="BM61" s="0" cm="1" t="str">
        <f t="array" ref="BM61:BM61">IF($A61="uni_org_reg_NAME",INDEX(org_reg_values,MATCH(BM$10,org_reg_codes,0),1),IF($A61="uni_pf_NAME",INDEX(pf_codes_values,MATCH(BM$10,pf_codes,0),1),""))</f>
        <v>328.0.2.</v>
      </c>
      <c r="BN61" s="0" cm="1" t="str">
        <f t="array" ref="BN61:BN61">IF($A61="uni_org_reg_NAME",INDEX(org_reg_values,MATCH(BN$10,org_reg_codes,0),1),IF($A61="uni_pf_NAME",INDEX(pf_codes_values,MATCH(BN$10,pf_codes,0),1),""))</f>
        <v>328.0.2.</v>
      </c>
      <c r="BO61" s="0" cm="1" t="str">
        <f t="array" ref="BO61:BO61">IF($A61="uni_org_reg_NAME",INDEX(org_reg_values,MATCH(BO$10,org_reg_codes,0),1),IF($A61="uni_pf_NAME",INDEX(pf_codes_values,MATCH(BO$10,pf_codes,0),1),""))</f>
        <v>328.0.2.</v>
      </c>
      <c r="BP61" s="0" cm="1" t="str">
        <f t="array" ref="BP61:BP61">IF($A61="uni_org_reg_NAME",INDEX(org_reg_values,MATCH(BP$10,org_reg_codes,0),1),IF($A61="uni_pf_NAME",INDEX(pf_codes_values,MATCH(BP$10,pf_codes,0),1),""))</f>
        <v>328.0.2.</v>
      </c>
      <c r="BQ61" s="0" cm="1" t="str">
        <f t="array" ref="BQ61:BQ61">IF($A61="uni_org_reg_NAME",INDEX(org_reg_values,MATCH(BQ$10,org_reg_codes,0),1),IF($A61="uni_pf_NAME",INDEX(pf_codes_values,MATCH(BQ$10,pf_codes,0),1),""))</f>
        <v>328.0.2.</v>
      </c>
      <c r="BR61" s="0" cm="1" t="str">
        <f t="array" ref="BR61:BR61">IF($A61="uni_org_reg_NAME",INDEX(org_reg_values,MATCH(BR$10,org_reg_codes,0),1),IF($A61="uni_pf_NAME",INDEX(pf_codes_values,MATCH(BR$10,pf_codes,0),1),""))</f>
        <v>328.0.2.</v>
      </c>
      <c r="BS61" s="0" cm="1" t="str">
        <f t="array" ref="BS61:BS61">IF($A61="uni_org_reg_NAME",INDEX(org_reg_values,MATCH(BS$10,org_reg_codes,0),1),IF($A61="uni_pf_NAME",INDEX(pf_codes_values,MATCH(BS$10,pf_codes,0),1),""))</f>
        <v>328.0.2.</v>
      </c>
      <c r="BT61" s="0" cm="1" t="str">
        <f t="array" ref="BT61:BT61">IF($A61="uni_org_reg_NAME",INDEX(org_reg_values,MATCH(BT$10,org_reg_codes,0),1),IF($A61="uni_pf_NAME",INDEX(pf_codes_values,MATCH(BT$10,pf_codes,0),1),""))</f>
        <v>328.0.2.</v>
      </c>
      <c r="BU61" s="0" cm="1" t="str">
        <f t="array" ref="BU61:BU61">IF($A61="uni_org_reg_NAME",INDEX(org_reg_values,MATCH(BU$10,org_reg_codes,0),1),IF($A61="uni_pf_NAME",INDEX(pf_codes_values,MATCH(BU$10,pf_codes,0),1),""))</f>
        <v>328.0.2.</v>
      </c>
      <c r="BV61" s="0" cm="1" t="str">
        <f t="array" ref="BV61:BV61">IF($A61="uni_org_reg_NAME",INDEX(org_reg_values,MATCH(BV$10,org_reg_codes,0),1),IF($A61="uni_pf_NAME",INDEX(pf_codes_values,MATCH(BV$10,pf_codes,0),1),""))</f>
        <v>328.0.2.</v>
      </c>
    </row>
    <row customHeight="1" ht="11.25" hidden="1">
      <c r="A62" s="0" t="s">
        <v>409</v>
      </c>
      <c r="AE62" s="0" cm="1" t="str">
        <f t="array" ref="AE62:AE62">IF($A62="uni_org_reg_NAME",INDEX(org_reg_values,MATCH(AE$10,org_reg_codes,0),1),IF($A62="uni_pf_NAME",INDEX(pf_codes_values,MATCH(AE$10,pf_codes,0),1),""))</f>
        <v>36.0.7.</v>
      </c>
      <c r="AF62" s="0" cm="1" t="str">
        <f t="array" ref="AF62:AF62">IF($A62="uni_org_reg_NAME",INDEX(org_reg_values,MATCH(AF$10,org_reg_codes,0),1),IF($A62="uni_pf_NAME",INDEX(pf_codes_values,MATCH(AF$10,pf_codes,0),1),""))</f>
        <v>36.0.1.</v>
      </c>
      <c r="AG62" s="0" cm="1" t="str">
        <f t="array" ref="AG62:AG62">IF($A62="uni_org_reg_NAME",INDEX(org_reg_values,MATCH(AG$10,org_reg_codes,0),1),IF($A62="uni_pf_NAME",INDEX(pf_codes_values,MATCH(AG$10,pf_codes,0),1),""))</f>
        <v>36.0.1.</v>
      </c>
      <c r="AH62" s="0" cm="1" t="str">
        <f t="array" ref="AH62:AH62">IF($A62="uni_org_reg_NAME",INDEX(org_reg_values,MATCH(AH$10,org_reg_codes,0),1),IF($A62="uni_pf_NAME",INDEX(pf_codes_values,MATCH(AH$10,pf_codes,0),1),""))</f>
        <v>36.0.7.</v>
      </c>
      <c r="AI62" s="0" cm="1" t="str">
        <f t="array" ref="AI62:AI62">IF($A62="uni_org_reg_NAME",INDEX(org_reg_values,MATCH(AI$10,org_reg_codes,0),1),IF($A62="uni_pf_NAME",INDEX(pf_codes_values,MATCH(AI$10,pf_codes,0),1),""))</f>
        <v>36.0.3.</v>
      </c>
      <c r="AJ62" s="0" cm="1" t="str">
        <f t="array" ref="AJ62:AJ62">IF($A62="uni_org_reg_NAME",INDEX(org_reg_values,MATCH(AJ$10,org_reg_codes,0),1),IF($A62="uni_pf_NAME",INDEX(pf_codes_values,MATCH(AJ$10,pf_codes,0),1),""))</f>
        <v>36.0.3.</v>
      </c>
      <c r="AK62" s="0" cm="1" t="str">
        <f t="array" ref="AK62:AK62">IF($A62="uni_org_reg_NAME",INDEX(org_reg_values,MATCH(AK$10,org_reg_codes,0),1),IF($A62="uni_pf_NAME",INDEX(pf_codes_values,MATCH(AK$10,pf_codes,0),1),""))</f>
        <v>36.0.3.</v>
      </c>
      <c r="AL62" s="0" cm="1" t="str">
        <f t="array" ref="AL62:AL62">IF($A62="uni_org_reg_NAME",INDEX(org_reg_values,MATCH(AL$10,org_reg_codes,0),1),IF($A62="uni_pf_NAME",INDEX(pf_codes_values,MATCH(AL$10,pf_codes,0),1),""))</f>
        <v>36.0.3.</v>
      </c>
      <c r="AM62" s="0" cm="1" t="str">
        <f t="array" ref="AM62:AM62">IF($A62="uni_org_reg_NAME",INDEX(org_reg_values,MATCH(AM$10,org_reg_codes,0),1),IF($A62="uni_pf_NAME",INDEX(pf_codes_values,MATCH(AM$10,pf_codes,0),1),""))</f>
        <v>36.0.3.</v>
      </c>
      <c r="AN62" s="0" cm="1" t="str">
        <f t="array" ref="AN62:AN62">IF($A62="uni_org_reg_NAME",INDEX(org_reg_values,MATCH(AN$10,org_reg_codes,0),1),IF($A62="uni_pf_NAME",INDEX(pf_codes_values,MATCH(AN$10,pf_codes,0),1),""))</f>
        <v>36.0.3.</v>
      </c>
      <c r="AO62" s="0" cm="1" t="str">
        <f t="array" ref="AO62:AO62">IF($A62="uni_org_reg_NAME",INDEX(org_reg_values,MATCH(AO$10,org_reg_codes,0),1),IF($A62="uni_pf_NAME",INDEX(pf_codes_values,MATCH(AO$10,pf_codes,0),1),""))</f>
        <v>36.0.3.</v>
      </c>
      <c r="AP62" s="0" cm="1" t="str">
        <f t="array" ref="AP62:AP62">IF($A62="uni_org_reg_NAME",INDEX(org_reg_values,MATCH(AP$10,org_reg_codes,0),1),IF($A62="uni_pf_NAME",INDEX(pf_codes_values,MATCH(AP$10,pf_codes,0),1),""))</f>
        <v>36.0.3.</v>
      </c>
      <c r="AQ62" s="0" cm="1" t="str">
        <f t="array" ref="AQ62:AQ62">IF($A62="uni_org_reg_NAME",INDEX(org_reg_values,MATCH(AQ$10,org_reg_codes,0),1),IF($A62="uni_pf_NAME",INDEX(pf_codes_values,MATCH(AQ$10,pf_codes,0),1),""))</f>
        <v>36.0.3.</v>
      </c>
      <c r="AR62" s="0" cm="1" t="str">
        <f t="array" ref="AR62:AR62">IF($A62="uni_org_reg_NAME",INDEX(org_reg_values,MATCH(AR$10,org_reg_codes,0),1),IF($A62="uni_pf_NAME",INDEX(pf_codes_values,MATCH(AR$10,pf_codes,0),1),""))</f>
        <v>36.0.3.</v>
      </c>
      <c r="AS62" s="0" cm="1" t="str">
        <f t="array" ref="AS62:AS62">IF($A62="uni_org_reg_NAME",INDEX(org_reg_values,MATCH(AS$10,org_reg_codes,0),1),IF($A62="uni_pf_NAME",INDEX(pf_codes_values,MATCH(AS$10,pf_codes,0),1),""))</f>
        <v>36.0.3.</v>
      </c>
      <c r="AT62" s="0" cm="1" t="str">
        <f t="array" ref="AT62:AT62">IF($A62="uni_org_reg_NAME",INDEX(org_reg_values,MATCH(AT$10,org_reg_codes,0),1),IF($A62="uni_pf_NAME",INDEX(pf_codes_values,MATCH(AT$10,pf_codes,0),1),""))</f>
        <v>36.0.3.</v>
      </c>
      <c r="AU62" s="0" cm="1" t="str">
        <f t="array" ref="AU62:AU62">IF($A62="uni_org_reg_NAME",INDEX(org_reg_values,MATCH(AU$10,org_reg_codes,0),1),IF($A62="uni_pf_NAME",INDEX(pf_codes_values,MATCH(AU$10,pf_codes,0),1),""))</f>
        <v>36.0.3.</v>
      </c>
      <c r="AV62" s="0" cm="1" t="str">
        <f t="array" ref="AV62:AV62">IF($A62="uni_org_reg_NAME",INDEX(org_reg_values,MATCH(AV$10,org_reg_codes,0),1),IF($A62="uni_pf_NAME",INDEX(pf_codes_values,MATCH(AV$10,pf_codes,0),1),""))</f>
        <v>36.0.3.</v>
      </c>
      <c r="AW62" s="0" cm="1" t="str">
        <f t="array" ref="AW62:AW62">IF($A62="uni_org_reg_NAME",INDEX(org_reg_values,MATCH(AW$10,org_reg_codes,0),1),IF($A62="uni_pf_NAME",INDEX(pf_codes_values,MATCH(AW$10,pf_codes,0),1),""))</f>
        <v>36.0.3.</v>
      </c>
      <c r="AX62" s="0" cm="1" t="str">
        <f t="array" ref="AX62:AX62">IF($A62="uni_org_reg_NAME",INDEX(org_reg_values,MATCH(AX$10,org_reg_codes,0),1),IF($A62="uni_pf_NAME",INDEX(pf_codes_values,MATCH(AX$10,pf_codes,0),1),""))</f>
        <v>36.0.3.</v>
      </c>
      <c r="AY62" s="0" cm="1" t="str">
        <f t="array" ref="AY62:AY62">IF($A62="uni_org_reg_NAME",INDEX(org_reg_values,MATCH(AY$10,org_reg_codes,0),1),IF($A62="uni_pf_NAME",INDEX(pf_codes_values,MATCH(AY$10,pf_codes,0),1),""))</f>
        <v>36.0.3.</v>
      </c>
      <c r="AZ62" s="0" cm="1" t="str">
        <f t="array" ref="AZ62:AZ62">IF($A62="uni_org_reg_NAME",INDEX(org_reg_values,MATCH(AZ$10,org_reg_codes,0),1),IF($A62="uni_pf_NAME",INDEX(pf_codes_values,MATCH(AZ$10,pf_codes,0),1),""))</f>
        <v>36.0.3.</v>
      </c>
      <c r="BA62" s="0" cm="1" t="str">
        <f t="array" ref="BA62:BA62">IF($A62="uni_org_reg_NAME",INDEX(org_reg_values,MATCH(BA$10,org_reg_codes,0),1),IF($A62="uni_pf_NAME",INDEX(pf_codes_values,MATCH(BA$10,pf_codes,0),1),""))</f>
        <v>36.0.3.</v>
      </c>
      <c r="BB62" s="0" cm="1" t="str">
        <f t="array" ref="BB62:BB62">IF($A62="uni_org_reg_NAME",INDEX(org_reg_values,MATCH(BB$10,org_reg_codes,0),1),IF($A62="uni_pf_NAME",INDEX(pf_codes_values,MATCH(BB$10,pf_codes,0),1),""))</f>
        <v>36.0.3.</v>
      </c>
      <c r="BC62" s="0" cm="1" t="str">
        <f t="array" ref="BC62:BC62">IF($A62="uni_org_reg_NAME",INDEX(org_reg_values,MATCH(BC$10,org_reg_codes,0),1),IF($A62="uni_pf_NAME",INDEX(pf_codes_values,MATCH(BC$10,pf_codes,0),1),""))</f>
        <v>36.0.7.</v>
      </c>
      <c r="BD62" s="0" cm="1" t="str">
        <f t="array" ref="BD62:BD62">IF($A62="uni_org_reg_NAME",INDEX(org_reg_values,MATCH(BD$10,org_reg_codes,0),1),IF($A62="uni_pf_NAME",INDEX(pf_codes_values,MATCH(BD$10,pf_codes,0),1),""))</f>
        <v>36.0.7.</v>
      </c>
      <c r="BE62" s="0" cm="1" t="str">
        <f t="array" ref="BE62:BE62">IF($A62="uni_org_reg_NAME",INDEX(org_reg_values,MATCH(BE$10,org_reg_codes,0),1),IF($A62="uni_pf_NAME",INDEX(pf_codes_values,MATCH(BE$10,pf_codes,0),1),""))</f>
        <v>36.0.7.</v>
      </c>
      <c r="BF62" s="0" cm="1" t="str">
        <f t="array" ref="BF62:BF62">IF($A62="uni_org_reg_NAME",INDEX(org_reg_values,MATCH(BF$10,org_reg_codes,0),1),IF($A62="uni_pf_NAME",INDEX(pf_codes_values,MATCH(BF$10,pf_codes,0),1),""))</f>
        <v>36.0.7.</v>
      </c>
      <c r="BG62" s="0" cm="1" t="str">
        <f t="array" ref="BG62:BG62">IF($A62="uni_org_reg_NAME",INDEX(org_reg_values,MATCH(BG$10,org_reg_codes,0),1),IF($A62="uni_pf_NAME",INDEX(pf_codes_values,MATCH(BG$10,pf_codes,0),1),""))</f>
        <v>36.0.7.</v>
      </c>
      <c r="BH62" s="0" cm="1" t="str">
        <f t="array" ref="BH62:BH62">IF($A62="uni_org_reg_NAME",INDEX(org_reg_values,MATCH(BH$10,org_reg_codes,0),1),IF($A62="uni_pf_NAME",INDEX(pf_codes_values,MATCH(BH$10,pf_codes,0),1),""))</f>
        <v>36.0.7.</v>
      </c>
      <c r="BI62" s="0" cm="1" t="str">
        <f t="array" ref="BI62:BI62">IF($A62="uni_org_reg_NAME",INDEX(org_reg_values,MATCH(BI$10,org_reg_codes,0),1),IF($A62="uni_pf_NAME",INDEX(pf_codes_values,MATCH(BI$10,pf_codes,0),1),""))</f>
        <v>36.0.7.</v>
      </c>
      <c r="BJ62" s="0" cm="1" t="str">
        <f t="array" ref="BJ62:BJ62">IF($A62="uni_org_reg_NAME",INDEX(org_reg_values,MATCH(BJ$10,org_reg_codes,0),1),IF($A62="uni_pf_NAME",INDEX(pf_codes_values,MATCH(BJ$10,pf_codes,0),1),""))</f>
        <v>36.0.7.</v>
      </c>
      <c r="BK62" s="0" cm="1" t="str">
        <f t="array" ref="BK62:BK62">IF($A62="uni_org_reg_NAME",INDEX(org_reg_values,MATCH(BK$10,org_reg_codes,0),1),IF($A62="uni_pf_NAME",INDEX(pf_codes_values,MATCH(BK$10,pf_codes,0),1),""))</f>
        <v>36.0.7.</v>
      </c>
      <c r="BL62" s="0" cm="1" t="str">
        <f t="array" ref="BL62:BL62">IF($A62="uni_org_reg_NAME",INDEX(org_reg_values,MATCH(BL$10,org_reg_codes,0),1),IF($A62="uni_pf_NAME",INDEX(pf_codes_values,MATCH(BL$10,pf_codes,0),1),""))</f>
        <v>36.0.7.</v>
      </c>
      <c r="BM62" s="0" cm="1" t="str">
        <f t="array" ref="BM62:BM62">IF($A62="uni_org_reg_NAME",INDEX(org_reg_values,MATCH(BM$10,org_reg_codes,0),1),IF($A62="uni_pf_NAME",INDEX(pf_codes_values,MATCH(BM$10,pf_codes,0),1),""))</f>
        <v>36.0.7.</v>
      </c>
      <c r="BN62" s="0" cm="1" t="str">
        <f t="array" ref="BN62:BN62">IF($A62="uni_org_reg_NAME",INDEX(org_reg_values,MATCH(BN$10,org_reg_codes,0),1),IF($A62="uni_pf_NAME",INDEX(pf_codes_values,MATCH(BN$10,pf_codes,0),1),""))</f>
        <v>36.0.7.</v>
      </c>
      <c r="BO62" s="0" cm="1" t="str">
        <f t="array" ref="BO62:BO62">IF($A62="uni_org_reg_NAME",INDEX(org_reg_values,MATCH(BO$10,org_reg_codes,0),1),IF($A62="uni_pf_NAME",INDEX(pf_codes_values,MATCH(BO$10,pf_codes,0),1),""))</f>
        <v>36.0.7.</v>
      </c>
      <c r="BP62" s="0" cm="1" t="str">
        <f t="array" ref="BP62:BP62">IF($A62="uni_org_reg_NAME",INDEX(org_reg_values,MATCH(BP$10,org_reg_codes,0),1),IF($A62="uni_pf_NAME",INDEX(pf_codes_values,MATCH(BP$10,pf_codes,0),1),""))</f>
        <v>36.0.7.</v>
      </c>
      <c r="BQ62" s="0" cm="1" t="str">
        <f t="array" ref="BQ62:BQ62">IF($A62="uni_org_reg_NAME",INDEX(org_reg_values,MATCH(BQ$10,org_reg_codes,0),1),IF($A62="uni_pf_NAME",INDEX(pf_codes_values,MATCH(BQ$10,pf_codes,0),1),""))</f>
        <v>36.0.7.</v>
      </c>
      <c r="BR62" s="0" cm="1" t="str">
        <f t="array" ref="BR62:BR62">IF($A62="uni_org_reg_NAME",INDEX(org_reg_values,MATCH(BR$10,org_reg_codes,0),1),IF($A62="uni_pf_NAME",INDEX(pf_codes_values,MATCH(BR$10,pf_codes,0),1),""))</f>
        <v>36.0.7.</v>
      </c>
      <c r="BS62" s="0" cm="1" t="str">
        <f t="array" ref="BS62:BS62">IF($A62="uni_org_reg_NAME",INDEX(org_reg_values,MATCH(BS$10,org_reg_codes,0),1),IF($A62="uni_pf_NAME",INDEX(pf_codes_values,MATCH(BS$10,pf_codes,0),1),""))</f>
        <v>36.0.7.</v>
      </c>
      <c r="BT62" s="0" cm="1" t="str">
        <f t="array" ref="BT62:BT62">IF($A62="uni_org_reg_NAME",INDEX(org_reg_values,MATCH(BT$10,org_reg_codes,0),1),IF($A62="uni_pf_NAME",INDEX(pf_codes_values,MATCH(BT$10,pf_codes,0),1),""))</f>
        <v>36.0.7.</v>
      </c>
      <c r="BU62" s="0" cm="1" t="str">
        <f t="array" ref="BU62:BU62">IF($A62="uni_org_reg_NAME",INDEX(org_reg_values,MATCH(BU$10,org_reg_codes,0),1),IF($A62="uni_pf_NAME",INDEX(pf_codes_values,MATCH(BU$10,pf_codes,0),1),""))</f>
        <v>36.0.7.</v>
      </c>
      <c r="BV62" s="0" cm="1" t="str">
        <f t="array" ref="BV62:BV62">IF($A62="uni_org_reg_NAME",INDEX(org_reg_values,MATCH(BV$10,org_reg_codes,0),1),IF($A62="uni_pf_NAME",INDEX(pf_codes_values,MATCH(BV$10,pf_codes,0),1),""))</f>
        <v>36.0.7.</v>
      </c>
    </row>
    <row customHeight="1" ht="11.25" hidden="1">
      <c r="A63" s="0" t="s">
        <v>351</v>
      </c>
      <c r="AI63" s="1727"/>
      <c r="AJ63" s="1727"/>
      <c r="AK63" s="1727"/>
      <c r="AL63" s="1727"/>
      <c r="AM63" s="1727"/>
      <c r="AN63" s="1727"/>
      <c r="AO63" s="1727"/>
      <c r="AP63" s="1727"/>
      <c r="AQ63" s="1727"/>
      <c r="AR63" s="1727"/>
      <c r="AS63" s="1727"/>
      <c r="AT63" s="1727"/>
      <c r="AU63" s="1727"/>
      <c r="AV63" s="1727"/>
      <c r="AW63" s="1727"/>
      <c r="AX63" s="1727"/>
      <c r="AY63" s="1727"/>
      <c r="AZ63" s="1727"/>
      <c r="BA63" s="1727"/>
      <c r="BB63" s="1727"/>
      <c r="BC63" s="1727"/>
      <c r="BD63" s="1727"/>
      <c r="BE63" s="1727"/>
      <c r="BF63" s="1727"/>
      <c r="BG63" s="1727"/>
      <c r="BH63" s="1727"/>
      <c r="BI63" s="1727"/>
      <c r="BJ63" s="1727"/>
      <c r="BK63" s="1727"/>
      <c r="BL63" s="1727"/>
      <c r="BM63" s="1727"/>
      <c r="BN63" s="1727"/>
      <c r="BO63" s="1727"/>
      <c r="BP63" s="1727"/>
      <c r="BQ63" s="1727"/>
      <c r="BR63" s="1727"/>
      <c r="BS63" s="1727"/>
      <c r="BT63" s="1727"/>
      <c r="BU63" s="1727"/>
      <c r="BV63" s="1727"/>
      <c r="BW63" s="0" t="s">
        <v>178</v>
      </c>
    </row>
    <row customHeight="1" ht="11.25" hidden="1">
      <c r="A64" s="0" t="s">
        <v>352</v>
      </c>
      <c r="AI64" s="1727"/>
      <c r="AJ64" s="1727"/>
      <c r="AK64" s="1727"/>
      <c r="AL64" s="1727"/>
      <c r="AM64" s="1727"/>
      <c r="AN64" s="1727"/>
      <c r="AO64" s="1727"/>
      <c r="AP64" s="1727"/>
      <c r="AQ64" s="1727"/>
      <c r="AR64" s="1727"/>
      <c r="AS64" s="1727"/>
      <c r="AT64" s="1727"/>
      <c r="AU64" s="1727"/>
      <c r="AV64" s="1727"/>
      <c r="AW64" s="1727"/>
      <c r="AX64" s="1727"/>
      <c r="AY64" s="1727"/>
      <c r="AZ64" s="1727"/>
      <c r="BA64" s="1727"/>
      <c r="BB64" s="1727"/>
      <c r="BC64" s="1727"/>
      <c r="BD64" s="1727"/>
      <c r="BE64" s="1727"/>
      <c r="BF64" s="1727"/>
      <c r="BG64" s="1727"/>
      <c r="BH64" s="1727"/>
      <c r="BI64" s="1727"/>
      <c r="BJ64" s="1727"/>
      <c r="BK64" s="1727"/>
      <c r="BL64" s="1727"/>
      <c r="BM64" s="1727"/>
      <c r="BN64" s="1727"/>
      <c r="BO64" s="1727"/>
      <c r="BP64" s="1727"/>
      <c r="BQ64" s="1727"/>
      <c r="BR64" s="1727"/>
      <c r="BS64" s="1727"/>
      <c r="BT64" s="1727"/>
      <c r="BU64" s="1727"/>
      <c r="BV64" s="1727"/>
      <c r="BW64" s="0" t="s">
        <v>798</v>
      </c>
    </row>
    <row customHeight="1" ht="11.25" hidden="1">
      <c r="A65" s="0" t="s">
        <v>379</v>
      </c>
      <c r="AI65" s="1727"/>
      <c r="AJ65" s="1727"/>
      <c r="AK65" s="1727"/>
      <c r="AL65" s="1727"/>
      <c r="AM65" s="1727"/>
      <c r="AN65" s="1727"/>
      <c r="AO65" s="1727"/>
      <c r="AP65" s="1727"/>
      <c r="AQ65" s="1727"/>
      <c r="AR65" s="1727"/>
      <c r="AS65" s="1727"/>
      <c r="AT65" s="1727"/>
      <c r="AU65" s="1727"/>
      <c r="AV65" s="1727"/>
      <c r="AW65" s="1727"/>
      <c r="AX65" s="1727"/>
      <c r="AY65" s="1727"/>
      <c r="AZ65" s="1727"/>
      <c r="BA65" s="1727"/>
      <c r="BB65" s="1727"/>
      <c r="BC65" s="1727"/>
      <c r="BD65" s="1727"/>
      <c r="BE65" s="1727"/>
      <c r="BF65" s="1727"/>
      <c r="BG65" s="1727"/>
      <c r="BH65" s="1727"/>
      <c r="BI65" s="1727"/>
      <c r="BJ65" s="1727"/>
      <c r="BK65" s="1727"/>
      <c r="BL65" s="1727"/>
      <c r="BM65" s="1727"/>
      <c r="BN65" s="1727"/>
      <c r="BO65" s="1727"/>
      <c r="BP65" s="1727"/>
      <c r="BQ65" s="1727"/>
      <c r="BR65" s="1727"/>
      <c r="BS65" s="1727"/>
      <c r="BT65" s="1727"/>
      <c r="BU65" s="1727"/>
      <c r="BV65" s="1727"/>
      <c r="BW65" s="0" t="s">
        <v>799</v>
      </c>
    </row>
  </sheetData>
  <sheetProtection formatColumns="0" formatRows="0" insertRows="0" deleteColumns="0" deleteRows="0" sort="0" autoFilter="0" insertColumns="1"/>
  <mergeCells count="12">
    <mergeCell ref="X27:X38"/>
    <mergeCell ref="AB55:BW55"/>
    <mergeCell ref="AB56:AC56"/>
    <mergeCell ref="AB53:BW53"/>
    <mergeCell ref="AB54:BW54"/>
    <mergeCell ref="BW24:BW25"/>
    <mergeCell ref="AB24:AB25"/>
    <mergeCell ref="AC24:AC25"/>
    <mergeCell ref="AD24:AD25"/>
    <mergeCell ref="Z27:Z38"/>
    <mergeCell ref="X39:X50"/>
    <mergeCell ref="Z39:Z50"/>
  </mergeCells>
  <dataValidations count="1">
    <dataValidation type="decimal" allowBlank="1" showErrorMessage="1" errorTitle="Ошибка" error="Допускается ввод только неотрицательных чисел!" sqref="AE34:BV35 AE31:BV32 BV38 BV43:BV44 BV46:BV47 BV50 BU38 BU43:BU44 BU46:BU47 BU50 BT38 BT43:BT44 BT46:BT47 BT50 BS38 BS43:BS44 BS46:BS47 BS50 BR38 BR43:BR44 BR46:BR47 BR50 BQ38 BQ43:BQ44 BQ46:BQ47 BQ50 BP38 BP43:BP44 BP46:BP47 BP50 BO38 BO43:BO44 BO46:BO47 BO50 BN38 BN43:BN44 BN46:BN47 BN50 BM38 BM43:BM44 BM46:BM47 BM50 BL38 BL43:BL44 BL46:BL47 BL50 BK38 BK43:BK44 BK46:BK47 BK50 BJ38 BJ43:BJ44 BJ46:BJ47 BJ50 BI38 BI43:BI44 BI46:BI47 BI50 BH38 BH43:BH44 BH46:BH47 BH50 BG38 BG43:BG44 BG46:BG47 BG50 BF38 BF43:BF44 BF46:BF47 BF50 BE38 BE43:BE44 BE46:BE47 BE50 BD38 BD43:BD44 BD46:BD47 BD50 BC38 BC43:BC44 BC46:BC47 BC50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C02E47-3094-E9D8-3307-F3E7FBDE9BD8}" mc:Ignorable="x14ac xr xr2 xr3">
  <sheetPr>
    <tabColor rgb="FF002060"/>
    <outlinePr summaryRight="0" summaryBelow="0"/>
    <pageSetUpPr fitToPage="1"/>
  </sheetPr>
  <dimension ref="A1:CP79"/>
  <sheetViews>
    <sheetView showGridLines="0" workbookViewId="0">
      <pane xSplit="31" ySplit="26" topLeftCell="AF46" activePane="bottomRight" state="frozen"/>
      <selection pane="bottomLeft" activeCell="A27" sqref="A27"/>
      <selection pane="topRight" activeCell="AF1" sqref="AF1"/>
      <selection pane="bottomRight" activeCell="AA21" sqref="AA21"/>
    </sheetView>
  </sheetViews>
  <sheetFormatPr defaultColWidth="8.710937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9.003906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183" width="3.00390625" customWidth="1"/>
    <col min="28" max="28" style="183" width="6.00390625" customWidth="1"/>
    <col min="29" max="29" style="183" width="47.00390625" customWidth="1"/>
    <col min="30" max="30" style="183" width="30.00390625" hidden="1" customWidth="1"/>
    <col min="31" max="31" style="183" width="12.00390625" customWidth="1"/>
    <col min="32" max="36" style="183" width="13.00390625" customWidth="1"/>
    <col min="37" max="55" style="183" width="13.00390625" hidden="1" customWidth="1"/>
    <col min="56" max="56" style="183" width="13.00390625" customWidth="1"/>
    <col min="57" max="75" style="183" width="13.00390625" hidden="1" customWidth="1"/>
    <col min="76" max="76" style="183" width="20.00390625" customWidth="1"/>
    <col min="77" max="77" style="183" width="3.00390625" customWidth="1"/>
    <col min="78" max="78" style="969" width="8.7109375" hidden="1"/>
    <col min="79" max="81" style="648" width="8.7109375" hidden="1"/>
    <col min="82" max="82" style="648" width="13.28125" hidden="1" customWidth="1"/>
    <col min="83" max="83" style="648" width="8.7109375" hidden="1"/>
    <col min="84" max="84" style="987" width="8.7109375" hidden="1"/>
    <col min="85" max="85" style="1146" width="8.7109375" hidden="1"/>
    <col min="86" max="86" style="988" width="8.7109375" hidden="1"/>
    <col min="87" max="87" style="1506" width="8.7109375" hidden="1"/>
    <col min="88" max="94" width="8.710937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C1" s="753" t="s">
        <v>92</v>
      </c>
      <c r="AD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W1" s="1548"/>
      <c r="CA1" s="648" t="s">
        <v>336</v>
      </c>
      <c r="CB1" s="648" t="s">
        <v>337</v>
      </c>
      <c r="CC1" s="648" t="s">
        <v>338</v>
      </c>
      <c r="CD1" s="489" t="s">
        <v>788</v>
      </c>
      <c r="CE1" s="648" t="s">
        <v>1383</v>
      </c>
      <c r="CF1" s="648" t="s">
        <v>1384</v>
      </c>
      <c r="CG1" s="1146" t="s">
        <v>341</v>
      </c>
      <c r="CH1" s="649" t="s">
        <v>342</v>
      </c>
      <c r="CJ1" s="0" t="s">
        <v>94</v>
      </c>
      <c r="CK1" s="0" t="s">
        <v>789</v>
      </c>
      <c r="CL1" s="0" t="s">
        <v>110</v>
      </c>
      <c r="CM1" s="0" t="s">
        <v>111</v>
      </c>
      <c r="CN1" s="0" t="s">
        <v>112</v>
      </c>
      <c r="CO1" s="0" t="s">
        <v>113</v>
      </c>
      <c r="CP1" s="0" t="s">
        <v>114</v>
      </c>
    </row>
    <row s="1548" customFormat="1" customHeight="1" ht="11.25" hidden="1">
      <c r="A2" s="371"/>
      <c r="B2" s="179" t="s">
        <v>16</v>
      </c>
      <c r="G2" s="193"/>
      <c r="H2" s="193"/>
      <c r="I2" s="193"/>
      <c r="J2" s="193"/>
      <c r="K2" s="193"/>
      <c r="L2" s="193"/>
      <c r="M2" s="193"/>
      <c r="N2" s="193"/>
      <c r="O2" s="193"/>
      <c r="P2" s="193"/>
      <c r="Q2" s="193"/>
      <c r="R2" s="193"/>
      <c r="S2" s="193"/>
      <c r="AD2" s="179">
        <f>_xlfn.COUNTIFS(Y27:Y65,"&lt;&gt;",Y27:Y65,"&lt;&gt;0")&gt;0</f>
        <v>0</v>
      </c>
      <c r="AG2" s="179" cm="1" t="str">
        <f t="array" ref="AG2:AG2">isOrgDeclare</f>
        <v>true</v>
      </c>
      <c r="AJ2" s="179">
        <f>AND(AJ9&lt;=last_year_vis,isOrgDeclare)</f>
        <v>1</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AND(BC9&lt;=last_year_vis,isOrgDeclare)</f>
        <v>0</v>
      </c>
      <c r="BD2" s="179">
        <f>BD9&lt;=last_year_vis</f>
        <v>1</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W2" s="179">
        <f>BW9&lt;=last_year_vis</f>
        <v>0</v>
      </c>
      <c r="CA2" s="648"/>
      <c r="CB2" s="648"/>
      <c r="CC2" s="648"/>
      <c r="CD2" s="648"/>
      <c r="CE2" s="648"/>
      <c r="CF2" s="648"/>
      <c r="CG2" s="1146"/>
      <c r="CH2" s="649"/>
      <c r="CJ2" s="0"/>
      <c r="CK2" s="0"/>
      <c r="CL2" s="0"/>
      <c r="CM2" s="0"/>
      <c r="CN2" s="0"/>
      <c r="CO2" s="0"/>
      <c r="CP2" s="0"/>
    </row>
    <row s="1548" customFormat="1" customHeight="1" ht="11.25" hidden="1">
      <c r="A3" s="371"/>
      <c r="G3" s="193"/>
      <c r="H3" s="193"/>
      <c r="I3" s="193"/>
      <c r="J3" s="193"/>
      <c r="K3" s="193"/>
      <c r="L3" s="193"/>
      <c r="M3" s="193"/>
      <c r="N3" s="193"/>
      <c r="O3" s="193"/>
      <c r="P3" s="193"/>
      <c r="Q3" s="193"/>
      <c r="R3" s="193"/>
      <c r="S3" s="193"/>
      <c r="AD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W3" s="1548"/>
      <c r="CA3" s="648"/>
      <c r="CB3" s="648"/>
      <c r="CC3" s="648"/>
      <c r="CD3" s="648"/>
      <c r="CE3" s="648"/>
      <c r="CF3" s="648"/>
      <c r="CG3" s="1146"/>
      <c r="CH3" s="649"/>
      <c r="CJ3" s="0"/>
      <c r="CK3" s="0"/>
      <c r="CL3" s="0"/>
      <c r="CM3" s="0"/>
      <c r="CN3" s="0"/>
      <c r="CO3" s="0"/>
      <c r="CP3" s="0"/>
    </row>
    <row s="1548" customFormat="1" customHeight="1" ht="11.25" hidden="1">
      <c r="A4" s="371"/>
      <c r="G4" s="193"/>
      <c r="H4" s="193"/>
      <c r="I4" s="193"/>
      <c r="J4" s="193"/>
      <c r="K4" s="193"/>
      <c r="L4" s="193"/>
      <c r="M4" s="193"/>
      <c r="N4" s="193"/>
      <c r="O4" s="193"/>
      <c r="P4" s="193"/>
      <c r="Q4" s="193"/>
      <c r="R4" s="193"/>
      <c r="S4" s="193"/>
      <c r="AD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W4" s="1548"/>
      <c r="CA4" s="648"/>
      <c r="CB4" s="648"/>
      <c r="CC4" s="648"/>
      <c r="CD4" s="648"/>
      <c r="CE4" s="648"/>
      <c r="CF4" s="648"/>
      <c r="CG4" s="1146"/>
      <c r="CH4" s="649"/>
      <c r="CJ4" s="0"/>
      <c r="CK4" s="0"/>
      <c r="CL4" s="0"/>
      <c r="CM4" s="0"/>
      <c r="CN4" s="0"/>
      <c r="CO4" s="0"/>
      <c r="CP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6</v>
      </c>
      <c r="AC5" s="180">
        <v>47</v>
      </c>
      <c r="AD5" s="180">
        <v>30</v>
      </c>
      <c r="AE5" s="180">
        <v>12</v>
      </c>
      <c r="AF5" s="180">
        <v>13</v>
      </c>
      <c r="AG5" s="180">
        <v>13</v>
      </c>
      <c r="AH5" s="180">
        <v>13</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180">
        <v>13</v>
      </c>
      <c r="BX5" s="180">
        <v>20</v>
      </c>
      <c r="BY5" s="180">
        <v>3</v>
      </c>
      <c r="CA5" s="648"/>
      <c r="CB5" s="648"/>
      <c r="CC5" s="648"/>
      <c r="CD5" s="648"/>
      <c r="CE5" s="648"/>
      <c r="CF5" s="648"/>
      <c r="CG5" s="1146"/>
      <c r="CH5" s="649"/>
      <c r="CJ5" s="1729"/>
      <c r="CK5" s="1729"/>
      <c r="CL5" s="1729"/>
      <c r="CM5" s="1729"/>
      <c r="CN5" s="1729"/>
      <c r="CO5" s="1729"/>
      <c r="CP5" s="1729"/>
    </row>
    <row s="1548" customFormat="1" customHeight="1" ht="11.25" hidden="1">
      <c r="A6" s="371"/>
      <c r="E6" s="180"/>
      <c r="G6" s="193"/>
      <c r="H6" s="193"/>
      <c r="I6" s="193"/>
      <c r="J6" s="193"/>
      <c r="K6" s="193"/>
      <c r="L6" s="193"/>
      <c r="M6" s="193"/>
      <c r="N6" s="193"/>
      <c r="O6" s="193"/>
      <c r="P6" s="193"/>
      <c r="Q6" s="193"/>
      <c r="R6" s="193"/>
      <c r="S6" s="193"/>
      <c r="AD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W6" s="1548"/>
      <c r="CA6" s="648"/>
      <c r="CB6" s="648"/>
      <c r="CC6" s="648"/>
      <c r="CD6" s="648"/>
      <c r="CE6" s="648"/>
      <c r="CF6" s="648"/>
      <c r="CG6" s="1146"/>
      <c r="CH6" s="649"/>
      <c r="CJ6" s="0"/>
      <c r="CK6" s="0"/>
      <c r="CL6" s="0"/>
      <c r="CM6" s="0"/>
      <c r="CN6" s="0"/>
      <c r="CO6" s="0"/>
      <c r="CP6" s="0"/>
    </row>
    <row s="1659" customFormat="1" customHeight="1" ht="11.25" hidden="1">
      <c r="A7" s="371"/>
      <c r="B7" s="175"/>
      <c r="C7" s="175"/>
      <c r="D7" s="175"/>
      <c r="E7" s="180"/>
      <c r="AD7" s="1659"/>
      <c r="AJ7" s="1659"/>
      <c r="AK7" s="1659"/>
      <c r="AL7" s="1659"/>
      <c r="AM7" s="1659"/>
      <c r="AN7" s="1659"/>
      <c r="AO7" s="1659"/>
      <c r="AP7" s="1659"/>
      <c r="AQ7" s="1659"/>
      <c r="AR7" s="1659"/>
      <c r="AS7" s="1659"/>
      <c r="AT7" s="1659"/>
      <c r="AU7" s="1659"/>
      <c r="AV7" s="1659"/>
      <c r="AW7" s="1659"/>
      <c r="AX7" s="1659"/>
      <c r="AY7" s="1659"/>
      <c r="AZ7" s="1659"/>
      <c r="BA7" s="1659"/>
      <c r="BB7" s="1659"/>
      <c r="BC7" s="1659"/>
      <c r="BD7" s="1659"/>
      <c r="BE7" s="1659"/>
      <c r="BF7" s="1659"/>
      <c r="BG7" s="1659"/>
      <c r="BH7" s="1659"/>
      <c r="BI7" s="1659"/>
      <c r="BJ7" s="1659"/>
      <c r="BK7" s="1659"/>
      <c r="BL7" s="1659"/>
      <c r="BM7" s="1659"/>
      <c r="BN7" s="1659"/>
      <c r="BO7" s="1659"/>
      <c r="BP7" s="1659"/>
      <c r="BQ7" s="1659"/>
      <c r="BR7" s="1659"/>
      <c r="BS7" s="1659"/>
      <c r="BT7" s="1659"/>
      <c r="BU7" s="1659"/>
      <c r="BV7" s="1659"/>
      <c r="BW7" s="1659"/>
      <c r="CA7" s="648"/>
      <c r="CB7" s="648"/>
      <c r="CC7" s="648"/>
      <c r="CD7" s="648"/>
      <c r="CE7" s="648"/>
      <c r="CF7" s="648"/>
      <c r="CG7" s="1146"/>
      <c r="CH7" s="649"/>
      <c r="CJ7" s="0"/>
      <c r="CK7" s="0"/>
      <c r="CL7" s="0"/>
      <c r="CM7" s="0"/>
      <c r="CN7" s="0"/>
      <c r="CO7" s="0"/>
      <c r="CP7" s="0"/>
    </row>
    <row s="1659" customFormat="1" customHeight="1" ht="11.25" hidden="1">
      <c r="A8" s="371"/>
      <c r="B8" s="175"/>
      <c r="C8" s="175"/>
      <c r="D8" s="175"/>
      <c r="E8" s="180"/>
      <c r="AD8" s="1659"/>
      <c r="AJ8" s="1659"/>
      <c r="AK8" s="1659"/>
      <c r="AL8" s="1659"/>
      <c r="AM8" s="1659"/>
      <c r="AN8" s="1659"/>
      <c r="AO8" s="1659"/>
      <c r="AP8" s="1659"/>
      <c r="AQ8" s="1659"/>
      <c r="AR8" s="1659"/>
      <c r="AS8" s="1659"/>
      <c r="AT8" s="1659"/>
      <c r="AU8" s="1659"/>
      <c r="AV8" s="1659"/>
      <c r="AW8" s="1659"/>
      <c r="AX8" s="1659"/>
      <c r="AY8" s="1659"/>
      <c r="AZ8" s="1659"/>
      <c r="BA8" s="1659"/>
      <c r="BB8" s="1659"/>
      <c r="BC8" s="1659"/>
      <c r="BD8" s="1659"/>
      <c r="BE8" s="1659"/>
      <c r="BF8" s="1659"/>
      <c r="BG8" s="1659"/>
      <c r="BH8" s="1659"/>
      <c r="BI8" s="1659"/>
      <c r="BJ8" s="1659"/>
      <c r="BK8" s="1659"/>
      <c r="BL8" s="1659"/>
      <c r="BM8" s="1659"/>
      <c r="BN8" s="1659"/>
      <c r="BO8" s="1659"/>
      <c r="BP8" s="1659"/>
      <c r="BQ8" s="1659"/>
      <c r="BR8" s="1659"/>
      <c r="BS8" s="1659"/>
      <c r="BT8" s="1659"/>
      <c r="BU8" s="1659"/>
      <c r="BV8" s="1659"/>
      <c r="BW8" s="1659"/>
      <c r="CA8" s="648"/>
      <c r="CB8" s="648"/>
      <c r="CC8" s="648"/>
      <c r="CD8" s="648"/>
      <c r="CE8" s="648"/>
      <c r="CF8" s="648"/>
      <c r="CG8" s="1146"/>
      <c r="CH8" s="649"/>
      <c r="CJ8" s="0"/>
      <c r="CK8" s="0"/>
      <c r="CL8" s="0"/>
      <c r="CM8" s="0"/>
      <c r="CN8" s="0"/>
      <c r="CO8" s="0"/>
      <c r="CP8" s="0"/>
    </row>
    <row s="1143" customFormat="1" customHeight="1" ht="11.25" hidden="1">
      <c r="A9" s="309" t="s">
        <v>403</v>
      </c>
      <c r="AD9" s="1143"/>
      <c r="AF9" s="312">
        <f>god-2</f>
        <v>2025</v>
      </c>
      <c r="AG9" s="312">
        <f>god-2</f>
        <v>2025</v>
      </c>
      <c r="AH9" s="312">
        <f>god-2</f>
        <v>2025</v>
      </c>
      <c r="AI9" s="312">
        <f>god-1</f>
        <v>2026</v>
      </c>
      <c r="AJ9" s="312" cm="1" t="str">
        <f t="array" ref="AJ9:AJ9">god</f>
        <v>2027</v>
      </c>
      <c r="AK9" s="312">
        <f>god+1</f>
        <v>2028</v>
      </c>
      <c r="AL9" s="312">
        <f>god+2</f>
        <v>2029</v>
      </c>
      <c r="AM9" s="312">
        <f>god+3</f>
        <v>2030</v>
      </c>
      <c r="AN9" s="312">
        <f>god+4</f>
        <v>2031</v>
      </c>
      <c r="AO9" s="312">
        <f>god+5</f>
        <v>2032</v>
      </c>
      <c r="AP9" s="312">
        <f>god+6</f>
        <v>2033</v>
      </c>
      <c r="AQ9" s="312">
        <f>god+7</f>
        <v>2034</v>
      </c>
      <c r="AR9" s="312">
        <f>god+8</f>
        <v>2035</v>
      </c>
      <c r="AS9" s="312">
        <f>god+9</f>
        <v>2036</v>
      </c>
      <c r="AT9" s="312">
        <f>god+10</f>
        <v>2037</v>
      </c>
      <c r="AU9" s="312">
        <f>god+11</f>
        <v>2038</v>
      </c>
      <c r="AV9" s="312">
        <f>god+12</f>
        <v>2039</v>
      </c>
      <c r="AW9" s="312">
        <f>god+13</f>
        <v>2040</v>
      </c>
      <c r="AX9" s="312">
        <f>god+14</f>
        <v>2041</v>
      </c>
      <c r="AY9" s="312">
        <f>god+15</f>
        <v>2042</v>
      </c>
      <c r="AZ9" s="312">
        <f>god+16</f>
        <v>2043</v>
      </c>
      <c r="BA9" s="312">
        <f>god+17</f>
        <v>2044</v>
      </c>
      <c r="BB9" s="312">
        <f>god+18</f>
        <v>2045</v>
      </c>
      <c r="BC9" s="312">
        <f>god+19</f>
        <v>2046</v>
      </c>
      <c r="BD9" s="312" cm="1" t="str">
        <f t="array" ref="BD9:BD9">god</f>
        <v>2027</v>
      </c>
      <c r="BE9" s="312">
        <f>god+1</f>
        <v>2028</v>
      </c>
      <c r="BF9" s="312">
        <f>god+2</f>
        <v>2029</v>
      </c>
      <c r="BG9" s="312">
        <f>god+3</f>
        <v>2030</v>
      </c>
      <c r="BH9" s="312">
        <f>god+4</f>
        <v>2031</v>
      </c>
      <c r="BI9" s="312">
        <f>god+5</f>
        <v>2032</v>
      </c>
      <c r="BJ9" s="312">
        <f>god+6</f>
        <v>2033</v>
      </c>
      <c r="BK9" s="312">
        <f>god+7</f>
        <v>2034</v>
      </c>
      <c r="BL9" s="312">
        <f>god+8</f>
        <v>2035</v>
      </c>
      <c r="BM9" s="312">
        <f>god+9</f>
        <v>2036</v>
      </c>
      <c r="BN9" s="312">
        <f>god+10</f>
        <v>2037</v>
      </c>
      <c r="BO9" s="312">
        <f>god+11</f>
        <v>2038</v>
      </c>
      <c r="BP9" s="312">
        <f>god+12</f>
        <v>2039</v>
      </c>
      <c r="BQ9" s="312">
        <f>god+13</f>
        <v>2040</v>
      </c>
      <c r="BR9" s="312">
        <f>god+14</f>
        <v>2041</v>
      </c>
      <c r="BS9" s="312">
        <f>god+15</f>
        <v>2042</v>
      </c>
      <c r="BT9" s="312">
        <f>god+16</f>
        <v>2043</v>
      </c>
      <c r="BU9" s="312">
        <f>god+17</f>
        <v>2044</v>
      </c>
      <c r="BV9" s="312">
        <f>god+18</f>
        <v>2045</v>
      </c>
      <c r="BW9" s="312">
        <f>god+19</f>
        <v>2046</v>
      </c>
      <c r="CA9" s="648"/>
      <c r="CB9" s="648"/>
      <c r="CC9" s="648"/>
      <c r="CD9" s="648"/>
      <c r="CE9" s="648"/>
      <c r="CF9" s="648"/>
      <c r="CG9" s="1146"/>
      <c r="CH9" s="649"/>
      <c r="CJ9" s="1730"/>
      <c r="CK9" s="1730"/>
      <c r="CL9" s="1730"/>
      <c r="CM9" s="1730"/>
      <c r="CN9" s="1730"/>
      <c r="CO9" s="1730"/>
      <c r="CP9" s="1730"/>
    </row>
    <row s="1143" customFormat="1" customHeight="1" ht="11.25" hidden="1">
      <c r="A10" s="309" t="s">
        <v>404</v>
      </c>
      <c r="AD10" s="1143"/>
      <c r="AF10" s="312" cm="1" t="str">
        <f t="array" ref="AF10:AF10">AF25</f>
        <v>Принято органом регулирования</v>
      </c>
      <c r="AG10" s="312" cm="1" t="str">
        <f t="array" ref="AG10:AG10">AG25</f>
        <v>Факт по данным организации</v>
      </c>
      <c r="AH10" s="312" cm="1" t="str">
        <f t="array" ref="AH10:AH10">AH25</f>
        <v>Факт, принятый органом регулирования</v>
      </c>
      <c r="AI10" s="312" cm="1" t="str">
        <f t="array" ref="AI10:AI10">AI25</f>
        <v>Принято органом регулирования</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Предложение организации</v>
      </c>
      <c r="AZ10" s="312" cm="1" t="str">
        <f t="array" ref="AZ10:AZ10">AZ25</f>
        <v>Предложение организации</v>
      </c>
      <c r="BA10" s="312" cm="1" t="str">
        <f t="array" ref="BA10:BA10">BA25</f>
        <v>Предложение организации</v>
      </c>
      <c r="BB10" s="312" cm="1" t="str">
        <f t="array" ref="BB10:BB10">BB25</f>
        <v>Предложение организации</v>
      </c>
      <c r="BC10" s="312" cm="1" t="str">
        <f t="array" ref="BC10:BC10">BC25</f>
        <v>Предложение организации</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S10" s="312" cm="1" t="str">
        <f t="array" ref="BS10:BS10">BS25</f>
        <v>Принято органом регулирования</v>
      </c>
      <c r="BT10" s="312" cm="1" t="str">
        <f t="array" ref="BT10:BT10">BT25</f>
        <v>Принято органом регулирования</v>
      </c>
      <c r="BU10" s="312" cm="1" t="str">
        <f t="array" ref="BU10:BU10">BU25</f>
        <v>Принято органом регулирования</v>
      </c>
      <c r="BV10" s="312" cm="1" t="str">
        <f t="array" ref="BV10:BV10">BV25</f>
        <v>Принято органом регулирования</v>
      </c>
      <c r="BW10" s="312" cm="1" t="str">
        <f t="array" ref="BW10:BW10">BW25</f>
        <v>Принято органом регулирования</v>
      </c>
      <c r="CA10" s="648"/>
      <c r="CB10" s="648"/>
      <c r="CC10" s="648"/>
      <c r="CD10" s="648"/>
      <c r="CE10" s="648"/>
      <c r="CF10" s="648"/>
      <c r="CG10" s="1146"/>
      <c r="CH10" s="649"/>
      <c r="CJ10" s="1730"/>
      <c r="CK10" s="1730"/>
      <c r="CL10" s="1730"/>
      <c r="CM10" s="1730"/>
      <c r="CN10" s="1730"/>
      <c r="CO10" s="1730"/>
      <c r="CP10" s="1730"/>
    </row>
    <row s="1143" customFormat="1" customHeight="1" ht="11.25" hidden="1">
      <c r="A11" s="309" t="s">
        <v>405</v>
      </c>
      <c r="G11" s="483"/>
      <c r="H11" s="483"/>
      <c r="I11" s="483"/>
      <c r="J11" s="483"/>
      <c r="K11" s="483"/>
      <c r="L11" s="483"/>
      <c r="M11" s="483"/>
      <c r="N11" s="483"/>
      <c r="O11" s="483"/>
      <c r="P11" s="483"/>
      <c r="Q11" s="483"/>
      <c r="R11" s="483"/>
      <c r="S11" s="483"/>
      <c r="AD11" s="1143"/>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1143"/>
      <c r="BX11" s="312" cm="1" t="str">
        <f t="array" ref="BX11:BX11">BX24</f>
        <v>Ссылка на правовую норму (основание для принятия показателя в расчет тарифа)</v>
      </c>
      <c r="CA11" s="648"/>
      <c r="CB11" s="648"/>
      <c r="CC11" s="648"/>
      <c r="CD11" s="648"/>
      <c r="CE11" s="648"/>
      <c r="CF11" s="648"/>
      <c r="CG11" s="1146"/>
      <c r="CH11" s="649"/>
      <c r="CJ11" s="1730"/>
      <c r="CK11" s="1730"/>
      <c r="CL11" s="1730"/>
      <c r="CM11" s="1730"/>
      <c r="CN11" s="1730"/>
      <c r="CO11" s="1730"/>
      <c r="CP11" s="1730"/>
    </row>
    <row s="1143" customFormat="1" customHeight="1" ht="11.25" hidden="1">
      <c r="A12" s="309" t="s">
        <v>350</v>
      </c>
      <c r="G12" s="483"/>
      <c r="H12" s="483"/>
      <c r="I12" s="483"/>
      <c r="J12" s="483"/>
      <c r="K12" s="483"/>
      <c r="L12" s="483"/>
      <c r="M12" s="483"/>
      <c r="N12" s="483"/>
      <c r="O12" s="483"/>
      <c r="P12" s="483"/>
      <c r="Q12" s="483"/>
      <c r="R12" s="483"/>
      <c r="S12" s="483"/>
      <c r="AC12" s="312" t="s">
        <v>338</v>
      </c>
      <c r="AD12" s="312" t="s">
        <v>788</v>
      </c>
      <c r="AE12" s="312" t="s">
        <v>1383</v>
      </c>
      <c r="AJ12" s="1143"/>
      <c r="AK12" s="1143"/>
      <c r="AL12" s="1143"/>
      <c r="AM12" s="1143"/>
      <c r="AN12" s="1143"/>
      <c r="AO12" s="1143"/>
      <c r="AP12" s="1143"/>
      <c r="AQ12" s="1143"/>
      <c r="AR12" s="1143"/>
      <c r="AS12" s="1143"/>
      <c r="AT12" s="1143"/>
      <c r="AU12" s="1143"/>
      <c r="AV12" s="1143"/>
      <c r="AW12" s="1143"/>
      <c r="AX12" s="1143"/>
      <c r="AY12" s="1143"/>
      <c r="AZ12" s="1143"/>
      <c r="BA12" s="1143"/>
      <c r="BB12" s="1143"/>
      <c r="BC12" s="1143"/>
      <c r="BD12" s="1143"/>
      <c r="BE12" s="1143"/>
      <c r="BF12" s="1143"/>
      <c r="BG12" s="1143"/>
      <c r="BH12" s="1143"/>
      <c r="BI12" s="1143"/>
      <c r="BJ12" s="1143"/>
      <c r="BK12" s="1143"/>
      <c r="BL12" s="1143"/>
      <c r="BM12" s="1143"/>
      <c r="BN12" s="1143"/>
      <c r="BO12" s="1143"/>
      <c r="BP12" s="1143"/>
      <c r="BQ12" s="1143"/>
      <c r="BR12" s="1143"/>
      <c r="BS12" s="1143"/>
      <c r="BT12" s="1143"/>
      <c r="BU12" s="1143"/>
      <c r="BV12" s="1143"/>
      <c r="BW12" s="1143"/>
      <c r="CA12" s="648"/>
      <c r="CB12" s="648"/>
      <c r="CC12" s="648"/>
      <c r="CD12" s="648"/>
      <c r="CE12" s="648"/>
      <c r="CF12" s="648"/>
      <c r="CG12" s="1146"/>
      <c r="CH12" s="649"/>
      <c r="CJ12" s="1730"/>
      <c r="CK12" s="1730"/>
      <c r="CL12" s="1730"/>
      <c r="CM12" s="1730"/>
      <c r="CN12" s="1730"/>
      <c r="CO12" s="1730"/>
      <c r="CP12" s="1730"/>
    </row>
    <row s="1548" customFormat="1" customHeight="1" ht="11.25" hidden="1">
      <c r="A13" s="371"/>
      <c r="E13" s="180"/>
      <c r="G13" s="193"/>
      <c r="H13" s="193"/>
      <c r="I13" s="193"/>
      <c r="J13" s="193"/>
      <c r="K13" s="193"/>
      <c r="L13" s="193"/>
      <c r="M13" s="193"/>
      <c r="N13" s="193"/>
      <c r="O13" s="193"/>
      <c r="P13" s="193"/>
      <c r="Q13" s="193"/>
      <c r="R13" s="193"/>
      <c r="S13" s="193"/>
      <c r="AD13" s="1548"/>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S13" s="1548"/>
      <c r="BT13" s="1548"/>
      <c r="BU13" s="1548"/>
      <c r="BV13" s="1548"/>
      <c r="BW13" s="1548"/>
      <c r="CA13" s="648"/>
      <c r="CB13" s="648"/>
      <c r="CC13" s="648"/>
      <c r="CD13" s="648"/>
      <c r="CE13" s="648"/>
      <c r="CF13" s="648"/>
      <c r="CG13" s="1146"/>
      <c r="CH13" s="649"/>
      <c r="CJ13" s="0"/>
      <c r="CK13" s="0"/>
      <c r="CL13" s="0"/>
      <c r="CM13" s="0"/>
      <c r="CN13" s="0"/>
      <c r="CO13" s="0"/>
      <c r="CP13" s="0"/>
    </row>
    <row s="1548" customFormat="1" customHeight="1" ht="11.25" hidden="1">
      <c r="A14" s="371"/>
      <c r="E14" s="180"/>
      <c r="G14" s="193"/>
      <c r="H14" s="193"/>
      <c r="I14" s="193"/>
      <c r="J14" s="193"/>
      <c r="K14" s="193"/>
      <c r="L14" s="193"/>
      <c r="M14" s="193"/>
      <c r="N14" s="193"/>
      <c r="O14" s="193"/>
      <c r="P14" s="193"/>
      <c r="Q14" s="193"/>
      <c r="R14" s="193"/>
      <c r="S14" s="193"/>
      <c r="AD14" s="1548"/>
      <c r="AJ14" s="1548"/>
      <c r="AK14" s="1548"/>
      <c r="AL14" s="1548"/>
      <c r="AM14" s="1548"/>
      <c r="AN14" s="1548"/>
      <c r="AO14" s="1548"/>
      <c r="AP14" s="1548"/>
      <c r="AQ14" s="1548"/>
      <c r="AR14" s="1548"/>
      <c r="AS14" s="1548"/>
      <c r="AT14" s="1548"/>
      <c r="AU14" s="1548"/>
      <c r="AV14" s="1548"/>
      <c r="AW14" s="1548"/>
      <c r="AX14" s="1548"/>
      <c r="AY14" s="1548"/>
      <c r="AZ14" s="1548"/>
      <c r="BA14" s="1548"/>
      <c r="BB14" s="1548"/>
      <c r="BC14" s="1548"/>
      <c r="BD14" s="1548"/>
      <c r="BE14" s="1548"/>
      <c r="BF14" s="1548"/>
      <c r="BG14" s="1548"/>
      <c r="BH14" s="1548"/>
      <c r="BI14" s="1548"/>
      <c r="BJ14" s="1548"/>
      <c r="BK14" s="1548"/>
      <c r="BL14" s="1548"/>
      <c r="BM14" s="1548"/>
      <c r="BN14" s="1548"/>
      <c r="BO14" s="1548"/>
      <c r="BP14" s="1548"/>
      <c r="BQ14" s="1548"/>
      <c r="BR14" s="1548"/>
      <c r="BS14" s="1548"/>
      <c r="BT14" s="1548"/>
      <c r="BU14" s="1548"/>
      <c r="BV14" s="1548"/>
      <c r="BW14" s="1548"/>
      <c r="CA14" s="648"/>
      <c r="CB14" s="648"/>
      <c r="CC14" s="648"/>
      <c r="CD14" s="648"/>
      <c r="CE14" s="648"/>
      <c r="CF14" s="648"/>
      <c r="CG14" s="1146"/>
      <c r="CH14" s="649"/>
      <c r="CJ14" s="0"/>
      <c r="CK14" s="0"/>
      <c r="CL14" s="0"/>
      <c r="CM14" s="0"/>
      <c r="CN14" s="0"/>
      <c r="CO14" s="0"/>
      <c r="CP14" s="0"/>
    </row>
    <row s="1548" customFormat="1" customHeight="1" ht="11.25" hidden="1">
      <c r="A15" s="371"/>
      <c r="E15" s="180"/>
      <c r="G15" s="193"/>
      <c r="H15" s="193"/>
      <c r="I15" s="193"/>
      <c r="J15" s="193"/>
      <c r="K15" s="193"/>
      <c r="L15" s="193"/>
      <c r="M15" s="193"/>
      <c r="N15" s="193"/>
      <c r="O15" s="193"/>
      <c r="P15" s="193"/>
      <c r="Q15" s="193"/>
      <c r="R15" s="193"/>
      <c r="S15" s="193"/>
      <c r="AD15" s="1548"/>
      <c r="AJ15" s="1548"/>
      <c r="AK15" s="1548"/>
      <c r="AL15" s="1548"/>
      <c r="AM15" s="1548"/>
      <c r="AN15" s="1548"/>
      <c r="AO15" s="1548"/>
      <c r="AP15" s="1548"/>
      <c r="AQ15" s="1548"/>
      <c r="AR15" s="1548"/>
      <c r="AS15" s="1548"/>
      <c r="AT15" s="1548"/>
      <c r="AU15" s="1548"/>
      <c r="AV15" s="1548"/>
      <c r="AW15" s="1548"/>
      <c r="AX15" s="1548"/>
      <c r="AY15" s="1548"/>
      <c r="AZ15" s="1548"/>
      <c r="BA15" s="1548"/>
      <c r="BB15" s="1548"/>
      <c r="BC15" s="1548"/>
      <c r="BD15" s="1548"/>
      <c r="BE15" s="1548"/>
      <c r="BF15" s="1548"/>
      <c r="BG15" s="1548"/>
      <c r="BH15" s="1548"/>
      <c r="BI15" s="1548"/>
      <c r="BJ15" s="1548"/>
      <c r="BK15" s="1548"/>
      <c r="BL15" s="1548"/>
      <c r="BM15" s="1548"/>
      <c r="BN15" s="1548"/>
      <c r="BO15" s="1548"/>
      <c r="BP15" s="1548"/>
      <c r="BQ15" s="1548"/>
      <c r="BR15" s="1548"/>
      <c r="BS15" s="1548"/>
      <c r="BT15" s="1548"/>
      <c r="BU15" s="1548"/>
      <c r="BV15" s="1548"/>
      <c r="BW15" s="1548"/>
      <c r="CA15" s="648"/>
      <c r="CB15" s="648"/>
      <c r="CC15" s="648"/>
      <c r="CD15" s="648"/>
      <c r="CE15" s="648"/>
      <c r="CF15" s="648"/>
      <c r="CG15" s="1146"/>
      <c r="CH15" s="649"/>
      <c r="CJ15" s="0"/>
      <c r="CK15" s="0"/>
      <c r="CL15" s="0"/>
      <c r="CM15" s="0"/>
      <c r="CN15" s="0"/>
      <c r="CO15" s="0"/>
      <c r="CP15" s="0"/>
    </row>
    <row s="1548" customFormat="1" customHeight="1" ht="11.25" hidden="1">
      <c r="A16" s="371"/>
      <c r="E16" s="180"/>
      <c r="G16" s="193"/>
      <c r="H16" s="193"/>
      <c r="I16" s="193"/>
      <c r="J16" s="193"/>
      <c r="K16" s="193"/>
      <c r="L16" s="193"/>
      <c r="M16" s="193"/>
      <c r="N16" s="193"/>
      <c r="O16" s="193"/>
      <c r="P16" s="193"/>
      <c r="Q16" s="193"/>
      <c r="R16" s="193"/>
      <c r="S16" s="193"/>
      <c r="AD16" s="1548"/>
      <c r="AJ16" s="1548"/>
      <c r="AK16" s="1548"/>
      <c r="AL16" s="1548"/>
      <c r="AM16" s="1548"/>
      <c r="AN16" s="1548"/>
      <c r="AO16" s="1548"/>
      <c r="AP16" s="1548"/>
      <c r="AQ16" s="1548"/>
      <c r="AR16" s="1548"/>
      <c r="AS16" s="1548"/>
      <c r="AT16" s="1548"/>
      <c r="AU16" s="1548"/>
      <c r="AV16" s="1548"/>
      <c r="AW16" s="1548"/>
      <c r="AX16" s="1548"/>
      <c r="AY16" s="1548"/>
      <c r="AZ16" s="1548"/>
      <c r="BA16" s="1548"/>
      <c r="BB16" s="1548"/>
      <c r="BC16" s="1548"/>
      <c r="BD16" s="1548"/>
      <c r="BE16" s="1548"/>
      <c r="BF16" s="1548"/>
      <c r="BG16" s="1548"/>
      <c r="BH16" s="1548"/>
      <c r="BI16" s="1548"/>
      <c r="BJ16" s="1548"/>
      <c r="BK16" s="1548"/>
      <c r="BL16" s="1548"/>
      <c r="BM16" s="1548"/>
      <c r="BN16" s="1548"/>
      <c r="BO16" s="1548"/>
      <c r="BP16" s="1548"/>
      <c r="BQ16" s="1548"/>
      <c r="BR16" s="1548"/>
      <c r="BS16" s="1548"/>
      <c r="BT16" s="1548"/>
      <c r="BU16" s="1548"/>
      <c r="BV16" s="1548"/>
      <c r="BW16" s="1548"/>
      <c r="CA16" s="648"/>
      <c r="CB16" s="648"/>
      <c r="CC16" s="648"/>
      <c r="CD16" s="648"/>
      <c r="CE16" s="648"/>
      <c r="CF16" s="648"/>
      <c r="CG16" s="1146"/>
      <c r="CH16" s="649"/>
      <c r="CJ16" s="0"/>
      <c r="CK16" s="0"/>
      <c r="CL16" s="0"/>
      <c r="CM16" s="0"/>
      <c r="CN16" s="0"/>
      <c r="CO16" s="0"/>
      <c r="CP16" s="0"/>
    </row>
    <row s="1548" customFormat="1" customHeight="1" ht="11.25" hidden="1">
      <c r="A17" s="371"/>
      <c r="E17" s="180"/>
      <c r="G17" s="193"/>
      <c r="H17" s="193"/>
      <c r="I17" s="193"/>
      <c r="J17" s="193"/>
      <c r="K17" s="193"/>
      <c r="L17" s="193"/>
      <c r="M17" s="193"/>
      <c r="N17" s="193"/>
      <c r="O17" s="193"/>
      <c r="P17" s="193"/>
      <c r="Q17" s="193"/>
      <c r="R17" s="193"/>
      <c r="S17" s="193"/>
      <c r="AD17" s="1548"/>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S17" s="1548"/>
      <c r="BT17" s="1548"/>
      <c r="BU17" s="1548"/>
      <c r="BV17" s="1548"/>
      <c r="BW17" s="1548"/>
      <c r="CA17" s="648"/>
      <c r="CB17" s="648"/>
      <c r="CC17" s="648"/>
      <c r="CD17" s="648"/>
      <c r="CE17" s="648"/>
      <c r="CF17" s="648"/>
      <c r="CG17" s="1146"/>
      <c r="CH17" s="649"/>
      <c r="CJ17" s="0"/>
      <c r="CK17" s="0"/>
      <c r="CL17" s="0"/>
      <c r="CM17" s="0"/>
      <c r="CN17" s="0"/>
      <c r="CO17" s="0"/>
      <c r="CP17" s="0"/>
    </row>
    <row s="1548" customFormat="1" customHeight="1" ht="11.25" hidden="1">
      <c r="A18" s="978" t="s">
        <v>492</v>
      </c>
      <c r="E18" s="180"/>
      <c r="G18" s="193"/>
      <c r="H18" s="193"/>
      <c r="I18" s="193"/>
      <c r="J18" s="193"/>
      <c r="K18" s="193"/>
      <c r="L18" s="193"/>
      <c r="M18" s="193"/>
      <c r="N18" s="193"/>
      <c r="O18" s="193"/>
      <c r="P18" s="193"/>
      <c r="Q18" s="193"/>
      <c r="R18" s="193"/>
      <c r="S18" s="193"/>
      <c r="AC18" s="1072" t="s">
        <v>175</v>
      </c>
      <c r="AD18" s="1072" t="s">
        <v>793</v>
      </c>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S18" s="1548"/>
      <c r="BT18" s="1548"/>
      <c r="BU18" s="1548"/>
      <c r="BV18" s="1548"/>
      <c r="BW18" s="1548"/>
      <c r="CA18" s="648"/>
      <c r="CB18" s="648"/>
      <c r="CC18" s="648"/>
      <c r="CD18" s="648"/>
      <c r="CE18" s="648"/>
      <c r="CF18" s="648"/>
      <c r="CG18" s="1146"/>
      <c r="CH18" s="649"/>
      <c r="CJ18" s="0"/>
      <c r="CK18" s="0"/>
      <c r="CL18" s="0"/>
      <c r="CM18" s="0"/>
      <c r="CN18" s="0"/>
      <c r="CO18" s="0"/>
      <c r="CP18" s="0"/>
    </row>
    <row s="1548" customFormat="1" customHeight="1" ht="11.25" hidden="1">
      <c r="A19" s="371"/>
      <c r="E19" s="180"/>
      <c r="G19" s="193"/>
      <c r="H19" s="193"/>
      <c r="I19" s="193"/>
      <c r="J19" s="193"/>
      <c r="K19" s="193"/>
      <c r="L19" s="193"/>
      <c r="M19" s="193"/>
      <c r="N19" s="193"/>
      <c r="O19" s="193"/>
      <c r="P19" s="193"/>
      <c r="Q19" s="193"/>
      <c r="R19" s="193"/>
      <c r="S19" s="193"/>
      <c r="AD19" s="1548"/>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T19" s="1548"/>
      <c r="BU19" s="1548"/>
      <c r="BV19" s="1548"/>
      <c r="BW19" s="1548"/>
      <c r="CA19" s="648"/>
      <c r="CB19" s="648"/>
      <c r="CC19" s="648"/>
      <c r="CD19" s="648"/>
      <c r="CE19" s="648"/>
      <c r="CF19" s="648"/>
      <c r="CG19" s="1146"/>
      <c r="CH19" s="649"/>
      <c r="CJ19" s="0"/>
      <c r="CK19" s="0"/>
      <c r="CL19" s="0"/>
      <c r="CM19" s="0"/>
      <c r="CN19" s="0"/>
      <c r="CO19" s="0"/>
      <c r="CP19" s="0"/>
    </row>
    <row s="1548" customFormat="1" customHeight="1" ht="11.25" hidden="1">
      <c r="A20" s="371"/>
      <c r="E20" s="180"/>
      <c r="G20" s="193"/>
      <c r="H20" s="193"/>
      <c r="I20" s="193"/>
      <c r="J20" s="193"/>
      <c r="K20" s="193"/>
      <c r="L20" s="193"/>
      <c r="M20" s="193"/>
      <c r="N20" s="193"/>
      <c r="O20" s="193"/>
      <c r="P20" s="193"/>
      <c r="Q20" s="193"/>
      <c r="R20" s="193"/>
      <c r="S20" s="193"/>
      <c r="AD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W20" s="1548"/>
      <c r="CA20" s="648"/>
      <c r="CB20" s="648"/>
      <c r="CC20" s="648"/>
      <c r="CD20" s="648"/>
      <c r="CE20" s="648"/>
      <c r="CF20" s="648"/>
      <c r="CG20" s="1146"/>
      <c r="CH20" s="649"/>
      <c r="CJ20" s="0"/>
      <c r="CK20" s="0"/>
      <c r="CL20" s="0"/>
      <c r="CM20" s="0"/>
      <c r="CN20" s="0"/>
      <c r="CO20" s="0"/>
      <c r="CP20" s="0"/>
    </row>
    <row customHeight="1" ht="14.625">
      <c r="E21" s="180">
        <v>15</v>
      </c>
      <c r="AA21" s="182"/>
      <c r="AB21" s="582"/>
      <c r="AC21" s="278" cm="1" t="str">
        <f t="array" ref="AC21:AC21">tpl_title</f>
        <v>Кемеровская область / 2027 / ООО "КК-ИНВЕСТ" (ИНН:1901133713, КПП:190101001) / ДПР: 2025-2027</v>
      </c>
      <c r="AD21" s="278"/>
      <c r="AE21" s="582"/>
      <c r="AF21" s="582"/>
      <c r="AG21" s="582"/>
      <c r="AH21" s="582"/>
      <c r="AI21" s="582"/>
      <c r="AJ21" s="582"/>
      <c r="AK21" s="582"/>
      <c r="AL21" s="582"/>
      <c r="AM21" s="582"/>
      <c r="AN21" s="582"/>
      <c r="AO21" s="582"/>
      <c r="AP21" s="582"/>
      <c r="AQ21" s="582"/>
      <c r="AR21" s="582"/>
      <c r="AS21" s="582"/>
      <c r="AT21" s="582"/>
      <c r="AU21" s="582"/>
      <c r="AV21" s="582"/>
      <c r="AW21" s="582"/>
      <c r="AX21" s="582"/>
      <c r="AY21" s="582"/>
      <c r="AZ21" s="582"/>
      <c r="BA21" s="582"/>
      <c r="BB21" s="582"/>
      <c r="BC21" s="582"/>
      <c r="BD21" s="582"/>
      <c r="BE21" s="582"/>
      <c r="BF21" s="582"/>
      <c r="BG21" s="582"/>
      <c r="BH21" s="582"/>
      <c r="BI21" s="582"/>
      <c r="BJ21" s="582"/>
      <c r="BK21" s="582"/>
      <c r="BL21" s="582"/>
      <c r="BM21" s="582"/>
      <c r="BN21" s="582"/>
      <c r="BO21" s="582"/>
      <c r="BP21" s="582"/>
      <c r="BQ21" s="582"/>
      <c r="BR21" s="582"/>
      <c r="BS21" s="582"/>
      <c r="BT21" s="582"/>
      <c r="BU21" s="582"/>
      <c r="BV21" s="582"/>
      <c r="BW21" s="582"/>
      <c r="BX21" s="582"/>
      <c r="BY21" s="582"/>
      <c r="CF21" s="648"/>
      <c r="CH21" s="649"/>
    </row>
    <row customHeight="1" ht="19.5">
      <c r="E22" s="180">
        <v>20</v>
      </c>
      <c r="AA22" s="582"/>
      <c r="AB22" s="547" t="s">
        <v>48</v>
      </c>
      <c r="AC22" s="612"/>
      <c r="AD22" s="612"/>
      <c r="AE22" s="612"/>
      <c r="AF22" s="612"/>
      <c r="AG22" s="612"/>
      <c r="AH22" s="612"/>
      <c r="AI22" s="612"/>
      <c r="AJ22" s="612"/>
      <c r="AK22" s="612"/>
      <c r="AL22" s="612"/>
      <c r="AM22" s="612"/>
      <c r="AN22" s="612"/>
      <c r="AO22" s="612"/>
      <c r="AP22" s="612"/>
      <c r="AQ22" s="612"/>
      <c r="AR22" s="612"/>
      <c r="AS22" s="612"/>
      <c r="AT22" s="612"/>
      <c r="AU22" s="612"/>
      <c r="AV22" s="612"/>
      <c r="AW22" s="612"/>
      <c r="AX22" s="612"/>
      <c r="AY22" s="612"/>
      <c r="AZ22" s="612"/>
      <c r="BA22" s="612"/>
      <c r="BB22" s="612"/>
      <c r="BC22" s="612"/>
      <c r="BD22" s="612"/>
      <c r="BE22" s="612"/>
      <c r="BF22" s="612"/>
      <c r="BG22" s="612"/>
      <c r="BH22" s="612"/>
      <c r="BI22" s="612"/>
      <c r="BJ22" s="612"/>
      <c r="BK22" s="612"/>
      <c r="BL22" s="612"/>
      <c r="BM22" s="612"/>
      <c r="BN22" s="612"/>
      <c r="BO22" s="612"/>
      <c r="BP22" s="612"/>
      <c r="BQ22" s="612"/>
      <c r="BR22" s="612"/>
      <c r="BS22" s="612"/>
      <c r="BT22" s="612"/>
      <c r="BU22" s="612"/>
      <c r="BV22" s="612"/>
      <c r="BW22" s="612"/>
      <c r="BX22" s="613"/>
      <c r="BY22" s="582"/>
      <c r="CF22" s="648"/>
      <c r="CH22" s="649"/>
    </row>
    <row customHeight="1" ht="10.725000000000001">
      <c r="E23" s="180">
        <v>11</v>
      </c>
      <c r="AA23" s="582"/>
      <c r="AB23" s="650" t="s">
        <v>1385</v>
      </c>
      <c r="AC23" s="615"/>
      <c r="AD23" s="615"/>
      <c r="AE23" s="615"/>
      <c r="AF23" s="615"/>
      <c r="AG23" s="615"/>
      <c r="AH23" s="615"/>
      <c r="AI23" s="615"/>
      <c r="AJ23" s="615"/>
      <c r="AK23" s="615"/>
      <c r="AL23" s="615"/>
      <c r="AM23" s="615"/>
      <c r="AN23" s="615"/>
      <c r="AO23" s="615"/>
      <c r="AP23" s="615"/>
      <c r="AQ23" s="615"/>
      <c r="AR23" s="615"/>
      <c r="AS23" s="615"/>
      <c r="AT23" s="615"/>
      <c r="AU23" s="615"/>
      <c r="AV23" s="615"/>
      <c r="AW23" s="615"/>
      <c r="AX23" s="615"/>
      <c r="AY23" s="615"/>
      <c r="AZ23" s="615"/>
      <c r="BA23" s="615"/>
      <c r="BB23" s="615"/>
      <c r="BC23" s="615"/>
      <c r="BD23" s="615"/>
      <c r="BE23" s="599"/>
      <c r="BF23" s="599"/>
      <c r="BG23" s="599"/>
      <c r="BH23" s="599"/>
      <c r="BI23" s="599"/>
      <c r="BJ23" s="599"/>
      <c r="BK23" s="599"/>
      <c r="BL23" s="599"/>
      <c r="BM23" s="599"/>
      <c r="BN23" s="599"/>
      <c r="BO23" s="599"/>
      <c r="BP23" s="599"/>
      <c r="BQ23" s="599"/>
      <c r="BR23" s="599"/>
      <c r="BS23" s="599"/>
      <c r="BT23" s="599"/>
      <c r="BU23" s="599"/>
      <c r="BV23" s="599"/>
      <c r="BW23" s="599"/>
      <c r="BX23" s="582"/>
      <c r="BY23" s="582"/>
      <c r="CF23" s="648"/>
      <c r="CH23" s="649"/>
    </row>
    <row customHeight="1" ht="14.625">
      <c r="E24" s="180">
        <v>15</v>
      </c>
      <c r="AA24" s="582"/>
      <c r="AB24" s="1653" t="s">
        <v>1135</v>
      </c>
      <c r="AC24" s="1666" t="s">
        <v>175</v>
      </c>
      <c r="AD24" s="1667"/>
      <c r="AE24" s="1653" t="s">
        <v>413</v>
      </c>
      <c r="AF24" s="432" t="str">
        <f>god-2&amp;" год"</f>
        <v>2025 год</v>
      </c>
      <c r="AG24" s="433" t="str">
        <f>god-2&amp;" год"</f>
        <v>2025 год</v>
      </c>
      <c r="AH24" s="432" t="str">
        <f>god-2&amp;" год"</f>
        <v>2025 год</v>
      </c>
      <c r="AI24" s="330" t="str">
        <f>god-1&amp;" год"</f>
        <v>2026 год</v>
      </c>
      <c r="AJ24" s="329" t="str">
        <f>god&amp;" год"</f>
        <v>2027 год</v>
      </c>
      <c r="AK24" s="329" t="str">
        <f>god+1&amp;" год"</f>
        <v>2028 год</v>
      </c>
      <c r="AL24" s="329" t="str">
        <f>god+2&amp;" год"</f>
        <v>2029 год</v>
      </c>
      <c r="AM24" s="329" t="str">
        <f>god+3&amp;" год"</f>
        <v>2030 год</v>
      </c>
      <c r="AN24" s="329" t="str">
        <f>god+4&amp;" год"</f>
        <v>2031 год</v>
      </c>
      <c r="AO24" s="329" t="str">
        <f>god+5&amp;" год"</f>
        <v>2032 год</v>
      </c>
      <c r="AP24" s="329" t="str">
        <f>god+6&amp;" год"</f>
        <v>2033 год</v>
      </c>
      <c r="AQ24" s="329" t="str">
        <f>god+7&amp;" год"</f>
        <v>2034 год</v>
      </c>
      <c r="AR24" s="329" t="str">
        <f>god+8&amp;" год"</f>
        <v>2035 год</v>
      </c>
      <c r="AS24" s="329" t="str">
        <f>god+9&amp;" год"</f>
        <v>2036 год</v>
      </c>
      <c r="AT24" s="329" t="str">
        <f>god+10&amp;" год"</f>
        <v>2037 год</v>
      </c>
      <c r="AU24" s="329" t="str">
        <f>god+11&amp;" год"</f>
        <v>2038 год</v>
      </c>
      <c r="AV24" s="329" t="str">
        <f>god+12&amp;" год"</f>
        <v>2039 год</v>
      </c>
      <c r="AW24" s="329" t="str">
        <f>god+13&amp;" год"</f>
        <v>2040 год</v>
      </c>
      <c r="AX24" s="329" t="str">
        <f>god+14&amp;" год"</f>
        <v>2041 год</v>
      </c>
      <c r="AY24" s="329" t="str">
        <f>god+15&amp;" год"</f>
        <v>2042 год</v>
      </c>
      <c r="AZ24" s="329" t="str">
        <f>god+16&amp;" год"</f>
        <v>2043 год</v>
      </c>
      <c r="BA24" s="329" t="str">
        <f>god+17&amp;" год"</f>
        <v>2044 год</v>
      </c>
      <c r="BB24" s="329" t="str">
        <f>god+18&amp;" год"</f>
        <v>2045 год</v>
      </c>
      <c r="BC24" s="329" t="str">
        <f>god+19&amp;" год"</f>
        <v>2046 год</v>
      </c>
      <c r="BD24" s="328" t="str">
        <f>god&amp;" год"</f>
        <v>2027 год</v>
      </c>
      <c r="BE24" s="328" t="str">
        <f>god+1&amp;" год"</f>
        <v>2028 год</v>
      </c>
      <c r="BF24" s="328" t="str">
        <f>god+2&amp;" год"</f>
        <v>2029 год</v>
      </c>
      <c r="BG24" s="328" t="str">
        <f>god+3&amp;" год"</f>
        <v>2030 год</v>
      </c>
      <c r="BH24" s="328" t="str">
        <f>god+4&amp;" год"</f>
        <v>2031 год</v>
      </c>
      <c r="BI24" s="328" t="str">
        <f>god+5&amp;" год"</f>
        <v>2032 год</v>
      </c>
      <c r="BJ24" s="328" t="str">
        <f>god+6&amp;" год"</f>
        <v>2033 год</v>
      </c>
      <c r="BK24" s="328" t="str">
        <f>god+7&amp;" год"</f>
        <v>2034 год</v>
      </c>
      <c r="BL24" s="328" t="str">
        <f>god+8&amp;" год"</f>
        <v>2035 год</v>
      </c>
      <c r="BM24" s="328" t="str">
        <f>god+9&amp;" год"</f>
        <v>2036 год</v>
      </c>
      <c r="BN24" s="328" t="str">
        <f>god+10&amp;" год"</f>
        <v>2037 год</v>
      </c>
      <c r="BO24" s="328" t="str">
        <f>god+11&amp;" год"</f>
        <v>2038 год</v>
      </c>
      <c r="BP24" s="328" t="str">
        <f>god+12&amp;" год"</f>
        <v>2039 год</v>
      </c>
      <c r="BQ24" s="328" t="str">
        <f>god+13&amp;" год"</f>
        <v>2040 год</v>
      </c>
      <c r="BR24" s="328" t="str">
        <f>god+14&amp;" год"</f>
        <v>2041 год</v>
      </c>
      <c r="BS24" s="328" t="str">
        <f>god+15&amp;" год"</f>
        <v>2042 год</v>
      </c>
      <c r="BT24" s="328" t="str">
        <f>god+16&amp;" год"</f>
        <v>2043 год</v>
      </c>
      <c r="BU24" s="328" t="str">
        <f>god+17&amp;" год"</f>
        <v>2044 год</v>
      </c>
      <c r="BV24" s="328" t="str">
        <f>god+18&amp;" год"</f>
        <v>2045 год</v>
      </c>
      <c r="BW24" s="328" t="str">
        <f>god+19&amp;" год"</f>
        <v>2046 год</v>
      </c>
      <c r="BX24" s="1596" t="s">
        <v>625</v>
      </c>
      <c r="BY24" s="582"/>
      <c r="CF24" s="648"/>
      <c r="CH24" s="649"/>
    </row>
    <row customHeight="1" ht="48.75">
      <c r="E25" s="180">
        <v>50</v>
      </c>
      <c r="AA25" s="582"/>
      <c r="AB25" s="1665"/>
      <c r="AC25" s="1668"/>
      <c r="AD25" s="1669"/>
      <c r="AE25" s="1665"/>
      <c r="AF25" s="328" t="s">
        <v>415</v>
      </c>
      <c r="AG25" s="329" t="s">
        <v>626</v>
      </c>
      <c r="AH25" s="328" t="s">
        <v>627</v>
      </c>
      <c r="AI25" s="328" t="s">
        <v>415</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331" t="s">
        <v>416</v>
      </c>
      <c r="AZ25" s="331" t="s">
        <v>416</v>
      </c>
      <c r="BA25" s="331" t="s">
        <v>416</v>
      </c>
      <c r="BB25" s="331" t="s">
        <v>416</v>
      </c>
      <c r="BC25" s="331" t="s">
        <v>416</v>
      </c>
      <c r="BD25" s="424" t="s">
        <v>415</v>
      </c>
      <c r="BE25" s="424" t="s">
        <v>415</v>
      </c>
      <c r="BF25" s="424" t="s">
        <v>415</v>
      </c>
      <c r="BG25" s="424" t="s">
        <v>415</v>
      </c>
      <c r="BH25" s="424" t="s">
        <v>415</v>
      </c>
      <c r="BI25" s="424" t="s">
        <v>415</v>
      </c>
      <c r="BJ25" s="424" t="s">
        <v>415</v>
      </c>
      <c r="BK25" s="424" t="s">
        <v>415</v>
      </c>
      <c r="BL25" s="424" t="s">
        <v>415</v>
      </c>
      <c r="BM25" s="424" t="s">
        <v>415</v>
      </c>
      <c r="BN25" s="424" t="s">
        <v>415</v>
      </c>
      <c r="BO25" s="424" t="s">
        <v>415</v>
      </c>
      <c r="BP25" s="424" t="s">
        <v>415</v>
      </c>
      <c r="BQ25" s="424" t="s">
        <v>415</v>
      </c>
      <c r="BR25" s="424" t="s">
        <v>415</v>
      </c>
      <c r="BS25" s="424" t="s">
        <v>415</v>
      </c>
      <c r="BT25" s="424" t="s">
        <v>415</v>
      </c>
      <c r="BU25" s="424" t="s">
        <v>415</v>
      </c>
      <c r="BV25" s="424" t="s">
        <v>415</v>
      </c>
      <c r="BW25" s="424" t="s">
        <v>415</v>
      </c>
      <c r="BX25" s="1665"/>
      <c r="BY25" s="582"/>
      <c r="CF25" s="648"/>
      <c r="CH25" s="649"/>
    </row>
    <row customHeight="1" ht="50.25" hidden="1">
      <c r="E26" s="965">
        <v>0</v>
      </c>
      <c r="AA26" s="582"/>
      <c r="AB26" s="618"/>
      <c r="AC26" s="619"/>
      <c r="AD26" s="619"/>
      <c r="AE26" s="61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620"/>
      <c r="BY26" s="582"/>
      <c r="CF26" s="648"/>
      <c r="CH26" s="649"/>
    </row>
    <row customHeight="1" ht="10.725000000000001" hidden="1">
      <c r="E27" s="180">
        <v>11</v>
      </c>
      <c r="F27" s="175" cm="1" t="str">
        <f t="array" ref="F27:F27">X27</f>
        <v>0</v>
      </c>
      <c r="G27" s="193" t="s">
        <v>1386</v>
      </c>
      <c r="T27" s="753">
        <f>X27&gt;0</f>
        <v>0</v>
      </c>
      <c r="V27" s="175" t="s">
        <v>266</v>
      </c>
      <c r="X27" s="175">
        <v>0</v>
      </c>
      <c r="AB27" s="621" cm="1" t="str">
        <f t="array" ref="AB27:AB27">INDEX('Общие сведения'!$AG$169:$AG$202,MATCH($F27,'Общие сведения'!$Y$169:$Y$202,0))</f>
        <v>Тариф 0 (Теплоснабжение) - </v>
      </c>
      <c r="AC27" s="298"/>
      <c r="AD27" s="298"/>
      <c r="AE27" s="298"/>
      <c r="AF27" s="552">
        <f>AF28+AF34+AF40</f>
        <v>0</v>
      </c>
      <c r="AG27" s="552">
        <f>AG28+AG34+AG40</f>
        <v>0</v>
      </c>
      <c r="AH27" s="552">
        <f>AH28+AH34+AH40</f>
        <v>0</v>
      </c>
      <c r="AI27" s="552">
        <f>AI28+AI34+AI40</f>
        <v>0</v>
      </c>
      <c r="AJ27" s="552">
        <f>AJ28+AJ34+AJ40</f>
        <v>0</v>
      </c>
      <c r="AK27" s="552">
        <f>AK28+AK34+AK40</f>
        <v>0</v>
      </c>
      <c r="AL27" s="552">
        <f>AL28+AL34+AL40</f>
        <v>0</v>
      </c>
      <c r="AM27" s="552">
        <f>AM28+AM34+AM40</f>
        <v>0</v>
      </c>
      <c r="AN27" s="552">
        <f>AN28+AN34+AN40</f>
        <v>0</v>
      </c>
      <c r="AO27" s="552">
        <f>AO28+AO34+AO40</f>
        <v>0</v>
      </c>
      <c r="AP27" s="552">
        <f>AP28+AP34+AP40</f>
        <v>0</v>
      </c>
      <c r="AQ27" s="552">
        <f>AQ28+AQ34+AQ40</f>
        <v>0</v>
      </c>
      <c r="AR27" s="552">
        <f>AR28+AR34+AR40</f>
        <v>0</v>
      </c>
      <c r="AS27" s="552">
        <f>AS28+AS34+AS40</f>
        <v>0</v>
      </c>
      <c r="AT27" s="552">
        <f>AT28+AT34+AT40</f>
        <v>0</v>
      </c>
      <c r="AU27" s="552">
        <f>AU28+AU34+AU40</f>
        <v>0</v>
      </c>
      <c r="AV27" s="552">
        <f>AV28+AV34+AV40</f>
        <v>0</v>
      </c>
      <c r="AW27" s="552">
        <f>AW28+AW34+AW40</f>
        <v>0</v>
      </c>
      <c r="AX27" s="552">
        <f>AX28+AX34+AX40</f>
        <v>0</v>
      </c>
      <c r="AY27" s="552">
        <f>AY28+AY34+AY40</f>
        <v>0</v>
      </c>
      <c r="AZ27" s="552">
        <f>AZ28+AZ34+AZ40</f>
        <v>0</v>
      </c>
      <c r="BA27" s="552">
        <f>BA28+BA34+BA40</f>
        <v>0</v>
      </c>
      <c r="BB27" s="552">
        <f>BB28+BB34+BB40</f>
        <v>0</v>
      </c>
      <c r="BC27" s="552">
        <f>BC28+BC34+BC40</f>
        <v>0</v>
      </c>
      <c r="BD27" s="552">
        <f>BD28+BD34+BD40</f>
        <v>0</v>
      </c>
      <c r="BE27" s="552">
        <f>BE28+BE34+BE40</f>
        <v>0</v>
      </c>
      <c r="BF27" s="552">
        <f>BF28+BF34+BF40</f>
        <v>0</v>
      </c>
      <c r="BG27" s="552">
        <f>BG28+BG34+BG40</f>
        <v>0</v>
      </c>
      <c r="BH27" s="552">
        <f>BH28+BH34+BH40</f>
        <v>0</v>
      </c>
      <c r="BI27" s="552">
        <f>BI28+BI34+BI40</f>
        <v>0</v>
      </c>
      <c r="BJ27" s="552">
        <f>BJ28+BJ34+BJ40</f>
        <v>0</v>
      </c>
      <c r="BK27" s="552">
        <f>BK28+BK34+BK40</f>
        <v>0</v>
      </c>
      <c r="BL27" s="552">
        <f>BL28+BL34+BL40</f>
        <v>0</v>
      </c>
      <c r="BM27" s="552">
        <f>BM28+BM34+BM40</f>
        <v>0</v>
      </c>
      <c r="BN27" s="552">
        <f>BN28+BN34+BN40</f>
        <v>0</v>
      </c>
      <c r="BO27" s="552">
        <f>BO28+BO34+BO40</f>
        <v>0</v>
      </c>
      <c r="BP27" s="552">
        <f>BP28+BP34+BP40</f>
        <v>0</v>
      </c>
      <c r="BQ27" s="552">
        <f>BQ28+BQ34+BQ40</f>
        <v>0</v>
      </c>
      <c r="BR27" s="552">
        <f>BR28+BR34+BR40</f>
        <v>0</v>
      </c>
      <c r="BS27" s="552">
        <f>BS28+BS34+BS40</f>
        <v>0</v>
      </c>
      <c r="BT27" s="552">
        <f>BT28+BT34+BT40</f>
        <v>0</v>
      </c>
      <c r="BU27" s="552">
        <f>BU28+BU34+BU40</f>
        <v>0</v>
      </c>
      <c r="BV27" s="552">
        <f>BV28+BV34+BV40</f>
        <v>0</v>
      </c>
      <c r="BW27" s="552">
        <f>BW28+BW34+BW40</f>
        <v>0</v>
      </c>
      <c r="BX27" s="622"/>
      <c r="CF27" s="648"/>
      <c r="CH27" s="649"/>
    </row>
    <row customHeight="1" ht="10.725000000000001" hidden="1">
      <c r="E28" s="180">
        <v>11</v>
      </c>
      <c r="F28" s="175" cm="1" t="str">
        <f t="array" ref="F28:F28">F27</f>
        <v>0</v>
      </c>
      <c r="T28" s="753" cm="1" t="str">
        <f t="array" ref="T28:T28">T27</f>
        <v>false</v>
      </c>
      <c r="AB28" s="554">
        <v>1</v>
      </c>
      <c r="AC28" s="555" t="s">
        <v>1387</v>
      </c>
      <c r="AD28" s="555"/>
      <c r="AE28" s="556" t="s">
        <v>917</v>
      </c>
      <c r="AF28" s="587">
        <f>SUMIF($AE29:$AE33,$AE28,AF29:AF33)</f>
        <v>0</v>
      </c>
      <c r="AG28" s="587">
        <f>SUMIF($AE29:$AE33,$AE28,AG29:AG33)</f>
        <v>0</v>
      </c>
      <c r="AH28" s="587">
        <f>SUMIF($AE29:$AE33,$AE28,AH29:AH33)</f>
        <v>0</v>
      </c>
      <c r="AI28" s="587">
        <f>SUMIF($AE29:$AE33,$AE28,AI29:AI33)</f>
        <v>0</v>
      </c>
      <c r="AJ28" s="587">
        <f>SUMIF($AE29:$AE33,$AE28,AJ29:AJ33)</f>
        <v>0</v>
      </c>
      <c r="AK28" s="105">
        <f>SUMIF($AE29:$AE33,$AE28,AK29:AK33)</f>
        <v>0</v>
      </c>
      <c r="AL28" s="105">
        <f>SUMIF($AE29:$AE33,$AE28,AL29:AL33)</f>
        <v>0</v>
      </c>
      <c r="AM28" s="105">
        <f>SUMIF($AE29:$AE33,$AE28,AM29:AM33)</f>
        <v>0</v>
      </c>
      <c r="AN28" s="105">
        <f>SUMIF($AE29:$AE33,$AE28,AN29:AN33)</f>
        <v>0</v>
      </c>
      <c r="AO28" s="105">
        <f>SUMIF($AE29:$AE33,$AE28,AO29:AO33)</f>
        <v>0</v>
      </c>
      <c r="AP28" s="105">
        <f>SUMIF($AE29:$AE33,$AE28,AP29:AP33)</f>
        <v>0</v>
      </c>
      <c r="AQ28" s="105">
        <f>SUMIF($AE29:$AE33,$AE28,AQ29:AQ33)</f>
        <v>0</v>
      </c>
      <c r="AR28" s="105">
        <f>SUMIF($AE29:$AE33,$AE28,AR29:AR33)</f>
        <v>0</v>
      </c>
      <c r="AS28" s="105">
        <f>SUMIF($AE29:$AE33,$AE28,AS29:AS33)</f>
        <v>0</v>
      </c>
      <c r="AT28" s="105">
        <f>SUMIF($AE29:$AE33,$AE28,AT29:AT33)</f>
        <v>0</v>
      </c>
      <c r="AU28" s="105">
        <f>SUMIF($AE29:$AE33,$AE28,AU29:AU33)</f>
        <v>0</v>
      </c>
      <c r="AV28" s="105">
        <f>SUMIF($AE29:$AE33,$AE28,AV29:AV33)</f>
        <v>0</v>
      </c>
      <c r="AW28" s="105">
        <f>SUMIF($AE29:$AE33,$AE28,AW29:AW33)</f>
        <v>0</v>
      </c>
      <c r="AX28" s="105">
        <f>SUMIF($AE29:$AE33,$AE28,AX29:AX33)</f>
        <v>0</v>
      </c>
      <c r="AY28" s="105">
        <f>SUMIF($AE29:$AE33,$AE28,AY29:AY33)</f>
        <v>0</v>
      </c>
      <c r="AZ28" s="105">
        <f>SUMIF($AE29:$AE33,$AE28,AZ29:AZ33)</f>
        <v>0</v>
      </c>
      <c r="BA28" s="105">
        <f>SUMIF($AE29:$AE33,$AE28,BA29:BA33)</f>
        <v>0</v>
      </c>
      <c r="BB28" s="105">
        <f>SUMIF($AE29:$AE33,$AE28,BB29:BB33)</f>
        <v>0</v>
      </c>
      <c r="BC28" s="105">
        <f>SUMIF($AE29:$AE33,$AE28,BC29:BC33)</f>
        <v>0</v>
      </c>
      <c r="BD28" s="587">
        <f>SUMIF($AE29:$AE33,$AE28,BD29:BD33)</f>
        <v>0</v>
      </c>
      <c r="BE28" s="105">
        <f>SUMIF($AE29:$AE33,$AE28,BE29:BE33)</f>
        <v>0</v>
      </c>
      <c r="BF28" s="105">
        <f>SUMIF($AE29:$AE33,$AE28,BF29:BF33)</f>
        <v>0</v>
      </c>
      <c r="BG28" s="105">
        <f>SUMIF($AE29:$AE33,$AE28,BG29:BG33)</f>
        <v>0</v>
      </c>
      <c r="BH28" s="105">
        <f>SUMIF($AE29:$AE33,$AE28,BH29:BH33)</f>
        <v>0</v>
      </c>
      <c r="BI28" s="105">
        <f>SUMIF($AE29:$AE33,$AE28,BI29:BI33)</f>
        <v>0</v>
      </c>
      <c r="BJ28" s="105">
        <f>SUMIF($AE29:$AE33,$AE28,BJ29:BJ33)</f>
        <v>0</v>
      </c>
      <c r="BK28" s="105">
        <f>SUMIF($AE29:$AE33,$AE28,BK29:BK33)</f>
        <v>0</v>
      </c>
      <c r="BL28" s="105">
        <f>SUMIF($AE29:$AE33,$AE28,BL29:BL33)</f>
        <v>0</v>
      </c>
      <c r="BM28" s="105">
        <f>SUMIF($AE29:$AE33,$AE28,BM29:BM33)</f>
        <v>0</v>
      </c>
      <c r="BN28" s="105">
        <f>SUMIF($AE29:$AE33,$AE28,BN29:BN33)</f>
        <v>0</v>
      </c>
      <c r="BO28" s="105">
        <f>SUMIF($AE29:$AE33,$AE28,BO29:BO33)</f>
        <v>0</v>
      </c>
      <c r="BP28" s="105">
        <f>SUMIF($AE29:$AE33,$AE28,BP29:BP33)</f>
        <v>0</v>
      </c>
      <c r="BQ28" s="105">
        <f>SUMIF($AE29:$AE33,$AE28,BQ29:BQ33)</f>
        <v>0</v>
      </c>
      <c r="BR28" s="105">
        <f>SUMIF($AE29:$AE33,$AE28,BR29:BR33)</f>
        <v>0</v>
      </c>
      <c r="BS28" s="105">
        <f>SUMIF($AE29:$AE33,$AE28,BS29:BS33)</f>
        <v>0</v>
      </c>
      <c r="BT28" s="105">
        <f>SUMIF($AE29:$AE33,$AE28,BT29:BT33)</f>
        <v>0</v>
      </c>
      <c r="BU28" s="105">
        <f>SUMIF($AE29:$AE33,$AE28,BU29:BU33)</f>
        <v>0</v>
      </c>
      <c r="BV28" s="105">
        <f>SUMIF($AE29:$AE33,$AE28,BV29:BV33)</f>
        <v>0</v>
      </c>
      <c r="BW28" s="105">
        <f>SUMIF($AE29:$AE33,$AE28,BW29:BW33)</f>
        <v>0</v>
      </c>
      <c r="BX28" s="83"/>
      <c r="CA28" s="648" t="s">
        <v>1156</v>
      </c>
      <c r="CF28" s="648"/>
      <c r="CH28" s="649"/>
      <c r="CJ28" s="1501" cm="1" t="str">
        <f t="array" ref="CJ28:CJ28">INDEX('Общие сведения'!$N$170:$N$202,MATCH($F28,'Общие сведения'!$Y$170:$Y$202,0)+1)</f>
        <v>0</v>
      </c>
      <c r="CK28" s="1501" t="s">
        <v>1388</v>
      </c>
      <c r="CL28" s="1501"/>
      <c r="CM28" s="1501"/>
      <c r="CN28" s="1501" t="s">
        <v>303</v>
      </c>
      <c r="CO28" s="1501" t="s">
        <v>1044</v>
      </c>
      <c r="CP28" s="1501" t="s">
        <v>1045</v>
      </c>
    </row>
    <row customHeight="1" ht="15" hidden="1">
      <c r="E29" s="180">
        <v>0</v>
      </c>
      <c r="F29" s="175" cm="1" t="str">
        <f t="array" ref="F29:F29">F28</f>
        <v>0</v>
      </c>
      <c r="T29" s="753" t="b">
        <v>0</v>
      </c>
      <c r="AB29" s="554"/>
      <c r="AC29" s="555"/>
      <c r="AD29" s="555"/>
      <c r="AE29" s="556"/>
      <c r="AF29" s="596"/>
      <c r="AG29" s="596"/>
      <c r="AH29" s="596"/>
      <c r="AI29" s="596"/>
      <c r="AJ29" s="596"/>
      <c r="AK29" s="596"/>
      <c r="AL29" s="596"/>
      <c r="AM29" s="596"/>
      <c r="AN29" s="596"/>
      <c r="AO29" s="596"/>
      <c r="AP29" s="596"/>
      <c r="AQ29" s="596"/>
      <c r="AR29" s="596"/>
      <c r="AS29" s="596"/>
      <c r="AT29" s="596"/>
      <c r="AU29" s="596"/>
      <c r="AV29" s="596"/>
      <c r="AW29" s="596"/>
      <c r="AX29" s="596"/>
      <c r="AY29" s="596"/>
      <c r="AZ29" s="596"/>
      <c r="BA29" s="596"/>
      <c r="BB29" s="596"/>
      <c r="BC29" s="596"/>
      <c r="BD29" s="596"/>
      <c r="BE29" s="596"/>
      <c r="BF29" s="596"/>
      <c r="BG29" s="596"/>
      <c r="BH29" s="596"/>
      <c r="BI29" s="596"/>
      <c r="BJ29" s="596"/>
      <c r="BK29" s="596"/>
      <c r="BL29" s="596"/>
      <c r="BM29" s="596"/>
      <c r="BN29" s="596"/>
      <c r="BO29" s="596"/>
      <c r="BP29" s="596"/>
      <c r="BQ29" s="596"/>
      <c r="BR29" s="596"/>
      <c r="BS29" s="596"/>
      <c r="BT29" s="596"/>
      <c r="BU29" s="596"/>
      <c r="BV29" s="596"/>
      <c r="BW29" s="596"/>
      <c r="BX29" s="597"/>
      <c r="CA29" s="648" t="str">
        <f>IF(AND(ISNUMBER(VALUE(TRIM(SUBSTITUTE(AB29,".","")))),TRIM(SUBSTITUTE(AB29,".",""))&lt;&gt;""),"P"&amp;SUBSTITUTE(AB29,".",""),"")</f>
        <v/>
      </c>
      <c r="CF29" s="648"/>
      <c r="CH29" s="649"/>
      <c r="CJ29" s="1501" cm="1" t="str">
        <f t="array" ref="CJ29:CJ29">CJ28</f>
        <v>0</v>
      </c>
      <c r="CK29" s="1501"/>
      <c r="CL29" s="1501"/>
      <c r="CM29" s="1501"/>
      <c r="CN29" s="1501"/>
      <c r="CO29" s="1501"/>
      <c r="CP29" s="1501"/>
    </row>
    <row customHeight="1" ht="17.55" hidden="1">
      <c r="A30" s="978" t="str">
        <f>"checkCosts_1."&amp;F30&amp;"."&amp;Y30</f>
        <v>checkCosts_1.0.0</v>
      </c>
      <c r="E30" s="180">
        <v>18</v>
      </c>
      <c r="F30" s="175" cm="1" t="str">
        <f t="array" ref="F30:F30">OFFSET(G30,-1,-1)</f>
        <v>0</v>
      </c>
      <c r="H30" s="193" cm="1" t="str">
        <f t="array" ref="H30:H30">AC30</f>
        <v>0</v>
      </c>
      <c r="T30" s="753">
        <f>AND(F30&gt;0,Y30&gt;0)</f>
        <v>0</v>
      </c>
      <c r="W30" s="175" t="s">
        <v>189</v>
      </c>
      <c r="Y30" s="175">
        <v>0</v>
      </c>
      <c r="AA30" s="1660" t="s">
        <v>171</v>
      </c>
      <c r="AB30" s="360" t="str">
        <f>"1."&amp;Y30</f>
        <v>1.0</v>
      </c>
      <c r="AC30" s="322"/>
      <c r="AD30" s="111"/>
      <c r="AE30" s="556" t="s">
        <v>917</v>
      </c>
      <c r="AF30" s="71">
        <f>AF31*AF32/1000</f>
        <v>0</v>
      </c>
      <c r="AG30" s="71"/>
      <c r="AH30" s="71"/>
      <c r="AI30" s="71">
        <f>AI31*AI32/1000</f>
        <v>0</v>
      </c>
      <c r="AJ30" s="353"/>
      <c r="AK30" s="71"/>
      <c r="AL30" s="71"/>
      <c r="AM30" s="71"/>
      <c r="AN30" s="71"/>
      <c r="AO30" s="71"/>
      <c r="AP30" s="71"/>
      <c r="AQ30" s="71"/>
      <c r="AR30" s="71"/>
      <c r="AS30" s="71"/>
      <c r="AT30" s="71"/>
      <c r="AU30" s="71"/>
      <c r="AV30" s="71"/>
      <c r="AW30" s="71"/>
      <c r="AX30" s="71"/>
      <c r="AY30" s="71"/>
      <c r="AZ30" s="71"/>
      <c r="BA30" s="71"/>
      <c r="BB30" s="71"/>
      <c r="BC30" s="71"/>
      <c r="BD30" s="353">
        <f>BD31*BD32/1000</f>
        <v>0</v>
      </c>
      <c r="BE30" s="71">
        <f>BE31*BE32/1000</f>
        <v>0</v>
      </c>
      <c r="BF30" s="71">
        <f>BF31*BF32/1000</f>
        <v>0</v>
      </c>
      <c r="BG30" s="71">
        <f>BG31*BG32/1000</f>
        <v>0</v>
      </c>
      <c r="BH30" s="71">
        <f>BH31*BH32/1000</f>
        <v>0</v>
      </c>
      <c r="BI30" s="71">
        <f>BI31*BI32/1000</f>
        <v>0</v>
      </c>
      <c r="BJ30" s="71">
        <f>BJ31*BJ32/1000</f>
        <v>0</v>
      </c>
      <c r="BK30" s="71">
        <f>BK31*BK32/1000</f>
        <v>0</v>
      </c>
      <c r="BL30" s="71">
        <f>BL31*BL32/1000</f>
        <v>0</v>
      </c>
      <c r="BM30" s="71">
        <f>BM31*BM32/1000</f>
        <v>0</v>
      </c>
      <c r="BN30" s="71">
        <f>BN31*BN32/1000</f>
        <v>0</v>
      </c>
      <c r="BO30" s="71">
        <f>BO31*BO32/1000</f>
        <v>0</v>
      </c>
      <c r="BP30" s="71">
        <f>BP31*BP32/1000</f>
        <v>0</v>
      </c>
      <c r="BQ30" s="71">
        <f>BQ31*BQ32/1000</f>
        <v>0</v>
      </c>
      <c r="BR30" s="71">
        <f>BR31*BR32/1000</f>
        <v>0</v>
      </c>
      <c r="BS30" s="71">
        <f>BS31*BS32/1000</f>
        <v>0</v>
      </c>
      <c r="BT30" s="71">
        <f>BT31*BT32/1000</f>
        <v>0</v>
      </c>
      <c r="BU30" s="71">
        <f>BU31*BU32/1000</f>
        <v>0</v>
      </c>
      <c r="BV30" s="71">
        <f>BV31*BV32/1000</f>
        <v>0</v>
      </c>
      <c r="BW30" s="71">
        <f>BW31*BW32/1000</f>
        <v>0</v>
      </c>
      <c r="BX30" s="83"/>
      <c r="CA30" s="648" t="s">
        <v>1158</v>
      </c>
      <c r="CB30" s="648" t="s">
        <v>1389</v>
      </c>
      <c r="CC30" s="648" cm="1" t="str">
        <f t="array" ref="CC30:CC30">AC30</f>
        <v>0</v>
      </c>
      <c r="CD30" s="648" cm="1" t="str">
        <f t="array" ref="CD30:CD30">AD30</f>
        <v>0</v>
      </c>
      <c r="CE30" s="648" cm="1" t="str">
        <f t="array" ref="CE30:CE30">AE32</f>
        <v>Гкал</v>
      </c>
      <c r="CF30" s="648" cm="1" t="str">
        <f t="array" ref="CF30:CF30">AE31</f>
        <v>руб/Гкал</v>
      </c>
      <c r="CH30" s="649" t="b">
        <v>1</v>
      </c>
      <c r="CJ30" s="1501" cm="1" t="str">
        <f t="array" ref="CJ30:CJ30">OFFSET(CK30,-1,-1)</f>
        <v>0</v>
      </c>
      <c r="CK30" s="1501" t="s">
        <v>1388</v>
      </c>
      <c r="CL30" s="1501" t="s">
        <v>219</v>
      </c>
      <c r="CM30" s="1501" cm="1" t="str">
        <f t="array" ref="CM30:CM30">$AC30</f>
        <v>0</v>
      </c>
      <c r="CN30" s="1501" t="s">
        <v>303</v>
      </c>
      <c r="CO30" s="1501" t="s">
        <v>919</v>
      </c>
      <c r="CP30" s="1501" t="s">
        <v>920</v>
      </c>
    </row>
    <row customHeight="1" ht="16.575" hidden="1">
      <c r="E31" s="180">
        <v>17</v>
      </c>
      <c r="F31" s="175" cm="1" t="str">
        <f t="array" ref="F31:F31">F29</f>
        <v>0</v>
      </c>
      <c r="H31" s="193" cm="1" t="str">
        <f t="array" ref="H31:H31">H30</f>
        <v>0</v>
      </c>
      <c r="T31" s="753" cm="1" t="str">
        <f t="array" ref="T31:T31">T30</f>
        <v>false</v>
      </c>
      <c r="AA31" s="1661"/>
      <c r="AB31" s="360" t="str">
        <f>AB30&amp;".1"</f>
        <v>1.0.1</v>
      </c>
      <c r="AC31" s="624" t="s">
        <v>1063</v>
      </c>
      <c r="AD31" s="624"/>
      <c r="AE31" s="114" t="s">
        <v>1098</v>
      </c>
      <c r="AF31" s="71"/>
      <c r="AG31" s="625">
        <f>IF(AG32=0,0,AG30/AG32)*1000</f>
        <v>0</v>
      </c>
      <c r="AH31" s="625">
        <f>IF(AH32=0,0,AH30/AH32)*1000</f>
        <v>0</v>
      </c>
      <c r="AI31" s="71"/>
      <c r="AJ31" s="625">
        <f>IF(AJ32=0,0,AJ30/AJ32)*1000</f>
        <v>0</v>
      </c>
      <c r="AK31" s="625">
        <f>IF(AK32=0,0,AK30/AK32)*1000</f>
        <v>0</v>
      </c>
      <c r="AL31" s="625">
        <f>IF(AL32=0,0,AL30/AL32)*1000</f>
        <v>0</v>
      </c>
      <c r="AM31" s="625">
        <f>IF(AM32=0,0,AM30/AM32)*1000</f>
        <v>0</v>
      </c>
      <c r="AN31" s="625">
        <f>IF(AN32=0,0,AN30/AN32)*1000</f>
        <v>0</v>
      </c>
      <c r="AO31" s="625">
        <f>IF(AO32=0,0,AO30/AO32)*1000</f>
        <v>0</v>
      </c>
      <c r="AP31" s="625">
        <f>IF(AP32=0,0,AP30/AP32)*1000</f>
        <v>0</v>
      </c>
      <c r="AQ31" s="625">
        <f>IF(AQ32=0,0,AQ30/AQ32)*1000</f>
        <v>0</v>
      </c>
      <c r="AR31" s="625">
        <f>IF(AR32=0,0,AR30/AR32)*1000</f>
        <v>0</v>
      </c>
      <c r="AS31" s="625">
        <f>IF(AS32=0,0,AS30/AS32)*1000</f>
        <v>0</v>
      </c>
      <c r="AT31" s="625">
        <f>IF(AT32=0,0,AT30/AT32)*1000</f>
        <v>0</v>
      </c>
      <c r="AU31" s="625">
        <f>IF(AU32=0,0,AU30/AU32)*1000</f>
        <v>0</v>
      </c>
      <c r="AV31" s="625">
        <f>IF(AV32=0,0,AV30/AV32)*1000</f>
        <v>0</v>
      </c>
      <c r="AW31" s="625">
        <f>IF(AW32=0,0,AW30/AW32)*1000</f>
        <v>0</v>
      </c>
      <c r="AX31" s="625">
        <f>IF(AX32=0,0,AX30/AX32)*1000</f>
        <v>0</v>
      </c>
      <c r="AY31" s="625">
        <f>IF(AY32=0,0,AY30/AY32)*1000</f>
        <v>0</v>
      </c>
      <c r="AZ31" s="625">
        <f>IF(AZ32=0,0,AZ30/AZ32)*1000</f>
        <v>0</v>
      </c>
      <c r="BA31" s="625">
        <f>IF(BA32=0,0,BA30/BA32)*1000</f>
        <v>0</v>
      </c>
      <c r="BB31" s="625">
        <f>IF(BB32=0,0,BB30/BB32)*1000</f>
        <v>0</v>
      </c>
      <c r="BC31" s="625">
        <f>IF(BC32=0,0,BC30/BC32)*1000</f>
        <v>0</v>
      </c>
      <c r="BD31" s="353"/>
      <c r="BE31" s="71"/>
      <c r="BF31" s="71"/>
      <c r="BG31" s="71"/>
      <c r="BH31" s="71"/>
      <c r="BI31" s="71"/>
      <c r="BJ31" s="71"/>
      <c r="BK31" s="71"/>
      <c r="BL31" s="71"/>
      <c r="BM31" s="71"/>
      <c r="BN31" s="71"/>
      <c r="BO31" s="71"/>
      <c r="BP31" s="71"/>
      <c r="BQ31" s="71"/>
      <c r="BR31" s="71"/>
      <c r="BS31" s="71"/>
      <c r="BT31" s="71"/>
      <c r="BU31" s="71"/>
      <c r="BV31" s="71"/>
      <c r="BW31" s="71"/>
      <c r="BX31" s="83"/>
      <c r="CA31" s="648" t="s">
        <v>1160</v>
      </c>
      <c r="CB31" s="648" t="s">
        <v>1389</v>
      </c>
      <c r="CC31" s="648" cm="1" t="str">
        <f t="array" ref="CC31:CC31">CC30</f>
        <v>0</v>
      </c>
      <c r="CD31" s="648" cm="1" t="str">
        <f t="array" ref="CD31:CD31">CD30</f>
        <v>0</v>
      </c>
      <c r="CE31" s="648" cm="1" t="str">
        <f t="array" ref="CE31:CE31">CE30</f>
        <v>Гкал</v>
      </c>
      <c r="CF31" s="648" cm="1" t="str">
        <f t="array" ref="CF31:CF31">CF30</f>
        <v>руб/Гкал</v>
      </c>
      <c r="CH31" s="649"/>
      <c r="CJ31" s="1501" cm="1" t="str">
        <f t="array" ref="CJ31:CJ31">CJ30</f>
        <v>0</v>
      </c>
      <c r="CK31" s="1501" t="s">
        <v>1388</v>
      </c>
      <c r="CL31" s="1501" t="s">
        <v>255</v>
      </c>
      <c r="CM31" s="1501" cm="1" t="str">
        <f t="array" ref="CM31:CM31">CM30</f>
        <v>0</v>
      </c>
      <c r="CN31" s="1501" t="s">
        <v>303</v>
      </c>
      <c r="CO31" s="1501" t="s">
        <v>914</v>
      </c>
      <c r="CP31" s="1501" t="s">
        <v>915</v>
      </c>
    </row>
    <row customHeight="1" ht="16.575" hidden="1">
      <c r="A32" s="978" t="str">
        <f>"checkVolume_1."&amp;F32&amp;"."&amp;Y30</f>
        <v>checkVolume_1.0.0</v>
      </c>
      <c r="E32" s="180">
        <v>17</v>
      </c>
      <c r="F32" s="175" cm="1" t="str">
        <f t="array" ref="F32:F32">F30</f>
        <v>0</v>
      </c>
      <c r="H32" s="193" cm="1" t="str">
        <f t="array" ref="H32:H32">H30</f>
        <v>0</v>
      </c>
      <c r="T32" s="753" cm="1" t="str">
        <f t="array" ref="T32:T32">T30</f>
        <v>false</v>
      </c>
      <c r="AA32" s="1661"/>
      <c r="AB32" s="360" t="str">
        <f>AB30&amp;".2"</f>
        <v>1.0.2</v>
      </c>
      <c r="AC32" s="624" t="s">
        <v>1390</v>
      </c>
      <c r="AD32" s="624"/>
      <c r="AE32" s="114" t="s">
        <v>629</v>
      </c>
      <c r="AF32" s="71"/>
      <c r="AG32" s="71"/>
      <c r="AH32" s="71"/>
      <c r="AI32" s="71"/>
      <c r="AJ32" s="353"/>
      <c r="AK32" s="71"/>
      <c r="AL32" s="71"/>
      <c r="AM32" s="71"/>
      <c r="AN32" s="71"/>
      <c r="AO32" s="71"/>
      <c r="AP32" s="71"/>
      <c r="AQ32" s="71"/>
      <c r="AR32" s="71"/>
      <c r="AS32" s="71"/>
      <c r="AT32" s="71"/>
      <c r="AU32" s="71"/>
      <c r="AV32" s="71"/>
      <c r="AW32" s="71"/>
      <c r="AX32" s="71"/>
      <c r="AY32" s="71"/>
      <c r="AZ32" s="71"/>
      <c r="BA32" s="71"/>
      <c r="BB32" s="71"/>
      <c r="BC32" s="71"/>
      <c r="BD32" s="353"/>
      <c r="BE32" s="71"/>
      <c r="BF32" s="71"/>
      <c r="BG32" s="71"/>
      <c r="BH32" s="71"/>
      <c r="BI32" s="71"/>
      <c r="BJ32" s="71"/>
      <c r="BK32" s="71"/>
      <c r="BL32" s="71"/>
      <c r="BM32" s="71"/>
      <c r="BN32" s="71"/>
      <c r="BO32" s="71"/>
      <c r="BP32" s="71"/>
      <c r="BQ32" s="71"/>
      <c r="BR32" s="71"/>
      <c r="BS32" s="71"/>
      <c r="BT32" s="71"/>
      <c r="BU32" s="71"/>
      <c r="BV32" s="71"/>
      <c r="BW32" s="71"/>
      <c r="BX32" s="83"/>
      <c r="CA32" s="648" t="s">
        <v>1162</v>
      </c>
      <c r="CB32" s="648" t="s">
        <v>1389</v>
      </c>
      <c r="CC32" s="648" cm="1" t="str">
        <f t="array" ref="CC32:CC32">CC30</f>
        <v>0</v>
      </c>
      <c r="CD32" s="648" cm="1" t="str">
        <f t="array" ref="CD32:CD32">CD30</f>
        <v>0</v>
      </c>
      <c r="CE32" s="648" cm="1" t="str">
        <f t="array" ref="CE32:CE32">CE30</f>
        <v>Гкал</v>
      </c>
      <c r="CF32" s="648" cm="1" t="str">
        <f t="array" ref="CF32:CF32">CF30</f>
        <v>руб/Гкал</v>
      </c>
      <c r="CH32" s="649"/>
      <c r="CJ32" s="1501" cm="1" t="str">
        <f t="array" ref="CJ32:CJ32">CJ31</f>
        <v>0</v>
      </c>
      <c r="CK32" s="1501" t="s">
        <v>1388</v>
      </c>
      <c r="CL32" s="1501" t="s">
        <v>449</v>
      </c>
      <c r="CM32" s="1501" cm="1" t="str">
        <f t="array" ref="CM32:CM32">CM31</f>
        <v>0</v>
      </c>
      <c r="CN32" s="1501" t="s">
        <v>303</v>
      </c>
      <c r="CO32" s="1501" t="s">
        <v>1391</v>
      </c>
      <c r="CP32" s="1501" t="s">
        <v>1392</v>
      </c>
    </row>
    <row customHeight="1" ht="16.575" hidden="1">
      <c r="E33" s="180">
        <v>17</v>
      </c>
      <c r="F33" s="175" cm="1" t="str">
        <f t="array" ref="F33:F33">F29</f>
        <v>0</v>
      </c>
      <c r="T33" s="753">
        <f>F33&gt;0</f>
        <v>0</v>
      </c>
      <c r="W33" s="176" t="s">
        <v>1393</v>
      </c>
      <c r="AB33" s="405"/>
      <c r="AC33" s="407" t="s">
        <v>1111</v>
      </c>
      <c r="AD33" s="407"/>
      <c r="AE33" s="407"/>
      <c r="AF33" s="407"/>
      <c r="AG33" s="407"/>
      <c r="AH33" s="407"/>
      <c r="AI33" s="407"/>
      <c r="AJ33" s="407"/>
      <c r="AK33" s="407"/>
      <c r="AL33" s="407"/>
      <c r="AM33" s="407"/>
      <c r="AN33" s="407"/>
      <c r="AO33" s="407"/>
      <c r="AP33" s="407"/>
      <c r="AQ33" s="407"/>
      <c r="AR33" s="407"/>
      <c r="AS33" s="407"/>
      <c r="AT33" s="407"/>
      <c r="AU33" s="407"/>
      <c r="AV33" s="407"/>
      <c r="AW33" s="407"/>
      <c r="AX33" s="407"/>
      <c r="AY33" s="407"/>
      <c r="AZ33" s="407"/>
      <c r="BA33" s="407"/>
      <c r="BB33" s="407"/>
      <c r="BC33" s="407"/>
      <c r="BD33" s="407"/>
      <c r="BE33" s="407"/>
      <c r="BF33" s="407"/>
      <c r="BG33" s="407"/>
      <c r="BH33" s="407"/>
      <c r="BI33" s="407"/>
      <c r="BJ33" s="407"/>
      <c r="BK33" s="407"/>
      <c r="BL33" s="407"/>
      <c r="BM33" s="407"/>
      <c r="BN33" s="407"/>
      <c r="BO33" s="407"/>
      <c r="BP33" s="407"/>
      <c r="BQ33" s="407"/>
      <c r="BR33" s="407"/>
      <c r="BS33" s="407"/>
      <c r="BT33" s="407"/>
      <c r="BU33" s="407"/>
      <c r="BV33" s="407"/>
      <c r="BW33" s="407"/>
      <c r="BX33" s="610"/>
      <c r="CA33" s="648" t="str">
        <f>IF(AND(ISNUMBER(VALUE(TRIM(SUBSTITUTE(AB33,".","")))),TRIM(SUBSTITUTE(AB33,".",""))&lt;&gt;""),"P"&amp;SUBSTITUTE(AB33,".",""),"")</f>
        <v/>
      </c>
      <c r="CF33" s="648"/>
      <c r="CG33" s="1146" t="s">
        <v>1389</v>
      </c>
      <c r="CH33" s="649"/>
      <c r="CJ33" s="1501" cm="1" t="str">
        <f t="array" ref="CJ33:CJ33">OFFSET(CK33,-1,-1)</f>
        <v>0</v>
      </c>
      <c r="CK33" s="1501"/>
      <c r="CL33" s="1501"/>
      <c r="CM33" s="1501"/>
      <c r="CN33" s="1501"/>
      <c r="CO33" s="1501"/>
      <c r="CP33" s="1501"/>
    </row>
    <row customHeight="1" ht="16.575" hidden="1">
      <c r="E34" s="180">
        <v>17</v>
      </c>
      <c r="F34" s="175" cm="1" t="str">
        <f t="array" ref="F34:F34">F33</f>
        <v>0</v>
      </c>
      <c r="T34" s="753">
        <f>F34&gt;0</f>
        <v>0</v>
      </c>
      <c r="AB34" s="554">
        <v>2</v>
      </c>
      <c r="AC34" s="555" t="s">
        <v>1394</v>
      </c>
      <c r="AD34" s="555"/>
      <c r="AE34" s="556" t="s">
        <v>917</v>
      </c>
      <c r="AF34" s="587">
        <f>SUMIF($AE35:$AE39,$AE34,AF35:AF39)</f>
        <v>0</v>
      </c>
      <c r="AG34" s="587">
        <f>SUMIF($AE35:$AE39,$AE34,AG35:AG39)</f>
        <v>0</v>
      </c>
      <c r="AH34" s="587">
        <f>SUMIF($AE35:$AE39,$AE34,AH35:AH39)</f>
        <v>0</v>
      </c>
      <c r="AI34" s="587">
        <f>SUMIF($AE35:$AE39,$AE34,AI35:AI39)</f>
        <v>0</v>
      </c>
      <c r="AJ34" s="587">
        <f>SUMIF($AE35:$AE39,$AE34,AJ35:AJ39)</f>
        <v>0</v>
      </c>
      <c r="AK34" s="105">
        <f>SUMIF($AE35:$AE39,$AE34,AK35:AK39)</f>
        <v>0</v>
      </c>
      <c r="AL34" s="105">
        <f>SUMIF($AE35:$AE39,$AE34,AL35:AL39)</f>
        <v>0</v>
      </c>
      <c r="AM34" s="105">
        <f>SUMIF($AE35:$AE39,$AE34,AM35:AM39)</f>
        <v>0</v>
      </c>
      <c r="AN34" s="105">
        <f>SUMIF($AE35:$AE39,$AE34,AN35:AN39)</f>
        <v>0</v>
      </c>
      <c r="AO34" s="105">
        <f>SUMIF($AE35:$AE39,$AE34,AO35:AO39)</f>
        <v>0</v>
      </c>
      <c r="AP34" s="105">
        <f>SUMIF($AE35:$AE39,$AE34,AP35:AP39)</f>
        <v>0</v>
      </c>
      <c r="AQ34" s="105">
        <f>SUMIF($AE35:$AE39,$AE34,AQ35:AQ39)</f>
        <v>0</v>
      </c>
      <c r="AR34" s="105">
        <f>SUMIF($AE35:$AE39,$AE34,AR35:AR39)</f>
        <v>0</v>
      </c>
      <c r="AS34" s="105">
        <f>SUMIF($AE35:$AE39,$AE34,AS35:AS39)</f>
        <v>0</v>
      </c>
      <c r="AT34" s="105">
        <f>SUMIF($AE35:$AE39,$AE34,AT35:AT39)</f>
        <v>0</v>
      </c>
      <c r="AU34" s="105">
        <f>SUMIF($AE35:$AE39,$AE34,AU35:AU39)</f>
        <v>0</v>
      </c>
      <c r="AV34" s="105">
        <f>SUMIF($AE35:$AE39,$AE34,AV35:AV39)</f>
        <v>0</v>
      </c>
      <c r="AW34" s="105">
        <f>SUMIF($AE35:$AE39,$AE34,AW35:AW39)</f>
        <v>0</v>
      </c>
      <c r="AX34" s="105">
        <f>SUMIF($AE35:$AE39,$AE34,AX35:AX39)</f>
        <v>0</v>
      </c>
      <c r="AY34" s="105">
        <f>SUMIF($AE35:$AE39,$AE34,AY35:AY39)</f>
        <v>0</v>
      </c>
      <c r="AZ34" s="105">
        <f>SUMIF($AE35:$AE39,$AE34,AZ35:AZ39)</f>
        <v>0</v>
      </c>
      <c r="BA34" s="105">
        <f>SUMIF($AE35:$AE39,$AE34,BA35:BA39)</f>
        <v>0</v>
      </c>
      <c r="BB34" s="105">
        <f>SUMIF($AE35:$AE39,$AE34,BB35:BB39)</f>
        <v>0</v>
      </c>
      <c r="BC34" s="105">
        <f>SUMIF($AE35:$AE39,$AE34,BC35:BC39)</f>
        <v>0</v>
      </c>
      <c r="BD34" s="587">
        <f>SUMIF($AE35:$AE39,$AE34,BD35:BD39)</f>
        <v>0</v>
      </c>
      <c r="BE34" s="105">
        <f>SUMIF($AE35:$AE39,$AE34,BE35:BE39)</f>
        <v>0</v>
      </c>
      <c r="BF34" s="105">
        <f>SUMIF($AE35:$AE39,$AE34,BF35:BF39)</f>
        <v>0</v>
      </c>
      <c r="BG34" s="105">
        <f>SUMIF($AE35:$AE39,$AE34,BG35:BG39)</f>
        <v>0</v>
      </c>
      <c r="BH34" s="105">
        <f>SUMIF($AE35:$AE39,$AE34,BH35:BH39)</f>
        <v>0</v>
      </c>
      <c r="BI34" s="105">
        <f>SUMIF($AE35:$AE39,$AE34,BI35:BI39)</f>
        <v>0</v>
      </c>
      <c r="BJ34" s="105">
        <f>SUMIF($AE35:$AE39,$AE34,BJ35:BJ39)</f>
        <v>0</v>
      </c>
      <c r="BK34" s="105">
        <f>SUMIF($AE35:$AE39,$AE34,BK35:BK39)</f>
        <v>0</v>
      </c>
      <c r="BL34" s="105">
        <f>SUMIF($AE35:$AE39,$AE34,BL35:BL39)</f>
        <v>0</v>
      </c>
      <c r="BM34" s="105">
        <f>SUMIF($AE35:$AE39,$AE34,BM35:BM39)</f>
        <v>0</v>
      </c>
      <c r="BN34" s="105">
        <f>SUMIF($AE35:$AE39,$AE34,BN35:BN39)</f>
        <v>0</v>
      </c>
      <c r="BO34" s="105">
        <f>SUMIF($AE35:$AE39,$AE34,BO35:BO39)</f>
        <v>0</v>
      </c>
      <c r="BP34" s="105">
        <f>SUMIF($AE35:$AE39,$AE34,BP35:BP39)</f>
        <v>0</v>
      </c>
      <c r="BQ34" s="105">
        <f>SUMIF($AE35:$AE39,$AE34,BQ35:BQ39)</f>
        <v>0</v>
      </c>
      <c r="BR34" s="105">
        <f>SUMIF($AE35:$AE39,$AE34,BR35:BR39)</f>
        <v>0</v>
      </c>
      <c r="BS34" s="105">
        <f>SUMIF($AE35:$AE39,$AE34,BS35:BS39)</f>
        <v>0</v>
      </c>
      <c r="BT34" s="105">
        <f>SUMIF($AE35:$AE39,$AE34,BT35:BT39)</f>
        <v>0</v>
      </c>
      <c r="BU34" s="105">
        <f>SUMIF($AE35:$AE39,$AE34,BU35:BU39)</f>
        <v>0</v>
      </c>
      <c r="BV34" s="105">
        <f>SUMIF($AE35:$AE39,$AE34,BV35:BV39)</f>
        <v>0</v>
      </c>
      <c r="BW34" s="105">
        <f>SUMIF($AE35:$AE39,$AE34,BW35:BW39)</f>
        <v>0</v>
      </c>
      <c r="BX34" s="83"/>
      <c r="CA34" s="648" t="s">
        <v>1395</v>
      </c>
      <c r="CF34" s="648"/>
      <c r="CH34" s="649"/>
      <c r="CJ34" s="1501" cm="1" t="str">
        <f t="array" ref="CJ34:CJ34">CJ33</f>
        <v>0</v>
      </c>
      <c r="CK34" s="1501" t="s">
        <v>1396</v>
      </c>
      <c r="CL34" s="1501"/>
      <c r="CM34" s="1501"/>
      <c r="CN34" s="1501" t="s">
        <v>303</v>
      </c>
      <c r="CO34" s="1501" t="s">
        <v>1044</v>
      </c>
      <c r="CP34" s="1501" t="s">
        <v>1045</v>
      </c>
    </row>
    <row customHeight="1" ht="21.75" hidden="1">
      <c r="E35" s="180">
        <v>0</v>
      </c>
      <c r="F35" s="175" cm="1" t="str">
        <f t="array" ref="F35:F35">F34</f>
        <v>0</v>
      </c>
      <c r="T35" s="753" t="b">
        <v>0</v>
      </c>
      <c r="AB35" s="554"/>
      <c r="AC35" s="555"/>
      <c r="AD35" s="555"/>
      <c r="AE35" s="556"/>
      <c r="AF35" s="596"/>
      <c r="AG35" s="596"/>
      <c r="AH35" s="596"/>
      <c r="AI35" s="596"/>
      <c r="AJ35" s="596"/>
      <c r="AK35" s="596"/>
      <c r="AL35" s="596"/>
      <c r="AM35" s="596"/>
      <c r="AN35" s="596"/>
      <c r="AO35" s="596"/>
      <c r="AP35" s="596"/>
      <c r="AQ35" s="596"/>
      <c r="AR35" s="596"/>
      <c r="AS35" s="596"/>
      <c r="AT35" s="596"/>
      <c r="AU35" s="596"/>
      <c r="AV35" s="596"/>
      <c r="AW35" s="596"/>
      <c r="AX35" s="596"/>
      <c r="AY35" s="596"/>
      <c r="AZ35" s="596"/>
      <c r="BA35" s="596"/>
      <c r="BB35" s="596"/>
      <c r="BC35" s="596"/>
      <c r="BD35" s="596"/>
      <c r="BE35" s="596"/>
      <c r="BF35" s="596"/>
      <c r="BG35" s="596"/>
      <c r="BH35" s="596"/>
      <c r="BI35" s="596"/>
      <c r="BJ35" s="596"/>
      <c r="BK35" s="596"/>
      <c r="BL35" s="596"/>
      <c r="BM35" s="596"/>
      <c r="BN35" s="596"/>
      <c r="BO35" s="596"/>
      <c r="BP35" s="596"/>
      <c r="BQ35" s="596"/>
      <c r="BR35" s="596"/>
      <c r="BS35" s="596"/>
      <c r="BT35" s="596"/>
      <c r="BU35" s="596"/>
      <c r="BV35" s="596"/>
      <c r="BW35" s="596"/>
      <c r="BX35" s="597"/>
      <c r="CA35" s="648" t="str">
        <f>IF(AND(ISNUMBER(VALUE(TRIM(SUBSTITUTE(AB35,".","")))),TRIM(SUBSTITUTE(AB35,".",""))&lt;&gt;""),"P"&amp;SUBSTITUTE(AB35,".",""),"")</f>
        <v/>
      </c>
      <c r="CF35" s="648"/>
      <c r="CH35" s="649"/>
      <c r="CJ35" s="1501" cm="1" t="str">
        <f t="array" ref="CJ35:CJ35">OFFSET(CK35,-1,-1)</f>
        <v>0</v>
      </c>
      <c r="CK35" s="1501"/>
      <c r="CL35" s="1501"/>
      <c r="CM35" s="1501"/>
      <c r="CN35" s="1501"/>
      <c r="CO35" s="1501"/>
      <c r="CP35" s="1501"/>
    </row>
    <row customHeight="1" ht="17.55" hidden="1">
      <c r="A36" s="978" t="str">
        <f>"checkCosts_2."&amp;F36&amp;"."&amp;Y36</f>
        <v>checkCosts_2.0.0</v>
      </c>
      <c r="E36" s="180">
        <v>18</v>
      </c>
      <c r="F36" s="175" cm="1" t="str">
        <f t="array" ref="F36:F36">OFFSET(G36,-1,-1)</f>
        <v>0</v>
      </c>
      <c r="H36" s="193" cm="1" t="str">
        <f t="array" ref="H36:H36">AC36</f>
        <v>0</v>
      </c>
      <c r="T36" s="753">
        <f>AND(F36&gt;0,Y36&gt;0)</f>
        <v>0</v>
      </c>
      <c r="W36" s="175" t="s">
        <v>189</v>
      </c>
      <c r="Y36" s="175">
        <v>0</v>
      </c>
      <c r="AA36" s="1660" t="s">
        <v>171</v>
      </c>
      <c r="AB36" s="360" t="str">
        <f>"2."&amp;Y36</f>
        <v>2.0</v>
      </c>
      <c r="AC36" s="322"/>
      <c r="AD36" s="111"/>
      <c r="AE36" s="556" t="s">
        <v>917</v>
      </c>
      <c r="AF36" s="71">
        <f>AF37*AF38</f>
        <v>0</v>
      </c>
      <c r="AG36" s="71"/>
      <c r="AH36" s="71"/>
      <c r="AI36" s="71">
        <f>AI37*AI38</f>
        <v>0</v>
      </c>
      <c r="AJ36" s="353"/>
      <c r="AK36" s="71"/>
      <c r="AL36" s="71"/>
      <c r="AM36" s="71"/>
      <c r="AN36" s="71"/>
      <c r="AO36" s="71"/>
      <c r="AP36" s="71"/>
      <c r="AQ36" s="71"/>
      <c r="AR36" s="71"/>
      <c r="AS36" s="71"/>
      <c r="AT36" s="71"/>
      <c r="AU36" s="71"/>
      <c r="AV36" s="71"/>
      <c r="AW36" s="71"/>
      <c r="AX36" s="71"/>
      <c r="AY36" s="71"/>
      <c r="AZ36" s="71"/>
      <c r="BA36" s="71"/>
      <c r="BB36" s="71"/>
      <c r="BC36" s="71"/>
      <c r="BD36" s="353">
        <f>BD37*BD38</f>
        <v>0</v>
      </c>
      <c r="BE36" s="71">
        <f>BE37*BE38</f>
        <v>0</v>
      </c>
      <c r="BF36" s="71">
        <f>BF37*BF38</f>
        <v>0</v>
      </c>
      <c r="BG36" s="71">
        <f>BG37*BG38</f>
        <v>0</v>
      </c>
      <c r="BH36" s="71">
        <f>BH37*BH38</f>
        <v>0</v>
      </c>
      <c r="BI36" s="71">
        <f>BI37*BI38</f>
        <v>0</v>
      </c>
      <c r="BJ36" s="71">
        <f>BJ37*BJ38</f>
        <v>0</v>
      </c>
      <c r="BK36" s="71">
        <f>BK37*BK38</f>
        <v>0</v>
      </c>
      <c r="BL36" s="71">
        <f>BL37*BL38</f>
        <v>0</v>
      </c>
      <c r="BM36" s="71">
        <f>BM37*BM38</f>
        <v>0</v>
      </c>
      <c r="BN36" s="71">
        <f>BN37*BN38</f>
        <v>0</v>
      </c>
      <c r="BO36" s="71">
        <f>BO37*BO38</f>
        <v>0</v>
      </c>
      <c r="BP36" s="71">
        <f>BP37*BP38</f>
        <v>0</v>
      </c>
      <c r="BQ36" s="71">
        <f>BQ37*BQ38</f>
        <v>0</v>
      </c>
      <c r="BR36" s="71">
        <f>BR37*BR38</f>
        <v>0</v>
      </c>
      <c r="BS36" s="71">
        <f>BS37*BS38</f>
        <v>0</v>
      </c>
      <c r="BT36" s="71">
        <f>BT37*BT38</f>
        <v>0</v>
      </c>
      <c r="BU36" s="71">
        <f>BU37*BU38</f>
        <v>0</v>
      </c>
      <c r="BV36" s="71">
        <f>BV37*BV38</f>
        <v>0</v>
      </c>
      <c r="BW36" s="71">
        <f>BW37*BW38</f>
        <v>0</v>
      </c>
      <c r="BX36" s="83"/>
      <c r="CA36" s="648" t="s">
        <v>1397</v>
      </c>
      <c r="CB36" s="648" t="s">
        <v>1398</v>
      </c>
      <c r="CC36" s="648" cm="1" t="str">
        <f t="array" ref="CC36:CC36">AC36</f>
        <v>0</v>
      </c>
      <c r="CD36" s="648" cm="1" t="str">
        <f t="array" ref="CD36:CD36">AD36</f>
        <v>0</v>
      </c>
      <c r="CE36" s="648" cm="1" t="str">
        <f t="array" ref="CE36:CE36">AE38</f>
        <v>тыс.куб.м</v>
      </c>
      <c r="CF36" s="648" cm="1" t="str">
        <f t="array" ref="CF36:CF36">AE37</f>
        <v>руб/куб.м</v>
      </c>
      <c r="CH36" s="649" t="b">
        <v>1</v>
      </c>
      <c r="CJ36" s="1501" cm="1" t="str">
        <f t="array" ref="CJ36:CJ36">CJ35</f>
        <v>0</v>
      </c>
      <c r="CK36" s="1501" t="s">
        <v>1396</v>
      </c>
      <c r="CL36" s="1501" t="s">
        <v>219</v>
      </c>
      <c r="CM36" s="1501" cm="1" t="str">
        <f t="array" ref="CM36:CM36">$AC36</f>
        <v>0</v>
      </c>
      <c r="CN36" s="1501" t="s">
        <v>303</v>
      </c>
      <c r="CO36" s="1501" t="s">
        <v>919</v>
      </c>
      <c r="CP36" s="1501" t="s">
        <v>920</v>
      </c>
    </row>
    <row customHeight="1" ht="16.575" hidden="1">
      <c r="E37" s="180">
        <v>17</v>
      </c>
      <c r="F37" s="175" cm="1" t="str">
        <f t="array" ref="F37:F37">F35</f>
        <v>0</v>
      </c>
      <c r="H37" s="193" cm="1" t="str">
        <f t="array" ref="H37:H37">H36</f>
        <v>0</v>
      </c>
      <c r="T37" s="753" cm="1" t="str">
        <f t="array" ref="T37:T37">T36</f>
        <v>false</v>
      </c>
      <c r="AA37" s="1661"/>
      <c r="AB37" s="360" t="str">
        <f>AB36&amp;".1"</f>
        <v>2.0.1</v>
      </c>
      <c r="AC37" s="624" t="s">
        <v>1063</v>
      </c>
      <c r="AD37" s="624"/>
      <c r="AE37" s="114" t="s">
        <v>1144</v>
      </c>
      <c r="AF37" s="71"/>
      <c r="AG37" s="625">
        <f>IF(AG38=0,0,AG36/AG38)</f>
        <v>0</v>
      </c>
      <c r="AH37" s="625">
        <f>IF(AH38=0,0,AH36/AH38)</f>
        <v>0</v>
      </c>
      <c r="AI37" s="71"/>
      <c r="AJ37" s="625">
        <f>IF(AJ38=0,0,AJ36/AJ38)</f>
        <v>0</v>
      </c>
      <c r="AK37" s="625">
        <f>IF(AK38=0,0,AK36/AK38)</f>
        <v>0</v>
      </c>
      <c r="AL37" s="625">
        <f>IF(AL38=0,0,AL36/AL38)</f>
        <v>0</v>
      </c>
      <c r="AM37" s="625">
        <f>IF(AM38=0,0,AM36/AM38)</f>
        <v>0</v>
      </c>
      <c r="AN37" s="625">
        <f>IF(AN38=0,0,AN36/AN38)</f>
        <v>0</v>
      </c>
      <c r="AO37" s="625">
        <f>IF(AO38=0,0,AO36/AO38)</f>
        <v>0</v>
      </c>
      <c r="AP37" s="625">
        <f>IF(AP38=0,0,AP36/AP38)</f>
        <v>0</v>
      </c>
      <c r="AQ37" s="625">
        <f>IF(AQ38=0,0,AQ36/AQ38)</f>
        <v>0</v>
      </c>
      <c r="AR37" s="625">
        <f>IF(AR38=0,0,AR36/AR38)</f>
        <v>0</v>
      </c>
      <c r="AS37" s="625">
        <f>IF(AS38=0,0,AS36/AS38)</f>
        <v>0</v>
      </c>
      <c r="AT37" s="625">
        <f>IF(AT38=0,0,AT36/AT38)</f>
        <v>0</v>
      </c>
      <c r="AU37" s="625">
        <f>IF(AU38=0,0,AU36/AU38)</f>
        <v>0</v>
      </c>
      <c r="AV37" s="625">
        <f>IF(AV38=0,0,AV36/AV38)</f>
        <v>0</v>
      </c>
      <c r="AW37" s="625">
        <f>IF(AW38=0,0,AW36/AW38)</f>
        <v>0</v>
      </c>
      <c r="AX37" s="625">
        <f>IF(AX38=0,0,AX36/AX38)</f>
        <v>0</v>
      </c>
      <c r="AY37" s="625">
        <f>IF(AY38=0,0,AY36/AY38)</f>
        <v>0</v>
      </c>
      <c r="AZ37" s="625">
        <f>IF(AZ38=0,0,AZ36/AZ38)</f>
        <v>0</v>
      </c>
      <c r="BA37" s="625">
        <f>IF(BA38=0,0,BA36/BA38)</f>
        <v>0</v>
      </c>
      <c r="BB37" s="625">
        <f>IF(BB38=0,0,BB36/BB38)</f>
        <v>0</v>
      </c>
      <c r="BC37" s="625">
        <f>IF(BC38=0,0,BC36/BC38)</f>
        <v>0</v>
      </c>
      <c r="BD37" s="353"/>
      <c r="BE37" s="71"/>
      <c r="BF37" s="71"/>
      <c r="BG37" s="71"/>
      <c r="BH37" s="71"/>
      <c r="BI37" s="71"/>
      <c r="BJ37" s="71"/>
      <c r="BK37" s="71"/>
      <c r="BL37" s="71"/>
      <c r="BM37" s="71"/>
      <c r="BN37" s="71"/>
      <c r="BO37" s="71"/>
      <c r="BP37" s="71"/>
      <c r="BQ37" s="71"/>
      <c r="BR37" s="71"/>
      <c r="BS37" s="71"/>
      <c r="BT37" s="71"/>
      <c r="BU37" s="71"/>
      <c r="BV37" s="71"/>
      <c r="BW37" s="71"/>
      <c r="BX37" s="83"/>
      <c r="CA37" s="648" t="s">
        <v>1399</v>
      </c>
      <c r="CB37" s="648" t="s">
        <v>1398</v>
      </c>
      <c r="CC37" s="648" cm="1" t="str">
        <f t="array" ref="CC37:CC37">CC36</f>
        <v>0</v>
      </c>
      <c r="CD37" s="648" cm="1" t="str">
        <f t="array" ref="CD37:CD37">CD36</f>
        <v>0</v>
      </c>
      <c r="CE37" s="648" cm="1" t="str">
        <f t="array" ref="CE37:CE37">CE36</f>
        <v>тыс.куб.м</v>
      </c>
      <c r="CF37" s="648" cm="1" t="str">
        <f t="array" ref="CF37:CF37">CF36</f>
        <v>руб/куб.м</v>
      </c>
      <c r="CH37" s="649"/>
      <c r="CJ37" s="1501" cm="1" t="str">
        <f t="array" ref="CJ37:CJ37">CJ36</f>
        <v>0</v>
      </c>
      <c r="CK37" s="1501" t="s">
        <v>1396</v>
      </c>
      <c r="CL37" s="1501" t="s">
        <v>255</v>
      </c>
      <c r="CM37" s="1501" cm="1" t="str">
        <f t="array" ref="CM37:CM37">CM36</f>
        <v>0</v>
      </c>
      <c r="CN37" s="1501" t="s">
        <v>303</v>
      </c>
      <c r="CO37" s="1501" t="s">
        <v>914</v>
      </c>
      <c r="CP37" s="1501" t="s">
        <v>915</v>
      </c>
    </row>
    <row customHeight="1" ht="16.575" hidden="1">
      <c r="A38" s="978" t="str">
        <f>"checkVolume_2."&amp;F38&amp;"."&amp;Y36</f>
        <v>checkVolume_2.0.0</v>
      </c>
      <c r="E38" s="180">
        <v>17</v>
      </c>
      <c r="F38" s="175" cm="1" t="str">
        <f t="array" ref="F38:F38">F36</f>
        <v>0</v>
      </c>
      <c r="H38" s="193" cm="1" t="str">
        <f t="array" ref="H38:H38">H36</f>
        <v>0</v>
      </c>
      <c r="T38" s="753" cm="1" t="str">
        <f t="array" ref="T38:T38">T36</f>
        <v>false</v>
      </c>
      <c r="AA38" s="1661"/>
      <c r="AB38" s="360" t="str">
        <f>AB36&amp;".2"</f>
        <v>2.0.2</v>
      </c>
      <c r="AC38" s="624" t="s">
        <v>1390</v>
      </c>
      <c r="AD38" s="624"/>
      <c r="AE38" s="114" t="s">
        <v>1149</v>
      </c>
      <c r="AF38" s="71"/>
      <c r="AG38" s="71"/>
      <c r="AH38" s="71"/>
      <c r="AI38" s="71"/>
      <c r="AJ38" s="353"/>
      <c r="AK38" s="71"/>
      <c r="AL38" s="71"/>
      <c r="AM38" s="71"/>
      <c r="AN38" s="71"/>
      <c r="AO38" s="71"/>
      <c r="AP38" s="71"/>
      <c r="AQ38" s="71"/>
      <c r="AR38" s="71"/>
      <c r="AS38" s="71"/>
      <c r="AT38" s="71"/>
      <c r="AU38" s="71"/>
      <c r="AV38" s="71"/>
      <c r="AW38" s="71"/>
      <c r="AX38" s="71"/>
      <c r="AY38" s="71"/>
      <c r="AZ38" s="71"/>
      <c r="BA38" s="71"/>
      <c r="BB38" s="71"/>
      <c r="BC38" s="71"/>
      <c r="BD38" s="353"/>
      <c r="BE38" s="71"/>
      <c r="BF38" s="71"/>
      <c r="BG38" s="71"/>
      <c r="BH38" s="71"/>
      <c r="BI38" s="71"/>
      <c r="BJ38" s="71"/>
      <c r="BK38" s="71"/>
      <c r="BL38" s="71"/>
      <c r="BM38" s="71"/>
      <c r="BN38" s="71"/>
      <c r="BO38" s="71"/>
      <c r="BP38" s="71"/>
      <c r="BQ38" s="71"/>
      <c r="BR38" s="71"/>
      <c r="BS38" s="71"/>
      <c r="BT38" s="71"/>
      <c r="BU38" s="71"/>
      <c r="BV38" s="71"/>
      <c r="BW38" s="71"/>
      <c r="BX38" s="83"/>
      <c r="CA38" s="648" t="s">
        <v>1400</v>
      </c>
      <c r="CB38" s="648" t="s">
        <v>1398</v>
      </c>
      <c r="CC38" s="648" cm="1" t="str">
        <f t="array" ref="CC38:CC38">CC36</f>
        <v>0</v>
      </c>
      <c r="CD38" s="648" cm="1" t="str">
        <f t="array" ref="CD38:CD38">CD36</f>
        <v>0</v>
      </c>
      <c r="CE38" s="648" cm="1" t="str">
        <f t="array" ref="CE38:CE38">CE36</f>
        <v>тыс.куб.м</v>
      </c>
      <c r="CF38" s="648" cm="1" t="str">
        <f t="array" ref="CF38:CF38">CF36</f>
        <v>руб/куб.м</v>
      </c>
      <c r="CH38" s="649"/>
      <c r="CJ38" s="1501" cm="1" t="str">
        <f t="array" ref="CJ38:CJ38">CJ37</f>
        <v>0</v>
      </c>
      <c r="CK38" s="1501" t="s">
        <v>1396</v>
      </c>
      <c r="CL38" s="1501" t="s">
        <v>449</v>
      </c>
      <c r="CM38" s="1501" cm="1" t="str">
        <f t="array" ref="CM38:CM38">CM37</f>
        <v>0</v>
      </c>
      <c r="CN38" s="1501" t="s">
        <v>303</v>
      </c>
      <c r="CO38" s="1501" t="s">
        <v>1163</v>
      </c>
      <c r="CP38" s="1501" t="s">
        <v>1164</v>
      </c>
    </row>
    <row customHeight="1" ht="16.575" hidden="1">
      <c r="E39" s="180">
        <v>17</v>
      </c>
      <c r="F39" s="175" cm="1" t="str">
        <f t="array" ref="F39:F39">F35</f>
        <v>0</v>
      </c>
      <c r="T39" s="753">
        <f>F39&gt;0</f>
        <v>0</v>
      </c>
      <c r="W39" s="176" t="s">
        <v>1401</v>
      </c>
      <c r="AB39" s="405"/>
      <c r="AC39" s="407" t="s">
        <v>1111</v>
      </c>
      <c r="AD39" s="407"/>
      <c r="AE39" s="407"/>
      <c r="AF39" s="407"/>
      <c r="AG39" s="407"/>
      <c r="AH39" s="407"/>
      <c r="AI39" s="407"/>
      <c r="AJ39" s="407"/>
      <c r="AK39" s="407"/>
      <c r="AL39" s="407"/>
      <c r="AM39" s="407"/>
      <c r="AN39" s="407"/>
      <c r="AO39" s="407"/>
      <c r="AP39" s="407"/>
      <c r="AQ39" s="407"/>
      <c r="AR39" s="407"/>
      <c r="AS39" s="407"/>
      <c r="AT39" s="407"/>
      <c r="AU39" s="407"/>
      <c r="AV39" s="407"/>
      <c r="AW39" s="407"/>
      <c r="AX39" s="407"/>
      <c r="AY39" s="407"/>
      <c r="AZ39" s="407"/>
      <c r="BA39" s="407"/>
      <c r="BB39" s="407"/>
      <c r="BC39" s="407"/>
      <c r="BD39" s="407"/>
      <c r="BE39" s="407"/>
      <c r="BF39" s="407"/>
      <c r="BG39" s="407"/>
      <c r="BH39" s="407"/>
      <c r="BI39" s="407"/>
      <c r="BJ39" s="407"/>
      <c r="BK39" s="407"/>
      <c r="BL39" s="407"/>
      <c r="BM39" s="407"/>
      <c r="BN39" s="407"/>
      <c r="BO39" s="407"/>
      <c r="BP39" s="407"/>
      <c r="BQ39" s="407"/>
      <c r="BR39" s="407"/>
      <c r="BS39" s="407"/>
      <c r="BT39" s="407"/>
      <c r="BU39" s="407"/>
      <c r="BV39" s="407"/>
      <c r="BW39" s="407"/>
      <c r="BX39" s="610"/>
      <c r="CA39" s="648" t="str">
        <f>IF(AND(ISNUMBER(VALUE(TRIM(SUBSTITUTE(AB39,".","")))),TRIM(SUBSTITUTE(AB39,".",""))&lt;&gt;""),"P"&amp;SUBSTITUTE(AB39,".",""),"")</f>
        <v/>
      </c>
      <c r="CF39" s="648"/>
      <c r="CG39" s="1146" t="s">
        <v>1398</v>
      </c>
      <c r="CH39" s="649"/>
      <c r="CJ39" s="1501" cm="1" t="str">
        <f t="array" ref="CJ39:CJ39">OFFSET(CK39,-1,-1)</f>
        <v>0</v>
      </c>
      <c r="CK39" s="1501"/>
      <c r="CL39" s="1501"/>
      <c r="CM39" s="1501"/>
      <c r="CN39" s="1501"/>
      <c r="CO39" s="1501"/>
      <c r="CP39" s="1501"/>
    </row>
    <row customHeight="1" ht="16.575" hidden="1">
      <c r="E40" s="180">
        <v>17</v>
      </c>
      <c r="F40" s="175" cm="1" t="str">
        <f t="array" ref="F40:F40">F39</f>
        <v>0</v>
      </c>
      <c r="T40" s="753">
        <f>F40&gt;0</f>
        <v>0</v>
      </c>
      <c r="AB40" s="554">
        <v>3</v>
      </c>
      <c r="AC40" s="555" t="s">
        <v>1402</v>
      </c>
      <c r="AD40" s="555"/>
      <c r="AE40" s="556" t="s">
        <v>917</v>
      </c>
      <c r="AF40" s="587">
        <f>SUMIF($AE41:$AE45,$AE40,AF41:AF45)</f>
        <v>0</v>
      </c>
      <c r="AG40" s="587">
        <f>SUMIF($AE41:$AE45,$AE40,AG41:AG45)</f>
        <v>0</v>
      </c>
      <c r="AH40" s="587">
        <f>SUMIF($AE41:$AE45,$AE40,AH41:AH45)</f>
        <v>0</v>
      </c>
      <c r="AI40" s="587">
        <f>SUMIF($AE41:$AE45,$AE40,AI41:AI45)</f>
        <v>0</v>
      </c>
      <c r="AJ40" s="587">
        <f>SUMIF($AE41:$AE45,$AE40,AJ41:AJ45)</f>
        <v>0</v>
      </c>
      <c r="AK40" s="105">
        <f>SUMIF($AE41:$AE45,$AE40,AK41:AK45)</f>
        <v>0</v>
      </c>
      <c r="AL40" s="105">
        <f>SUMIF($AE41:$AE45,$AE40,AL41:AL45)</f>
        <v>0</v>
      </c>
      <c r="AM40" s="105">
        <f>SUMIF($AE41:$AE45,$AE40,AM41:AM45)</f>
        <v>0</v>
      </c>
      <c r="AN40" s="105">
        <f>SUMIF($AE41:$AE45,$AE40,AN41:AN45)</f>
        <v>0</v>
      </c>
      <c r="AO40" s="105">
        <f>SUMIF($AE41:$AE45,$AE40,AO41:AO45)</f>
        <v>0</v>
      </c>
      <c r="AP40" s="105">
        <f>SUMIF($AE41:$AE45,$AE40,AP41:AP45)</f>
        <v>0</v>
      </c>
      <c r="AQ40" s="105">
        <f>SUMIF($AE41:$AE45,$AE40,AQ41:AQ45)</f>
        <v>0</v>
      </c>
      <c r="AR40" s="105">
        <f>SUMIF($AE41:$AE45,$AE40,AR41:AR45)</f>
        <v>0</v>
      </c>
      <c r="AS40" s="105">
        <f>SUMIF($AE41:$AE45,$AE40,AS41:AS45)</f>
        <v>0</v>
      </c>
      <c r="AT40" s="105">
        <f>SUMIF($AE41:$AE45,$AE40,AT41:AT45)</f>
        <v>0</v>
      </c>
      <c r="AU40" s="105">
        <f>SUMIF($AE41:$AE45,$AE40,AU41:AU45)</f>
        <v>0</v>
      </c>
      <c r="AV40" s="105">
        <f>SUMIF($AE41:$AE45,$AE40,AV41:AV45)</f>
        <v>0</v>
      </c>
      <c r="AW40" s="105">
        <f>SUMIF($AE41:$AE45,$AE40,AW41:AW45)</f>
        <v>0</v>
      </c>
      <c r="AX40" s="105">
        <f>SUMIF($AE41:$AE45,$AE40,AX41:AX45)</f>
        <v>0</v>
      </c>
      <c r="AY40" s="105">
        <f>SUMIF($AE41:$AE45,$AE40,AY41:AY45)</f>
        <v>0</v>
      </c>
      <c r="AZ40" s="105">
        <f>SUMIF($AE41:$AE45,$AE40,AZ41:AZ45)</f>
        <v>0</v>
      </c>
      <c r="BA40" s="105">
        <f>SUMIF($AE41:$AE45,$AE40,BA41:BA45)</f>
        <v>0</v>
      </c>
      <c r="BB40" s="105">
        <f>SUMIF($AE41:$AE45,$AE40,BB41:BB45)</f>
        <v>0</v>
      </c>
      <c r="BC40" s="105">
        <f>SUMIF($AE41:$AE45,$AE40,BC41:BC45)</f>
        <v>0</v>
      </c>
      <c r="BD40" s="587">
        <f>SUMIF($AE41:$AE45,$AE40,BD41:BD45)</f>
        <v>0</v>
      </c>
      <c r="BE40" s="105">
        <f>SUMIF($AE41:$AE45,$AE40,BE41:BE45)</f>
        <v>0</v>
      </c>
      <c r="BF40" s="105">
        <f>SUMIF($AE41:$AE45,$AE40,BF41:BF45)</f>
        <v>0</v>
      </c>
      <c r="BG40" s="105">
        <f>SUMIF($AE41:$AE45,$AE40,BG41:BG45)</f>
        <v>0</v>
      </c>
      <c r="BH40" s="105">
        <f>SUMIF($AE41:$AE45,$AE40,BH41:BH45)</f>
        <v>0</v>
      </c>
      <c r="BI40" s="105">
        <f>SUMIF($AE41:$AE45,$AE40,BI41:BI45)</f>
        <v>0</v>
      </c>
      <c r="BJ40" s="105">
        <f>SUMIF($AE41:$AE45,$AE40,BJ41:BJ45)</f>
        <v>0</v>
      </c>
      <c r="BK40" s="105">
        <f>SUMIF($AE41:$AE45,$AE40,BK41:BK45)</f>
        <v>0</v>
      </c>
      <c r="BL40" s="105">
        <f>SUMIF($AE41:$AE45,$AE40,BL41:BL45)</f>
        <v>0</v>
      </c>
      <c r="BM40" s="105">
        <f>SUMIF($AE41:$AE45,$AE40,BM41:BM45)</f>
        <v>0</v>
      </c>
      <c r="BN40" s="105">
        <f>SUMIF($AE41:$AE45,$AE40,BN41:BN45)</f>
        <v>0</v>
      </c>
      <c r="BO40" s="105">
        <f>SUMIF($AE41:$AE45,$AE40,BO41:BO45)</f>
        <v>0</v>
      </c>
      <c r="BP40" s="105">
        <f>SUMIF($AE41:$AE45,$AE40,BP41:BP45)</f>
        <v>0</v>
      </c>
      <c r="BQ40" s="105">
        <f>SUMIF($AE41:$AE45,$AE40,BQ41:BQ45)</f>
        <v>0</v>
      </c>
      <c r="BR40" s="105">
        <f>SUMIF($AE41:$AE45,$AE40,BR41:BR45)</f>
        <v>0</v>
      </c>
      <c r="BS40" s="105">
        <f>SUMIF($AE41:$AE45,$AE40,BS41:BS45)</f>
        <v>0</v>
      </c>
      <c r="BT40" s="105">
        <f>SUMIF($AE41:$AE45,$AE40,BT41:BT45)</f>
        <v>0</v>
      </c>
      <c r="BU40" s="105">
        <f>SUMIF($AE41:$AE45,$AE40,BU41:BU45)</f>
        <v>0</v>
      </c>
      <c r="BV40" s="105">
        <f>SUMIF($AE41:$AE45,$AE40,BV41:BV45)</f>
        <v>0</v>
      </c>
      <c r="BW40" s="105">
        <f>SUMIF($AE41:$AE45,$AE40,BW41:BW45)</f>
        <v>0</v>
      </c>
      <c r="BX40" s="83"/>
      <c r="CA40" s="648" t="s">
        <v>1403</v>
      </c>
      <c r="CF40" s="648"/>
      <c r="CH40" s="649"/>
      <c r="CJ40" s="1501" cm="1" t="str">
        <f t="array" ref="CJ40:CJ40">CJ39</f>
        <v>0</v>
      </c>
      <c r="CK40" s="1501" t="s">
        <v>1404</v>
      </c>
      <c r="CL40" s="1501"/>
      <c r="CM40" s="1501"/>
      <c r="CN40" s="1501" t="s">
        <v>303</v>
      </c>
      <c r="CO40" s="1501" t="s">
        <v>1044</v>
      </c>
      <c r="CP40" s="1501" t="s">
        <v>1045</v>
      </c>
    </row>
    <row customHeight="1" ht="20.25" hidden="1">
      <c r="E41" s="180">
        <v>0</v>
      </c>
      <c r="F41" s="175" cm="1" t="str">
        <f t="array" ref="F41:F41">F40</f>
        <v>0</v>
      </c>
      <c r="T41" s="753" t="b">
        <v>0</v>
      </c>
      <c r="AB41" s="554"/>
      <c r="AC41" s="555"/>
      <c r="AD41" s="555"/>
      <c r="AE41" s="556"/>
      <c r="AF41" s="596"/>
      <c r="AG41" s="596"/>
      <c r="AH41" s="596"/>
      <c r="AI41" s="596"/>
      <c r="AJ41" s="596"/>
      <c r="AK41" s="596"/>
      <c r="AL41" s="596"/>
      <c r="AM41" s="596"/>
      <c r="AN41" s="596"/>
      <c r="AO41" s="596"/>
      <c r="AP41" s="596"/>
      <c r="AQ41" s="596"/>
      <c r="AR41" s="596"/>
      <c r="AS41" s="596"/>
      <c r="AT41" s="596"/>
      <c r="AU41" s="596"/>
      <c r="AV41" s="596"/>
      <c r="AW41" s="596"/>
      <c r="AX41" s="596"/>
      <c r="AY41" s="596"/>
      <c r="AZ41" s="596"/>
      <c r="BA41" s="596"/>
      <c r="BB41" s="596"/>
      <c r="BC41" s="596"/>
      <c r="BD41" s="596"/>
      <c r="BE41" s="596"/>
      <c r="BF41" s="596"/>
      <c r="BG41" s="596"/>
      <c r="BH41" s="596"/>
      <c r="BI41" s="596"/>
      <c r="BJ41" s="596"/>
      <c r="BK41" s="596"/>
      <c r="BL41" s="596"/>
      <c r="BM41" s="596"/>
      <c r="BN41" s="596"/>
      <c r="BO41" s="596"/>
      <c r="BP41" s="596"/>
      <c r="BQ41" s="596"/>
      <c r="BR41" s="596"/>
      <c r="BS41" s="596"/>
      <c r="BT41" s="596"/>
      <c r="BU41" s="596"/>
      <c r="BV41" s="596"/>
      <c r="BW41" s="596"/>
      <c r="BX41" s="597"/>
      <c r="CA41" s="648" t="str">
        <f>IF(AND(ISNUMBER(VALUE(TRIM(SUBSTITUTE(AB41,".","")))),TRIM(SUBSTITUTE(AB41,".",""))&lt;&gt;""),"P"&amp;SUBSTITUTE(AB41,".",""),"")</f>
        <v/>
      </c>
      <c r="CF41" s="648"/>
      <c r="CH41" s="649"/>
      <c r="CJ41" s="1501" cm="1" t="str">
        <f t="array" ref="CJ41:CJ41">CJ40</f>
        <v>0</v>
      </c>
      <c r="CK41" s="1501"/>
      <c r="CL41" s="1501"/>
      <c r="CM41" s="1501"/>
      <c r="CN41" s="1501"/>
      <c r="CO41" s="1501"/>
      <c r="CP41" s="1501"/>
    </row>
    <row customHeight="1" ht="22.425" hidden="1">
      <c r="A42" s="978" t="str">
        <f>"checkCosts_3."&amp;F42&amp;"."&amp;Y42</f>
        <v>checkCosts_3.0.0</v>
      </c>
      <c r="E42" s="180">
        <v>23</v>
      </c>
      <c r="F42" s="175" cm="1" t="str">
        <f t="array" ref="F42:F42">OFFSET(G42,-1,-1)</f>
        <v>0</v>
      </c>
      <c r="H42" s="193" cm="1" t="str">
        <f t="array" ref="H42:H42">AC42</f>
        <v>0</v>
      </c>
      <c r="T42" s="753">
        <f>AND(F42&gt;0,Y42&gt;0)</f>
        <v>0</v>
      </c>
      <c r="W42" s="175" t="s">
        <v>189</v>
      </c>
      <c r="Y42" s="175">
        <v>0</v>
      </c>
      <c r="AA42" s="1660" t="s">
        <v>171</v>
      </c>
      <c r="AB42" s="360" t="str">
        <f>"3."&amp;Y42</f>
        <v>3.0</v>
      </c>
      <c r="AC42" s="115"/>
      <c r="AD42" s="111"/>
      <c r="AE42" s="556" t="s">
        <v>917</v>
      </c>
      <c r="AF42" s="71">
        <f>AF43*AF44</f>
        <v>0</v>
      </c>
      <c r="AG42" s="71"/>
      <c r="AH42" s="71"/>
      <c r="AI42" s="71">
        <f>AI43*AI44</f>
        <v>0</v>
      </c>
      <c r="AJ42" s="353"/>
      <c r="AK42" s="71"/>
      <c r="AL42" s="71"/>
      <c r="AM42" s="71"/>
      <c r="AN42" s="71"/>
      <c r="AO42" s="71"/>
      <c r="AP42" s="71"/>
      <c r="AQ42" s="71"/>
      <c r="AR42" s="71"/>
      <c r="AS42" s="71"/>
      <c r="AT42" s="71"/>
      <c r="AU42" s="71"/>
      <c r="AV42" s="71"/>
      <c r="AW42" s="71"/>
      <c r="AX42" s="71"/>
      <c r="AY42" s="71"/>
      <c r="AZ42" s="71"/>
      <c r="BA42" s="71"/>
      <c r="BB42" s="71"/>
      <c r="BC42" s="71"/>
      <c r="BD42" s="353">
        <f>BD43*BD44</f>
        <v>0</v>
      </c>
      <c r="BE42" s="71">
        <f>BE43*BE44</f>
        <v>0</v>
      </c>
      <c r="BF42" s="71">
        <f>BF43*BF44</f>
        <v>0</v>
      </c>
      <c r="BG42" s="71">
        <f>BG43*BG44</f>
        <v>0</v>
      </c>
      <c r="BH42" s="71">
        <f>BH43*BH44</f>
        <v>0</v>
      </c>
      <c r="BI42" s="71">
        <f>BI43*BI44</f>
        <v>0</v>
      </c>
      <c r="BJ42" s="71">
        <f>BJ43*BJ44</f>
        <v>0</v>
      </c>
      <c r="BK42" s="71">
        <f>BK43*BK44</f>
        <v>0</v>
      </c>
      <c r="BL42" s="71">
        <f>BL43*BL44</f>
        <v>0</v>
      </c>
      <c r="BM42" s="71">
        <f>BM43*BM44</f>
        <v>0</v>
      </c>
      <c r="BN42" s="71">
        <f>BN43*BN44</f>
        <v>0</v>
      </c>
      <c r="BO42" s="71">
        <f>BO43*BO44</f>
        <v>0</v>
      </c>
      <c r="BP42" s="71">
        <f>BP43*BP44</f>
        <v>0</v>
      </c>
      <c r="BQ42" s="71">
        <f>BQ43*BQ44</f>
        <v>0</v>
      </c>
      <c r="BR42" s="71">
        <f>BR43*BR44</f>
        <v>0</v>
      </c>
      <c r="BS42" s="71">
        <f>BS43*BS44</f>
        <v>0</v>
      </c>
      <c r="BT42" s="71">
        <f>BT43*BT44</f>
        <v>0</v>
      </c>
      <c r="BU42" s="71">
        <f>BU43*BU44</f>
        <v>0</v>
      </c>
      <c r="BV42" s="71">
        <f>BV43*BV44</f>
        <v>0</v>
      </c>
      <c r="BW42" s="71">
        <f>BW43*BW44</f>
        <v>0</v>
      </c>
      <c r="BX42" s="83"/>
      <c r="CA42" s="648" t="s">
        <v>1405</v>
      </c>
      <c r="CB42" s="648" t="s">
        <v>1406</v>
      </c>
      <c r="CC42" s="648" cm="1" t="str">
        <f t="array" ref="CC42:CC42">AC42</f>
        <v>0</v>
      </c>
      <c r="CD42" s="648" cm="1" t="str">
        <f t="array" ref="CD42:CD42">AD42</f>
        <v>0</v>
      </c>
      <c r="CE42" s="648" cm="1" t="str">
        <f t="array" ref="CE42:CE42">AE44</f>
        <v>0</v>
      </c>
      <c r="CF42" s="648" cm="1" t="str">
        <f t="array" ref="CF42:CF42">AE43</f>
        <v>0</v>
      </c>
      <c r="CH42" s="649" t="b">
        <v>1</v>
      </c>
      <c r="CJ42" s="1501" cm="1" t="str">
        <f t="array" ref="CJ42:CJ42">OFFSET(CK42,-1,-1)</f>
        <v>0</v>
      </c>
      <c r="CK42" s="1501" t="s">
        <v>1404</v>
      </c>
      <c r="CL42" s="1501" t="s">
        <v>219</v>
      </c>
      <c r="CM42" s="1501" cm="1" t="str">
        <f t="array" ref="CM42:CM42">$AC42</f>
        <v>0</v>
      </c>
      <c r="CN42" s="1501" t="s">
        <v>303</v>
      </c>
      <c r="CO42" s="1501" t="s">
        <v>919</v>
      </c>
      <c r="CP42" s="1501" t="s">
        <v>920</v>
      </c>
    </row>
    <row customHeight="1" ht="16.575" hidden="1">
      <c r="E43" s="180">
        <v>17</v>
      </c>
      <c r="F43" s="175" cm="1" t="str">
        <f t="array" ref="F43:F43">F41</f>
        <v>0</v>
      </c>
      <c r="H43" s="193" cm="1" t="str">
        <f t="array" ref="H43:H43">H42</f>
        <v>0</v>
      </c>
      <c r="T43" s="753" cm="1" t="str">
        <f t="array" ref="T43:T43">T42</f>
        <v>false</v>
      </c>
      <c r="AA43" s="1661"/>
      <c r="AB43" s="360" t="str">
        <f>AB42&amp;".1"</f>
        <v>3.0.1</v>
      </c>
      <c r="AC43" s="624" t="s">
        <v>1063</v>
      </c>
      <c r="AD43" s="624"/>
      <c r="AE43" s="114"/>
      <c r="AF43" s="71"/>
      <c r="AG43" s="625">
        <f>IF(AG44=0,0,AG42/AG44)</f>
        <v>0</v>
      </c>
      <c r="AH43" s="625">
        <f>IF(AH44=0,0,AH42/AH44)</f>
        <v>0</v>
      </c>
      <c r="AI43" s="71"/>
      <c r="AJ43" s="625">
        <f>IF(AJ44=0,0,AJ42/AJ44)</f>
        <v>0</v>
      </c>
      <c r="AK43" s="625">
        <f>IF(AK44=0,0,AK42/AK44)</f>
        <v>0</v>
      </c>
      <c r="AL43" s="625">
        <f>IF(AL44=0,0,AL42/AL44)</f>
        <v>0</v>
      </c>
      <c r="AM43" s="625">
        <f>IF(AM44=0,0,AM42/AM44)</f>
        <v>0</v>
      </c>
      <c r="AN43" s="625">
        <f>IF(AN44=0,0,AN42/AN44)</f>
        <v>0</v>
      </c>
      <c r="AO43" s="625">
        <f>IF(AO44=0,0,AO42/AO44)</f>
        <v>0</v>
      </c>
      <c r="AP43" s="625">
        <f>IF(AP44=0,0,AP42/AP44)</f>
        <v>0</v>
      </c>
      <c r="AQ43" s="625">
        <f>IF(AQ44=0,0,AQ42/AQ44)</f>
        <v>0</v>
      </c>
      <c r="AR43" s="625">
        <f>IF(AR44=0,0,AR42/AR44)</f>
        <v>0</v>
      </c>
      <c r="AS43" s="625">
        <f>IF(AS44=0,0,AS42/AS44)</f>
        <v>0</v>
      </c>
      <c r="AT43" s="625">
        <f>IF(AT44=0,0,AT42/AT44)</f>
        <v>0</v>
      </c>
      <c r="AU43" s="625">
        <f>IF(AU44=0,0,AU42/AU44)</f>
        <v>0</v>
      </c>
      <c r="AV43" s="625">
        <f>IF(AV44=0,0,AV42/AV44)</f>
        <v>0</v>
      </c>
      <c r="AW43" s="625">
        <f>IF(AW44=0,0,AW42/AW44)</f>
        <v>0</v>
      </c>
      <c r="AX43" s="625">
        <f>IF(AX44=0,0,AX42/AX44)</f>
        <v>0</v>
      </c>
      <c r="AY43" s="625">
        <f>IF(AY44=0,0,AY42/AY44)</f>
        <v>0</v>
      </c>
      <c r="AZ43" s="625">
        <f>IF(AZ44=0,0,AZ42/AZ44)</f>
        <v>0</v>
      </c>
      <c r="BA43" s="625">
        <f>IF(BA44=0,0,BA42/BA44)</f>
        <v>0</v>
      </c>
      <c r="BB43" s="625">
        <f>IF(BB44=0,0,BB42/BB44)</f>
        <v>0</v>
      </c>
      <c r="BC43" s="625">
        <f>IF(BC44=0,0,BC42/BC44)</f>
        <v>0</v>
      </c>
      <c r="BD43" s="353"/>
      <c r="BE43" s="71"/>
      <c r="BF43" s="71"/>
      <c r="BG43" s="71"/>
      <c r="BH43" s="71"/>
      <c r="BI43" s="71"/>
      <c r="BJ43" s="71"/>
      <c r="BK43" s="71"/>
      <c r="BL43" s="71"/>
      <c r="BM43" s="71"/>
      <c r="BN43" s="71"/>
      <c r="BO43" s="71"/>
      <c r="BP43" s="71"/>
      <c r="BQ43" s="71"/>
      <c r="BR43" s="71"/>
      <c r="BS43" s="71"/>
      <c r="BT43" s="71"/>
      <c r="BU43" s="71"/>
      <c r="BV43" s="71"/>
      <c r="BW43" s="71"/>
      <c r="BX43" s="83"/>
      <c r="CA43" s="648" t="s">
        <v>1407</v>
      </c>
      <c r="CB43" s="648" t="s">
        <v>1406</v>
      </c>
      <c r="CC43" s="648" cm="1" t="str">
        <f t="array" ref="CC43:CC43">CC42</f>
        <v>0</v>
      </c>
      <c r="CD43" s="648" cm="1" t="str">
        <f t="array" ref="CD43:CD43">CD42</f>
        <v>0</v>
      </c>
      <c r="CE43" s="648" cm="1" t="str">
        <f t="array" ref="CE43:CE43">CE42</f>
        <v>0</v>
      </c>
      <c r="CF43" s="648" cm="1" t="str">
        <f t="array" ref="CF43:CF43">CF42</f>
        <v>0</v>
      </c>
      <c r="CH43" s="649"/>
      <c r="CJ43" s="1501" cm="1" t="str">
        <f t="array" ref="CJ43:CJ43">CJ42</f>
        <v>0</v>
      </c>
      <c r="CK43" s="1501" t="s">
        <v>1404</v>
      </c>
      <c r="CL43" s="1501" t="s">
        <v>255</v>
      </c>
      <c r="CM43" s="1501" cm="1" t="str">
        <f t="array" ref="CM43:CM43">CM42</f>
        <v>0</v>
      </c>
      <c r="CN43" s="1501" t="s">
        <v>303</v>
      </c>
      <c r="CO43" s="1501" t="s">
        <v>914</v>
      </c>
      <c r="CP43" s="1501" t="s">
        <v>915</v>
      </c>
    </row>
    <row customHeight="1" ht="16.575" hidden="1">
      <c r="A44" s="978" t="str">
        <f>"checkVolume_3."&amp;F44&amp;"."&amp;Y42</f>
        <v>checkVolume_3.0.0</v>
      </c>
      <c r="E44" s="180">
        <v>17</v>
      </c>
      <c r="F44" s="175" cm="1" t="str">
        <f t="array" ref="F44:F44">F42</f>
        <v>0</v>
      </c>
      <c r="H44" s="193" cm="1" t="str">
        <f t="array" ref="H44:H44">H42</f>
        <v>0</v>
      </c>
      <c r="T44" s="753" cm="1" t="str">
        <f t="array" ref="T44:T44">T42</f>
        <v>false</v>
      </c>
      <c r="AA44" s="1661"/>
      <c r="AB44" s="360" t="str">
        <f>AB42&amp;".2"</f>
        <v>3.0.2</v>
      </c>
      <c r="AC44" s="624" t="s">
        <v>1390</v>
      </c>
      <c r="AD44" s="624"/>
      <c r="AE44" s="114"/>
      <c r="AF44" s="71"/>
      <c r="AG44" s="71"/>
      <c r="AH44" s="71"/>
      <c r="AI44" s="71"/>
      <c r="AJ44" s="353"/>
      <c r="AK44" s="71"/>
      <c r="AL44" s="71"/>
      <c r="AM44" s="71"/>
      <c r="AN44" s="71"/>
      <c r="AO44" s="71"/>
      <c r="AP44" s="71"/>
      <c r="AQ44" s="71"/>
      <c r="AR44" s="71"/>
      <c r="AS44" s="71"/>
      <c r="AT44" s="71"/>
      <c r="AU44" s="71"/>
      <c r="AV44" s="71"/>
      <c r="AW44" s="71"/>
      <c r="AX44" s="71"/>
      <c r="AY44" s="71"/>
      <c r="AZ44" s="71"/>
      <c r="BA44" s="71"/>
      <c r="BB44" s="71"/>
      <c r="BC44" s="71"/>
      <c r="BD44" s="353"/>
      <c r="BE44" s="71"/>
      <c r="BF44" s="71"/>
      <c r="BG44" s="71"/>
      <c r="BH44" s="71"/>
      <c r="BI44" s="71"/>
      <c r="BJ44" s="71"/>
      <c r="BK44" s="71"/>
      <c r="BL44" s="71"/>
      <c r="BM44" s="71"/>
      <c r="BN44" s="71"/>
      <c r="BO44" s="71"/>
      <c r="BP44" s="71"/>
      <c r="BQ44" s="71"/>
      <c r="BR44" s="71"/>
      <c r="BS44" s="71"/>
      <c r="BT44" s="71"/>
      <c r="BU44" s="71"/>
      <c r="BV44" s="71"/>
      <c r="BW44" s="71"/>
      <c r="BX44" s="83"/>
      <c r="CA44" s="648" t="s">
        <v>1408</v>
      </c>
      <c r="CB44" s="648" t="s">
        <v>1406</v>
      </c>
      <c r="CC44" s="648" cm="1" t="str">
        <f t="array" ref="CC44:CC44">CC42</f>
        <v>0</v>
      </c>
      <c r="CD44" s="648" cm="1" t="str">
        <f t="array" ref="CD44:CD44">CD42</f>
        <v>0</v>
      </c>
      <c r="CE44" s="648" cm="1" t="str">
        <f t="array" ref="CE44:CE44">CE42</f>
        <v>0</v>
      </c>
      <c r="CF44" s="648" cm="1" t="str">
        <f t="array" ref="CF44:CF44">CF42</f>
        <v>0</v>
      </c>
      <c r="CH44" s="649"/>
      <c r="CJ44" s="1501" cm="1" t="str">
        <f t="array" ref="CJ44:CJ44">CJ43</f>
        <v>0</v>
      </c>
      <c r="CK44" s="1501" t="s">
        <v>1404</v>
      </c>
      <c r="CL44" s="1501" t="s">
        <v>449</v>
      </c>
      <c r="CM44" s="1501" cm="1" t="str">
        <f t="array" ref="CM44:CM44">CM43</f>
        <v>0</v>
      </c>
      <c r="CN44" s="1501" t="s">
        <v>303</v>
      </c>
      <c r="CO44" s="1501" t="s">
        <v>1409</v>
      </c>
      <c r="CP44" s="1501" t="s">
        <v>1410</v>
      </c>
    </row>
    <row customHeight="1" ht="16.575" hidden="1">
      <c r="E45" s="180">
        <v>17</v>
      </c>
      <c r="F45" s="175" cm="1" t="str">
        <f t="array" ref="F45:F45">F41</f>
        <v>0</v>
      </c>
      <c r="T45" s="753">
        <f>F45&gt;0</f>
        <v>0</v>
      </c>
      <c r="W45" s="176" t="s">
        <v>1411</v>
      </c>
      <c r="AB45" s="405"/>
      <c r="AC45" s="407" t="s">
        <v>1111</v>
      </c>
      <c r="AD45" s="407"/>
      <c r="AE45" s="407"/>
      <c r="AF45" s="407"/>
      <c r="AG45" s="407"/>
      <c r="AH45" s="407"/>
      <c r="AI45" s="407"/>
      <c r="AJ45" s="407"/>
      <c r="AK45" s="407"/>
      <c r="AL45" s="407"/>
      <c r="AM45" s="407"/>
      <c r="AN45" s="407"/>
      <c r="AO45" s="407"/>
      <c r="AP45" s="407"/>
      <c r="AQ45" s="407"/>
      <c r="AR45" s="407"/>
      <c r="AS45" s="407"/>
      <c r="AT45" s="407"/>
      <c r="AU45" s="407"/>
      <c r="AV45" s="407"/>
      <c r="AW45" s="407"/>
      <c r="AX45" s="407"/>
      <c r="AY45" s="407"/>
      <c r="AZ45" s="407"/>
      <c r="BA45" s="407"/>
      <c r="BB45" s="407"/>
      <c r="BC45" s="407"/>
      <c r="BD45" s="407"/>
      <c r="BE45" s="407"/>
      <c r="BF45" s="407"/>
      <c r="BG45" s="407"/>
      <c r="BH45" s="407"/>
      <c r="BI45" s="407"/>
      <c r="BJ45" s="407"/>
      <c r="BK45" s="407"/>
      <c r="BL45" s="407"/>
      <c r="BM45" s="407"/>
      <c r="BN45" s="407"/>
      <c r="BO45" s="407"/>
      <c r="BP45" s="407"/>
      <c r="BQ45" s="407"/>
      <c r="BR45" s="407"/>
      <c r="BS45" s="407"/>
      <c r="BT45" s="407"/>
      <c r="BU45" s="407"/>
      <c r="BV45" s="407"/>
      <c r="BW45" s="407"/>
      <c r="BX45" s="610"/>
      <c r="CF45" s="648"/>
      <c r="CG45" s="1146" t="s">
        <v>1406</v>
      </c>
      <c r="CH45" s="649"/>
    </row>
    <row s="1751" customFormat="1" customHeight="1" ht="10.5">
      <c r="A46" s="371"/>
      <c r="B46" s="1548"/>
      <c r="C46" s="1548"/>
      <c r="D46" s="1548"/>
      <c r="E46" s="180">
        <v>11</v>
      </c>
      <c r="F46" s="175" cm="1" t="str">
        <f t="array" ref="F46:F46">X46</f>
        <v>1</v>
      </c>
      <c r="G46" s="193" t="s">
        <v>1386</v>
      </c>
      <c r="H46" s="1659"/>
      <c r="I46" s="1659"/>
      <c r="J46" s="1659"/>
      <c r="K46" s="1659"/>
      <c r="L46" s="1659"/>
      <c r="M46" s="1659"/>
      <c r="N46" s="1659"/>
      <c r="O46" s="1659"/>
      <c r="P46" s="1659"/>
      <c r="Q46" s="1659"/>
      <c r="R46" s="1659"/>
      <c r="S46" s="1659"/>
      <c r="T46" s="753">
        <f>X46&gt;0</f>
        <v>1</v>
      </c>
      <c r="U46" s="1548"/>
      <c r="V46" s="175" cm="1" t="str">
        <f t="array" ref="V46:V46">Аренда!$AB$39</f>
        <v>Тариф 1 (Теплоснабжение) - Тариф на тепловую энергию (мощность), поставляемую потребителям (Доп. признак не требуется)</v>
      </c>
      <c r="W46" s="1548"/>
      <c r="X46" s="175" t="s">
        <v>308</v>
      </c>
      <c r="Y46" s="1548"/>
      <c r="Z46" s="1548"/>
      <c r="AA46" s="183"/>
      <c r="AB46" s="621" cm="1" t="str">
        <f t="array" ref="AB46:AB46">IF(ISBLANK(Аренда!$AB$39),"",Аренда!$AB$39)</f>
        <v>Тариф 1 (Теплоснабжение) - Тариф на тепловую энергию (мощность), поставляемую потребителям (Доп. признак не требуется)</v>
      </c>
      <c r="AC46" s="298"/>
      <c r="AD46" s="298"/>
      <c r="AE46" s="298"/>
      <c r="AF46" s="552">
        <f>AF47+AF53+AF59</f>
        <v>0</v>
      </c>
      <c r="AG46" s="552">
        <f>AG47+AG53+AG59</f>
        <v>0</v>
      </c>
      <c r="AH46" s="552">
        <f>AH47+AH53+AH59</f>
        <v>0</v>
      </c>
      <c r="AI46" s="552">
        <f>AI47+AI53+AI59</f>
        <v>0</v>
      </c>
      <c r="AJ46" s="552">
        <f>AJ47+AJ53+AJ59</f>
        <v>0</v>
      </c>
      <c r="AK46" s="552">
        <f>AK47+AK53+AK59</f>
        <v>0</v>
      </c>
      <c r="AL46" s="552">
        <f>AL47+AL53+AL59</f>
        <v>0</v>
      </c>
      <c r="AM46" s="552">
        <f>AM47+AM53+AM59</f>
        <v>0</v>
      </c>
      <c r="AN46" s="552">
        <f>AN47+AN53+AN59</f>
        <v>0</v>
      </c>
      <c r="AO46" s="552">
        <f>AO47+AO53+AO59</f>
        <v>0</v>
      </c>
      <c r="AP46" s="552">
        <f>AP47+AP53+AP59</f>
        <v>0</v>
      </c>
      <c r="AQ46" s="552">
        <f>AQ47+AQ53+AQ59</f>
        <v>0</v>
      </c>
      <c r="AR46" s="552">
        <f>AR47+AR53+AR59</f>
        <v>0</v>
      </c>
      <c r="AS46" s="552">
        <f>AS47+AS53+AS59</f>
        <v>0</v>
      </c>
      <c r="AT46" s="552">
        <f>AT47+AT53+AT59</f>
        <v>0</v>
      </c>
      <c r="AU46" s="552">
        <f>AU47+AU53+AU59</f>
        <v>0</v>
      </c>
      <c r="AV46" s="552">
        <f>AV47+AV53+AV59</f>
        <v>0</v>
      </c>
      <c r="AW46" s="552">
        <f>AW47+AW53+AW59</f>
        <v>0</v>
      </c>
      <c r="AX46" s="552">
        <f>AX47+AX53+AX59</f>
        <v>0</v>
      </c>
      <c r="AY46" s="552">
        <f>AY47+AY53+AY59</f>
        <v>0</v>
      </c>
      <c r="AZ46" s="552">
        <f>AZ47+AZ53+AZ59</f>
        <v>0</v>
      </c>
      <c r="BA46" s="552">
        <f>BA47+BA53+BA59</f>
        <v>0</v>
      </c>
      <c r="BB46" s="552">
        <f>BB47+BB53+BB59</f>
        <v>0</v>
      </c>
      <c r="BC46" s="552">
        <f>BC47+BC53+BC59</f>
        <v>0</v>
      </c>
      <c r="BD46" s="552">
        <f>BD47+BD53+BD59</f>
        <v>0</v>
      </c>
      <c r="BE46" s="552">
        <f>BE47+BE53+BE59</f>
        <v>0</v>
      </c>
      <c r="BF46" s="552">
        <f>BF47+BF53+BF59</f>
        <v>0</v>
      </c>
      <c r="BG46" s="552">
        <f>BG47+BG53+BG59</f>
        <v>0</v>
      </c>
      <c r="BH46" s="552">
        <f>BH47+BH53+BH59</f>
        <v>0</v>
      </c>
      <c r="BI46" s="552">
        <f>BI47+BI53+BI59</f>
        <v>0</v>
      </c>
      <c r="BJ46" s="552">
        <f>BJ47+BJ53+BJ59</f>
        <v>0</v>
      </c>
      <c r="BK46" s="552">
        <f>BK47+BK53+BK59</f>
        <v>0</v>
      </c>
      <c r="BL46" s="552">
        <f>BL47+BL53+BL59</f>
        <v>0</v>
      </c>
      <c r="BM46" s="552">
        <f>BM47+BM53+BM59</f>
        <v>0</v>
      </c>
      <c r="BN46" s="552">
        <f>BN47+BN53+BN59</f>
        <v>0</v>
      </c>
      <c r="BO46" s="552">
        <f>BO47+BO53+BO59</f>
        <v>0</v>
      </c>
      <c r="BP46" s="552">
        <f>BP47+BP53+BP59</f>
        <v>0</v>
      </c>
      <c r="BQ46" s="552">
        <f>BQ47+BQ53+BQ59</f>
        <v>0</v>
      </c>
      <c r="BR46" s="552">
        <f>BR47+BR53+BR59</f>
        <v>0</v>
      </c>
      <c r="BS46" s="552">
        <f>BS47+BS53+BS59</f>
        <v>0</v>
      </c>
      <c r="BT46" s="552">
        <f>BT47+BT53+BT59</f>
        <v>0</v>
      </c>
      <c r="BU46" s="552">
        <f>BU47+BU53+BU59</f>
        <v>0</v>
      </c>
      <c r="BV46" s="552">
        <f>BV47+BV53+BV59</f>
        <v>0</v>
      </c>
      <c r="BW46" s="552">
        <f>BW47+BW53+BW59</f>
        <v>0</v>
      </c>
      <c r="BX46" s="622"/>
      <c r="BY46" s="183"/>
      <c r="BZ46" s="969"/>
      <c r="CA46" s="648"/>
      <c r="CB46" s="648"/>
      <c r="CC46" s="648"/>
      <c r="CD46" s="648"/>
      <c r="CE46" s="648"/>
      <c r="CF46" s="648"/>
      <c r="CG46" s="1146"/>
      <c r="CH46" s="649"/>
      <c r="CI46" s="1506"/>
      <c r="CJ46" s="1751"/>
      <c r="CK46" s="1751"/>
      <c r="CL46" s="1751"/>
      <c r="CM46" s="1751"/>
      <c r="CN46" s="1751"/>
      <c r="CO46" s="1751"/>
      <c r="CP46" s="1751"/>
    </row>
    <row s="1751" customFormat="1" customHeight="1" ht="10.5">
      <c r="A47" s="371"/>
      <c r="B47" s="1548"/>
      <c r="C47" s="1548"/>
      <c r="D47" s="1548"/>
      <c r="E47" s="180">
        <v>11</v>
      </c>
      <c r="F47" s="175" cm="1" t="str">
        <f t="array" ref="F47:F47">F46</f>
        <v>1</v>
      </c>
      <c r="G47" s="1659"/>
      <c r="H47" s="1659"/>
      <c r="I47" s="1659"/>
      <c r="J47" s="1659"/>
      <c r="K47" s="1659"/>
      <c r="L47" s="1659"/>
      <c r="M47" s="1659"/>
      <c r="N47" s="1659"/>
      <c r="O47" s="1659"/>
      <c r="P47" s="1659"/>
      <c r="Q47" s="1659"/>
      <c r="R47" s="1659"/>
      <c r="S47" s="1659"/>
      <c r="T47" s="753" cm="1" t="str">
        <f t="array" ref="T47:T47">T46</f>
        <v>true</v>
      </c>
      <c r="U47" s="1548"/>
      <c r="V47" s="1548"/>
      <c r="W47" s="1548"/>
      <c r="X47" s="1548"/>
      <c r="Y47" s="1548"/>
      <c r="Z47" s="1548"/>
      <c r="AA47" s="183"/>
      <c r="AB47" s="554">
        <v>1</v>
      </c>
      <c r="AC47" s="555" t="s">
        <v>1387</v>
      </c>
      <c r="AD47" s="555"/>
      <c r="AE47" s="556" t="s">
        <v>917</v>
      </c>
      <c r="AF47" s="587">
        <f>SUMIF($AE48:$AE52,$AE47,AF48:AF52)</f>
        <v>0</v>
      </c>
      <c r="AG47" s="587">
        <f>SUMIF($AE48:$AE52,$AE47,AG48:AG52)</f>
        <v>0</v>
      </c>
      <c r="AH47" s="587">
        <f>SUMIF($AE48:$AE52,$AE47,AH48:AH52)</f>
        <v>0</v>
      </c>
      <c r="AI47" s="587">
        <f>SUMIF($AE48:$AE52,$AE47,AI48:AI52)</f>
        <v>0</v>
      </c>
      <c r="AJ47" s="587">
        <f>SUMIF($AE48:$AE52,$AE47,AJ48:AJ52)</f>
        <v>0</v>
      </c>
      <c r="AK47" s="2286">
        <f>SUMIF($AE48:$AE52,$AE47,AK48:AK52)</f>
        <v>0</v>
      </c>
      <c r="AL47" s="2286">
        <f>SUMIF($AE48:$AE52,$AE47,AL48:AL52)</f>
        <v>0</v>
      </c>
      <c r="AM47" s="2286">
        <f>SUMIF($AE48:$AE52,$AE47,AM48:AM52)</f>
        <v>0</v>
      </c>
      <c r="AN47" s="2286">
        <f>SUMIF($AE48:$AE52,$AE47,AN48:AN52)</f>
        <v>0</v>
      </c>
      <c r="AO47" s="2286">
        <f>SUMIF($AE48:$AE52,$AE47,AO48:AO52)</f>
        <v>0</v>
      </c>
      <c r="AP47" s="2286">
        <f>SUMIF($AE48:$AE52,$AE47,AP48:AP52)</f>
        <v>0</v>
      </c>
      <c r="AQ47" s="2286">
        <f>SUMIF($AE48:$AE52,$AE47,AQ48:AQ52)</f>
        <v>0</v>
      </c>
      <c r="AR47" s="2286">
        <f>SUMIF($AE48:$AE52,$AE47,AR48:AR52)</f>
        <v>0</v>
      </c>
      <c r="AS47" s="2286">
        <f>SUMIF($AE48:$AE52,$AE47,AS48:AS52)</f>
        <v>0</v>
      </c>
      <c r="AT47" s="2286">
        <f>SUMIF($AE48:$AE52,$AE47,AT48:AT52)</f>
        <v>0</v>
      </c>
      <c r="AU47" s="2286">
        <f>SUMIF($AE48:$AE52,$AE47,AU48:AU52)</f>
        <v>0</v>
      </c>
      <c r="AV47" s="2286">
        <f>SUMIF($AE48:$AE52,$AE47,AV48:AV52)</f>
        <v>0</v>
      </c>
      <c r="AW47" s="2286">
        <f>SUMIF($AE48:$AE52,$AE47,AW48:AW52)</f>
        <v>0</v>
      </c>
      <c r="AX47" s="2286">
        <f>SUMIF($AE48:$AE52,$AE47,AX48:AX52)</f>
        <v>0</v>
      </c>
      <c r="AY47" s="2286">
        <f>SUMIF($AE48:$AE52,$AE47,AY48:AY52)</f>
        <v>0</v>
      </c>
      <c r="AZ47" s="2286">
        <f>SUMIF($AE48:$AE52,$AE47,AZ48:AZ52)</f>
        <v>0</v>
      </c>
      <c r="BA47" s="2286">
        <f>SUMIF($AE48:$AE52,$AE47,BA48:BA52)</f>
        <v>0</v>
      </c>
      <c r="BB47" s="2286">
        <f>SUMIF($AE48:$AE52,$AE47,BB48:BB52)</f>
        <v>0</v>
      </c>
      <c r="BC47" s="2286">
        <f>SUMIF($AE48:$AE52,$AE47,BC48:BC52)</f>
        <v>0</v>
      </c>
      <c r="BD47" s="587">
        <f>SUMIF($AE48:$AE52,$AE47,BD48:BD52)</f>
        <v>0</v>
      </c>
      <c r="BE47" s="2286">
        <f>SUMIF($AE48:$AE52,$AE47,BE48:BE52)</f>
        <v>0</v>
      </c>
      <c r="BF47" s="2286">
        <f>SUMIF($AE48:$AE52,$AE47,BF48:BF52)</f>
        <v>0</v>
      </c>
      <c r="BG47" s="2286">
        <f>SUMIF($AE48:$AE52,$AE47,BG48:BG52)</f>
        <v>0</v>
      </c>
      <c r="BH47" s="2286">
        <f>SUMIF($AE48:$AE52,$AE47,BH48:BH52)</f>
        <v>0</v>
      </c>
      <c r="BI47" s="2286">
        <f>SUMIF($AE48:$AE52,$AE47,BI48:BI52)</f>
        <v>0</v>
      </c>
      <c r="BJ47" s="2286">
        <f>SUMIF($AE48:$AE52,$AE47,BJ48:BJ52)</f>
        <v>0</v>
      </c>
      <c r="BK47" s="2286">
        <f>SUMIF($AE48:$AE52,$AE47,BK48:BK52)</f>
        <v>0</v>
      </c>
      <c r="BL47" s="2286">
        <f>SUMIF($AE48:$AE52,$AE47,BL48:BL52)</f>
        <v>0</v>
      </c>
      <c r="BM47" s="2286">
        <f>SUMIF($AE48:$AE52,$AE47,BM48:BM52)</f>
        <v>0</v>
      </c>
      <c r="BN47" s="2286">
        <f>SUMIF($AE48:$AE52,$AE47,BN48:BN52)</f>
        <v>0</v>
      </c>
      <c r="BO47" s="2286">
        <f>SUMIF($AE48:$AE52,$AE47,BO48:BO52)</f>
        <v>0</v>
      </c>
      <c r="BP47" s="2286">
        <f>SUMIF($AE48:$AE52,$AE47,BP48:BP52)</f>
        <v>0</v>
      </c>
      <c r="BQ47" s="2286">
        <f>SUMIF($AE48:$AE52,$AE47,BQ48:BQ52)</f>
        <v>0</v>
      </c>
      <c r="BR47" s="2286">
        <f>SUMIF($AE48:$AE52,$AE47,BR48:BR52)</f>
        <v>0</v>
      </c>
      <c r="BS47" s="2286">
        <f>SUMIF($AE48:$AE52,$AE47,BS48:BS52)</f>
        <v>0</v>
      </c>
      <c r="BT47" s="2286">
        <f>SUMIF($AE48:$AE52,$AE47,BT48:BT52)</f>
        <v>0</v>
      </c>
      <c r="BU47" s="2286">
        <f>SUMIF($AE48:$AE52,$AE47,BU48:BU52)</f>
        <v>0</v>
      </c>
      <c r="BV47" s="2286">
        <f>SUMIF($AE48:$AE52,$AE47,BV48:BV52)</f>
        <v>0</v>
      </c>
      <c r="BW47" s="2286">
        <f>SUMIF($AE48:$AE52,$AE47,BW48:BW52)</f>
        <v>0</v>
      </c>
      <c r="BX47" s="1897"/>
      <c r="BY47" s="183"/>
      <c r="BZ47" s="969"/>
      <c r="CA47" s="648" t="s">
        <v>1156</v>
      </c>
      <c r="CB47" s="648"/>
      <c r="CC47" s="648"/>
      <c r="CD47" s="648"/>
      <c r="CE47" s="648"/>
      <c r="CF47" s="648"/>
      <c r="CG47" s="1146"/>
      <c r="CH47" s="649"/>
      <c r="CI47" s="1506"/>
      <c r="CJ47" s="1501" cm="1" t="str">
        <f t="array" ref="CJ47:CJ47">INDEX('Общие сведения'!$N$170:$N$202,MATCH($F47,'Общие сведения'!$Y$170:$Y$202,0)+1)</f>
        <v>ТЭ.42.31656254.0001</v>
      </c>
      <c r="CK47" s="1501" t="s">
        <v>1388</v>
      </c>
      <c r="CL47" s="1501"/>
      <c r="CM47" s="1501"/>
      <c r="CN47" s="1501" t="s">
        <v>303</v>
      </c>
      <c r="CO47" s="1501" t="s">
        <v>1044</v>
      </c>
      <c r="CP47" s="1501" t="s">
        <v>1045</v>
      </c>
    </row>
    <row s="1751" customFormat="1" customHeight="1" ht="15" hidden="1">
      <c r="A48" s="371"/>
      <c r="B48" s="1548"/>
      <c r="C48" s="1548"/>
      <c r="D48" s="1548"/>
      <c r="E48" s="180">
        <v>0</v>
      </c>
      <c r="F48" s="175" cm="1" t="str">
        <f t="array" ref="F48:F48">F47</f>
        <v>1</v>
      </c>
      <c r="G48" s="1659"/>
      <c r="H48" s="1659"/>
      <c r="I48" s="1659"/>
      <c r="J48" s="1659"/>
      <c r="K48" s="1659"/>
      <c r="L48" s="1659"/>
      <c r="M48" s="1659"/>
      <c r="N48" s="1659"/>
      <c r="O48" s="1659"/>
      <c r="P48" s="1659"/>
      <c r="Q48" s="1659"/>
      <c r="R48" s="1659"/>
      <c r="S48" s="1659"/>
      <c r="T48" s="753" t="b">
        <v>0</v>
      </c>
      <c r="U48" s="1548"/>
      <c r="V48" s="1548"/>
      <c r="W48" s="1548"/>
      <c r="X48" s="1548"/>
      <c r="Y48" s="1548"/>
      <c r="Z48" s="1548"/>
      <c r="AA48" s="183"/>
      <c r="AB48" s="554"/>
      <c r="AC48" s="555"/>
      <c r="AD48" s="555"/>
      <c r="AE48" s="556"/>
      <c r="AF48" s="596"/>
      <c r="AG48" s="596"/>
      <c r="AH48" s="596"/>
      <c r="AI48" s="596"/>
      <c r="AJ48" s="596"/>
      <c r="AK48" s="596"/>
      <c r="AL48" s="596"/>
      <c r="AM48" s="596"/>
      <c r="AN48" s="596"/>
      <c r="AO48" s="596"/>
      <c r="AP48" s="596"/>
      <c r="AQ48" s="596"/>
      <c r="AR48" s="596"/>
      <c r="AS48" s="596"/>
      <c r="AT48" s="596"/>
      <c r="AU48" s="596"/>
      <c r="AV48" s="596"/>
      <c r="AW48" s="596"/>
      <c r="AX48" s="596"/>
      <c r="AY48" s="596"/>
      <c r="AZ48" s="596"/>
      <c r="BA48" s="596"/>
      <c r="BB48" s="596"/>
      <c r="BC48" s="596"/>
      <c r="BD48" s="596"/>
      <c r="BE48" s="596"/>
      <c r="BF48" s="596"/>
      <c r="BG48" s="596"/>
      <c r="BH48" s="596"/>
      <c r="BI48" s="596"/>
      <c r="BJ48" s="596"/>
      <c r="BK48" s="596"/>
      <c r="BL48" s="596"/>
      <c r="BM48" s="596"/>
      <c r="BN48" s="596"/>
      <c r="BO48" s="596"/>
      <c r="BP48" s="596"/>
      <c r="BQ48" s="596"/>
      <c r="BR48" s="596"/>
      <c r="BS48" s="596"/>
      <c r="BT48" s="596"/>
      <c r="BU48" s="596"/>
      <c r="BV48" s="596"/>
      <c r="BW48" s="596"/>
      <c r="BX48" s="597"/>
      <c r="BY48" s="183"/>
      <c r="BZ48" s="969"/>
      <c r="CA48" s="648" t="str">
        <f>IF(AND(ISNUMBER(VALUE(TRIM(SUBSTITUTE(AB48,".","")))),TRIM(SUBSTITUTE(AB48,".",""))&lt;&gt;""),"P"&amp;SUBSTITUTE(AB48,".",""),"")</f>
        <v/>
      </c>
      <c r="CB48" s="648"/>
      <c r="CC48" s="648"/>
      <c r="CD48" s="648"/>
      <c r="CE48" s="648"/>
      <c r="CF48" s="648"/>
      <c r="CG48" s="1146"/>
      <c r="CH48" s="649"/>
      <c r="CI48" s="1506"/>
      <c r="CJ48" s="1501" cm="1" t="str">
        <f t="array" ref="CJ48:CJ48">CJ47</f>
        <v>ТЭ.42.31656254.0001</v>
      </c>
      <c r="CK48" s="1501"/>
      <c r="CL48" s="1501"/>
      <c r="CM48" s="1501"/>
      <c r="CN48" s="1501"/>
      <c r="CO48" s="1501"/>
      <c r="CP48" s="1501"/>
    </row>
    <row s="1751" customFormat="1" customHeight="1" ht="17.25" hidden="1">
      <c r="A49" s="978" t="str">
        <f>"checkCosts_1."&amp;F49&amp;"."&amp;Y49</f>
        <v>checkCosts_1.1.0</v>
      </c>
      <c r="B49" s="1548"/>
      <c r="C49" s="1548"/>
      <c r="D49" s="1548"/>
      <c r="E49" s="180">
        <v>18</v>
      </c>
      <c r="F49" s="175" cm="1" t="str">
        <f t="array" ref="F49:F49">OFFSET(G49,-1,-1)</f>
        <v>1</v>
      </c>
      <c r="G49" s="1659"/>
      <c r="H49" s="193" cm="1" t="str">
        <f t="array" ref="H49:H49">AC49</f>
        <v>0</v>
      </c>
      <c r="I49" s="1659"/>
      <c r="J49" s="1659"/>
      <c r="K49" s="1659"/>
      <c r="L49" s="1659"/>
      <c r="M49" s="1659"/>
      <c r="N49" s="1659"/>
      <c r="O49" s="1659"/>
      <c r="P49" s="1659"/>
      <c r="Q49" s="1659"/>
      <c r="R49" s="1659"/>
      <c r="S49" s="1659"/>
      <c r="T49" s="753">
        <f>AND(F49&gt;0,Y49&gt;0)</f>
        <v>0</v>
      </c>
      <c r="U49" s="1548"/>
      <c r="V49" s="1548"/>
      <c r="W49" s="175" t="s">
        <v>189</v>
      </c>
      <c r="X49" s="1548"/>
      <c r="Y49" s="175">
        <v>0</v>
      </c>
      <c r="Z49" s="1548"/>
      <c r="AA49" s="1660" t="s">
        <v>171</v>
      </c>
      <c r="AB49" s="360" t="str">
        <f>"1."&amp;Y49</f>
        <v>1.0</v>
      </c>
      <c r="AC49" s="322"/>
      <c r="AD49" s="111"/>
      <c r="AE49" s="556" t="s">
        <v>917</v>
      </c>
      <c r="AF49" s="71">
        <f>AF50*AF51/1000</f>
        <v>0</v>
      </c>
      <c r="AG49" s="71"/>
      <c r="AH49" s="71"/>
      <c r="AI49" s="71">
        <f>AI50*AI51/1000</f>
        <v>0</v>
      </c>
      <c r="AJ49" s="353"/>
      <c r="AK49" s="71"/>
      <c r="AL49" s="71"/>
      <c r="AM49" s="71"/>
      <c r="AN49" s="71"/>
      <c r="AO49" s="71"/>
      <c r="AP49" s="71"/>
      <c r="AQ49" s="71"/>
      <c r="AR49" s="71"/>
      <c r="AS49" s="71"/>
      <c r="AT49" s="71"/>
      <c r="AU49" s="71"/>
      <c r="AV49" s="71"/>
      <c r="AW49" s="71"/>
      <c r="AX49" s="71"/>
      <c r="AY49" s="71"/>
      <c r="AZ49" s="71"/>
      <c r="BA49" s="71"/>
      <c r="BB49" s="71"/>
      <c r="BC49" s="71"/>
      <c r="BD49" s="353">
        <f>BD50*BD51/1000</f>
        <v>0</v>
      </c>
      <c r="BE49" s="71">
        <f>BE50*BE51/1000</f>
        <v>0</v>
      </c>
      <c r="BF49" s="71">
        <f>BF50*BF51/1000</f>
        <v>0</v>
      </c>
      <c r="BG49" s="71">
        <f>BG50*BG51/1000</f>
        <v>0</v>
      </c>
      <c r="BH49" s="71">
        <f>BH50*BH51/1000</f>
        <v>0</v>
      </c>
      <c r="BI49" s="71">
        <f>BI50*BI51/1000</f>
        <v>0</v>
      </c>
      <c r="BJ49" s="71">
        <f>BJ50*BJ51/1000</f>
        <v>0</v>
      </c>
      <c r="BK49" s="71">
        <f>BK50*BK51/1000</f>
        <v>0</v>
      </c>
      <c r="BL49" s="71">
        <f>BL50*BL51/1000</f>
        <v>0</v>
      </c>
      <c r="BM49" s="71">
        <f>BM50*BM51/1000</f>
        <v>0</v>
      </c>
      <c r="BN49" s="71">
        <f>BN50*BN51/1000</f>
        <v>0</v>
      </c>
      <c r="BO49" s="71">
        <f>BO50*BO51/1000</f>
        <v>0</v>
      </c>
      <c r="BP49" s="71">
        <f>BP50*BP51/1000</f>
        <v>0</v>
      </c>
      <c r="BQ49" s="71">
        <f>BQ50*BQ51/1000</f>
        <v>0</v>
      </c>
      <c r="BR49" s="71">
        <f>BR50*BR51/1000</f>
        <v>0</v>
      </c>
      <c r="BS49" s="71">
        <f>BS50*BS51/1000</f>
        <v>0</v>
      </c>
      <c r="BT49" s="71">
        <f>BT50*BT51/1000</f>
        <v>0</v>
      </c>
      <c r="BU49" s="71">
        <f>BU50*BU51/1000</f>
        <v>0</v>
      </c>
      <c r="BV49" s="71">
        <f>BV50*BV51/1000</f>
        <v>0</v>
      </c>
      <c r="BW49" s="71">
        <f>BW50*BW51/1000</f>
        <v>0</v>
      </c>
      <c r="BX49" s="83"/>
      <c r="BY49" s="183"/>
      <c r="BZ49" s="969"/>
      <c r="CA49" s="648" t="s">
        <v>1158</v>
      </c>
      <c r="CB49" s="648" t="s">
        <v>1389</v>
      </c>
      <c r="CC49" s="648" cm="1" t="str">
        <f t="array" ref="CC49:CC49">AC49</f>
        <v>0</v>
      </c>
      <c r="CD49" s="648" cm="1" t="str">
        <f t="array" ref="CD49:CD49">AD49</f>
        <v>0</v>
      </c>
      <c r="CE49" s="648" cm="1" t="str">
        <f t="array" ref="CE49:CE49">AE51</f>
        <v>Гкал</v>
      </c>
      <c r="CF49" s="648" cm="1" t="str">
        <f t="array" ref="CF49:CF49">AE50</f>
        <v>руб/Гкал</v>
      </c>
      <c r="CG49" s="1146"/>
      <c r="CH49" s="649" t="b">
        <v>1</v>
      </c>
      <c r="CI49" s="1506"/>
      <c r="CJ49" s="1501" cm="1" t="str">
        <f t="array" ref="CJ49:CJ49">OFFSET(CK49,-1,-1)</f>
        <v>ТЭ.42.31656254.0001</v>
      </c>
      <c r="CK49" s="1501" t="s">
        <v>1388</v>
      </c>
      <c r="CL49" s="1501" t="s">
        <v>219</v>
      </c>
      <c r="CM49" s="1501" cm="1" t="str">
        <f t="array" ref="CM49:CM49">$AC49</f>
        <v>0</v>
      </c>
      <c r="CN49" s="1501" t="s">
        <v>303</v>
      </c>
      <c r="CO49" s="1501" t="s">
        <v>919</v>
      </c>
      <c r="CP49" s="1501" t="s">
        <v>920</v>
      </c>
    </row>
    <row s="1751" customFormat="1" customHeight="1" ht="16.5" hidden="1">
      <c r="A50" s="371"/>
      <c r="B50" s="1548"/>
      <c r="C50" s="1548"/>
      <c r="D50" s="1548"/>
      <c r="E50" s="180">
        <v>17</v>
      </c>
      <c r="F50" s="175" cm="1" t="str">
        <f t="array" ref="F50:F50">F48</f>
        <v>1</v>
      </c>
      <c r="G50" s="1659"/>
      <c r="H50" s="193" cm="1" t="str">
        <f t="array" ref="H50:H50">H49</f>
        <v>0</v>
      </c>
      <c r="I50" s="1659"/>
      <c r="J50" s="1659"/>
      <c r="K50" s="1659"/>
      <c r="L50" s="1659"/>
      <c r="M50" s="1659"/>
      <c r="N50" s="1659"/>
      <c r="O50" s="1659"/>
      <c r="P50" s="1659"/>
      <c r="Q50" s="1659"/>
      <c r="R50" s="1659"/>
      <c r="S50" s="1659"/>
      <c r="T50" s="753" cm="1" t="str">
        <f t="array" ref="T50:T50">T49</f>
        <v>false</v>
      </c>
      <c r="U50" s="1548"/>
      <c r="V50" s="1548"/>
      <c r="W50" s="1548"/>
      <c r="X50" s="1548"/>
      <c r="Y50" s="1548"/>
      <c r="Z50" s="1548"/>
      <c r="AA50" s="1661"/>
      <c r="AB50" s="360" t="str">
        <f>AB49&amp;".1"</f>
        <v>1.0.1</v>
      </c>
      <c r="AC50" s="624" t="s">
        <v>1063</v>
      </c>
      <c r="AD50" s="624"/>
      <c r="AE50" s="114" t="s">
        <v>1098</v>
      </c>
      <c r="AF50" s="71"/>
      <c r="AG50" s="625">
        <f>IF(AG51=0,0,AG49/AG51)*1000</f>
        <v>0</v>
      </c>
      <c r="AH50" s="625">
        <f>IF(AH51=0,0,AH49/AH51)*1000</f>
        <v>0</v>
      </c>
      <c r="AI50" s="71"/>
      <c r="AJ50" s="625">
        <f>IF(AJ51=0,0,AJ49/AJ51)*1000</f>
        <v>0</v>
      </c>
      <c r="AK50" s="625">
        <f>IF(AK51=0,0,AK49/AK51)*1000</f>
        <v>0</v>
      </c>
      <c r="AL50" s="625">
        <f>IF(AL51=0,0,AL49/AL51)*1000</f>
        <v>0</v>
      </c>
      <c r="AM50" s="625">
        <f>IF(AM51=0,0,AM49/AM51)*1000</f>
        <v>0</v>
      </c>
      <c r="AN50" s="625">
        <f>IF(AN51=0,0,AN49/AN51)*1000</f>
        <v>0</v>
      </c>
      <c r="AO50" s="625">
        <f>IF(AO51=0,0,AO49/AO51)*1000</f>
        <v>0</v>
      </c>
      <c r="AP50" s="625">
        <f>IF(AP51=0,0,AP49/AP51)*1000</f>
        <v>0</v>
      </c>
      <c r="AQ50" s="625">
        <f>IF(AQ51=0,0,AQ49/AQ51)*1000</f>
        <v>0</v>
      </c>
      <c r="AR50" s="625">
        <f>IF(AR51=0,0,AR49/AR51)*1000</f>
        <v>0</v>
      </c>
      <c r="AS50" s="625">
        <f>IF(AS51=0,0,AS49/AS51)*1000</f>
        <v>0</v>
      </c>
      <c r="AT50" s="625">
        <f>IF(AT51=0,0,AT49/AT51)*1000</f>
        <v>0</v>
      </c>
      <c r="AU50" s="625">
        <f>IF(AU51=0,0,AU49/AU51)*1000</f>
        <v>0</v>
      </c>
      <c r="AV50" s="625">
        <f>IF(AV51=0,0,AV49/AV51)*1000</f>
        <v>0</v>
      </c>
      <c r="AW50" s="625">
        <f>IF(AW51=0,0,AW49/AW51)*1000</f>
        <v>0</v>
      </c>
      <c r="AX50" s="625">
        <f>IF(AX51=0,0,AX49/AX51)*1000</f>
        <v>0</v>
      </c>
      <c r="AY50" s="625">
        <f>IF(AY51=0,0,AY49/AY51)*1000</f>
        <v>0</v>
      </c>
      <c r="AZ50" s="625">
        <f>IF(AZ51=0,0,AZ49/AZ51)*1000</f>
        <v>0</v>
      </c>
      <c r="BA50" s="625">
        <f>IF(BA51=0,0,BA49/BA51)*1000</f>
        <v>0</v>
      </c>
      <c r="BB50" s="625">
        <f>IF(BB51=0,0,BB49/BB51)*1000</f>
        <v>0</v>
      </c>
      <c r="BC50" s="625">
        <f>IF(BC51=0,0,BC49/BC51)*1000</f>
        <v>0</v>
      </c>
      <c r="BD50" s="353"/>
      <c r="BE50" s="71"/>
      <c r="BF50" s="71"/>
      <c r="BG50" s="71"/>
      <c r="BH50" s="71"/>
      <c r="BI50" s="71"/>
      <c r="BJ50" s="71"/>
      <c r="BK50" s="71"/>
      <c r="BL50" s="71"/>
      <c r="BM50" s="71"/>
      <c r="BN50" s="71"/>
      <c r="BO50" s="71"/>
      <c r="BP50" s="71"/>
      <c r="BQ50" s="71"/>
      <c r="BR50" s="71"/>
      <c r="BS50" s="71"/>
      <c r="BT50" s="71"/>
      <c r="BU50" s="71"/>
      <c r="BV50" s="71"/>
      <c r="BW50" s="71"/>
      <c r="BX50" s="83"/>
      <c r="BY50" s="183"/>
      <c r="BZ50" s="969"/>
      <c r="CA50" s="648" t="s">
        <v>1160</v>
      </c>
      <c r="CB50" s="648" t="s">
        <v>1389</v>
      </c>
      <c r="CC50" s="648" cm="1" t="str">
        <f t="array" ref="CC50:CC50">CC49</f>
        <v>0</v>
      </c>
      <c r="CD50" s="648" cm="1" t="str">
        <f t="array" ref="CD50:CD50">CD49</f>
        <v>0</v>
      </c>
      <c r="CE50" s="648" cm="1" t="str">
        <f t="array" ref="CE50:CE50">CE49</f>
        <v>Гкал</v>
      </c>
      <c r="CF50" s="648" cm="1" t="str">
        <f t="array" ref="CF50:CF50">CF49</f>
        <v>руб/Гкал</v>
      </c>
      <c r="CG50" s="1146"/>
      <c r="CH50" s="649"/>
      <c r="CI50" s="1506"/>
      <c r="CJ50" s="1501" cm="1" t="str">
        <f t="array" ref="CJ50:CJ50">CJ49</f>
        <v>ТЭ.42.31656254.0001</v>
      </c>
      <c r="CK50" s="1501" t="s">
        <v>1388</v>
      </c>
      <c r="CL50" s="1501" t="s">
        <v>255</v>
      </c>
      <c r="CM50" s="1501" cm="1" t="str">
        <f t="array" ref="CM50:CM50">CM49</f>
        <v>0</v>
      </c>
      <c r="CN50" s="1501" t="s">
        <v>303</v>
      </c>
      <c r="CO50" s="1501" t="s">
        <v>914</v>
      </c>
      <c r="CP50" s="1501" t="s">
        <v>915</v>
      </c>
    </row>
    <row s="1751" customFormat="1" customHeight="1" ht="16.5" hidden="1">
      <c r="A51" s="978" t="str">
        <f>"checkVolume_1."&amp;F51&amp;"."&amp;Y49</f>
        <v>checkVolume_1.1.0</v>
      </c>
      <c r="B51" s="1548"/>
      <c r="C51" s="1548"/>
      <c r="D51" s="1548"/>
      <c r="E51" s="180">
        <v>17</v>
      </c>
      <c r="F51" s="175" cm="1" t="str">
        <f t="array" ref="F51:F51">F49</f>
        <v>1</v>
      </c>
      <c r="G51" s="1659"/>
      <c r="H51" s="193" cm="1" t="str">
        <f t="array" ref="H51:H51">H49</f>
        <v>0</v>
      </c>
      <c r="I51" s="1659"/>
      <c r="J51" s="1659"/>
      <c r="K51" s="1659"/>
      <c r="L51" s="1659"/>
      <c r="M51" s="1659"/>
      <c r="N51" s="1659"/>
      <c r="O51" s="1659"/>
      <c r="P51" s="1659"/>
      <c r="Q51" s="1659"/>
      <c r="R51" s="1659"/>
      <c r="S51" s="1659"/>
      <c r="T51" s="753" cm="1" t="str">
        <f t="array" ref="T51:T51">T49</f>
        <v>false</v>
      </c>
      <c r="U51" s="1548"/>
      <c r="V51" s="1548"/>
      <c r="W51" s="1548"/>
      <c r="X51" s="1548"/>
      <c r="Y51" s="1548"/>
      <c r="Z51" s="1548"/>
      <c r="AA51" s="1661"/>
      <c r="AB51" s="360" t="str">
        <f>AB49&amp;".2"</f>
        <v>1.0.2</v>
      </c>
      <c r="AC51" s="624" t="s">
        <v>1390</v>
      </c>
      <c r="AD51" s="624"/>
      <c r="AE51" s="114" t="s">
        <v>629</v>
      </c>
      <c r="AF51" s="71"/>
      <c r="AG51" s="71"/>
      <c r="AH51" s="71"/>
      <c r="AI51" s="71"/>
      <c r="AJ51" s="353"/>
      <c r="AK51" s="71"/>
      <c r="AL51" s="71"/>
      <c r="AM51" s="71"/>
      <c r="AN51" s="71"/>
      <c r="AO51" s="71"/>
      <c r="AP51" s="71"/>
      <c r="AQ51" s="71"/>
      <c r="AR51" s="71"/>
      <c r="AS51" s="71"/>
      <c r="AT51" s="71"/>
      <c r="AU51" s="71"/>
      <c r="AV51" s="71"/>
      <c r="AW51" s="71"/>
      <c r="AX51" s="71"/>
      <c r="AY51" s="71"/>
      <c r="AZ51" s="71"/>
      <c r="BA51" s="71"/>
      <c r="BB51" s="71"/>
      <c r="BC51" s="71"/>
      <c r="BD51" s="353"/>
      <c r="BE51" s="71"/>
      <c r="BF51" s="71"/>
      <c r="BG51" s="71"/>
      <c r="BH51" s="71"/>
      <c r="BI51" s="71"/>
      <c r="BJ51" s="71"/>
      <c r="BK51" s="71"/>
      <c r="BL51" s="71"/>
      <c r="BM51" s="71"/>
      <c r="BN51" s="71"/>
      <c r="BO51" s="71"/>
      <c r="BP51" s="71"/>
      <c r="BQ51" s="71"/>
      <c r="BR51" s="71"/>
      <c r="BS51" s="71"/>
      <c r="BT51" s="71"/>
      <c r="BU51" s="71"/>
      <c r="BV51" s="71"/>
      <c r="BW51" s="71"/>
      <c r="BX51" s="83"/>
      <c r="BY51" s="183"/>
      <c r="BZ51" s="969"/>
      <c r="CA51" s="648" t="s">
        <v>1162</v>
      </c>
      <c r="CB51" s="648" t="s">
        <v>1389</v>
      </c>
      <c r="CC51" s="648" cm="1" t="str">
        <f t="array" ref="CC51:CC51">CC49</f>
        <v>0</v>
      </c>
      <c r="CD51" s="648" cm="1" t="str">
        <f t="array" ref="CD51:CD51">CD49</f>
        <v>0</v>
      </c>
      <c r="CE51" s="648" cm="1" t="str">
        <f t="array" ref="CE51:CE51">CE49</f>
        <v>Гкал</v>
      </c>
      <c r="CF51" s="648" cm="1" t="str">
        <f t="array" ref="CF51:CF51">CF49</f>
        <v>руб/Гкал</v>
      </c>
      <c r="CG51" s="1146"/>
      <c r="CH51" s="649"/>
      <c r="CI51" s="1506"/>
      <c r="CJ51" s="1501" cm="1" t="str">
        <f t="array" ref="CJ51:CJ51">CJ50</f>
        <v>ТЭ.42.31656254.0001</v>
      </c>
      <c r="CK51" s="1501" t="s">
        <v>1388</v>
      </c>
      <c r="CL51" s="1501" t="s">
        <v>449</v>
      </c>
      <c r="CM51" s="1501" cm="1" t="str">
        <f t="array" ref="CM51:CM51">CM50</f>
        <v>0</v>
      </c>
      <c r="CN51" s="1501" t="s">
        <v>303</v>
      </c>
      <c r="CO51" s="1501" t="s">
        <v>1391</v>
      </c>
      <c r="CP51" s="1501" t="s">
        <v>1392</v>
      </c>
    </row>
    <row s="1751" customFormat="1" customHeight="1" ht="16.5">
      <c r="A52" s="371"/>
      <c r="B52" s="1548"/>
      <c r="C52" s="1548"/>
      <c r="D52" s="1548"/>
      <c r="E52" s="180">
        <v>17</v>
      </c>
      <c r="F52" s="175" cm="1" t="str">
        <f t="array" ref="F52:F52">F48</f>
        <v>1</v>
      </c>
      <c r="G52" s="1659"/>
      <c r="H52" s="1659"/>
      <c r="I52" s="1659"/>
      <c r="J52" s="1659"/>
      <c r="K52" s="1659"/>
      <c r="L52" s="1659"/>
      <c r="M52" s="1659"/>
      <c r="N52" s="1659"/>
      <c r="O52" s="1659"/>
      <c r="P52" s="1659"/>
      <c r="Q52" s="1659"/>
      <c r="R52" s="1659"/>
      <c r="S52" s="1659"/>
      <c r="T52" s="753">
        <f>F52&gt;0</f>
        <v>1</v>
      </c>
      <c r="U52" s="1548"/>
      <c r="V52" s="1548"/>
      <c r="W52" s="176" t="s">
        <v>1393</v>
      </c>
      <c r="X52" s="1548"/>
      <c r="Y52" s="1548"/>
      <c r="Z52" s="1548"/>
      <c r="AA52" s="183"/>
      <c r="AB52" s="405"/>
      <c r="AC52" s="407" t="s">
        <v>1111</v>
      </c>
      <c r="AD52" s="407"/>
      <c r="AE52" s="407"/>
      <c r="AF52" s="407"/>
      <c r="AG52" s="407"/>
      <c r="AH52" s="407"/>
      <c r="AI52" s="407"/>
      <c r="AJ52" s="407"/>
      <c r="AK52" s="407"/>
      <c r="AL52" s="407"/>
      <c r="AM52" s="407"/>
      <c r="AN52" s="407"/>
      <c r="AO52" s="407"/>
      <c r="AP52" s="407"/>
      <c r="AQ52" s="407"/>
      <c r="AR52" s="407"/>
      <c r="AS52" s="407"/>
      <c r="AT52" s="407"/>
      <c r="AU52" s="407"/>
      <c r="AV52" s="407"/>
      <c r="AW52" s="407"/>
      <c r="AX52" s="407"/>
      <c r="AY52" s="407"/>
      <c r="AZ52" s="407"/>
      <c r="BA52" s="407"/>
      <c r="BB52" s="407"/>
      <c r="BC52" s="407"/>
      <c r="BD52" s="407"/>
      <c r="BE52" s="407"/>
      <c r="BF52" s="407"/>
      <c r="BG52" s="407"/>
      <c r="BH52" s="407"/>
      <c r="BI52" s="407"/>
      <c r="BJ52" s="407"/>
      <c r="BK52" s="407"/>
      <c r="BL52" s="407"/>
      <c r="BM52" s="407"/>
      <c r="BN52" s="407"/>
      <c r="BO52" s="407"/>
      <c r="BP52" s="407"/>
      <c r="BQ52" s="407"/>
      <c r="BR52" s="407"/>
      <c r="BS52" s="407"/>
      <c r="BT52" s="407"/>
      <c r="BU52" s="407"/>
      <c r="BV52" s="407"/>
      <c r="BW52" s="407"/>
      <c r="BX52" s="610"/>
      <c r="BY52" s="183"/>
      <c r="BZ52" s="969"/>
      <c r="CA52" s="648" t="str">
        <f>IF(AND(ISNUMBER(VALUE(TRIM(SUBSTITUTE(AB52,".","")))),TRIM(SUBSTITUTE(AB52,".",""))&lt;&gt;""),"P"&amp;SUBSTITUTE(AB52,".",""),"")</f>
        <v/>
      </c>
      <c r="CB52" s="648"/>
      <c r="CC52" s="648"/>
      <c r="CD52" s="648"/>
      <c r="CE52" s="648"/>
      <c r="CF52" s="648"/>
      <c r="CG52" s="1146" t="s">
        <v>1389</v>
      </c>
      <c r="CH52" s="649"/>
      <c r="CI52" s="1506"/>
      <c r="CJ52" s="1501" cm="1" t="str">
        <f t="array" ref="CJ52:CJ52">OFFSET(CK52,-1,-1)</f>
        <v>ТЭ.42.31656254.0001</v>
      </c>
      <c r="CK52" s="1501"/>
      <c r="CL52" s="1501"/>
      <c r="CM52" s="1501"/>
      <c r="CN52" s="1501"/>
      <c r="CO52" s="1501"/>
      <c r="CP52" s="1501"/>
    </row>
    <row s="1751" customFormat="1" customHeight="1" ht="16.5">
      <c r="A53" s="371"/>
      <c r="B53" s="1548"/>
      <c r="C53" s="1548"/>
      <c r="D53" s="1548"/>
      <c r="E53" s="180">
        <v>17</v>
      </c>
      <c r="F53" s="175" cm="1" t="str">
        <f t="array" ref="F53:F53">F52</f>
        <v>1</v>
      </c>
      <c r="G53" s="1659"/>
      <c r="H53" s="1659"/>
      <c r="I53" s="1659"/>
      <c r="J53" s="1659"/>
      <c r="K53" s="1659"/>
      <c r="L53" s="1659"/>
      <c r="M53" s="1659"/>
      <c r="N53" s="1659"/>
      <c r="O53" s="1659"/>
      <c r="P53" s="1659"/>
      <c r="Q53" s="1659"/>
      <c r="R53" s="1659"/>
      <c r="S53" s="1659"/>
      <c r="T53" s="753">
        <f>F53&gt;0</f>
        <v>1</v>
      </c>
      <c r="U53" s="1548"/>
      <c r="V53" s="1548"/>
      <c r="W53" s="1548"/>
      <c r="X53" s="1548"/>
      <c r="Y53" s="1548"/>
      <c r="Z53" s="1548"/>
      <c r="AA53" s="183"/>
      <c r="AB53" s="554">
        <v>2</v>
      </c>
      <c r="AC53" s="555" t="s">
        <v>1394</v>
      </c>
      <c r="AD53" s="555"/>
      <c r="AE53" s="556" t="s">
        <v>917</v>
      </c>
      <c r="AF53" s="587">
        <f>SUMIF($AE54:$AE58,$AE53,AF54:AF58)</f>
        <v>0</v>
      </c>
      <c r="AG53" s="587">
        <f>SUMIF($AE54:$AE58,$AE53,AG54:AG58)</f>
        <v>0</v>
      </c>
      <c r="AH53" s="587">
        <f>SUMIF($AE54:$AE58,$AE53,AH54:AH58)</f>
        <v>0</v>
      </c>
      <c r="AI53" s="587">
        <f>SUMIF($AE54:$AE58,$AE53,AI54:AI58)</f>
        <v>0</v>
      </c>
      <c r="AJ53" s="587">
        <f>SUMIF($AE54:$AE58,$AE53,AJ54:AJ58)</f>
        <v>0</v>
      </c>
      <c r="AK53" s="2286">
        <f>SUMIF($AE54:$AE58,$AE53,AK54:AK58)</f>
        <v>0</v>
      </c>
      <c r="AL53" s="2286">
        <f>SUMIF($AE54:$AE58,$AE53,AL54:AL58)</f>
        <v>0</v>
      </c>
      <c r="AM53" s="2286">
        <f>SUMIF($AE54:$AE58,$AE53,AM54:AM58)</f>
        <v>0</v>
      </c>
      <c r="AN53" s="2286">
        <f>SUMIF($AE54:$AE58,$AE53,AN54:AN58)</f>
        <v>0</v>
      </c>
      <c r="AO53" s="2286">
        <f>SUMIF($AE54:$AE58,$AE53,AO54:AO58)</f>
        <v>0</v>
      </c>
      <c r="AP53" s="2286">
        <f>SUMIF($AE54:$AE58,$AE53,AP54:AP58)</f>
        <v>0</v>
      </c>
      <c r="AQ53" s="2286">
        <f>SUMIF($AE54:$AE58,$AE53,AQ54:AQ58)</f>
        <v>0</v>
      </c>
      <c r="AR53" s="2286">
        <f>SUMIF($AE54:$AE58,$AE53,AR54:AR58)</f>
        <v>0</v>
      </c>
      <c r="AS53" s="2286">
        <f>SUMIF($AE54:$AE58,$AE53,AS54:AS58)</f>
        <v>0</v>
      </c>
      <c r="AT53" s="2286">
        <f>SUMIF($AE54:$AE58,$AE53,AT54:AT58)</f>
        <v>0</v>
      </c>
      <c r="AU53" s="2286">
        <f>SUMIF($AE54:$AE58,$AE53,AU54:AU58)</f>
        <v>0</v>
      </c>
      <c r="AV53" s="2286">
        <f>SUMIF($AE54:$AE58,$AE53,AV54:AV58)</f>
        <v>0</v>
      </c>
      <c r="AW53" s="2286">
        <f>SUMIF($AE54:$AE58,$AE53,AW54:AW58)</f>
        <v>0</v>
      </c>
      <c r="AX53" s="2286">
        <f>SUMIF($AE54:$AE58,$AE53,AX54:AX58)</f>
        <v>0</v>
      </c>
      <c r="AY53" s="2286">
        <f>SUMIF($AE54:$AE58,$AE53,AY54:AY58)</f>
        <v>0</v>
      </c>
      <c r="AZ53" s="2286">
        <f>SUMIF($AE54:$AE58,$AE53,AZ54:AZ58)</f>
        <v>0</v>
      </c>
      <c r="BA53" s="2286">
        <f>SUMIF($AE54:$AE58,$AE53,BA54:BA58)</f>
        <v>0</v>
      </c>
      <c r="BB53" s="2286">
        <f>SUMIF($AE54:$AE58,$AE53,BB54:BB58)</f>
        <v>0</v>
      </c>
      <c r="BC53" s="2286">
        <f>SUMIF($AE54:$AE58,$AE53,BC54:BC58)</f>
        <v>0</v>
      </c>
      <c r="BD53" s="587">
        <f>SUMIF($AE54:$AE58,$AE53,BD54:BD58)</f>
        <v>0</v>
      </c>
      <c r="BE53" s="2286">
        <f>SUMIF($AE54:$AE58,$AE53,BE54:BE58)</f>
        <v>0</v>
      </c>
      <c r="BF53" s="2286">
        <f>SUMIF($AE54:$AE58,$AE53,BF54:BF58)</f>
        <v>0</v>
      </c>
      <c r="BG53" s="2286">
        <f>SUMIF($AE54:$AE58,$AE53,BG54:BG58)</f>
        <v>0</v>
      </c>
      <c r="BH53" s="2286">
        <f>SUMIF($AE54:$AE58,$AE53,BH54:BH58)</f>
        <v>0</v>
      </c>
      <c r="BI53" s="2286">
        <f>SUMIF($AE54:$AE58,$AE53,BI54:BI58)</f>
        <v>0</v>
      </c>
      <c r="BJ53" s="2286">
        <f>SUMIF($AE54:$AE58,$AE53,BJ54:BJ58)</f>
        <v>0</v>
      </c>
      <c r="BK53" s="2286">
        <f>SUMIF($AE54:$AE58,$AE53,BK54:BK58)</f>
        <v>0</v>
      </c>
      <c r="BL53" s="2286">
        <f>SUMIF($AE54:$AE58,$AE53,BL54:BL58)</f>
        <v>0</v>
      </c>
      <c r="BM53" s="2286">
        <f>SUMIF($AE54:$AE58,$AE53,BM54:BM58)</f>
        <v>0</v>
      </c>
      <c r="BN53" s="2286">
        <f>SUMIF($AE54:$AE58,$AE53,BN54:BN58)</f>
        <v>0</v>
      </c>
      <c r="BO53" s="2286">
        <f>SUMIF($AE54:$AE58,$AE53,BO54:BO58)</f>
        <v>0</v>
      </c>
      <c r="BP53" s="2286">
        <f>SUMIF($AE54:$AE58,$AE53,BP54:BP58)</f>
        <v>0</v>
      </c>
      <c r="BQ53" s="2286">
        <f>SUMIF($AE54:$AE58,$AE53,BQ54:BQ58)</f>
        <v>0</v>
      </c>
      <c r="BR53" s="2286">
        <f>SUMIF($AE54:$AE58,$AE53,BR54:BR58)</f>
        <v>0</v>
      </c>
      <c r="BS53" s="2286">
        <f>SUMIF($AE54:$AE58,$AE53,BS54:BS58)</f>
        <v>0</v>
      </c>
      <c r="BT53" s="2286">
        <f>SUMIF($AE54:$AE58,$AE53,BT54:BT58)</f>
        <v>0</v>
      </c>
      <c r="BU53" s="2286">
        <f>SUMIF($AE54:$AE58,$AE53,BU54:BU58)</f>
        <v>0</v>
      </c>
      <c r="BV53" s="2286">
        <f>SUMIF($AE54:$AE58,$AE53,BV54:BV58)</f>
        <v>0</v>
      </c>
      <c r="BW53" s="2286">
        <f>SUMIF($AE54:$AE58,$AE53,BW54:BW58)</f>
        <v>0</v>
      </c>
      <c r="BX53" s="1897"/>
      <c r="BY53" s="183"/>
      <c r="BZ53" s="969"/>
      <c r="CA53" s="648" t="s">
        <v>1395</v>
      </c>
      <c r="CB53" s="648"/>
      <c r="CC53" s="648"/>
      <c r="CD53" s="648"/>
      <c r="CE53" s="648"/>
      <c r="CF53" s="648"/>
      <c r="CG53" s="1146"/>
      <c r="CH53" s="649"/>
      <c r="CI53" s="1506"/>
      <c r="CJ53" s="1501" cm="1" t="str">
        <f t="array" ref="CJ53:CJ53">CJ52</f>
        <v>ТЭ.42.31656254.0001</v>
      </c>
      <c r="CK53" s="1501" t="s">
        <v>1396</v>
      </c>
      <c r="CL53" s="1501"/>
      <c r="CM53" s="1501"/>
      <c r="CN53" s="1501" t="s">
        <v>303</v>
      </c>
      <c r="CO53" s="1501" t="s">
        <v>1044</v>
      </c>
      <c r="CP53" s="1501" t="s">
        <v>1045</v>
      </c>
    </row>
    <row s="1751" customFormat="1" customHeight="1" ht="21.75" hidden="1">
      <c r="A54" s="371"/>
      <c r="B54" s="1548"/>
      <c r="C54" s="1548"/>
      <c r="D54" s="1548"/>
      <c r="E54" s="180">
        <v>0</v>
      </c>
      <c r="F54" s="175" cm="1" t="str">
        <f t="array" ref="F54:F54">F53</f>
        <v>1</v>
      </c>
      <c r="G54" s="1659"/>
      <c r="H54" s="1659"/>
      <c r="I54" s="1659"/>
      <c r="J54" s="1659"/>
      <c r="K54" s="1659"/>
      <c r="L54" s="1659"/>
      <c r="M54" s="1659"/>
      <c r="N54" s="1659"/>
      <c r="O54" s="1659"/>
      <c r="P54" s="1659"/>
      <c r="Q54" s="1659"/>
      <c r="R54" s="1659"/>
      <c r="S54" s="1659"/>
      <c r="T54" s="753" t="b">
        <v>0</v>
      </c>
      <c r="U54" s="1548"/>
      <c r="V54" s="1548"/>
      <c r="W54" s="1548"/>
      <c r="X54" s="1548"/>
      <c r="Y54" s="1548"/>
      <c r="Z54" s="1548"/>
      <c r="AA54" s="183"/>
      <c r="AB54" s="554"/>
      <c r="AC54" s="555"/>
      <c r="AD54" s="555"/>
      <c r="AE54" s="556"/>
      <c r="AF54" s="596"/>
      <c r="AG54" s="596"/>
      <c r="AH54" s="596"/>
      <c r="AI54" s="596"/>
      <c r="AJ54" s="596"/>
      <c r="AK54" s="596"/>
      <c r="AL54" s="596"/>
      <c r="AM54" s="596"/>
      <c r="AN54" s="596"/>
      <c r="AO54" s="596"/>
      <c r="AP54" s="596"/>
      <c r="AQ54" s="596"/>
      <c r="AR54" s="596"/>
      <c r="AS54" s="596"/>
      <c r="AT54" s="596"/>
      <c r="AU54" s="596"/>
      <c r="AV54" s="596"/>
      <c r="AW54" s="596"/>
      <c r="AX54" s="596"/>
      <c r="AY54" s="596"/>
      <c r="AZ54" s="596"/>
      <c r="BA54" s="596"/>
      <c r="BB54" s="596"/>
      <c r="BC54" s="596"/>
      <c r="BD54" s="596"/>
      <c r="BE54" s="596"/>
      <c r="BF54" s="596"/>
      <c r="BG54" s="596"/>
      <c r="BH54" s="596"/>
      <c r="BI54" s="596"/>
      <c r="BJ54" s="596"/>
      <c r="BK54" s="596"/>
      <c r="BL54" s="596"/>
      <c r="BM54" s="596"/>
      <c r="BN54" s="596"/>
      <c r="BO54" s="596"/>
      <c r="BP54" s="596"/>
      <c r="BQ54" s="596"/>
      <c r="BR54" s="596"/>
      <c r="BS54" s="596"/>
      <c r="BT54" s="596"/>
      <c r="BU54" s="596"/>
      <c r="BV54" s="596"/>
      <c r="BW54" s="596"/>
      <c r="BX54" s="597"/>
      <c r="BY54" s="183"/>
      <c r="BZ54" s="969"/>
      <c r="CA54" s="648" t="str">
        <f>IF(AND(ISNUMBER(VALUE(TRIM(SUBSTITUTE(AB54,".","")))),TRIM(SUBSTITUTE(AB54,".",""))&lt;&gt;""),"P"&amp;SUBSTITUTE(AB54,".",""),"")</f>
        <v/>
      </c>
      <c r="CB54" s="648"/>
      <c r="CC54" s="648"/>
      <c r="CD54" s="648"/>
      <c r="CE54" s="648"/>
      <c r="CF54" s="648"/>
      <c r="CG54" s="1146"/>
      <c r="CH54" s="649"/>
      <c r="CI54" s="1506"/>
      <c r="CJ54" s="1501" cm="1" t="str">
        <f t="array" ref="CJ54:CJ54">OFFSET(CK54,-1,-1)</f>
        <v>ТЭ.42.31656254.0001</v>
      </c>
      <c r="CK54" s="1501"/>
      <c r="CL54" s="1501"/>
      <c r="CM54" s="1501"/>
      <c r="CN54" s="1501"/>
      <c r="CO54" s="1501"/>
      <c r="CP54" s="1501"/>
    </row>
    <row s="1751" customFormat="1" customHeight="1" ht="17.25" hidden="1">
      <c r="A55" s="978" t="str">
        <f>"checkCosts_2."&amp;F55&amp;"."&amp;Y55</f>
        <v>checkCosts_2.1.0</v>
      </c>
      <c r="B55" s="1548"/>
      <c r="C55" s="1548"/>
      <c r="D55" s="1548"/>
      <c r="E55" s="180">
        <v>18</v>
      </c>
      <c r="F55" s="175" cm="1" t="str">
        <f t="array" ref="F55:F55">OFFSET(G55,-1,-1)</f>
        <v>1</v>
      </c>
      <c r="G55" s="1659"/>
      <c r="H55" s="193" cm="1" t="str">
        <f t="array" ref="H55:H55">AC55</f>
        <v>0</v>
      </c>
      <c r="I55" s="1659"/>
      <c r="J55" s="1659"/>
      <c r="K55" s="1659"/>
      <c r="L55" s="1659"/>
      <c r="M55" s="1659"/>
      <c r="N55" s="1659"/>
      <c r="O55" s="1659"/>
      <c r="P55" s="1659"/>
      <c r="Q55" s="1659"/>
      <c r="R55" s="1659"/>
      <c r="S55" s="1659"/>
      <c r="T55" s="753">
        <f>AND(F55&gt;0,Y55&gt;0)</f>
        <v>0</v>
      </c>
      <c r="U55" s="1548"/>
      <c r="V55" s="1548"/>
      <c r="W55" s="175" t="s">
        <v>189</v>
      </c>
      <c r="X55" s="1548"/>
      <c r="Y55" s="175">
        <v>0</v>
      </c>
      <c r="Z55" s="1548"/>
      <c r="AA55" s="1660" t="s">
        <v>171</v>
      </c>
      <c r="AB55" s="360" t="str">
        <f>"2."&amp;Y55</f>
        <v>2.0</v>
      </c>
      <c r="AC55" s="322"/>
      <c r="AD55" s="111"/>
      <c r="AE55" s="556" t="s">
        <v>917</v>
      </c>
      <c r="AF55" s="71">
        <f>AF56*AF57</f>
        <v>0</v>
      </c>
      <c r="AG55" s="71"/>
      <c r="AH55" s="71"/>
      <c r="AI55" s="71">
        <f>AI56*AI57</f>
        <v>0</v>
      </c>
      <c r="AJ55" s="353"/>
      <c r="AK55" s="71"/>
      <c r="AL55" s="71"/>
      <c r="AM55" s="71"/>
      <c r="AN55" s="71"/>
      <c r="AO55" s="71"/>
      <c r="AP55" s="71"/>
      <c r="AQ55" s="71"/>
      <c r="AR55" s="71"/>
      <c r="AS55" s="71"/>
      <c r="AT55" s="71"/>
      <c r="AU55" s="71"/>
      <c r="AV55" s="71"/>
      <c r="AW55" s="71"/>
      <c r="AX55" s="71"/>
      <c r="AY55" s="71"/>
      <c r="AZ55" s="71"/>
      <c r="BA55" s="71"/>
      <c r="BB55" s="71"/>
      <c r="BC55" s="71"/>
      <c r="BD55" s="353">
        <f>BD56*BD57</f>
        <v>0</v>
      </c>
      <c r="BE55" s="71">
        <f>BE56*BE57</f>
        <v>0</v>
      </c>
      <c r="BF55" s="71">
        <f>BF56*BF57</f>
        <v>0</v>
      </c>
      <c r="BG55" s="71">
        <f>BG56*BG57</f>
        <v>0</v>
      </c>
      <c r="BH55" s="71">
        <f>BH56*BH57</f>
        <v>0</v>
      </c>
      <c r="BI55" s="71">
        <f>BI56*BI57</f>
        <v>0</v>
      </c>
      <c r="BJ55" s="71">
        <f>BJ56*BJ57</f>
        <v>0</v>
      </c>
      <c r="BK55" s="71">
        <f>BK56*BK57</f>
        <v>0</v>
      </c>
      <c r="BL55" s="71">
        <f>BL56*BL57</f>
        <v>0</v>
      </c>
      <c r="BM55" s="71">
        <f>BM56*BM57</f>
        <v>0</v>
      </c>
      <c r="BN55" s="71">
        <f>BN56*BN57</f>
        <v>0</v>
      </c>
      <c r="BO55" s="71">
        <f>BO56*BO57</f>
        <v>0</v>
      </c>
      <c r="BP55" s="71">
        <f>BP56*BP57</f>
        <v>0</v>
      </c>
      <c r="BQ55" s="71">
        <f>BQ56*BQ57</f>
        <v>0</v>
      </c>
      <c r="BR55" s="71">
        <f>BR56*BR57</f>
        <v>0</v>
      </c>
      <c r="BS55" s="71">
        <f>BS56*BS57</f>
        <v>0</v>
      </c>
      <c r="BT55" s="71">
        <f>BT56*BT57</f>
        <v>0</v>
      </c>
      <c r="BU55" s="71">
        <f>BU56*BU57</f>
        <v>0</v>
      </c>
      <c r="BV55" s="71">
        <f>BV56*BV57</f>
        <v>0</v>
      </c>
      <c r="BW55" s="71">
        <f>BW56*BW57</f>
        <v>0</v>
      </c>
      <c r="BX55" s="83"/>
      <c r="BY55" s="183"/>
      <c r="BZ55" s="969"/>
      <c r="CA55" s="648" t="s">
        <v>1397</v>
      </c>
      <c r="CB55" s="648" t="s">
        <v>1398</v>
      </c>
      <c r="CC55" s="648" cm="1" t="str">
        <f t="array" ref="CC55:CC55">AC55</f>
        <v>0</v>
      </c>
      <c r="CD55" s="648" cm="1" t="str">
        <f t="array" ref="CD55:CD55">AD55</f>
        <v>0</v>
      </c>
      <c r="CE55" s="648" cm="1" t="str">
        <f t="array" ref="CE55:CE55">AE57</f>
        <v>тыс.куб.м</v>
      </c>
      <c r="CF55" s="648" cm="1" t="str">
        <f t="array" ref="CF55:CF55">AE56</f>
        <v>руб/куб.м</v>
      </c>
      <c r="CG55" s="1146"/>
      <c r="CH55" s="649" t="b">
        <v>1</v>
      </c>
      <c r="CI55" s="1506"/>
      <c r="CJ55" s="1501" cm="1" t="str">
        <f t="array" ref="CJ55:CJ55">CJ54</f>
        <v>ТЭ.42.31656254.0001</v>
      </c>
      <c r="CK55" s="1501" t="s">
        <v>1396</v>
      </c>
      <c r="CL55" s="1501" t="s">
        <v>219</v>
      </c>
      <c r="CM55" s="1501" cm="1" t="str">
        <f t="array" ref="CM55:CM55">$AC55</f>
        <v>0</v>
      </c>
      <c r="CN55" s="1501" t="s">
        <v>303</v>
      </c>
      <c r="CO55" s="1501" t="s">
        <v>919</v>
      </c>
      <c r="CP55" s="1501" t="s">
        <v>920</v>
      </c>
    </row>
    <row s="1751" customFormat="1" customHeight="1" ht="16.5" hidden="1">
      <c r="A56" s="371"/>
      <c r="B56" s="1548"/>
      <c r="C56" s="1548"/>
      <c r="D56" s="1548"/>
      <c r="E56" s="180">
        <v>17</v>
      </c>
      <c r="F56" s="175" cm="1" t="str">
        <f t="array" ref="F56:F56">F54</f>
        <v>1</v>
      </c>
      <c r="G56" s="1659"/>
      <c r="H56" s="193" cm="1" t="str">
        <f t="array" ref="H56:H56">H55</f>
        <v>0</v>
      </c>
      <c r="I56" s="1659"/>
      <c r="J56" s="1659"/>
      <c r="K56" s="1659"/>
      <c r="L56" s="1659"/>
      <c r="M56" s="1659"/>
      <c r="N56" s="1659"/>
      <c r="O56" s="1659"/>
      <c r="P56" s="1659"/>
      <c r="Q56" s="1659"/>
      <c r="R56" s="1659"/>
      <c r="S56" s="1659"/>
      <c r="T56" s="753" cm="1" t="str">
        <f t="array" ref="T56:T56">T55</f>
        <v>false</v>
      </c>
      <c r="U56" s="1548"/>
      <c r="V56" s="1548"/>
      <c r="W56" s="1548"/>
      <c r="X56" s="1548"/>
      <c r="Y56" s="1548"/>
      <c r="Z56" s="1548"/>
      <c r="AA56" s="1661"/>
      <c r="AB56" s="360" t="str">
        <f>AB55&amp;".1"</f>
        <v>2.0.1</v>
      </c>
      <c r="AC56" s="624" t="s">
        <v>1063</v>
      </c>
      <c r="AD56" s="624"/>
      <c r="AE56" s="114" t="s">
        <v>1144</v>
      </c>
      <c r="AF56" s="71"/>
      <c r="AG56" s="625">
        <f>IF(AG57=0,0,AG55/AG57)</f>
        <v>0</v>
      </c>
      <c r="AH56" s="625">
        <f>IF(AH57=0,0,AH55/AH57)</f>
        <v>0</v>
      </c>
      <c r="AI56" s="71"/>
      <c r="AJ56" s="625">
        <f>IF(AJ57=0,0,AJ55/AJ57)</f>
        <v>0</v>
      </c>
      <c r="AK56" s="625">
        <f>IF(AK57=0,0,AK55/AK57)</f>
        <v>0</v>
      </c>
      <c r="AL56" s="625">
        <f>IF(AL57=0,0,AL55/AL57)</f>
        <v>0</v>
      </c>
      <c r="AM56" s="625">
        <f>IF(AM57=0,0,AM55/AM57)</f>
        <v>0</v>
      </c>
      <c r="AN56" s="625">
        <f>IF(AN57=0,0,AN55/AN57)</f>
        <v>0</v>
      </c>
      <c r="AO56" s="625">
        <f>IF(AO57=0,0,AO55/AO57)</f>
        <v>0</v>
      </c>
      <c r="AP56" s="625">
        <f>IF(AP57=0,0,AP55/AP57)</f>
        <v>0</v>
      </c>
      <c r="AQ56" s="625">
        <f>IF(AQ57=0,0,AQ55/AQ57)</f>
        <v>0</v>
      </c>
      <c r="AR56" s="625">
        <f>IF(AR57=0,0,AR55/AR57)</f>
        <v>0</v>
      </c>
      <c r="AS56" s="625">
        <f>IF(AS57=0,0,AS55/AS57)</f>
        <v>0</v>
      </c>
      <c r="AT56" s="625">
        <f>IF(AT57=0,0,AT55/AT57)</f>
        <v>0</v>
      </c>
      <c r="AU56" s="625">
        <f>IF(AU57=0,0,AU55/AU57)</f>
        <v>0</v>
      </c>
      <c r="AV56" s="625">
        <f>IF(AV57=0,0,AV55/AV57)</f>
        <v>0</v>
      </c>
      <c r="AW56" s="625">
        <f>IF(AW57=0,0,AW55/AW57)</f>
        <v>0</v>
      </c>
      <c r="AX56" s="625">
        <f>IF(AX57=0,0,AX55/AX57)</f>
        <v>0</v>
      </c>
      <c r="AY56" s="625">
        <f>IF(AY57=0,0,AY55/AY57)</f>
        <v>0</v>
      </c>
      <c r="AZ56" s="625">
        <f>IF(AZ57=0,0,AZ55/AZ57)</f>
        <v>0</v>
      </c>
      <c r="BA56" s="625">
        <f>IF(BA57=0,0,BA55/BA57)</f>
        <v>0</v>
      </c>
      <c r="BB56" s="625">
        <f>IF(BB57=0,0,BB55/BB57)</f>
        <v>0</v>
      </c>
      <c r="BC56" s="625">
        <f>IF(BC57=0,0,BC55/BC57)</f>
        <v>0</v>
      </c>
      <c r="BD56" s="353"/>
      <c r="BE56" s="71"/>
      <c r="BF56" s="71"/>
      <c r="BG56" s="71"/>
      <c r="BH56" s="71"/>
      <c r="BI56" s="71"/>
      <c r="BJ56" s="71"/>
      <c r="BK56" s="71"/>
      <c r="BL56" s="71"/>
      <c r="BM56" s="71"/>
      <c r="BN56" s="71"/>
      <c r="BO56" s="71"/>
      <c r="BP56" s="71"/>
      <c r="BQ56" s="71"/>
      <c r="BR56" s="71"/>
      <c r="BS56" s="71"/>
      <c r="BT56" s="71"/>
      <c r="BU56" s="71"/>
      <c r="BV56" s="71"/>
      <c r="BW56" s="71"/>
      <c r="BX56" s="83"/>
      <c r="BY56" s="183"/>
      <c r="BZ56" s="969"/>
      <c r="CA56" s="648" t="s">
        <v>1399</v>
      </c>
      <c r="CB56" s="648" t="s">
        <v>1398</v>
      </c>
      <c r="CC56" s="648" cm="1" t="str">
        <f t="array" ref="CC56:CC56">CC55</f>
        <v>0</v>
      </c>
      <c r="CD56" s="648" cm="1" t="str">
        <f t="array" ref="CD56:CD56">CD55</f>
        <v>0</v>
      </c>
      <c r="CE56" s="648" cm="1" t="str">
        <f t="array" ref="CE56:CE56">CE55</f>
        <v>тыс.куб.м</v>
      </c>
      <c r="CF56" s="648" cm="1" t="str">
        <f t="array" ref="CF56:CF56">CF55</f>
        <v>руб/куб.м</v>
      </c>
      <c r="CG56" s="1146"/>
      <c r="CH56" s="649"/>
      <c r="CI56" s="1506"/>
      <c r="CJ56" s="1501" cm="1" t="str">
        <f t="array" ref="CJ56:CJ56">CJ55</f>
        <v>ТЭ.42.31656254.0001</v>
      </c>
      <c r="CK56" s="1501" t="s">
        <v>1396</v>
      </c>
      <c r="CL56" s="1501" t="s">
        <v>255</v>
      </c>
      <c r="CM56" s="1501" cm="1" t="str">
        <f t="array" ref="CM56:CM56">CM55</f>
        <v>0</v>
      </c>
      <c r="CN56" s="1501" t="s">
        <v>303</v>
      </c>
      <c r="CO56" s="1501" t="s">
        <v>914</v>
      </c>
      <c r="CP56" s="1501" t="s">
        <v>915</v>
      </c>
    </row>
    <row s="1751" customFormat="1" customHeight="1" ht="16.5" hidden="1">
      <c r="A57" s="978" t="str">
        <f>"checkVolume_2."&amp;F57&amp;"."&amp;Y55</f>
        <v>checkVolume_2.1.0</v>
      </c>
      <c r="B57" s="1548"/>
      <c r="C57" s="1548"/>
      <c r="D57" s="1548"/>
      <c r="E57" s="180">
        <v>17</v>
      </c>
      <c r="F57" s="175" cm="1" t="str">
        <f t="array" ref="F57:F57">F55</f>
        <v>1</v>
      </c>
      <c r="G57" s="1659"/>
      <c r="H57" s="193" cm="1" t="str">
        <f t="array" ref="H57:H57">H55</f>
        <v>0</v>
      </c>
      <c r="I57" s="1659"/>
      <c r="J57" s="1659"/>
      <c r="K57" s="1659"/>
      <c r="L57" s="1659"/>
      <c r="M57" s="1659"/>
      <c r="N57" s="1659"/>
      <c r="O57" s="1659"/>
      <c r="P57" s="1659"/>
      <c r="Q57" s="1659"/>
      <c r="R57" s="1659"/>
      <c r="S57" s="1659"/>
      <c r="T57" s="753" cm="1" t="str">
        <f t="array" ref="T57:T57">T55</f>
        <v>false</v>
      </c>
      <c r="U57" s="1548"/>
      <c r="V57" s="1548"/>
      <c r="W57" s="1548"/>
      <c r="X57" s="1548"/>
      <c r="Y57" s="1548"/>
      <c r="Z57" s="1548"/>
      <c r="AA57" s="1661"/>
      <c r="AB57" s="360" t="str">
        <f>AB55&amp;".2"</f>
        <v>2.0.2</v>
      </c>
      <c r="AC57" s="624" t="s">
        <v>1390</v>
      </c>
      <c r="AD57" s="624"/>
      <c r="AE57" s="114" t="s">
        <v>1149</v>
      </c>
      <c r="AF57" s="71"/>
      <c r="AG57" s="71"/>
      <c r="AH57" s="71"/>
      <c r="AI57" s="71"/>
      <c r="AJ57" s="353"/>
      <c r="AK57" s="71"/>
      <c r="AL57" s="71"/>
      <c r="AM57" s="71"/>
      <c r="AN57" s="71"/>
      <c r="AO57" s="71"/>
      <c r="AP57" s="71"/>
      <c r="AQ57" s="71"/>
      <c r="AR57" s="71"/>
      <c r="AS57" s="71"/>
      <c r="AT57" s="71"/>
      <c r="AU57" s="71"/>
      <c r="AV57" s="71"/>
      <c r="AW57" s="71"/>
      <c r="AX57" s="71"/>
      <c r="AY57" s="71"/>
      <c r="AZ57" s="71"/>
      <c r="BA57" s="71"/>
      <c r="BB57" s="71"/>
      <c r="BC57" s="71"/>
      <c r="BD57" s="353"/>
      <c r="BE57" s="71"/>
      <c r="BF57" s="71"/>
      <c r="BG57" s="71"/>
      <c r="BH57" s="71"/>
      <c r="BI57" s="71"/>
      <c r="BJ57" s="71"/>
      <c r="BK57" s="71"/>
      <c r="BL57" s="71"/>
      <c r="BM57" s="71"/>
      <c r="BN57" s="71"/>
      <c r="BO57" s="71"/>
      <c r="BP57" s="71"/>
      <c r="BQ57" s="71"/>
      <c r="BR57" s="71"/>
      <c r="BS57" s="71"/>
      <c r="BT57" s="71"/>
      <c r="BU57" s="71"/>
      <c r="BV57" s="71"/>
      <c r="BW57" s="71"/>
      <c r="BX57" s="83"/>
      <c r="BY57" s="183"/>
      <c r="BZ57" s="969"/>
      <c r="CA57" s="648" t="s">
        <v>1400</v>
      </c>
      <c r="CB57" s="648" t="s">
        <v>1398</v>
      </c>
      <c r="CC57" s="648" cm="1" t="str">
        <f t="array" ref="CC57:CC57">CC55</f>
        <v>0</v>
      </c>
      <c r="CD57" s="648" cm="1" t="str">
        <f t="array" ref="CD57:CD57">CD55</f>
        <v>0</v>
      </c>
      <c r="CE57" s="648" cm="1" t="str">
        <f t="array" ref="CE57:CE57">CE55</f>
        <v>тыс.куб.м</v>
      </c>
      <c r="CF57" s="648" cm="1" t="str">
        <f t="array" ref="CF57:CF57">CF55</f>
        <v>руб/куб.м</v>
      </c>
      <c r="CG57" s="1146"/>
      <c r="CH57" s="649"/>
      <c r="CI57" s="1506"/>
      <c r="CJ57" s="1501" cm="1" t="str">
        <f t="array" ref="CJ57:CJ57">CJ56</f>
        <v>ТЭ.42.31656254.0001</v>
      </c>
      <c r="CK57" s="1501" t="s">
        <v>1396</v>
      </c>
      <c r="CL57" s="1501" t="s">
        <v>449</v>
      </c>
      <c r="CM57" s="1501" cm="1" t="str">
        <f t="array" ref="CM57:CM57">CM56</f>
        <v>0</v>
      </c>
      <c r="CN57" s="1501" t="s">
        <v>303</v>
      </c>
      <c r="CO57" s="1501" t="s">
        <v>1163</v>
      </c>
      <c r="CP57" s="1501" t="s">
        <v>1164</v>
      </c>
    </row>
    <row s="1751" customFormat="1" customHeight="1" ht="16.5">
      <c r="A58" s="371"/>
      <c r="B58" s="1548"/>
      <c r="C58" s="1548"/>
      <c r="D58" s="1548"/>
      <c r="E58" s="180">
        <v>17</v>
      </c>
      <c r="F58" s="175" cm="1" t="str">
        <f t="array" ref="F58:F58">F54</f>
        <v>1</v>
      </c>
      <c r="G58" s="1659"/>
      <c r="H58" s="1659"/>
      <c r="I58" s="1659"/>
      <c r="J58" s="1659"/>
      <c r="K58" s="1659"/>
      <c r="L58" s="1659"/>
      <c r="M58" s="1659"/>
      <c r="N58" s="1659"/>
      <c r="O58" s="1659"/>
      <c r="P58" s="1659"/>
      <c r="Q58" s="1659"/>
      <c r="R58" s="1659"/>
      <c r="S58" s="1659"/>
      <c r="T58" s="753">
        <f>F58&gt;0</f>
        <v>1</v>
      </c>
      <c r="U58" s="1548"/>
      <c r="V58" s="1548"/>
      <c r="W58" s="176" t="s">
        <v>1401</v>
      </c>
      <c r="X58" s="1548"/>
      <c r="Y58" s="1548"/>
      <c r="Z58" s="1548"/>
      <c r="AA58" s="183"/>
      <c r="AB58" s="405"/>
      <c r="AC58" s="407" t="s">
        <v>1111</v>
      </c>
      <c r="AD58" s="407"/>
      <c r="AE58" s="407"/>
      <c r="AF58" s="407"/>
      <c r="AG58" s="407"/>
      <c r="AH58" s="407"/>
      <c r="AI58" s="407"/>
      <c r="AJ58" s="407"/>
      <c r="AK58" s="407"/>
      <c r="AL58" s="407"/>
      <c r="AM58" s="407"/>
      <c r="AN58" s="407"/>
      <c r="AO58" s="407"/>
      <c r="AP58" s="407"/>
      <c r="AQ58" s="407"/>
      <c r="AR58" s="407"/>
      <c r="AS58" s="407"/>
      <c r="AT58" s="407"/>
      <c r="AU58" s="407"/>
      <c r="AV58" s="407"/>
      <c r="AW58" s="407"/>
      <c r="AX58" s="407"/>
      <c r="AY58" s="407"/>
      <c r="AZ58" s="407"/>
      <c r="BA58" s="407"/>
      <c r="BB58" s="407"/>
      <c r="BC58" s="407"/>
      <c r="BD58" s="407"/>
      <c r="BE58" s="407"/>
      <c r="BF58" s="407"/>
      <c r="BG58" s="407"/>
      <c r="BH58" s="407"/>
      <c r="BI58" s="407"/>
      <c r="BJ58" s="407"/>
      <c r="BK58" s="407"/>
      <c r="BL58" s="407"/>
      <c r="BM58" s="407"/>
      <c r="BN58" s="407"/>
      <c r="BO58" s="407"/>
      <c r="BP58" s="407"/>
      <c r="BQ58" s="407"/>
      <c r="BR58" s="407"/>
      <c r="BS58" s="407"/>
      <c r="BT58" s="407"/>
      <c r="BU58" s="407"/>
      <c r="BV58" s="407"/>
      <c r="BW58" s="407"/>
      <c r="BX58" s="610"/>
      <c r="BY58" s="183"/>
      <c r="BZ58" s="969"/>
      <c r="CA58" s="648" t="str">
        <f>IF(AND(ISNUMBER(VALUE(TRIM(SUBSTITUTE(AB58,".","")))),TRIM(SUBSTITUTE(AB58,".",""))&lt;&gt;""),"P"&amp;SUBSTITUTE(AB58,".",""),"")</f>
        <v/>
      </c>
      <c r="CB58" s="648"/>
      <c r="CC58" s="648"/>
      <c r="CD58" s="648"/>
      <c r="CE58" s="648"/>
      <c r="CF58" s="648"/>
      <c r="CG58" s="1146" t="s">
        <v>1398</v>
      </c>
      <c r="CH58" s="649"/>
      <c r="CI58" s="1506"/>
      <c r="CJ58" s="1501" cm="1" t="str">
        <f t="array" ref="CJ58:CJ58">OFFSET(CK58,-1,-1)</f>
        <v>ТЭ.42.31656254.0001</v>
      </c>
      <c r="CK58" s="1501"/>
      <c r="CL58" s="1501"/>
      <c r="CM58" s="1501"/>
      <c r="CN58" s="1501"/>
      <c r="CO58" s="1501"/>
      <c r="CP58" s="1501"/>
    </row>
    <row s="1751" customFormat="1" customHeight="1" ht="16.5">
      <c r="A59" s="371"/>
      <c r="B59" s="1548"/>
      <c r="C59" s="1548"/>
      <c r="D59" s="1548"/>
      <c r="E59" s="180">
        <v>17</v>
      </c>
      <c r="F59" s="175" cm="1" t="str">
        <f t="array" ref="F59:F59">F58</f>
        <v>1</v>
      </c>
      <c r="G59" s="1659"/>
      <c r="H59" s="1659"/>
      <c r="I59" s="1659"/>
      <c r="J59" s="1659"/>
      <c r="K59" s="1659"/>
      <c r="L59" s="1659"/>
      <c r="M59" s="1659"/>
      <c r="N59" s="1659"/>
      <c r="O59" s="1659"/>
      <c r="P59" s="1659"/>
      <c r="Q59" s="1659"/>
      <c r="R59" s="1659"/>
      <c r="S59" s="1659"/>
      <c r="T59" s="753">
        <f>F59&gt;0</f>
        <v>1</v>
      </c>
      <c r="U59" s="1548"/>
      <c r="V59" s="1548"/>
      <c r="W59" s="1548"/>
      <c r="X59" s="1548"/>
      <c r="Y59" s="1548"/>
      <c r="Z59" s="1548"/>
      <c r="AA59" s="183"/>
      <c r="AB59" s="554">
        <v>3</v>
      </c>
      <c r="AC59" s="555" t="s">
        <v>1402</v>
      </c>
      <c r="AD59" s="555"/>
      <c r="AE59" s="556" t="s">
        <v>917</v>
      </c>
      <c r="AF59" s="587">
        <f>SUMIF($AE60:$AE64,$AE59,AF60:AF64)</f>
        <v>0</v>
      </c>
      <c r="AG59" s="587">
        <f>SUMIF($AE60:$AE64,$AE59,AG60:AG64)</f>
        <v>0</v>
      </c>
      <c r="AH59" s="587">
        <f>SUMIF($AE60:$AE64,$AE59,AH60:AH64)</f>
        <v>0</v>
      </c>
      <c r="AI59" s="587">
        <f>SUMIF($AE60:$AE64,$AE59,AI60:AI64)</f>
        <v>0</v>
      </c>
      <c r="AJ59" s="587">
        <f>SUMIF($AE60:$AE64,$AE59,AJ60:AJ64)</f>
        <v>0</v>
      </c>
      <c r="AK59" s="2286">
        <f>SUMIF($AE60:$AE64,$AE59,AK60:AK64)</f>
        <v>0</v>
      </c>
      <c r="AL59" s="2286">
        <f>SUMIF($AE60:$AE64,$AE59,AL60:AL64)</f>
        <v>0</v>
      </c>
      <c r="AM59" s="2286">
        <f>SUMIF($AE60:$AE64,$AE59,AM60:AM64)</f>
        <v>0</v>
      </c>
      <c r="AN59" s="2286">
        <f>SUMIF($AE60:$AE64,$AE59,AN60:AN64)</f>
        <v>0</v>
      </c>
      <c r="AO59" s="2286">
        <f>SUMIF($AE60:$AE64,$AE59,AO60:AO64)</f>
        <v>0</v>
      </c>
      <c r="AP59" s="2286">
        <f>SUMIF($AE60:$AE64,$AE59,AP60:AP64)</f>
        <v>0</v>
      </c>
      <c r="AQ59" s="2286">
        <f>SUMIF($AE60:$AE64,$AE59,AQ60:AQ64)</f>
        <v>0</v>
      </c>
      <c r="AR59" s="2286">
        <f>SUMIF($AE60:$AE64,$AE59,AR60:AR64)</f>
        <v>0</v>
      </c>
      <c r="AS59" s="2286">
        <f>SUMIF($AE60:$AE64,$AE59,AS60:AS64)</f>
        <v>0</v>
      </c>
      <c r="AT59" s="2286">
        <f>SUMIF($AE60:$AE64,$AE59,AT60:AT64)</f>
        <v>0</v>
      </c>
      <c r="AU59" s="2286">
        <f>SUMIF($AE60:$AE64,$AE59,AU60:AU64)</f>
        <v>0</v>
      </c>
      <c r="AV59" s="2286">
        <f>SUMIF($AE60:$AE64,$AE59,AV60:AV64)</f>
        <v>0</v>
      </c>
      <c r="AW59" s="2286">
        <f>SUMIF($AE60:$AE64,$AE59,AW60:AW64)</f>
        <v>0</v>
      </c>
      <c r="AX59" s="2286">
        <f>SUMIF($AE60:$AE64,$AE59,AX60:AX64)</f>
        <v>0</v>
      </c>
      <c r="AY59" s="2286">
        <f>SUMIF($AE60:$AE64,$AE59,AY60:AY64)</f>
        <v>0</v>
      </c>
      <c r="AZ59" s="2286">
        <f>SUMIF($AE60:$AE64,$AE59,AZ60:AZ64)</f>
        <v>0</v>
      </c>
      <c r="BA59" s="2286">
        <f>SUMIF($AE60:$AE64,$AE59,BA60:BA64)</f>
        <v>0</v>
      </c>
      <c r="BB59" s="2286">
        <f>SUMIF($AE60:$AE64,$AE59,BB60:BB64)</f>
        <v>0</v>
      </c>
      <c r="BC59" s="2286">
        <f>SUMIF($AE60:$AE64,$AE59,BC60:BC64)</f>
        <v>0</v>
      </c>
      <c r="BD59" s="587">
        <f>SUMIF($AE60:$AE64,$AE59,BD60:BD64)</f>
        <v>0</v>
      </c>
      <c r="BE59" s="2286">
        <f>SUMIF($AE60:$AE64,$AE59,BE60:BE64)</f>
        <v>0</v>
      </c>
      <c r="BF59" s="2286">
        <f>SUMIF($AE60:$AE64,$AE59,BF60:BF64)</f>
        <v>0</v>
      </c>
      <c r="BG59" s="2286">
        <f>SUMIF($AE60:$AE64,$AE59,BG60:BG64)</f>
        <v>0</v>
      </c>
      <c r="BH59" s="2286">
        <f>SUMIF($AE60:$AE64,$AE59,BH60:BH64)</f>
        <v>0</v>
      </c>
      <c r="BI59" s="2286">
        <f>SUMIF($AE60:$AE64,$AE59,BI60:BI64)</f>
        <v>0</v>
      </c>
      <c r="BJ59" s="2286">
        <f>SUMIF($AE60:$AE64,$AE59,BJ60:BJ64)</f>
        <v>0</v>
      </c>
      <c r="BK59" s="2286">
        <f>SUMIF($AE60:$AE64,$AE59,BK60:BK64)</f>
        <v>0</v>
      </c>
      <c r="BL59" s="2286">
        <f>SUMIF($AE60:$AE64,$AE59,BL60:BL64)</f>
        <v>0</v>
      </c>
      <c r="BM59" s="2286">
        <f>SUMIF($AE60:$AE64,$AE59,BM60:BM64)</f>
        <v>0</v>
      </c>
      <c r="BN59" s="2286">
        <f>SUMIF($AE60:$AE64,$AE59,BN60:BN64)</f>
        <v>0</v>
      </c>
      <c r="BO59" s="2286">
        <f>SUMIF($AE60:$AE64,$AE59,BO60:BO64)</f>
        <v>0</v>
      </c>
      <c r="BP59" s="2286">
        <f>SUMIF($AE60:$AE64,$AE59,BP60:BP64)</f>
        <v>0</v>
      </c>
      <c r="BQ59" s="2286">
        <f>SUMIF($AE60:$AE64,$AE59,BQ60:BQ64)</f>
        <v>0</v>
      </c>
      <c r="BR59" s="2286">
        <f>SUMIF($AE60:$AE64,$AE59,BR60:BR64)</f>
        <v>0</v>
      </c>
      <c r="BS59" s="2286">
        <f>SUMIF($AE60:$AE64,$AE59,BS60:BS64)</f>
        <v>0</v>
      </c>
      <c r="BT59" s="2286">
        <f>SUMIF($AE60:$AE64,$AE59,BT60:BT64)</f>
        <v>0</v>
      </c>
      <c r="BU59" s="2286">
        <f>SUMIF($AE60:$AE64,$AE59,BU60:BU64)</f>
        <v>0</v>
      </c>
      <c r="BV59" s="2286">
        <f>SUMIF($AE60:$AE64,$AE59,BV60:BV64)</f>
        <v>0</v>
      </c>
      <c r="BW59" s="2286">
        <f>SUMIF($AE60:$AE64,$AE59,BW60:BW64)</f>
        <v>0</v>
      </c>
      <c r="BX59" s="1897"/>
      <c r="BY59" s="183"/>
      <c r="BZ59" s="969"/>
      <c r="CA59" s="648" t="s">
        <v>1403</v>
      </c>
      <c r="CB59" s="648"/>
      <c r="CC59" s="648"/>
      <c r="CD59" s="648"/>
      <c r="CE59" s="648"/>
      <c r="CF59" s="648"/>
      <c r="CG59" s="1146"/>
      <c r="CH59" s="649"/>
      <c r="CI59" s="1506"/>
      <c r="CJ59" s="1501" cm="1" t="str">
        <f t="array" ref="CJ59:CJ59">CJ58</f>
        <v>ТЭ.42.31656254.0001</v>
      </c>
      <c r="CK59" s="1501" t="s">
        <v>1404</v>
      </c>
      <c r="CL59" s="1501"/>
      <c r="CM59" s="1501"/>
      <c r="CN59" s="1501" t="s">
        <v>303</v>
      </c>
      <c r="CO59" s="1501" t="s">
        <v>1044</v>
      </c>
      <c r="CP59" s="1501" t="s">
        <v>1045</v>
      </c>
    </row>
    <row s="1751" customFormat="1" customHeight="1" ht="20.25" hidden="1">
      <c r="A60" s="371"/>
      <c r="B60" s="1548"/>
      <c r="C60" s="1548"/>
      <c r="D60" s="1548"/>
      <c r="E60" s="180">
        <v>0</v>
      </c>
      <c r="F60" s="175" cm="1" t="str">
        <f t="array" ref="F60:F60">F59</f>
        <v>1</v>
      </c>
      <c r="G60" s="1659"/>
      <c r="H60" s="1659"/>
      <c r="I60" s="1659"/>
      <c r="J60" s="1659"/>
      <c r="K60" s="1659"/>
      <c r="L60" s="1659"/>
      <c r="M60" s="1659"/>
      <c r="N60" s="1659"/>
      <c r="O60" s="1659"/>
      <c r="P60" s="1659"/>
      <c r="Q60" s="1659"/>
      <c r="R60" s="1659"/>
      <c r="S60" s="1659"/>
      <c r="T60" s="753" t="b">
        <v>0</v>
      </c>
      <c r="U60" s="1548"/>
      <c r="V60" s="1548"/>
      <c r="W60" s="1548"/>
      <c r="X60" s="1548"/>
      <c r="Y60" s="1548"/>
      <c r="Z60" s="1548"/>
      <c r="AA60" s="183"/>
      <c r="AB60" s="554"/>
      <c r="AC60" s="555"/>
      <c r="AD60" s="555"/>
      <c r="AE60" s="556"/>
      <c r="AF60" s="596"/>
      <c r="AG60" s="596"/>
      <c r="AH60" s="596"/>
      <c r="AI60" s="596"/>
      <c r="AJ60" s="596"/>
      <c r="AK60" s="596"/>
      <c r="AL60" s="596"/>
      <c r="AM60" s="596"/>
      <c r="AN60" s="596"/>
      <c r="AO60" s="596"/>
      <c r="AP60" s="596"/>
      <c r="AQ60" s="596"/>
      <c r="AR60" s="596"/>
      <c r="AS60" s="596"/>
      <c r="AT60" s="596"/>
      <c r="AU60" s="596"/>
      <c r="AV60" s="596"/>
      <c r="AW60" s="596"/>
      <c r="AX60" s="596"/>
      <c r="AY60" s="596"/>
      <c r="AZ60" s="596"/>
      <c r="BA60" s="596"/>
      <c r="BB60" s="596"/>
      <c r="BC60" s="596"/>
      <c r="BD60" s="596"/>
      <c r="BE60" s="596"/>
      <c r="BF60" s="596"/>
      <c r="BG60" s="596"/>
      <c r="BH60" s="596"/>
      <c r="BI60" s="596"/>
      <c r="BJ60" s="596"/>
      <c r="BK60" s="596"/>
      <c r="BL60" s="596"/>
      <c r="BM60" s="596"/>
      <c r="BN60" s="596"/>
      <c r="BO60" s="596"/>
      <c r="BP60" s="596"/>
      <c r="BQ60" s="596"/>
      <c r="BR60" s="596"/>
      <c r="BS60" s="596"/>
      <c r="BT60" s="596"/>
      <c r="BU60" s="596"/>
      <c r="BV60" s="596"/>
      <c r="BW60" s="596"/>
      <c r="BX60" s="597"/>
      <c r="BY60" s="183"/>
      <c r="BZ60" s="969"/>
      <c r="CA60" s="648" t="str">
        <f>IF(AND(ISNUMBER(VALUE(TRIM(SUBSTITUTE(AB60,".","")))),TRIM(SUBSTITUTE(AB60,".",""))&lt;&gt;""),"P"&amp;SUBSTITUTE(AB60,".",""),"")</f>
        <v/>
      </c>
      <c r="CB60" s="648"/>
      <c r="CC60" s="648"/>
      <c r="CD60" s="648"/>
      <c r="CE60" s="648"/>
      <c r="CF60" s="648"/>
      <c r="CG60" s="1146"/>
      <c r="CH60" s="649"/>
      <c r="CI60" s="1506"/>
      <c r="CJ60" s="1501" cm="1" t="str">
        <f t="array" ref="CJ60:CJ60">CJ59</f>
        <v>ТЭ.42.31656254.0001</v>
      </c>
      <c r="CK60" s="1501"/>
      <c r="CL60" s="1501"/>
      <c r="CM60" s="1501"/>
      <c r="CN60" s="1501"/>
      <c r="CO60" s="1501"/>
      <c r="CP60" s="1501"/>
    </row>
    <row s="1751" customFormat="1" customHeight="1" ht="21.75" hidden="1">
      <c r="A61" s="978" t="str">
        <f>"checkCosts_3."&amp;F61&amp;"."&amp;Y61</f>
        <v>checkCosts_3.1.0</v>
      </c>
      <c r="B61" s="1548"/>
      <c r="C61" s="1548"/>
      <c r="D61" s="1548"/>
      <c r="E61" s="180">
        <v>23</v>
      </c>
      <c r="F61" s="175" cm="1" t="str">
        <f t="array" ref="F61:F61">OFFSET(G61,-1,-1)</f>
        <v>1</v>
      </c>
      <c r="G61" s="1659"/>
      <c r="H61" s="193" cm="1" t="str">
        <f t="array" ref="H61:H61">AC61</f>
        <v>0</v>
      </c>
      <c r="I61" s="1659"/>
      <c r="J61" s="1659"/>
      <c r="K61" s="1659"/>
      <c r="L61" s="1659"/>
      <c r="M61" s="1659"/>
      <c r="N61" s="1659"/>
      <c r="O61" s="1659"/>
      <c r="P61" s="1659"/>
      <c r="Q61" s="1659"/>
      <c r="R61" s="1659"/>
      <c r="S61" s="1659"/>
      <c r="T61" s="753">
        <f>AND(F61&gt;0,Y61&gt;0)</f>
        <v>0</v>
      </c>
      <c r="U61" s="1548"/>
      <c r="V61" s="1548"/>
      <c r="W61" s="175" t="s">
        <v>189</v>
      </c>
      <c r="X61" s="1548"/>
      <c r="Y61" s="175">
        <v>0</v>
      </c>
      <c r="Z61" s="1548"/>
      <c r="AA61" s="1660" t="s">
        <v>171</v>
      </c>
      <c r="AB61" s="360" t="str">
        <f>"3."&amp;Y61</f>
        <v>3.0</v>
      </c>
      <c r="AC61" s="115"/>
      <c r="AD61" s="111"/>
      <c r="AE61" s="556" t="s">
        <v>917</v>
      </c>
      <c r="AF61" s="71">
        <f>AF62*AF63</f>
        <v>0</v>
      </c>
      <c r="AG61" s="71"/>
      <c r="AH61" s="71"/>
      <c r="AI61" s="71">
        <f>AI62*AI63</f>
        <v>0</v>
      </c>
      <c r="AJ61" s="353"/>
      <c r="AK61" s="71"/>
      <c r="AL61" s="71"/>
      <c r="AM61" s="71"/>
      <c r="AN61" s="71"/>
      <c r="AO61" s="71"/>
      <c r="AP61" s="71"/>
      <c r="AQ61" s="71"/>
      <c r="AR61" s="71"/>
      <c r="AS61" s="71"/>
      <c r="AT61" s="71"/>
      <c r="AU61" s="71"/>
      <c r="AV61" s="71"/>
      <c r="AW61" s="71"/>
      <c r="AX61" s="71"/>
      <c r="AY61" s="71"/>
      <c r="AZ61" s="71"/>
      <c r="BA61" s="71"/>
      <c r="BB61" s="71"/>
      <c r="BC61" s="71"/>
      <c r="BD61" s="353">
        <f>BD62*BD63</f>
        <v>0</v>
      </c>
      <c r="BE61" s="71">
        <f>BE62*BE63</f>
        <v>0</v>
      </c>
      <c r="BF61" s="71">
        <f>BF62*BF63</f>
        <v>0</v>
      </c>
      <c r="BG61" s="71">
        <f>BG62*BG63</f>
        <v>0</v>
      </c>
      <c r="BH61" s="71">
        <f>BH62*BH63</f>
        <v>0</v>
      </c>
      <c r="BI61" s="71">
        <f>BI62*BI63</f>
        <v>0</v>
      </c>
      <c r="BJ61" s="71">
        <f>BJ62*BJ63</f>
        <v>0</v>
      </c>
      <c r="BK61" s="71">
        <f>BK62*BK63</f>
        <v>0</v>
      </c>
      <c r="BL61" s="71">
        <f>BL62*BL63</f>
        <v>0</v>
      </c>
      <c r="BM61" s="71">
        <f>BM62*BM63</f>
        <v>0</v>
      </c>
      <c r="BN61" s="71">
        <f>BN62*BN63</f>
        <v>0</v>
      </c>
      <c r="BO61" s="71">
        <f>BO62*BO63</f>
        <v>0</v>
      </c>
      <c r="BP61" s="71">
        <f>BP62*BP63</f>
        <v>0</v>
      </c>
      <c r="BQ61" s="71">
        <f>BQ62*BQ63</f>
        <v>0</v>
      </c>
      <c r="BR61" s="71">
        <f>BR62*BR63</f>
        <v>0</v>
      </c>
      <c r="BS61" s="71">
        <f>BS62*BS63</f>
        <v>0</v>
      </c>
      <c r="BT61" s="71">
        <f>BT62*BT63</f>
        <v>0</v>
      </c>
      <c r="BU61" s="71">
        <f>BU62*BU63</f>
        <v>0</v>
      </c>
      <c r="BV61" s="71">
        <f>BV62*BV63</f>
        <v>0</v>
      </c>
      <c r="BW61" s="71">
        <f>BW62*BW63</f>
        <v>0</v>
      </c>
      <c r="BX61" s="83"/>
      <c r="BY61" s="183"/>
      <c r="BZ61" s="969"/>
      <c r="CA61" s="648" t="s">
        <v>1405</v>
      </c>
      <c r="CB61" s="648" t="s">
        <v>1406</v>
      </c>
      <c r="CC61" s="648" cm="1" t="str">
        <f t="array" ref="CC61:CC61">AC61</f>
        <v>0</v>
      </c>
      <c r="CD61" s="648" cm="1" t="str">
        <f t="array" ref="CD61:CD61">AD61</f>
        <v>0</v>
      </c>
      <c r="CE61" s="648" cm="1" t="str">
        <f t="array" ref="CE61:CE61">AE63</f>
        <v>0</v>
      </c>
      <c r="CF61" s="648" cm="1" t="str">
        <f t="array" ref="CF61:CF61">AE62</f>
        <v>0</v>
      </c>
      <c r="CG61" s="1146"/>
      <c r="CH61" s="649" t="b">
        <v>1</v>
      </c>
      <c r="CI61" s="1506"/>
      <c r="CJ61" s="1501" cm="1" t="str">
        <f t="array" ref="CJ61:CJ61">OFFSET(CK61,-1,-1)</f>
        <v>ТЭ.42.31656254.0001</v>
      </c>
      <c r="CK61" s="1501" t="s">
        <v>1404</v>
      </c>
      <c r="CL61" s="1501" t="s">
        <v>219</v>
      </c>
      <c r="CM61" s="1501" cm="1" t="str">
        <f t="array" ref="CM61:CM61">$AC61</f>
        <v>0</v>
      </c>
      <c r="CN61" s="1501" t="s">
        <v>303</v>
      </c>
      <c r="CO61" s="1501" t="s">
        <v>919</v>
      </c>
      <c r="CP61" s="1501" t="s">
        <v>920</v>
      </c>
    </row>
    <row s="1751" customFormat="1" customHeight="1" ht="16.5" hidden="1">
      <c r="A62" s="371"/>
      <c r="B62" s="1548"/>
      <c r="C62" s="1548"/>
      <c r="D62" s="1548"/>
      <c r="E62" s="180">
        <v>17</v>
      </c>
      <c r="F62" s="175" cm="1" t="str">
        <f t="array" ref="F62:F62">F60</f>
        <v>1</v>
      </c>
      <c r="G62" s="1659"/>
      <c r="H62" s="193" cm="1" t="str">
        <f t="array" ref="H62:H62">H61</f>
        <v>0</v>
      </c>
      <c r="I62" s="1659"/>
      <c r="J62" s="1659"/>
      <c r="K62" s="1659"/>
      <c r="L62" s="1659"/>
      <c r="M62" s="1659"/>
      <c r="N62" s="1659"/>
      <c r="O62" s="1659"/>
      <c r="P62" s="1659"/>
      <c r="Q62" s="1659"/>
      <c r="R62" s="1659"/>
      <c r="S62" s="1659"/>
      <c r="T62" s="753" cm="1" t="str">
        <f t="array" ref="T62:T62">T61</f>
        <v>false</v>
      </c>
      <c r="U62" s="1548"/>
      <c r="V62" s="1548"/>
      <c r="W62" s="1548"/>
      <c r="X62" s="1548"/>
      <c r="Y62" s="1548"/>
      <c r="Z62" s="1548"/>
      <c r="AA62" s="1661"/>
      <c r="AB62" s="360" t="str">
        <f>AB61&amp;".1"</f>
        <v>3.0.1</v>
      </c>
      <c r="AC62" s="624" t="s">
        <v>1063</v>
      </c>
      <c r="AD62" s="624"/>
      <c r="AE62" s="114"/>
      <c r="AF62" s="71"/>
      <c r="AG62" s="625">
        <f>IF(AG63=0,0,AG61/AG63)</f>
        <v>0</v>
      </c>
      <c r="AH62" s="625">
        <f>IF(AH63=0,0,AH61/AH63)</f>
        <v>0</v>
      </c>
      <c r="AI62" s="71"/>
      <c r="AJ62" s="625">
        <f>IF(AJ63=0,0,AJ61/AJ63)</f>
        <v>0</v>
      </c>
      <c r="AK62" s="625">
        <f>IF(AK63=0,0,AK61/AK63)</f>
        <v>0</v>
      </c>
      <c r="AL62" s="625">
        <f>IF(AL63=0,0,AL61/AL63)</f>
        <v>0</v>
      </c>
      <c r="AM62" s="625">
        <f>IF(AM63=0,0,AM61/AM63)</f>
        <v>0</v>
      </c>
      <c r="AN62" s="625">
        <f>IF(AN63=0,0,AN61/AN63)</f>
        <v>0</v>
      </c>
      <c r="AO62" s="625">
        <f>IF(AO63=0,0,AO61/AO63)</f>
        <v>0</v>
      </c>
      <c r="AP62" s="625">
        <f>IF(AP63=0,0,AP61/AP63)</f>
        <v>0</v>
      </c>
      <c r="AQ62" s="625">
        <f>IF(AQ63=0,0,AQ61/AQ63)</f>
        <v>0</v>
      </c>
      <c r="AR62" s="625">
        <f>IF(AR63=0,0,AR61/AR63)</f>
        <v>0</v>
      </c>
      <c r="AS62" s="625">
        <f>IF(AS63=0,0,AS61/AS63)</f>
        <v>0</v>
      </c>
      <c r="AT62" s="625">
        <f>IF(AT63=0,0,AT61/AT63)</f>
        <v>0</v>
      </c>
      <c r="AU62" s="625">
        <f>IF(AU63=0,0,AU61/AU63)</f>
        <v>0</v>
      </c>
      <c r="AV62" s="625">
        <f>IF(AV63=0,0,AV61/AV63)</f>
        <v>0</v>
      </c>
      <c r="AW62" s="625">
        <f>IF(AW63=0,0,AW61/AW63)</f>
        <v>0</v>
      </c>
      <c r="AX62" s="625">
        <f>IF(AX63=0,0,AX61/AX63)</f>
        <v>0</v>
      </c>
      <c r="AY62" s="625">
        <f>IF(AY63=0,0,AY61/AY63)</f>
        <v>0</v>
      </c>
      <c r="AZ62" s="625">
        <f>IF(AZ63=0,0,AZ61/AZ63)</f>
        <v>0</v>
      </c>
      <c r="BA62" s="625">
        <f>IF(BA63=0,0,BA61/BA63)</f>
        <v>0</v>
      </c>
      <c r="BB62" s="625">
        <f>IF(BB63=0,0,BB61/BB63)</f>
        <v>0</v>
      </c>
      <c r="BC62" s="625">
        <f>IF(BC63=0,0,BC61/BC63)</f>
        <v>0</v>
      </c>
      <c r="BD62" s="353"/>
      <c r="BE62" s="71"/>
      <c r="BF62" s="71"/>
      <c r="BG62" s="71"/>
      <c r="BH62" s="71"/>
      <c r="BI62" s="71"/>
      <c r="BJ62" s="71"/>
      <c r="BK62" s="71"/>
      <c r="BL62" s="71"/>
      <c r="BM62" s="71"/>
      <c r="BN62" s="71"/>
      <c r="BO62" s="71"/>
      <c r="BP62" s="71"/>
      <c r="BQ62" s="71"/>
      <c r="BR62" s="71"/>
      <c r="BS62" s="71"/>
      <c r="BT62" s="71"/>
      <c r="BU62" s="71"/>
      <c r="BV62" s="71"/>
      <c r="BW62" s="71"/>
      <c r="BX62" s="83"/>
      <c r="BY62" s="183"/>
      <c r="BZ62" s="969"/>
      <c r="CA62" s="648" t="s">
        <v>1407</v>
      </c>
      <c r="CB62" s="648" t="s">
        <v>1406</v>
      </c>
      <c r="CC62" s="648" cm="1" t="str">
        <f t="array" ref="CC62:CC62">CC61</f>
        <v>0</v>
      </c>
      <c r="CD62" s="648" cm="1" t="str">
        <f t="array" ref="CD62:CD62">CD61</f>
        <v>0</v>
      </c>
      <c r="CE62" s="648" cm="1" t="str">
        <f t="array" ref="CE62:CE62">CE61</f>
        <v>0</v>
      </c>
      <c r="CF62" s="648" cm="1" t="str">
        <f t="array" ref="CF62:CF62">CF61</f>
        <v>0</v>
      </c>
      <c r="CG62" s="1146"/>
      <c r="CH62" s="649"/>
      <c r="CI62" s="1506"/>
      <c r="CJ62" s="1501" cm="1" t="str">
        <f t="array" ref="CJ62:CJ62">CJ61</f>
        <v>ТЭ.42.31656254.0001</v>
      </c>
      <c r="CK62" s="1501" t="s">
        <v>1404</v>
      </c>
      <c r="CL62" s="1501" t="s">
        <v>255</v>
      </c>
      <c r="CM62" s="1501" cm="1" t="str">
        <f t="array" ref="CM62:CM62">CM61</f>
        <v>0</v>
      </c>
      <c r="CN62" s="1501" t="s">
        <v>303</v>
      </c>
      <c r="CO62" s="1501" t="s">
        <v>914</v>
      </c>
      <c r="CP62" s="1501" t="s">
        <v>915</v>
      </c>
    </row>
    <row s="1751" customFormat="1" customHeight="1" ht="16.5" hidden="1">
      <c r="A63" s="978" t="str">
        <f>"checkVolume_3."&amp;F63&amp;"."&amp;Y61</f>
        <v>checkVolume_3.1.0</v>
      </c>
      <c r="B63" s="1548"/>
      <c r="C63" s="1548"/>
      <c r="D63" s="1548"/>
      <c r="E63" s="180">
        <v>17</v>
      </c>
      <c r="F63" s="175" cm="1" t="str">
        <f t="array" ref="F63:F63">F61</f>
        <v>1</v>
      </c>
      <c r="G63" s="1659"/>
      <c r="H63" s="193" cm="1" t="str">
        <f t="array" ref="H63:H63">H61</f>
        <v>0</v>
      </c>
      <c r="I63" s="1659"/>
      <c r="J63" s="1659"/>
      <c r="K63" s="1659"/>
      <c r="L63" s="1659"/>
      <c r="M63" s="1659"/>
      <c r="N63" s="1659"/>
      <c r="O63" s="1659"/>
      <c r="P63" s="1659"/>
      <c r="Q63" s="1659"/>
      <c r="R63" s="1659"/>
      <c r="S63" s="1659"/>
      <c r="T63" s="753" cm="1" t="str">
        <f t="array" ref="T63:T63">T61</f>
        <v>false</v>
      </c>
      <c r="U63" s="1548"/>
      <c r="V63" s="1548"/>
      <c r="W63" s="1548"/>
      <c r="X63" s="1548"/>
      <c r="Y63" s="1548"/>
      <c r="Z63" s="1548"/>
      <c r="AA63" s="1661"/>
      <c r="AB63" s="360" t="str">
        <f>AB61&amp;".2"</f>
        <v>3.0.2</v>
      </c>
      <c r="AC63" s="624" t="s">
        <v>1390</v>
      </c>
      <c r="AD63" s="624"/>
      <c r="AE63" s="114"/>
      <c r="AF63" s="71"/>
      <c r="AG63" s="71"/>
      <c r="AH63" s="71"/>
      <c r="AI63" s="71"/>
      <c r="AJ63" s="353"/>
      <c r="AK63" s="71"/>
      <c r="AL63" s="71"/>
      <c r="AM63" s="71"/>
      <c r="AN63" s="71"/>
      <c r="AO63" s="71"/>
      <c r="AP63" s="71"/>
      <c r="AQ63" s="71"/>
      <c r="AR63" s="71"/>
      <c r="AS63" s="71"/>
      <c r="AT63" s="71"/>
      <c r="AU63" s="71"/>
      <c r="AV63" s="71"/>
      <c r="AW63" s="71"/>
      <c r="AX63" s="71"/>
      <c r="AY63" s="71"/>
      <c r="AZ63" s="71"/>
      <c r="BA63" s="71"/>
      <c r="BB63" s="71"/>
      <c r="BC63" s="71"/>
      <c r="BD63" s="353"/>
      <c r="BE63" s="71"/>
      <c r="BF63" s="71"/>
      <c r="BG63" s="71"/>
      <c r="BH63" s="71"/>
      <c r="BI63" s="71"/>
      <c r="BJ63" s="71"/>
      <c r="BK63" s="71"/>
      <c r="BL63" s="71"/>
      <c r="BM63" s="71"/>
      <c r="BN63" s="71"/>
      <c r="BO63" s="71"/>
      <c r="BP63" s="71"/>
      <c r="BQ63" s="71"/>
      <c r="BR63" s="71"/>
      <c r="BS63" s="71"/>
      <c r="BT63" s="71"/>
      <c r="BU63" s="71"/>
      <c r="BV63" s="71"/>
      <c r="BW63" s="71"/>
      <c r="BX63" s="83"/>
      <c r="BY63" s="183"/>
      <c r="BZ63" s="969"/>
      <c r="CA63" s="648" t="s">
        <v>1408</v>
      </c>
      <c r="CB63" s="648" t="s">
        <v>1406</v>
      </c>
      <c r="CC63" s="648" cm="1" t="str">
        <f t="array" ref="CC63:CC63">CC61</f>
        <v>0</v>
      </c>
      <c r="CD63" s="648" cm="1" t="str">
        <f t="array" ref="CD63:CD63">CD61</f>
        <v>0</v>
      </c>
      <c r="CE63" s="648" cm="1" t="str">
        <f t="array" ref="CE63:CE63">CE61</f>
        <v>0</v>
      </c>
      <c r="CF63" s="648" cm="1" t="str">
        <f t="array" ref="CF63:CF63">CF61</f>
        <v>0</v>
      </c>
      <c r="CG63" s="1146"/>
      <c r="CH63" s="649"/>
      <c r="CI63" s="1506"/>
      <c r="CJ63" s="1501" cm="1" t="str">
        <f t="array" ref="CJ63:CJ63">CJ62</f>
        <v>ТЭ.42.31656254.0001</v>
      </c>
      <c r="CK63" s="1501" t="s">
        <v>1404</v>
      </c>
      <c r="CL63" s="1501" t="s">
        <v>449</v>
      </c>
      <c r="CM63" s="1501" cm="1" t="str">
        <f t="array" ref="CM63:CM63">CM62</f>
        <v>0</v>
      </c>
      <c r="CN63" s="1501" t="s">
        <v>303</v>
      </c>
      <c r="CO63" s="1501" t="s">
        <v>1409</v>
      </c>
      <c r="CP63" s="1501" t="s">
        <v>1410</v>
      </c>
    </row>
    <row s="1751" customFormat="1" customHeight="1" ht="16.5">
      <c r="A64" s="371"/>
      <c r="B64" s="1548"/>
      <c r="C64" s="1548"/>
      <c r="D64" s="1548"/>
      <c r="E64" s="180">
        <v>17</v>
      </c>
      <c r="F64" s="175" cm="1" t="str">
        <f t="array" ref="F64:F64">F60</f>
        <v>1</v>
      </c>
      <c r="G64" s="1659"/>
      <c r="H64" s="1659"/>
      <c r="I64" s="1659"/>
      <c r="J64" s="1659"/>
      <c r="K64" s="1659"/>
      <c r="L64" s="1659"/>
      <c r="M64" s="1659"/>
      <c r="N64" s="1659"/>
      <c r="O64" s="1659"/>
      <c r="P64" s="1659"/>
      <c r="Q64" s="1659"/>
      <c r="R64" s="1659"/>
      <c r="S64" s="1659"/>
      <c r="T64" s="753">
        <f>F64&gt;0</f>
        <v>1</v>
      </c>
      <c r="U64" s="1548"/>
      <c r="V64" s="1548"/>
      <c r="W64" s="176" t="s">
        <v>1411</v>
      </c>
      <c r="X64" s="1548"/>
      <c r="Y64" s="1548"/>
      <c r="Z64" s="1548"/>
      <c r="AA64" s="183"/>
      <c r="AB64" s="405"/>
      <c r="AC64" s="407" t="s">
        <v>1111</v>
      </c>
      <c r="AD64" s="407"/>
      <c r="AE64" s="407"/>
      <c r="AF64" s="407"/>
      <c r="AG64" s="407"/>
      <c r="AH64" s="407"/>
      <c r="AI64" s="407"/>
      <c r="AJ64" s="407"/>
      <c r="AK64" s="407"/>
      <c r="AL64" s="407"/>
      <c r="AM64" s="407"/>
      <c r="AN64" s="407"/>
      <c r="AO64" s="407"/>
      <c r="AP64" s="407"/>
      <c r="AQ64" s="407"/>
      <c r="AR64" s="407"/>
      <c r="AS64" s="407"/>
      <c r="AT64" s="407"/>
      <c r="AU64" s="407"/>
      <c r="AV64" s="407"/>
      <c r="AW64" s="407"/>
      <c r="AX64" s="407"/>
      <c r="AY64" s="407"/>
      <c r="AZ64" s="407"/>
      <c r="BA64" s="407"/>
      <c r="BB64" s="407"/>
      <c r="BC64" s="407"/>
      <c r="BD64" s="407"/>
      <c r="BE64" s="407"/>
      <c r="BF64" s="407"/>
      <c r="BG64" s="407"/>
      <c r="BH64" s="407"/>
      <c r="BI64" s="407"/>
      <c r="BJ64" s="407"/>
      <c r="BK64" s="407"/>
      <c r="BL64" s="407"/>
      <c r="BM64" s="407"/>
      <c r="BN64" s="407"/>
      <c r="BO64" s="407"/>
      <c r="BP64" s="407"/>
      <c r="BQ64" s="407"/>
      <c r="BR64" s="407"/>
      <c r="BS64" s="407"/>
      <c r="BT64" s="407"/>
      <c r="BU64" s="407"/>
      <c r="BV64" s="407"/>
      <c r="BW64" s="407"/>
      <c r="BX64" s="610"/>
      <c r="BY64" s="183"/>
      <c r="BZ64" s="969"/>
      <c r="CA64" s="648"/>
      <c r="CB64" s="648"/>
      <c r="CC64" s="648"/>
      <c r="CD64" s="648"/>
      <c r="CE64" s="648"/>
      <c r="CF64" s="648"/>
      <c r="CG64" s="1146" t="s">
        <v>1406</v>
      </c>
      <c r="CH64" s="649"/>
      <c r="CI64" s="1506"/>
      <c r="CJ64" s="1751"/>
      <c r="CK64" s="1751"/>
      <c r="CL64" s="1751"/>
      <c r="CM64" s="1751"/>
      <c r="CN64" s="1751"/>
      <c r="CO64" s="1751"/>
      <c r="CP64" s="1751"/>
    </row>
    <row customHeight="1" ht="16.575">
      <c r="E65" s="180">
        <v>17</v>
      </c>
      <c r="U65" s="175" t="s">
        <v>191</v>
      </c>
      <c r="V65" s="176" t="s">
        <v>1412</v>
      </c>
      <c r="AA65" s="582"/>
      <c r="AB65" s="582"/>
      <c r="AC65" s="582"/>
      <c r="AD65" s="582"/>
      <c r="AE65" s="582"/>
      <c r="AF65" s="582"/>
      <c r="AG65" s="582"/>
      <c r="AH65" s="582"/>
      <c r="AI65" s="582"/>
      <c r="AJ65" s="582"/>
      <c r="AK65" s="582"/>
      <c r="AL65" s="582"/>
      <c r="AM65" s="582"/>
      <c r="AN65" s="582"/>
      <c r="AO65" s="582"/>
      <c r="AP65" s="582"/>
      <c r="AQ65" s="582"/>
      <c r="AR65" s="582"/>
      <c r="AS65" s="582"/>
      <c r="AT65" s="582"/>
      <c r="AU65" s="582"/>
      <c r="AV65" s="582"/>
      <c r="AW65" s="582"/>
      <c r="AX65" s="582"/>
      <c r="AY65" s="582"/>
      <c r="AZ65" s="582"/>
      <c r="BA65" s="582"/>
      <c r="BB65" s="582"/>
      <c r="BC65" s="582"/>
      <c r="BD65" s="582"/>
      <c r="BE65" s="582"/>
      <c r="BF65" s="582"/>
      <c r="BG65" s="582"/>
      <c r="BH65" s="582"/>
      <c r="BI65" s="582"/>
      <c r="BJ65" s="582"/>
      <c r="BK65" s="582"/>
      <c r="BL65" s="582"/>
      <c r="BM65" s="582"/>
      <c r="BN65" s="582"/>
      <c r="BO65" s="582"/>
      <c r="BP65" s="582"/>
      <c r="BQ65" s="582"/>
      <c r="BR65" s="582"/>
      <c r="BS65" s="582"/>
      <c r="BT65" s="582"/>
      <c r="BU65" s="582"/>
      <c r="BV65" s="582"/>
      <c r="BW65" s="582"/>
      <c r="BX65" s="582"/>
      <c r="BY65" s="582"/>
      <c r="CF65" s="648"/>
      <c r="CH65" s="649"/>
    </row>
    <row customHeight="1" ht="11.25" hidden="1">
      <c r="E66" s="965">
        <v>0</v>
      </c>
      <c r="AA66" s="582"/>
      <c r="AB66" s="377"/>
      <c r="AD66" s="183"/>
      <c r="AJ66" s="183"/>
      <c r="AK66" s="183"/>
      <c r="AL66" s="183"/>
      <c r="AM66" s="183"/>
      <c r="AN66" s="183"/>
      <c r="AO66" s="183"/>
      <c r="AP66" s="183"/>
      <c r="AQ66" s="183"/>
      <c r="AR66" s="183"/>
      <c r="AS66" s="183"/>
      <c r="AT66" s="183"/>
      <c r="AU66" s="183"/>
      <c r="AV66" s="183"/>
      <c r="AW66" s="183"/>
      <c r="AX66" s="183"/>
      <c r="AY66" s="183"/>
      <c r="AZ66" s="183"/>
      <c r="BA66" s="183"/>
      <c r="BB66" s="183"/>
      <c r="BC66" s="183"/>
      <c r="BD66" s="183"/>
      <c r="BE66" s="183"/>
      <c r="BF66" s="183"/>
      <c r="BG66" s="183"/>
      <c r="BH66" s="183"/>
      <c r="BI66" s="183"/>
      <c r="BJ66" s="183"/>
      <c r="BK66" s="183"/>
      <c r="BL66" s="183"/>
      <c r="BM66" s="183"/>
      <c r="BN66" s="183"/>
      <c r="BO66" s="183"/>
      <c r="BP66" s="183"/>
      <c r="BQ66" s="183"/>
      <c r="BR66" s="183"/>
      <c r="BS66" s="183"/>
      <c r="BT66" s="183"/>
      <c r="BU66" s="183"/>
      <c r="BV66" s="183"/>
      <c r="BW66" s="183"/>
      <c r="BY66" s="582"/>
      <c r="CF66" s="648"/>
      <c r="CH66" s="649"/>
    </row>
    <row s="1659" customFormat="1" customHeight="1" ht="14.625">
      <c r="A67" s="371"/>
      <c r="B67" s="175"/>
      <c r="C67" s="175"/>
      <c r="D67" s="175"/>
      <c r="E67" s="180">
        <v>15</v>
      </c>
      <c r="F67" s="175"/>
      <c r="T67" s="175"/>
      <c r="U67" s="175"/>
      <c r="V67" s="175"/>
      <c r="W67" s="175"/>
      <c r="X67" s="175"/>
      <c r="Y67" s="175"/>
      <c r="Z67" s="175"/>
      <c r="AA67" s="286"/>
      <c r="AB67" s="1653" t="s">
        <v>765</v>
      </c>
      <c r="AC67" s="1653"/>
      <c r="AD67" s="1653"/>
      <c r="AE67" s="1653"/>
      <c r="AF67" s="1653"/>
      <c r="AG67" s="1653"/>
      <c r="AH67" s="1653"/>
      <c r="AI67" s="1653"/>
      <c r="AJ67" s="1654"/>
      <c r="AK67" s="1654"/>
      <c r="AL67" s="1654"/>
      <c r="AM67" s="1654"/>
      <c r="AN67" s="1654"/>
      <c r="AO67" s="1654"/>
      <c r="AP67" s="1654"/>
      <c r="AQ67" s="1654"/>
      <c r="AR67" s="1654"/>
      <c r="AS67" s="1654"/>
      <c r="AT67" s="1654"/>
      <c r="AU67" s="1654"/>
      <c r="AV67" s="1654"/>
      <c r="AW67" s="1654"/>
      <c r="AX67" s="1654"/>
      <c r="AY67" s="1654"/>
      <c r="AZ67" s="1654"/>
      <c r="BA67" s="1654"/>
      <c r="BB67" s="1654"/>
      <c r="BC67" s="1654"/>
      <c r="BD67" s="1654"/>
      <c r="BE67" s="1654"/>
      <c r="BF67" s="1654"/>
      <c r="BG67" s="1654"/>
      <c r="BH67" s="1654"/>
      <c r="BI67" s="1654"/>
      <c r="BJ67" s="1654"/>
      <c r="BK67" s="1654"/>
      <c r="BL67" s="1654"/>
      <c r="BM67" s="1654"/>
      <c r="BN67" s="1654"/>
      <c r="BO67" s="1654"/>
      <c r="BP67" s="1654"/>
      <c r="BQ67" s="1654"/>
      <c r="BR67" s="1654"/>
      <c r="BS67" s="1654"/>
      <c r="BT67" s="1654"/>
      <c r="BU67" s="1654"/>
      <c r="BV67" s="1654"/>
      <c r="BW67" s="1654"/>
      <c r="BX67" s="1654"/>
      <c r="BY67" s="286"/>
      <c r="CA67" s="648"/>
      <c r="CB67" s="648"/>
      <c r="CC67" s="648"/>
      <c r="CD67" s="648"/>
      <c r="CE67" s="648"/>
      <c r="CF67" s="648"/>
      <c r="CG67" s="1146"/>
      <c r="CH67" s="649"/>
      <c r="CJ67" s="0"/>
      <c r="CK67" s="0"/>
      <c r="CL67" s="0"/>
      <c r="CM67" s="0"/>
      <c r="CN67" s="0"/>
      <c r="CO67" s="0"/>
      <c r="CP67" s="0"/>
    </row>
    <row s="1659" customFormat="1" customHeight="1" ht="14.625">
      <c r="A68" s="371"/>
      <c r="B68" s="175"/>
      <c r="C68" s="175"/>
      <c r="D68" s="175"/>
      <c r="E68" s="180">
        <v>15</v>
      </c>
      <c r="F68" s="175"/>
      <c r="T68" s="175"/>
      <c r="U68" s="175"/>
      <c r="V68" s="175"/>
      <c r="W68" s="175"/>
      <c r="X68" s="175"/>
      <c r="Y68" s="175"/>
      <c r="Z68" s="175"/>
      <c r="AA68" s="477"/>
      <c r="AB68" s="1655"/>
      <c r="AC68" s="1655"/>
      <c r="AD68" s="2293"/>
      <c r="AE68" s="1655"/>
      <c r="AF68" s="1655"/>
      <c r="AG68" s="1655"/>
      <c r="AH68" s="1655"/>
      <c r="AI68" s="1655"/>
      <c r="AJ68" s="1656"/>
      <c r="AK68" s="2292"/>
      <c r="AL68" s="2292"/>
      <c r="AM68" s="2292"/>
      <c r="AN68" s="2292"/>
      <c r="AO68" s="2292"/>
      <c r="AP68" s="2292"/>
      <c r="AQ68" s="2292"/>
      <c r="AR68" s="2292"/>
      <c r="AS68" s="2292"/>
      <c r="AT68" s="2292"/>
      <c r="AU68" s="2292"/>
      <c r="AV68" s="2292"/>
      <c r="AW68" s="2292"/>
      <c r="AX68" s="2292"/>
      <c r="AY68" s="2292"/>
      <c r="AZ68" s="2292"/>
      <c r="BA68" s="2292"/>
      <c r="BB68" s="2292"/>
      <c r="BC68" s="2292"/>
      <c r="BD68" s="1656"/>
      <c r="BE68" s="2292"/>
      <c r="BF68" s="2292"/>
      <c r="BG68" s="2292"/>
      <c r="BH68" s="2292"/>
      <c r="BI68" s="2292"/>
      <c r="BJ68" s="2292"/>
      <c r="BK68" s="2292"/>
      <c r="BL68" s="2292"/>
      <c r="BM68" s="2292"/>
      <c r="BN68" s="2292"/>
      <c r="BO68" s="2292"/>
      <c r="BP68" s="2292"/>
      <c r="BQ68" s="2292"/>
      <c r="BR68" s="2292"/>
      <c r="BS68" s="2292"/>
      <c r="BT68" s="2292"/>
      <c r="BU68" s="2292"/>
      <c r="BV68" s="2292"/>
      <c r="BW68" s="2292"/>
      <c r="BX68" s="1657"/>
      <c r="BY68" s="286"/>
      <c r="CA68" s="648"/>
      <c r="CB68" s="648"/>
      <c r="CC68" s="648"/>
      <c r="CD68" s="648"/>
      <c r="CE68" s="648"/>
      <c r="CF68" s="648"/>
      <c r="CG68" s="1146"/>
      <c r="CH68" s="649"/>
      <c r="CJ68" s="0"/>
      <c r="CK68" s="0"/>
      <c r="CL68" s="0"/>
      <c r="CM68" s="0"/>
      <c r="CN68" s="0"/>
      <c r="CO68" s="0"/>
      <c r="CP68" s="0"/>
    </row>
    <row s="1659" customFormat="1" customHeight="1" ht="14.625" hidden="1">
      <c r="A69" s="371"/>
      <c r="B69" s="175"/>
      <c r="C69" s="175"/>
      <c r="D69" s="175"/>
      <c r="E69" s="180">
        <v>15</v>
      </c>
      <c r="F69" s="175"/>
      <c r="G69" s="1659"/>
      <c r="H69" s="1659"/>
      <c r="I69" s="1659"/>
      <c r="J69" s="1659"/>
      <c r="K69" s="1659"/>
      <c r="L69" s="1659"/>
      <c r="M69" s="1659"/>
      <c r="N69" s="1659"/>
      <c r="O69" s="1659"/>
      <c r="P69" s="1659"/>
      <c r="Q69" s="1659"/>
      <c r="R69" s="1659"/>
      <c r="S69" s="1659"/>
      <c r="T69" s="753">
        <f>ROW(W69)&gt;ROW(W$69)</f>
        <v>0</v>
      </c>
      <c r="U69" s="175"/>
      <c r="V69" s="175"/>
      <c r="W69" s="175" t="s">
        <v>189</v>
      </c>
      <c r="X69" s="175"/>
      <c r="Y69" s="175"/>
      <c r="Z69" s="175"/>
      <c r="AA69" s="477" t="s">
        <v>171</v>
      </c>
      <c r="AB69" s="2293"/>
      <c r="AC69" s="2293"/>
      <c r="AD69" s="2293"/>
      <c r="AE69" s="2293"/>
      <c r="AF69" s="2293"/>
      <c r="AG69" s="2293"/>
      <c r="AH69" s="2293"/>
      <c r="AI69" s="2293"/>
      <c r="AJ69" s="1656"/>
      <c r="AK69" s="2292"/>
      <c r="AL69" s="2292"/>
      <c r="AM69" s="2292"/>
      <c r="AN69" s="2292"/>
      <c r="AO69" s="2292"/>
      <c r="AP69" s="2292"/>
      <c r="AQ69" s="2292"/>
      <c r="AR69" s="2292"/>
      <c r="AS69" s="2292"/>
      <c r="AT69" s="2292"/>
      <c r="AU69" s="2292"/>
      <c r="AV69" s="2292"/>
      <c r="AW69" s="2292"/>
      <c r="AX69" s="2292"/>
      <c r="AY69" s="2292"/>
      <c r="AZ69" s="2292"/>
      <c r="BA69" s="2292"/>
      <c r="BB69" s="2292"/>
      <c r="BC69" s="2292"/>
      <c r="BD69" s="1656"/>
      <c r="BE69" s="2292"/>
      <c r="BF69" s="2292"/>
      <c r="BG69" s="2292"/>
      <c r="BH69" s="2292"/>
      <c r="BI69" s="2292"/>
      <c r="BJ69" s="2292"/>
      <c r="BK69" s="2292"/>
      <c r="BL69" s="2292"/>
      <c r="BM69" s="2292"/>
      <c r="BN69" s="2292"/>
      <c r="BO69" s="2292"/>
      <c r="BP69" s="2292"/>
      <c r="BQ69" s="2292"/>
      <c r="BR69" s="2292"/>
      <c r="BS69" s="2292"/>
      <c r="BT69" s="2292"/>
      <c r="BU69" s="2292"/>
      <c r="BV69" s="2292"/>
      <c r="BW69" s="2292"/>
      <c r="BX69" s="2294"/>
      <c r="BY69" s="286"/>
      <c r="BZ69" s="1659"/>
      <c r="CA69" s="648"/>
      <c r="CB69" s="648"/>
      <c r="CC69" s="648"/>
      <c r="CD69" s="648"/>
      <c r="CE69" s="648"/>
      <c r="CF69" s="648"/>
      <c r="CG69" s="1146"/>
      <c r="CH69" s="649"/>
      <c r="CI69" s="1659"/>
      <c r="CJ69" s="0"/>
      <c r="CK69" s="0"/>
      <c r="CL69" s="0"/>
      <c r="CM69" s="0"/>
      <c r="CN69" s="0"/>
      <c r="CO69" s="0"/>
      <c r="CP69" s="0"/>
    </row>
    <row s="1659" customFormat="1" customHeight="1" ht="14.625">
      <c r="A70" s="371"/>
      <c r="B70" s="175"/>
      <c r="C70" s="175"/>
      <c r="D70" s="175"/>
      <c r="E70" s="180">
        <v>15</v>
      </c>
      <c r="F70" s="175"/>
      <c r="T70" s="175"/>
      <c r="U70" s="175"/>
      <c r="V70" s="175"/>
      <c r="W70" s="176" t="s">
        <v>1413</v>
      </c>
      <c r="X70" s="175"/>
      <c r="Y70" s="175"/>
      <c r="Z70" s="175"/>
      <c r="AA70" s="286"/>
      <c r="AB70" s="1599" t="s">
        <v>766</v>
      </c>
      <c r="AC70" s="1600"/>
      <c r="AD70" s="479"/>
      <c r="AE70" s="480"/>
      <c r="AF70" s="480"/>
      <c r="AG70" s="481"/>
      <c r="AH70" s="481"/>
      <c r="AI70" s="481"/>
      <c r="AJ70" s="481"/>
      <c r="AK70" s="481"/>
      <c r="AL70" s="481"/>
      <c r="AM70" s="481"/>
      <c r="AN70" s="481"/>
      <c r="AO70" s="481"/>
      <c r="AP70" s="481"/>
      <c r="AQ70" s="481"/>
      <c r="AR70" s="481"/>
      <c r="AS70" s="481"/>
      <c r="AT70" s="481"/>
      <c r="AU70" s="481"/>
      <c r="AV70" s="481"/>
      <c r="AW70" s="481"/>
      <c r="AX70" s="481"/>
      <c r="AY70" s="481"/>
      <c r="AZ70" s="481"/>
      <c r="BA70" s="481"/>
      <c r="BB70" s="481"/>
      <c r="BC70" s="481"/>
      <c r="BD70" s="481"/>
      <c r="BE70" s="481"/>
      <c r="BF70" s="481"/>
      <c r="BG70" s="481"/>
      <c r="BH70" s="481"/>
      <c r="BI70" s="481"/>
      <c r="BJ70" s="481"/>
      <c r="BK70" s="481"/>
      <c r="BL70" s="481"/>
      <c r="BM70" s="481"/>
      <c r="BN70" s="481"/>
      <c r="BO70" s="481"/>
      <c r="BP70" s="481"/>
      <c r="BQ70" s="481"/>
      <c r="BR70" s="481"/>
      <c r="BS70" s="481"/>
      <c r="BT70" s="481"/>
      <c r="BU70" s="481"/>
      <c r="BV70" s="481"/>
      <c r="BW70" s="481"/>
      <c r="BX70" s="611"/>
      <c r="BY70" s="286"/>
      <c r="CA70" s="648"/>
      <c r="CB70" s="648"/>
      <c r="CC70" s="648"/>
      <c r="CD70" s="648"/>
      <c r="CE70" s="648"/>
      <c r="CF70" s="648"/>
      <c r="CG70" s="1146"/>
      <c r="CH70" s="649"/>
      <c r="CJ70" s="0"/>
      <c r="CK70" s="0"/>
      <c r="CL70" s="0"/>
      <c r="CM70" s="0"/>
      <c r="CN70" s="0"/>
      <c r="CO70" s="0"/>
      <c r="CP70" s="0"/>
    </row>
    <row customHeight="1" ht="11.25">
      <c r="AA71" s="582"/>
      <c r="AB71" s="582"/>
      <c r="AC71" s="582"/>
      <c r="AD71" s="582"/>
      <c r="AE71" s="582"/>
      <c r="AF71" s="582"/>
      <c r="AG71" s="582"/>
      <c r="AH71" s="582"/>
      <c r="AI71" s="582"/>
      <c r="AJ71" s="582"/>
      <c r="AK71" s="582"/>
      <c r="AL71" s="582"/>
      <c r="AM71" s="582"/>
      <c r="AN71" s="582"/>
      <c r="AO71" s="582"/>
      <c r="AP71" s="582"/>
      <c r="AQ71" s="582"/>
      <c r="AR71" s="582"/>
      <c r="AS71" s="582"/>
      <c r="AT71" s="582"/>
      <c r="AU71" s="582"/>
      <c r="AV71" s="582"/>
      <c r="AW71" s="582"/>
      <c r="AX71" s="582"/>
      <c r="AY71" s="582"/>
      <c r="AZ71" s="582"/>
      <c r="BA71" s="582"/>
      <c r="BB71" s="582"/>
      <c r="BC71" s="582"/>
      <c r="BD71" s="582"/>
      <c r="BE71" s="582"/>
      <c r="BF71" s="582"/>
      <c r="BG71" s="582"/>
      <c r="BH71" s="582"/>
      <c r="BI71" s="582"/>
      <c r="BJ71" s="582"/>
      <c r="BK71" s="582"/>
      <c r="BL71" s="582"/>
      <c r="BM71" s="582"/>
      <c r="BN71" s="582"/>
      <c r="BO71" s="582"/>
      <c r="BP71" s="582"/>
      <c r="BQ71" s="582"/>
      <c r="BR71" s="582"/>
      <c r="BS71" s="582"/>
      <c r="BT71" s="582"/>
      <c r="BU71" s="582"/>
      <c r="BV71" s="582"/>
      <c r="BW71" s="582"/>
      <c r="BX71" s="582"/>
      <c r="BY71" s="582"/>
      <c r="CF71" s="648"/>
      <c r="CH71" s="649"/>
    </row>
    <row customHeight="1" ht="11.25" hidden="1">
      <c r="AD72" s="183"/>
      <c r="AJ72" s="183"/>
      <c r="AK72" s="183"/>
      <c r="AL72" s="183"/>
      <c r="AM72" s="183"/>
      <c r="AN72" s="183"/>
      <c r="AO72" s="183"/>
      <c r="AP72" s="183"/>
      <c r="AQ72" s="183"/>
      <c r="AR72" s="183"/>
      <c r="AS72" s="183"/>
      <c r="AT72" s="183"/>
      <c r="AU72" s="183"/>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row>
    <row customHeight="1" ht="11.25" hidden="1">
      <c r="A73" s="0" t="s">
        <v>109</v>
      </c>
      <c r="AD73" s="183"/>
      <c r="AF73" s="0" t="str">
        <f>"389.0."&amp;AF$9-2010&amp;"."</f>
        <v>389.0.15.</v>
      </c>
      <c r="AG73" s="0" t="str">
        <f>"389.0."&amp;AG$9-2010&amp;"."</f>
        <v>389.0.15.</v>
      </c>
      <c r="AH73" s="0" t="str">
        <f>"389.0."&amp;AH$9-2010&amp;"."</f>
        <v>389.0.15.</v>
      </c>
      <c r="AI73" s="0" t="str">
        <f>"389.0."&amp;AI$9-2010&amp;"."</f>
        <v>389.0.16.</v>
      </c>
      <c r="AJ73" s="0" t="str">
        <f>"389.0."&amp;AJ$9-2010&amp;"."</f>
        <v>389.0.17.</v>
      </c>
      <c r="AK73" s="0" t="str">
        <f>"389.0."&amp;AK$9-2010&amp;"."</f>
        <v>389.0.18.</v>
      </c>
      <c r="AL73" s="0" t="str">
        <f>"389.0."&amp;AL$9-2010&amp;"."</f>
        <v>389.0.19.</v>
      </c>
      <c r="AM73" s="0" t="str">
        <f>"389.0."&amp;AM$9-2010&amp;"."</f>
        <v>389.0.20.</v>
      </c>
      <c r="AN73" s="0" t="str">
        <f>"389.0."&amp;AN$9-2010&amp;"."</f>
        <v>389.0.21.</v>
      </c>
      <c r="AO73" s="0" t="str">
        <f>"389.0."&amp;AO$9-2010&amp;"."</f>
        <v>389.0.22.</v>
      </c>
      <c r="AP73" s="0" t="str">
        <f>"389.0."&amp;AP$9-2010&amp;"."</f>
        <v>389.0.23.</v>
      </c>
      <c r="AQ73" s="0" t="str">
        <f>"389.0."&amp;AQ$9-2010&amp;"."</f>
        <v>389.0.24.</v>
      </c>
      <c r="AR73" s="0" t="str">
        <f>"389.0."&amp;AR$9-2010&amp;"."</f>
        <v>389.0.25.</v>
      </c>
      <c r="AS73" s="0" t="str">
        <f>"389.0."&amp;AS$9-2010&amp;"."</f>
        <v>389.0.26.</v>
      </c>
      <c r="AT73" s="0" t="str">
        <f>"389.0."&amp;AT$9-2010&amp;"."</f>
        <v>389.0.27.</v>
      </c>
      <c r="AU73" s="0" t="str">
        <f>"389.0."&amp;AU$9-2010&amp;"."</f>
        <v>389.0.28.</v>
      </c>
      <c r="AV73" s="0" t="str">
        <f>"389.0."&amp;AV$9-2010&amp;"."</f>
        <v>389.0.29.</v>
      </c>
      <c r="AW73" s="0" t="str">
        <f>"389.0."&amp;AW$9-2010&amp;"."</f>
        <v>389.0.30.</v>
      </c>
      <c r="AX73" s="0" t="str">
        <f>"389.0."&amp;AX$9-2010&amp;"."</f>
        <v>389.0.31.</v>
      </c>
      <c r="AY73" s="0" t="str">
        <f>"389.0."&amp;AY$9-2010&amp;"."</f>
        <v>389.0.32.</v>
      </c>
      <c r="AZ73" s="0" t="str">
        <f>"389.0."&amp;AZ$9-2010&amp;"."</f>
        <v>389.0.33.</v>
      </c>
      <c r="BA73" s="0" t="str">
        <f>"389.0."&amp;BA$9-2010&amp;"."</f>
        <v>389.0.34.</v>
      </c>
      <c r="BB73" s="0" t="str">
        <f>"389.0."&amp;BB$9-2010&amp;"."</f>
        <v>389.0.35.</v>
      </c>
      <c r="BC73" s="0" t="str">
        <f>"389.0."&amp;BC$9-2010&amp;"."</f>
        <v>389.0.36.</v>
      </c>
      <c r="BD73" s="0" t="str">
        <f>"389.0."&amp;BD$9-2010&amp;"."</f>
        <v>389.0.17.</v>
      </c>
      <c r="BE73" s="0" t="str">
        <f>"389.0."&amp;BE$9-2010&amp;"."</f>
        <v>389.0.18.</v>
      </c>
      <c r="BF73" s="0" t="str">
        <f>"389.0."&amp;BF$9-2010&amp;"."</f>
        <v>389.0.19.</v>
      </c>
      <c r="BG73" s="0" t="str">
        <f>"389.0."&amp;BG$9-2010&amp;"."</f>
        <v>389.0.20.</v>
      </c>
      <c r="BH73" s="0" t="str">
        <f>"389.0."&amp;BH$9-2010&amp;"."</f>
        <v>389.0.21.</v>
      </c>
      <c r="BI73" s="0" t="str">
        <f>"389.0."&amp;BI$9-2010&amp;"."</f>
        <v>389.0.22.</v>
      </c>
      <c r="BJ73" s="0" t="str">
        <f>"389.0."&amp;BJ$9-2010&amp;"."</f>
        <v>389.0.23.</v>
      </c>
      <c r="BK73" s="0" t="str">
        <f>"389.0."&amp;BK$9-2010&amp;"."</f>
        <v>389.0.24.</v>
      </c>
      <c r="BL73" s="0" t="str">
        <f>"389.0."&amp;BL$9-2010&amp;"."</f>
        <v>389.0.25.</v>
      </c>
      <c r="BM73" s="0" t="str">
        <f>"389.0."&amp;BM$9-2010&amp;"."</f>
        <v>389.0.26.</v>
      </c>
      <c r="BN73" s="0" t="str">
        <f>"389.0."&amp;BN$9-2010&amp;"."</f>
        <v>389.0.27.</v>
      </c>
      <c r="BO73" s="0" t="str">
        <f>"389.0."&amp;BO$9-2010&amp;"."</f>
        <v>389.0.28.</v>
      </c>
      <c r="BP73" s="0" t="str">
        <f>"389.0."&amp;BP$9-2010&amp;"."</f>
        <v>389.0.29.</v>
      </c>
      <c r="BQ73" s="0" t="str">
        <f>"389.0."&amp;BQ$9-2010&amp;"."</f>
        <v>389.0.30.</v>
      </c>
      <c r="BR73" s="0" t="str">
        <f>"389.0."&amp;BR$9-2010&amp;"."</f>
        <v>389.0.31.</v>
      </c>
      <c r="BS73" s="0" t="str">
        <f>"389.0."&amp;BS$9-2010&amp;"."</f>
        <v>389.0.32.</v>
      </c>
      <c r="BT73" s="0" t="str">
        <f>"389.0."&amp;BT$9-2010&amp;"."</f>
        <v>389.0.33.</v>
      </c>
      <c r="BU73" s="0" t="str">
        <f>"389.0."&amp;BU$9-2010&amp;"."</f>
        <v>389.0.34.</v>
      </c>
      <c r="BV73" s="0" t="str">
        <f>"389.0."&amp;BV$9-2010&amp;"."</f>
        <v>389.0.35.</v>
      </c>
      <c r="BW73" s="0" t="str">
        <f>"389.0."&amp;BW$9-2010&amp;"."</f>
        <v>389.0.36.</v>
      </c>
    </row>
    <row customHeight="1" ht="11.25" hidden="1">
      <c r="A74" s="0" t="s">
        <v>794</v>
      </c>
      <c r="AD74" s="183"/>
      <c r="AJ74" s="183"/>
      <c r="AK74" s="183"/>
      <c r="AL74" s="183"/>
      <c r="AM74" s="183"/>
      <c r="AN74" s="183"/>
      <c r="AO74" s="183"/>
      <c r="AP74" s="183"/>
      <c r="AQ74" s="183"/>
      <c r="AR74" s="183"/>
      <c r="AS74" s="183"/>
      <c r="AT74" s="183"/>
      <c r="AU74" s="183"/>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c r="BV74" s="183"/>
      <c r="BW74" s="183"/>
    </row>
    <row customHeight="1" ht="11.25" hidden="1">
      <c r="A75" s="0" t="s">
        <v>406</v>
      </c>
      <c r="AD75" s="183"/>
      <c r="AF75" s="0" cm="1" t="str">
        <f t="array" ref="AF75:AF75">IF($A75="uni_org_reg_NAME",INDEX(org_reg_values,MATCH(AF$10,org_reg_codes,0),1),IF($A75="uni_pf_NAME",INDEX(pf_codes_values,MATCH(AF$10,pf_codes,0),1),""))</f>
        <v>328.0.2.</v>
      </c>
      <c r="AG75" s="0" cm="1" t="str">
        <f t="array" ref="AG75:AG75">IF($A75="uni_org_reg_NAME",INDEX(org_reg_values,MATCH(AG$10,org_reg_codes,0),1),IF($A75="uni_pf_NAME",INDEX(pf_codes_values,MATCH(AG$10,pf_codes,0),1),""))</f>
        <v>328.0.1.</v>
      </c>
      <c r="AH75" s="0" cm="1" t="str">
        <f t="array" ref="AH75:AH75">IF($A75="uni_org_reg_NAME",INDEX(org_reg_values,MATCH(AH$10,org_reg_codes,0),1),IF($A75="uni_pf_NAME",INDEX(pf_codes_values,MATCH(AH$10,pf_codes,0),1),""))</f>
        <v>328.0.2.</v>
      </c>
      <c r="AI75" s="0" cm="1" t="str">
        <f t="array" ref="AI75:AI75">IF($A75="uni_org_reg_NAME",INDEX(org_reg_values,MATCH(AI$10,org_reg_codes,0),1),IF($A75="uni_pf_NAME",INDEX(pf_codes_values,MATCH(AI$10,pf_codes,0),1),""))</f>
        <v>328.0.2.</v>
      </c>
      <c r="AJ75" s="0" cm="1" t="str">
        <f t="array" ref="AJ75:AJ75">IF($A75="uni_org_reg_NAME",INDEX(org_reg_values,MATCH(AJ$10,org_reg_codes,0),1),IF($A75="uni_pf_NAME",INDEX(pf_codes_values,MATCH(AJ$10,pf_codes,0),1),""))</f>
        <v>328.0.1.</v>
      </c>
      <c r="AK75" s="0" cm="1" t="str">
        <f t="array" ref="AK75:AK75">IF($A75="uni_org_reg_NAME",INDEX(org_reg_values,MATCH(AK$10,org_reg_codes,0),1),IF($A75="uni_pf_NAME",INDEX(pf_codes_values,MATCH(AK$10,pf_codes,0),1),""))</f>
        <v>328.0.1.</v>
      </c>
      <c r="AL75" s="0" cm="1" t="str">
        <f t="array" ref="AL75:AL75">IF($A75="uni_org_reg_NAME",INDEX(org_reg_values,MATCH(AL$10,org_reg_codes,0),1),IF($A75="uni_pf_NAME",INDEX(pf_codes_values,MATCH(AL$10,pf_codes,0),1),""))</f>
        <v>328.0.1.</v>
      </c>
      <c r="AM75" s="0" cm="1" t="str">
        <f t="array" ref="AM75:AM75">IF($A75="uni_org_reg_NAME",INDEX(org_reg_values,MATCH(AM$10,org_reg_codes,0),1),IF($A75="uni_pf_NAME",INDEX(pf_codes_values,MATCH(AM$10,pf_codes,0),1),""))</f>
        <v>328.0.1.</v>
      </c>
      <c r="AN75" s="0" cm="1" t="str">
        <f t="array" ref="AN75:AN75">IF($A75="uni_org_reg_NAME",INDEX(org_reg_values,MATCH(AN$10,org_reg_codes,0),1),IF($A75="uni_pf_NAME",INDEX(pf_codes_values,MATCH(AN$10,pf_codes,0),1),""))</f>
        <v>328.0.1.</v>
      </c>
      <c r="AO75" s="0" cm="1" t="str">
        <f t="array" ref="AO75:AO75">IF($A75="uni_org_reg_NAME",INDEX(org_reg_values,MATCH(AO$10,org_reg_codes,0),1),IF($A75="uni_pf_NAME",INDEX(pf_codes_values,MATCH(AO$10,pf_codes,0),1),""))</f>
        <v>328.0.1.</v>
      </c>
      <c r="AP75" s="0" cm="1" t="str">
        <f t="array" ref="AP75:AP75">IF($A75="uni_org_reg_NAME",INDEX(org_reg_values,MATCH(AP$10,org_reg_codes,0),1),IF($A75="uni_pf_NAME",INDEX(pf_codes_values,MATCH(AP$10,pf_codes,0),1),""))</f>
        <v>328.0.1.</v>
      </c>
      <c r="AQ75" s="0" cm="1" t="str">
        <f t="array" ref="AQ75:AQ75">IF($A75="uni_org_reg_NAME",INDEX(org_reg_values,MATCH(AQ$10,org_reg_codes,0),1),IF($A75="uni_pf_NAME",INDEX(pf_codes_values,MATCH(AQ$10,pf_codes,0),1),""))</f>
        <v>328.0.1.</v>
      </c>
      <c r="AR75" s="0" cm="1" t="str">
        <f t="array" ref="AR75:AR75">IF($A75="uni_org_reg_NAME",INDEX(org_reg_values,MATCH(AR$10,org_reg_codes,0),1),IF($A75="uni_pf_NAME",INDEX(pf_codes_values,MATCH(AR$10,pf_codes,0),1),""))</f>
        <v>328.0.1.</v>
      </c>
      <c r="AS75" s="0" cm="1" t="str">
        <f t="array" ref="AS75:AS75">IF($A75="uni_org_reg_NAME",INDEX(org_reg_values,MATCH(AS$10,org_reg_codes,0),1),IF($A75="uni_pf_NAME",INDEX(pf_codes_values,MATCH(AS$10,pf_codes,0),1),""))</f>
        <v>328.0.1.</v>
      </c>
      <c r="AT75" s="0" cm="1" t="str">
        <f t="array" ref="AT75:AT75">IF($A75="uni_org_reg_NAME",INDEX(org_reg_values,MATCH(AT$10,org_reg_codes,0),1),IF($A75="uni_pf_NAME",INDEX(pf_codes_values,MATCH(AT$10,pf_codes,0),1),""))</f>
        <v>328.0.1.</v>
      </c>
      <c r="AU75" s="0" cm="1" t="str">
        <f t="array" ref="AU75:AU75">IF($A75="uni_org_reg_NAME",INDEX(org_reg_values,MATCH(AU$10,org_reg_codes,0),1),IF($A75="uni_pf_NAME",INDEX(pf_codes_values,MATCH(AU$10,pf_codes,0),1),""))</f>
        <v>328.0.1.</v>
      </c>
      <c r="AV75" s="0" cm="1" t="str">
        <f t="array" ref="AV75:AV75">IF($A75="uni_org_reg_NAME",INDEX(org_reg_values,MATCH(AV$10,org_reg_codes,0),1),IF($A75="uni_pf_NAME",INDEX(pf_codes_values,MATCH(AV$10,pf_codes,0),1),""))</f>
        <v>328.0.1.</v>
      </c>
      <c r="AW75" s="0" cm="1" t="str">
        <f t="array" ref="AW75:AW75">IF($A75="uni_org_reg_NAME",INDEX(org_reg_values,MATCH(AW$10,org_reg_codes,0),1),IF($A75="uni_pf_NAME",INDEX(pf_codes_values,MATCH(AW$10,pf_codes,0),1),""))</f>
        <v>328.0.1.</v>
      </c>
      <c r="AX75" s="0" cm="1" t="str">
        <f t="array" ref="AX75:AX75">IF($A75="uni_org_reg_NAME",INDEX(org_reg_values,MATCH(AX$10,org_reg_codes,0),1),IF($A75="uni_pf_NAME",INDEX(pf_codes_values,MATCH(AX$10,pf_codes,0),1),""))</f>
        <v>328.0.1.</v>
      </c>
      <c r="AY75" s="0" cm="1" t="str">
        <f t="array" ref="AY75:AY75">IF($A75="uni_org_reg_NAME",INDEX(org_reg_values,MATCH(AY$10,org_reg_codes,0),1),IF($A75="uni_pf_NAME",INDEX(pf_codes_values,MATCH(AY$10,pf_codes,0),1),""))</f>
        <v>328.0.1.</v>
      </c>
      <c r="AZ75" s="0" cm="1" t="str">
        <f t="array" ref="AZ75:AZ75">IF($A75="uni_org_reg_NAME",INDEX(org_reg_values,MATCH(AZ$10,org_reg_codes,0),1),IF($A75="uni_pf_NAME",INDEX(pf_codes_values,MATCH(AZ$10,pf_codes,0),1),""))</f>
        <v>328.0.1.</v>
      </c>
      <c r="BA75" s="0" cm="1" t="str">
        <f t="array" ref="BA75:BA75">IF($A75="uni_org_reg_NAME",INDEX(org_reg_values,MATCH(BA$10,org_reg_codes,0),1),IF($A75="uni_pf_NAME",INDEX(pf_codes_values,MATCH(BA$10,pf_codes,0),1),""))</f>
        <v>328.0.1.</v>
      </c>
      <c r="BB75" s="0" cm="1" t="str">
        <f t="array" ref="BB75:BB75">IF($A75="uni_org_reg_NAME",INDEX(org_reg_values,MATCH(BB$10,org_reg_codes,0),1),IF($A75="uni_pf_NAME",INDEX(pf_codes_values,MATCH(BB$10,pf_codes,0),1),""))</f>
        <v>328.0.1.</v>
      </c>
      <c r="BC75" s="0" cm="1" t="str">
        <f t="array" ref="BC75:BC75">IF($A75="uni_org_reg_NAME",INDEX(org_reg_values,MATCH(BC$10,org_reg_codes,0),1),IF($A75="uni_pf_NAME",INDEX(pf_codes_values,MATCH(BC$10,pf_codes,0),1),""))</f>
        <v>328.0.1.</v>
      </c>
      <c r="BD75" s="0" cm="1" t="str">
        <f t="array" ref="BD75:BD75">IF($A75="uni_org_reg_NAME",INDEX(org_reg_values,MATCH(BD$10,org_reg_codes,0),1),IF($A75="uni_pf_NAME",INDEX(pf_codes_values,MATCH(BD$10,pf_codes,0),1),""))</f>
        <v>328.0.2.</v>
      </c>
      <c r="BE75" s="0" cm="1" t="str">
        <f t="array" ref="BE75:BE75">IF($A75="uni_org_reg_NAME",INDEX(org_reg_values,MATCH(BE$10,org_reg_codes,0),1),IF($A75="uni_pf_NAME",INDEX(pf_codes_values,MATCH(BE$10,pf_codes,0),1),""))</f>
        <v>328.0.2.</v>
      </c>
      <c r="BF75" s="0" cm="1" t="str">
        <f t="array" ref="BF75:BF75">IF($A75="uni_org_reg_NAME",INDEX(org_reg_values,MATCH(BF$10,org_reg_codes,0),1),IF($A75="uni_pf_NAME",INDEX(pf_codes_values,MATCH(BF$10,pf_codes,0),1),""))</f>
        <v>328.0.2.</v>
      </c>
      <c r="BG75" s="0" cm="1" t="str">
        <f t="array" ref="BG75:BG75">IF($A75="uni_org_reg_NAME",INDEX(org_reg_values,MATCH(BG$10,org_reg_codes,0),1),IF($A75="uni_pf_NAME",INDEX(pf_codes_values,MATCH(BG$10,pf_codes,0),1),""))</f>
        <v>328.0.2.</v>
      </c>
      <c r="BH75" s="0" cm="1" t="str">
        <f t="array" ref="BH75:BH75">IF($A75="uni_org_reg_NAME",INDEX(org_reg_values,MATCH(BH$10,org_reg_codes,0),1),IF($A75="uni_pf_NAME",INDEX(pf_codes_values,MATCH(BH$10,pf_codes,0),1),""))</f>
        <v>328.0.2.</v>
      </c>
      <c r="BI75" s="0" cm="1" t="str">
        <f t="array" ref="BI75:BI75">IF($A75="uni_org_reg_NAME",INDEX(org_reg_values,MATCH(BI$10,org_reg_codes,0),1),IF($A75="uni_pf_NAME",INDEX(pf_codes_values,MATCH(BI$10,pf_codes,0),1),""))</f>
        <v>328.0.2.</v>
      </c>
      <c r="BJ75" s="0" cm="1" t="str">
        <f t="array" ref="BJ75:BJ75">IF($A75="uni_org_reg_NAME",INDEX(org_reg_values,MATCH(BJ$10,org_reg_codes,0),1),IF($A75="uni_pf_NAME",INDEX(pf_codes_values,MATCH(BJ$10,pf_codes,0),1),""))</f>
        <v>328.0.2.</v>
      </c>
      <c r="BK75" s="0" cm="1" t="str">
        <f t="array" ref="BK75:BK75">IF($A75="uni_org_reg_NAME",INDEX(org_reg_values,MATCH(BK$10,org_reg_codes,0),1),IF($A75="uni_pf_NAME",INDEX(pf_codes_values,MATCH(BK$10,pf_codes,0),1),""))</f>
        <v>328.0.2.</v>
      </c>
      <c r="BL75" s="0" cm="1" t="str">
        <f t="array" ref="BL75:BL75">IF($A75="uni_org_reg_NAME",INDEX(org_reg_values,MATCH(BL$10,org_reg_codes,0),1),IF($A75="uni_pf_NAME",INDEX(pf_codes_values,MATCH(BL$10,pf_codes,0),1),""))</f>
        <v>328.0.2.</v>
      </c>
      <c r="BM75" s="0" cm="1" t="str">
        <f t="array" ref="BM75:BM75">IF($A75="uni_org_reg_NAME",INDEX(org_reg_values,MATCH(BM$10,org_reg_codes,0),1),IF($A75="uni_pf_NAME",INDEX(pf_codes_values,MATCH(BM$10,pf_codes,0),1),""))</f>
        <v>328.0.2.</v>
      </c>
      <c r="BN75" s="0" cm="1" t="str">
        <f t="array" ref="BN75:BN75">IF($A75="uni_org_reg_NAME",INDEX(org_reg_values,MATCH(BN$10,org_reg_codes,0),1),IF($A75="uni_pf_NAME",INDEX(pf_codes_values,MATCH(BN$10,pf_codes,0),1),""))</f>
        <v>328.0.2.</v>
      </c>
      <c r="BO75" s="0" cm="1" t="str">
        <f t="array" ref="BO75:BO75">IF($A75="uni_org_reg_NAME",INDEX(org_reg_values,MATCH(BO$10,org_reg_codes,0),1),IF($A75="uni_pf_NAME",INDEX(pf_codes_values,MATCH(BO$10,pf_codes,0),1),""))</f>
        <v>328.0.2.</v>
      </c>
      <c r="BP75" s="0" cm="1" t="str">
        <f t="array" ref="BP75:BP75">IF($A75="uni_org_reg_NAME",INDEX(org_reg_values,MATCH(BP$10,org_reg_codes,0),1),IF($A75="uni_pf_NAME",INDEX(pf_codes_values,MATCH(BP$10,pf_codes,0),1),""))</f>
        <v>328.0.2.</v>
      </c>
      <c r="BQ75" s="0" cm="1" t="str">
        <f t="array" ref="BQ75:BQ75">IF($A75="uni_org_reg_NAME",INDEX(org_reg_values,MATCH(BQ$10,org_reg_codes,0),1),IF($A75="uni_pf_NAME",INDEX(pf_codes_values,MATCH(BQ$10,pf_codes,0),1),""))</f>
        <v>328.0.2.</v>
      </c>
      <c r="BR75" s="0" cm="1" t="str">
        <f t="array" ref="BR75:BR75">IF($A75="uni_org_reg_NAME",INDEX(org_reg_values,MATCH(BR$10,org_reg_codes,0),1),IF($A75="uni_pf_NAME",INDEX(pf_codes_values,MATCH(BR$10,pf_codes,0),1),""))</f>
        <v>328.0.2.</v>
      </c>
      <c r="BS75" s="0" cm="1" t="str">
        <f t="array" ref="BS75:BS75">IF($A75="uni_org_reg_NAME",INDEX(org_reg_values,MATCH(BS$10,org_reg_codes,0),1),IF($A75="uni_pf_NAME",INDEX(pf_codes_values,MATCH(BS$10,pf_codes,0),1),""))</f>
        <v>328.0.2.</v>
      </c>
      <c r="BT75" s="0" cm="1" t="str">
        <f t="array" ref="BT75:BT75">IF($A75="uni_org_reg_NAME",INDEX(org_reg_values,MATCH(BT$10,org_reg_codes,0),1),IF($A75="uni_pf_NAME",INDEX(pf_codes_values,MATCH(BT$10,pf_codes,0),1),""))</f>
        <v>328.0.2.</v>
      </c>
      <c r="BU75" s="0" cm="1" t="str">
        <f t="array" ref="BU75:BU75">IF($A75="uni_org_reg_NAME",INDEX(org_reg_values,MATCH(BU$10,org_reg_codes,0),1),IF($A75="uni_pf_NAME",INDEX(pf_codes_values,MATCH(BU$10,pf_codes,0),1),""))</f>
        <v>328.0.2.</v>
      </c>
      <c r="BV75" s="0" cm="1" t="str">
        <f t="array" ref="BV75:BV75">IF($A75="uni_org_reg_NAME",INDEX(org_reg_values,MATCH(BV$10,org_reg_codes,0),1),IF($A75="uni_pf_NAME",INDEX(pf_codes_values,MATCH(BV$10,pf_codes,0),1),""))</f>
        <v>328.0.2.</v>
      </c>
      <c r="BW75" s="0" cm="1" t="str">
        <f t="array" ref="BW75:BW75">IF($A75="uni_org_reg_NAME",INDEX(org_reg_values,MATCH(BW$10,org_reg_codes,0),1),IF($A75="uni_pf_NAME",INDEX(pf_codes_values,MATCH(BW$10,pf_codes,0),1),""))</f>
        <v>328.0.2.</v>
      </c>
    </row>
    <row customHeight="1" ht="11.25" hidden="1">
      <c r="A76" s="0" t="s">
        <v>409</v>
      </c>
      <c r="AD76" s="183"/>
      <c r="AF76" s="0" cm="1" t="str">
        <f t="array" ref="AF76:AF76">IF($A76="uni_org_reg_NAME",INDEX(org_reg_values,MATCH(AF$10,org_reg_codes,0),1),IF($A76="uni_pf_NAME",INDEX(pf_codes_values,MATCH(AF$10,pf_codes,0),1),""))</f>
        <v>36.0.7.</v>
      </c>
      <c r="AG76" s="0" cm="1" t="str">
        <f t="array" ref="AG76:AG76">IF($A76="uni_org_reg_NAME",INDEX(org_reg_values,MATCH(AG$10,org_reg_codes,0),1),IF($A76="uni_pf_NAME",INDEX(pf_codes_values,MATCH(AG$10,pf_codes,0),1),""))</f>
        <v>36.0.1.</v>
      </c>
      <c r="AH76" s="0" cm="1" t="str">
        <f t="array" ref="AH76:AH76">IF($A76="uni_org_reg_NAME",INDEX(org_reg_values,MATCH(AH$10,org_reg_codes,0),1),IF($A76="uni_pf_NAME",INDEX(pf_codes_values,MATCH(AH$10,pf_codes,0),1),""))</f>
        <v>36.0.1.</v>
      </c>
      <c r="AI76" s="0" cm="1" t="str">
        <f t="array" ref="AI76:AI76">IF($A76="uni_org_reg_NAME",INDEX(org_reg_values,MATCH(AI$10,org_reg_codes,0),1),IF($A76="uni_pf_NAME",INDEX(pf_codes_values,MATCH(AI$10,pf_codes,0),1),""))</f>
        <v>36.0.7.</v>
      </c>
      <c r="AJ76" s="0" cm="1" t="str">
        <f t="array" ref="AJ76:AJ76">IF($A76="uni_org_reg_NAME",INDEX(org_reg_values,MATCH(AJ$10,org_reg_codes,0),1),IF($A76="uni_pf_NAME",INDEX(pf_codes_values,MATCH(AJ$10,pf_codes,0),1),""))</f>
        <v>36.0.3.</v>
      </c>
      <c r="AK76" s="0" cm="1" t="str">
        <f t="array" ref="AK76:AK76">IF($A76="uni_org_reg_NAME",INDEX(org_reg_values,MATCH(AK$10,org_reg_codes,0),1),IF($A76="uni_pf_NAME",INDEX(pf_codes_values,MATCH(AK$10,pf_codes,0),1),""))</f>
        <v>36.0.3.</v>
      </c>
      <c r="AL76" s="0" cm="1" t="str">
        <f t="array" ref="AL76:AL76">IF($A76="uni_org_reg_NAME",INDEX(org_reg_values,MATCH(AL$10,org_reg_codes,0),1),IF($A76="uni_pf_NAME",INDEX(pf_codes_values,MATCH(AL$10,pf_codes,0),1),""))</f>
        <v>36.0.3.</v>
      </c>
      <c r="AM76" s="0" cm="1" t="str">
        <f t="array" ref="AM76:AM76">IF($A76="uni_org_reg_NAME",INDEX(org_reg_values,MATCH(AM$10,org_reg_codes,0),1),IF($A76="uni_pf_NAME",INDEX(pf_codes_values,MATCH(AM$10,pf_codes,0),1),""))</f>
        <v>36.0.3.</v>
      </c>
      <c r="AN76" s="0" cm="1" t="str">
        <f t="array" ref="AN76:AN76">IF($A76="uni_org_reg_NAME",INDEX(org_reg_values,MATCH(AN$10,org_reg_codes,0),1),IF($A76="uni_pf_NAME",INDEX(pf_codes_values,MATCH(AN$10,pf_codes,0),1),""))</f>
        <v>36.0.3.</v>
      </c>
      <c r="AO76" s="0" cm="1" t="str">
        <f t="array" ref="AO76:AO76">IF($A76="uni_org_reg_NAME",INDEX(org_reg_values,MATCH(AO$10,org_reg_codes,0),1),IF($A76="uni_pf_NAME",INDEX(pf_codes_values,MATCH(AO$10,pf_codes,0),1),""))</f>
        <v>36.0.3.</v>
      </c>
      <c r="AP76" s="0" cm="1" t="str">
        <f t="array" ref="AP76:AP76">IF($A76="uni_org_reg_NAME",INDEX(org_reg_values,MATCH(AP$10,org_reg_codes,0),1),IF($A76="uni_pf_NAME",INDEX(pf_codes_values,MATCH(AP$10,pf_codes,0),1),""))</f>
        <v>36.0.3.</v>
      </c>
      <c r="AQ76" s="0" cm="1" t="str">
        <f t="array" ref="AQ76:AQ76">IF($A76="uni_org_reg_NAME",INDEX(org_reg_values,MATCH(AQ$10,org_reg_codes,0),1),IF($A76="uni_pf_NAME",INDEX(pf_codes_values,MATCH(AQ$10,pf_codes,0),1),""))</f>
        <v>36.0.3.</v>
      </c>
      <c r="AR76" s="0" cm="1" t="str">
        <f t="array" ref="AR76:AR76">IF($A76="uni_org_reg_NAME",INDEX(org_reg_values,MATCH(AR$10,org_reg_codes,0),1),IF($A76="uni_pf_NAME",INDEX(pf_codes_values,MATCH(AR$10,pf_codes,0),1),""))</f>
        <v>36.0.3.</v>
      </c>
      <c r="AS76" s="0" cm="1" t="str">
        <f t="array" ref="AS76:AS76">IF($A76="uni_org_reg_NAME",INDEX(org_reg_values,MATCH(AS$10,org_reg_codes,0),1),IF($A76="uni_pf_NAME",INDEX(pf_codes_values,MATCH(AS$10,pf_codes,0),1),""))</f>
        <v>36.0.3.</v>
      </c>
      <c r="AT76" s="0" cm="1" t="str">
        <f t="array" ref="AT76:AT76">IF($A76="uni_org_reg_NAME",INDEX(org_reg_values,MATCH(AT$10,org_reg_codes,0),1),IF($A76="uni_pf_NAME",INDEX(pf_codes_values,MATCH(AT$10,pf_codes,0),1),""))</f>
        <v>36.0.3.</v>
      </c>
      <c r="AU76" s="0" cm="1" t="str">
        <f t="array" ref="AU76:AU76">IF($A76="uni_org_reg_NAME",INDEX(org_reg_values,MATCH(AU$10,org_reg_codes,0),1),IF($A76="uni_pf_NAME",INDEX(pf_codes_values,MATCH(AU$10,pf_codes,0),1),""))</f>
        <v>36.0.3.</v>
      </c>
      <c r="AV76" s="0" cm="1" t="str">
        <f t="array" ref="AV76:AV76">IF($A76="uni_org_reg_NAME",INDEX(org_reg_values,MATCH(AV$10,org_reg_codes,0),1),IF($A76="uni_pf_NAME",INDEX(pf_codes_values,MATCH(AV$10,pf_codes,0),1),""))</f>
        <v>36.0.3.</v>
      </c>
      <c r="AW76" s="0" cm="1" t="str">
        <f t="array" ref="AW76:AW76">IF($A76="uni_org_reg_NAME",INDEX(org_reg_values,MATCH(AW$10,org_reg_codes,0),1),IF($A76="uni_pf_NAME",INDEX(pf_codes_values,MATCH(AW$10,pf_codes,0),1),""))</f>
        <v>36.0.3.</v>
      </c>
      <c r="AX76" s="0" cm="1" t="str">
        <f t="array" ref="AX76:AX76">IF($A76="uni_org_reg_NAME",INDEX(org_reg_values,MATCH(AX$10,org_reg_codes,0),1),IF($A76="uni_pf_NAME",INDEX(pf_codes_values,MATCH(AX$10,pf_codes,0),1),""))</f>
        <v>36.0.3.</v>
      </c>
      <c r="AY76" s="0" cm="1" t="str">
        <f t="array" ref="AY76:AY76">IF($A76="uni_org_reg_NAME",INDEX(org_reg_values,MATCH(AY$10,org_reg_codes,0),1),IF($A76="uni_pf_NAME",INDEX(pf_codes_values,MATCH(AY$10,pf_codes,0),1),""))</f>
        <v>36.0.3.</v>
      </c>
      <c r="AZ76" s="0" cm="1" t="str">
        <f t="array" ref="AZ76:AZ76">IF($A76="uni_org_reg_NAME",INDEX(org_reg_values,MATCH(AZ$10,org_reg_codes,0),1),IF($A76="uni_pf_NAME",INDEX(pf_codes_values,MATCH(AZ$10,pf_codes,0),1),""))</f>
        <v>36.0.3.</v>
      </c>
      <c r="BA76" s="0" cm="1" t="str">
        <f t="array" ref="BA76:BA76">IF($A76="uni_org_reg_NAME",INDEX(org_reg_values,MATCH(BA$10,org_reg_codes,0),1),IF($A76="uni_pf_NAME",INDEX(pf_codes_values,MATCH(BA$10,pf_codes,0),1),""))</f>
        <v>36.0.3.</v>
      </c>
      <c r="BB76" s="0" cm="1" t="str">
        <f t="array" ref="BB76:BB76">IF($A76="uni_org_reg_NAME",INDEX(org_reg_values,MATCH(BB$10,org_reg_codes,0),1),IF($A76="uni_pf_NAME",INDEX(pf_codes_values,MATCH(BB$10,pf_codes,0),1),""))</f>
        <v>36.0.3.</v>
      </c>
      <c r="BC76" s="0" cm="1" t="str">
        <f t="array" ref="BC76:BC76">IF($A76="uni_org_reg_NAME",INDEX(org_reg_values,MATCH(BC$10,org_reg_codes,0),1),IF($A76="uni_pf_NAME",INDEX(pf_codes_values,MATCH(BC$10,pf_codes,0),1),""))</f>
        <v>36.0.3.</v>
      </c>
      <c r="BD76" s="0" cm="1" t="str">
        <f t="array" ref="BD76:BD76">IF($A76="uni_org_reg_NAME",INDEX(org_reg_values,MATCH(BD$10,org_reg_codes,0),1),IF($A76="uni_pf_NAME",INDEX(pf_codes_values,MATCH(BD$10,pf_codes,0),1),""))</f>
        <v>36.0.7.</v>
      </c>
      <c r="BE76" s="0" cm="1" t="str">
        <f t="array" ref="BE76:BE76">IF($A76="uni_org_reg_NAME",INDEX(org_reg_values,MATCH(BE$10,org_reg_codes,0),1),IF($A76="uni_pf_NAME",INDEX(pf_codes_values,MATCH(BE$10,pf_codes,0),1),""))</f>
        <v>36.0.7.</v>
      </c>
      <c r="BF76" s="0" cm="1" t="str">
        <f t="array" ref="BF76:BF76">IF($A76="uni_org_reg_NAME",INDEX(org_reg_values,MATCH(BF$10,org_reg_codes,0),1),IF($A76="uni_pf_NAME",INDEX(pf_codes_values,MATCH(BF$10,pf_codes,0),1),""))</f>
        <v>36.0.7.</v>
      </c>
      <c r="BG76" s="0" cm="1" t="str">
        <f t="array" ref="BG76:BG76">IF($A76="uni_org_reg_NAME",INDEX(org_reg_values,MATCH(BG$10,org_reg_codes,0),1),IF($A76="uni_pf_NAME",INDEX(pf_codes_values,MATCH(BG$10,pf_codes,0),1),""))</f>
        <v>36.0.7.</v>
      </c>
      <c r="BH76" s="0" cm="1" t="str">
        <f t="array" ref="BH76:BH76">IF($A76="uni_org_reg_NAME",INDEX(org_reg_values,MATCH(BH$10,org_reg_codes,0),1),IF($A76="uni_pf_NAME",INDEX(pf_codes_values,MATCH(BH$10,pf_codes,0),1),""))</f>
        <v>36.0.7.</v>
      </c>
      <c r="BI76" s="0" cm="1" t="str">
        <f t="array" ref="BI76:BI76">IF($A76="uni_org_reg_NAME",INDEX(org_reg_values,MATCH(BI$10,org_reg_codes,0),1),IF($A76="uni_pf_NAME",INDEX(pf_codes_values,MATCH(BI$10,pf_codes,0),1),""))</f>
        <v>36.0.7.</v>
      </c>
      <c r="BJ76" s="0" cm="1" t="str">
        <f t="array" ref="BJ76:BJ76">IF($A76="uni_org_reg_NAME",INDEX(org_reg_values,MATCH(BJ$10,org_reg_codes,0),1),IF($A76="uni_pf_NAME",INDEX(pf_codes_values,MATCH(BJ$10,pf_codes,0),1),""))</f>
        <v>36.0.7.</v>
      </c>
      <c r="BK76" s="0" cm="1" t="str">
        <f t="array" ref="BK76:BK76">IF($A76="uni_org_reg_NAME",INDEX(org_reg_values,MATCH(BK$10,org_reg_codes,0),1),IF($A76="uni_pf_NAME",INDEX(pf_codes_values,MATCH(BK$10,pf_codes,0),1),""))</f>
        <v>36.0.7.</v>
      </c>
      <c r="BL76" s="0" cm="1" t="str">
        <f t="array" ref="BL76:BL76">IF($A76="uni_org_reg_NAME",INDEX(org_reg_values,MATCH(BL$10,org_reg_codes,0),1),IF($A76="uni_pf_NAME",INDEX(pf_codes_values,MATCH(BL$10,pf_codes,0),1),""))</f>
        <v>36.0.7.</v>
      </c>
      <c r="BM76" s="0" cm="1" t="str">
        <f t="array" ref="BM76:BM76">IF($A76="uni_org_reg_NAME",INDEX(org_reg_values,MATCH(BM$10,org_reg_codes,0),1),IF($A76="uni_pf_NAME",INDEX(pf_codes_values,MATCH(BM$10,pf_codes,0),1),""))</f>
        <v>36.0.7.</v>
      </c>
      <c r="BN76" s="0" cm="1" t="str">
        <f t="array" ref="BN76:BN76">IF($A76="uni_org_reg_NAME",INDEX(org_reg_values,MATCH(BN$10,org_reg_codes,0),1),IF($A76="uni_pf_NAME",INDEX(pf_codes_values,MATCH(BN$10,pf_codes,0),1),""))</f>
        <v>36.0.7.</v>
      </c>
      <c r="BO76" s="0" cm="1" t="str">
        <f t="array" ref="BO76:BO76">IF($A76="uni_org_reg_NAME",INDEX(org_reg_values,MATCH(BO$10,org_reg_codes,0),1),IF($A76="uni_pf_NAME",INDEX(pf_codes_values,MATCH(BO$10,pf_codes,0),1),""))</f>
        <v>36.0.7.</v>
      </c>
      <c r="BP76" s="0" cm="1" t="str">
        <f t="array" ref="BP76:BP76">IF($A76="uni_org_reg_NAME",INDEX(org_reg_values,MATCH(BP$10,org_reg_codes,0),1),IF($A76="uni_pf_NAME",INDEX(pf_codes_values,MATCH(BP$10,pf_codes,0),1),""))</f>
        <v>36.0.7.</v>
      </c>
      <c r="BQ76" s="0" cm="1" t="str">
        <f t="array" ref="BQ76:BQ76">IF($A76="uni_org_reg_NAME",INDEX(org_reg_values,MATCH(BQ$10,org_reg_codes,0),1),IF($A76="uni_pf_NAME",INDEX(pf_codes_values,MATCH(BQ$10,pf_codes,0),1),""))</f>
        <v>36.0.7.</v>
      </c>
      <c r="BR76" s="0" cm="1" t="str">
        <f t="array" ref="BR76:BR76">IF($A76="uni_org_reg_NAME",INDEX(org_reg_values,MATCH(BR$10,org_reg_codes,0),1),IF($A76="uni_pf_NAME",INDEX(pf_codes_values,MATCH(BR$10,pf_codes,0),1),""))</f>
        <v>36.0.7.</v>
      </c>
      <c r="BS76" s="0" cm="1" t="str">
        <f t="array" ref="BS76:BS76">IF($A76="uni_org_reg_NAME",INDEX(org_reg_values,MATCH(BS$10,org_reg_codes,0),1),IF($A76="uni_pf_NAME",INDEX(pf_codes_values,MATCH(BS$10,pf_codes,0),1),""))</f>
        <v>36.0.7.</v>
      </c>
      <c r="BT76" s="0" cm="1" t="str">
        <f t="array" ref="BT76:BT76">IF($A76="uni_org_reg_NAME",INDEX(org_reg_values,MATCH(BT$10,org_reg_codes,0),1),IF($A76="uni_pf_NAME",INDEX(pf_codes_values,MATCH(BT$10,pf_codes,0),1),""))</f>
        <v>36.0.7.</v>
      </c>
      <c r="BU76" s="0" cm="1" t="str">
        <f t="array" ref="BU76:BU76">IF($A76="uni_org_reg_NAME",INDEX(org_reg_values,MATCH(BU$10,org_reg_codes,0),1),IF($A76="uni_pf_NAME",INDEX(pf_codes_values,MATCH(BU$10,pf_codes,0),1),""))</f>
        <v>36.0.7.</v>
      </c>
      <c r="BV76" s="0" cm="1" t="str">
        <f t="array" ref="BV76:BV76">IF($A76="uni_org_reg_NAME",INDEX(org_reg_values,MATCH(BV$10,org_reg_codes,0),1),IF($A76="uni_pf_NAME",INDEX(pf_codes_values,MATCH(BV$10,pf_codes,0),1),""))</f>
        <v>36.0.7.</v>
      </c>
      <c r="BW76" s="0" cm="1" t="str">
        <f t="array" ref="BW76:BW76">IF($A76="uni_org_reg_NAME",INDEX(org_reg_values,MATCH(BW$10,org_reg_codes,0),1),IF($A76="uni_pf_NAME",INDEX(pf_codes_values,MATCH(BW$10,pf_codes,0),1),""))</f>
        <v>36.0.7.</v>
      </c>
    </row>
    <row customHeight="1" ht="11.25" hidden="1">
      <c r="A77" s="0" t="s">
        <v>351</v>
      </c>
      <c r="AD77" s="183"/>
      <c r="AE77" s="0" t="s">
        <v>178</v>
      </c>
      <c r="AJ77" s="183"/>
      <c r="AK77" s="183"/>
      <c r="AL77" s="183"/>
      <c r="AM77" s="183"/>
      <c r="AN77" s="183"/>
      <c r="AO77" s="183"/>
      <c r="AP77" s="183"/>
      <c r="AQ77" s="183"/>
      <c r="AR77" s="183"/>
      <c r="AS77" s="183"/>
      <c r="AT77" s="183"/>
      <c r="AU77" s="183"/>
      <c r="AV77" s="183"/>
      <c r="AW77" s="183"/>
      <c r="AX77" s="183"/>
      <c r="AY77" s="183"/>
      <c r="AZ77" s="183"/>
      <c r="BA77" s="183"/>
      <c r="BB77" s="183"/>
      <c r="BC77" s="183"/>
      <c r="BD77" s="183"/>
      <c r="BE77" s="183"/>
      <c r="BF77" s="183"/>
      <c r="BG77" s="183"/>
      <c r="BH77" s="183"/>
      <c r="BI77" s="183"/>
      <c r="BJ77" s="183"/>
      <c r="BK77" s="183"/>
      <c r="BL77" s="183"/>
      <c r="BM77" s="183"/>
      <c r="BN77" s="183"/>
      <c r="BO77" s="183"/>
      <c r="BP77" s="183"/>
      <c r="BQ77" s="183"/>
      <c r="BR77" s="183"/>
      <c r="BS77" s="183"/>
      <c r="BT77" s="183"/>
      <c r="BU77" s="183"/>
      <c r="BV77" s="183"/>
      <c r="BW77" s="183"/>
      <c r="BX77" s="0" t="s">
        <v>178</v>
      </c>
    </row>
    <row customHeight="1" ht="11.25" hidden="1">
      <c r="A78" s="0" t="s">
        <v>352</v>
      </c>
      <c r="AD78" s="183"/>
      <c r="AE78" s="0" t="s">
        <v>1414</v>
      </c>
      <c r="AJ78" s="183"/>
      <c r="AK78" s="183"/>
      <c r="AL78" s="183"/>
      <c r="AM78" s="183"/>
      <c r="AN78" s="183"/>
      <c r="AO78" s="183"/>
      <c r="AP78" s="183"/>
      <c r="AQ78" s="183"/>
      <c r="AR78" s="183"/>
      <c r="AS78" s="183"/>
      <c r="AT78" s="183"/>
      <c r="AU78" s="183"/>
      <c r="AV78" s="183"/>
      <c r="AW78" s="183"/>
      <c r="AX78" s="183"/>
      <c r="AY78" s="183"/>
      <c r="AZ78" s="183"/>
      <c r="BA78" s="183"/>
      <c r="BB78" s="183"/>
      <c r="BC78" s="183"/>
      <c r="BD78" s="183"/>
      <c r="BE78" s="183"/>
      <c r="BF78" s="183"/>
      <c r="BG78" s="183"/>
      <c r="BH78" s="183"/>
      <c r="BI78" s="183"/>
      <c r="BJ78" s="183"/>
      <c r="BK78" s="183"/>
      <c r="BL78" s="183"/>
      <c r="BM78" s="183"/>
      <c r="BN78" s="183"/>
      <c r="BO78" s="183"/>
      <c r="BP78" s="183"/>
      <c r="BQ78" s="183"/>
      <c r="BR78" s="183"/>
      <c r="BS78" s="183"/>
      <c r="BT78" s="183"/>
      <c r="BU78" s="183"/>
      <c r="BV78" s="183"/>
      <c r="BW78" s="183"/>
      <c r="BX78" s="0" t="s">
        <v>798</v>
      </c>
    </row>
    <row customHeight="1" ht="11.25" hidden="1">
      <c r="A79" s="0" t="s">
        <v>379</v>
      </c>
      <c r="AD79" s="183"/>
      <c r="AE79" s="0" t="s">
        <v>413</v>
      </c>
      <c r="AJ79" s="183"/>
      <c r="AK79" s="183"/>
      <c r="AL79" s="183"/>
      <c r="AM79" s="183"/>
      <c r="AN79" s="183"/>
      <c r="AO79" s="183"/>
      <c r="AP79" s="183"/>
      <c r="AQ79" s="183"/>
      <c r="AR79" s="183"/>
      <c r="AS79" s="183"/>
      <c r="AT79" s="183"/>
      <c r="AU79" s="183"/>
      <c r="AV79" s="183"/>
      <c r="AW79" s="183"/>
      <c r="AX79" s="183"/>
      <c r="AY79" s="183"/>
      <c r="AZ79" s="183"/>
      <c r="BA79" s="183"/>
      <c r="BB79" s="183"/>
      <c r="BC79" s="183"/>
      <c r="BD79" s="183"/>
      <c r="BE79" s="183"/>
      <c r="BF79" s="183"/>
      <c r="BG79" s="183"/>
      <c r="BH79" s="183"/>
      <c r="BI79" s="183"/>
      <c r="BJ79" s="183"/>
      <c r="BK79" s="183"/>
      <c r="BL79" s="183"/>
      <c r="BM79" s="183"/>
      <c r="BN79" s="183"/>
      <c r="BO79" s="183"/>
      <c r="BP79" s="183"/>
      <c r="BQ79" s="183"/>
      <c r="BR79" s="183"/>
      <c r="BS79" s="183"/>
      <c r="BT79" s="183"/>
      <c r="BU79" s="183"/>
      <c r="BV79" s="183"/>
      <c r="BW79" s="183"/>
      <c r="BX79" s="0" t="s">
        <v>799</v>
      </c>
    </row>
  </sheetData>
  <sheetProtection formatColumns="0" formatRows="0" insertRows="0" deleteColumns="0" deleteRows="0" sort="0" autoFilter="0" insertColumns="1"/>
  <mergeCells count="24">
    <mergeCell ref="X27:X45"/>
    <mergeCell ref="Y30:Y32"/>
    <mergeCell ref="Y36:Y38"/>
    <mergeCell ref="Y42:Y44"/>
    <mergeCell ref="Z27:Z45"/>
    <mergeCell ref="AB69:BX69"/>
    <mergeCell ref="AB70:AC70"/>
    <mergeCell ref="AB67:BX67"/>
    <mergeCell ref="AB68:BX68"/>
    <mergeCell ref="AA36:AA38"/>
    <mergeCell ref="AA42:AA44"/>
    <mergeCell ref="AB24:AB25"/>
    <mergeCell ref="AE24:AE25"/>
    <mergeCell ref="BX24:BX25"/>
    <mergeCell ref="AA30:AA32"/>
    <mergeCell ref="AC24:AD25"/>
    <mergeCell ref="X46:X64"/>
    <mergeCell ref="Y49:Y51"/>
    <mergeCell ref="Y55:Y57"/>
    <mergeCell ref="Y61:Y63"/>
    <mergeCell ref="Z46:Z64"/>
    <mergeCell ref="AA55:AA57"/>
    <mergeCell ref="AA61:AA63"/>
    <mergeCell ref="AA49:AA51"/>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1155B7-7181-CAAF-D8E8-E6F5FD356EB8}" mc:Ignorable="x14ac xr xr2 xr3">
  <sheetPr>
    <tabColor rgb="FF002060"/>
    <outlinePr summaryBelow="0"/>
    <pageSetUpPr fitToPage="1"/>
  </sheetPr>
  <dimension ref="A1:BC94"/>
  <sheetViews>
    <sheetView showGridLines="0" workbookViewId="0">
      <pane xSplit="30" ySplit="26" topLeftCell="AE52" activePane="bottomRight" state="frozen"/>
      <selection pane="bottomLeft" activeCell="A27" sqref="A27"/>
      <selection pane="topRight" activeCell="AE1" sqref="AE1"/>
      <selection pane="bottomRight" activeCell="AG58" sqref="AG58"/>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8.5742187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86" width="5.00390625" customWidth="1"/>
    <col min="29" max="29" style="286" width="57.00390625" customWidth="1"/>
    <col min="30" max="30" style="286" width="12.00390625" customWidth="1"/>
    <col min="31" max="36" style="286" width="13.00390625" customWidth="1"/>
    <col min="37" max="37" style="286" width="31.00390625" customWidth="1"/>
    <col min="38" max="38" style="286" width="3.00390625" customWidth="1"/>
    <col min="39" max="39" style="1659" width="9.140625" hidden="1"/>
    <col min="40" max="40" style="1125" width="16.421875" hidden="1" customWidth="1"/>
    <col min="41" max="41" style="1125" width="11.7109375" hidden="1" customWidth="1"/>
    <col min="42" max="42" style="1125" width="11.28125" hidden="1" customWidth="1"/>
    <col min="43" max="43" style="1126" width="16.140625" hidden="1" customWidth="1"/>
    <col min="44" max="44" style="1126" width="9.140625" hidden="1"/>
    <col min="45" max="46" style="1506" width="9.140625" hidden="1"/>
    <col min="47" max="55" width="9.140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C1" s="753" t="s">
        <v>92</v>
      </c>
      <c r="AI1" s="1548"/>
      <c r="AJ1" s="1548"/>
      <c r="AN1" s="489" t="s">
        <v>336</v>
      </c>
      <c r="AO1" s="489" t="s">
        <v>337</v>
      </c>
      <c r="AP1" s="489" t="s">
        <v>338</v>
      </c>
      <c r="AQ1" s="546" t="s">
        <v>341</v>
      </c>
      <c r="AR1" s="546" t="s">
        <v>342</v>
      </c>
      <c r="AU1" s="0" t="s">
        <v>94</v>
      </c>
      <c r="AV1" s="0" t="s">
        <v>1415</v>
      </c>
      <c r="AW1" s="0" t="s">
        <v>1416</v>
      </c>
      <c r="AX1" s="0" t="s">
        <v>1417</v>
      </c>
      <c r="AY1" s="0" t="s">
        <v>110</v>
      </c>
      <c r="AZ1" s="0" t="s">
        <v>111</v>
      </c>
      <c r="BA1" s="0" t="s">
        <v>112</v>
      </c>
      <c r="BB1" s="0" t="s">
        <v>113</v>
      </c>
      <c r="BC1" s="0" t="s">
        <v>114</v>
      </c>
    </row>
    <row s="1548" customFormat="1" customHeight="1" ht="11.25" hidden="1">
      <c r="A2" s="371"/>
      <c r="B2" s="179" t="s">
        <v>16</v>
      </c>
      <c r="G2" s="193"/>
      <c r="H2" s="193"/>
      <c r="I2" s="193"/>
      <c r="J2" s="193"/>
      <c r="K2" s="193"/>
      <c r="L2" s="193"/>
      <c r="M2" s="193"/>
      <c r="N2" s="193"/>
      <c r="O2" s="193"/>
      <c r="P2" s="193"/>
      <c r="Q2" s="193"/>
      <c r="R2" s="193"/>
      <c r="S2" s="193"/>
      <c r="AF2" s="179" cm="1" t="str">
        <f t="array" ref="AF2:AF2">isOrgDeclare</f>
        <v>true</v>
      </c>
      <c r="AI2" s="179">
        <f>AND(AI9&lt;=last_year_vis,isOrgDeclare)</f>
        <v>1</v>
      </c>
      <c r="AJ2" s="179">
        <f>AJ9&lt;=last_year_vis</f>
        <v>1</v>
      </c>
      <c r="AN2" s="489"/>
      <c r="AO2" s="489"/>
      <c r="AP2" s="489"/>
      <c r="AQ2" s="546"/>
      <c r="AR2" s="546"/>
      <c r="AU2" s="0"/>
      <c r="AV2" s="0"/>
      <c r="AW2" s="0"/>
      <c r="AX2" s="0"/>
      <c r="AY2" s="0"/>
      <c r="AZ2" s="0"/>
      <c r="BA2" s="0"/>
      <c r="BB2" s="0"/>
      <c r="BC2" s="0"/>
    </row>
    <row s="1548" customFormat="1" customHeight="1" ht="11.25" hidden="1">
      <c r="A3" s="371"/>
      <c r="G3" s="193"/>
      <c r="H3" s="193"/>
      <c r="I3" s="193"/>
      <c r="J3" s="193"/>
      <c r="K3" s="193"/>
      <c r="L3" s="193"/>
      <c r="M3" s="193"/>
      <c r="N3" s="193"/>
      <c r="O3" s="193"/>
      <c r="P3" s="193"/>
      <c r="Q3" s="193"/>
      <c r="R3" s="193"/>
      <c r="S3" s="193"/>
      <c r="AI3" s="1548"/>
      <c r="AJ3" s="1548"/>
      <c r="AN3" s="489"/>
      <c r="AO3" s="489"/>
      <c r="AP3" s="489"/>
      <c r="AQ3" s="546"/>
      <c r="AR3" s="546"/>
      <c r="AU3" s="0"/>
      <c r="AV3" s="0"/>
      <c r="AW3" s="0"/>
      <c r="AX3" s="0"/>
      <c r="AY3" s="0"/>
      <c r="AZ3" s="0"/>
      <c r="BA3" s="0"/>
      <c r="BB3" s="0"/>
      <c r="BC3" s="0"/>
    </row>
    <row s="1548" customFormat="1" customHeight="1" ht="11.25" hidden="1">
      <c r="A4" s="371"/>
      <c r="G4" s="193"/>
      <c r="H4" s="193"/>
      <c r="I4" s="193"/>
      <c r="J4" s="193"/>
      <c r="K4" s="193"/>
      <c r="L4" s="193"/>
      <c r="M4" s="193"/>
      <c r="N4" s="193"/>
      <c r="O4" s="193"/>
      <c r="P4" s="193"/>
      <c r="Q4" s="193"/>
      <c r="R4" s="193"/>
      <c r="S4" s="193"/>
      <c r="AI4" s="1548"/>
      <c r="AJ4" s="1548"/>
      <c r="AN4" s="489"/>
      <c r="AO4" s="489"/>
      <c r="AP4" s="489"/>
      <c r="AQ4" s="546"/>
      <c r="AR4" s="546"/>
      <c r="AU4" s="0"/>
      <c r="AV4" s="0"/>
      <c r="AW4" s="0"/>
      <c r="AX4" s="0"/>
      <c r="AY4" s="0"/>
      <c r="AZ4" s="0"/>
      <c r="BA4" s="0"/>
      <c r="BB4" s="0"/>
      <c r="BC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5</v>
      </c>
      <c r="AC5" s="180">
        <v>57</v>
      </c>
      <c r="AD5" s="180">
        <v>12</v>
      </c>
      <c r="AE5" s="180">
        <v>13</v>
      </c>
      <c r="AF5" s="180">
        <v>13</v>
      </c>
      <c r="AG5" s="180">
        <v>13</v>
      </c>
      <c r="AH5" s="180">
        <v>13</v>
      </c>
      <c r="AI5" s="180">
        <v>13</v>
      </c>
      <c r="AJ5" s="180">
        <v>13</v>
      </c>
      <c r="AK5" s="180">
        <v>31</v>
      </c>
      <c r="AL5" s="180">
        <v>3</v>
      </c>
      <c r="AN5" s="489"/>
      <c r="AO5" s="489"/>
      <c r="AP5" s="489"/>
      <c r="AQ5" s="546"/>
      <c r="AR5" s="546"/>
      <c r="AU5" s="1729"/>
      <c r="AV5" s="1729"/>
      <c r="AW5" s="1729"/>
      <c r="AX5" s="1729"/>
      <c r="AY5" s="1729"/>
      <c r="AZ5" s="1729"/>
      <c r="BA5" s="1729"/>
      <c r="BB5" s="1729"/>
      <c r="BC5" s="1729"/>
    </row>
    <row s="1548" customFormat="1" customHeight="1" ht="11.25" hidden="1">
      <c r="A6" s="371"/>
      <c r="E6" s="180"/>
      <c r="G6" s="193"/>
      <c r="H6" s="193"/>
      <c r="I6" s="193"/>
      <c r="J6" s="193"/>
      <c r="K6" s="193"/>
      <c r="L6" s="193"/>
      <c r="M6" s="193"/>
      <c r="N6" s="193"/>
      <c r="O6" s="193"/>
      <c r="P6" s="193"/>
      <c r="Q6" s="193"/>
      <c r="R6" s="193"/>
      <c r="S6" s="193"/>
      <c r="AI6" s="1548"/>
      <c r="AJ6" s="1548"/>
      <c r="AN6" s="489"/>
      <c r="AO6" s="489"/>
      <c r="AP6" s="489"/>
      <c r="AQ6" s="546"/>
      <c r="AR6" s="546"/>
      <c r="AU6" s="0"/>
      <c r="AV6" s="0"/>
      <c r="AW6" s="0"/>
      <c r="AX6" s="0"/>
      <c r="AY6" s="0"/>
      <c r="AZ6" s="0"/>
      <c r="BA6" s="0"/>
      <c r="BB6" s="0"/>
      <c r="BC6" s="0"/>
    </row>
    <row customHeight="1" ht="11.25" hidden="1">
      <c r="F7" s="193"/>
      <c r="T7" s="193"/>
      <c r="U7" s="193"/>
      <c r="V7" s="193"/>
      <c r="W7" s="193"/>
      <c r="X7" s="193"/>
      <c r="Y7" s="193"/>
      <c r="Z7" s="193"/>
      <c r="AA7" s="193"/>
      <c r="AB7" s="193"/>
      <c r="AC7" s="193"/>
      <c r="AD7" s="193"/>
      <c r="AE7" s="193"/>
      <c r="AF7" s="193"/>
      <c r="AG7" s="193"/>
      <c r="AH7" s="193"/>
      <c r="AI7" s="193"/>
      <c r="AJ7" s="193"/>
      <c r="AK7" s="193"/>
      <c r="AL7" s="193"/>
    </row>
    <row customHeight="1" ht="11.25" hidden="1">
      <c r="F8" s="193"/>
      <c r="T8" s="193"/>
      <c r="U8" s="193"/>
      <c r="V8" s="193"/>
      <c r="W8" s="193"/>
      <c r="X8" s="193"/>
      <c r="Y8" s="193"/>
      <c r="Z8" s="193"/>
      <c r="AA8" s="193"/>
      <c r="AB8" s="193"/>
      <c r="AC8" s="193"/>
      <c r="AD8" s="193"/>
      <c r="AE8" s="193"/>
      <c r="AF8" s="193"/>
      <c r="AG8" s="193"/>
      <c r="AH8" s="193"/>
      <c r="AI8" s="193"/>
      <c r="AJ8" s="193"/>
      <c r="AK8" s="193"/>
      <c r="AL8" s="193"/>
    </row>
    <row s="1143" customFormat="1" customHeight="1" ht="11.25" hidden="1">
      <c r="A9" s="309" t="s">
        <v>403</v>
      </c>
      <c r="AE9" s="312">
        <f>god-2</f>
        <v>2025</v>
      </c>
      <c r="AF9" s="312">
        <f>god-2</f>
        <v>2025</v>
      </c>
      <c r="AG9" s="312">
        <f>god-2</f>
        <v>2025</v>
      </c>
      <c r="AH9" s="312">
        <f>god-1</f>
        <v>2026</v>
      </c>
      <c r="AI9" s="312" cm="1" t="str">
        <f t="array" ref="AI9:AI9">god</f>
        <v>2027</v>
      </c>
      <c r="AJ9" s="312" cm="1" t="str">
        <f t="array" ref="AJ9:AJ9">god</f>
        <v>2027</v>
      </c>
      <c r="AN9" s="489"/>
      <c r="AO9" s="489"/>
      <c r="AP9" s="489"/>
      <c r="AQ9" s="546"/>
      <c r="AR9" s="546"/>
      <c r="AU9" s="1730"/>
      <c r="AV9" s="1730"/>
      <c r="AW9" s="1730"/>
      <c r="AX9" s="1730"/>
      <c r="AY9" s="1730"/>
      <c r="AZ9" s="1730"/>
      <c r="BA9" s="1730"/>
      <c r="BB9" s="1730"/>
      <c r="BC9" s="1730"/>
    </row>
    <row s="1143" customFormat="1" customHeight="1" ht="11.25" hidden="1">
      <c r="A10" s="309" t="s">
        <v>404</v>
      </c>
      <c r="AE10" s="312" cm="1" t="str">
        <f t="array" ref="AE10:AE10">AE25</f>
        <v>Принято органом регулирования</v>
      </c>
      <c r="AF10" s="312" cm="1" t="str">
        <f t="array" ref="AF10:AF10">AF25</f>
        <v>Факт по данным организации</v>
      </c>
      <c r="AG10" s="312" cm="1" t="str">
        <f t="array" ref="AG10:AG10">AG25</f>
        <v>Факт, принятый органом регулирования</v>
      </c>
      <c r="AH10" s="312" cm="1" t="str">
        <f t="array" ref="AH10:AH10">AH25</f>
        <v>Принято органом регулирования</v>
      </c>
      <c r="AI10" s="312" cm="1" t="str">
        <f t="array" ref="AI10:AI10">AI25</f>
        <v>Предложение организации</v>
      </c>
      <c r="AJ10" s="312" cm="1" t="str">
        <f t="array" ref="AJ10:AJ10">AJ25</f>
        <v>Принято органом регулирования</v>
      </c>
      <c r="AN10" s="489"/>
      <c r="AO10" s="489"/>
      <c r="AP10" s="489"/>
      <c r="AQ10" s="546"/>
      <c r="AR10" s="546"/>
      <c r="AU10" s="1730"/>
      <c r="AV10" s="1730"/>
      <c r="AW10" s="1730"/>
      <c r="AX10" s="1730"/>
      <c r="AY10" s="1730"/>
      <c r="AZ10" s="1730"/>
      <c r="BA10" s="1730"/>
      <c r="BB10" s="1730"/>
      <c r="BC10" s="1730"/>
    </row>
    <row s="483" customFormat="1" customHeight="1" ht="11.25" hidden="1">
      <c r="A11" s="309" t="s">
        <v>405</v>
      </c>
      <c r="B11" s="312"/>
      <c r="C11" s="312"/>
      <c r="D11" s="312"/>
      <c r="E11" s="312"/>
      <c r="AI11" s="483"/>
      <c r="AJ11" s="483"/>
      <c r="AK11" s="483" cm="1" t="str">
        <f t="array" ref="AK11:AK11">AK24</f>
        <v>Ссылка на правовую норму (основание для принятия показателя в расчет тарифа)</v>
      </c>
      <c r="AN11" s="489"/>
      <c r="AO11" s="489"/>
      <c r="AP11" s="489"/>
      <c r="AQ11" s="546"/>
      <c r="AR11" s="546"/>
      <c r="AU11" s="1730"/>
      <c r="AV11" s="1730"/>
      <c r="AW11" s="1730"/>
      <c r="AX11" s="1730"/>
      <c r="AY11" s="1730"/>
      <c r="AZ11" s="1730"/>
      <c r="BA11" s="1730"/>
      <c r="BB11" s="1730"/>
      <c r="BC11" s="1730"/>
    </row>
    <row s="1143" customFormat="1" customHeight="1" ht="11.25" hidden="1">
      <c r="A12" s="309" t="s">
        <v>350</v>
      </c>
      <c r="G12" s="483"/>
      <c r="H12" s="483"/>
      <c r="I12" s="483"/>
      <c r="J12" s="483"/>
      <c r="K12" s="483"/>
      <c r="L12" s="483"/>
      <c r="M12" s="483"/>
      <c r="N12" s="483"/>
      <c r="O12" s="483"/>
      <c r="P12" s="483"/>
      <c r="Q12" s="483"/>
      <c r="R12" s="483"/>
      <c r="S12" s="483"/>
      <c r="AC12" s="312" t="s">
        <v>338</v>
      </c>
      <c r="AI12" s="1143"/>
      <c r="AJ12" s="1143"/>
      <c r="AN12" s="489"/>
      <c r="AO12" s="489"/>
      <c r="AP12" s="489"/>
      <c r="AQ12" s="546"/>
      <c r="AR12" s="546"/>
      <c r="AU12" s="1730"/>
      <c r="AV12" s="1730"/>
      <c r="AW12" s="1730"/>
      <c r="AX12" s="1730"/>
      <c r="AY12" s="1730"/>
      <c r="AZ12" s="1730"/>
      <c r="BA12" s="1730"/>
      <c r="BB12" s="1730"/>
      <c r="BC12" s="1730"/>
    </row>
    <row s="1548" customFormat="1" customHeight="1" ht="11.25" hidden="1">
      <c r="A13" s="371"/>
      <c r="E13" s="180"/>
      <c r="G13" s="193"/>
      <c r="H13" s="193"/>
      <c r="I13" s="193"/>
      <c r="J13" s="193"/>
      <c r="K13" s="193"/>
      <c r="L13" s="193"/>
      <c r="M13" s="193"/>
      <c r="N13" s="193"/>
      <c r="O13" s="193"/>
      <c r="P13" s="193"/>
      <c r="Q13" s="193"/>
      <c r="R13" s="193"/>
      <c r="S13" s="193"/>
      <c r="AI13" s="1548"/>
      <c r="AJ13" s="1548"/>
      <c r="AN13" s="489"/>
      <c r="AO13" s="489"/>
      <c r="AP13" s="489"/>
      <c r="AQ13" s="546"/>
      <c r="AR13" s="546"/>
      <c r="AU13" s="0"/>
      <c r="AV13" s="0"/>
      <c r="AW13" s="0"/>
      <c r="AX13" s="0"/>
      <c r="AY13" s="0"/>
      <c r="AZ13" s="0"/>
      <c r="BA13" s="0"/>
      <c r="BB13" s="0"/>
      <c r="BC13" s="0"/>
    </row>
    <row s="1548" customFormat="1" customHeight="1" ht="11.25" hidden="1">
      <c r="A14" s="371"/>
      <c r="E14" s="180"/>
      <c r="G14" s="193"/>
      <c r="H14" s="193"/>
      <c r="I14" s="193"/>
      <c r="J14" s="193"/>
      <c r="K14" s="193"/>
      <c r="L14" s="193"/>
      <c r="M14" s="193"/>
      <c r="N14" s="193"/>
      <c r="O14" s="193"/>
      <c r="P14" s="193"/>
      <c r="Q14" s="193"/>
      <c r="R14" s="193"/>
      <c r="S14" s="193"/>
      <c r="AI14" s="1548"/>
      <c r="AJ14" s="1548"/>
      <c r="AN14" s="489"/>
      <c r="AO14" s="489"/>
      <c r="AP14" s="489"/>
      <c r="AQ14" s="546"/>
      <c r="AR14" s="546"/>
      <c r="AU14" s="0"/>
      <c r="AV14" s="0"/>
      <c r="AW14" s="0"/>
      <c r="AX14" s="0"/>
      <c r="AY14" s="0"/>
      <c r="AZ14" s="0"/>
      <c r="BA14" s="0"/>
      <c r="BB14" s="0"/>
      <c r="BC14" s="0"/>
    </row>
    <row s="1548" customFormat="1" customHeight="1" ht="11.25" hidden="1">
      <c r="A15" s="371"/>
      <c r="E15" s="180"/>
      <c r="G15" s="193"/>
      <c r="H15" s="193"/>
      <c r="I15" s="193"/>
      <c r="J15" s="193"/>
      <c r="K15" s="193"/>
      <c r="L15" s="193"/>
      <c r="M15" s="193"/>
      <c r="N15" s="193"/>
      <c r="O15" s="193"/>
      <c r="P15" s="193"/>
      <c r="Q15" s="193"/>
      <c r="R15" s="193"/>
      <c r="S15" s="193"/>
      <c r="AI15" s="1548"/>
      <c r="AJ15" s="1548"/>
      <c r="AN15" s="489"/>
      <c r="AO15" s="489"/>
      <c r="AP15" s="489"/>
      <c r="AQ15" s="546"/>
      <c r="AR15" s="546"/>
      <c r="AU15" s="0"/>
      <c r="AV15" s="0"/>
      <c r="AW15" s="0"/>
      <c r="AX15" s="0"/>
      <c r="AY15" s="0"/>
      <c r="AZ15" s="0"/>
      <c r="BA15" s="0"/>
      <c r="BB15" s="0"/>
      <c r="BC15" s="0"/>
    </row>
    <row s="1548" customFormat="1" customHeight="1" ht="11.25" hidden="1">
      <c r="A16" s="371"/>
      <c r="E16" s="180"/>
      <c r="G16" s="193"/>
      <c r="H16" s="193"/>
      <c r="I16" s="193"/>
      <c r="J16" s="193"/>
      <c r="K16" s="193"/>
      <c r="L16" s="193"/>
      <c r="M16" s="193"/>
      <c r="N16" s="193"/>
      <c r="O16" s="193"/>
      <c r="P16" s="193"/>
      <c r="Q16" s="193"/>
      <c r="R16" s="193"/>
      <c r="S16" s="193"/>
      <c r="AI16" s="1548"/>
      <c r="AJ16" s="1548"/>
      <c r="AN16" s="489"/>
      <c r="AO16" s="489"/>
      <c r="AP16" s="489"/>
      <c r="AQ16" s="546"/>
      <c r="AR16" s="546"/>
      <c r="AU16" s="0"/>
      <c r="AV16" s="0"/>
      <c r="AW16" s="0"/>
      <c r="AX16" s="0"/>
      <c r="AY16" s="0"/>
      <c r="AZ16" s="0"/>
      <c r="BA16" s="0"/>
      <c r="BB16" s="0"/>
      <c r="BC16" s="0"/>
    </row>
    <row s="1548" customFormat="1" customHeight="1" ht="11.25" hidden="1">
      <c r="A17" s="371"/>
      <c r="E17" s="180"/>
      <c r="G17" s="193"/>
      <c r="H17" s="193"/>
      <c r="I17" s="193"/>
      <c r="J17" s="193"/>
      <c r="K17" s="193"/>
      <c r="L17" s="193"/>
      <c r="M17" s="193"/>
      <c r="N17" s="193"/>
      <c r="O17" s="193"/>
      <c r="P17" s="193"/>
      <c r="Q17" s="193"/>
      <c r="R17" s="193"/>
      <c r="S17" s="193"/>
      <c r="AI17" s="1548"/>
      <c r="AJ17" s="1548"/>
      <c r="AN17" s="489"/>
      <c r="AO17" s="489"/>
      <c r="AP17" s="489"/>
      <c r="AQ17" s="546"/>
      <c r="AR17" s="546"/>
      <c r="AU17" s="0"/>
      <c r="AV17" s="0"/>
      <c r="AW17" s="0"/>
      <c r="AX17" s="0"/>
      <c r="AY17" s="0"/>
      <c r="AZ17" s="0"/>
      <c r="BA17" s="0"/>
      <c r="BB17" s="0"/>
      <c r="BC17" s="0"/>
    </row>
    <row s="1548" customFormat="1" customHeight="1" ht="11.25" hidden="1">
      <c r="A18" s="978" t="s">
        <v>492</v>
      </c>
      <c r="E18" s="180"/>
      <c r="G18" s="193"/>
      <c r="H18" s="193"/>
      <c r="I18" s="193"/>
      <c r="J18" s="193"/>
      <c r="K18" s="193"/>
      <c r="L18" s="193"/>
      <c r="M18" s="193"/>
      <c r="N18" s="193"/>
      <c r="O18" s="193"/>
      <c r="P18" s="193"/>
      <c r="Q18" s="193"/>
      <c r="R18" s="193"/>
      <c r="S18" s="193"/>
      <c r="AC18" s="1072" t="s">
        <v>175</v>
      </c>
      <c r="AI18" s="1548"/>
      <c r="AJ18" s="1548"/>
      <c r="AN18" s="489"/>
      <c r="AO18" s="489"/>
      <c r="AP18" s="489"/>
      <c r="AQ18" s="546"/>
      <c r="AR18" s="546"/>
      <c r="AU18" s="0"/>
      <c r="AV18" s="0"/>
      <c r="AW18" s="0"/>
      <c r="AX18" s="0"/>
      <c r="AY18" s="0"/>
      <c r="AZ18" s="0"/>
      <c r="BA18" s="0"/>
      <c r="BB18" s="0"/>
      <c r="BC18" s="0"/>
    </row>
    <row s="1548" customFormat="1" customHeight="1" ht="11.25" hidden="1">
      <c r="A19" s="371"/>
      <c r="E19" s="180"/>
      <c r="G19" s="193"/>
      <c r="H19" s="193"/>
      <c r="I19" s="193"/>
      <c r="J19" s="193"/>
      <c r="K19" s="193"/>
      <c r="L19" s="193"/>
      <c r="M19" s="193"/>
      <c r="N19" s="193"/>
      <c r="O19" s="193"/>
      <c r="P19" s="193"/>
      <c r="Q19" s="193"/>
      <c r="R19" s="193"/>
      <c r="S19" s="193"/>
      <c r="AI19" s="1548"/>
      <c r="AJ19" s="1548"/>
      <c r="AN19" s="489"/>
      <c r="AO19" s="489"/>
      <c r="AP19" s="489"/>
      <c r="AQ19" s="546"/>
      <c r="AR19" s="546"/>
      <c r="AU19" s="0"/>
      <c r="AV19" s="0"/>
      <c r="AW19" s="0"/>
      <c r="AX19" s="0"/>
      <c r="AY19" s="0"/>
      <c r="AZ19" s="0"/>
      <c r="BA19" s="0"/>
      <c r="BB19" s="0"/>
      <c r="BC19" s="0"/>
    </row>
    <row s="1548" customFormat="1" customHeight="1" ht="11.25" hidden="1">
      <c r="A20" s="371"/>
      <c r="E20" s="180"/>
      <c r="G20" s="193"/>
      <c r="H20" s="193"/>
      <c r="I20" s="193"/>
      <c r="J20" s="193"/>
      <c r="K20" s="193"/>
      <c r="L20" s="193"/>
      <c r="M20" s="193"/>
      <c r="N20" s="193"/>
      <c r="O20" s="193"/>
      <c r="P20" s="193"/>
      <c r="Q20" s="193"/>
      <c r="R20" s="193"/>
      <c r="S20" s="193"/>
      <c r="AI20" s="1548"/>
      <c r="AJ20" s="1548"/>
      <c r="AN20" s="489"/>
      <c r="AO20" s="489"/>
      <c r="AP20" s="489"/>
      <c r="AQ20" s="546"/>
      <c r="AR20" s="546"/>
      <c r="AU20" s="0"/>
      <c r="AV20" s="0"/>
      <c r="AW20" s="0"/>
      <c r="AX20" s="0"/>
      <c r="AY20" s="0"/>
      <c r="AZ20" s="0"/>
      <c r="BA20" s="0"/>
      <c r="BB20" s="0"/>
      <c r="BC20" s="0"/>
    </row>
    <row customHeight="1" ht="14.625">
      <c r="E21" s="180">
        <v>15</v>
      </c>
      <c r="AA21" s="182"/>
      <c r="AC21" s="278" cm="1" t="str">
        <f t="array" ref="AC21:AC21">tpl_title</f>
        <v>Кемеровская область / 2027 / ООО "КК-ИНВЕСТ" (ИНН:1901133713, КПП:190101001) / ДПР: 2025-2027</v>
      </c>
      <c r="AI21" s="286"/>
      <c r="AJ21" s="286"/>
    </row>
    <row s="1659" customFormat="1" customHeight="1" ht="19.5">
      <c r="A22" s="371"/>
      <c r="B22" s="175"/>
      <c r="C22" s="175"/>
      <c r="D22" s="175"/>
      <c r="E22" s="180">
        <v>20</v>
      </c>
      <c r="F22" s="175"/>
      <c r="T22" s="175"/>
      <c r="U22" s="175"/>
      <c r="V22" s="175"/>
      <c r="W22" s="175"/>
      <c r="X22" s="175"/>
      <c r="Y22" s="175"/>
      <c r="Z22" s="175"/>
      <c r="AA22" s="181"/>
      <c r="AB22" s="547" t="s">
        <v>50</v>
      </c>
      <c r="AC22" s="653"/>
      <c r="AD22" s="653"/>
      <c r="AE22" s="653"/>
      <c r="AF22" s="653"/>
      <c r="AG22" s="653"/>
      <c r="AH22" s="653"/>
      <c r="AI22" s="653"/>
      <c r="AJ22" s="653"/>
      <c r="AK22" s="653"/>
      <c r="AL22" s="181"/>
      <c r="AN22" s="489"/>
      <c r="AO22" s="489"/>
      <c r="AP22" s="489"/>
      <c r="AQ22" s="546"/>
      <c r="AR22" s="546"/>
      <c r="AU22" s="0"/>
      <c r="AV22" s="0"/>
      <c r="AW22" s="0"/>
      <c r="AX22" s="0"/>
      <c r="AY22" s="0"/>
      <c r="AZ22" s="0"/>
      <c r="BA22" s="0"/>
      <c r="BB22" s="0"/>
      <c r="BC22" s="0"/>
    </row>
    <row s="1659" customFormat="1" customHeight="1" ht="10.725000000000001">
      <c r="A23" s="371"/>
      <c r="B23" s="175"/>
      <c r="C23" s="175"/>
      <c r="D23" s="175"/>
      <c r="E23" s="180">
        <v>11</v>
      </c>
      <c r="F23" s="175"/>
      <c r="T23" s="175"/>
      <c r="U23" s="175"/>
      <c r="V23" s="175"/>
      <c r="W23" s="175"/>
      <c r="X23" s="175"/>
      <c r="Y23" s="175"/>
      <c r="Z23" s="175"/>
      <c r="AA23" s="181"/>
      <c r="AB23" s="654"/>
      <c r="AC23" s="550"/>
      <c r="AD23" s="550"/>
      <c r="AE23" s="550"/>
      <c r="AF23" s="550"/>
      <c r="AG23" s="550"/>
      <c r="AH23" s="550"/>
      <c r="AI23" s="550"/>
      <c r="AJ23" s="550"/>
      <c r="AK23" s="550"/>
      <c r="AL23" s="181"/>
      <c r="AN23" s="489"/>
      <c r="AO23" s="489"/>
      <c r="AP23" s="489"/>
      <c r="AQ23" s="546"/>
      <c r="AR23" s="546"/>
      <c r="AU23" s="0"/>
      <c r="AV23" s="0"/>
      <c r="AW23" s="0"/>
      <c r="AX23" s="0"/>
      <c r="AY23" s="0"/>
      <c r="AZ23" s="0"/>
      <c r="BA23" s="0"/>
      <c r="BB23" s="0"/>
      <c r="BC23" s="0"/>
    </row>
    <row s="308" customFormat="1" customHeight="1" ht="14.625">
      <c r="A24" s="371"/>
      <c r="B24" s="176"/>
      <c r="C24" s="176"/>
      <c r="D24" s="176"/>
      <c r="E24" s="284">
        <v>15</v>
      </c>
      <c r="F24" s="176"/>
      <c r="R24" s="193"/>
      <c r="T24" s="176"/>
      <c r="U24" s="176"/>
      <c r="V24" s="176"/>
      <c r="W24" s="176"/>
      <c r="X24" s="176"/>
      <c r="Y24" s="176"/>
      <c r="Z24" s="176"/>
      <c r="AA24" s="285"/>
      <c r="AB24" s="1653" t="s">
        <v>1135</v>
      </c>
      <c r="AC24" s="1671" t="s">
        <v>175</v>
      </c>
      <c r="AD24" s="1653" t="s">
        <v>413</v>
      </c>
      <c r="AE24" s="384" t="str">
        <f>god-2&amp;" год"</f>
        <v>2025 год</v>
      </c>
      <c r="AF24" s="382" t="str">
        <f>god-2&amp;" год"</f>
        <v>2025 год</v>
      </c>
      <c r="AG24" s="384" t="str">
        <f>god-2&amp;" год"</f>
        <v>2025 год</v>
      </c>
      <c r="AH24" s="384" t="str">
        <f>god-1&amp;" год"</f>
        <v>2026 год</v>
      </c>
      <c r="AI24" s="329" t="str">
        <f>god&amp;" год"</f>
        <v>2027 год</v>
      </c>
      <c r="AJ24" s="328" t="str">
        <f>god&amp;" год"</f>
        <v>2027 год</v>
      </c>
      <c r="AK24" s="1596" t="s">
        <v>625</v>
      </c>
      <c r="AL24" s="285"/>
      <c r="AN24" s="489"/>
      <c r="AO24" s="984"/>
      <c r="AP24" s="984"/>
      <c r="AQ24" s="985"/>
      <c r="AR24" s="985"/>
      <c r="AU24" s="0"/>
      <c r="AV24" s="0"/>
      <c r="AW24" s="0"/>
      <c r="AX24" s="0"/>
      <c r="AY24" s="0"/>
      <c r="AZ24" s="0"/>
      <c r="BA24" s="0"/>
      <c r="BB24" s="0"/>
      <c r="BC24" s="0"/>
    </row>
    <row s="308" customFormat="1" customHeight="1" ht="43.875">
      <c r="A25" s="371"/>
      <c r="B25" s="176"/>
      <c r="C25" s="176"/>
      <c r="D25" s="176"/>
      <c r="E25" s="284">
        <v>45</v>
      </c>
      <c r="F25" s="176"/>
      <c r="R25" s="193"/>
      <c r="T25" s="176"/>
      <c r="U25" s="176"/>
      <c r="V25" s="176"/>
      <c r="W25" s="176"/>
      <c r="X25" s="176"/>
      <c r="Y25" s="176"/>
      <c r="Z25" s="176"/>
      <c r="AA25" s="285"/>
      <c r="AB25" s="1665"/>
      <c r="AC25" s="1665"/>
      <c r="AD25" s="1665"/>
      <c r="AE25" s="384" t="s">
        <v>415</v>
      </c>
      <c r="AF25" s="382" t="s">
        <v>626</v>
      </c>
      <c r="AG25" s="384" t="s">
        <v>627</v>
      </c>
      <c r="AH25" s="384" t="s">
        <v>415</v>
      </c>
      <c r="AI25" s="331" t="s">
        <v>416</v>
      </c>
      <c r="AJ25" s="424" t="s">
        <v>415</v>
      </c>
      <c r="AK25" s="1665"/>
      <c r="AL25" s="285"/>
      <c r="AN25" s="489"/>
      <c r="AO25" s="984"/>
      <c r="AP25" s="984"/>
      <c r="AQ25" s="985"/>
      <c r="AR25" s="985"/>
      <c r="AU25" s="0"/>
      <c r="AV25" s="0"/>
      <c r="AW25" s="0"/>
      <c r="AX25" s="0"/>
      <c r="AY25" s="0"/>
      <c r="AZ25" s="0"/>
      <c r="BA25" s="0"/>
      <c r="BB25" s="0"/>
      <c r="BC25" s="0"/>
    </row>
    <row s="308" customFormat="1" customHeight="1" ht="45" hidden="1">
      <c r="A26" s="371"/>
      <c r="B26" s="176"/>
      <c r="C26" s="176"/>
      <c r="D26" s="176"/>
      <c r="E26" s="966">
        <v>0</v>
      </c>
      <c r="F26" s="176"/>
      <c r="R26" s="193"/>
      <c r="T26" s="176"/>
      <c r="U26" s="176"/>
      <c r="V26" s="176"/>
      <c r="W26" s="176"/>
      <c r="X26" s="176"/>
      <c r="Y26" s="176"/>
      <c r="Z26" s="176"/>
      <c r="AA26" s="285"/>
      <c r="AB26" s="655"/>
      <c r="AC26" s="619"/>
      <c r="AD26" s="619"/>
      <c r="AE26" s="494"/>
      <c r="AF26" s="494"/>
      <c r="AG26" s="494"/>
      <c r="AH26" s="494"/>
      <c r="AI26" s="279"/>
      <c r="AJ26" s="279"/>
      <c r="AK26" s="619"/>
      <c r="AL26" s="285"/>
      <c r="AN26" s="489"/>
      <c r="AO26" s="984"/>
      <c r="AP26" s="984"/>
      <c r="AQ26" s="985"/>
      <c r="AR26" s="985"/>
      <c r="AU26" s="0"/>
      <c r="AV26" s="0"/>
      <c r="AW26" s="0"/>
      <c r="AX26" s="0"/>
      <c r="AY26" s="0"/>
      <c r="AZ26" s="0"/>
      <c r="BA26" s="0"/>
      <c r="BB26" s="0"/>
      <c r="BC26" s="0"/>
    </row>
    <row s="1721" customFormat="1" customHeight="1" ht="10.725000000000001" hidden="1">
      <c r="E27" s="284">
        <v>11</v>
      </c>
      <c r="F27" s="175" cm="1" t="str">
        <f t="array" ref="F27:F27">X27</f>
        <v>0</v>
      </c>
      <c r="G27" s="193" t="s">
        <v>49</v>
      </c>
      <c r="T27" s="753">
        <f>F27&gt;0</f>
        <v>0</v>
      </c>
      <c r="V27" s="176" t="s">
        <v>266</v>
      </c>
      <c r="X27" s="176">
        <v>0</v>
      </c>
      <c r="AB27" s="656" cm="1" t="str">
        <f t="array" ref="AB27:AB27">INDEX('Общие сведения'!$AG$169:$AG$202,MATCH($F27,'Общие сведения'!$Y$169:$Y$202,0))</f>
        <v>Тариф 0 (Теплоснабжение) - </v>
      </c>
      <c r="AC27" s="298"/>
      <c r="AD27" s="298"/>
      <c r="AE27" s="552">
        <f>AE28+AE34+AE40+AE46</f>
        <v>0</v>
      </c>
      <c r="AF27" s="552">
        <f>AF28+AF34+AF40+AF46</f>
        <v>0</v>
      </c>
      <c r="AG27" s="552">
        <f>AG28+AG34+AG40+AG46</f>
        <v>0</v>
      </c>
      <c r="AH27" s="552">
        <f>AH28+AH34+AH40+AH46</f>
        <v>0</v>
      </c>
      <c r="AI27" s="552">
        <f>AI28+AI34+AI40+AI46</f>
        <v>0</v>
      </c>
      <c r="AJ27" s="552">
        <f>AJ28+AJ34+AJ40+AJ46</f>
        <v>0</v>
      </c>
      <c r="AK27" s="552"/>
      <c r="AN27" s="489"/>
      <c r="AO27" s="984"/>
      <c r="AP27" s="984"/>
      <c r="AQ27" s="985"/>
      <c r="AR27" s="985"/>
    </row>
    <row s="1721" customFormat="1" customHeight="1" ht="18.525" hidden="1">
      <c r="E28" s="284">
        <v>19</v>
      </c>
      <c r="F28" s="175" cm="1" t="str">
        <f t="array" ref="F28:F28">OFFSET(G28,-1,-1)</f>
        <v>0</v>
      </c>
      <c r="G28" s="193" t="s">
        <v>1418</v>
      </c>
      <c r="T28" s="753">
        <f>F28&gt;0</f>
        <v>0</v>
      </c>
      <c r="AB28" s="605">
        <v>1</v>
      </c>
      <c r="AC28" s="657" t="s">
        <v>1419</v>
      </c>
      <c r="AD28" s="385" t="s">
        <v>917</v>
      </c>
      <c r="AE28" s="116"/>
      <c r="AF28" s="116"/>
      <c r="AG28" s="116"/>
      <c r="AH28" s="116"/>
      <c r="AI28" s="587">
        <f>_xlfn.SUMIFS(AI29:AI33,$AD29:$AD33,$AD28)</f>
        <v>0</v>
      </c>
      <c r="AJ28" s="587">
        <f>_xlfn.SUMIFS(AJ29:AJ33,$AD29:$AD33,$AD28)</f>
        <v>0</v>
      </c>
      <c r="AK28" s="85"/>
      <c r="AN28" s="489" t="s">
        <v>1420</v>
      </c>
      <c r="AO28" s="984"/>
      <c r="AP28" s="984"/>
      <c r="AQ28" s="985"/>
      <c r="AR28" s="985"/>
      <c r="AU28" s="1501" cm="1" t="str">
        <f t="array" ref="AU28:AU28">INDEX('Общие сведения'!$N$170:$N$202,MATCH($F28,'Общие сведения'!$Y$170:$Y$202,0)+1)</f>
        <v>0</v>
      </c>
      <c r="AV28" s="1501" t="s">
        <v>1421</v>
      </c>
      <c r="AW28" s="1501"/>
      <c r="AX28" s="1501" t="s">
        <v>1422</v>
      </c>
      <c r="AY28" s="1501"/>
      <c r="AZ28" s="1501"/>
      <c r="BA28" s="1501" t="s">
        <v>303</v>
      </c>
      <c r="BB28" s="1501" t="s">
        <v>1423</v>
      </c>
      <c r="BC28" s="1501" t="s">
        <v>1424</v>
      </c>
    </row>
    <row s="1721" customFormat="1" customHeight="1" ht="11.25" hidden="1">
      <c r="E29" s="966">
        <v>0</v>
      </c>
      <c r="F29" s="175" cm="1" t="str">
        <f t="array" ref="F29:F29">OFFSET(G29,-1,-1)</f>
        <v>0</v>
      </c>
      <c r="T29" s="753">
        <f>F29&gt;0</f>
        <v>0</v>
      </c>
      <c r="AB29" s="605"/>
      <c r="AC29" s="657"/>
      <c r="AD29" s="385"/>
      <c r="AE29" s="384"/>
      <c r="AF29" s="384"/>
      <c r="AG29" s="384"/>
      <c r="AH29" s="384"/>
      <c r="AI29" s="596"/>
      <c r="AJ29" s="596"/>
      <c r="AK29" s="413"/>
      <c r="AN29" s="489"/>
      <c r="AO29" s="984"/>
      <c r="AP29" s="984"/>
      <c r="AQ29" s="985"/>
      <c r="AR29" s="985"/>
      <c r="AU29" s="1501" cm="1" t="str">
        <f t="array" ref="AU29:AU29">AU28</f>
        <v>0</v>
      </c>
      <c r="AV29" s="1501"/>
      <c r="AW29" s="1501"/>
      <c r="AX29" s="1501"/>
      <c r="AY29" s="1501"/>
      <c r="AZ29" s="1501"/>
      <c r="BA29" s="1501"/>
      <c r="BB29" s="1501"/>
      <c r="BC29" s="1501"/>
    </row>
    <row s="1721" customFormat="1" customHeight="1" ht="16.575" hidden="1">
      <c r="E30" s="284">
        <v>17</v>
      </c>
      <c r="F30" s="175" cm="1" t="str">
        <f t="array" ref="F30:F30">OFFSET(G30,-1,-1)</f>
        <v>0</v>
      </c>
      <c r="I30" s="193" cm="1" t="str">
        <f t="array" ref="I30:I30">AC30</f>
        <v>0</v>
      </c>
      <c r="T30" s="753">
        <f>AND(F30&gt;0,Y30&gt;0)</f>
        <v>0</v>
      </c>
      <c r="W30" s="175" t="s">
        <v>189</v>
      </c>
      <c r="Y30" s="176">
        <v>0</v>
      </c>
      <c r="AA30" s="1660" t="s">
        <v>171</v>
      </c>
      <c r="AB30" s="605" t="str">
        <f>"1."&amp;Y30</f>
        <v>1.0</v>
      </c>
      <c r="AC30" s="62"/>
      <c r="AD30" s="385" t="s">
        <v>917</v>
      </c>
      <c r="AE30" s="384"/>
      <c r="AF30" s="384"/>
      <c r="AG30" s="384"/>
      <c r="AH30" s="384"/>
      <c r="AI30" s="353">
        <f>AI31*AI32*12/1000</f>
        <v>0</v>
      </c>
      <c r="AJ30" s="353">
        <f>AJ31*AJ32*12/1000</f>
        <v>0</v>
      </c>
      <c r="AK30" s="85"/>
      <c r="AN30" s="489" t="s">
        <v>1425</v>
      </c>
      <c r="AO30" s="984" t="s">
        <v>1426</v>
      </c>
      <c r="AP30" s="984" cm="1" t="str">
        <f t="array" ref="AP30:AP30">AC30</f>
        <v>0</v>
      </c>
      <c r="AQ30" s="985"/>
      <c r="AR30" s="985" t="b">
        <v>1</v>
      </c>
      <c r="AU30" s="1501" cm="1" t="str">
        <f t="array" ref="AU30:AU30">OFFSET(AV30,-1,-1)</f>
        <v>0</v>
      </c>
      <c r="AV30" s="1501" t="s">
        <v>1421</v>
      </c>
      <c r="AW30" s="1501"/>
      <c r="AX30" s="1501" t="s">
        <v>1422</v>
      </c>
      <c r="AY30" s="1501" t="s">
        <v>219</v>
      </c>
      <c r="AZ30" s="1501" cm="1" t="str">
        <f t="array" ref="AZ30:AZ30">$AC30</f>
        <v>0</v>
      </c>
      <c r="BA30" s="1501" t="s">
        <v>303</v>
      </c>
      <c r="BB30" s="1501" t="s">
        <v>1427</v>
      </c>
      <c r="BC30" s="1501" t="s">
        <v>1428</v>
      </c>
    </row>
    <row s="1721" customFormat="1" customHeight="1" ht="16.575" hidden="1">
      <c r="E31" s="284">
        <v>17</v>
      </c>
      <c r="F31" s="175" cm="1" t="str">
        <f t="array" ref="F31:F31">OFFSET(G31,-1,-1)</f>
        <v>0</v>
      </c>
      <c r="G31" s="193" t="s">
        <v>1429</v>
      </c>
      <c r="I31" s="193" cm="1" t="str">
        <f t="array" ref="I31:I31">I30</f>
        <v>0</v>
      </c>
      <c r="T31" s="753" cm="1" t="str">
        <f t="array" ref="T31:T31">T30</f>
        <v>false</v>
      </c>
      <c r="AA31" s="1661"/>
      <c r="AB31" s="605" t="str">
        <f>AB30&amp;".1"</f>
        <v>1.0.1</v>
      </c>
      <c r="AC31" s="624" t="s">
        <v>1430</v>
      </c>
      <c r="AD31" s="385" t="s">
        <v>1431</v>
      </c>
      <c r="AE31" s="384"/>
      <c r="AF31" s="384"/>
      <c r="AG31" s="384"/>
      <c r="AH31" s="384"/>
      <c r="AI31" s="658"/>
      <c r="AJ31" s="658"/>
      <c r="AK31" s="85"/>
      <c r="AN31" s="489" t="s">
        <v>1432</v>
      </c>
      <c r="AO31" s="984" t="s">
        <v>1426</v>
      </c>
      <c r="AP31" s="984" cm="1" t="str">
        <f t="array" ref="AP31:AP31">AP30</f>
        <v>0</v>
      </c>
      <c r="AQ31" s="985"/>
      <c r="AR31" s="985"/>
      <c r="AU31" s="1501" cm="1" t="str">
        <f t="array" ref="AU31:AU31">AU30</f>
        <v>0</v>
      </c>
      <c r="AV31" s="1501" t="s">
        <v>1421</v>
      </c>
      <c r="AW31" s="1501"/>
      <c r="AX31" s="1501" t="s">
        <v>1422</v>
      </c>
      <c r="AY31" s="1501" t="s">
        <v>255</v>
      </c>
      <c r="AZ31" s="1501" cm="1" t="str">
        <f t="array" ref="AZ31:AZ31">AZ30</f>
        <v>0</v>
      </c>
      <c r="BA31" s="1501" t="s">
        <v>303</v>
      </c>
      <c r="BB31" s="1501" t="s">
        <v>1433</v>
      </c>
      <c r="BC31" s="1501" t="s">
        <v>1434</v>
      </c>
    </row>
    <row s="1721" customFormat="1" customHeight="1" ht="16.575" hidden="1">
      <c r="E32" s="284">
        <v>17</v>
      </c>
      <c r="F32" s="175" cm="1" t="str">
        <f t="array" ref="F32:F32">OFFSET(G32,-1,-1)</f>
        <v>0</v>
      </c>
      <c r="I32" s="193" cm="1" t="str">
        <f t="array" ref="I32:I32">I31</f>
        <v>0</v>
      </c>
      <c r="T32" s="753" cm="1" t="str">
        <f t="array" ref="T32:T32">T31</f>
        <v>false</v>
      </c>
      <c r="AA32" s="1661"/>
      <c r="AB32" s="605" t="str">
        <f>AB30&amp;".2"</f>
        <v>1.0.2</v>
      </c>
      <c r="AC32" s="624" t="s">
        <v>1435</v>
      </c>
      <c r="AD32" s="385" t="s">
        <v>1436</v>
      </c>
      <c r="AE32" s="384"/>
      <c r="AF32" s="384"/>
      <c r="AG32" s="384"/>
      <c r="AH32" s="384"/>
      <c r="AI32" s="658"/>
      <c r="AJ32" s="658"/>
      <c r="AK32" s="85"/>
      <c r="AN32" s="489" t="s">
        <v>1437</v>
      </c>
      <c r="AO32" s="984" t="s">
        <v>1426</v>
      </c>
      <c r="AP32" s="984" cm="1" t="str">
        <f t="array" ref="AP32:AP32">AP31</f>
        <v>0</v>
      </c>
      <c r="AQ32" s="985"/>
      <c r="AR32" s="985"/>
      <c r="AU32" s="1501" cm="1" t="str">
        <f t="array" ref="AU32:AU32">AU31</f>
        <v>0</v>
      </c>
      <c r="AV32" s="1501" t="s">
        <v>1421</v>
      </c>
      <c r="AW32" s="1501"/>
      <c r="AX32" s="1501" t="s">
        <v>1422</v>
      </c>
      <c r="AY32" s="1501" t="s">
        <v>449</v>
      </c>
      <c r="AZ32" s="1501" cm="1" t="str">
        <f t="array" ref="AZ32:AZ32">AZ31</f>
        <v>0</v>
      </c>
      <c r="BA32" s="1501" t="s">
        <v>303</v>
      </c>
      <c r="BB32" s="1501" t="s">
        <v>1438</v>
      </c>
      <c r="BC32" s="1501" t="s">
        <v>1439</v>
      </c>
    </row>
    <row s="1721" customFormat="1" customHeight="1" ht="16.575" hidden="1">
      <c r="E33" s="284">
        <v>17</v>
      </c>
      <c r="F33" s="175" cm="1" t="str">
        <f t="array" ref="F33:F33">OFFSET(G33,-1,-1)</f>
        <v>0</v>
      </c>
      <c r="T33" s="753">
        <f>F33&gt;0</f>
        <v>0</v>
      </c>
      <c r="W33" s="176" t="s">
        <v>1070</v>
      </c>
      <c r="AB33" s="405"/>
      <c r="AC33" s="407" t="s">
        <v>191</v>
      </c>
      <c r="AD33" s="407"/>
      <c r="AE33" s="407"/>
      <c r="AF33" s="407"/>
      <c r="AG33" s="407"/>
      <c r="AH33" s="407"/>
      <c r="AI33" s="407"/>
      <c r="AJ33" s="407"/>
      <c r="AK33" s="610"/>
      <c r="AN33" s="489"/>
      <c r="AO33" s="984"/>
      <c r="AP33" s="984"/>
      <c r="AQ33" s="985" t="s">
        <v>1426</v>
      </c>
      <c r="AR33" s="985"/>
      <c r="AU33" s="1501" cm="1" t="str">
        <f t="array" ref="AU33:AU33">OFFSET(AV33,-1,-1)</f>
        <v>0</v>
      </c>
      <c r="AV33" s="1501"/>
      <c r="AW33" s="1501"/>
      <c r="AX33" s="1501"/>
      <c r="AY33" s="1501"/>
      <c r="AZ33" s="1501"/>
      <c r="BA33" s="1501"/>
      <c r="BB33" s="1501"/>
      <c r="BC33" s="1501"/>
    </row>
    <row s="1721" customFormat="1" customHeight="1" ht="24.375" hidden="1">
      <c r="E34" s="284">
        <v>25</v>
      </c>
      <c r="F34" s="175" cm="1" t="str">
        <f t="array" ref="F34:F34">OFFSET(G34,-1,-1)</f>
        <v>0</v>
      </c>
      <c r="G34" s="193" t="s">
        <v>1440</v>
      </c>
      <c r="T34" s="753">
        <f>F34&gt;0</f>
        <v>0</v>
      </c>
      <c r="AB34" s="605">
        <v>2</v>
      </c>
      <c r="AC34" s="657" t="s">
        <v>1441</v>
      </c>
      <c r="AD34" s="385" t="s">
        <v>917</v>
      </c>
      <c r="AE34" s="116"/>
      <c r="AF34" s="116"/>
      <c r="AG34" s="116"/>
      <c r="AH34" s="116"/>
      <c r="AI34" s="587">
        <f>_xlfn.SUMIFS(AI35:AI39,$AD35:$AD39,$AD34)</f>
        <v>0</v>
      </c>
      <c r="AJ34" s="587">
        <f>_xlfn.SUMIFS(AJ35:AJ39,$AD35:$AD39,$AD34)</f>
        <v>0</v>
      </c>
      <c r="AK34" s="85"/>
      <c r="AN34" s="489" t="s">
        <v>1442</v>
      </c>
      <c r="AO34" s="984"/>
      <c r="AP34" s="984"/>
      <c r="AQ34" s="985"/>
      <c r="AR34" s="985"/>
      <c r="AU34" s="1501" cm="1" t="str">
        <f t="array" ref="AU34:AU34">AU33</f>
        <v>0</v>
      </c>
      <c r="AV34" s="1501" t="s">
        <v>1443</v>
      </c>
      <c r="AW34" s="1501"/>
      <c r="AX34" s="1501" t="s">
        <v>1444</v>
      </c>
      <c r="AY34" s="1501"/>
      <c r="AZ34" s="1501"/>
      <c r="BA34" s="1501" t="s">
        <v>303</v>
      </c>
      <c r="BB34" s="1501" t="s">
        <v>1423</v>
      </c>
      <c r="BC34" s="1501" t="s">
        <v>1424</v>
      </c>
    </row>
    <row s="1721" customFormat="1" customHeight="1" ht="9" hidden="1">
      <c r="E35" s="966">
        <v>0</v>
      </c>
      <c r="F35" s="175" cm="1" t="str">
        <f t="array" ref="F35:F35">OFFSET(G35,-1,-1)</f>
        <v>0</v>
      </c>
      <c r="T35" s="753">
        <f>F35&gt;0</f>
        <v>0</v>
      </c>
      <c r="AB35" s="605"/>
      <c r="AC35" s="657"/>
      <c r="AD35" s="385"/>
      <c r="AE35" s="384"/>
      <c r="AF35" s="384"/>
      <c r="AG35" s="384"/>
      <c r="AH35" s="384"/>
      <c r="AI35" s="596"/>
      <c r="AJ35" s="596"/>
      <c r="AK35" s="413"/>
      <c r="AN35" s="489"/>
      <c r="AO35" s="984"/>
      <c r="AP35" s="984"/>
      <c r="AQ35" s="985"/>
      <c r="AR35" s="985"/>
      <c r="AU35" s="1501" cm="1" t="str">
        <f t="array" ref="AU35:AU35">AU34</f>
        <v>0</v>
      </c>
      <c r="AV35" s="1501"/>
      <c r="AW35" s="1501"/>
      <c r="AX35" s="1501"/>
      <c r="AY35" s="1501"/>
      <c r="AZ35" s="1501"/>
      <c r="BA35" s="1501"/>
      <c r="BB35" s="1501"/>
      <c r="BC35" s="1501"/>
    </row>
    <row s="1721" customFormat="1" customHeight="1" ht="16.575" hidden="1">
      <c r="E36" s="284">
        <v>17</v>
      </c>
      <c r="F36" s="175" cm="1" t="str">
        <f t="array" ref="F36:F36">OFFSET(G36,-1,-1)</f>
        <v>0</v>
      </c>
      <c r="I36" s="193" cm="1" t="str">
        <f t="array" ref="I36:I36">AC36</f>
        <v>0</v>
      </c>
      <c r="T36" s="753">
        <f>AND(F36&gt;0,Y36&gt;0)</f>
        <v>0</v>
      </c>
      <c r="W36" s="175" t="s">
        <v>189</v>
      </c>
      <c r="Y36" s="176">
        <v>0</v>
      </c>
      <c r="AA36" s="1660" t="s">
        <v>171</v>
      </c>
      <c r="AB36" s="605" t="str">
        <f>"2."&amp;Y36</f>
        <v>2.0</v>
      </c>
      <c r="AC36" s="62"/>
      <c r="AD36" s="385" t="s">
        <v>917</v>
      </c>
      <c r="AE36" s="384"/>
      <c r="AF36" s="384"/>
      <c r="AG36" s="384"/>
      <c r="AH36" s="384"/>
      <c r="AI36" s="353">
        <f>AI37*AI38*12/1000</f>
        <v>0</v>
      </c>
      <c r="AJ36" s="353">
        <f>AJ37*AJ38*12/1000</f>
        <v>0</v>
      </c>
      <c r="AK36" s="85"/>
      <c r="AN36" s="489" t="s">
        <v>1445</v>
      </c>
      <c r="AO36" s="984" t="s">
        <v>1446</v>
      </c>
      <c r="AP36" s="984" cm="1" t="str">
        <f t="array" ref="AP36:AP36">AC36</f>
        <v>0</v>
      </c>
      <c r="AQ36" s="985"/>
      <c r="AR36" s="985" t="b">
        <v>1</v>
      </c>
      <c r="AU36" s="1501" cm="1" t="str">
        <f t="array" ref="AU36:AU36">OFFSET(AV36,-1,-1)</f>
        <v>0</v>
      </c>
      <c r="AV36" s="1501" t="s">
        <v>1443</v>
      </c>
      <c r="AW36" s="1501"/>
      <c r="AX36" s="1501" t="s">
        <v>1444</v>
      </c>
      <c r="AY36" s="1501" t="s">
        <v>219</v>
      </c>
      <c r="AZ36" s="1501" cm="1" t="str">
        <f t="array" ref="AZ36:AZ36">$AC36</f>
        <v>0</v>
      </c>
      <c r="BA36" s="1501" t="s">
        <v>303</v>
      </c>
      <c r="BB36" s="1501" t="s">
        <v>1427</v>
      </c>
      <c r="BC36" s="1501" t="s">
        <v>1428</v>
      </c>
    </row>
    <row s="1721" customFormat="1" customHeight="1" ht="16.575" hidden="1">
      <c r="E37" s="284">
        <v>17</v>
      </c>
      <c r="F37" s="175" cm="1" t="str">
        <f t="array" ref="F37:F37">OFFSET(G37,-1,-1)</f>
        <v>0</v>
      </c>
      <c r="G37" s="193" t="s">
        <v>1447</v>
      </c>
      <c r="I37" s="193" cm="1" t="str">
        <f t="array" ref="I37:I37">I36</f>
        <v>0</v>
      </c>
      <c r="T37" s="753" cm="1" t="str">
        <f t="array" ref="T37:T37">T36</f>
        <v>false</v>
      </c>
      <c r="AA37" s="1661"/>
      <c r="AB37" s="605" t="str">
        <f>AB36&amp;".1"</f>
        <v>2.0.1</v>
      </c>
      <c r="AC37" s="624" t="s">
        <v>1430</v>
      </c>
      <c r="AD37" s="385" t="s">
        <v>1431</v>
      </c>
      <c r="AE37" s="384"/>
      <c r="AF37" s="384"/>
      <c r="AG37" s="384"/>
      <c r="AH37" s="384"/>
      <c r="AI37" s="658"/>
      <c r="AJ37" s="658"/>
      <c r="AK37" s="85"/>
      <c r="AN37" s="489" t="s">
        <v>1448</v>
      </c>
      <c r="AO37" s="984" t="s">
        <v>1446</v>
      </c>
      <c r="AP37" s="984" cm="1" t="str">
        <f t="array" ref="AP37:AP37">AP36</f>
        <v>0</v>
      </c>
      <c r="AQ37" s="985"/>
      <c r="AR37" s="985"/>
      <c r="AU37" s="1501" cm="1" t="str">
        <f t="array" ref="AU37:AU37">AU36</f>
        <v>0</v>
      </c>
      <c r="AV37" s="1501" t="s">
        <v>1443</v>
      </c>
      <c r="AW37" s="1501"/>
      <c r="AX37" s="1501" t="s">
        <v>1444</v>
      </c>
      <c r="AY37" s="1501" t="s">
        <v>255</v>
      </c>
      <c r="AZ37" s="1501" cm="1" t="str">
        <f t="array" ref="AZ37:AZ37">AZ36</f>
        <v>0</v>
      </c>
      <c r="BA37" s="1501" t="s">
        <v>303</v>
      </c>
      <c r="BB37" s="1501" t="s">
        <v>1433</v>
      </c>
      <c r="BC37" s="1501" t="s">
        <v>1434</v>
      </c>
    </row>
    <row s="1721" customFormat="1" customHeight="1" ht="16.575" hidden="1">
      <c r="E38" s="284">
        <v>17</v>
      </c>
      <c r="F38" s="175" cm="1" t="str">
        <f t="array" ref="F38:F38">OFFSET(G38,-1,-1)</f>
        <v>0</v>
      </c>
      <c r="I38" s="193" cm="1" t="str">
        <f t="array" ref="I38:I38">I37</f>
        <v>0</v>
      </c>
      <c r="T38" s="753" cm="1" t="str">
        <f t="array" ref="T38:T38">T37</f>
        <v>false</v>
      </c>
      <c r="AA38" s="1661"/>
      <c r="AB38" s="605" t="str">
        <f>AB36&amp;".2"</f>
        <v>2.0.2</v>
      </c>
      <c r="AC38" s="624" t="s">
        <v>1435</v>
      </c>
      <c r="AD38" s="385" t="s">
        <v>1436</v>
      </c>
      <c r="AE38" s="384"/>
      <c r="AF38" s="384"/>
      <c r="AG38" s="384"/>
      <c r="AH38" s="384"/>
      <c r="AI38" s="658"/>
      <c r="AJ38" s="658"/>
      <c r="AK38" s="85"/>
      <c r="AN38" s="489" t="s">
        <v>1449</v>
      </c>
      <c r="AO38" s="984" t="s">
        <v>1446</v>
      </c>
      <c r="AP38" s="984" cm="1" t="str">
        <f t="array" ref="AP38:AP38">AP37</f>
        <v>0</v>
      </c>
      <c r="AQ38" s="985"/>
      <c r="AR38" s="985"/>
      <c r="AU38" s="1501" cm="1" t="str">
        <f t="array" ref="AU38:AU38">AU37</f>
        <v>0</v>
      </c>
      <c r="AV38" s="1501" t="s">
        <v>1443</v>
      </c>
      <c r="AW38" s="1501"/>
      <c r="AX38" s="1501" t="s">
        <v>1444</v>
      </c>
      <c r="AY38" s="1501" t="s">
        <v>449</v>
      </c>
      <c r="AZ38" s="1501" cm="1" t="str">
        <f t="array" ref="AZ38:AZ38">AZ37</f>
        <v>0</v>
      </c>
      <c r="BA38" s="1501" t="s">
        <v>303</v>
      </c>
      <c r="BB38" s="1501" t="s">
        <v>1438</v>
      </c>
      <c r="BC38" s="1501" t="s">
        <v>1439</v>
      </c>
    </row>
    <row s="1721" customFormat="1" customHeight="1" ht="16.575" hidden="1">
      <c r="E39" s="284">
        <v>17</v>
      </c>
      <c r="F39" s="175" cm="1" t="str">
        <f t="array" ref="F39:F39">OFFSET(G39,-1,-1)</f>
        <v>0</v>
      </c>
      <c r="T39" s="753">
        <f>F39&gt;0</f>
        <v>0</v>
      </c>
      <c r="W39" s="176" t="s">
        <v>1086</v>
      </c>
      <c r="AB39" s="405"/>
      <c r="AC39" s="407" t="s">
        <v>191</v>
      </c>
      <c r="AD39" s="407"/>
      <c r="AE39" s="407"/>
      <c r="AF39" s="407"/>
      <c r="AG39" s="407"/>
      <c r="AH39" s="407"/>
      <c r="AI39" s="407"/>
      <c r="AJ39" s="407"/>
      <c r="AK39" s="610"/>
      <c r="AN39" s="489"/>
      <c r="AO39" s="984"/>
      <c r="AP39" s="984"/>
      <c r="AQ39" s="985" t="s">
        <v>1446</v>
      </c>
      <c r="AR39" s="985"/>
      <c r="AU39" s="1501" cm="1" t="str">
        <f t="array" ref="AU39:AU39">OFFSET(AV39,-1,-1)</f>
        <v>0</v>
      </c>
      <c r="AV39" s="1501"/>
      <c r="AW39" s="1501"/>
      <c r="AX39" s="1501"/>
      <c r="AY39" s="1501"/>
      <c r="AZ39" s="1501"/>
      <c r="BA39" s="1501"/>
      <c r="BB39" s="1501"/>
      <c r="BC39" s="1501"/>
    </row>
    <row s="1721" customFormat="1" customHeight="1" ht="24.375" hidden="1">
      <c r="E40" s="284">
        <v>25</v>
      </c>
      <c r="F40" s="175" cm="1" t="str">
        <f t="array" ref="F40:F40">OFFSET(G40,-1,-1)</f>
        <v>0</v>
      </c>
      <c r="G40" s="193" t="s">
        <v>1450</v>
      </c>
      <c r="T40" s="753">
        <f>F40&gt;0</f>
        <v>0</v>
      </c>
      <c r="AB40" s="605">
        <v>3</v>
      </c>
      <c r="AC40" s="657" t="s">
        <v>1451</v>
      </c>
      <c r="AD40" s="385" t="s">
        <v>917</v>
      </c>
      <c r="AE40" s="116"/>
      <c r="AF40" s="116"/>
      <c r="AG40" s="116"/>
      <c r="AH40" s="116"/>
      <c r="AI40" s="587">
        <f>_xlfn.SUMIFS(AI41:AI45,$AD41:$AD45,$AD40)</f>
        <v>0</v>
      </c>
      <c r="AJ40" s="587">
        <f>_xlfn.SUMIFS(AJ41:AJ45,$AD41:$AD45,$AD40)</f>
        <v>0</v>
      </c>
      <c r="AK40" s="85"/>
      <c r="AN40" s="489" t="s">
        <v>1452</v>
      </c>
      <c r="AO40" s="984"/>
      <c r="AP40" s="984"/>
      <c r="AQ40" s="985"/>
      <c r="AR40" s="985"/>
      <c r="AU40" s="1501" cm="1" t="str">
        <f t="array" ref="AU40:AU40">AU39</f>
        <v>0</v>
      </c>
      <c r="AV40" s="1501" t="s">
        <v>1453</v>
      </c>
      <c r="AW40" s="1501"/>
      <c r="AX40" s="1501" t="s">
        <v>1454</v>
      </c>
      <c r="AY40" s="1501"/>
      <c r="AZ40" s="1501"/>
      <c r="BA40" s="1501" t="s">
        <v>303</v>
      </c>
      <c r="BB40" s="1501" t="s">
        <v>1423</v>
      </c>
      <c r="BC40" s="1501" t="s">
        <v>1424</v>
      </c>
    </row>
    <row s="1721" customFormat="1" customHeight="1" ht="9" hidden="1">
      <c r="E41" s="966">
        <v>0</v>
      </c>
      <c r="F41" s="175" cm="1" t="str">
        <f t="array" ref="F41:F41">OFFSET(G41,-1,-1)</f>
        <v>0</v>
      </c>
      <c r="T41" s="753">
        <f>F41&gt;0</f>
        <v>0</v>
      </c>
      <c r="AB41" s="605"/>
      <c r="AC41" s="657"/>
      <c r="AD41" s="385"/>
      <c r="AE41" s="384"/>
      <c r="AF41" s="384"/>
      <c r="AG41" s="384"/>
      <c r="AH41" s="384"/>
      <c r="AI41" s="596"/>
      <c r="AJ41" s="596"/>
      <c r="AK41" s="413"/>
      <c r="AN41" s="489"/>
      <c r="AO41" s="984"/>
      <c r="AP41" s="984"/>
      <c r="AQ41" s="985"/>
      <c r="AR41" s="985"/>
      <c r="AU41" s="1501" cm="1" t="str">
        <f t="array" ref="AU41:AU41">AU40</f>
        <v>0</v>
      </c>
      <c r="AV41" s="1501"/>
      <c r="AW41" s="1501"/>
      <c r="AX41" s="1501"/>
      <c r="AY41" s="1501"/>
      <c r="AZ41" s="1501"/>
      <c r="BA41" s="1501"/>
      <c r="BB41" s="1501"/>
      <c r="BC41" s="1501"/>
    </row>
    <row s="1721" customFormat="1" customHeight="1" ht="16.575" hidden="1">
      <c r="E42" s="284">
        <v>17</v>
      </c>
      <c r="F42" s="175" cm="1" t="str">
        <f t="array" ref="F42:F42">OFFSET(G42,-1,-1)</f>
        <v>0</v>
      </c>
      <c r="I42" s="193" cm="1" t="str">
        <f t="array" ref="I42:I42">AC42</f>
        <v>0</v>
      </c>
      <c r="T42" s="753">
        <f>AND(F42&gt;0,Y42&gt;0)</f>
        <v>0</v>
      </c>
      <c r="W42" s="175" t="s">
        <v>189</v>
      </c>
      <c r="Y42" s="176">
        <v>0</v>
      </c>
      <c r="AA42" s="1660" t="s">
        <v>171</v>
      </c>
      <c r="AB42" s="605" t="str">
        <f>"3."&amp;Y42</f>
        <v>3.0</v>
      </c>
      <c r="AC42" s="62"/>
      <c r="AD42" s="385" t="s">
        <v>917</v>
      </c>
      <c r="AE42" s="384"/>
      <c r="AF42" s="384"/>
      <c r="AG42" s="384"/>
      <c r="AH42" s="384"/>
      <c r="AI42" s="353">
        <f>AI43*AI44*12/1000</f>
        <v>0</v>
      </c>
      <c r="AJ42" s="353">
        <f>AJ43*AJ44*12/1000</f>
        <v>0</v>
      </c>
      <c r="AK42" s="85"/>
      <c r="AN42" s="489" t="s">
        <v>1455</v>
      </c>
      <c r="AO42" s="984" t="s">
        <v>1456</v>
      </c>
      <c r="AP42" s="984" cm="1" t="str">
        <f t="array" ref="AP42:AP42">AC42</f>
        <v>0</v>
      </c>
      <c r="AQ42" s="985"/>
      <c r="AR42" s="985" t="b">
        <v>1</v>
      </c>
      <c r="AU42" s="1501" cm="1" t="str">
        <f t="array" ref="AU42:AU42">OFFSET(AV42,-1,-1)</f>
        <v>0</v>
      </c>
      <c r="AV42" s="1501" t="s">
        <v>1453</v>
      </c>
      <c r="AW42" s="1501"/>
      <c r="AX42" s="1501" t="s">
        <v>1454</v>
      </c>
      <c r="AY42" s="1501" t="s">
        <v>219</v>
      </c>
      <c r="AZ42" s="1501" cm="1" t="str">
        <f t="array" ref="AZ42:AZ42">$AC42</f>
        <v>0</v>
      </c>
      <c r="BA42" s="1501" t="s">
        <v>303</v>
      </c>
      <c r="BB42" s="1501" t="s">
        <v>1427</v>
      </c>
      <c r="BC42" s="1501" t="s">
        <v>1428</v>
      </c>
    </row>
    <row s="1721" customFormat="1" customHeight="1" ht="16.575" hidden="1">
      <c r="E43" s="284">
        <v>17</v>
      </c>
      <c r="F43" s="175" cm="1" t="str">
        <f t="array" ref="F43:F43">OFFSET(G43,-1,-1)</f>
        <v>0</v>
      </c>
      <c r="G43" s="193" t="s">
        <v>1457</v>
      </c>
      <c r="I43" s="193" cm="1" t="str">
        <f t="array" ref="I43:I43">I42</f>
        <v>0</v>
      </c>
      <c r="T43" s="753" cm="1" t="str">
        <f t="array" ref="T43:T43">T42</f>
        <v>false</v>
      </c>
      <c r="AA43" s="1661"/>
      <c r="AB43" s="605" t="str">
        <f>AB42&amp;".1"</f>
        <v>3.0.1</v>
      </c>
      <c r="AC43" s="624" t="s">
        <v>1430</v>
      </c>
      <c r="AD43" s="385" t="s">
        <v>1431</v>
      </c>
      <c r="AE43" s="384"/>
      <c r="AF43" s="384"/>
      <c r="AG43" s="384"/>
      <c r="AH43" s="384"/>
      <c r="AI43" s="658"/>
      <c r="AJ43" s="658"/>
      <c r="AK43" s="85"/>
      <c r="AN43" s="489" t="s">
        <v>1458</v>
      </c>
      <c r="AO43" s="984" t="s">
        <v>1456</v>
      </c>
      <c r="AP43" s="984" cm="1" t="str">
        <f t="array" ref="AP43:AP43">AP42</f>
        <v>0</v>
      </c>
      <c r="AQ43" s="985"/>
      <c r="AR43" s="985"/>
      <c r="AU43" s="1501" cm="1" t="str">
        <f t="array" ref="AU43:AU43">AU42</f>
        <v>0</v>
      </c>
      <c r="AV43" s="1501" t="s">
        <v>1453</v>
      </c>
      <c r="AW43" s="1501"/>
      <c r="AX43" s="1501" t="s">
        <v>1454</v>
      </c>
      <c r="AY43" s="1501" t="s">
        <v>255</v>
      </c>
      <c r="AZ43" s="1501" cm="1" t="str">
        <f t="array" ref="AZ43:AZ43">AZ42</f>
        <v>0</v>
      </c>
      <c r="BA43" s="1501" t="s">
        <v>303</v>
      </c>
      <c r="BB43" s="1501" t="s">
        <v>1433</v>
      </c>
      <c r="BC43" s="1501" t="s">
        <v>1434</v>
      </c>
    </row>
    <row s="1721" customFormat="1" customHeight="1" ht="16.575" hidden="1">
      <c r="E44" s="284">
        <v>17</v>
      </c>
      <c r="F44" s="175" cm="1" t="str">
        <f t="array" ref="F44:F44">OFFSET(G44,-1,-1)</f>
        <v>0</v>
      </c>
      <c r="I44" s="193" cm="1" t="str">
        <f t="array" ref="I44:I44">I43</f>
        <v>0</v>
      </c>
      <c r="T44" s="753" cm="1" t="str">
        <f t="array" ref="T44:T44">T43</f>
        <v>false</v>
      </c>
      <c r="AA44" s="1661"/>
      <c r="AB44" s="605" t="str">
        <f>AB42&amp;".2"</f>
        <v>3.0.2</v>
      </c>
      <c r="AC44" s="624" t="s">
        <v>1435</v>
      </c>
      <c r="AD44" s="385" t="s">
        <v>1436</v>
      </c>
      <c r="AE44" s="384"/>
      <c r="AF44" s="384"/>
      <c r="AG44" s="384"/>
      <c r="AH44" s="384"/>
      <c r="AI44" s="658"/>
      <c r="AJ44" s="658"/>
      <c r="AK44" s="85"/>
      <c r="AN44" s="489" t="s">
        <v>1459</v>
      </c>
      <c r="AO44" s="984" t="s">
        <v>1456</v>
      </c>
      <c r="AP44" s="984" cm="1" t="str">
        <f t="array" ref="AP44:AP44">AP43</f>
        <v>0</v>
      </c>
      <c r="AQ44" s="985"/>
      <c r="AR44" s="985"/>
      <c r="AU44" s="1501" cm="1" t="str">
        <f t="array" ref="AU44:AU44">AU43</f>
        <v>0</v>
      </c>
      <c r="AV44" s="1501" t="s">
        <v>1453</v>
      </c>
      <c r="AW44" s="1501"/>
      <c r="AX44" s="1501" t="s">
        <v>1454</v>
      </c>
      <c r="AY44" s="1501" t="s">
        <v>449</v>
      </c>
      <c r="AZ44" s="1501" cm="1" t="str">
        <f t="array" ref="AZ44:AZ44">AZ43</f>
        <v>0</v>
      </c>
      <c r="BA44" s="1501" t="s">
        <v>303</v>
      </c>
      <c r="BB44" s="1501" t="s">
        <v>1438</v>
      </c>
      <c r="BC44" s="1501" t="s">
        <v>1439</v>
      </c>
    </row>
    <row s="1721" customFormat="1" customHeight="1" ht="16.575" hidden="1">
      <c r="E45" s="284">
        <v>17</v>
      </c>
      <c r="F45" s="175" cm="1" t="str">
        <f t="array" ref="F45:F45">OFFSET(G45,-1,-1)</f>
        <v>0</v>
      </c>
      <c r="T45" s="753">
        <f>F45&gt;0</f>
        <v>0</v>
      </c>
      <c r="W45" s="176" t="s">
        <v>1411</v>
      </c>
      <c r="AB45" s="405"/>
      <c r="AC45" s="407" t="s">
        <v>191</v>
      </c>
      <c r="AD45" s="407"/>
      <c r="AE45" s="407"/>
      <c r="AF45" s="407"/>
      <c r="AG45" s="407"/>
      <c r="AH45" s="407"/>
      <c r="AI45" s="407"/>
      <c r="AJ45" s="407"/>
      <c r="AK45" s="610"/>
      <c r="AN45" s="489"/>
      <c r="AO45" s="984"/>
      <c r="AP45" s="984"/>
      <c r="AQ45" s="985" t="s">
        <v>1456</v>
      </c>
      <c r="AR45" s="985"/>
      <c r="AU45" s="1501" cm="1" t="str">
        <f t="array" ref="AU45:AU45">OFFSET(AV45,-1,-1)</f>
        <v>0</v>
      </c>
      <c r="AV45" s="1501"/>
      <c r="AW45" s="1501"/>
      <c r="AX45" s="1501"/>
      <c r="AY45" s="1501"/>
      <c r="AZ45" s="1501"/>
      <c r="BA45" s="1501"/>
      <c r="BB45" s="1501"/>
      <c r="BC45" s="1501"/>
    </row>
    <row s="1721" customFormat="1" customHeight="1" ht="24.375" hidden="1">
      <c r="E46" s="284">
        <v>25</v>
      </c>
      <c r="F46" s="175" cm="1" t="str">
        <f t="array" ref="F46:F46">OFFSET(G46,-1,-1)</f>
        <v>0</v>
      </c>
      <c r="G46" s="193" t="s">
        <v>1460</v>
      </c>
      <c r="T46" s="753">
        <f>F46&gt;0</f>
        <v>0</v>
      </c>
      <c r="AB46" s="605">
        <v>4</v>
      </c>
      <c r="AC46" s="657" t="s">
        <v>1461</v>
      </c>
      <c r="AD46" s="385" t="s">
        <v>917</v>
      </c>
      <c r="AE46" s="116"/>
      <c r="AF46" s="116"/>
      <c r="AG46" s="116"/>
      <c r="AH46" s="116"/>
      <c r="AI46" s="587">
        <f>_xlfn.SUMIFS(AI47:AI51,$AD47:$AD51,$AD46)</f>
        <v>0</v>
      </c>
      <c r="AJ46" s="587">
        <f>_xlfn.SUMIFS(AJ47:AJ51,$AD47:$AD51,$AD46)</f>
        <v>0</v>
      </c>
      <c r="AK46" s="85"/>
      <c r="AN46" s="489" t="s">
        <v>1462</v>
      </c>
      <c r="AO46" s="984"/>
      <c r="AP46" s="984"/>
      <c r="AQ46" s="985"/>
      <c r="AR46" s="985"/>
      <c r="AU46" s="1501" cm="1" t="str">
        <f t="array" ref="AU46:AU46">AU45</f>
        <v>0</v>
      </c>
      <c r="AV46" s="1501"/>
      <c r="AW46" s="1501" t="s">
        <v>1463</v>
      </c>
      <c r="AX46" s="1501" t="s">
        <v>1464</v>
      </c>
      <c r="AY46" s="1501"/>
      <c r="AZ46" s="1501"/>
      <c r="BA46" s="1501" t="s">
        <v>303</v>
      </c>
      <c r="BB46" s="1501" t="s">
        <v>1423</v>
      </c>
      <c r="BC46" s="1501" t="s">
        <v>1424</v>
      </c>
    </row>
    <row s="1721" customFormat="1" customHeight="1" ht="9" hidden="1">
      <c r="E47" s="966">
        <v>0</v>
      </c>
      <c r="F47" s="175" cm="1" t="str">
        <f t="array" ref="F47:F47">OFFSET(G47,-1,-1)</f>
        <v>0</v>
      </c>
      <c r="T47" s="753">
        <f>F47&gt;0</f>
        <v>0</v>
      </c>
      <c r="AB47" s="605"/>
      <c r="AC47" s="657"/>
      <c r="AD47" s="385"/>
      <c r="AE47" s="384"/>
      <c r="AF47" s="384"/>
      <c r="AG47" s="384"/>
      <c r="AH47" s="384"/>
      <c r="AI47" s="596"/>
      <c r="AJ47" s="596"/>
      <c r="AK47" s="413"/>
      <c r="AN47" s="489"/>
      <c r="AO47" s="984"/>
      <c r="AP47" s="984"/>
      <c r="AQ47" s="985"/>
      <c r="AR47" s="985"/>
      <c r="AU47" s="1501" cm="1" t="str">
        <f t="array" ref="AU47:AU47">AU46</f>
        <v>0</v>
      </c>
      <c r="AV47" s="1501"/>
      <c r="AW47" s="1501"/>
      <c r="AX47" s="1501"/>
      <c r="AY47" s="1501"/>
      <c r="AZ47" s="1501"/>
      <c r="BA47" s="1501"/>
      <c r="BB47" s="1501"/>
      <c r="BC47" s="1501"/>
    </row>
    <row s="1721" customFormat="1" customHeight="1" ht="16.575" hidden="1">
      <c r="E48" s="284">
        <v>17</v>
      </c>
      <c r="F48" s="175" cm="1" t="str">
        <f t="array" ref="F48:F48">OFFSET(G48,-1,-1)</f>
        <v>0</v>
      </c>
      <c r="I48" s="193" cm="1" t="str">
        <f t="array" ref="I48:I48">AC48</f>
        <v>0</v>
      </c>
      <c r="T48" s="753">
        <f>AND(F48&gt;0,Y48&gt;0)</f>
        <v>0</v>
      </c>
      <c r="W48" s="175" t="s">
        <v>189</v>
      </c>
      <c r="Y48" s="176">
        <v>0</v>
      </c>
      <c r="AA48" s="1660" t="s">
        <v>171</v>
      </c>
      <c r="AB48" s="605" t="str">
        <f>"4."&amp;Y48</f>
        <v>4.0</v>
      </c>
      <c r="AC48" s="62"/>
      <c r="AD48" s="385" t="s">
        <v>917</v>
      </c>
      <c r="AE48" s="384"/>
      <c r="AF48" s="384"/>
      <c r="AG48" s="384"/>
      <c r="AH48" s="384"/>
      <c r="AI48" s="353">
        <f>AI49*AI50*12/1000</f>
        <v>0</v>
      </c>
      <c r="AJ48" s="353">
        <f>AJ49*AJ50*12/1000</f>
        <v>0</v>
      </c>
      <c r="AK48" s="85"/>
      <c r="AN48" s="489" t="s">
        <v>1465</v>
      </c>
      <c r="AO48" s="984" t="s">
        <v>1466</v>
      </c>
      <c r="AP48" s="984" cm="1" t="str">
        <f t="array" ref="AP48:AP48">AC48</f>
        <v>0</v>
      </c>
      <c r="AQ48" s="985"/>
      <c r="AR48" s="985" t="b">
        <v>1</v>
      </c>
      <c r="AU48" s="1501" cm="1" t="str">
        <f t="array" ref="AU48:AU48">OFFSET(AV48,-1,-1)</f>
        <v>0</v>
      </c>
      <c r="AV48" s="1501"/>
      <c r="AW48" s="1501" t="s">
        <v>1463</v>
      </c>
      <c r="AX48" s="1501" t="s">
        <v>1464</v>
      </c>
      <c r="AY48" s="1501" t="s">
        <v>219</v>
      </c>
      <c r="AZ48" s="1501" cm="1" t="str">
        <f t="array" ref="AZ48:AZ48">$AC48</f>
        <v>0</v>
      </c>
      <c r="BA48" s="1501" t="s">
        <v>303</v>
      </c>
      <c r="BB48" s="1501" t="s">
        <v>1427</v>
      </c>
      <c r="BC48" s="1501" t="s">
        <v>1428</v>
      </c>
    </row>
    <row s="1721" customFormat="1" customHeight="1" ht="16.575" hidden="1">
      <c r="E49" s="284">
        <v>17</v>
      </c>
      <c r="F49" s="175" cm="1" t="str">
        <f t="array" ref="F49:F49">OFFSET(G49,-1,-1)</f>
        <v>0</v>
      </c>
      <c r="G49" s="193" t="s">
        <v>1467</v>
      </c>
      <c r="I49" s="193" cm="1" t="str">
        <f t="array" ref="I49:I49">I48</f>
        <v>0</v>
      </c>
      <c r="T49" s="753" cm="1" t="str">
        <f t="array" ref="T49:T49">T48</f>
        <v>false</v>
      </c>
      <c r="AA49" s="1661"/>
      <c r="AB49" s="605" t="str">
        <f>AB48&amp;".1"</f>
        <v>4.0.1</v>
      </c>
      <c r="AC49" s="624" t="s">
        <v>1430</v>
      </c>
      <c r="AD49" s="385" t="s">
        <v>1431</v>
      </c>
      <c r="AE49" s="384"/>
      <c r="AF49" s="384"/>
      <c r="AG49" s="384"/>
      <c r="AH49" s="384"/>
      <c r="AI49" s="658"/>
      <c r="AJ49" s="658"/>
      <c r="AK49" s="85"/>
      <c r="AN49" s="489" t="s">
        <v>1468</v>
      </c>
      <c r="AO49" s="984" t="s">
        <v>1466</v>
      </c>
      <c r="AP49" s="984" cm="1" t="str">
        <f t="array" ref="AP49:AP49">AP48</f>
        <v>0</v>
      </c>
      <c r="AQ49" s="985"/>
      <c r="AR49" s="985"/>
      <c r="AU49" s="1501" cm="1" t="str">
        <f t="array" ref="AU49:AU49">AU48</f>
        <v>0</v>
      </c>
      <c r="AV49" s="1501"/>
      <c r="AW49" s="1501" t="s">
        <v>1463</v>
      </c>
      <c r="AX49" s="1501" t="s">
        <v>1464</v>
      </c>
      <c r="AY49" s="1501" t="s">
        <v>255</v>
      </c>
      <c r="AZ49" s="1501" cm="1" t="str">
        <f t="array" ref="AZ49:AZ49">AZ48</f>
        <v>0</v>
      </c>
      <c r="BA49" s="1501" t="s">
        <v>303</v>
      </c>
      <c r="BB49" s="1501" t="s">
        <v>1433</v>
      </c>
      <c r="BC49" s="1501" t="s">
        <v>1434</v>
      </c>
    </row>
    <row s="1721" customFormat="1" customHeight="1" ht="16.575" hidden="1">
      <c r="E50" s="284">
        <v>17</v>
      </c>
      <c r="F50" s="175" cm="1" t="str">
        <f t="array" ref="F50:F50">OFFSET(G50,-1,-1)</f>
        <v>0</v>
      </c>
      <c r="I50" s="193" cm="1" t="str">
        <f t="array" ref="I50:I50">I49</f>
        <v>0</v>
      </c>
      <c r="T50" s="753" cm="1" t="str">
        <f t="array" ref="T50:T50">T49</f>
        <v>false</v>
      </c>
      <c r="AA50" s="1661"/>
      <c r="AB50" s="605" t="str">
        <f>AB48&amp;".2"</f>
        <v>4.0.2</v>
      </c>
      <c r="AC50" s="624" t="s">
        <v>1435</v>
      </c>
      <c r="AD50" s="385" t="s">
        <v>1436</v>
      </c>
      <c r="AE50" s="384"/>
      <c r="AF50" s="384"/>
      <c r="AG50" s="384"/>
      <c r="AH50" s="384"/>
      <c r="AI50" s="658"/>
      <c r="AJ50" s="658"/>
      <c r="AK50" s="85"/>
      <c r="AN50" s="489" t="s">
        <v>1469</v>
      </c>
      <c r="AO50" s="984" t="s">
        <v>1466</v>
      </c>
      <c r="AP50" s="984" cm="1" t="str">
        <f t="array" ref="AP50:AP50">AP49</f>
        <v>0</v>
      </c>
      <c r="AQ50" s="985"/>
      <c r="AR50" s="985"/>
      <c r="AU50" s="1501" cm="1" t="str">
        <f t="array" ref="AU50:AU50">AU49</f>
        <v>0</v>
      </c>
      <c r="AV50" s="1501"/>
      <c r="AW50" s="1501" t="s">
        <v>1463</v>
      </c>
      <c r="AX50" s="1501" t="s">
        <v>1464</v>
      </c>
      <c r="AY50" s="1501" t="s">
        <v>449</v>
      </c>
      <c r="AZ50" s="1501" cm="1" t="str">
        <f t="array" ref="AZ50:AZ50">AZ49</f>
        <v>0</v>
      </c>
      <c r="BA50" s="1501" t="s">
        <v>303</v>
      </c>
      <c r="BB50" s="1501" t="s">
        <v>1438</v>
      </c>
      <c r="BC50" s="1501" t="s">
        <v>1439</v>
      </c>
    </row>
    <row s="1721" customFormat="1" customHeight="1" ht="16.575" hidden="1">
      <c r="E51" s="284">
        <v>17</v>
      </c>
      <c r="F51" s="175" cm="1" t="str">
        <f t="array" ref="F51:F51">OFFSET(G51,-1,-1)</f>
        <v>0</v>
      </c>
      <c r="T51" s="753">
        <f>F51&gt;0</f>
        <v>0</v>
      </c>
      <c r="W51" s="176" t="s">
        <v>1470</v>
      </c>
      <c r="AB51" s="405"/>
      <c r="AC51" s="407" t="s">
        <v>191</v>
      </c>
      <c r="AD51" s="407"/>
      <c r="AE51" s="407"/>
      <c r="AF51" s="407"/>
      <c r="AG51" s="407"/>
      <c r="AH51" s="407"/>
      <c r="AI51" s="407"/>
      <c r="AJ51" s="407"/>
      <c r="AK51" s="408"/>
      <c r="AN51" s="489"/>
      <c r="AO51" s="984"/>
      <c r="AP51" s="984"/>
      <c r="AQ51" s="985" t="s">
        <v>1466</v>
      </c>
      <c r="AR51" s="985"/>
    </row>
    <row s="1721" customFormat="1" customHeight="1" ht="10.5">
      <c r="A52" s="1721"/>
      <c r="B52" s="1721"/>
      <c r="C52" s="1721"/>
      <c r="D52" s="1721"/>
      <c r="E52" s="284">
        <v>11</v>
      </c>
      <c r="F52" s="175" cm="1" t="str">
        <f t="array" ref="F52:F52">X52</f>
        <v>1</v>
      </c>
      <c r="G52" s="193" t="s">
        <v>49</v>
      </c>
      <c r="H52" s="1721"/>
      <c r="I52" s="1721"/>
      <c r="J52" s="1721"/>
      <c r="K52" s="1721"/>
      <c r="L52" s="1721"/>
      <c r="M52" s="1721"/>
      <c r="N52" s="1721"/>
      <c r="O52" s="1721"/>
      <c r="P52" s="1721"/>
      <c r="Q52" s="1721"/>
      <c r="R52" s="1721"/>
      <c r="S52" s="1721"/>
      <c r="T52" s="753">
        <f>F52&gt;0</f>
        <v>1</v>
      </c>
      <c r="U52" s="1721"/>
      <c r="V52" s="176" cm="1" t="str">
        <f t="array" ref="V52:V52">'Покупка услуг'!$AB$46</f>
        <v>Тариф 1 (Теплоснабжение) - Тариф на тепловую энергию (мощность), поставляемую потребителям (Доп. признак не требуется)</v>
      </c>
      <c r="W52" s="1721"/>
      <c r="X52" s="176" t="s">
        <v>308</v>
      </c>
      <c r="Y52" s="1721"/>
      <c r="Z52" s="1721"/>
      <c r="AA52" s="1721"/>
      <c r="AB52" s="656" cm="1" t="str">
        <f t="array" ref="AB52:AB52">IF(ISBLANK('Покупка услуг'!$AB$46),"",'Покупка услуг'!$AB$46)</f>
        <v>Тариф 1 (Теплоснабжение) - Тариф на тепловую энергию (мощность), поставляемую потребителям (Доп. признак не требуется)</v>
      </c>
      <c r="AC52" s="298"/>
      <c r="AD52" s="298"/>
      <c r="AE52" s="552">
        <f>AE53+AE62+AE68+AE74</f>
        <v>3628</v>
      </c>
      <c r="AF52" s="552">
        <f>AF53+AF62+AF68+AF74</f>
        <v>4760</v>
      </c>
      <c r="AG52" s="552">
        <f>AG53+AG62+AG68+AG74</f>
        <v>3628</v>
      </c>
      <c r="AH52" s="552">
        <f>AH53+AH62+AH68+AH74</f>
        <v>3747</v>
      </c>
      <c r="AI52" s="552">
        <f>AI53+AI62+AI68+AI74</f>
        <v>5148</v>
      </c>
      <c r="AJ52" s="552">
        <f>AJ53+AJ62+AJ68+AJ74</f>
        <v>3895</v>
      </c>
      <c r="AK52" s="552"/>
      <c r="AL52" s="1721"/>
      <c r="AM52" s="1721"/>
      <c r="AN52" s="489"/>
      <c r="AO52" s="984"/>
      <c r="AP52" s="984"/>
      <c r="AQ52" s="985"/>
      <c r="AR52" s="985"/>
      <c r="AS52" s="1721"/>
      <c r="AT52" s="1721"/>
      <c r="AU52" s="1721"/>
      <c r="AV52" s="1721"/>
      <c r="AW52" s="1721"/>
      <c r="AX52" s="1721"/>
      <c r="AY52" s="1721"/>
      <c r="AZ52" s="1721"/>
      <c r="BA52" s="1721"/>
      <c r="BB52" s="1721"/>
      <c r="BC52" s="1721"/>
    </row>
    <row s="1721" customFormat="1" customHeight="1" ht="18">
      <c r="A53" s="1721"/>
      <c r="B53" s="1721"/>
      <c r="C53" s="1721"/>
      <c r="D53" s="1721"/>
      <c r="E53" s="284">
        <v>19</v>
      </c>
      <c r="F53" s="175" cm="1" t="str">
        <f t="array" ref="F53:F53">OFFSET(G53,-1,-1)</f>
        <v>1</v>
      </c>
      <c r="G53" s="193" t="s">
        <v>1418</v>
      </c>
      <c r="H53" s="1721"/>
      <c r="I53" s="1721"/>
      <c r="J53" s="1721"/>
      <c r="K53" s="1721"/>
      <c r="L53" s="1721"/>
      <c r="M53" s="1721"/>
      <c r="N53" s="1721"/>
      <c r="O53" s="1721"/>
      <c r="P53" s="1721"/>
      <c r="Q53" s="1721"/>
      <c r="R53" s="1721"/>
      <c r="S53" s="1721"/>
      <c r="T53" s="753">
        <f>F53&gt;0</f>
        <v>1</v>
      </c>
      <c r="U53" s="1721"/>
      <c r="V53" s="1721"/>
      <c r="W53" s="1721"/>
      <c r="X53" s="1721"/>
      <c r="Y53" s="1721"/>
      <c r="Z53" s="1721"/>
      <c r="AA53" s="1721"/>
      <c r="AB53" s="605">
        <v>1</v>
      </c>
      <c r="AC53" s="657" t="s">
        <v>1419</v>
      </c>
      <c r="AD53" s="385" t="s">
        <v>917</v>
      </c>
      <c r="AE53" s="2323">
        <v>3628</v>
      </c>
      <c r="AF53" s="2323">
        <v>4760</v>
      </c>
      <c r="AG53" s="2323">
        <v>3628</v>
      </c>
      <c r="AH53" s="2323">
        <v>3747</v>
      </c>
      <c r="AI53" s="587">
        <f>_xlfn.SUMIFS(AI54:AI61,$AD54:$AD61,$AD53)</f>
        <v>5148</v>
      </c>
      <c r="AJ53" s="587">
        <f>_xlfn.SUMIFS(AJ54:AJ61,$AD54:$AD61,$AD53)</f>
        <v>3895</v>
      </c>
      <c r="AK53" s="1907"/>
      <c r="AL53" s="1721"/>
      <c r="AM53" s="1721"/>
      <c r="AN53" s="489" t="s">
        <v>1420</v>
      </c>
      <c r="AO53" s="984"/>
      <c r="AP53" s="984"/>
      <c r="AQ53" s="985"/>
      <c r="AR53" s="985"/>
      <c r="AS53" s="1721"/>
      <c r="AT53" s="1721"/>
      <c r="AU53" s="1501" cm="1" t="str">
        <f t="array" ref="AU53:AU53">INDEX('Общие сведения'!$N$170:$N$202,MATCH($F53,'Общие сведения'!$Y$170:$Y$202,0)+1)</f>
        <v>ТЭ.42.31656254.0001</v>
      </c>
      <c r="AV53" s="1501" t="s">
        <v>1421</v>
      </c>
      <c r="AW53" s="1501"/>
      <c r="AX53" s="1501" t="s">
        <v>1422</v>
      </c>
      <c r="AY53" s="1501"/>
      <c r="AZ53" s="1501"/>
      <c r="BA53" s="1501" t="s">
        <v>303</v>
      </c>
      <c r="BB53" s="1501" t="s">
        <v>1423</v>
      </c>
      <c r="BC53" s="1501" t="s">
        <v>1424</v>
      </c>
    </row>
    <row s="1721" customFormat="1" customHeight="1" ht="11.25" hidden="1">
      <c r="A54" s="1721"/>
      <c r="B54" s="1721"/>
      <c r="C54" s="1721"/>
      <c r="D54" s="1721"/>
      <c r="E54" s="966">
        <v>0</v>
      </c>
      <c r="F54" s="175" cm="1" t="str">
        <f t="array" ref="F54:F54">OFFSET(G54,-1,-1)</f>
        <v>1</v>
      </c>
      <c r="G54" s="1721"/>
      <c r="H54" s="1721"/>
      <c r="I54" s="1721"/>
      <c r="J54" s="1721"/>
      <c r="K54" s="1721"/>
      <c r="L54" s="1721"/>
      <c r="M54" s="1721"/>
      <c r="N54" s="1721"/>
      <c r="O54" s="1721"/>
      <c r="P54" s="1721"/>
      <c r="Q54" s="1721"/>
      <c r="R54" s="1721"/>
      <c r="S54" s="1721"/>
      <c r="T54" s="753">
        <f>F54&gt;0</f>
        <v>1</v>
      </c>
      <c r="U54" s="1721"/>
      <c r="V54" s="1721"/>
      <c r="W54" s="1721"/>
      <c r="X54" s="1721"/>
      <c r="Y54" s="1721"/>
      <c r="Z54" s="1721"/>
      <c r="AA54" s="1721"/>
      <c r="AB54" s="605"/>
      <c r="AC54" s="657"/>
      <c r="AD54" s="385"/>
      <c r="AE54" s="384"/>
      <c r="AF54" s="384"/>
      <c r="AG54" s="384"/>
      <c r="AH54" s="384"/>
      <c r="AI54" s="596"/>
      <c r="AJ54" s="596"/>
      <c r="AK54" s="413"/>
      <c r="AL54" s="1721"/>
      <c r="AM54" s="1721"/>
      <c r="AN54" s="489"/>
      <c r="AO54" s="984"/>
      <c r="AP54" s="984"/>
      <c r="AQ54" s="985"/>
      <c r="AR54" s="985"/>
      <c r="AS54" s="1721"/>
      <c r="AT54" s="1721"/>
      <c r="AU54" s="1501" cm="1" t="str">
        <f t="array" ref="AU54:AU54">AU53</f>
        <v>ТЭ.42.31656254.0001</v>
      </c>
      <c r="AV54" s="1501"/>
      <c r="AW54" s="1501"/>
      <c r="AX54" s="1501"/>
      <c r="AY54" s="1501"/>
      <c r="AZ54" s="1501"/>
      <c r="BA54" s="1501"/>
      <c r="BB54" s="1501"/>
      <c r="BC54" s="1501"/>
    </row>
    <row s="1721" customFormat="1" customHeight="1" ht="16.5" hidden="1">
      <c r="E55" s="284">
        <v>17</v>
      </c>
      <c r="F55" s="175" cm="1" t="str">
        <f t="array" ref="F55:F55">OFFSET(G55,-1,-1)</f>
        <v>1</v>
      </c>
      <c r="I55" s="193" cm="1" t="str">
        <f t="array" ref="I55:I55">AC55</f>
        <v>0</v>
      </c>
      <c r="T55" s="753">
        <f>AND(F55&gt;0,Y55&gt;0)</f>
        <v>0</v>
      </c>
      <c r="W55" s="175" t="s">
        <v>189</v>
      </c>
      <c r="Y55" s="176">
        <v>0</v>
      </c>
      <c r="AA55" s="1660" t="s">
        <v>171</v>
      </c>
      <c r="AB55" s="605" t="str">
        <f>"1."&amp;Y55</f>
        <v>1.0</v>
      </c>
      <c r="AC55" s="62"/>
      <c r="AD55" s="385" t="s">
        <v>917</v>
      </c>
      <c r="AE55" s="384"/>
      <c r="AF55" s="384"/>
      <c r="AG55" s="384"/>
      <c r="AH55" s="384"/>
      <c r="AI55" s="353">
        <f>AI56*AI57*12/1000</f>
        <v>0</v>
      </c>
      <c r="AJ55" s="353">
        <f>AJ56*AJ57*12/1000</f>
        <v>0</v>
      </c>
      <c r="AK55" s="85"/>
      <c r="AN55" s="489" t="s">
        <v>1425</v>
      </c>
      <c r="AO55" s="984" t="s">
        <v>1426</v>
      </c>
      <c r="AP55" s="984" cm="1" t="str">
        <f t="array" ref="AP55:AP55">AC55</f>
        <v>0</v>
      </c>
      <c r="AQ55" s="985"/>
      <c r="AR55" s="985" t="b">
        <v>1</v>
      </c>
      <c r="AU55" s="1501" cm="1" t="str">
        <f t="array" ref="AU55:AU55">OFFSET(AV55,-1,-1)</f>
        <v>ТЭ.42.31656254.0001</v>
      </c>
      <c r="AV55" s="1501" t="s">
        <v>1421</v>
      </c>
      <c r="AW55" s="1501"/>
      <c r="AX55" s="1501" t="s">
        <v>1422</v>
      </c>
      <c r="AY55" s="1501" t="s">
        <v>219</v>
      </c>
      <c r="AZ55" s="1501" cm="1" t="str">
        <f t="array" ref="AZ55:AZ55">$AC55</f>
        <v>0</v>
      </c>
      <c r="BA55" s="1501" t="s">
        <v>303</v>
      </c>
      <c r="BB55" s="1501" t="s">
        <v>1427</v>
      </c>
      <c r="BC55" s="1501" t="s">
        <v>1428</v>
      </c>
    </row>
    <row s="1721" customFormat="1" customHeight="1" ht="16.5" hidden="1">
      <c r="E56" s="284">
        <v>17</v>
      </c>
      <c r="F56" s="175" cm="1" t="str">
        <f t="array" ref="F56:F56">OFFSET(G56,-1,-1)</f>
        <v>1</v>
      </c>
      <c r="G56" s="193" t="s">
        <v>1429</v>
      </c>
      <c r="I56" s="193" cm="1" t="str">
        <f t="array" ref="I56:I56">I55</f>
        <v>0</v>
      </c>
      <c r="T56" s="753" cm="1" t="str">
        <f t="array" ref="T56:T56">T55</f>
        <v>false</v>
      </c>
      <c r="AA56" s="1661"/>
      <c r="AB56" s="605" t="str">
        <f>AB55&amp;".1"</f>
        <v>1.0.1</v>
      </c>
      <c r="AC56" s="624" t="s">
        <v>1430</v>
      </c>
      <c r="AD56" s="385" t="s">
        <v>1431</v>
      </c>
      <c r="AE56" s="384"/>
      <c r="AF56" s="384"/>
      <c r="AG56" s="384"/>
      <c r="AH56" s="384"/>
      <c r="AI56" s="658"/>
      <c r="AJ56" s="658"/>
      <c r="AK56" s="85"/>
      <c r="AN56" s="489" t="s">
        <v>1432</v>
      </c>
      <c r="AO56" s="984" t="s">
        <v>1426</v>
      </c>
      <c r="AP56" s="984" cm="1" t="str">
        <f t="array" ref="AP56:AP56">AP55</f>
        <v>0</v>
      </c>
      <c r="AQ56" s="985"/>
      <c r="AR56" s="985"/>
      <c r="AU56" s="1501" cm="1" t="str">
        <f t="array" ref="AU56:AU56">AU55</f>
        <v>ТЭ.42.31656254.0001</v>
      </c>
      <c r="AV56" s="1501" t="s">
        <v>1421</v>
      </c>
      <c r="AW56" s="1501"/>
      <c r="AX56" s="1501" t="s">
        <v>1422</v>
      </c>
      <c r="AY56" s="1501" t="s">
        <v>255</v>
      </c>
      <c r="AZ56" s="1501" cm="1" t="str">
        <f t="array" ref="AZ56:AZ56">AZ55</f>
        <v>0</v>
      </c>
      <c r="BA56" s="1501" t="s">
        <v>303</v>
      </c>
      <c r="BB56" s="1501" t="s">
        <v>1433</v>
      </c>
      <c r="BC56" s="1501" t="s">
        <v>1434</v>
      </c>
    </row>
    <row s="1721" customFormat="1" customHeight="1" ht="16.5" hidden="1">
      <c r="E57" s="284">
        <v>17</v>
      </c>
      <c r="F57" s="175" cm="1" t="str">
        <f t="array" ref="F57:F57">OFFSET(G57,-1,-1)</f>
        <v>1</v>
      </c>
      <c r="I57" s="193" cm="1" t="str">
        <f t="array" ref="I57:I57">I56</f>
        <v>0</v>
      </c>
      <c r="T57" s="753" cm="1" t="str">
        <f t="array" ref="T57:T57">T56</f>
        <v>false</v>
      </c>
      <c r="AA57" s="1661"/>
      <c r="AB57" s="605" t="str">
        <f>AB55&amp;".2"</f>
        <v>1.0.2</v>
      </c>
      <c r="AC57" s="624" t="s">
        <v>1435</v>
      </c>
      <c r="AD57" s="385" t="s">
        <v>1436</v>
      </c>
      <c r="AE57" s="384"/>
      <c r="AF57" s="384"/>
      <c r="AG57" s="384"/>
      <c r="AH57" s="384"/>
      <c r="AI57" s="658"/>
      <c r="AJ57" s="658"/>
      <c r="AK57" s="85"/>
      <c r="AN57" s="489" t="s">
        <v>1437</v>
      </c>
      <c r="AO57" s="984" t="s">
        <v>1426</v>
      </c>
      <c r="AP57" s="984" cm="1" t="str">
        <f t="array" ref="AP57:AP57">AP56</f>
        <v>0</v>
      </c>
      <c r="AQ57" s="985"/>
      <c r="AR57" s="985"/>
      <c r="AU57" s="1501" cm="1" t="str">
        <f t="array" ref="AU57:AU57">AU56</f>
        <v>ТЭ.42.31656254.0001</v>
      </c>
      <c r="AV57" s="1501" t="s">
        <v>1421</v>
      </c>
      <c r="AW57" s="1501"/>
      <c r="AX57" s="1501" t="s">
        <v>1422</v>
      </c>
      <c r="AY57" s="1501" t="s">
        <v>449</v>
      </c>
      <c r="AZ57" s="1501" cm="1" t="str">
        <f t="array" ref="AZ57:AZ57">AZ56</f>
        <v>0</v>
      </c>
      <c r="BA57" s="1501" t="s">
        <v>303</v>
      </c>
      <c r="BB57" s="1501" t="s">
        <v>1438</v>
      </c>
      <c r="BC57" s="1501" t="s">
        <v>1439</v>
      </c>
    </row>
    <row s="1721" customFormat="1" customHeight="1" ht="16.5">
      <c r="A58" s="1721"/>
      <c r="B58" s="1721"/>
      <c r="C58" s="1721"/>
      <c r="D58" s="1721"/>
      <c r="E58" s="284">
        <v>17</v>
      </c>
      <c r="F58" s="175" cm="1" t="str">
        <f t="array" ref="F58:F58">OFFSET(G58,-1,-1)</f>
        <v>1</v>
      </c>
      <c r="G58" s="1721"/>
      <c r="H58" s="1721"/>
      <c r="I58" s="193" cm="1" t="str">
        <f t="array" ref="I58:I58">AC58</f>
        <v>Машинист котельной</v>
      </c>
      <c r="J58" s="1721"/>
      <c r="K58" s="1721"/>
      <c r="L58" s="1721"/>
      <c r="M58" s="1721"/>
      <c r="N58" s="1721"/>
      <c r="O58" s="1721"/>
      <c r="P58" s="1721"/>
      <c r="Q58" s="1721"/>
      <c r="R58" s="1721"/>
      <c r="S58" s="1721"/>
      <c r="T58" s="753">
        <f>AND(F58&gt;0,Y58&gt;0)</f>
        <v>1</v>
      </c>
      <c r="U58" s="1721"/>
      <c r="V58" s="1721"/>
      <c r="W58" s="175"/>
      <c r="X58" s="1721"/>
      <c r="Y58" s="176" t="s">
        <v>308</v>
      </c>
      <c r="Z58" s="1721"/>
      <c r="AA58" s="1660" t="s">
        <v>171</v>
      </c>
      <c r="AB58" s="605" t="str">
        <f>"1."&amp;Y58</f>
        <v>1.1</v>
      </c>
      <c r="AC58" s="1809" t="s">
        <v>1471</v>
      </c>
      <c r="AD58" s="385" t="s">
        <v>917</v>
      </c>
      <c r="AE58" s="384"/>
      <c r="AF58" s="384"/>
      <c r="AG58" s="384"/>
      <c r="AH58" s="384"/>
      <c r="AI58" s="353">
        <f>AI59*AI60*12/1000</f>
        <v>5148</v>
      </c>
      <c r="AJ58" s="353">
        <f>AJ59*AJ60*12/1000</f>
        <v>3895</v>
      </c>
      <c r="AK58" s="1907"/>
      <c r="AL58" s="1721"/>
      <c r="AM58" s="1721"/>
      <c r="AN58" s="489" t="s">
        <v>1425</v>
      </c>
      <c r="AO58" s="984" t="s">
        <v>1426</v>
      </c>
      <c r="AP58" s="984" cm="1" t="str">
        <f t="array" ref="AP58:AP58">AC58</f>
        <v>Машинист котельной</v>
      </c>
      <c r="AQ58" s="985"/>
      <c r="AR58" s="985" t="b">
        <v>1</v>
      </c>
      <c r="AS58" s="1721"/>
      <c r="AT58" s="1721"/>
      <c r="AU58" s="1501" cm="1" t="str">
        <f t="array" ref="AU58:AU58">OFFSET(AV58,-1,-1)</f>
        <v>ТЭ.42.31656254.0001</v>
      </c>
      <c r="AV58" s="1501" t="s">
        <v>1421</v>
      </c>
      <c r="AW58" s="1501"/>
      <c r="AX58" s="1501" t="s">
        <v>1422</v>
      </c>
      <c r="AY58" s="1501" t="s">
        <v>219</v>
      </c>
      <c r="AZ58" s="1501" cm="1" t="str">
        <f t="array" ref="AZ58:AZ58">$AC58</f>
        <v>Машинист котельной</v>
      </c>
      <c r="BA58" s="1501" t="s">
        <v>303</v>
      </c>
      <c r="BB58" s="1501" t="s">
        <v>1427</v>
      </c>
      <c r="BC58" s="1501" t="s">
        <v>1428</v>
      </c>
    </row>
    <row s="1721" customFormat="1" customHeight="1" ht="16.5">
      <c r="A59" s="1721"/>
      <c r="B59" s="1721"/>
      <c r="C59" s="1721"/>
      <c r="D59" s="1721"/>
      <c r="E59" s="284">
        <v>17</v>
      </c>
      <c r="F59" s="175" cm="1" t="str">
        <f t="array" ref="F59:F59">OFFSET(G59,-1,-1)</f>
        <v>1</v>
      </c>
      <c r="G59" s="193" t="s">
        <v>1429</v>
      </c>
      <c r="H59" s="1721"/>
      <c r="I59" s="193" cm="1" t="str">
        <f t="array" ref="I59:I59">I58</f>
        <v>Машинист котельной</v>
      </c>
      <c r="J59" s="1721"/>
      <c r="K59" s="1721"/>
      <c r="L59" s="1721"/>
      <c r="M59" s="1721"/>
      <c r="N59" s="1721"/>
      <c r="O59" s="1721"/>
      <c r="P59" s="1721"/>
      <c r="Q59" s="1721"/>
      <c r="R59" s="1721"/>
      <c r="S59" s="1721"/>
      <c r="T59" s="753" cm="1" t="str">
        <f t="array" ref="T59:T59">T58</f>
        <v>true</v>
      </c>
      <c r="U59" s="1721"/>
      <c r="V59" s="1721"/>
      <c r="W59" s="1721"/>
      <c r="X59" s="1721"/>
      <c r="Y59" s="1721"/>
      <c r="Z59" s="1721"/>
      <c r="AA59" s="1661"/>
      <c r="AB59" s="605" t="str">
        <f>AB58&amp;".1"</f>
        <v>1.1.1</v>
      </c>
      <c r="AC59" s="624" t="s">
        <v>1430</v>
      </c>
      <c r="AD59" s="385" t="s">
        <v>1431</v>
      </c>
      <c r="AE59" s="384"/>
      <c r="AF59" s="384"/>
      <c r="AG59" s="384"/>
      <c r="AH59" s="384"/>
      <c r="AI59" s="658">
        <v>9</v>
      </c>
      <c r="AJ59" s="658">
        <v>9</v>
      </c>
      <c r="AK59" s="1907"/>
      <c r="AL59" s="1721"/>
      <c r="AM59" s="1721"/>
      <c r="AN59" s="489" t="s">
        <v>1432</v>
      </c>
      <c r="AO59" s="984" t="s">
        <v>1426</v>
      </c>
      <c r="AP59" s="984" cm="1" t="str">
        <f t="array" ref="AP59:AP59">AP58</f>
        <v>Машинист котельной</v>
      </c>
      <c r="AQ59" s="985"/>
      <c r="AR59" s="985"/>
      <c r="AS59" s="1721"/>
      <c r="AT59" s="1721"/>
      <c r="AU59" s="1501" cm="1" t="str">
        <f t="array" ref="AU59:AU59">AU58</f>
        <v>ТЭ.42.31656254.0001</v>
      </c>
      <c r="AV59" s="1501" t="s">
        <v>1421</v>
      </c>
      <c r="AW59" s="1501"/>
      <c r="AX59" s="1501" t="s">
        <v>1422</v>
      </c>
      <c r="AY59" s="1501" t="s">
        <v>255</v>
      </c>
      <c r="AZ59" s="1501" cm="1" t="str">
        <f t="array" ref="AZ59:AZ59">AZ58</f>
        <v>Машинист котельной</v>
      </c>
      <c r="BA59" s="1501" t="s">
        <v>303</v>
      </c>
      <c r="BB59" s="1501" t="s">
        <v>1433</v>
      </c>
      <c r="BC59" s="1501" t="s">
        <v>1434</v>
      </c>
    </row>
    <row s="1721" customFormat="1" customHeight="1" ht="16.5">
      <c r="A60" s="1721"/>
      <c r="B60" s="1721"/>
      <c r="C60" s="1721"/>
      <c r="D60" s="1721"/>
      <c r="E60" s="284">
        <v>17</v>
      </c>
      <c r="F60" s="175" cm="1" t="str">
        <f t="array" ref="F60:F60">OFFSET(G60,-1,-1)</f>
        <v>1</v>
      </c>
      <c r="G60" s="1721"/>
      <c r="H60" s="1721"/>
      <c r="I60" s="193" cm="1" t="str">
        <f t="array" ref="I60:I60">I59</f>
        <v>Машинист котельной</v>
      </c>
      <c r="J60" s="1721"/>
      <c r="K60" s="1721"/>
      <c r="L60" s="1721"/>
      <c r="M60" s="1721"/>
      <c r="N60" s="1721"/>
      <c r="O60" s="1721"/>
      <c r="P60" s="1721"/>
      <c r="Q60" s="1721"/>
      <c r="R60" s="1721"/>
      <c r="S60" s="1721"/>
      <c r="T60" s="753" cm="1" t="str">
        <f t="array" ref="T60:T60">T59</f>
        <v>true</v>
      </c>
      <c r="U60" s="1721"/>
      <c r="V60" s="1721"/>
      <c r="W60" s="1721"/>
      <c r="X60" s="1721"/>
      <c r="Y60" s="1721"/>
      <c r="Z60" s="1721"/>
      <c r="AA60" s="1661"/>
      <c r="AB60" s="605" t="str">
        <f>AB58&amp;".2"</f>
        <v>1.1.2</v>
      </c>
      <c r="AC60" s="624" t="s">
        <v>1435</v>
      </c>
      <c r="AD60" s="385" t="s">
        <v>1436</v>
      </c>
      <c r="AE60" s="384"/>
      <c r="AF60" s="384"/>
      <c r="AG60" s="384"/>
      <c r="AH60" s="384"/>
      <c r="AI60" s="658">
        <f>5148/9/12*1000</f>
        <v>47666.6666666667</v>
      </c>
      <c r="AJ60" s="658">
        <f>3895/9/12*1000</f>
        <v>36064.8148148148</v>
      </c>
      <c r="AK60" s="1907"/>
      <c r="AL60" s="1721"/>
      <c r="AM60" s="1721"/>
      <c r="AN60" s="489" t="s">
        <v>1437</v>
      </c>
      <c r="AO60" s="984" t="s">
        <v>1426</v>
      </c>
      <c r="AP60" s="984" cm="1" t="str">
        <f t="array" ref="AP60:AP60">AP59</f>
        <v>Машинист котельной</v>
      </c>
      <c r="AQ60" s="985"/>
      <c r="AR60" s="985"/>
      <c r="AS60" s="1721"/>
      <c r="AT60" s="1721"/>
      <c r="AU60" s="1501" cm="1" t="str">
        <f t="array" ref="AU60:AU60">AU59</f>
        <v>ТЭ.42.31656254.0001</v>
      </c>
      <c r="AV60" s="1501" t="s">
        <v>1421</v>
      </c>
      <c r="AW60" s="1501"/>
      <c r="AX60" s="1501" t="s">
        <v>1422</v>
      </c>
      <c r="AY60" s="1501" t="s">
        <v>449</v>
      </c>
      <c r="AZ60" s="1501" cm="1" t="str">
        <f t="array" ref="AZ60:AZ60">AZ59</f>
        <v>Машинист котельной</v>
      </c>
      <c r="BA60" s="1501" t="s">
        <v>303</v>
      </c>
      <c r="BB60" s="1501" t="s">
        <v>1438</v>
      </c>
      <c r="BC60" s="1501" t="s">
        <v>1439</v>
      </c>
    </row>
    <row s="1721" customFormat="1" customHeight="1" ht="16.5">
      <c r="A61" s="1721"/>
      <c r="B61" s="1721"/>
      <c r="C61" s="1721"/>
      <c r="D61" s="1721"/>
      <c r="E61" s="284">
        <v>17</v>
      </c>
      <c r="F61" s="175" cm="1" t="str">
        <f t="array" ref="F61:F61">OFFSET(G61,-1,-1)</f>
        <v>1</v>
      </c>
      <c r="G61" s="1721"/>
      <c r="H61" s="1721"/>
      <c r="I61" s="1721"/>
      <c r="J61" s="1721"/>
      <c r="K61" s="1721"/>
      <c r="L61" s="1721"/>
      <c r="M61" s="1721"/>
      <c r="N61" s="1721"/>
      <c r="O61" s="1721"/>
      <c r="P61" s="1721"/>
      <c r="Q61" s="1721"/>
      <c r="R61" s="1721"/>
      <c r="S61" s="1721"/>
      <c r="T61" s="753">
        <f>F61&gt;0</f>
        <v>1</v>
      </c>
      <c r="U61" s="1721"/>
      <c r="V61" s="1721"/>
      <c r="W61" s="176" t="s">
        <v>1070</v>
      </c>
      <c r="X61" s="1721"/>
      <c r="Y61" s="1721"/>
      <c r="Z61" s="1721"/>
      <c r="AA61" s="1721"/>
      <c r="AB61" s="405"/>
      <c r="AC61" s="407" t="s">
        <v>191</v>
      </c>
      <c r="AD61" s="407"/>
      <c r="AE61" s="407"/>
      <c r="AF61" s="407"/>
      <c r="AG61" s="407"/>
      <c r="AH61" s="407"/>
      <c r="AI61" s="407"/>
      <c r="AJ61" s="407"/>
      <c r="AK61" s="610"/>
      <c r="AL61" s="1721"/>
      <c r="AM61" s="1721"/>
      <c r="AN61" s="489"/>
      <c r="AO61" s="984"/>
      <c r="AP61" s="984"/>
      <c r="AQ61" s="985" t="s">
        <v>1426</v>
      </c>
      <c r="AR61" s="985"/>
      <c r="AS61" s="1721"/>
      <c r="AT61" s="1721"/>
      <c r="AU61" s="1501" cm="1" t="str">
        <f t="array" ref="AU61:AU61">OFFSET(AV61,-1,-1)</f>
        <v>ТЭ.42.31656254.0001</v>
      </c>
      <c r="AV61" s="1501"/>
      <c r="AW61" s="1501"/>
      <c r="AX61" s="1501"/>
      <c r="AY61" s="1501"/>
      <c r="AZ61" s="1501"/>
      <c r="BA61" s="1501"/>
      <c r="BB61" s="1501"/>
      <c r="BC61" s="1501"/>
    </row>
    <row s="1721" customFormat="1" customHeight="1" ht="24">
      <c r="A62" s="1721"/>
      <c r="B62" s="1721"/>
      <c r="C62" s="1721"/>
      <c r="D62" s="1721"/>
      <c r="E62" s="284">
        <v>25</v>
      </c>
      <c r="F62" s="175" cm="1" t="str">
        <f t="array" ref="F62:F62">OFFSET(G62,-1,-1)</f>
        <v>1</v>
      </c>
      <c r="G62" s="193" t="s">
        <v>1440</v>
      </c>
      <c r="H62" s="1721"/>
      <c r="I62" s="1721"/>
      <c r="J62" s="1721"/>
      <c r="K62" s="1721"/>
      <c r="L62" s="1721"/>
      <c r="M62" s="1721"/>
      <c r="N62" s="1721"/>
      <c r="O62" s="1721"/>
      <c r="P62" s="1721"/>
      <c r="Q62" s="1721"/>
      <c r="R62" s="1721"/>
      <c r="S62" s="1721"/>
      <c r="T62" s="753">
        <f>F62&gt;0</f>
        <v>1</v>
      </c>
      <c r="U62" s="1721"/>
      <c r="V62" s="1721"/>
      <c r="W62" s="1721"/>
      <c r="X62" s="1721"/>
      <c r="Y62" s="1721"/>
      <c r="Z62" s="1721"/>
      <c r="AA62" s="1721"/>
      <c r="AB62" s="605">
        <v>2</v>
      </c>
      <c r="AC62" s="657" t="s">
        <v>1441</v>
      </c>
      <c r="AD62" s="385" t="s">
        <v>917</v>
      </c>
      <c r="AE62" s="2323"/>
      <c r="AF62" s="2323"/>
      <c r="AG62" s="2323"/>
      <c r="AH62" s="2323"/>
      <c r="AI62" s="587">
        <f>_xlfn.SUMIFS(AI63:AI67,$AD63:$AD67,$AD62)</f>
        <v>0</v>
      </c>
      <c r="AJ62" s="587">
        <f>_xlfn.SUMIFS(AJ63:AJ67,$AD63:$AD67,$AD62)</f>
        <v>0</v>
      </c>
      <c r="AK62" s="1907"/>
      <c r="AL62" s="1721"/>
      <c r="AM62" s="1721"/>
      <c r="AN62" s="489" t="s">
        <v>1442</v>
      </c>
      <c r="AO62" s="984"/>
      <c r="AP62" s="984"/>
      <c r="AQ62" s="985"/>
      <c r="AR62" s="985"/>
      <c r="AS62" s="1721"/>
      <c r="AT62" s="1721"/>
      <c r="AU62" s="1501" cm="1" t="str">
        <f t="array" ref="AU62:AU62">AU61</f>
        <v>ТЭ.42.31656254.0001</v>
      </c>
      <c r="AV62" s="1501" t="s">
        <v>1443</v>
      </c>
      <c r="AW62" s="1501"/>
      <c r="AX62" s="1501" t="s">
        <v>1444</v>
      </c>
      <c r="AY62" s="1501"/>
      <c r="AZ62" s="1501"/>
      <c r="BA62" s="1501" t="s">
        <v>303</v>
      </c>
      <c r="BB62" s="1501" t="s">
        <v>1423</v>
      </c>
      <c r="BC62" s="1501" t="s">
        <v>1424</v>
      </c>
    </row>
    <row s="1721" customFormat="1" customHeight="1" ht="9" hidden="1">
      <c r="A63" s="1721"/>
      <c r="B63" s="1721"/>
      <c r="C63" s="1721"/>
      <c r="D63" s="1721"/>
      <c r="E63" s="966">
        <v>0</v>
      </c>
      <c r="F63" s="175" cm="1" t="str">
        <f t="array" ref="F63:F63">OFFSET(G63,-1,-1)</f>
        <v>1</v>
      </c>
      <c r="G63" s="1721"/>
      <c r="H63" s="1721"/>
      <c r="I63" s="1721"/>
      <c r="J63" s="1721"/>
      <c r="K63" s="1721"/>
      <c r="L63" s="1721"/>
      <c r="M63" s="1721"/>
      <c r="N63" s="1721"/>
      <c r="O63" s="1721"/>
      <c r="P63" s="1721"/>
      <c r="Q63" s="1721"/>
      <c r="R63" s="1721"/>
      <c r="S63" s="1721"/>
      <c r="T63" s="753">
        <f>F63&gt;0</f>
        <v>1</v>
      </c>
      <c r="U63" s="1721"/>
      <c r="V63" s="1721"/>
      <c r="W63" s="1721"/>
      <c r="X63" s="1721"/>
      <c r="Y63" s="1721"/>
      <c r="Z63" s="1721"/>
      <c r="AA63" s="1721"/>
      <c r="AB63" s="605"/>
      <c r="AC63" s="657"/>
      <c r="AD63" s="385"/>
      <c r="AE63" s="384"/>
      <c r="AF63" s="384"/>
      <c r="AG63" s="384"/>
      <c r="AH63" s="384"/>
      <c r="AI63" s="596"/>
      <c r="AJ63" s="596"/>
      <c r="AK63" s="413"/>
      <c r="AL63" s="1721"/>
      <c r="AM63" s="1721"/>
      <c r="AN63" s="489"/>
      <c r="AO63" s="984"/>
      <c r="AP63" s="984"/>
      <c r="AQ63" s="985"/>
      <c r="AR63" s="985"/>
      <c r="AS63" s="1721"/>
      <c r="AT63" s="1721"/>
      <c r="AU63" s="1501" cm="1" t="str">
        <f t="array" ref="AU63:AU63">AU62</f>
        <v>ТЭ.42.31656254.0001</v>
      </c>
      <c r="AV63" s="1501"/>
      <c r="AW63" s="1501"/>
      <c r="AX63" s="1501"/>
      <c r="AY63" s="1501"/>
      <c r="AZ63" s="1501"/>
      <c r="BA63" s="1501"/>
      <c r="BB63" s="1501"/>
      <c r="BC63" s="1501"/>
    </row>
    <row s="1721" customFormat="1" customHeight="1" ht="16.5" hidden="1">
      <c r="A64" s="1721"/>
      <c r="B64" s="1721"/>
      <c r="C64" s="1721"/>
      <c r="D64" s="1721"/>
      <c r="E64" s="284">
        <v>17</v>
      </c>
      <c r="F64" s="175" cm="1" t="str">
        <f t="array" ref="F64:F64">OFFSET(G64,-1,-1)</f>
        <v>1</v>
      </c>
      <c r="G64" s="1721"/>
      <c r="H64" s="1721"/>
      <c r="I64" s="193" cm="1" t="str">
        <f t="array" ref="I64:I64">AC64</f>
        <v>0</v>
      </c>
      <c r="J64" s="1721"/>
      <c r="K64" s="1721"/>
      <c r="L64" s="1721"/>
      <c r="M64" s="1721"/>
      <c r="N64" s="1721"/>
      <c r="O64" s="1721"/>
      <c r="P64" s="1721"/>
      <c r="Q64" s="1721"/>
      <c r="R64" s="1721"/>
      <c r="S64" s="1721"/>
      <c r="T64" s="753">
        <f>AND(F64&gt;0,Y64&gt;0)</f>
        <v>0</v>
      </c>
      <c r="U64" s="1721"/>
      <c r="V64" s="1721"/>
      <c r="W64" s="175" t="s">
        <v>189</v>
      </c>
      <c r="X64" s="1721"/>
      <c r="Y64" s="176">
        <v>0</v>
      </c>
      <c r="Z64" s="1721"/>
      <c r="AA64" s="1660" t="s">
        <v>171</v>
      </c>
      <c r="AB64" s="605" t="str">
        <f>"2."&amp;Y64</f>
        <v>2.0</v>
      </c>
      <c r="AC64" s="62"/>
      <c r="AD64" s="385" t="s">
        <v>917</v>
      </c>
      <c r="AE64" s="384"/>
      <c r="AF64" s="384"/>
      <c r="AG64" s="384"/>
      <c r="AH64" s="384"/>
      <c r="AI64" s="353">
        <f>AI65*AI66*12/1000</f>
        <v>0</v>
      </c>
      <c r="AJ64" s="353">
        <f>AJ65*AJ66*12/1000</f>
        <v>0</v>
      </c>
      <c r="AK64" s="85"/>
      <c r="AL64" s="1721"/>
      <c r="AM64" s="1721"/>
      <c r="AN64" s="489" t="s">
        <v>1445</v>
      </c>
      <c r="AO64" s="984" t="s">
        <v>1446</v>
      </c>
      <c r="AP64" s="984" cm="1" t="str">
        <f t="array" ref="AP64:AP64">AC64</f>
        <v>0</v>
      </c>
      <c r="AQ64" s="985"/>
      <c r="AR64" s="985" t="b">
        <v>1</v>
      </c>
      <c r="AS64" s="1721"/>
      <c r="AT64" s="1721"/>
      <c r="AU64" s="1501" cm="1" t="str">
        <f t="array" ref="AU64:AU64">OFFSET(AV64,-1,-1)</f>
        <v>ТЭ.42.31656254.0001</v>
      </c>
      <c r="AV64" s="1501" t="s">
        <v>1443</v>
      </c>
      <c r="AW64" s="1501"/>
      <c r="AX64" s="1501" t="s">
        <v>1444</v>
      </c>
      <c r="AY64" s="1501" t="s">
        <v>219</v>
      </c>
      <c r="AZ64" s="1501" cm="1" t="str">
        <f t="array" ref="AZ64:AZ64">$AC64</f>
        <v>0</v>
      </c>
      <c r="BA64" s="1501" t="s">
        <v>303</v>
      </c>
      <c r="BB64" s="1501" t="s">
        <v>1427</v>
      </c>
      <c r="BC64" s="1501" t="s">
        <v>1428</v>
      </c>
    </row>
    <row s="1721" customFormat="1" customHeight="1" ht="16.5" hidden="1">
      <c r="A65" s="1721"/>
      <c r="B65" s="1721"/>
      <c r="C65" s="1721"/>
      <c r="D65" s="1721"/>
      <c r="E65" s="284">
        <v>17</v>
      </c>
      <c r="F65" s="175" cm="1" t="str">
        <f t="array" ref="F65:F65">OFFSET(G65,-1,-1)</f>
        <v>1</v>
      </c>
      <c r="G65" s="193" t="s">
        <v>1447</v>
      </c>
      <c r="H65" s="1721"/>
      <c r="I65" s="193" cm="1" t="str">
        <f t="array" ref="I65:I65">I64</f>
        <v>0</v>
      </c>
      <c r="J65" s="1721"/>
      <c r="K65" s="1721"/>
      <c r="L65" s="1721"/>
      <c r="M65" s="1721"/>
      <c r="N65" s="1721"/>
      <c r="O65" s="1721"/>
      <c r="P65" s="1721"/>
      <c r="Q65" s="1721"/>
      <c r="R65" s="1721"/>
      <c r="S65" s="1721"/>
      <c r="T65" s="753" cm="1" t="str">
        <f t="array" ref="T65:T65">T64</f>
        <v>false</v>
      </c>
      <c r="U65" s="1721"/>
      <c r="V65" s="1721"/>
      <c r="W65" s="1721"/>
      <c r="X65" s="1721"/>
      <c r="Y65" s="1721"/>
      <c r="Z65" s="1721"/>
      <c r="AA65" s="1661"/>
      <c r="AB65" s="605" t="str">
        <f>AB64&amp;".1"</f>
        <v>2.0.1</v>
      </c>
      <c r="AC65" s="624" t="s">
        <v>1430</v>
      </c>
      <c r="AD65" s="385" t="s">
        <v>1431</v>
      </c>
      <c r="AE65" s="384"/>
      <c r="AF65" s="384"/>
      <c r="AG65" s="384"/>
      <c r="AH65" s="384"/>
      <c r="AI65" s="658"/>
      <c r="AJ65" s="658"/>
      <c r="AK65" s="85"/>
      <c r="AL65" s="1721"/>
      <c r="AM65" s="1721"/>
      <c r="AN65" s="489" t="s">
        <v>1448</v>
      </c>
      <c r="AO65" s="984" t="s">
        <v>1446</v>
      </c>
      <c r="AP65" s="984" cm="1" t="str">
        <f t="array" ref="AP65:AP65">AP64</f>
        <v>0</v>
      </c>
      <c r="AQ65" s="985"/>
      <c r="AR65" s="985"/>
      <c r="AS65" s="1721"/>
      <c r="AT65" s="1721"/>
      <c r="AU65" s="1501" cm="1" t="str">
        <f t="array" ref="AU65:AU65">AU64</f>
        <v>ТЭ.42.31656254.0001</v>
      </c>
      <c r="AV65" s="1501" t="s">
        <v>1443</v>
      </c>
      <c r="AW65" s="1501"/>
      <c r="AX65" s="1501" t="s">
        <v>1444</v>
      </c>
      <c r="AY65" s="1501" t="s">
        <v>255</v>
      </c>
      <c r="AZ65" s="1501" cm="1" t="str">
        <f t="array" ref="AZ65:AZ65">AZ64</f>
        <v>0</v>
      </c>
      <c r="BA65" s="1501" t="s">
        <v>303</v>
      </c>
      <c r="BB65" s="1501" t="s">
        <v>1433</v>
      </c>
      <c r="BC65" s="1501" t="s">
        <v>1434</v>
      </c>
    </row>
    <row s="1721" customFormat="1" customHeight="1" ht="16.5" hidden="1">
      <c r="A66" s="1721"/>
      <c r="B66" s="1721"/>
      <c r="C66" s="1721"/>
      <c r="D66" s="1721"/>
      <c r="E66" s="284">
        <v>17</v>
      </c>
      <c r="F66" s="175" cm="1" t="str">
        <f t="array" ref="F66:F66">OFFSET(G66,-1,-1)</f>
        <v>1</v>
      </c>
      <c r="G66" s="1721"/>
      <c r="H66" s="1721"/>
      <c r="I66" s="193" cm="1" t="str">
        <f t="array" ref="I66:I66">I65</f>
        <v>0</v>
      </c>
      <c r="J66" s="1721"/>
      <c r="K66" s="1721"/>
      <c r="L66" s="1721"/>
      <c r="M66" s="1721"/>
      <c r="N66" s="1721"/>
      <c r="O66" s="1721"/>
      <c r="P66" s="1721"/>
      <c r="Q66" s="1721"/>
      <c r="R66" s="1721"/>
      <c r="S66" s="1721"/>
      <c r="T66" s="753" cm="1" t="str">
        <f t="array" ref="T66:T66">T65</f>
        <v>false</v>
      </c>
      <c r="U66" s="1721"/>
      <c r="V66" s="1721"/>
      <c r="W66" s="1721"/>
      <c r="X66" s="1721"/>
      <c r="Y66" s="1721"/>
      <c r="Z66" s="1721"/>
      <c r="AA66" s="1661"/>
      <c r="AB66" s="605" t="str">
        <f>AB64&amp;".2"</f>
        <v>2.0.2</v>
      </c>
      <c r="AC66" s="624" t="s">
        <v>1435</v>
      </c>
      <c r="AD66" s="385" t="s">
        <v>1436</v>
      </c>
      <c r="AE66" s="384"/>
      <c r="AF66" s="384"/>
      <c r="AG66" s="384"/>
      <c r="AH66" s="384"/>
      <c r="AI66" s="658"/>
      <c r="AJ66" s="658"/>
      <c r="AK66" s="85"/>
      <c r="AL66" s="1721"/>
      <c r="AM66" s="1721"/>
      <c r="AN66" s="489" t="s">
        <v>1449</v>
      </c>
      <c r="AO66" s="984" t="s">
        <v>1446</v>
      </c>
      <c r="AP66" s="984" cm="1" t="str">
        <f t="array" ref="AP66:AP66">AP65</f>
        <v>0</v>
      </c>
      <c r="AQ66" s="985"/>
      <c r="AR66" s="985"/>
      <c r="AS66" s="1721"/>
      <c r="AT66" s="1721"/>
      <c r="AU66" s="1501" cm="1" t="str">
        <f t="array" ref="AU66:AU66">AU65</f>
        <v>ТЭ.42.31656254.0001</v>
      </c>
      <c r="AV66" s="1501" t="s">
        <v>1443</v>
      </c>
      <c r="AW66" s="1501"/>
      <c r="AX66" s="1501" t="s">
        <v>1444</v>
      </c>
      <c r="AY66" s="1501" t="s">
        <v>449</v>
      </c>
      <c r="AZ66" s="1501" cm="1" t="str">
        <f t="array" ref="AZ66:AZ66">AZ65</f>
        <v>0</v>
      </c>
      <c r="BA66" s="1501" t="s">
        <v>303</v>
      </c>
      <c r="BB66" s="1501" t="s">
        <v>1438</v>
      </c>
      <c r="BC66" s="1501" t="s">
        <v>1439</v>
      </c>
    </row>
    <row s="1721" customFormat="1" customHeight="1" ht="16.5">
      <c r="A67" s="1721"/>
      <c r="B67" s="1721"/>
      <c r="C67" s="1721"/>
      <c r="D67" s="1721"/>
      <c r="E67" s="284">
        <v>17</v>
      </c>
      <c r="F67" s="175" cm="1" t="str">
        <f t="array" ref="F67:F67">OFFSET(G67,-1,-1)</f>
        <v>1</v>
      </c>
      <c r="G67" s="1721"/>
      <c r="H67" s="1721"/>
      <c r="I67" s="1721"/>
      <c r="J67" s="1721"/>
      <c r="K67" s="1721"/>
      <c r="L67" s="1721"/>
      <c r="M67" s="1721"/>
      <c r="N67" s="1721"/>
      <c r="O67" s="1721"/>
      <c r="P67" s="1721"/>
      <c r="Q67" s="1721"/>
      <c r="R67" s="1721"/>
      <c r="S67" s="1721"/>
      <c r="T67" s="753">
        <f>F67&gt;0</f>
        <v>1</v>
      </c>
      <c r="U67" s="1721"/>
      <c r="V67" s="1721"/>
      <c r="W67" s="176" t="s">
        <v>1086</v>
      </c>
      <c r="X67" s="1721"/>
      <c r="Y67" s="1721"/>
      <c r="Z67" s="1721"/>
      <c r="AA67" s="1721"/>
      <c r="AB67" s="405"/>
      <c r="AC67" s="407" t="s">
        <v>191</v>
      </c>
      <c r="AD67" s="407"/>
      <c r="AE67" s="407"/>
      <c r="AF67" s="407"/>
      <c r="AG67" s="407"/>
      <c r="AH67" s="407"/>
      <c r="AI67" s="407"/>
      <c r="AJ67" s="407"/>
      <c r="AK67" s="610"/>
      <c r="AL67" s="1721"/>
      <c r="AM67" s="1721"/>
      <c r="AN67" s="489"/>
      <c r="AO67" s="984"/>
      <c r="AP67" s="984"/>
      <c r="AQ67" s="985" t="s">
        <v>1446</v>
      </c>
      <c r="AR67" s="985"/>
      <c r="AS67" s="1721"/>
      <c r="AT67" s="1721"/>
      <c r="AU67" s="1501" cm="1" t="str">
        <f t="array" ref="AU67:AU67">OFFSET(AV67,-1,-1)</f>
        <v>ТЭ.42.31656254.0001</v>
      </c>
      <c r="AV67" s="1501"/>
      <c r="AW67" s="1501"/>
      <c r="AX67" s="1501"/>
      <c r="AY67" s="1501"/>
      <c r="AZ67" s="1501"/>
      <c r="BA67" s="1501"/>
      <c r="BB67" s="1501"/>
      <c r="BC67" s="1501"/>
    </row>
    <row s="1721" customFormat="1" customHeight="1" ht="24">
      <c r="A68" s="1721"/>
      <c r="B68" s="1721"/>
      <c r="C68" s="1721"/>
      <c r="D68" s="1721"/>
      <c r="E68" s="284">
        <v>25</v>
      </c>
      <c r="F68" s="175" cm="1" t="str">
        <f t="array" ref="F68:F68">OFFSET(G68,-1,-1)</f>
        <v>1</v>
      </c>
      <c r="G68" s="193" t="s">
        <v>1450</v>
      </c>
      <c r="H68" s="1721"/>
      <c r="I68" s="1721"/>
      <c r="J68" s="1721"/>
      <c r="K68" s="1721"/>
      <c r="L68" s="1721"/>
      <c r="M68" s="1721"/>
      <c r="N68" s="1721"/>
      <c r="O68" s="1721"/>
      <c r="P68" s="1721"/>
      <c r="Q68" s="1721"/>
      <c r="R68" s="1721"/>
      <c r="S68" s="1721"/>
      <c r="T68" s="753">
        <f>F68&gt;0</f>
        <v>1</v>
      </c>
      <c r="U68" s="1721"/>
      <c r="V68" s="1721"/>
      <c r="W68" s="1721"/>
      <c r="X68" s="1721"/>
      <c r="Y68" s="1721"/>
      <c r="Z68" s="1721"/>
      <c r="AA68" s="1721"/>
      <c r="AB68" s="605">
        <v>3</v>
      </c>
      <c r="AC68" s="657" t="s">
        <v>1451</v>
      </c>
      <c r="AD68" s="385" t="s">
        <v>917</v>
      </c>
      <c r="AE68" s="2323"/>
      <c r="AF68" s="2323"/>
      <c r="AG68" s="2323"/>
      <c r="AH68" s="2323"/>
      <c r="AI68" s="587">
        <f>_xlfn.SUMIFS(AI69:AI73,$AD69:$AD73,$AD68)</f>
        <v>0</v>
      </c>
      <c r="AJ68" s="587">
        <f>_xlfn.SUMIFS(AJ69:AJ73,$AD69:$AD73,$AD68)</f>
        <v>0</v>
      </c>
      <c r="AK68" s="1907"/>
      <c r="AL68" s="1721"/>
      <c r="AM68" s="1721"/>
      <c r="AN68" s="489" t="s">
        <v>1452</v>
      </c>
      <c r="AO68" s="984"/>
      <c r="AP68" s="984"/>
      <c r="AQ68" s="985"/>
      <c r="AR68" s="985"/>
      <c r="AS68" s="1721"/>
      <c r="AT68" s="1721"/>
      <c r="AU68" s="1501" cm="1" t="str">
        <f t="array" ref="AU68:AU68">AU67</f>
        <v>ТЭ.42.31656254.0001</v>
      </c>
      <c r="AV68" s="1501" t="s">
        <v>1453</v>
      </c>
      <c r="AW68" s="1501"/>
      <c r="AX68" s="1501" t="s">
        <v>1454</v>
      </c>
      <c r="AY68" s="1501"/>
      <c r="AZ68" s="1501"/>
      <c r="BA68" s="1501" t="s">
        <v>303</v>
      </c>
      <c r="BB68" s="1501" t="s">
        <v>1423</v>
      </c>
      <c r="BC68" s="1501" t="s">
        <v>1424</v>
      </c>
    </row>
    <row s="1721" customFormat="1" customHeight="1" ht="9" hidden="1">
      <c r="A69" s="1721"/>
      <c r="B69" s="1721"/>
      <c r="C69" s="1721"/>
      <c r="D69" s="1721"/>
      <c r="E69" s="966">
        <v>0</v>
      </c>
      <c r="F69" s="175" cm="1" t="str">
        <f t="array" ref="F69:F69">OFFSET(G69,-1,-1)</f>
        <v>1</v>
      </c>
      <c r="G69" s="1721"/>
      <c r="H69" s="1721"/>
      <c r="I69" s="1721"/>
      <c r="J69" s="1721"/>
      <c r="K69" s="1721"/>
      <c r="L69" s="1721"/>
      <c r="M69" s="1721"/>
      <c r="N69" s="1721"/>
      <c r="O69" s="1721"/>
      <c r="P69" s="1721"/>
      <c r="Q69" s="1721"/>
      <c r="R69" s="1721"/>
      <c r="S69" s="1721"/>
      <c r="T69" s="753">
        <f>F69&gt;0</f>
        <v>1</v>
      </c>
      <c r="U69" s="1721"/>
      <c r="V69" s="1721"/>
      <c r="W69" s="1721"/>
      <c r="X69" s="1721"/>
      <c r="Y69" s="1721"/>
      <c r="Z69" s="1721"/>
      <c r="AA69" s="1721"/>
      <c r="AB69" s="605"/>
      <c r="AC69" s="657"/>
      <c r="AD69" s="385"/>
      <c r="AE69" s="384"/>
      <c r="AF69" s="384"/>
      <c r="AG69" s="384"/>
      <c r="AH69" s="384"/>
      <c r="AI69" s="596"/>
      <c r="AJ69" s="596"/>
      <c r="AK69" s="413"/>
      <c r="AL69" s="1721"/>
      <c r="AM69" s="1721"/>
      <c r="AN69" s="489"/>
      <c r="AO69" s="984"/>
      <c r="AP69" s="984"/>
      <c r="AQ69" s="985"/>
      <c r="AR69" s="985"/>
      <c r="AS69" s="1721"/>
      <c r="AT69" s="1721"/>
      <c r="AU69" s="1501" cm="1" t="str">
        <f t="array" ref="AU69:AU69">AU68</f>
        <v>ТЭ.42.31656254.0001</v>
      </c>
      <c r="AV69" s="1501"/>
      <c r="AW69" s="1501"/>
      <c r="AX69" s="1501"/>
      <c r="AY69" s="1501"/>
      <c r="AZ69" s="1501"/>
      <c r="BA69" s="1501"/>
      <c r="BB69" s="1501"/>
      <c r="BC69" s="1501"/>
    </row>
    <row s="1721" customFormat="1" customHeight="1" ht="16.5" hidden="1">
      <c r="A70" s="1721"/>
      <c r="B70" s="1721"/>
      <c r="C70" s="1721"/>
      <c r="D70" s="1721"/>
      <c r="E70" s="284">
        <v>17</v>
      </c>
      <c r="F70" s="175" cm="1" t="str">
        <f t="array" ref="F70:F70">OFFSET(G70,-1,-1)</f>
        <v>1</v>
      </c>
      <c r="G70" s="1721"/>
      <c r="H70" s="1721"/>
      <c r="I70" s="193" cm="1" t="str">
        <f t="array" ref="I70:I70">AC70</f>
        <v>0</v>
      </c>
      <c r="J70" s="1721"/>
      <c r="K70" s="1721"/>
      <c r="L70" s="1721"/>
      <c r="M70" s="1721"/>
      <c r="N70" s="1721"/>
      <c r="O70" s="1721"/>
      <c r="P70" s="1721"/>
      <c r="Q70" s="1721"/>
      <c r="R70" s="1721"/>
      <c r="S70" s="1721"/>
      <c r="T70" s="753">
        <f>AND(F70&gt;0,Y70&gt;0)</f>
        <v>0</v>
      </c>
      <c r="U70" s="1721"/>
      <c r="V70" s="1721"/>
      <c r="W70" s="175" t="s">
        <v>189</v>
      </c>
      <c r="X70" s="1721"/>
      <c r="Y70" s="176">
        <v>0</v>
      </c>
      <c r="Z70" s="1721"/>
      <c r="AA70" s="1660" t="s">
        <v>171</v>
      </c>
      <c r="AB70" s="605" t="str">
        <f>"3."&amp;Y70</f>
        <v>3.0</v>
      </c>
      <c r="AC70" s="62"/>
      <c r="AD70" s="385" t="s">
        <v>917</v>
      </c>
      <c r="AE70" s="384"/>
      <c r="AF70" s="384"/>
      <c r="AG70" s="384"/>
      <c r="AH70" s="384"/>
      <c r="AI70" s="353">
        <f>AI71*AI72*12/1000</f>
        <v>0</v>
      </c>
      <c r="AJ70" s="353">
        <f>AJ71*AJ72*12/1000</f>
        <v>0</v>
      </c>
      <c r="AK70" s="85"/>
      <c r="AL70" s="1721"/>
      <c r="AM70" s="1721"/>
      <c r="AN70" s="489" t="s">
        <v>1455</v>
      </c>
      <c r="AO70" s="984" t="s">
        <v>1456</v>
      </c>
      <c r="AP70" s="984" cm="1" t="str">
        <f t="array" ref="AP70:AP70">AC70</f>
        <v>0</v>
      </c>
      <c r="AQ70" s="985"/>
      <c r="AR70" s="985" t="b">
        <v>1</v>
      </c>
      <c r="AS70" s="1721"/>
      <c r="AT70" s="1721"/>
      <c r="AU70" s="1501" cm="1" t="str">
        <f t="array" ref="AU70:AU70">OFFSET(AV70,-1,-1)</f>
        <v>ТЭ.42.31656254.0001</v>
      </c>
      <c r="AV70" s="1501" t="s">
        <v>1453</v>
      </c>
      <c r="AW70" s="1501"/>
      <c r="AX70" s="1501" t="s">
        <v>1454</v>
      </c>
      <c r="AY70" s="1501" t="s">
        <v>219</v>
      </c>
      <c r="AZ70" s="1501" cm="1" t="str">
        <f t="array" ref="AZ70:AZ70">$AC70</f>
        <v>0</v>
      </c>
      <c r="BA70" s="1501" t="s">
        <v>303</v>
      </c>
      <c r="BB70" s="1501" t="s">
        <v>1427</v>
      </c>
      <c r="BC70" s="1501" t="s">
        <v>1428</v>
      </c>
    </row>
    <row s="1721" customFormat="1" customHeight="1" ht="16.5" hidden="1">
      <c r="A71" s="1721"/>
      <c r="B71" s="1721"/>
      <c r="C71" s="1721"/>
      <c r="D71" s="1721"/>
      <c r="E71" s="284">
        <v>17</v>
      </c>
      <c r="F71" s="175" cm="1" t="str">
        <f t="array" ref="F71:F71">OFFSET(G71,-1,-1)</f>
        <v>1</v>
      </c>
      <c r="G71" s="193" t="s">
        <v>1457</v>
      </c>
      <c r="H71" s="1721"/>
      <c r="I71" s="193" cm="1" t="str">
        <f t="array" ref="I71:I71">I70</f>
        <v>0</v>
      </c>
      <c r="J71" s="1721"/>
      <c r="K71" s="1721"/>
      <c r="L71" s="1721"/>
      <c r="M71" s="1721"/>
      <c r="N71" s="1721"/>
      <c r="O71" s="1721"/>
      <c r="P71" s="1721"/>
      <c r="Q71" s="1721"/>
      <c r="R71" s="1721"/>
      <c r="S71" s="1721"/>
      <c r="T71" s="753" cm="1" t="str">
        <f t="array" ref="T71:T71">T70</f>
        <v>false</v>
      </c>
      <c r="U71" s="1721"/>
      <c r="V71" s="1721"/>
      <c r="W71" s="1721"/>
      <c r="X71" s="1721"/>
      <c r="Y71" s="1721"/>
      <c r="Z71" s="1721"/>
      <c r="AA71" s="1661"/>
      <c r="AB71" s="605" t="str">
        <f>AB70&amp;".1"</f>
        <v>3.0.1</v>
      </c>
      <c r="AC71" s="624" t="s">
        <v>1430</v>
      </c>
      <c r="AD71" s="385" t="s">
        <v>1431</v>
      </c>
      <c r="AE71" s="384"/>
      <c r="AF71" s="384"/>
      <c r="AG71" s="384"/>
      <c r="AH71" s="384"/>
      <c r="AI71" s="658"/>
      <c r="AJ71" s="658"/>
      <c r="AK71" s="85"/>
      <c r="AL71" s="1721"/>
      <c r="AM71" s="1721"/>
      <c r="AN71" s="489" t="s">
        <v>1458</v>
      </c>
      <c r="AO71" s="984" t="s">
        <v>1456</v>
      </c>
      <c r="AP71" s="984" cm="1" t="str">
        <f t="array" ref="AP71:AP71">AP70</f>
        <v>0</v>
      </c>
      <c r="AQ71" s="985"/>
      <c r="AR71" s="985"/>
      <c r="AS71" s="1721"/>
      <c r="AT71" s="1721"/>
      <c r="AU71" s="1501" cm="1" t="str">
        <f t="array" ref="AU71:AU71">AU70</f>
        <v>ТЭ.42.31656254.0001</v>
      </c>
      <c r="AV71" s="1501" t="s">
        <v>1453</v>
      </c>
      <c r="AW71" s="1501"/>
      <c r="AX71" s="1501" t="s">
        <v>1454</v>
      </c>
      <c r="AY71" s="1501" t="s">
        <v>255</v>
      </c>
      <c r="AZ71" s="1501" cm="1" t="str">
        <f t="array" ref="AZ71:AZ71">AZ70</f>
        <v>0</v>
      </c>
      <c r="BA71" s="1501" t="s">
        <v>303</v>
      </c>
      <c r="BB71" s="1501" t="s">
        <v>1433</v>
      </c>
      <c r="BC71" s="1501" t="s">
        <v>1434</v>
      </c>
    </row>
    <row s="1721" customFormat="1" customHeight="1" ht="16.5" hidden="1">
      <c r="A72" s="1721"/>
      <c r="B72" s="1721"/>
      <c r="C72" s="1721"/>
      <c r="D72" s="1721"/>
      <c r="E72" s="284">
        <v>17</v>
      </c>
      <c r="F72" s="175" cm="1" t="str">
        <f t="array" ref="F72:F72">OFFSET(G72,-1,-1)</f>
        <v>1</v>
      </c>
      <c r="G72" s="1721"/>
      <c r="H72" s="1721"/>
      <c r="I72" s="193" cm="1" t="str">
        <f t="array" ref="I72:I72">I71</f>
        <v>0</v>
      </c>
      <c r="J72" s="1721"/>
      <c r="K72" s="1721"/>
      <c r="L72" s="1721"/>
      <c r="M72" s="1721"/>
      <c r="N72" s="1721"/>
      <c r="O72" s="1721"/>
      <c r="P72" s="1721"/>
      <c r="Q72" s="1721"/>
      <c r="R72" s="1721"/>
      <c r="S72" s="1721"/>
      <c r="T72" s="753" cm="1" t="str">
        <f t="array" ref="T72:T72">T71</f>
        <v>false</v>
      </c>
      <c r="U72" s="1721"/>
      <c r="V72" s="1721"/>
      <c r="W72" s="1721"/>
      <c r="X72" s="1721"/>
      <c r="Y72" s="1721"/>
      <c r="Z72" s="1721"/>
      <c r="AA72" s="1661"/>
      <c r="AB72" s="605" t="str">
        <f>AB70&amp;".2"</f>
        <v>3.0.2</v>
      </c>
      <c r="AC72" s="624" t="s">
        <v>1435</v>
      </c>
      <c r="AD72" s="385" t="s">
        <v>1436</v>
      </c>
      <c r="AE72" s="384"/>
      <c r="AF72" s="384"/>
      <c r="AG72" s="384"/>
      <c r="AH72" s="384"/>
      <c r="AI72" s="658"/>
      <c r="AJ72" s="658"/>
      <c r="AK72" s="85"/>
      <c r="AL72" s="1721"/>
      <c r="AM72" s="1721"/>
      <c r="AN72" s="489" t="s">
        <v>1459</v>
      </c>
      <c r="AO72" s="984" t="s">
        <v>1456</v>
      </c>
      <c r="AP72" s="984" cm="1" t="str">
        <f t="array" ref="AP72:AP72">AP71</f>
        <v>0</v>
      </c>
      <c r="AQ72" s="985"/>
      <c r="AR72" s="985"/>
      <c r="AS72" s="1721"/>
      <c r="AT72" s="1721"/>
      <c r="AU72" s="1501" cm="1" t="str">
        <f t="array" ref="AU72:AU72">AU71</f>
        <v>ТЭ.42.31656254.0001</v>
      </c>
      <c r="AV72" s="1501" t="s">
        <v>1453</v>
      </c>
      <c r="AW72" s="1501"/>
      <c r="AX72" s="1501" t="s">
        <v>1454</v>
      </c>
      <c r="AY72" s="1501" t="s">
        <v>449</v>
      </c>
      <c r="AZ72" s="1501" cm="1" t="str">
        <f t="array" ref="AZ72:AZ72">AZ71</f>
        <v>0</v>
      </c>
      <c r="BA72" s="1501" t="s">
        <v>303</v>
      </c>
      <c r="BB72" s="1501" t="s">
        <v>1438</v>
      </c>
      <c r="BC72" s="1501" t="s">
        <v>1439</v>
      </c>
    </row>
    <row s="1721" customFormat="1" customHeight="1" ht="16.5">
      <c r="A73" s="1721"/>
      <c r="B73" s="1721"/>
      <c r="C73" s="1721"/>
      <c r="D73" s="1721"/>
      <c r="E73" s="284">
        <v>17</v>
      </c>
      <c r="F73" s="175" cm="1" t="str">
        <f t="array" ref="F73:F73">OFFSET(G73,-1,-1)</f>
        <v>1</v>
      </c>
      <c r="G73" s="1721"/>
      <c r="H73" s="1721"/>
      <c r="I73" s="1721"/>
      <c r="J73" s="1721"/>
      <c r="K73" s="1721"/>
      <c r="L73" s="1721"/>
      <c r="M73" s="1721"/>
      <c r="N73" s="1721"/>
      <c r="O73" s="1721"/>
      <c r="P73" s="1721"/>
      <c r="Q73" s="1721"/>
      <c r="R73" s="1721"/>
      <c r="S73" s="1721"/>
      <c r="T73" s="753">
        <f>F73&gt;0</f>
        <v>1</v>
      </c>
      <c r="U73" s="1721"/>
      <c r="V73" s="1721"/>
      <c r="W73" s="176" t="s">
        <v>1411</v>
      </c>
      <c r="X73" s="1721"/>
      <c r="Y73" s="1721"/>
      <c r="Z73" s="1721"/>
      <c r="AA73" s="1721"/>
      <c r="AB73" s="405"/>
      <c r="AC73" s="407" t="s">
        <v>191</v>
      </c>
      <c r="AD73" s="407"/>
      <c r="AE73" s="407"/>
      <c r="AF73" s="407"/>
      <c r="AG73" s="407"/>
      <c r="AH73" s="407"/>
      <c r="AI73" s="407"/>
      <c r="AJ73" s="407"/>
      <c r="AK73" s="610"/>
      <c r="AL73" s="1721"/>
      <c r="AM73" s="1721"/>
      <c r="AN73" s="489"/>
      <c r="AO73" s="984"/>
      <c r="AP73" s="984"/>
      <c r="AQ73" s="985" t="s">
        <v>1456</v>
      </c>
      <c r="AR73" s="985"/>
      <c r="AS73" s="1721"/>
      <c r="AT73" s="1721"/>
      <c r="AU73" s="1501" cm="1" t="str">
        <f t="array" ref="AU73:AU73">OFFSET(AV73,-1,-1)</f>
        <v>ТЭ.42.31656254.0001</v>
      </c>
      <c r="AV73" s="1501"/>
      <c r="AW73" s="1501"/>
      <c r="AX73" s="1501"/>
      <c r="AY73" s="1501"/>
      <c r="AZ73" s="1501"/>
      <c r="BA73" s="1501"/>
      <c r="BB73" s="1501"/>
      <c r="BC73" s="1501"/>
    </row>
    <row s="1721" customFormat="1" customHeight="1" ht="24">
      <c r="A74" s="1721"/>
      <c r="B74" s="1721"/>
      <c r="C74" s="1721"/>
      <c r="D74" s="1721"/>
      <c r="E74" s="284">
        <v>25</v>
      </c>
      <c r="F74" s="175" cm="1" t="str">
        <f t="array" ref="F74:F74">OFFSET(G74,-1,-1)</f>
        <v>1</v>
      </c>
      <c r="G74" s="193" t="s">
        <v>1460</v>
      </c>
      <c r="H74" s="1721"/>
      <c r="I74" s="1721"/>
      <c r="J74" s="1721"/>
      <c r="K74" s="1721"/>
      <c r="L74" s="1721"/>
      <c r="M74" s="1721"/>
      <c r="N74" s="1721"/>
      <c r="O74" s="1721"/>
      <c r="P74" s="1721"/>
      <c r="Q74" s="1721"/>
      <c r="R74" s="1721"/>
      <c r="S74" s="1721"/>
      <c r="T74" s="753">
        <f>F74&gt;0</f>
        <v>1</v>
      </c>
      <c r="U74" s="1721"/>
      <c r="V74" s="1721"/>
      <c r="W74" s="1721"/>
      <c r="X74" s="1721"/>
      <c r="Y74" s="1721"/>
      <c r="Z74" s="1721"/>
      <c r="AA74" s="1721"/>
      <c r="AB74" s="605">
        <v>4</v>
      </c>
      <c r="AC74" s="657" t="s">
        <v>1461</v>
      </c>
      <c r="AD74" s="385" t="s">
        <v>917</v>
      </c>
      <c r="AE74" s="2323"/>
      <c r="AF74" s="2323"/>
      <c r="AG74" s="2323"/>
      <c r="AH74" s="2323"/>
      <c r="AI74" s="587">
        <f>_xlfn.SUMIFS(AI75:AI79,$AD75:$AD79,$AD74)</f>
        <v>0</v>
      </c>
      <c r="AJ74" s="587">
        <f>_xlfn.SUMIFS(AJ75:AJ79,$AD75:$AD79,$AD74)</f>
        <v>0</v>
      </c>
      <c r="AK74" s="1907"/>
      <c r="AL74" s="1721"/>
      <c r="AM74" s="1721"/>
      <c r="AN74" s="489" t="s">
        <v>1462</v>
      </c>
      <c r="AO74" s="984"/>
      <c r="AP74" s="984"/>
      <c r="AQ74" s="985"/>
      <c r="AR74" s="985"/>
      <c r="AS74" s="1721"/>
      <c r="AT74" s="1721"/>
      <c r="AU74" s="1501" cm="1" t="str">
        <f t="array" ref="AU74:AU74">AU73</f>
        <v>ТЭ.42.31656254.0001</v>
      </c>
      <c r="AV74" s="1501"/>
      <c r="AW74" s="1501" t="s">
        <v>1463</v>
      </c>
      <c r="AX74" s="1501" t="s">
        <v>1464</v>
      </c>
      <c r="AY74" s="1501"/>
      <c r="AZ74" s="1501"/>
      <c r="BA74" s="1501" t="s">
        <v>303</v>
      </c>
      <c r="BB74" s="1501" t="s">
        <v>1423</v>
      </c>
      <c r="BC74" s="1501" t="s">
        <v>1424</v>
      </c>
    </row>
    <row s="1721" customFormat="1" customHeight="1" ht="9" hidden="1">
      <c r="A75" s="1721"/>
      <c r="B75" s="1721"/>
      <c r="C75" s="1721"/>
      <c r="D75" s="1721"/>
      <c r="E75" s="966">
        <v>0</v>
      </c>
      <c r="F75" s="175" cm="1" t="str">
        <f t="array" ref="F75:F75">OFFSET(G75,-1,-1)</f>
        <v>1</v>
      </c>
      <c r="G75" s="1721"/>
      <c r="H75" s="1721"/>
      <c r="I75" s="1721"/>
      <c r="J75" s="1721"/>
      <c r="K75" s="1721"/>
      <c r="L75" s="1721"/>
      <c r="M75" s="1721"/>
      <c r="N75" s="1721"/>
      <c r="O75" s="1721"/>
      <c r="P75" s="1721"/>
      <c r="Q75" s="1721"/>
      <c r="R75" s="1721"/>
      <c r="S75" s="1721"/>
      <c r="T75" s="753">
        <f>F75&gt;0</f>
        <v>1</v>
      </c>
      <c r="U75" s="1721"/>
      <c r="V75" s="1721"/>
      <c r="W75" s="1721"/>
      <c r="X75" s="1721"/>
      <c r="Y75" s="1721"/>
      <c r="Z75" s="1721"/>
      <c r="AA75" s="1721"/>
      <c r="AB75" s="605"/>
      <c r="AC75" s="657"/>
      <c r="AD75" s="385"/>
      <c r="AE75" s="384"/>
      <c r="AF75" s="384"/>
      <c r="AG75" s="384"/>
      <c r="AH75" s="384"/>
      <c r="AI75" s="596"/>
      <c r="AJ75" s="596"/>
      <c r="AK75" s="413"/>
      <c r="AL75" s="1721"/>
      <c r="AM75" s="1721"/>
      <c r="AN75" s="489"/>
      <c r="AO75" s="984"/>
      <c r="AP75" s="984"/>
      <c r="AQ75" s="985"/>
      <c r="AR75" s="985"/>
      <c r="AS75" s="1721"/>
      <c r="AT75" s="1721"/>
      <c r="AU75" s="1501" cm="1" t="str">
        <f t="array" ref="AU75:AU75">AU74</f>
        <v>ТЭ.42.31656254.0001</v>
      </c>
      <c r="AV75" s="1501"/>
      <c r="AW75" s="1501"/>
      <c r="AX75" s="1501"/>
      <c r="AY75" s="1501"/>
      <c r="AZ75" s="1501"/>
      <c r="BA75" s="1501"/>
      <c r="BB75" s="1501"/>
      <c r="BC75" s="1501"/>
    </row>
    <row s="1721" customFormat="1" customHeight="1" ht="16.5" hidden="1">
      <c r="A76" s="1721"/>
      <c r="B76" s="1721"/>
      <c r="C76" s="1721"/>
      <c r="D76" s="1721"/>
      <c r="E76" s="284">
        <v>17</v>
      </c>
      <c r="F76" s="175" cm="1" t="str">
        <f t="array" ref="F76:F76">OFFSET(G76,-1,-1)</f>
        <v>1</v>
      </c>
      <c r="G76" s="1721"/>
      <c r="H76" s="1721"/>
      <c r="I76" s="193" cm="1" t="str">
        <f t="array" ref="I76:I76">AC76</f>
        <v>0</v>
      </c>
      <c r="J76" s="1721"/>
      <c r="K76" s="1721"/>
      <c r="L76" s="1721"/>
      <c r="M76" s="1721"/>
      <c r="N76" s="1721"/>
      <c r="O76" s="1721"/>
      <c r="P76" s="1721"/>
      <c r="Q76" s="1721"/>
      <c r="R76" s="1721"/>
      <c r="S76" s="1721"/>
      <c r="T76" s="753">
        <f>AND(F76&gt;0,Y76&gt;0)</f>
        <v>0</v>
      </c>
      <c r="U76" s="1721"/>
      <c r="V76" s="1721"/>
      <c r="W76" s="175" t="s">
        <v>189</v>
      </c>
      <c r="X76" s="1721"/>
      <c r="Y76" s="176">
        <v>0</v>
      </c>
      <c r="Z76" s="1721"/>
      <c r="AA76" s="1660" t="s">
        <v>171</v>
      </c>
      <c r="AB76" s="605" t="str">
        <f>"4."&amp;Y76</f>
        <v>4.0</v>
      </c>
      <c r="AC76" s="62"/>
      <c r="AD76" s="385" t="s">
        <v>917</v>
      </c>
      <c r="AE76" s="384"/>
      <c r="AF76" s="384"/>
      <c r="AG76" s="384"/>
      <c r="AH76" s="384"/>
      <c r="AI76" s="353">
        <f>AI77*AI78*12/1000</f>
        <v>0</v>
      </c>
      <c r="AJ76" s="353">
        <f>AJ77*AJ78*12/1000</f>
        <v>0</v>
      </c>
      <c r="AK76" s="85"/>
      <c r="AL76" s="1721"/>
      <c r="AM76" s="1721"/>
      <c r="AN76" s="489" t="s">
        <v>1465</v>
      </c>
      <c r="AO76" s="984" t="s">
        <v>1466</v>
      </c>
      <c r="AP76" s="984" cm="1" t="str">
        <f t="array" ref="AP76:AP76">AC76</f>
        <v>0</v>
      </c>
      <c r="AQ76" s="985"/>
      <c r="AR76" s="985" t="b">
        <v>1</v>
      </c>
      <c r="AS76" s="1721"/>
      <c r="AT76" s="1721"/>
      <c r="AU76" s="1501" cm="1" t="str">
        <f t="array" ref="AU76:AU76">OFFSET(AV76,-1,-1)</f>
        <v>ТЭ.42.31656254.0001</v>
      </c>
      <c r="AV76" s="1501"/>
      <c r="AW76" s="1501" t="s">
        <v>1463</v>
      </c>
      <c r="AX76" s="1501" t="s">
        <v>1464</v>
      </c>
      <c r="AY76" s="1501" t="s">
        <v>219</v>
      </c>
      <c r="AZ76" s="1501" cm="1" t="str">
        <f t="array" ref="AZ76:AZ76">$AC76</f>
        <v>0</v>
      </c>
      <c r="BA76" s="1501" t="s">
        <v>303</v>
      </c>
      <c r="BB76" s="1501" t="s">
        <v>1427</v>
      </c>
      <c r="BC76" s="1501" t="s">
        <v>1428</v>
      </c>
    </row>
    <row s="1721" customFormat="1" customHeight="1" ht="16.5" hidden="1">
      <c r="A77" s="1721"/>
      <c r="B77" s="1721"/>
      <c r="C77" s="1721"/>
      <c r="D77" s="1721"/>
      <c r="E77" s="284">
        <v>17</v>
      </c>
      <c r="F77" s="175" cm="1" t="str">
        <f t="array" ref="F77:F77">OFFSET(G77,-1,-1)</f>
        <v>1</v>
      </c>
      <c r="G77" s="193" t="s">
        <v>1467</v>
      </c>
      <c r="H77" s="1721"/>
      <c r="I77" s="193" cm="1" t="str">
        <f t="array" ref="I77:I77">I76</f>
        <v>0</v>
      </c>
      <c r="J77" s="1721"/>
      <c r="K77" s="1721"/>
      <c r="L77" s="1721"/>
      <c r="M77" s="1721"/>
      <c r="N77" s="1721"/>
      <c r="O77" s="1721"/>
      <c r="P77" s="1721"/>
      <c r="Q77" s="1721"/>
      <c r="R77" s="1721"/>
      <c r="S77" s="1721"/>
      <c r="T77" s="753" cm="1" t="str">
        <f t="array" ref="T77:T77">T76</f>
        <v>false</v>
      </c>
      <c r="U77" s="1721"/>
      <c r="V77" s="1721"/>
      <c r="W77" s="1721"/>
      <c r="X77" s="1721"/>
      <c r="Y77" s="1721"/>
      <c r="Z77" s="1721"/>
      <c r="AA77" s="1661"/>
      <c r="AB77" s="605" t="str">
        <f>AB76&amp;".1"</f>
        <v>4.0.1</v>
      </c>
      <c r="AC77" s="624" t="s">
        <v>1430</v>
      </c>
      <c r="AD77" s="385" t="s">
        <v>1431</v>
      </c>
      <c r="AE77" s="384"/>
      <c r="AF77" s="384"/>
      <c r="AG77" s="384"/>
      <c r="AH77" s="384"/>
      <c r="AI77" s="658"/>
      <c r="AJ77" s="658"/>
      <c r="AK77" s="85"/>
      <c r="AL77" s="1721"/>
      <c r="AM77" s="1721"/>
      <c r="AN77" s="489" t="s">
        <v>1468</v>
      </c>
      <c r="AO77" s="984" t="s">
        <v>1466</v>
      </c>
      <c r="AP77" s="984" cm="1" t="str">
        <f t="array" ref="AP77:AP77">AP76</f>
        <v>0</v>
      </c>
      <c r="AQ77" s="985"/>
      <c r="AR77" s="985"/>
      <c r="AS77" s="1721"/>
      <c r="AT77" s="1721"/>
      <c r="AU77" s="1501" cm="1" t="str">
        <f t="array" ref="AU77:AU77">AU76</f>
        <v>ТЭ.42.31656254.0001</v>
      </c>
      <c r="AV77" s="1501"/>
      <c r="AW77" s="1501" t="s">
        <v>1463</v>
      </c>
      <c r="AX77" s="1501" t="s">
        <v>1464</v>
      </c>
      <c r="AY77" s="1501" t="s">
        <v>255</v>
      </c>
      <c r="AZ77" s="1501" cm="1" t="str">
        <f t="array" ref="AZ77:AZ77">AZ76</f>
        <v>0</v>
      </c>
      <c r="BA77" s="1501" t="s">
        <v>303</v>
      </c>
      <c r="BB77" s="1501" t="s">
        <v>1433</v>
      </c>
      <c r="BC77" s="1501" t="s">
        <v>1434</v>
      </c>
    </row>
    <row s="1721" customFormat="1" customHeight="1" ht="16.5" hidden="1">
      <c r="A78" s="1721"/>
      <c r="B78" s="1721"/>
      <c r="C78" s="1721"/>
      <c r="D78" s="1721"/>
      <c r="E78" s="284">
        <v>17</v>
      </c>
      <c r="F78" s="175" cm="1" t="str">
        <f t="array" ref="F78:F78">OFFSET(G78,-1,-1)</f>
        <v>1</v>
      </c>
      <c r="G78" s="1721"/>
      <c r="H78" s="1721"/>
      <c r="I78" s="193" cm="1" t="str">
        <f t="array" ref="I78:I78">I77</f>
        <v>0</v>
      </c>
      <c r="J78" s="1721"/>
      <c r="K78" s="1721"/>
      <c r="L78" s="1721"/>
      <c r="M78" s="1721"/>
      <c r="N78" s="1721"/>
      <c r="O78" s="1721"/>
      <c r="P78" s="1721"/>
      <c r="Q78" s="1721"/>
      <c r="R78" s="1721"/>
      <c r="S78" s="1721"/>
      <c r="T78" s="753" cm="1" t="str">
        <f t="array" ref="T78:T78">T77</f>
        <v>false</v>
      </c>
      <c r="U78" s="1721"/>
      <c r="V78" s="1721"/>
      <c r="W78" s="1721"/>
      <c r="X78" s="1721"/>
      <c r="Y78" s="1721"/>
      <c r="Z78" s="1721"/>
      <c r="AA78" s="1661"/>
      <c r="AB78" s="605" t="str">
        <f>AB76&amp;".2"</f>
        <v>4.0.2</v>
      </c>
      <c r="AC78" s="624" t="s">
        <v>1435</v>
      </c>
      <c r="AD78" s="385" t="s">
        <v>1436</v>
      </c>
      <c r="AE78" s="384"/>
      <c r="AF78" s="384"/>
      <c r="AG78" s="384"/>
      <c r="AH78" s="384"/>
      <c r="AI78" s="658"/>
      <c r="AJ78" s="658"/>
      <c r="AK78" s="85"/>
      <c r="AL78" s="1721"/>
      <c r="AM78" s="1721"/>
      <c r="AN78" s="489" t="s">
        <v>1469</v>
      </c>
      <c r="AO78" s="984" t="s">
        <v>1466</v>
      </c>
      <c r="AP78" s="984" cm="1" t="str">
        <f t="array" ref="AP78:AP78">AP77</f>
        <v>0</v>
      </c>
      <c r="AQ78" s="985"/>
      <c r="AR78" s="985"/>
      <c r="AS78" s="1721"/>
      <c r="AT78" s="1721"/>
      <c r="AU78" s="1501" cm="1" t="str">
        <f t="array" ref="AU78:AU78">AU77</f>
        <v>ТЭ.42.31656254.0001</v>
      </c>
      <c r="AV78" s="1501"/>
      <c r="AW78" s="1501" t="s">
        <v>1463</v>
      </c>
      <c r="AX78" s="1501" t="s">
        <v>1464</v>
      </c>
      <c r="AY78" s="1501" t="s">
        <v>449</v>
      </c>
      <c r="AZ78" s="1501" cm="1" t="str">
        <f t="array" ref="AZ78:AZ78">AZ77</f>
        <v>0</v>
      </c>
      <c r="BA78" s="1501" t="s">
        <v>303</v>
      </c>
      <c r="BB78" s="1501" t="s">
        <v>1438</v>
      </c>
      <c r="BC78" s="1501" t="s">
        <v>1439</v>
      </c>
    </row>
    <row s="1721" customFormat="1" customHeight="1" ht="16.5">
      <c r="A79" s="1721"/>
      <c r="B79" s="1721"/>
      <c r="C79" s="1721"/>
      <c r="D79" s="1721"/>
      <c r="E79" s="284">
        <v>17</v>
      </c>
      <c r="F79" s="175" cm="1" t="str">
        <f t="array" ref="F79:F79">OFFSET(G79,-1,-1)</f>
        <v>1</v>
      </c>
      <c r="G79" s="1721"/>
      <c r="H79" s="1721"/>
      <c r="I79" s="1721"/>
      <c r="J79" s="1721"/>
      <c r="K79" s="1721"/>
      <c r="L79" s="1721"/>
      <c r="M79" s="1721"/>
      <c r="N79" s="1721"/>
      <c r="O79" s="1721"/>
      <c r="P79" s="1721"/>
      <c r="Q79" s="1721"/>
      <c r="R79" s="1721"/>
      <c r="S79" s="1721"/>
      <c r="T79" s="753">
        <f>F79&gt;0</f>
        <v>1</v>
      </c>
      <c r="U79" s="1721"/>
      <c r="V79" s="1721"/>
      <c r="W79" s="176" t="s">
        <v>1470</v>
      </c>
      <c r="X79" s="1721"/>
      <c r="Y79" s="1721"/>
      <c r="Z79" s="1721"/>
      <c r="AA79" s="1721"/>
      <c r="AB79" s="405"/>
      <c r="AC79" s="407" t="s">
        <v>191</v>
      </c>
      <c r="AD79" s="407"/>
      <c r="AE79" s="407"/>
      <c r="AF79" s="407"/>
      <c r="AG79" s="407"/>
      <c r="AH79" s="407"/>
      <c r="AI79" s="407"/>
      <c r="AJ79" s="407"/>
      <c r="AK79" s="408"/>
      <c r="AL79" s="1721"/>
      <c r="AM79" s="1721"/>
      <c r="AN79" s="489"/>
      <c r="AO79" s="984"/>
      <c r="AP79" s="984"/>
      <c r="AQ79" s="985" t="s">
        <v>1466</v>
      </c>
      <c r="AR79" s="985"/>
      <c r="AS79" s="1721"/>
      <c r="AT79" s="1721"/>
      <c r="AU79" s="1721"/>
      <c r="AV79" s="1721"/>
      <c r="AW79" s="1721"/>
      <c r="AX79" s="1721"/>
      <c r="AY79" s="1721"/>
      <c r="AZ79" s="1721"/>
      <c r="BA79" s="1721"/>
      <c r="BB79" s="1721"/>
      <c r="BC79" s="1721"/>
    </row>
    <row customHeight="1" ht="10.725000000000001">
      <c r="E80" s="180">
        <v>11</v>
      </c>
      <c r="U80" s="175" t="s">
        <v>191</v>
      </c>
      <c r="V80" s="176" t="s">
        <v>1472</v>
      </c>
      <c r="AI80" s="286"/>
      <c r="AJ80" s="286"/>
    </row>
    <row customHeight="1" ht="11.25" hidden="1">
      <c r="E81" s="965">
        <v>0</v>
      </c>
      <c r="AI81" s="286"/>
      <c r="AJ81" s="286"/>
    </row>
    <row customHeight="1" ht="14.625">
      <c r="E82" s="180">
        <v>15</v>
      </c>
      <c r="AB82" s="1653" t="s">
        <v>765</v>
      </c>
      <c r="AC82" s="1653"/>
      <c r="AD82" s="1653"/>
      <c r="AE82" s="1653"/>
      <c r="AF82" s="1653"/>
      <c r="AG82" s="1653"/>
      <c r="AH82" s="1653"/>
      <c r="AI82" s="1654"/>
      <c r="AJ82" s="1654"/>
      <c r="AK82" s="1654"/>
    </row>
    <row customHeight="1" ht="14.625">
      <c r="E83" s="180">
        <v>15</v>
      </c>
      <c r="AA83" s="477"/>
      <c r="AB83" s="1655"/>
      <c r="AC83" s="1655"/>
      <c r="AD83" s="1655"/>
      <c r="AE83" s="1655"/>
      <c r="AF83" s="1655"/>
      <c r="AG83" s="1655"/>
      <c r="AH83" s="1655"/>
      <c r="AI83" s="1656"/>
      <c r="AJ83" s="1656"/>
      <c r="AK83" s="1657"/>
    </row>
    <row customHeight="1" ht="14.625" hidden="1">
      <c r="A84" s="371"/>
      <c r="B84" s="1548"/>
      <c r="C84" s="1548"/>
      <c r="D84" s="1548"/>
      <c r="E84" s="180">
        <v>15</v>
      </c>
      <c r="F84" s="1548"/>
      <c r="G84" s="1659"/>
      <c r="H84" s="1659"/>
      <c r="I84" s="1659"/>
      <c r="J84" s="1659"/>
      <c r="K84" s="1659"/>
      <c r="L84" s="1659"/>
      <c r="M84" s="1659"/>
      <c r="N84" s="1659"/>
      <c r="O84" s="1659"/>
      <c r="P84" s="1659"/>
      <c r="Q84" s="1659"/>
      <c r="R84" s="1659"/>
      <c r="S84" s="1659"/>
      <c r="T84" s="753">
        <f>ROW(W84)&gt;ROW(W$84)</f>
        <v>0</v>
      </c>
      <c r="U84" s="1548"/>
      <c r="V84" s="1548"/>
      <c r="W84" s="175" t="s">
        <v>189</v>
      </c>
      <c r="X84" s="1548"/>
      <c r="Y84" s="1548"/>
      <c r="Z84" s="1548"/>
      <c r="AA84" s="477" t="s">
        <v>171</v>
      </c>
      <c r="AB84" s="2293"/>
      <c r="AC84" s="2293"/>
      <c r="AD84" s="2293"/>
      <c r="AE84" s="2293"/>
      <c r="AF84" s="2293"/>
      <c r="AG84" s="2293"/>
      <c r="AH84" s="2293"/>
      <c r="AI84" s="1656"/>
      <c r="AJ84" s="1656"/>
      <c r="AK84" s="2294"/>
      <c r="AL84" s="286"/>
      <c r="AM84" s="1659"/>
      <c r="AN84" s="1125"/>
      <c r="AO84" s="1125"/>
      <c r="AP84" s="1125"/>
      <c r="AQ84" s="1126"/>
      <c r="AR84" s="1126"/>
      <c r="AS84" s="1506"/>
      <c r="AT84" s="1506"/>
      <c r="AU84" s="1752"/>
      <c r="AV84" s="1752"/>
      <c r="AW84" s="1752"/>
      <c r="AX84" s="1752"/>
      <c r="AY84" s="1752"/>
      <c r="AZ84" s="1752"/>
      <c r="BA84" s="1752"/>
      <c r="BB84" s="1752"/>
      <c r="BC84" s="1752"/>
    </row>
    <row customHeight="1" ht="14.625">
      <c r="E85" s="180">
        <v>15</v>
      </c>
      <c r="W85" s="176" t="s">
        <v>1123</v>
      </c>
      <c r="AB85" s="1599" t="s">
        <v>766</v>
      </c>
      <c r="AC85" s="1600"/>
      <c r="AD85" s="480"/>
      <c r="AE85" s="480"/>
      <c r="AF85" s="481"/>
      <c r="AG85" s="481"/>
      <c r="AH85" s="481"/>
      <c r="AI85" s="481"/>
      <c r="AJ85" s="481"/>
      <c r="AK85" s="611"/>
    </row>
    <row customHeight="1" ht="11.25">
      <c r="AI86" s="286"/>
      <c r="AJ86" s="286"/>
      <c r="AL86" s="286"/>
    </row>
    <row customHeight="1" ht="11.25" hidden="1">
      <c r="AI87" s="286"/>
      <c r="AJ87" s="286"/>
    </row>
    <row customHeight="1" ht="11.25" hidden="1">
      <c r="AI88" s="286"/>
      <c r="AJ88" s="286"/>
    </row>
    <row customHeight="1" ht="11.25" hidden="1">
      <c r="A89" s="371" t="s">
        <v>109</v>
      </c>
      <c r="AE89" s="286" t="str">
        <f>"389.0."&amp;AE$9-2010&amp;"."</f>
        <v>389.0.15.</v>
      </c>
      <c r="AF89" s="286" t="str">
        <f>"389.0."&amp;AF$9-2010&amp;"."</f>
        <v>389.0.15.</v>
      </c>
      <c r="AG89" s="286" t="str">
        <f>"389.0."&amp;AG$9-2010&amp;"."</f>
        <v>389.0.15.</v>
      </c>
      <c r="AH89" s="286" t="str">
        <f>"389.0."&amp;AH$9-2010&amp;"."</f>
        <v>389.0.16.</v>
      </c>
      <c r="AI89" s="286" t="str">
        <f>"389.0."&amp;AI$9-2010&amp;"."</f>
        <v>389.0.17.</v>
      </c>
      <c r="AJ89" s="286" t="str">
        <f>"389.0."&amp;AJ$9-2010&amp;"."</f>
        <v>389.0.17.</v>
      </c>
    </row>
    <row customHeight="1" ht="11.25" hidden="1">
      <c r="A90" s="371" t="s">
        <v>406</v>
      </c>
      <c r="AE90" s="286" cm="1" t="str">
        <f t="array" ref="AE90:AE90">IF($A90="uni_org_reg_NAME",INDEX(org_reg_values,MATCH(AE$10,org_reg_codes,0),1),IF($A90="uni_pf_NAME",INDEX(pf_codes_values,MATCH(AE$10,pf_codes,0),1),""))</f>
        <v>328.0.2.</v>
      </c>
      <c r="AF90" s="286" cm="1" t="str">
        <f t="array" ref="AF90:AF90">IF($A90="uni_org_reg_NAME",INDEX(org_reg_values,MATCH(AF$10,org_reg_codes,0),1),IF($A90="uni_pf_NAME",INDEX(pf_codes_values,MATCH(AF$10,pf_codes,0),1),""))</f>
        <v>328.0.1.</v>
      </c>
      <c r="AG90" s="286" cm="1" t="str">
        <f t="array" ref="AG90:AG90">IF($A90="uni_org_reg_NAME",INDEX(org_reg_values,MATCH(AG$10,org_reg_codes,0),1),IF($A90="uni_pf_NAME",INDEX(pf_codes_values,MATCH(AG$10,pf_codes,0),1),""))</f>
        <v>328.0.2.</v>
      </c>
      <c r="AH90" s="286" cm="1" t="str">
        <f t="array" ref="AH90:AH90">IF($A90="uni_org_reg_NAME",INDEX(org_reg_values,MATCH(AH$10,org_reg_codes,0),1),IF($A90="uni_pf_NAME",INDEX(pf_codes_values,MATCH(AH$10,pf_codes,0),1),""))</f>
        <v>328.0.2.</v>
      </c>
      <c r="AI90" s="286" cm="1" t="str">
        <f t="array" ref="AI90:AI90">IF($A90="uni_org_reg_NAME",INDEX(org_reg_values,MATCH(AI$10,org_reg_codes,0),1),IF($A90="uni_pf_NAME",INDEX(pf_codes_values,MATCH(AI$10,pf_codes,0),1),""))</f>
        <v>328.0.1.</v>
      </c>
      <c r="AJ90" s="286" cm="1" t="str">
        <f t="array" ref="AJ90:AJ90">IF($A90="uni_org_reg_NAME",INDEX(org_reg_values,MATCH(AJ$10,org_reg_codes,0),1),IF($A90="uni_pf_NAME",INDEX(pf_codes_values,MATCH(AJ$10,pf_codes,0),1),""))</f>
        <v>328.0.2.</v>
      </c>
    </row>
    <row customHeight="1" ht="11.25" hidden="1">
      <c r="A91" s="371" t="s">
        <v>409</v>
      </c>
      <c r="AE91" s="286" cm="1" t="str">
        <f t="array" ref="AE91:AE91">IF($A91="uni_org_reg_NAME",INDEX(org_reg_values,MATCH(AE$10,org_reg_codes,0),1),IF($A91="uni_pf_NAME",INDEX(pf_codes_values,MATCH(AE$10,pf_codes,0),1),""))</f>
        <v>36.0.7.</v>
      </c>
      <c r="AF91" s="286" cm="1" t="str">
        <f t="array" ref="AF91:AF91">IF($A91="uni_org_reg_NAME",INDEX(org_reg_values,MATCH(AF$10,org_reg_codes,0),1),IF($A91="uni_pf_NAME",INDEX(pf_codes_values,MATCH(AF$10,pf_codes,0),1),""))</f>
        <v>36.0.1.</v>
      </c>
      <c r="AG91" s="286" cm="1" t="str">
        <f t="array" ref="AG91:AG91">IF($A91="uni_org_reg_NAME",INDEX(org_reg_values,MATCH(AG$10,org_reg_codes,0),1),IF($A91="uni_pf_NAME",INDEX(pf_codes_values,MATCH(AG$10,pf_codes,0),1),""))</f>
        <v>36.0.1.</v>
      </c>
      <c r="AH91" s="286" cm="1" t="str">
        <f t="array" ref="AH91:AH91">IF($A91="uni_org_reg_NAME",INDEX(org_reg_values,MATCH(AH$10,org_reg_codes,0),1),IF($A91="uni_pf_NAME",INDEX(pf_codes_values,MATCH(AH$10,pf_codes,0),1),""))</f>
        <v>36.0.7.</v>
      </c>
      <c r="AI91" s="286" cm="1" t="str">
        <f t="array" ref="AI91:AI91">IF($A91="uni_org_reg_NAME",INDEX(org_reg_values,MATCH(AI$10,org_reg_codes,0),1),IF($A91="uni_pf_NAME",INDEX(pf_codes_values,MATCH(AI$10,pf_codes,0),1),""))</f>
        <v>36.0.3.</v>
      </c>
      <c r="AJ91" s="286" cm="1" t="str">
        <f t="array" ref="AJ91:AJ91">IF($A91="uni_org_reg_NAME",INDEX(org_reg_values,MATCH(AJ$10,org_reg_codes,0),1),IF($A91="uni_pf_NAME",INDEX(pf_codes_values,MATCH(AJ$10,pf_codes,0),1),""))</f>
        <v>36.0.7.</v>
      </c>
    </row>
    <row customHeight="1" ht="11.25" hidden="1">
      <c r="A92" s="371" t="s">
        <v>351</v>
      </c>
      <c r="AI92" s="286"/>
      <c r="AJ92" s="286"/>
      <c r="AK92" s="286" t="s">
        <v>178</v>
      </c>
    </row>
    <row customHeight="1" ht="11.25" hidden="1">
      <c r="A93" s="371" t="s">
        <v>352</v>
      </c>
      <c r="AI93" s="286"/>
      <c r="AJ93" s="286"/>
      <c r="AK93" s="286" t="s">
        <v>798</v>
      </c>
    </row>
    <row customHeight="1" ht="11.25" hidden="1">
      <c r="A94" s="371" t="s">
        <v>379</v>
      </c>
      <c r="AI94" s="286"/>
      <c r="AJ94" s="286"/>
      <c r="AK94" s="286" t="s">
        <v>799</v>
      </c>
    </row>
  </sheetData>
  <sheetProtection formatColumns="0" formatRows="0" insertRows="0" deleteColumns="0" deleteRows="0" sort="0" autoFilter="0" insertColumns="1"/>
  <mergeCells count="30">
    <mergeCell ref="Z27:Z51"/>
    <mergeCell ref="X27:X51"/>
    <mergeCell ref="Y30:Y32"/>
    <mergeCell ref="Y36:Y38"/>
    <mergeCell ref="Y42:Y44"/>
    <mergeCell ref="Y48:Y50"/>
    <mergeCell ref="AB83:AK83"/>
    <mergeCell ref="AB85:AC85"/>
    <mergeCell ref="AB24:AB25"/>
    <mergeCell ref="AC24:AC25"/>
    <mergeCell ref="AD24:AD25"/>
    <mergeCell ref="AK24:AK25"/>
    <mergeCell ref="AB84:AK84"/>
    <mergeCell ref="AA30:AA32"/>
    <mergeCell ref="AA36:AA38"/>
    <mergeCell ref="AA42:AA44"/>
    <mergeCell ref="AA48:AA50"/>
    <mergeCell ref="AB82:AK82"/>
    <mergeCell ref="Z52:Z79"/>
    <mergeCell ref="X52:X79"/>
    <mergeCell ref="Y55:Y57"/>
    <mergeCell ref="Y64:Y66"/>
    <mergeCell ref="Y70:Y72"/>
    <mergeCell ref="Y76:Y78"/>
    <mergeCell ref="AA55:AA57"/>
    <mergeCell ref="AA64:AA66"/>
    <mergeCell ref="AA70:AA72"/>
    <mergeCell ref="AA76:AA78"/>
    <mergeCell ref="Y58:Y60"/>
    <mergeCell ref="AA58:AA60"/>
  </mergeCell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204BA-3FBA-20D6-3928-6B1DC37D3305}" mc:Ignorable="x14ac xr xr2 xr3">
  <sheetPr>
    <tabColor rgb="FF002060"/>
    <outlinePr summaryRight="0" summaryBelow="0"/>
    <pageSetUpPr fitToPage="1"/>
  </sheetPr>
  <dimension ref="A1:CO68"/>
  <sheetViews>
    <sheetView showGridLines="0" workbookViewId="0">
      <pane xSplit="30" ySplit="26" topLeftCell="AE41" activePane="bottomRight" state="frozen"/>
      <selection pane="bottomLeft" activeCell="A27" sqref="A27"/>
      <selection pane="topRight" activeCell="AE1" sqref="AE1"/>
      <selection pane="bottomRight" activeCell="AI46" sqref="AI46"/>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7.85156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1727" width="3.00390625" customWidth="1"/>
    <col min="28" max="28" style="286" width="6.00390625" customWidth="1"/>
    <col min="29" max="29" style="1727" width="44.00390625" customWidth="1"/>
    <col min="30" max="30" style="1727" width="12.00390625" customWidth="1"/>
    <col min="31" max="35" style="1727" width="13.00390625" customWidth="1"/>
    <col min="36" max="54" style="1727" width="13.00390625" hidden="1" customWidth="1"/>
    <col min="55" max="55" style="1727" width="13.00390625" customWidth="1"/>
    <col min="56" max="74" style="1727" width="13.00390625" hidden="1" customWidth="1"/>
    <col min="75" max="75" style="1727" width="20.00390625" customWidth="1"/>
    <col min="76" max="76" style="1727" width="3.00390625" customWidth="1"/>
    <col min="77" max="77" style="969" width="9.140625" hidden="1"/>
    <col min="78" max="80" style="1125" width="9.140625" hidden="1"/>
    <col min="81" max="82" style="1126" width="9.140625" hidden="1"/>
    <col min="83" max="83" style="1506" width="9.140625" hidden="1"/>
    <col min="84" max="93" width="9.140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C1" s="753" t="s">
        <v>92</v>
      </c>
      <c r="AI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Z1" s="489" t="s">
        <v>336</v>
      </c>
      <c r="CA1" s="489" t="s">
        <v>337</v>
      </c>
      <c r="CB1" s="489" t="s">
        <v>338</v>
      </c>
      <c r="CC1" s="546" t="s">
        <v>341</v>
      </c>
      <c r="CD1" s="546" t="s">
        <v>342</v>
      </c>
      <c r="CF1" s="0" t="s">
        <v>94</v>
      </c>
      <c r="CG1" s="0" t="s">
        <v>789</v>
      </c>
      <c r="CH1" s="0" t="s">
        <v>1473</v>
      </c>
      <c r="CI1" s="0" t="s">
        <v>111</v>
      </c>
      <c r="CJ1" s="0" t="s">
        <v>112</v>
      </c>
      <c r="CK1" s="0" t="s">
        <v>113</v>
      </c>
      <c r="CL1" s="0" t="s">
        <v>114</v>
      </c>
      <c r="CM1" s="0"/>
      <c r="CN1" s="0"/>
      <c r="CO1" s="0"/>
    </row>
    <row s="1548" customFormat="1" customHeight="1" ht="11.25" hidden="1">
      <c r="A2" s="371"/>
      <c r="B2" s="179" t="s">
        <v>16</v>
      </c>
      <c r="G2" s="193"/>
      <c r="H2" s="193"/>
      <c r="I2" s="193"/>
      <c r="J2" s="193"/>
      <c r="K2" s="193"/>
      <c r="L2" s="193"/>
      <c r="M2" s="193"/>
      <c r="N2" s="193"/>
      <c r="O2" s="193"/>
      <c r="P2" s="193"/>
      <c r="Q2" s="193"/>
      <c r="R2" s="193"/>
      <c r="S2" s="193"/>
      <c r="AF2" s="179" cm="1" t="str">
        <f t="array" ref="AF2:AF2">isOrgDeclare</f>
        <v>true</v>
      </c>
      <c r="AI2" s="179">
        <f>AND(AI9&lt;=last_year_vis,isOrgDeclare)</f>
        <v>1</v>
      </c>
      <c r="AJ2" s="179">
        <f>AND(AJ9&lt;=last_year_vis,isOrgDeclare)</f>
        <v>0</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BC9&lt;=last_year_vis</f>
        <v>1</v>
      </c>
      <c r="BD2" s="179">
        <f>BD9&lt;=last_year_vis</f>
        <v>0</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Z2" s="489"/>
      <c r="CA2" s="489"/>
      <c r="CB2" s="489"/>
      <c r="CC2" s="546"/>
      <c r="CD2" s="546"/>
      <c r="CF2" s="0"/>
      <c r="CG2" s="0"/>
      <c r="CH2" s="0"/>
      <c r="CI2" s="0"/>
      <c r="CJ2" s="0"/>
      <c r="CK2" s="0"/>
      <c r="CL2" s="0"/>
      <c r="CM2" s="0"/>
      <c r="CN2" s="0"/>
      <c r="CO2" s="0"/>
    </row>
    <row s="1548" customFormat="1" customHeight="1" ht="11.25" hidden="1">
      <c r="A3" s="371"/>
      <c r="G3" s="193"/>
      <c r="H3" s="193"/>
      <c r="I3" s="193"/>
      <c r="J3" s="193"/>
      <c r="K3" s="193"/>
      <c r="L3" s="193"/>
      <c r="M3" s="193"/>
      <c r="N3" s="193"/>
      <c r="O3" s="193"/>
      <c r="P3" s="193"/>
      <c r="Q3" s="193"/>
      <c r="R3" s="193"/>
      <c r="S3" s="193"/>
      <c r="AI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Z3" s="489"/>
      <c r="CA3" s="489"/>
      <c r="CB3" s="489"/>
      <c r="CC3" s="546"/>
      <c r="CD3" s="546"/>
      <c r="CF3" s="0"/>
      <c r="CG3" s="0"/>
      <c r="CH3" s="0"/>
      <c r="CI3" s="0"/>
      <c r="CJ3" s="0"/>
      <c r="CK3" s="0"/>
      <c r="CL3" s="0"/>
      <c r="CM3" s="0"/>
      <c r="CN3" s="0"/>
      <c r="CO3" s="0"/>
    </row>
    <row s="1548" customFormat="1" customHeight="1" ht="11.25" hidden="1">
      <c r="A4" s="371"/>
      <c r="G4" s="193"/>
      <c r="H4" s="193"/>
      <c r="I4" s="193"/>
      <c r="J4" s="193"/>
      <c r="K4" s="193"/>
      <c r="L4" s="193"/>
      <c r="M4" s="193"/>
      <c r="N4" s="193"/>
      <c r="O4" s="193"/>
      <c r="P4" s="193"/>
      <c r="Q4" s="193"/>
      <c r="R4" s="193"/>
      <c r="S4" s="193"/>
      <c r="AI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Z4" s="489"/>
      <c r="CA4" s="489"/>
      <c r="CB4" s="489"/>
      <c r="CC4" s="546"/>
      <c r="CD4" s="546"/>
      <c r="CF4" s="0"/>
      <c r="CG4" s="0"/>
      <c r="CH4" s="0"/>
      <c r="CI4" s="0"/>
      <c r="CJ4" s="0"/>
      <c r="CK4" s="0"/>
      <c r="CL4" s="0"/>
      <c r="CM4" s="0"/>
      <c r="CN4" s="0"/>
      <c r="CO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6</v>
      </c>
      <c r="AC5" s="180">
        <v>44</v>
      </c>
      <c r="AD5" s="180">
        <v>12</v>
      </c>
      <c r="AE5" s="180">
        <v>13</v>
      </c>
      <c r="AF5" s="180">
        <v>13</v>
      </c>
      <c r="AG5" s="180">
        <v>13</v>
      </c>
      <c r="AH5" s="180">
        <v>13</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180">
        <v>20</v>
      </c>
      <c r="BX5" s="180">
        <v>3</v>
      </c>
      <c r="BZ5" s="489"/>
      <c r="CA5" s="489"/>
      <c r="CB5" s="489"/>
      <c r="CC5" s="546"/>
      <c r="CD5" s="546"/>
      <c r="CF5" s="1729"/>
      <c r="CG5" s="1729"/>
      <c r="CH5" s="1729"/>
      <c r="CI5" s="1729"/>
      <c r="CJ5" s="1729"/>
      <c r="CK5" s="1729"/>
      <c r="CL5" s="1729"/>
      <c r="CM5" s="1729"/>
      <c r="CN5" s="1729"/>
      <c r="CO5" s="1729"/>
    </row>
    <row s="1548" customFormat="1" customHeight="1" ht="11.25" hidden="1">
      <c r="A6" s="371"/>
      <c r="E6" s="180"/>
      <c r="G6" s="193"/>
      <c r="H6" s="193"/>
      <c r="I6" s="193"/>
      <c r="J6" s="193"/>
      <c r="K6" s="193"/>
      <c r="L6" s="193"/>
      <c r="M6" s="193"/>
      <c r="N6" s="193"/>
      <c r="O6" s="193"/>
      <c r="P6" s="193"/>
      <c r="Q6" s="193"/>
      <c r="R6" s="193"/>
      <c r="S6" s="193"/>
      <c r="AI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Z6" s="489"/>
      <c r="CA6" s="489"/>
      <c r="CB6" s="489"/>
      <c r="CC6" s="546"/>
      <c r="CD6" s="546"/>
      <c r="CF6" s="0"/>
      <c r="CG6" s="0"/>
      <c r="CH6" s="0"/>
      <c r="CI6" s="0"/>
      <c r="CJ6" s="0"/>
      <c r="CK6" s="0"/>
      <c r="CL6" s="0"/>
      <c r="CM6" s="0"/>
      <c r="CN6" s="0"/>
      <c r="CO6" s="0"/>
    </row>
    <row s="1659" customFormat="1" customHeight="1" ht="11.25" hidden="1">
      <c r="A7" s="371"/>
      <c r="B7" s="175"/>
      <c r="C7" s="175"/>
      <c r="D7" s="175"/>
      <c r="E7" s="180"/>
      <c r="AI7" s="1659"/>
      <c r="AJ7" s="1659"/>
      <c r="AK7" s="1659"/>
      <c r="AL7" s="1659"/>
      <c r="AM7" s="1659"/>
      <c r="AN7" s="1659"/>
      <c r="AO7" s="1659"/>
      <c r="AP7" s="1659"/>
      <c r="AQ7" s="1659"/>
      <c r="AR7" s="1659"/>
      <c r="AS7" s="1659"/>
      <c r="AT7" s="1659"/>
      <c r="AU7" s="1659"/>
      <c r="AV7" s="1659"/>
      <c r="AW7" s="1659"/>
      <c r="AX7" s="1659"/>
      <c r="AY7" s="1659"/>
      <c r="AZ7" s="1659"/>
      <c r="BA7" s="1659"/>
      <c r="BB7" s="1659"/>
      <c r="BC7" s="1659"/>
      <c r="BD7" s="1659"/>
      <c r="BE7" s="1659"/>
      <c r="BF7" s="1659"/>
      <c r="BG7" s="1659"/>
      <c r="BH7" s="1659"/>
      <c r="BI7" s="1659"/>
      <c r="BJ7" s="1659"/>
      <c r="BK7" s="1659"/>
      <c r="BL7" s="1659"/>
      <c r="BM7" s="1659"/>
      <c r="BN7" s="1659"/>
      <c r="BO7" s="1659"/>
      <c r="BP7" s="1659"/>
      <c r="BQ7" s="1659"/>
      <c r="BR7" s="1659"/>
      <c r="BS7" s="1659"/>
      <c r="BT7" s="1659"/>
      <c r="BU7" s="1659"/>
      <c r="BV7" s="1659"/>
      <c r="BZ7" s="489"/>
      <c r="CA7" s="489"/>
      <c r="CB7" s="489"/>
      <c r="CC7" s="546"/>
      <c r="CD7" s="546"/>
      <c r="CF7" s="0"/>
      <c r="CG7" s="0"/>
      <c r="CH7" s="0"/>
      <c r="CI7" s="0"/>
      <c r="CJ7" s="0"/>
      <c r="CK7" s="0"/>
      <c r="CL7" s="0"/>
      <c r="CM7" s="0"/>
      <c r="CN7" s="0"/>
      <c r="CO7" s="0"/>
    </row>
    <row s="1659" customFormat="1" customHeight="1" ht="11.25" hidden="1">
      <c r="A8" s="371"/>
      <c r="B8" s="175"/>
      <c r="C8" s="175"/>
      <c r="D8" s="175"/>
      <c r="E8" s="180"/>
      <c r="AI8" s="1659"/>
      <c r="AJ8" s="1659"/>
      <c r="AK8" s="1659"/>
      <c r="AL8" s="1659"/>
      <c r="AM8" s="1659"/>
      <c r="AN8" s="1659"/>
      <c r="AO8" s="1659"/>
      <c r="AP8" s="1659"/>
      <c r="AQ8" s="1659"/>
      <c r="AR8" s="1659"/>
      <c r="AS8" s="1659"/>
      <c r="AT8" s="1659"/>
      <c r="AU8" s="1659"/>
      <c r="AV8" s="1659"/>
      <c r="AW8" s="1659"/>
      <c r="AX8" s="1659"/>
      <c r="AY8" s="1659"/>
      <c r="AZ8" s="1659"/>
      <c r="BA8" s="1659"/>
      <c r="BB8" s="1659"/>
      <c r="BC8" s="1659"/>
      <c r="BD8" s="1659"/>
      <c r="BE8" s="1659"/>
      <c r="BF8" s="1659"/>
      <c r="BG8" s="1659"/>
      <c r="BH8" s="1659"/>
      <c r="BI8" s="1659"/>
      <c r="BJ8" s="1659"/>
      <c r="BK8" s="1659"/>
      <c r="BL8" s="1659"/>
      <c r="BM8" s="1659"/>
      <c r="BN8" s="1659"/>
      <c r="BO8" s="1659"/>
      <c r="BP8" s="1659"/>
      <c r="BQ8" s="1659"/>
      <c r="BR8" s="1659"/>
      <c r="BS8" s="1659"/>
      <c r="BT8" s="1659"/>
      <c r="BU8" s="1659"/>
      <c r="BV8" s="1659"/>
      <c r="BZ8" s="489"/>
      <c r="CA8" s="489"/>
      <c r="CB8" s="489"/>
      <c r="CC8" s="546"/>
      <c r="CD8" s="546"/>
      <c r="CF8" s="0"/>
      <c r="CG8" s="0"/>
      <c r="CH8" s="0"/>
      <c r="CI8" s="0"/>
      <c r="CJ8" s="0"/>
      <c r="CK8" s="0"/>
      <c r="CL8" s="0"/>
      <c r="CM8" s="0"/>
      <c r="CN8" s="0"/>
      <c r="CO8" s="0"/>
    </row>
    <row s="1143" customFormat="1" customHeight="1" ht="11.25" hidden="1">
      <c r="A9" s="309" t="s">
        <v>403</v>
      </c>
      <c r="AE9" s="312">
        <f>god-2</f>
        <v>2025</v>
      </c>
      <c r="AF9" s="312">
        <f>god-2</f>
        <v>2025</v>
      </c>
      <c r="AG9" s="312">
        <f>god-2</f>
        <v>2025</v>
      </c>
      <c r="AH9" s="312">
        <f>god-1</f>
        <v>2026</v>
      </c>
      <c r="AI9" s="312" cm="1" t="str">
        <f t="array" ref="AI9:AI9">god</f>
        <v>2027</v>
      </c>
      <c r="AJ9" s="312">
        <f>god+1</f>
        <v>2028</v>
      </c>
      <c r="AK9" s="312">
        <f>god+2</f>
        <v>2029</v>
      </c>
      <c r="AL9" s="312">
        <f>god+3</f>
        <v>2030</v>
      </c>
      <c r="AM9" s="312">
        <f>god+4</f>
        <v>2031</v>
      </c>
      <c r="AN9" s="312">
        <f>god+5</f>
        <v>2032</v>
      </c>
      <c r="AO9" s="312">
        <f>god+6</f>
        <v>2033</v>
      </c>
      <c r="AP9" s="312">
        <f>god+7</f>
        <v>2034</v>
      </c>
      <c r="AQ9" s="312">
        <f>god+8</f>
        <v>2035</v>
      </c>
      <c r="AR9" s="312">
        <f>god+9</f>
        <v>2036</v>
      </c>
      <c r="AS9" s="312">
        <f>god+10</f>
        <v>2037</v>
      </c>
      <c r="AT9" s="312">
        <f>god+11</f>
        <v>2038</v>
      </c>
      <c r="AU9" s="312">
        <f>god+12</f>
        <v>2039</v>
      </c>
      <c r="AV9" s="312">
        <f>god+13</f>
        <v>2040</v>
      </c>
      <c r="AW9" s="312">
        <f>god+14</f>
        <v>2041</v>
      </c>
      <c r="AX9" s="312">
        <f>god+15</f>
        <v>2042</v>
      </c>
      <c r="AY9" s="312">
        <f>god+16</f>
        <v>2043</v>
      </c>
      <c r="AZ9" s="312">
        <f>god+17</f>
        <v>2044</v>
      </c>
      <c r="BA9" s="312">
        <f>god+18</f>
        <v>2045</v>
      </c>
      <c r="BB9" s="312">
        <f>god+19</f>
        <v>2046</v>
      </c>
      <c r="BC9" s="312" cm="1" t="str">
        <f t="array" ref="BC9:BC9">god</f>
        <v>2027</v>
      </c>
      <c r="BD9" s="312">
        <f>god+1</f>
        <v>2028</v>
      </c>
      <c r="BE9" s="312">
        <f>god+2</f>
        <v>2029</v>
      </c>
      <c r="BF9" s="312">
        <f>god+3</f>
        <v>2030</v>
      </c>
      <c r="BG9" s="312">
        <f>god+4</f>
        <v>2031</v>
      </c>
      <c r="BH9" s="312">
        <f>god+5</f>
        <v>2032</v>
      </c>
      <c r="BI9" s="312">
        <f>god+6</f>
        <v>2033</v>
      </c>
      <c r="BJ9" s="312">
        <f>god+7</f>
        <v>2034</v>
      </c>
      <c r="BK9" s="312">
        <f>god+8</f>
        <v>2035</v>
      </c>
      <c r="BL9" s="312">
        <f>god+9</f>
        <v>2036</v>
      </c>
      <c r="BM9" s="312">
        <f>god+10</f>
        <v>2037</v>
      </c>
      <c r="BN9" s="312">
        <f>god+11</f>
        <v>2038</v>
      </c>
      <c r="BO9" s="312">
        <f>god+12</f>
        <v>2039</v>
      </c>
      <c r="BP9" s="312">
        <f>god+13</f>
        <v>2040</v>
      </c>
      <c r="BQ9" s="312">
        <f>god+14</f>
        <v>2041</v>
      </c>
      <c r="BR9" s="312">
        <f>god+15</f>
        <v>2042</v>
      </c>
      <c r="BS9" s="312">
        <f>god+16</f>
        <v>2043</v>
      </c>
      <c r="BT9" s="312">
        <f>god+17</f>
        <v>2044</v>
      </c>
      <c r="BU9" s="312">
        <f>god+18</f>
        <v>2045</v>
      </c>
      <c r="BV9" s="312">
        <f>god+19</f>
        <v>2046</v>
      </c>
      <c r="BZ9" s="489"/>
      <c r="CA9" s="489"/>
      <c r="CB9" s="489"/>
      <c r="CC9" s="546"/>
      <c r="CD9" s="546"/>
      <c r="CF9" s="1730"/>
      <c r="CG9" s="1730"/>
      <c r="CH9" s="1730"/>
      <c r="CI9" s="1730"/>
      <c r="CJ9" s="1730"/>
      <c r="CK9" s="1730"/>
      <c r="CL9" s="1730"/>
      <c r="CM9" s="1730"/>
      <c r="CN9" s="1730"/>
      <c r="CO9" s="1730"/>
    </row>
    <row s="1143" customFormat="1" customHeight="1" ht="11.25" hidden="1">
      <c r="A10" s="309" t="s">
        <v>404</v>
      </c>
      <c r="AE10" s="312" cm="1" t="str">
        <f t="array" ref="AE10:AE10">AE25</f>
        <v>Принято органом регулирования</v>
      </c>
      <c r="AF10" s="312" cm="1" t="str">
        <f t="array" ref="AF10:AF10">AF25</f>
        <v>Факт по данным организации</v>
      </c>
      <c r="AG10" s="312" cm="1" t="str">
        <f t="array" ref="AG10:AG10">AG25</f>
        <v>Факт, принятый органом регулирования</v>
      </c>
      <c r="AH10" s="312" cm="1" t="str">
        <f t="array" ref="AH10:AH10">AH25</f>
        <v>Принято органом регулирования</v>
      </c>
      <c r="AI10" s="312" cm="1" t="str">
        <f t="array" ref="AI10:AI10">AI25</f>
        <v>Предложение организации</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Предложение организации</v>
      </c>
      <c r="AZ10" s="312" cm="1" t="str">
        <f t="array" ref="AZ10:AZ10">AZ25</f>
        <v>Предложение организации</v>
      </c>
      <c r="BA10" s="312" cm="1" t="str">
        <f t="array" ref="BA10:BA10">BA25</f>
        <v>Предложение организации</v>
      </c>
      <c r="BB10" s="312" cm="1" t="str">
        <f t="array" ref="BB10:BB10">BB25</f>
        <v>Предложение организации</v>
      </c>
      <c r="BC10" s="312" cm="1" t="str">
        <f t="array" ref="BC10:BC10">BC25</f>
        <v>Принято органом регулирования</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S10" s="312" cm="1" t="str">
        <f t="array" ref="BS10:BS10">BS25</f>
        <v>Принято органом регулирования</v>
      </c>
      <c r="BT10" s="312" cm="1" t="str">
        <f t="array" ref="BT10:BT10">BT25</f>
        <v>Принято органом регулирования</v>
      </c>
      <c r="BU10" s="312" cm="1" t="str">
        <f t="array" ref="BU10:BU10">BU25</f>
        <v>Принято органом регулирования</v>
      </c>
      <c r="BV10" s="312" cm="1" t="str">
        <f t="array" ref="BV10:BV10">BV25</f>
        <v>Принято органом регулирования</v>
      </c>
      <c r="BZ10" s="489"/>
      <c r="CA10" s="489"/>
      <c r="CB10" s="489"/>
      <c r="CC10" s="546"/>
      <c r="CD10" s="546"/>
      <c r="CF10" s="1730"/>
      <c r="CG10" s="1730"/>
      <c r="CH10" s="1730"/>
      <c r="CI10" s="1730"/>
      <c r="CJ10" s="1730"/>
      <c r="CK10" s="1730"/>
      <c r="CL10" s="1730"/>
      <c r="CM10" s="1730"/>
      <c r="CN10" s="1730"/>
      <c r="CO10" s="1730"/>
    </row>
    <row s="1143" customFormat="1" customHeight="1" ht="11.25" hidden="1">
      <c r="A11" s="309" t="s">
        <v>405</v>
      </c>
      <c r="G11" s="483"/>
      <c r="H11" s="483"/>
      <c r="I11" s="483"/>
      <c r="J11" s="483"/>
      <c r="K11" s="483"/>
      <c r="L11" s="483"/>
      <c r="M11" s="483"/>
      <c r="N11" s="483"/>
      <c r="O11" s="483"/>
      <c r="P11" s="483"/>
      <c r="Q11" s="483"/>
      <c r="R11" s="483"/>
      <c r="S11" s="483"/>
      <c r="AI11" s="1143"/>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312" cm="1" t="str">
        <f t="array" ref="BW11:BW11">BW24</f>
        <v>Ссылка на правовую норму (основание для принятия показателя в расчет тарифа)</v>
      </c>
      <c r="BZ11" s="489"/>
      <c r="CA11" s="489"/>
      <c r="CB11" s="489"/>
      <c r="CC11" s="546"/>
      <c r="CD11" s="546"/>
      <c r="CF11" s="1730"/>
      <c r="CG11" s="1730"/>
      <c r="CH11" s="1730"/>
      <c r="CI11" s="1730"/>
      <c r="CJ11" s="1730"/>
      <c r="CK11" s="1730"/>
      <c r="CL11" s="1730"/>
      <c r="CM11" s="1730"/>
      <c r="CN11" s="1730"/>
      <c r="CO11" s="1730"/>
    </row>
    <row s="1143" customFormat="1" customHeight="1" ht="11.25" hidden="1">
      <c r="A12" s="309" t="s">
        <v>350</v>
      </c>
      <c r="G12" s="483"/>
      <c r="H12" s="483"/>
      <c r="I12" s="483"/>
      <c r="J12" s="483"/>
      <c r="K12" s="483"/>
      <c r="L12" s="483"/>
      <c r="M12" s="483"/>
      <c r="N12" s="483"/>
      <c r="O12" s="483"/>
      <c r="P12" s="483"/>
      <c r="Q12" s="483"/>
      <c r="R12" s="483"/>
      <c r="S12" s="483"/>
      <c r="AC12" s="312" t="s">
        <v>338</v>
      </c>
      <c r="AI12" s="1143"/>
      <c r="AJ12" s="1143"/>
      <c r="AK12" s="1143"/>
      <c r="AL12" s="1143"/>
      <c r="AM12" s="1143"/>
      <c r="AN12" s="1143"/>
      <c r="AO12" s="1143"/>
      <c r="AP12" s="1143"/>
      <c r="AQ12" s="1143"/>
      <c r="AR12" s="1143"/>
      <c r="AS12" s="1143"/>
      <c r="AT12" s="1143"/>
      <c r="AU12" s="1143"/>
      <c r="AV12" s="1143"/>
      <c r="AW12" s="1143"/>
      <c r="AX12" s="1143"/>
      <c r="AY12" s="1143"/>
      <c r="AZ12" s="1143"/>
      <c r="BA12" s="1143"/>
      <c r="BB12" s="1143"/>
      <c r="BC12" s="1143"/>
      <c r="BD12" s="1143"/>
      <c r="BE12" s="1143"/>
      <c r="BF12" s="1143"/>
      <c r="BG12" s="1143"/>
      <c r="BH12" s="1143"/>
      <c r="BI12" s="1143"/>
      <c r="BJ12" s="1143"/>
      <c r="BK12" s="1143"/>
      <c r="BL12" s="1143"/>
      <c r="BM12" s="1143"/>
      <c r="BN12" s="1143"/>
      <c r="BO12" s="1143"/>
      <c r="BP12" s="1143"/>
      <c r="BQ12" s="1143"/>
      <c r="BR12" s="1143"/>
      <c r="BS12" s="1143"/>
      <c r="BT12" s="1143"/>
      <c r="BU12" s="1143"/>
      <c r="BV12" s="1143"/>
      <c r="BZ12" s="489"/>
      <c r="CA12" s="489"/>
      <c r="CB12" s="489"/>
      <c r="CC12" s="546"/>
      <c r="CD12" s="546"/>
      <c r="CF12" s="1730"/>
      <c r="CG12" s="1730"/>
      <c r="CH12" s="1730"/>
      <c r="CI12" s="1730"/>
      <c r="CJ12" s="1730"/>
      <c r="CK12" s="1730"/>
      <c r="CL12" s="1730"/>
      <c r="CM12" s="1730"/>
      <c r="CN12" s="1730"/>
      <c r="CO12" s="1730"/>
    </row>
    <row s="1548" customFormat="1" customHeight="1" ht="11.25" hidden="1">
      <c r="A13" s="371"/>
      <c r="E13" s="180"/>
      <c r="G13" s="193"/>
      <c r="H13" s="193"/>
      <c r="I13" s="193"/>
      <c r="J13" s="193"/>
      <c r="K13" s="193"/>
      <c r="L13" s="193"/>
      <c r="M13" s="193"/>
      <c r="N13" s="193"/>
      <c r="O13" s="193"/>
      <c r="P13" s="193"/>
      <c r="Q13" s="193"/>
      <c r="R13" s="193"/>
      <c r="S13" s="193"/>
      <c r="AI13" s="1548"/>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S13" s="1548"/>
      <c r="BT13" s="1548"/>
      <c r="BU13" s="1548"/>
      <c r="BV13" s="1548"/>
      <c r="BZ13" s="489"/>
      <c r="CA13" s="489"/>
      <c r="CB13" s="489"/>
      <c r="CC13" s="546"/>
      <c r="CD13" s="546"/>
      <c r="CF13" s="0"/>
      <c r="CG13" s="0"/>
      <c r="CH13" s="0"/>
      <c r="CI13" s="0"/>
      <c r="CJ13" s="0"/>
      <c r="CK13" s="0"/>
      <c r="CL13" s="0"/>
      <c r="CM13" s="0"/>
      <c r="CN13" s="0"/>
      <c r="CO13" s="0"/>
    </row>
    <row s="1548" customFormat="1" customHeight="1" ht="11.25" hidden="1">
      <c r="A14" s="371"/>
      <c r="E14" s="180"/>
      <c r="G14" s="193"/>
      <c r="H14" s="193"/>
      <c r="I14" s="193"/>
      <c r="J14" s="193"/>
      <c r="K14" s="193"/>
      <c r="L14" s="193"/>
      <c r="M14" s="193"/>
      <c r="N14" s="193"/>
      <c r="O14" s="193"/>
      <c r="P14" s="193"/>
      <c r="Q14" s="193"/>
      <c r="R14" s="193"/>
      <c r="S14" s="193"/>
      <c r="AI14" s="1548"/>
      <c r="AJ14" s="1548"/>
      <c r="AK14" s="1548"/>
      <c r="AL14" s="1548"/>
      <c r="AM14" s="1548"/>
      <c r="AN14" s="1548"/>
      <c r="AO14" s="1548"/>
      <c r="AP14" s="1548"/>
      <c r="AQ14" s="1548"/>
      <c r="AR14" s="1548"/>
      <c r="AS14" s="1548"/>
      <c r="AT14" s="1548"/>
      <c r="AU14" s="1548"/>
      <c r="AV14" s="1548"/>
      <c r="AW14" s="1548"/>
      <c r="AX14" s="1548"/>
      <c r="AY14" s="1548"/>
      <c r="AZ14" s="1548"/>
      <c r="BA14" s="1548"/>
      <c r="BB14" s="1548"/>
      <c r="BC14" s="1548"/>
      <c r="BD14" s="1548"/>
      <c r="BE14" s="1548"/>
      <c r="BF14" s="1548"/>
      <c r="BG14" s="1548"/>
      <c r="BH14" s="1548"/>
      <c r="BI14" s="1548"/>
      <c r="BJ14" s="1548"/>
      <c r="BK14" s="1548"/>
      <c r="BL14" s="1548"/>
      <c r="BM14" s="1548"/>
      <c r="BN14" s="1548"/>
      <c r="BO14" s="1548"/>
      <c r="BP14" s="1548"/>
      <c r="BQ14" s="1548"/>
      <c r="BR14" s="1548"/>
      <c r="BS14" s="1548"/>
      <c r="BT14" s="1548"/>
      <c r="BU14" s="1548"/>
      <c r="BV14" s="1548"/>
      <c r="BZ14" s="489"/>
      <c r="CA14" s="489"/>
      <c r="CB14" s="489"/>
      <c r="CC14" s="546"/>
      <c r="CD14" s="546"/>
      <c r="CF14" s="0"/>
      <c r="CG14" s="0"/>
      <c r="CH14" s="0"/>
      <c r="CI14" s="0"/>
      <c r="CJ14" s="0"/>
      <c r="CK14" s="0"/>
      <c r="CL14" s="0"/>
      <c r="CM14" s="0"/>
      <c r="CN14" s="0"/>
      <c r="CO14" s="0"/>
    </row>
    <row s="1548" customFormat="1" customHeight="1" ht="11.25" hidden="1">
      <c r="A15" s="371"/>
      <c r="E15" s="180"/>
      <c r="G15" s="193"/>
      <c r="H15" s="193"/>
      <c r="I15" s="193"/>
      <c r="J15" s="193"/>
      <c r="K15" s="193"/>
      <c r="L15" s="193"/>
      <c r="M15" s="193"/>
      <c r="N15" s="193"/>
      <c r="O15" s="193"/>
      <c r="P15" s="193"/>
      <c r="Q15" s="193"/>
      <c r="R15" s="193"/>
      <c r="S15" s="193"/>
      <c r="AI15" s="1548"/>
      <c r="AJ15" s="1548"/>
      <c r="AK15" s="1548"/>
      <c r="AL15" s="1548"/>
      <c r="AM15" s="1548"/>
      <c r="AN15" s="1548"/>
      <c r="AO15" s="1548"/>
      <c r="AP15" s="1548"/>
      <c r="AQ15" s="1548"/>
      <c r="AR15" s="1548"/>
      <c r="AS15" s="1548"/>
      <c r="AT15" s="1548"/>
      <c r="AU15" s="1548"/>
      <c r="AV15" s="1548"/>
      <c r="AW15" s="1548"/>
      <c r="AX15" s="1548"/>
      <c r="AY15" s="1548"/>
      <c r="AZ15" s="1548"/>
      <c r="BA15" s="1548"/>
      <c r="BB15" s="1548"/>
      <c r="BC15" s="1548"/>
      <c r="BD15" s="1548"/>
      <c r="BE15" s="1548"/>
      <c r="BF15" s="1548"/>
      <c r="BG15" s="1548"/>
      <c r="BH15" s="1548"/>
      <c r="BI15" s="1548"/>
      <c r="BJ15" s="1548"/>
      <c r="BK15" s="1548"/>
      <c r="BL15" s="1548"/>
      <c r="BM15" s="1548"/>
      <c r="BN15" s="1548"/>
      <c r="BO15" s="1548"/>
      <c r="BP15" s="1548"/>
      <c r="BQ15" s="1548"/>
      <c r="BR15" s="1548"/>
      <c r="BS15" s="1548"/>
      <c r="BT15" s="1548"/>
      <c r="BU15" s="1548"/>
      <c r="BV15" s="1548"/>
      <c r="BZ15" s="489"/>
      <c r="CA15" s="489"/>
      <c r="CB15" s="489"/>
      <c r="CC15" s="546"/>
      <c r="CD15" s="546"/>
      <c r="CF15" s="0"/>
      <c r="CG15" s="0"/>
      <c r="CH15" s="0"/>
      <c r="CI15" s="0"/>
      <c r="CJ15" s="0"/>
      <c r="CK15" s="0"/>
      <c r="CL15" s="0"/>
      <c r="CM15" s="0"/>
      <c r="CN15" s="0"/>
      <c r="CO15" s="0"/>
    </row>
    <row s="1548" customFormat="1" customHeight="1" ht="11.25" hidden="1">
      <c r="A16" s="371"/>
      <c r="E16" s="180"/>
      <c r="G16" s="193"/>
      <c r="H16" s="193"/>
      <c r="I16" s="193"/>
      <c r="J16" s="193"/>
      <c r="K16" s="193"/>
      <c r="L16" s="193"/>
      <c r="M16" s="193"/>
      <c r="N16" s="193"/>
      <c r="O16" s="193"/>
      <c r="P16" s="193"/>
      <c r="Q16" s="193"/>
      <c r="R16" s="193"/>
      <c r="S16" s="193"/>
      <c r="AI16" s="1548"/>
      <c r="AJ16" s="1548"/>
      <c r="AK16" s="1548"/>
      <c r="AL16" s="1548"/>
      <c r="AM16" s="1548"/>
      <c r="AN16" s="1548"/>
      <c r="AO16" s="1548"/>
      <c r="AP16" s="1548"/>
      <c r="AQ16" s="1548"/>
      <c r="AR16" s="1548"/>
      <c r="AS16" s="1548"/>
      <c r="AT16" s="1548"/>
      <c r="AU16" s="1548"/>
      <c r="AV16" s="1548"/>
      <c r="AW16" s="1548"/>
      <c r="AX16" s="1548"/>
      <c r="AY16" s="1548"/>
      <c r="AZ16" s="1548"/>
      <c r="BA16" s="1548"/>
      <c r="BB16" s="1548"/>
      <c r="BC16" s="1548"/>
      <c r="BD16" s="1548"/>
      <c r="BE16" s="1548"/>
      <c r="BF16" s="1548"/>
      <c r="BG16" s="1548"/>
      <c r="BH16" s="1548"/>
      <c r="BI16" s="1548"/>
      <c r="BJ16" s="1548"/>
      <c r="BK16" s="1548"/>
      <c r="BL16" s="1548"/>
      <c r="BM16" s="1548"/>
      <c r="BN16" s="1548"/>
      <c r="BO16" s="1548"/>
      <c r="BP16" s="1548"/>
      <c r="BQ16" s="1548"/>
      <c r="BR16" s="1548"/>
      <c r="BS16" s="1548"/>
      <c r="BT16" s="1548"/>
      <c r="BU16" s="1548"/>
      <c r="BV16" s="1548"/>
      <c r="BZ16" s="489"/>
      <c r="CA16" s="489"/>
      <c r="CB16" s="489"/>
      <c r="CC16" s="546"/>
      <c r="CD16" s="546"/>
      <c r="CF16" s="0"/>
      <c r="CG16" s="0"/>
      <c r="CH16" s="0"/>
      <c r="CI16" s="0"/>
      <c r="CJ16" s="0"/>
      <c r="CK16" s="0"/>
      <c r="CL16" s="0"/>
      <c r="CM16" s="0"/>
      <c r="CN16" s="0"/>
      <c r="CO16" s="0"/>
    </row>
    <row s="1548" customFormat="1" customHeight="1" ht="11.25" hidden="1">
      <c r="A17" s="371"/>
      <c r="E17" s="180"/>
      <c r="G17" s="193"/>
      <c r="H17" s="193"/>
      <c r="I17" s="193"/>
      <c r="J17" s="193"/>
      <c r="K17" s="193"/>
      <c r="L17" s="193"/>
      <c r="M17" s="193"/>
      <c r="N17" s="193"/>
      <c r="O17" s="193"/>
      <c r="P17" s="193"/>
      <c r="Q17" s="193"/>
      <c r="R17" s="193"/>
      <c r="S17" s="193"/>
      <c r="AI17" s="1548"/>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S17" s="1548"/>
      <c r="BT17" s="1548"/>
      <c r="BU17" s="1548"/>
      <c r="BV17" s="1548"/>
      <c r="BZ17" s="489"/>
      <c r="CA17" s="489"/>
      <c r="CB17" s="489"/>
      <c r="CC17" s="546"/>
      <c r="CD17" s="546"/>
      <c r="CF17" s="0"/>
      <c r="CG17" s="0"/>
      <c r="CH17" s="0"/>
      <c r="CI17" s="0"/>
      <c r="CJ17" s="0"/>
      <c r="CK17" s="0"/>
      <c r="CL17" s="0"/>
      <c r="CM17" s="0"/>
      <c r="CN17" s="0"/>
      <c r="CO17" s="0"/>
    </row>
    <row s="1548" customFormat="1" customHeight="1" ht="11.25" hidden="1">
      <c r="A18" s="978" t="s">
        <v>492</v>
      </c>
      <c r="E18" s="180"/>
      <c r="G18" s="193"/>
      <c r="H18" s="193"/>
      <c r="I18" s="193"/>
      <c r="J18" s="193"/>
      <c r="K18" s="193"/>
      <c r="L18" s="193"/>
      <c r="M18" s="193"/>
      <c r="N18" s="193"/>
      <c r="O18" s="193"/>
      <c r="P18" s="193"/>
      <c r="Q18" s="193"/>
      <c r="R18" s="193"/>
      <c r="S18" s="193"/>
      <c r="AC18" s="1072" t="s">
        <v>412</v>
      </c>
      <c r="AI18" s="1548"/>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S18" s="1548"/>
      <c r="BT18" s="1548"/>
      <c r="BU18" s="1548"/>
      <c r="BV18" s="1548"/>
      <c r="BZ18" s="489"/>
      <c r="CA18" s="489"/>
      <c r="CB18" s="489"/>
      <c r="CC18" s="546"/>
      <c r="CD18" s="546"/>
      <c r="CF18" s="0"/>
      <c r="CG18" s="0"/>
      <c r="CH18" s="0"/>
      <c r="CI18" s="0"/>
      <c r="CJ18" s="0"/>
      <c r="CK18" s="0"/>
      <c r="CL18" s="0"/>
      <c r="CM18" s="0"/>
      <c r="CN18" s="0"/>
      <c r="CO18" s="0"/>
    </row>
    <row s="1548" customFormat="1" customHeight="1" ht="11.25" hidden="1">
      <c r="A19" s="371"/>
      <c r="E19" s="180"/>
      <c r="G19" s="193"/>
      <c r="H19" s="193"/>
      <c r="I19" s="193"/>
      <c r="J19" s="193"/>
      <c r="K19" s="193"/>
      <c r="L19" s="193"/>
      <c r="M19" s="193"/>
      <c r="N19" s="193"/>
      <c r="O19" s="193"/>
      <c r="P19" s="193"/>
      <c r="Q19" s="193"/>
      <c r="R19" s="193"/>
      <c r="S19" s="193"/>
      <c r="AI19" s="1548"/>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T19" s="1548"/>
      <c r="BU19" s="1548"/>
      <c r="BV19" s="1548"/>
      <c r="BZ19" s="489"/>
      <c r="CA19" s="489"/>
      <c r="CB19" s="489"/>
      <c r="CC19" s="546"/>
      <c r="CD19" s="546"/>
      <c r="CF19" s="0"/>
      <c r="CG19" s="0"/>
      <c r="CH19" s="0"/>
      <c r="CI19" s="0"/>
      <c r="CJ19" s="0"/>
      <c r="CK19" s="0"/>
      <c r="CL19" s="0"/>
      <c r="CM19" s="0"/>
      <c r="CN19" s="0"/>
      <c r="CO19" s="0"/>
    </row>
    <row s="1548" customFormat="1" customHeight="1" ht="11.25" hidden="1">
      <c r="A20" s="371"/>
      <c r="E20" s="180"/>
      <c r="G20" s="193"/>
      <c r="H20" s="193"/>
      <c r="I20" s="193"/>
      <c r="J20" s="193"/>
      <c r="K20" s="193"/>
      <c r="L20" s="193"/>
      <c r="M20" s="193"/>
      <c r="N20" s="193"/>
      <c r="O20" s="193"/>
      <c r="P20" s="193"/>
      <c r="Q20" s="193"/>
      <c r="R20" s="193"/>
      <c r="S20" s="193"/>
      <c r="AI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Z20" s="489"/>
      <c r="CA20" s="489"/>
      <c r="CB20" s="489"/>
      <c r="CC20" s="546"/>
      <c r="CD20" s="546"/>
      <c r="CF20" s="0"/>
      <c r="CG20" s="0"/>
      <c r="CH20" s="0"/>
      <c r="CI20" s="0"/>
      <c r="CJ20" s="0"/>
      <c r="CK20" s="0"/>
      <c r="CL20" s="0"/>
      <c r="CM20" s="0"/>
      <c r="CN20" s="0"/>
      <c r="CO20" s="0"/>
    </row>
    <row customHeight="1" ht="14.625">
      <c r="E21" s="180">
        <v>15</v>
      </c>
      <c r="AA21" s="182"/>
      <c r="AC21" s="278" cm="1" t="str">
        <f t="array" ref="AC21:AC21">tpl_title</f>
        <v>Кемеровская область / 2027 / ООО "КК-ИНВЕСТ" (ИНН:1901133713, КПП:190101001) / ДПР: 2025-2027</v>
      </c>
      <c r="AI21" s="1727"/>
      <c r="AJ21" s="1727"/>
      <c r="AK21" s="1727"/>
      <c r="AL21" s="1727"/>
      <c r="AM21" s="1727"/>
      <c r="AN21" s="1727"/>
      <c r="AO21" s="1727"/>
      <c r="AP21" s="1727"/>
      <c r="AQ21" s="1727"/>
      <c r="AR21" s="1727"/>
      <c r="AS21" s="1727"/>
      <c r="AT21" s="1727"/>
      <c r="AU21" s="1727"/>
      <c r="AV21" s="1727"/>
      <c r="AW21" s="1727"/>
      <c r="AX21" s="1727"/>
      <c r="AY21" s="1727"/>
      <c r="AZ21" s="1727"/>
      <c r="BA21" s="1727"/>
      <c r="BB21" s="1727"/>
      <c r="BC21" s="1727"/>
      <c r="BD21" s="1727"/>
      <c r="BE21" s="1727"/>
      <c r="BF21" s="1727"/>
      <c r="BG21" s="1727"/>
      <c r="BH21" s="1727"/>
      <c r="BI21" s="1727"/>
      <c r="BJ21" s="1727"/>
      <c r="BK21" s="1727"/>
      <c r="BL21" s="1727"/>
      <c r="BM21" s="1727"/>
      <c r="BN21" s="1727"/>
      <c r="BO21" s="1727"/>
      <c r="BP21" s="1727"/>
      <c r="BQ21" s="1727"/>
      <c r="BR21" s="1727"/>
      <c r="BS21" s="1727"/>
      <c r="BT21" s="1727"/>
      <c r="BU21" s="1727"/>
      <c r="BV21" s="1727"/>
    </row>
    <row customHeight="1" ht="19.5">
      <c r="E22" s="180">
        <v>20</v>
      </c>
      <c r="AB22" s="660" t="s">
        <v>52</v>
      </c>
      <c r="AC22" s="661"/>
      <c r="AD22" s="661"/>
      <c r="AE22" s="661"/>
      <c r="AF22" s="661"/>
      <c r="AG22" s="661"/>
      <c r="AH22" s="661"/>
      <c r="AI22" s="661"/>
      <c r="AJ22" s="661"/>
      <c r="AK22" s="661"/>
      <c r="AL22" s="661"/>
      <c r="AM22" s="661"/>
      <c r="AN22" s="661"/>
      <c r="AO22" s="661"/>
      <c r="AP22" s="661"/>
      <c r="AQ22" s="661"/>
      <c r="AR22" s="661"/>
      <c r="AS22" s="661"/>
      <c r="AT22" s="661"/>
      <c r="AU22" s="661"/>
      <c r="AV22" s="661"/>
      <c r="AW22" s="661"/>
      <c r="AX22" s="661"/>
      <c r="AY22" s="661"/>
      <c r="AZ22" s="661"/>
      <c r="BA22" s="661"/>
      <c r="BB22" s="661"/>
      <c r="BC22" s="661"/>
      <c r="BD22" s="661"/>
      <c r="BE22" s="661"/>
      <c r="BF22" s="661"/>
      <c r="BG22" s="661"/>
      <c r="BH22" s="661"/>
      <c r="BI22" s="661"/>
      <c r="BJ22" s="661"/>
      <c r="BK22" s="661"/>
      <c r="BL22" s="661"/>
      <c r="BM22" s="661"/>
      <c r="BN22" s="661"/>
      <c r="BO22" s="661"/>
      <c r="BP22" s="661"/>
      <c r="BQ22" s="661"/>
      <c r="BR22" s="661"/>
      <c r="BS22" s="661"/>
      <c r="BT22" s="661"/>
      <c r="BU22" s="661"/>
      <c r="BV22" s="661"/>
      <c r="BW22" s="612"/>
    </row>
    <row customHeight="1" ht="10.725000000000001">
      <c r="E23" s="180">
        <v>11</v>
      </c>
      <c r="AI23" s="1727"/>
      <c r="AJ23" s="1727"/>
      <c r="AK23" s="1727"/>
      <c r="AL23" s="1727"/>
      <c r="AM23" s="1727"/>
      <c r="AN23" s="1727"/>
      <c r="AO23" s="1727"/>
      <c r="AP23" s="1727"/>
      <c r="AQ23" s="1727"/>
      <c r="AR23" s="1727"/>
      <c r="AS23" s="1727"/>
      <c r="AT23" s="1727"/>
      <c r="AU23" s="1727"/>
      <c r="AV23" s="1727"/>
      <c r="AW23" s="1727"/>
      <c r="AX23" s="1727"/>
      <c r="AY23" s="1727"/>
      <c r="AZ23" s="1727"/>
      <c r="BA23" s="1727"/>
      <c r="BB23" s="1727"/>
      <c r="BC23" s="1727"/>
      <c r="BD23" s="1727"/>
      <c r="BE23" s="1727"/>
      <c r="BF23" s="1727"/>
      <c r="BG23" s="1727"/>
      <c r="BH23" s="1727"/>
      <c r="BI23" s="1727"/>
      <c r="BJ23" s="1727"/>
      <c r="BK23" s="1727"/>
      <c r="BL23" s="1727"/>
      <c r="BM23" s="1727"/>
      <c r="BN23" s="1727"/>
      <c r="BO23" s="1727"/>
      <c r="BP23" s="1727"/>
      <c r="BQ23" s="1727"/>
      <c r="BR23" s="1727"/>
      <c r="BS23" s="1727"/>
      <c r="BT23" s="1727"/>
      <c r="BU23" s="1727"/>
      <c r="BV23" s="1727"/>
    </row>
    <row s="969" customFormat="1" customHeight="1" ht="14.625">
      <c r="A24" s="371"/>
      <c r="B24" s="175"/>
      <c r="C24" s="175"/>
      <c r="D24" s="175"/>
      <c r="E24" s="180">
        <v>15</v>
      </c>
      <c r="F24" s="175"/>
      <c r="G24" s="193"/>
      <c r="H24" s="193"/>
      <c r="I24" s="193"/>
      <c r="J24" s="193"/>
      <c r="K24" s="193"/>
      <c r="L24" s="193"/>
      <c r="M24" s="193"/>
      <c r="N24" s="193"/>
      <c r="O24" s="193"/>
      <c r="P24" s="193"/>
      <c r="Q24" s="193"/>
      <c r="R24" s="193"/>
      <c r="S24" s="193"/>
      <c r="T24" s="175"/>
      <c r="U24" s="175"/>
      <c r="V24" s="175"/>
      <c r="W24" s="175"/>
      <c r="X24" s="175"/>
      <c r="Y24" s="175"/>
      <c r="Z24" s="175"/>
      <c r="AA24" s="318"/>
      <c r="AB24" s="1653" t="s">
        <v>355</v>
      </c>
      <c r="AC24" s="1653" t="s">
        <v>412</v>
      </c>
      <c r="AD24" s="1653" t="s">
        <v>1330</v>
      </c>
      <c r="AE24" s="432" t="str">
        <f>god-2&amp;" год"</f>
        <v>2025 год</v>
      </c>
      <c r="AF24" s="433" t="str">
        <f>god-2&amp;" год"</f>
        <v>2025 год</v>
      </c>
      <c r="AG24" s="432" t="str">
        <f>god-2&amp;" год"</f>
        <v>2025 год</v>
      </c>
      <c r="AH24" s="330" t="str">
        <f>god-1&amp;" год"</f>
        <v>2026 год</v>
      </c>
      <c r="AI24" s="329" t="str">
        <f>god&amp;" год"</f>
        <v>2027 год</v>
      </c>
      <c r="AJ24" s="329" t="str">
        <f>god+1&amp;" год"</f>
        <v>2028 год</v>
      </c>
      <c r="AK24" s="329" t="str">
        <f>god+2&amp;" год"</f>
        <v>2029 год</v>
      </c>
      <c r="AL24" s="329" t="str">
        <f>god+3&amp;" год"</f>
        <v>2030 год</v>
      </c>
      <c r="AM24" s="329" t="str">
        <f>god+4&amp;" год"</f>
        <v>2031 год</v>
      </c>
      <c r="AN24" s="329" t="str">
        <f>god+5&amp;" год"</f>
        <v>2032 год</v>
      </c>
      <c r="AO24" s="329" t="str">
        <f>god+6&amp;" год"</f>
        <v>2033 год</v>
      </c>
      <c r="AP24" s="329" t="str">
        <f>god+7&amp;" год"</f>
        <v>2034 год</v>
      </c>
      <c r="AQ24" s="329" t="str">
        <f>god+8&amp;" год"</f>
        <v>2035 год</v>
      </c>
      <c r="AR24" s="329" t="str">
        <f>god+9&amp;" год"</f>
        <v>2036 год</v>
      </c>
      <c r="AS24" s="329" t="str">
        <f>god+10&amp;" год"</f>
        <v>2037 год</v>
      </c>
      <c r="AT24" s="329" t="str">
        <f>god+11&amp;" год"</f>
        <v>2038 год</v>
      </c>
      <c r="AU24" s="329" t="str">
        <f>god+12&amp;" год"</f>
        <v>2039 год</v>
      </c>
      <c r="AV24" s="329" t="str">
        <f>god+13&amp;" год"</f>
        <v>2040 год</v>
      </c>
      <c r="AW24" s="329" t="str">
        <f>god+14&amp;" год"</f>
        <v>2041 год</v>
      </c>
      <c r="AX24" s="329" t="str">
        <f>god+15&amp;" год"</f>
        <v>2042 год</v>
      </c>
      <c r="AY24" s="329" t="str">
        <f>god+16&amp;" год"</f>
        <v>2043 год</v>
      </c>
      <c r="AZ24" s="329" t="str">
        <f>god+17&amp;" год"</f>
        <v>2044 год</v>
      </c>
      <c r="BA24" s="329" t="str">
        <f>god+18&amp;" год"</f>
        <v>2045 год</v>
      </c>
      <c r="BB24" s="329" t="str">
        <f>god+19&amp;" год"</f>
        <v>2046 год</v>
      </c>
      <c r="BC24" s="328" t="str">
        <f>god&amp;" год"</f>
        <v>2027 год</v>
      </c>
      <c r="BD24" s="328" t="str">
        <f>god+1&amp;" год"</f>
        <v>2028 год</v>
      </c>
      <c r="BE24" s="328" t="str">
        <f>god+2&amp;" год"</f>
        <v>2029 год</v>
      </c>
      <c r="BF24" s="328" t="str">
        <f>god+3&amp;" год"</f>
        <v>2030 год</v>
      </c>
      <c r="BG24" s="328" t="str">
        <f>god+4&amp;" год"</f>
        <v>2031 год</v>
      </c>
      <c r="BH24" s="328" t="str">
        <f>god+5&amp;" год"</f>
        <v>2032 год</v>
      </c>
      <c r="BI24" s="328" t="str">
        <f>god+6&amp;" год"</f>
        <v>2033 год</v>
      </c>
      <c r="BJ24" s="328" t="str">
        <f>god+7&amp;" год"</f>
        <v>2034 год</v>
      </c>
      <c r="BK24" s="328" t="str">
        <f>god+8&amp;" год"</f>
        <v>2035 год</v>
      </c>
      <c r="BL24" s="328" t="str">
        <f>god+9&amp;" год"</f>
        <v>2036 год</v>
      </c>
      <c r="BM24" s="328" t="str">
        <f>god+10&amp;" год"</f>
        <v>2037 год</v>
      </c>
      <c r="BN24" s="328" t="str">
        <f>god+11&amp;" год"</f>
        <v>2038 год</v>
      </c>
      <c r="BO24" s="328" t="str">
        <f>god+12&amp;" год"</f>
        <v>2039 год</v>
      </c>
      <c r="BP24" s="328" t="str">
        <f>god+13&amp;" год"</f>
        <v>2040 год</v>
      </c>
      <c r="BQ24" s="328" t="str">
        <f>god+14&amp;" год"</f>
        <v>2041 год</v>
      </c>
      <c r="BR24" s="328" t="str">
        <f>god+15&amp;" год"</f>
        <v>2042 год</v>
      </c>
      <c r="BS24" s="328" t="str">
        <f>god+16&amp;" год"</f>
        <v>2043 год</v>
      </c>
      <c r="BT24" s="328" t="str">
        <f>god+17&amp;" год"</f>
        <v>2044 год</v>
      </c>
      <c r="BU24" s="328" t="str">
        <f>god+18&amp;" год"</f>
        <v>2045 год</v>
      </c>
      <c r="BV24" s="328" t="str">
        <f>god+19&amp;" год"</f>
        <v>2046 год</v>
      </c>
      <c r="BW24" s="1674" t="s">
        <v>625</v>
      </c>
      <c r="BX24" s="318"/>
      <c r="BZ24" s="489"/>
      <c r="CA24" s="489"/>
      <c r="CB24" s="489"/>
      <c r="CC24" s="546"/>
      <c r="CD24" s="546"/>
      <c r="CF24" s="0"/>
      <c r="CG24" s="0"/>
      <c r="CH24" s="0"/>
      <c r="CI24" s="0"/>
      <c r="CJ24" s="0"/>
      <c r="CK24" s="0"/>
      <c r="CL24" s="0"/>
      <c r="CM24" s="0"/>
      <c r="CN24" s="0"/>
      <c r="CO24" s="0"/>
    </row>
    <row s="969" customFormat="1" customHeight="1" ht="48.75">
      <c r="A25" s="371"/>
      <c r="B25" s="175"/>
      <c r="C25" s="175"/>
      <c r="D25" s="175"/>
      <c r="E25" s="180">
        <v>50</v>
      </c>
      <c r="F25" s="175"/>
      <c r="G25" s="193"/>
      <c r="H25" s="193"/>
      <c r="I25" s="193"/>
      <c r="J25" s="193"/>
      <c r="K25" s="193"/>
      <c r="L25" s="193"/>
      <c r="M25" s="193"/>
      <c r="N25" s="193"/>
      <c r="O25" s="193"/>
      <c r="P25" s="193"/>
      <c r="Q25" s="193"/>
      <c r="R25" s="193"/>
      <c r="S25" s="193"/>
      <c r="T25" s="175"/>
      <c r="U25" s="175"/>
      <c r="V25" s="175"/>
      <c r="W25" s="175"/>
      <c r="X25" s="175"/>
      <c r="Y25" s="175"/>
      <c r="Z25" s="175"/>
      <c r="AA25" s="318"/>
      <c r="AB25" s="1653"/>
      <c r="AC25" s="1653"/>
      <c r="AD25" s="1653"/>
      <c r="AE25" s="328" t="s">
        <v>415</v>
      </c>
      <c r="AF25" s="329" t="s">
        <v>626</v>
      </c>
      <c r="AG25" s="328" t="s">
        <v>627</v>
      </c>
      <c r="AH25" s="328" t="s">
        <v>415</v>
      </c>
      <c r="AI25" s="331" t="s">
        <v>416</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331" t="s">
        <v>416</v>
      </c>
      <c r="AZ25" s="331" t="s">
        <v>416</v>
      </c>
      <c r="BA25" s="331" t="s">
        <v>416</v>
      </c>
      <c r="BB25" s="331" t="s">
        <v>416</v>
      </c>
      <c r="BC25" s="424" t="s">
        <v>415</v>
      </c>
      <c r="BD25" s="424" t="s">
        <v>415</v>
      </c>
      <c r="BE25" s="424" t="s">
        <v>415</v>
      </c>
      <c r="BF25" s="424" t="s">
        <v>415</v>
      </c>
      <c r="BG25" s="424" t="s">
        <v>415</v>
      </c>
      <c r="BH25" s="424" t="s">
        <v>415</v>
      </c>
      <c r="BI25" s="424" t="s">
        <v>415</v>
      </c>
      <c r="BJ25" s="424" t="s">
        <v>415</v>
      </c>
      <c r="BK25" s="424" t="s">
        <v>415</v>
      </c>
      <c r="BL25" s="424" t="s">
        <v>415</v>
      </c>
      <c r="BM25" s="424" t="s">
        <v>415</v>
      </c>
      <c r="BN25" s="424" t="s">
        <v>415</v>
      </c>
      <c r="BO25" s="424" t="s">
        <v>415</v>
      </c>
      <c r="BP25" s="424" t="s">
        <v>415</v>
      </c>
      <c r="BQ25" s="424" t="s">
        <v>415</v>
      </c>
      <c r="BR25" s="424" t="s">
        <v>415</v>
      </c>
      <c r="BS25" s="424" t="s">
        <v>415</v>
      </c>
      <c r="BT25" s="424" t="s">
        <v>415</v>
      </c>
      <c r="BU25" s="424" t="s">
        <v>415</v>
      </c>
      <c r="BV25" s="424" t="s">
        <v>415</v>
      </c>
      <c r="BW25" s="1674"/>
      <c r="BX25" s="318"/>
      <c r="BZ25" s="489"/>
      <c r="CA25" s="489"/>
      <c r="CB25" s="489"/>
      <c r="CC25" s="546"/>
      <c r="CD25" s="546"/>
      <c r="CF25" s="0"/>
      <c r="CG25" s="0"/>
      <c r="CH25" s="0"/>
      <c r="CI25" s="0"/>
      <c r="CJ25" s="0"/>
      <c r="CK25" s="0"/>
      <c r="CL25" s="0"/>
      <c r="CM25" s="0"/>
      <c r="CN25" s="0"/>
      <c r="CO25" s="0"/>
    </row>
    <row s="969" customFormat="1" customHeight="1" ht="50.25" hidden="1">
      <c r="A26" s="371"/>
      <c r="B26" s="175"/>
      <c r="C26" s="175"/>
      <c r="D26" s="175"/>
      <c r="E26" s="965">
        <v>0</v>
      </c>
      <c r="F26" s="175"/>
      <c r="G26" s="193"/>
      <c r="H26" s="193"/>
      <c r="I26" s="193"/>
      <c r="J26" s="193"/>
      <c r="K26" s="193"/>
      <c r="L26" s="193"/>
      <c r="M26" s="193"/>
      <c r="N26" s="193"/>
      <c r="O26" s="193"/>
      <c r="P26" s="193"/>
      <c r="Q26" s="193"/>
      <c r="R26" s="193"/>
      <c r="S26" s="193"/>
      <c r="T26" s="175"/>
      <c r="U26" s="175"/>
      <c r="V26" s="175"/>
      <c r="W26" s="175"/>
      <c r="X26" s="175"/>
      <c r="Y26" s="175"/>
      <c r="Z26" s="175"/>
      <c r="AA26" s="318"/>
      <c r="AB26" s="472"/>
      <c r="AC26" s="628"/>
      <c r="AD26" s="628"/>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662"/>
      <c r="BX26" s="318"/>
      <c r="BZ26" s="489"/>
      <c r="CA26" s="489"/>
      <c r="CB26" s="489"/>
      <c r="CC26" s="546"/>
      <c r="CD26" s="546"/>
      <c r="CF26" s="0"/>
      <c r="CG26" s="0"/>
      <c r="CH26" s="0"/>
      <c r="CI26" s="0"/>
      <c r="CJ26" s="0"/>
      <c r="CK26" s="0"/>
      <c r="CL26" s="0"/>
      <c r="CM26" s="0"/>
      <c r="CN26" s="0"/>
      <c r="CO26" s="0"/>
    </row>
    <row s="969" customFormat="1" customHeight="1" ht="10.725000000000001" hidden="1">
      <c r="E27" s="180">
        <v>11</v>
      </c>
      <c r="F27" s="175" cm="1" t="str">
        <f t="array" ref="F27:F27">X27</f>
        <v>0</v>
      </c>
      <c r="T27" s="753">
        <f>X27&gt;0</f>
        <v>0</v>
      </c>
      <c r="V27" s="175" t="s">
        <v>266</v>
      </c>
      <c r="X27" s="175">
        <v>0</v>
      </c>
      <c r="AB27" s="621" cm="1" t="str">
        <f t="array" ref="AB27:AB27">INDEX('Общие сведения'!$AG$169:$AG$202,MATCH($F27,'Общие сведения'!$Y$169:$Y$202,0))</f>
        <v>Тариф 0 (Теплоснабжение) - </v>
      </c>
      <c r="AC27" s="298"/>
      <c r="AD27" s="298"/>
      <c r="AE27" s="298"/>
      <c r="AF27" s="298"/>
      <c r="AG27" s="298"/>
      <c r="AH27" s="298"/>
      <c r="AI27" s="298"/>
      <c r="AJ27" s="298"/>
      <c r="AK27" s="298"/>
      <c r="AL27" s="298"/>
      <c r="AM27" s="298"/>
      <c r="AN27" s="298"/>
      <c r="AO27" s="298"/>
      <c r="AP27" s="298"/>
      <c r="AQ27" s="298"/>
      <c r="AR27" s="298"/>
      <c r="AS27" s="298"/>
      <c r="AT27" s="298"/>
      <c r="AU27" s="298"/>
      <c r="AV27" s="298"/>
      <c r="AW27" s="298"/>
      <c r="AX27" s="298"/>
      <c r="AY27" s="298"/>
      <c r="AZ27" s="298"/>
      <c r="BA27" s="298"/>
      <c r="BB27" s="298"/>
      <c r="BC27" s="298"/>
      <c r="BD27" s="298"/>
      <c r="BE27" s="298"/>
      <c r="BF27" s="298"/>
      <c r="BG27" s="298"/>
      <c r="BH27" s="298"/>
      <c r="BI27" s="298"/>
      <c r="BJ27" s="298"/>
      <c r="BK27" s="298"/>
      <c r="BL27" s="298"/>
      <c r="BM27" s="298"/>
      <c r="BN27" s="298"/>
      <c r="BO27" s="298"/>
      <c r="BP27" s="298"/>
      <c r="BQ27" s="298"/>
      <c r="BR27" s="298"/>
      <c r="BS27" s="298"/>
      <c r="BT27" s="298"/>
      <c r="BU27" s="298"/>
      <c r="BV27" s="298"/>
      <c r="BW27" s="298"/>
      <c r="BZ27" s="489"/>
      <c r="CA27" s="489"/>
      <c r="CB27" s="489"/>
      <c r="CC27" s="546"/>
      <c r="CD27" s="546"/>
    </row>
    <row s="969" customFormat="1" customHeight="1" ht="29.25" hidden="1">
      <c r="E28" s="180">
        <v>30</v>
      </c>
      <c r="F28" s="175" cm="1" t="str">
        <f t="array" ref="F28:F28">OFFSET(G28,-1,-1)</f>
        <v>0</v>
      </c>
      <c r="T28" s="753" cm="1" t="str">
        <f t="array" ref="T28:T28">T27</f>
        <v>false</v>
      </c>
      <c r="AB28" s="663">
        <v>1</v>
      </c>
      <c r="AC28" s="644" t="s">
        <v>1474</v>
      </c>
      <c r="AD28" s="556" t="s">
        <v>917</v>
      </c>
      <c r="AE28" s="664">
        <f>SUM(AE29:AE37)</f>
        <v>0</v>
      </c>
      <c r="AF28" s="664">
        <f>SUM(AF29:AF37)</f>
        <v>0</v>
      </c>
      <c r="AG28" s="664">
        <f>SUM(AG29:AG37)</f>
        <v>0</v>
      </c>
      <c r="AH28" s="664">
        <f>SUM(AH29:AH37)</f>
        <v>0</v>
      </c>
      <c r="AI28" s="664">
        <f>SUM(AI29:AI37)</f>
        <v>0</v>
      </c>
      <c r="AJ28" s="664">
        <f>SUM(AJ29:AJ37)</f>
        <v>0</v>
      </c>
      <c r="AK28" s="664">
        <f>SUM(AK29:AK37)</f>
        <v>0</v>
      </c>
      <c r="AL28" s="664">
        <f>SUM(AL29:AL37)</f>
        <v>0</v>
      </c>
      <c r="AM28" s="664">
        <f>SUM(AM29:AM37)</f>
        <v>0</v>
      </c>
      <c r="AN28" s="664">
        <f>SUM(AN29:AN37)</f>
        <v>0</v>
      </c>
      <c r="AO28" s="664">
        <f>SUM(AO29:AO37)</f>
        <v>0</v>
      </c>
      <c r="AP28" s="664">
        <f>SUM(AP29:AP37)</f>
        <v>0</v>
      </c>
      <c r="AQ28" s="664">
        <f>SUM(AQ29:AQ37)</f>
        <v>0</v>
      </c>
      <c r="AR28" s="664">
        <f>SUM(AR29:AR37)</f>
        <v>0</v>
      </c>
      <c r="AS28" s="664">
        <f>SUM(AS29:AS37)</f>
        <v>0</v>
      </c>
      <c r="AT28" s="664">
        <f>SUM(AT29:AT37)</f>
        <v>0</v>
      </c>
      <c r="AU28" s="664">
        <f>SUM(AU29:AU37)</f>
        <v>0</v>
      </c>
      <c r="AV28" s="664">
        <f>SUM(AV29:AV37)</f>
        <v>0</v>
      </c>
      <c r="AW28" s="664">
        <f>SUM(AW29:AW37)</f>
        <v>0</v>
      </c>
      <c r="AX28" s="664">
        <f>SUM(AX29:AX37)</f>
        <v>0</v>
      </c>
      <c r="AY28" s="664">
        <f>SUM(AY29:AY37)</f>
        <v>0</v>
      </c>
      <c r="AZ28" s="664">
        <f>SUM(AZ29:AZ37)</f>
        <v>0</v>
      </c>
      <c r="BA28" s="664">
        <f>SUM(BA29:BA37)</f>
        <v>0</v>
      </c>
      <c r="BB28" s="664">
        <f>SUM(BB29:BB37)</f>
        <v>0</v>
      </c>
      <c r="BC28" s="664">
        <f>SUM(BC29:BC37)</f>
        <v>0</v>
      </c>
      <c r="BD28" s="664">
        <f>SUM(BD29:BD37)</f>
        <v>0</v>
      </c>
      <c r="BE28" s="664">
        <f>SUM(BE29:BE37)</f>
        <v>0</v>
      </c>
      <c r="BF28" s="664">
        <f>SUM(BF29:BF37)</f>
        <v>0</v>
      </c>
      <c r="BG28" s="664">
        <f>SUM(BG29:BG37)</f>
        <v>0</v>
      </c>
      <c r="BH28" s="664">
        <f>SUM(BH29:BH37)</f>
        <v>0</v>
      </c>
      <c r="BI28" s="664">
        <f>SUM(BI29:BI37)</f>
        <v>0</v>
      </c>
      <c r="BJ28" s="664">
        <f>SUM(BJ29:BJ37)</f>
        <v>0</v>
      </c>
      <c r="BK28" s="664">
        <f>SUM(BK29:BK37)</f>
        <v>0</v>
      </c>
      <c r="BL28" s="664">
        <f>SUM(BL29:BL37)</f>
        <v>0</v>
      </c>
      <c r="BM28" s="664">
        <f>SUM(BM29:BM37)</f>
        <v>0</v>
      </c>
      <c r="BN28" s="664">
        <f>SUM(BN29:BN37)</f>
        <v>0</v>
      </c>
      <c r="BO28" s="664">
        <f>SUM(BO29:BO37)</f>
        <v>0</v>
      </c>
      <c r="BP28" s="664">
        <f>SUM(BP29:BP37)</f>
        <v>0</v>
      </c>
      <c r="BQ28" s="664">
        <f>SUM(BQ29:BQ37)</f>
        <v>0</v>
      </c>
      <c r="BR28" s="664">
        <f>SUM(BR29:BR37)</f>
        <v>0</v>
      </c>
      <c r="BS28" s="664">
        <f>SUM(BS29:BS37)</f>
        <v>0</v>
      </c>
      <c r="BT28" s="664">
        <f>SUM(BT29:BT37)</f>
        <v>0</v>
      </c>
      <c r="BU28" s="664">
        <f>SUM(BU29:BU37)</f>
        <v>0</v>
      </c>
      <c r="BV28" s="664">
        <f>SUM(BV29:BV37)</f>
        <v>0</v>
      </c>
      <c r="BW28" s="83"/>
      <c r="BZ28" s="489" t="s">
        <v>1475</v>
      </c>
      <c r="CA28" s="489"/>
      <c r="CB28" s="489"/>
      <c r="CC28" s="546"/>
      <c r="CD28" s="546"/>
      <c r="CF28" s="1501" cm="1" t="str">
        <f t="array" ref="CF28:CF28">INDEX('Общие сведения'!$N$170:$N$202,MATCH($F28,'Общие сведения'!$Y$170:$Y$202,0)+1)</f>
        <v>0</v>
      </c>
      <c r="CG28" s="1501"/>
      <c r="CH28" s="1501"/>
      <c r="CI28" s="1501"/>
      <c r="CJ28" s="1501" t="s">
        <v>303</v>
      </c>
      <c r="CK28" s="1501" t="s">
        <v>1476</v>
      </c>
      <c r="CL28" s="1501" t="s">
        <v>1477</v>
      </c>
    </row>
    <row s="969" customFormat="1" customHeight="1" ht="58.5" hidden="1">
      <c r="E29" s="180">
        <v>60</v>
      </c>
      <c r="F29" s="175" cm="1" t="str">
        <f t="array" ref="F29:F29">OFFSET(G29,-1,-1)</f>
        <v>0</v>
      </c>
      <c r="G29" s="193" t="s">
        <v>1478</v>
      </c>
      <c r="T29" s="753" cm="1" t="str">
        <f t="array" ref="T29:T29">T28</f>
        <v>false</v>
      </c>
      <c r="AB29" s="360">
        <v>1.1</v>
      </c>
      <c r="AC29" s="341" t="s">
        <v>1479</v>
      </c>
      <c r="AD29" s="320" t="s">
        <v>917</v>
      </c>
      <c r="AE29" s="47"/>
      <c r="AF29" s="116"/>
      <c r="AG29" s="116"/>
      <c r="AH29" s="116"/>
      <c r="AI29" s="658"/>
      <c r="AJ29" s="116"/>
      <c r="AK29" s="116"/>
      <c r="AL29" s="116"/>
      <c r="AM29" s="116"/>
      <c r="AN29" s="116"/>
      <c r="AO29" s="116"/>
      <c r="AP29" s="116"/>
      <c r="AQ29" s="116"/>
      <c r="AR29" s="116"/>
      <c r="AS29" s="116"/>
      <c r="AT29" s="116"/>
      <c r="AU29" s="116"/>
      <c r="AV29" s="116"/>
      <c r="AW29" s="116"/>
      <c r="AX29" s="116"/>
      <c r="AY29" s="116"/>
      <c r="AZ29" s="116"/>
      <c r="BA29" s="116"/>
      <c r="BB29" s="116"/>
      <c r="BC29" s="658"/>
      <c r="BD29" s="116"/>
      <c r="BE29" s="116"/>
      <c r="BF29" s="116"/>
      <c r="BG29" s="116"/>
      <c r="BH29" s="116"/>
      <c r="BI29" s="116"/>
      <c r="BJ29" s="116"/>
      <c r="BK29" s="116"/>
      <c r="BL29" s="116"/>
      <c r="BM29" s="116"/>
      <c r="BN29" s="116"/>
      <c r="BO29" s="116"/>
      <c r="BP29" s="116"/>
      <c r="BQ29" s="116"/>
      <c r="BR29" s="116"/>
      <c r="BS29" s="116"/>
      <c r="BT29" s="116"/>
      <c r="BU29" s="116"/>
      <c r="BV29" s="116"/>
      <c r="BW29" s="83"/>
      <c r="BZ29" s="489" t="s">
        <v>1480</v>
      </c>
      <c r="CA29" s="489"/>
      <c r="CB29" s="489"/>
      <c r="CC29" s="546"/>
      <c r="CD29" s="546"/>
      <c r="CF29" s="1501" cm="1" t="str">
        <f t="array" ref="CF29:CF29">CF28</f>
        <v>0</v>
      </c>
      <c r="CG29" s="1501" t="s">
        <v>1481</v>
      </c>
      <c r="CH29" s="1501"/>
      <c r="CI29" s="1501"/>
      <c r="CJ29" s="1501" t="s">
        <v>303</v>
      </c>
      <c r="CK29" s="1501" t="s">
        <v>1476</v>
      </c>
      <c r="CL29" s="1501" t="s">
        <v>1477</v>
      </c>
    </row>
    <row s="969" customFormat="1" customHeight="1" ht="16.575" hidden="1">
      <c r="E30" s="180">
        <v>17</v>
      </c>
      <c r="F30" s="175" cm="1" t="str">
        <f t="array" ref="F30:F30">OFFSET(G30,-1,-1)</f>
        <v>0</v>
      </c>
      <c r="G30" s="193" t="s">
        <v>1482</v>
      </c>
      <c r="H30" s="193" t="s">
        <v>1483</v>
      </c>
      <c r="T30" s="753" cm="1" t="str">
        <f t="array" ref="T30:T30">T29</f>
        <v>false</v>
      </c>
      <c r="AB30" s="360">
        <v>1.2</v>
      </c>
      <c r="AC30" s="341" t="s">
        <v>1484</v>
      </c>
      <c r="AD30" s="320" t="s">
        <v>917</v>
      </c>
      <c r="AE30" s="47"/>
      <c r="AF30" s="116"/>
      <c r="AG30" s="116"/>
      <c r="AH30" s="116"/>
      <c r="AI30" s="658"/>
      <c r="AJ30" s="116"/>
      <c r="AK30" s="116"/>
      <c r="AL30" s="116"/>
      <c r="AM30" s="116"/>
      <c r="AN30" s="116"/>
      <c r="AO30" s="116"/>
      <c r="AP30" s="116"/>
      <c r="AQ30" s="116"/>
      <c r="AR30" s="116"/>
      <c r="AS30" s="116"/>
      <c r="AT30" s="116"/>
      <c r="AU30" s="116"/>
      <c r="AV30" s="116"/>
      <c r="AW30" s="116"/>
      <c r="AX30" s="116"/>
      <c r="AY30" s="116"/>
      <c r="AZ30" s="116"/>
      <c r="BA30" s="116"/>
      <c r="BB30" s="116"/>
      <c r="BC30" s="658"/>
      <c r="BD30" s="116"/>
      <c r="BE30" s="116"/>
      <c r="BF30" s="116"/>
      <c r="BG30" s="116"/>
      <c r="BH30" s="116"/>
      <c r="BI30" s="116"/>
      <c r="BJ30" s="116"/>
      <c r="BK30" s="116"/>
      <c r="BL30" s="116"/>
      <c r="BM30" s="116"/>
      <c r="BN30" s="116"/>
      <c r="BO30" s="116"/>
      <c r="BP30" s="116"/>
      <c r="BQ30" s="116"/>
      <c r="BR30" s="116"/>
      <c r="BS30" s="116"/>
      <c r="BT30" s="116"/>
      <c r="BU30" s="116"/>
      <c r="BV30" s="116"/>
      <c r="BW30" s="83"/>
      <c r="BZ30" s="489" t="s">
        <v>1485</v>
      </c>
      <c r="CA30" s="489"/>
      <c r="CB30" s="489"/>
      <c r="CC30" s="546"/>
      <c r="CD30" s="546"/>
      <c r="CF30" s="1501" cm="1" t="str">
        <f t="array" ref="CF30:CF30">CF29</f>
        <v>0</v>
      </c>
      <c r="CG30" s="1501"/>
      <c r="CH30" s="1501" t="s">
        <v>1486</v>
      </c>
      <c r="CI30" s="1501"/>
      <c r="CJ30" s="1501" t="s">
        <v>303</v>
      </c>
      <c r="CK30" s="1501" t="s">
        <v>1476</v>
      </c>
      <c r="CL30" s="1501" t="s">
        <v>1477</v>
      </c>
    </row>
    <row s="969" customFormat="1" customHeight="1" ht="16.575" hidden="1">
      <c r="E31" s="180">
        <v>17</v>
      </c>
      <c r="F31" s="175" cm="1" t="str">
        <f t="array" ref="F31:F31">OFFSET(G31,-1,-1)</f>
        <v>0</v>
      </c>
      <c r="G31" s="193" t="s">
        <v>1487</v>
      </c>
      <c r="T31" s="753" cm="1" t="str">
        <f t="array" ref="T31:T31">T30</f>
        <v>false</v>
      </c>
      <c r="AB31" s="360">
        <v>1.3</v>
      </c>
      <c r="AC31" s="341" t="s">
        <v>1488</v>
      </c>
      <c r="AD31" s="320" t="s">
        <v>917</v>
      </c>
      <c r="AE31" s="47"/>
      <c r="AF31" s="116"/>
      <c r="AG31" s="116"/>
      <c r="AH31" s="116"/>
      <c r="AI31" s="658"/>
      <c r="AJ31" s="116"/>
      <c r="AK31" s="116"/>
      <c r="AL31" s="116"/>
      <c r="AM31" s="116"/>
      <c r="AN31" s="116"/>
      <c r="AO31" s="116"/>
      <c r="AP31" s="116"/>
      <c r="AQ31" s="116"/>
      <c r="AR31" s="116"/>
      <c r="AS31" s="116"/>
      <c r="AT31" s="116"/>
      <c r="AU31" s="116"/>
      <c r="AV31" s="116"/>
      <c r="AW31" s="116"/>
      <c r="AX31" s="116"/>
      <c r="AY31" s="116"/>
      <c r="AZ31" s="116"/>
      <c r="BA31" s="116"/>
      <c r="BB31" s="116"/>
      <c r="BC31" s="658"/>
      <c r="BD31" s="116"/>
      <c r="BE31" s="116"/>
      <c r="BF31" s="116"/>
      <c r="BG31" s="116"/>
      <c r="BH31" s="116"/>
      <c r="BI31" s="116"/>
      <c r="BJ31" s="116"/>
      <c r="BK31" s="116"/>
      <c r="BL31" s="116"/>
      <c r="BM31" s="116"/>
      <c r="BN31" s="116"/>
      <c r="BO31" s="116"/>
      <c r="BP31" s="116"/>
      <c r="BQ31" s="116"/>
      <c r="BR31" s="116"/>
      <c r="BS31" s="116"/>
      <c r="BT31" s="116"/>
      <c r="BU31" s="116"/>
      <c r="BV31" s="116"/>
      <c r="BW31" s="83"/>
      <c r="BZ31" s="489" t="s">
        <v>1489</v>
      </c>
      <c r="CA31" s="489"/>
      <c r="CB31" s="489"/>
      <c r="CC31" s="546"/>
      <c r="CD31" s="546"/>
      <c r="CF31" s="1501" cm="1" t="str">
        <f t="array" ref="CF31:CF31">CF30</f>
        <v>0</v>
      </c>
      <c r="CG31" s="1501" t="s">
        <v>1490</v>
      </c>
      <c r="CH31" s="1501"/>
      <c r="CI31" s="1501"/>
      <c r="CJ31" s="1501" t="s">
        <v>303</v>
      </c>
      <c r="CK31" s="1501" t="s">
        <v>1476</v>
      </c>
      <c r="CL31" s="1501" t="s">
        <v>1477</v>
      </c>
    </row>
    <row customHeight="1" ht="16.575" hidden="1">
      <c r="E32" s="180">
        <v>17</v>
      </c>
      <c r="F32" s="175" cm="1" t="str">
        <f t="array" ref="F32:F32">OFFSET(G32,-1,-1)</f>
        <v>0</v>
      </c>
      <c r="G32" s="193" t="s">
        <v>1482</v>
      </c>
      <c r="H32" s="193" t="s">
        <v>1482</v>
      </c>
      <c r="T32" s="753" cm="1" t="str">
        <f t="array" ref="T32:T32">T31</f>
        <v>false</v>
      </c>
      <c r="AB32" s="360">
        <v>1.4</v>
      </c>
      <c r="AC32" s="341" t="s">
        <v>1491</v>
      </c>
      <c r="AD32" s="320" t="s">
        <v>917</v>
      </c>
      <c r="AE32" s="117"/>
      <c r="AF32" s="117"/>
      <c r="AG32" s="117"/>
      <c r="AH32" s="117"/>
      <c r="AI32" s="665"/>
      <c r="AJ32" s="117"/>
      <c r="AK32" s="117"/>
      <c r="AL32" s="117"/>
      <c r="AM32" s="117"/>
      <c r="AN32" s="117"/>
      <c r="AO32" s="117"/>
      <c r="AP32" s="117"/>
      <c r="AQ32" s="117"/>
      <c r="AR32" s="117"/>
      <c r="AS32" s="117"/>
      <c r="AT32" s="117"/>
      <c r="AU32" s="117"/>
      <c r="AV32" s="117"/>
      <c r="AW32" s="117"/>
      <c r="AX32" s="117"/>
      <c r="AY32" s="117"/>
      <c r="AZ32" s="117"/>
      <c r="BA32" s="117"/>
      <c r="BB32" s="117"/>
      <c r="BC32" s="665"/>
      <c r="BD32" s="117"/>
      <c r="BE32" s="117"/>
      <c r="BF32" s="117"/>
      <c r="BG32" s="117"/>
      <c r="BH32" s="117"/>
      <c r="BI32" s="117"/>
      <c r="BJ32" s="117"/>
      <c r="BK32" s="117"/>
      <c r="BL32" s="117"/>
      <c r="BM32" s="117"/>
      <c r="BN32" s="117"/>
      <c r="BO32" s="117"/>
      <c r="BP32" s="117"/>
      <c r="BQ32" s="117"/>
      <c r="BR32" s="117"/>
      <c r="BS32" s="117"/>
      <c r="BT32" s="117"/>
      <c r="BU32" s="117"/>
      <c r="BV32" s="117"/>
      <c r="BW32" s="83"/>
      <c r="BZ32" s="489" t="s">
        <v>586</v>
      </c>
      <c r="CF32" s="1501" cm="1" t="str">
        <f t="array" ref="CF32:CF32">CF31</f>
        <v>0</v>
      </c>
      <c r="CG32" s="1501"/>
      <c r="CH32" s="1501" t="s">
        <v>1492</v>
      </c>
      <c r="CI32" s="1501"/>
      <c r="CJ32" s="1501" t="s">
        <v>303</v>
      </c>
      <c r="CK32" s="1501" t="s">
        <v>1476</v>
      </c>
      <c r="CL32" s="1501" t="s">
        <v>1477</v>
      </c>
    </row>
    <row s="969" customFormat="1" customHeight="1" ht="16.575" hidden="1">
      <c r="E33" s="180">
        <v>17</v>
      </c>
      <c r="F33" s="175" cm="1" t="str">
        <f t="array" ref="F33:F33">OFFSET(G33,-1,-1)</f>
        <v>0</v>
      </c>
      <c r="G33" s="193" t="s">
        <v>1482</v>
      </c>
      <c r="H33" s="193" t="s">
        <v>1493</v>
      </c>
      <c r="T33" s="753" cm="1" t="str">
        <f t="array" ref="T33:T33">T32</f>
        <v>false</v>
      </c>
      <c r="AB33" s="360">
        <v>1.5</v>
      </c>
      <c r="AC33" s="341" t="s">
        <v>1494</v>
      </c>
      <c r="AD33" s="320" t="s">
        <v>917</v>
      </c>
      <c r="AE33" s="47"/>
      <c r="AF33" s="47"/>
      <c r="AG33" s="47"/>
      <c r="AH33" s="47"/>
      <c r="AI33" s="439"/>
      <c r="AJ33" s="47"/>
      <c r="AK33" s="47"/>
      <c r="AL33" s="47"/>
      <c r="AM33" s="47"/>
      <c r="AN33" s="47"/>
      <c r="AO33" s="47"/>
      <c r="AP33" s="47"/>
      <c r="AQ33" s="47"/>
      <c r="AR33" s="47"/>
      <c r="AS33" s="47"/>
      <c r="AT33" s="47"/>
      <c r="AU33" s="47"/>
      <c r="AV33" s="47"/>
      <c r="AW33" s="47"/>
      <c r="AX33" s="47"/>
      <c r="AY33" s="47"/>
      <c r="AZ33" s="47"/>
      <c r="BA33" s="47"/>
      <c r="BB33" s="47"/>
      <c r="BC33" s="439"/>
      <c r="BD33" s="47"/>
      <c r="BE33" s="47"/>
      <c r="BF33" s="47"/>
      <c r="BG33" s="47"/>
      <c r="BH33" s="47"/>
      <c r="BI33" s="47"/>
      <c r="BJ33" s="47"/>
      <c r="BK33" s="47"/>
      <c r="BL33" s="47"/>
      <c r="BM33" s="47"/>
      <c r="BN33" s="47"/>
      <c r="BO33" s="47"/>
      <c r="BP33" s="47"/>
      <c r="BQ33" s="47"/>
      <c r="BR33" s="47"/>
      <c r="BS33" s="47"/>
      <c r="BT33" s="47"/>
      <c r="BU33" s="47"/>
      <c r="BV33" s="47"/>
      <c r="BW33" s="83"/>
      <c r="BZ33" s="489" t="s">
        <v>582</v>
      </c>
      <c r="CA33" s="489"/>
      <c r="CB33" s="489"/>
      <c r="CC33" s="546"/>
      <c r="CD33" s="546"/>
      <c r="CF33" s="1501" cm="1" t="str">
        <f t="array" ref="CF33:CF33">CF32</f>
        <v>0</v>
      </c>
      <c r="CG33" s="1501"/>
      <c r="CH33" s="1501" t="s">
        <v>1495</v>
      </c>
      <c r="CI33" s="1501"/>
      <c r="CJ33" s="1501" t="s">
        <v>303</v>
      </c>
      <c r="CK33" s="1501" t="s">
        <v>1476</v>
      </c>
      <c r="CL33" s="1501" t="s">
        <v>1477</v>
      </c>
    </row>
    <row s="969" customFormat="1" customHeight="1" ht="16.575" hidden="1">
      <c r="E34" s="180">
        <v>17</v>
      </c>
      <c r="F34" s="175" cm="1" t="str">
        <f t="array" ref="F34:F34">OFFSET(G34,-1,-1)</f>
        <v>0</v>
      </c>
      <c r="G34" s="193" t="s">
        <v>1482</v>
      </c>
      <c r="H34" s="193" t="s">
        <v>1496</v>
      </c>
      <c r="T34" s="753" cm="1" t="str">
        <f t="array" ref="T34:T34">T33</f>
        <v>false</v>
      </c>
      <c r="AB34" s="360">
        <v>1.6</v>
      </c>
      <c r="AC34" s="341" t="s">
        <v>1497</v>
      </c>
      <c r="AD34" s="320" t="s">
        <v>917</v>
      </c>
      <c r="AE34" s="47"/>
      <c r="AF34" s="47"/>
      <c r="AG34" s="47"/>
      <c r="AH34" s="47"/>
      <c r="AI34" s="439"/>
      <c r="AJ34" s="47"/>
      <c r="AK34" s="47"/>
      <c r="AL34" s="47"/>
      <c r="AM34" s="47"/>
      <c r="AN34" s="47"/>
      <c r="AO34" s="47"/>
      <c r="AP34" s="47"/>
      <c r="AQ34" s="47"/>
      <c r="AR34" s="47"/>
      <c r="AS34" s="47"/>
      <c r="AT34" s="47"/>
      <c r="AU34" s="47"/>
      <c r="AV34" s="47"/>
      <c r="AW34" s="47"/>
      <c r="AX34" s="47"/>
      <c r="AY34" s="47"/>
      <c r="AZ34" s="47"/>
      <c r="BA34" s="47"/>
      <c r="BB34" s="47"/>
      <c r="BC34" s="439"/>
      <c r="BD34" s="47"/>
      <c r="BE34" s="47"/>
      <c r="BF34" s="47"/>
      <c r="BG34" s="47"/>
      <c r="BH34" s="47"/>
      <c r="BI34" s="47"/>
      <c r="BJ34" s="47"/>
      <c r="BK34" s="47"/>
      <c r="BL34" s="47"/>
      <c r="BM34" s="47"/>
      <c r="BN34" s="47"/>
      <c r="BO34" s="47"/>
      <c r="BP34" s="47"/>
      <c r="BQ34" s="47"/>
      <c r="BR34" s="47"/>
      <c r="BS34" s="47"/>
      <c r="BT34" s="47"/>
      <c r="BU34" s="47"/>
      <c r="BV34" s="47"/>
      <c r="BW34" s="83"/>
      <c r="BZ34" s="489" t="s">
        <v>1498</v>
      </c>
      <c r="CA34" s="489"/>
      <c r="CB34" s="489"/>
      <c r="CC34" s="546"/>
      <c r="CD34" s="546"/>
      <c r="CF34" s="1501" cm="1" t="str">
        <f t="array" ref="CF34:CF34">CF33</f>
        <v>0</v>
      </c>
      <c r="CG34" s="1501"/>
      <c r="CH34" s="1501" t="s">
        <v>1499</v>
      </c>
      <c r="CI34" s="1501"/>
      <c r="CJ34" s="1501" t="s">
        <v>303</v>
      </c>
      <c r="CK34" s="1501" t="s">
        <v>1476</v>
      </c>
      <c r="CL34" s="1501" t="s">
        <v>1477</v>
      </c>
    </row>
    <row s="969" customFormat="1" customHeight="1" ht="16.575" hidden="1">
      <c r="E35" s="180">
        <v>17</v>
      </c>
      <c r="F35" s="175" cm="1" t="str">
        <f t="array" ref="F35:F35">OFFSET(G35,-1,-1)</f>
        <v>0</v>
      </c>
      <c r="G35" s="193" t="s">
        <v>1500</v>
      </c>
      <c r="T35" s="753" cm="1" t="str">
        <f t="array" ref="T35:T35">T34</f>
        <v>false</v>
      </c>
      <c r="AB35" s="360">
        <v>1.7</v>
      </c>
      <c r="AC35" s="341" t="s">
        <v>1501</v>
      </c>
      <c r="AD35" s="320" t="s">
        <v>917</v>
      </c>
      <c r="AE35" s="47"/>
      <c r="AF35" s="47"/>
      <c r="AG35" s="47"/>
      <c r="AH35" s="47"/>
      <c r="AI35" s="439"/>
      <c r="AJ35" s="47"/>
      <c r="AK35" s="47"/>
      <c r="AL35" s="47"/>
      <c r="AM35" s="47"/>
      <c r="AN35" s="47"/>
      <c r="AO35" s="47"/>
      <c r="AP35" s="47"/>
      <c r="AQ35" s="47"/>
      <c r="AR35" s="47"/>
      <c r="AS35" s="47"/>
      <c r="AT35" s="47"/>
      <c r="AU35" s="47"/>
      <c r="AV35" s="47"/>
      <c r="AW35" s="47"/>
      <c r="AX35" s="47"/>
      <c r="AY35" s="47"/>
      <c r="AZ35" s="47"/>
      <c r="BA35" s="47"/>
      <c r="BB35" s="47"/>
      <c r="BC35" s="439"/>
      <c r="BD35" s="47"/>
      <c r="BE35" s="47"/>
      <c r="BF35" s="47"/>
      <c r="BG35" s="47"/>
      <c r="BH35" s="47"/>
      <c r="BI35" s="47"/>
      <c r="BJ35" s="47"/>
      <c r="BK35" s="47"/>
      <c r="BL35" s="47"/>
      <c r="BM35" s="47"/>
      <c r="BN35" s="47"/>
      <c r="BO35" s="47"/>
      <c r="BP35" s="47"/>
      <c r="BQ35" s="47"/>
      <c r="BR35" s="47"/>
      <c r="BS35" s="47"/>
      <c r="BT35" s="47"/>
      <c r="BU35" s="47"/>
      <c r="BV35" s="47"/>
      <c r="BW35" s="83"/>
      <c r="BZ35" s="489" t="s">
        <v>590</v>
      </c>
      <c r="CA35" s="489"/>
      <c r="CB35" s="489"/>
      <c r="CC35" s="546"/>
      <c r="CD35" s="546"/>
      <c r="CF35" s="1501" cm="1" t="str">
        <f t="array" ref="CF35:CF35">CF34</f>
        <v>0</v>
      </c>
      <c r="CG35" s="1501"/>
      <c r="CH35" s="1501" t="s">
        <v>1502</v>
      </c>
      <c r="CI35" s="1501"/>
      <c r="CJ35" s="1501" t="s">
        <v>303</v>
      </c>
      <c r="CK35" s="1501" t="s">
        <v>1476</v>
      </c>
      <c r="CL35" s="1501" t="s">
        <v>1477</v>
      </c>
    </row>
    <row s="969" customFormat="1" customHeight="1" ht="16.575" hidden="1">
      <c r="E36" s="180">
        <v>17</v>
      </c>
      <c r="F36" s="175" cm="1" t="str">
        <f t="array" ref="F36:F36">OFFSET(G36,-1,-1)</f>
        <v>0</v>
      </c>
      <c r="G36" s="193" t="s">
        <v>1482</v>
      </c>
      <c r="H36" s="193" t="s">
        <v>1503</v>
      </c>
      <c r="T36" s="753" cm="1" t="str">
        <f t="array" ref="T36:T36">T35</f>
        <v>false</v>
      </c>
      <c r="AB36" s="360">
        <v>1.8</v>
      </c>
      <c r="AC36" s="341" t="s">
        <v>1504</v>
      </c>
      <c r="AD36" s="320" t="s">
        <v>917</v>
      </c>
      <c r="AE36" s="47"/>
      <c r="AF36" s="47"/>
      <c r="AG36" s="47"/>
      <c r="AH36" s="47"/>
      <c r="AI36" s="439"/>
      <c r="AJ36" s="47"/>
      <c r="AK36" s="47"/>
      <c r="AL36" s="47"/>
      <c r="AM36" s="47"/>
      <c r="AN36" s="47"/>
      <c r="AO36" s="47"/>
      <c r="AP36" s="47"/>
      <c r="AQ36" s="47"/>
      <c r="AR36" s="47"/>
      <c r="AS36" s="47"/>
      <c r="AT36" s="47"/>
      <c r="AU36" s="47"/>
      <c r="AV36" s="47"/>
      <c r="AW36" s="47"/>
      <c r="AX36" s="47"/>
      <c r="AY36" s="47"/>
      <c r="AZ36" s="47"/>
      <c r="BA36" s="47"/>
      <c r="BB36" s="47"/>
      <c r="BC36" s="439"/>
      <c r="BD36" s="47"/>
      <c r="BE36" s="47"/>
      <c r="BF36" s="47"/>
      <c r="BG36" s="47"/>
      <c r="BH36" s="47"/>
      <c r="BI36" s="47"/>
      <c r="BJ36" s="47"/>
      <c r="BK36" s="47"/>
      <c r="BL36" s="47"/>
      <c r="BM36" s="47"/>
      <c r="BN36" s="47"/>
      <c r="BO36" s="47"/>
      <c r="BP36" s="47"/>
      <c r="BQ36" s="47"/>
      <c r="BR36" s="47"/>
      <c r="BS36" s="47"/>
      <c r="BT36" s="47"/>
      <c r="BU36" s="47"/>
      <c r="BV36" s="47"/>
      <c r="BW36" s="83"/>
      <c r="BZ36" s="489" t="s">
        <v>1505</v>
      </c>
      <c r="CA36" s="489"/>
      <c r="CB36" s="489"/>
      <c r="CC36" s="546"/>
      <c r="CD36" s="546"/>
      <c r="CF36" s="1501" cm="1" t="str">
        <f t="array" ref="CF36:CF36">CF35</f>
        <v>0</v>
      </c>
      <c r="CG36" s="1501" t="s">
        <v>1506</v>
      </c>
      <c r="CH36" s="1501"/>
      <c r="CI36" s="1501"/>
      <c r="CJ36" s="1501" t="s">
        <v>303</v>
      </c>
      <c r="CK36" s="1501" t="s">
        <v>1476</v>
      </c>
      <c r="CL36" s="1501" t="s">
        <v>1477</v>
      </c>
    </row>
    <row s="969" customFormat="1" customHeight="1" ht="16.575" hidden="1">
      <c r="E37" s="180">
        <v>17</v>
      </c>
      <c r="F37" s="175" cm="1" t="str">
        <f t="array" ref="F37:F37">OFFSET(G37,-1,-1)</f>
        <v>0</v>
      </c>
      <c r="G37" s="193" t="s">
        <v>1482</v>
      </c>
      <c r="H37" s="193" t="s">
        <v>1482</v>
      </c>
      <c r="T37" s="753" cm="1" t="str">
        <f t="array" ref="T37:T37">T36</f>
        <v>false</v>
      </c>
      <c r="AB37" s="360">
        <v>1.9</v>
      </c>
      <c r="AC37" s="341" t="s">
        <v>1507</v>
      </c>
      <c r="AD37" s="320" t="s">
        <v>917</v>
      </c>
      <c r="AE37" s="438">
        <f>SUM(AE38:AE40)</f>
        <v>0</v>
      </c>
      <c r="AF37" s="438">
        <f>SUM(AF38:AF40)</f>
        <v>0</v>
      </c>
      <c r="AG37" s="438">
        <f>SUM(AG38:AG40)</f>
        <v>0</v>
      </c>
      <c r="AH37" s="438">
        <f>SUM(AH38:AH40)</f>
        <v>0</v>
      </c>
      <c r="AI37" s="438">
        <f>SUM(AI38:AI40)</f>
        <v>0</v>
      </c>
      <c r="AJ37" s="438">
        <f>SUM(AJ38:AJ40)</f>
        <v>0</v>
      </c>
      <c r="AK37" s="438">
        <f>SUM(AK38:AK40)</f>
        <v>0</v>
      </c>
      <c r="AL37" s="438">
        <f>SUM(AL38:AL40)</f>
        <v>0</v>
      </c>
      <c r="AM37" s="438">
        <f>SUM(AM38:AM40)</f>
        <v>0</v>
      </c>
      <c r="AN37" s="438">
        <f>SUM(AN38:AN40)</f>
        <v>0</v>
      </c>
      <c r="AO37" s="438">
        <f>SUM(AO38:AO40)</f>
        <v>0</v>
      </c>
      <c r="AP37" s="438">
        <f>SUM(AP38:AP40)</f>
        <v>0</v>
      </c>
      <c r="AQ37" s="438">
        <f>SUM(AQ38:AQ40)</f>
        <v>0</v>
      </c>
      <c r="AR37" s="438">
        <f>SUM(AR38:AR40)</f>
        <v>0</v>
      </c>
      <c r="AS37" s="438">
        <f>SUM(AS38:AS40)</f>
        <v>0</v>
      </c>
      <c r="AT37" s="438">
        <f>SUM(AT38:AT40)</f>
        <v>0</v>
      </c>
      <c r="AU37" s="438">
        <f>SUM(AU38:AU40)</f>
        <v>0</v>
      </c>
      <c r="AV37" s="438">
        <f>SUM(AV38:AV40)</f>
        <v>0</v>
      </c>
      <c r="AW37" s="438">
        <f>SUM(AW38:AW40)</f>
        <v>0</v>
      </c>
      <c r="AX37" s="438">
        <f>SUM(AX38:AX40)</f>
        <v>0</v>
      </c>
      <c r="AY37" s="438">
        <f>SUM(AY38:AY40)</f>
        <v>0</v>
      </c>
      <c r="AZ37" s="438">
        <f>SUM(AZ38:AZ40)</f>
        <v>0</v>
      </c>
      <c r="BA37" s="438">
        <f>SUM(BA38:BA40)</f>
        <v>0</v>
      </c>
      <c r="BB37" s="438">
        <f>SUM(BB38:BB40)</f>
        <v>0</v>
      </c>
      <c r="BC37" s="438">
        <f>SUM(BC38:BC40)</f>
        <v>0</v>
      </c>
      <c r="BD37" s="438">
        <f>SUM(BD38:BD40)</f>
        <v>0</v>
      </c>
      <c r="BE37" s="438">
        <f>SUM(BE38:BE40)</f>
        <v>0</v>
      </c>
      <c r="BF37" s="438">
        <f>SUM(BF38:BF40)</f>
        <v>0</v>
      </c>
      <c r="BG37" s="438">
        <f>SUM(BG38:BG40)</f>
        <v>0</v>
      </c>
      <c r="BH37" s="438">
        <f>SUM(BH38:BH40)</f>
        <v>0</v>
      </c>
      <c r="BI37" s="438">
        <f>SUM(BI38:BI40)</f>
        <v>0</v>
      </c>
      <c r="BJ37" s="438">
        <f>SUM(BJ38:BJ40)</f>
        <v>0</v>
      </c>
      <c r="BK37" s="438">
        <f>SUM(BK38:BK40)</f>
        <v>0</v>
      </c>
      <c r="BL37" s="438">
        <f>SUM(BL38:BL40)</f>
        <v>0</v>
      </c>
      <c r="BM37" s="438">
        <f>SUM(BM38:BM40)</f>
        <v>0</v>
      </c>
      <c r="BN37" s="438">
        <f>SUM(BN38:BN40)</f>
        <v>0</v>
      </c>
      <c r="BO37" s="438">
        <f>SUM(BO38:BO40)</f>
        <v>0</v>
      </c>
      <c r="BP37" s="438">
        <f>SUM(BP38:BP40)</f>
        <v>0</v>
      </c>
      <c r="BQ37" s="438">
        <f>SUM(BQ38:BQ40)</f>
        <v>0</v>
      </c>
      <c r="BR37" s="438">
        <f>SUM(BR38:BR40)</f>
        <v>0</v>
      </c>
      <c r="BS37" s="438">
        <f>SUM(BS38:BS40)</f>
        <v>0</v>
      </c>
      <c r="BT37" s="438">
        <f>SUM(BT38:BT40)</f>
        <v>0</v>
      </c>
      <c r="BU37" s="438">
        <f>SUM(BU38:BU40)</f>
        <v>0</v>
      </c>
      <c r="BV37" s="438">
        <f>SUM(BV38:BV40)</f>
        <v>0</v>
      </c>
      <c r="BW37" s="83"/>
      <c r="BZ37" s="489" t="s">
        <v>1403</v>
      </c>
      <c r="CA37" s="489"/>
      <c r="CB37" s="489"/>
      <c r="CC37" s="546"/>
      <c r="CD37" s="546"/>
      <c r="CF37" s="1501" cm="1" t="str">
        <f t="array" ref="CF37:CF37">CF36</f>
        <v>0</v>
      </c>
      <c r="CG37" s="1501" t="s">
        <v>1508</v>
      </c>
      <c r="CH37" s="1501"/>
      <c r="CI37" s="1501"/>
      <c r="CJ37" s="1501" t="s">
        <v>303</v>
      </c>
      <c r="CK37" s="1501" t="s">
        <v>1476</v>
      </c>
      <c r="CL37" s="1501" t="s">
        <v>1477</v>
      </c>
    </row>
    <row customHeight="1" ht="17.25" hidden="1">
      <c r="E38" s="965">
        <v>0</v>
      </c>
      <c r="F38" s="175" cm="1" t="str">
        <f t="array" ref="F38:F38">OFFSET(G38,-1,-1)</f>
        <v>0</v>
      </c>
      <c r="T38" s="753" cm="1" t="str">
        <f t="array" ref="T38:T38">T37</f>
        <v>false</v>
      </c>
      <c r="AB38" s="666"/>
      <c r="AC38" s="646"/>
      <c r="AD38" s="320"/>
      <c r="AE38" s="617"/>
      <c r="AF38" s="617"/>
      <c r="AG38" s="617"/>
      <c r="AH38" s="617"/>
      <c r="AI38" s="617"/>
      <c r="AJ38" s="617"/>
      <c r="AK38" s="617"/>
      <c r="AL38" s="617"/>
      <c r="AM38" s="617"/>
      <c r="AN38" s="617"/>
      <c r="AO38" s="617"/>
      <c r="AP38" s="617"/>
      <c r="AQ38" s="617"/>
      <c r="AR38" s="617"/>
      <c r="AS38" s="617"/>
      <c r="AT38" s="617"/>
      <c r="AU38" s="617"/>
      <c r="AV38" s="617"/>
      <c r="AW38" s="617"/>
      <c r="AX38" s="617"/>
      <c r="AY38" s="617"/>
      <c r="AZ38" s="617"/>
      <c r="BA38" s="617"/>
      <c r="BB38" s="617"/>
      <c r="BC38" s="617"/>
      <c r="BD38" s="617"/>
      <c r="BE38" s="617"/>
      <c r="BF38" s="617"/>
      <c r="BG38" s="617"/>
      <c r="BH38" s="617"/>
      <c r="BI38" s="617"/>
      <c r="BJ38" s="617"/>
      <c r="BK38" s="617"/>
      <c r="BL38" s="617"/>
      <c r="BM38" s="617"/>
      <c r="BN38" s="617"/>
      <c r="BO38" s="617"/>
      <c r="BP38" s="617"/>
      <c r="BQ38" s="617"/>
      <c r="BR38" s="617"/>
      <c r="BS38" s="617"/>
      <c r="BT38" s="617"/>
      <c r="BU38" s="617"/>
      <c r="BV38" s="617"/>
      <c r="BW38" s="320"/>
      <c r="BZ38" s="489" t="str">
        <f>IF(AND(ISNUMBER(VALUE(TRIM(SUBSTITUTE(AB38,".","")))),TRIM(SUBSTITUTE(AB38,".",""))&lt;&gt;""),"P"&amp;SUBSTITUTE(AB38,".",""),"")</f>
        <v/>
      </c>
      <c r="CF38" s="1501" cm="1" t="str">
        <f t="array" ref="CF38:CF38">CF37</f>
        <v>0</v>
      </c>
      <c r="CG38" s="1501"/>
      <c r="CH38" s="1501"/>
      <c r="CI38" s="1501"/>
      <c r="CJ38" s="1501"/>
      <c r="CK38" s="1501"/>
      <c r="CL38" s="1501"/>
    </row>
    <row s="969" customFormat="1" customHeight="1" ht="16.575" hidden="1">
      <c r="E39" s="180">
        <v>17</v>
      </c>
      <c r="F39" s="175" cm="1" t="str">
        <f t="array" ref="F39:F39">OFFSET(G39,-1,-1)</f>
        <v>0</v>
      </c>
      <c r="H39" s="193" cm="1" t="str">
        <f t="array" ref="H39:H39">AC39</f>
        <v>0</v>
      </c>
      <c r="T39" s="753">
        <f>AND(OFFSET(U39,1,-1),Y39&gt;0)</f>
        <v>0</v>
      </c>
      <c r="W39" s="175" t="s">
        <v>189</v>
      </c>
      <c r="Y39" s="175">
        <v>0</v>
      </c>
      <c r="AA39" s="477" t="s">
        <v>171</v>
      </c>
      <c r="AB39" s="320" t="str">
        <f>"1.9."&amp;Y39</f>
        <v>1.9.0</v>
      </c>
      <c r="AC39" s="115"/>
      <c r="AD39" s="320" t="s">
        <v>917</v>
      </c>
      <c r="AE39" s="47"/>
      <c r="AF39" s="116"/>
      <c r="AG39" s="116"/>
      <c r="AH39" s="116"/>
      <c r="AI39" s="658"/>
      <c r="AJ39" s="116"/>
      <c r="AK39" s="116"/>
      <c r="AL39" s="116"/>
      <c r="AM39" s="116"/>
      <c r="AN39" s="116"/>
      <c r="AO39" s="116"/>
      <c r="AP39" s="116"/>
      <c r="AQ39" s="116"/>
      <c r="AR39" s="116"/>
      <c r="AS39" s="116"/>
      <c r="AT39" s="116"/>
      <c r="AU39" s="116"/>
      <c r="AV39" s="116"/>
      <c r="AW39" s="116"/>
      <c r="AX39" s="116"/>
      <c r="AY39" s="116"/>
      <c r="AZ39" s="116"/>
      <c r="BA39" s="116"/>
      <c r="BB39" s="116"/>
      <c r="BC39" s="658"/>
      <c r="BD39" s="116"/>
      <c r="BE39" s="116"/>
      <c r="BF39" s="116"/>
      <c r="BG39" s="116"/>
      <c r="BH39" s="116"/>
      <c r="BI39" s="116"/>
      <c r="BJ39" s="116"/>
      <c r="BK39" s="116"/>
      <c r="BL39" s="116"/>
      <c r="BM39" s="116"/>
      <c r="BN39" s="116"/>
      <c r="BO39" s="116"/>
      <c r="BP39" s="116"/>
      <c r="BQ39" s="116"/>
      <c r="BR39" s="116"/>
      <c r="BS39" s="116"/>
      <c r="BT39" s="116"/>
      <c r="BU39" s="116"/>
      <c r="BV39" s="116"/>
      <c r="BW39" s="83"/>
      <c r="BZ39" s="489" t="s">
        <v>1509</v>
      </c>
      <c r="CA39" s="489" t="s">
        <v>1510</v>
      </c>
      <c r="CB39" s="489" cm="1" t="str">
        <f t="array" ref="CB39:CB39">AC39</f>
        <v>0</v>
      </c>
      <c r="CC39" s="546"/>
      <c r="CD39" s="546" t="b">
        <v>1</v>
      </c>
      <c r="CF39" s="1501" cm="1" t="str">
        <f t="array" ref="CF39:CF39">OFFSET(CG39,-1,-1)</f>
        <v>0</v>
      </c>
      <c r="CG39" s="1501" t="s">
        <v>1508</v>
      </c>
      <c r="CH39" s="1501"/>
      <c r="CI39" s="1501" cm="1" t="str">
        <f t="array" ref="CI39:CI39">$AC39</f>
        <v>0</v>
      </c>
      <c r="CJ39" s="1501" t="s">
        <v>303</v>
      </c>
      <c r="CK39" s="1501" t="s">
        <v>1476</v>
      </c>
      <c r="CL39" s="1501" t="s">
        <v>1477</v>
      </c>
    </row>
    <row s="969" customFormat="1" customHeight="1" ht="10.725000000000001" hidden="1">
      <c r="E40" s="180">
        <v>11</v>
      </c>
      <c r="F40" s="175" cm="1" t="str">
        <f t="array" ref="F40:F40">OFFSET(G40,-1,-1)</f>
        <v>0</v>
      </c>
      <c r="T40" s="753" cm="1" t="str">
        <f t="array" ref="T40:T40">T37</f>
        <v>false</v>
      </c>
      <c r="W40" s="176" t="s">
        <v>1070</v>
      </c>
      <c r="AB40" s="667"/>
      <c r="AC40" s="407" t="s">
        <v>191</v>
      </c>
      <c r="AD40" s="407"/>
      <c r="AE40" s="407"/>
      <c r="AF40" s="407"/>
      <c r="AG40" s="407"/>
      <c r="AH40" s="407"/>
      <c r="AI40" s="407"/>
      <c r="AJ40" s="407"/>
      <c r="AK40" s="407"/>
      <c r="AL40" s="407"/>
      <c r="AM40" s="407"/>
      <c r="AN40" s="407"/>
      <c r="AO40" s="407"/>
      <c r="AP40" s="407"/>
      <c r="AQ40" s="407"/>
      <c r="AR40" s="407"/>
      <c r="AS40" s="407"/>
      <c r="AT40" s="407"/>
      <c r="AU40" s="407"/>
      <c r="AV40" s="407"/>
      <c r="AW40" s="407"/>
      <c r="AX40" s="407"/>
      <c r="AY40" s="407"/>
      <c r="AZ40" s="407"/>
      <c r="BA40" s="407"/>
      <c r="BB40" s="407"/>
      <c r="BC40" s="407"/>
      <c r="BD40" s="407"/>
      <c r="BE40" s="407"/>
      <c r="BF40" s="407"/>
      <c r="BG40" s="407"/>
      <c r="BH40" s="407"/>
      <c r="BI40" s="407"/>
      <c r="BJ40" s="407"/>
      <c r="BK40" s="407"/>
      <c r="BL40" s="407"/>
      <c r="BM40" s="407"/>
      <c r="BN40" s="407"/>
      <c r="BO40" s="407"/>
      <c r="BP40" s="407"/>
      <c r="BQ40" s="407"/>
      <c r="BR40" s="407"/>
      <c r="BS40" s="407"/>
      <c r="BT40" s="407"/>
      <c r="BU40" s="407"/>
      <c r="BV40" s="407"/>
      <c r="BW40" s="408"/>
      <c r="BZ40" s="489"/>
      <c r="CA40" s="489"/>
      <c r="CB40" s="489"/>
      <c r="CC40" s="546" t="s">
        <v>1510</v>
      </c>
      <c r="CD40" s="546"/>
    </row>
    <row s="969" customFormat="1" customHeight="1" ht="10.5">
      <c r="A41" s="969"/>
      <c r="B41" s="969"/>
      <c r="C41" s="969"/>
      <c r="D41" s="969"/>
      <c r="E41" s="180">
        <v>11</v>
      </c>
      <c r="F41" s="175" cm="1" t="str">
        <f t="array" ref="F41:F41">X41</f>
        <v>1</v>
      </c>
      <c r="G41" s="969"/>
      <c r="H41" s="969"/>
      <c r="I41" s="969"/>
      <c r="J41" s="969"/>
      <c r="K41" s="969"/>
      <c r="L41" s="969"/>
      <c r="M41" s="969"/>
      <c r="N41" s="969"/>
      <c r="O41" s="969"/>
      <c r="P41" s="969"/>
      <c r="Q41" s="969"/>
      <c r="R41" s="969"/>
      <c r="S41" s="969"/>
      <c r="T41" s="753">
        <f>X41&gt;0</f>
        <v>1</v>
      </c>
      <c r="U41" s="969"/>
      <c r="V41" s="175" cm="1" t="str">
        <f t="array" ref="V41:V41">ФОТ!$AB$52</f>
        <v>Тариф 1 (Теплоснабжение) - Тариф на тепловую энергию (мощность), поставляемую потребителям (Доп. признак не требуется)</v>
      </c>
      <c r="W41" s="969"/>
      <c r="X41" s="175" t="s">
        <v>308</v>
      </c>
      <c r="Y41" s="969"/>
      <c r="Z41" s="969"/>
      <c r="AA41" s="969"/>
      <c r="AB41" s="621" cm="1" t="str">
        <f t="array" ref="AB41:AB41">IF(ISBLANK(ФОТ!$AB$52),"",ФОТ!$AB$52)</f>
        <v>Тариф 1 (Теплоснабжение) - Тариф на тепловую энергию (мощность), поставляемую потребителям (Доп. признак не требуется)</v>
      </c>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969"/>
      <c r="BY41" s="969"/>
      <c r="BZ41" s="489"/>
      <c r="CA41" s="489"/>
      <c r="CB41" s="489"/>
      <c r="CC41" s="546"/>
      <c r="CD41" s="546"/>
      <c r="CE41" s="969"/>
      <c r="CF41" s="969"/>
      <c r="CG41" s="969"/>
      <c r="CH41" s="969"/>
      <c r="CI41" s="969"/>
      <c r="CJ41" s="969"/>
      <c r="CK41" s="969"/>
      <c r="CL41" s="969"/>
      <c r="CM41" s="969"/>
      <c r="CN41" s="969"/>
      <c r="CO41" s="969"/>
    </row>
    <row s="969" customFormat="1" customHeight="1" ht="29.25">
      <c r="A42" s="969"/>
      <c r="B42" s="969"/>
      <c r="C42" s="969"/>
      <c r="D42" s="969"/>
      <c r="E42" s="180">
        <v>30</v>
      </c>
      <c r="F42" s="175" cm="1" t="str">
        <f t="array" ref="F42:F42">OFFSET(G42,-1,-1)</f>
        <v>1</v>
      </c>
      <c r="G42" s="969"/>
      <c r="H42" s="969"/>
      <c r="I42" s="969"/>
      <c r="J42" s="969"/>
      <c r="K42" s="969"/>
      <c r="L42" s="969"/>
      <c r="M42" s="969"/>
      <c r="N42" s="969"/>
      <c r="O42" s="969"/>
      <c r="P42" s="969"/>
      <c r="Q42" s="969"/>
      <c r="R42" s="969"/>
      <c r="S42" s="969"/>
      <c r="T42" s="753" cm="1" t="str">
        <f t="array" ref="T42:T42">T41</f>
        <v>true</v>
      </c>
      <c r="U42" s="969"/>
      <c r="V42" s="969"/>
      <c r="W42" s="969"/>
      <c r="X42" s="969"/>
      <c r="Y42" s="969"/>
      <c r="Z42" s="969"/>
      <c r="AA42" s="969"/>
      <c r="AB42" s="663">
        <v>1</v>
      </c>
      <c r="AC42" s="644" t="s">
        <v>1474</v>
      </c>
      <c r="AD42" s="556" t="s">
        <v>917</v>
      </c>
      <c r="AE42" s="664">
        <f>SUM(AE43:AE51)</f>
        <v>941</v>
      </c>
      <c r="AF42" s="664">
        <f>SUM(AF43:AF51)</f>
        <v>1540.06</v>
      </c>
      <c r="AG42" s="664">
        <f>SUM(AG43:AG51)</f>
        <v>1189.24</v>
      </c>
      <c r="AH42" s="664">
        <f>SUM(AH43:AH51)</f>
        <v>1089</v>
      </c>
      <c r="AI42" s="664">
        <f>SUM(AI43:AI51)</f>
        <v>1647</v>
      </c>
      <c r="AJ42" s="664">
        <f>SUM(AJ43:AJ51)</f>
        <v>0</v>
      </c>
      <c r="AK42" s="664">
        <f>SUM(AK43:AK51)</f>
        <v>0</v>
      </c>
      <c r="AL42" s="664">
        <f>SUM(AL43:AL51)</f>
        <v>0</v>
      </c>
      <c r="AM42" s="664">
        <f>SUM(AM43:AM51)</f>
        <v>0</v>
      </c>
      <c r="AN42" s="664">
        <f>SUM(AN43:AN51)</f>
        <v>0</v>
      </c>
      <c r="AO42" s="664">
        <f>SUM(AO43:AO51)</f>
        <v>0</v>
      </c>
      <c r="AP42" s="664">
        <f>SUM(AP43:AP51)</f>
        <v>0</v>
      </c>
      <c r="AQ42" s="664">
        <f>SUM(AQ43:AQ51)</f>
        <v>0</v>
      </c>
      <c r="AR42" s="664">
        <f>SUM(AR43:AR51)</f>
        <v>0</v>
      </c>
      <c r="AS42" s="664">
        <f>SUM(AS43:AS51)</f>
        <v>0</v>
      </c>
      <c r="AT42" s="664">
        <f>SUM(AT43:AT51)</f>
        <v>0</v>
      </c>
      <c r="AU42" s="664">
        <f>SUM(AU43:AU51)</f>
        <v>0</v>
      </c>
      <c r="AV42" s="664">
        <f>SUM(AV43:AV51)</f>
        <v>0</v>
      </c>
      <c r="AW42" s="664">
        <f>SUM(AW43:AW51)</f>
        <v>0</v>
      </c>
      <c r="AX42" s="664">
        <f>SUM(AX43:AX51)</f>
        <v>0</v>
      </c>
      <c r="AY42" s="664">
        <f>SUM(AY43:AY51)</f>
        <v>0</v>
      </c>
      <c r="AZ42" s="664">
        <f>SUM(AZ43:AZ51)</f>
        <v>0</v>
      </c>
      <c r="BA42" s="664">
        <f>SUM(BA43:BA51)</f>
        <v>0</v>
      </c>
      <c r="BB42" s="664">
        <f>SUM(BB43:BB51)</f>
        <v>0</v>
      </c>
      <c r="BC42" s="664">
        <f>SUM(BC43:BC51)</f>
        <v>1253.29</v>
      </c>
      <c r="BD42" s="664">
        <f>SUM(BD43:BD51)</f>
        <v>0</v>
      </c>
      <c r="BE42" s="664">
        <f>SUM(BE43:BE51)</f>
        <v>0</v>
      </c>
      <c r="BF42" s="664">
        <f>SUM(BF43:BF51)</f>
        <v>0</v>
      </c>
      <c r="BG42" s="664">
        <f>SUM(BG43:BG51)</f>
        <v>0</v>
      </c>
      <c r="BH42" s="664">
        <f>SUM(BH43:BH51)</f>
        <v>0</v>
      </c>
      <c r="BI42" s="664">
        <f>SUM(BI43:BI51)</f>
        <v>0</v>
      </c>
      <c r="BJ42" s="664">
        <f>SUM(BJ43:BJ51)</f>
        <v>0</v>
      </c>
      <c r="BK42" s="664">
        <f>SUM(BK43:BK51)</f>
        <v>0</v>
      </c>
      <c r="BL42" s="664">
        <f>SUM(BL43:BL51)</f>
        <v>0</v>
      </c>
      <c r="BM42" s="664">
        <f>SUM(BM43:BM51)</f>
        <v>0</v>
      </c>
      <c r="BN42" s="664">
        <f>SUM(BN43:BN51)</f>
        <v>0</v>
      </c>
      <c r="BO42" s="664">
        <f>SUM(BO43:BO51)</f>
        <v>0</v>
      </c>
      <c r="BP42" s="664">
        <f>SUM(BP43:BP51)</f>
        <v>0</v>
      </c>
      <c r="BQ42" s="664">
        <f>SUM(BQ43:BQ51)</f>
        <v>0</v>
      </c>
      <c r="BR42" s="664">
        <f>SUM(BR43:BR51)</f>
        <v>0</v>
      </c>
      <c r="BS42" s="664">
        <f>SUM(BS43:BS51)</f>
        <v>0</v>
      </c>
      <c r="BT42" s="664">
        <f>SUM(BT43:BT51)</f>
        <v>0</v>
      </c>
      <c r="BU42" s="664">
        <f>SUM(BU43:BU51)</f>
        <v>0</v>
      </c>
      <c r="BV42" s="664">
        <f>SUM(BV43:BV51)</f>
        <v>0</v>
      </c>
      <c r="BW42" s="1897"/>
      <c r="BX42" s="969"/>
      <c r="BY42" s="969"/>
      <c r="BZ42" s="489" t="s">
        <v>1475</v>
      </c>
      <c r="CA42" s="489"/>
      <c r="CB42" s="489"/>
      <c r="CC42" s="546"/>
      <c r="CD42" s="546"/>
      <c r="CE42" s="969"/>
      <c r="CF42" s="1501" cm="1" t="str">
        <f t="array" ref="CF42:CF42">INDEX('Общие сведения'!$N$170:$N$202,MATCH($F42,'Общие сведения'!$Y$170:$Y$202,0)+1)</f>
        <v>ТЭ.42.31656254.0001</v>
      </c>
      <c r="CG42" s="1501"/>
      <c r="CH42" s="1501"/>
      <c r="CI42" s="1501"/>
      <c r="CJ42" s="1501" t="s">
        <v>303</v>
      </c>
      <c r="CK42" s="1501" t="s">
        <v>1476</v>
      </c>
      <c r="CL42" s="1501" t="s">
        <v>1477</v>
      </c>
      <c r="CM42" s="969"/>
      <c r="CN42" s="969"/>
      <c r="CO42" s="969"/>
    </row>
    <row s="969" customFormat="1" customHeight="1" ht="58.5">
      <c r="A43" s="969"/>
      <c r="B43" s="969"/>
      <c r="C43" s="969"/>
      <c r="D43" s="969"/>
      <c r="E43" s="180">
        <v>60</v>
      </c>
      <c r="F43" s="175" cm="1" t="str">
        <f t="array" ref="F43:F43">OFFSET(G43,-1,-1)</f>
        <v>1</v>
      </c>
      <c r="G43" s="193" t="s">
        <v>1478</v>
      </c>
      <c r="H43" s="969"/>
      <c r="I43" s="969"/>
      <c r="J43" s="969"/>
      <c r="K43" s="969"/>
      <c r="L43" s="969"/>
      <c r="M43" s="969"/>
      <c r="N43" s="969"/>
      <c r="O43" s="969"/>
      <c r="P43" s="969"/>
      <c r="Q43" s="969"/>
      <c r="R43" s="969"/>
      <c r="S43" s="969"/>
      <c r="T43" s="753" cm="1" t="str">
        <f t="array" ref="T43:T43">T42</f>
        <v>true</v>
      </c>
      <c r="U43" s="969"/>
      <c r="V43" s="969"/>
      <c r="W43" s="969"/>
      <c r="X43" s="969"/>
      <c r="Y43" s="969"/>
      <c r="Z43" s="969"/>
      <c r="AA43" s="969"/>
      <c r="AB43" s="360">
        <v>1.1</v>
      </c>
      <c r="AC43" s="341" t="s">
        <v>1479</v>
      </c>
      <c r="AD43" s="320" t="s">
        <v>917</v>
      </c>
      <c r="AE43" s="1898"/>
      <c r="AF43" s="2323"/>
      <c r="AG43" s="2323"/>
      <c r="AH43" s="2323"/>
      <c r="AI43" s="658"/>
      <c r="AJ43" s="2323"/>
      <c r="AK43" s="2323"/>
      <c r="AL43" s="2323"/>
      <c r="AM43" s="2323"/>
      <c r="AN43" s="2323"/>
      <c r="AO43" s="2323"/>
      <c r="AP43" s="2323"/>
      <c r="AQ43" s="2323"/>
      <c r="AR43" s="2323"/>
      <c r="AS43" s="2323"/>
      <c r="AT43" s="2323"/>
      <c r="AU43" s="2323"/>
      <c r="AV43" s="2323"/>
      <c r="AW43" s="2323"/>
      <c r="AX43" s="2323"/>
      <c r="AY43" s="2323"/>
      <c r="AZ43" s="2323"/>
      <c r="BA43" s="2323"/>
      <c r="BB43" s="2323"/>
      <c r="BC43" s="658"/>
      <c r="BD43" s="2323"/>
      <c r="BE43" s="2323"/>
      <c r="BF43" s="2323"/>
      <c r="BG43" s="2323"/>
      <c r="BH43" s="2323"/>
      <c r="BI43" s="2323"/>
      <c r="BJ43" s="2323"/>
      <c r="BK43" s="2323"/>
      <c r="BL43" s="2323"/>
      <c r="BM43" s="2323"/>
      <c r="BN43" s="2323"/>
      <c r="BO43" s="2323"/>
      <c r="BP43" s="2323"/>
      <c r="BQ43" s="2323"/>
      <c r="BR43" s="2323"/>
      <c r="BS43" s="2323"/>
      <c r="BT43" s="2323"/>
      <c r="BU43" s="2323"/>
      <c r="BV43" s="2323"/>
      <c r="BW43" s="1897"/>
      <c r="BX43" s="969"/>
      <c r="BY43" s="969"/>
      <c r="BZ43" s="489" t="s">
        <v>1480</v>
      </c>
      <c r="CA43" s="489"/>
      <c r="CB43" s="489"/>
      <c r="CC43" s="546"/>
      <c r="CD43" s="546"/>
      <c r="CE43" s="969"/>
      <c r="CF43" s="1501" cm="1" t="str">
        <f t="array" ref="CF43:CF43">CF42</f>
        <v>ТЭ.42.31656254.0001</v>
      </c>
      <c r="CG43" s="1501" t="s">
        <v>1481</v>
      </c>
      <c r="CH43" s="1501"/>
      <c r="CI43" s="1501"/>
      <c r="CJ43" s="1501" t="s">
        <v>303</v>
      </c>
      <c r="CK43" s="1501" t="s">
        <v>1476</v>
      </c>
      <c r="CL43" s="1501" t="s">
        <v>1477</v>
      </c>
      <c r="CM43" s="969"/>
      <c r="CN43" s="969"/>
      <c r="CO43" s="969"/>
    </row>
    <row s="969" customFormat="1" customHeight="1" ht="16.5">
      <c r="A44" s="969"/>
      <c r="B44" s="969"/>
      <c r="C44" s="969"/>
      <c r="D44" s="969"/>
      <c r="E44" s="180">
        <v>17</v>
      </c>
      <c r="F44" s="175" cm="1" t="str">
        <f t="array" ref="F44:F44">OFFSET(G44,-1,-1)</f>
        <v>1</v>
      </c>
      <c r="G44" s="193" t="s">
        <v>1482</v>
      </c>
      <c r="H44" s="193" t="s">
        <v>1483</v>
      </c>
      <c r="I44" s="969"/>
      <c r="J44" s="969"/>
      <c r="K44" s="969"/>
      <c r="L44" s="969"/>
      <c r="M44" s="969"/>
      <c r="N44" s="969"/>
      <c r="O44" s="969"/>
      <c r="P44" s="969"/>
      <c r="Q44" s="969"/>
      <c r="R44" s="969"/>
      <c r="S44" s="969"/>
      <c r="T44" s="753" cm="1" t="str">
        <f t="array" ref="T44:T44">T43</f>
        <v>true</v>
      </c>
      <c r="U44" s="969"/>
      <c r="V44" s="969"/>
      <c r="W44" s="969"/>
      <c r="X44" s="969"/>
      <c r="Y44" s="969"/>
      <c r="Z44" s="969"/>
      <c r="AA44" s="969"/>
      <c r="AB44" s="360">
        <v>1.2</v>
      </c>
      <c r="AC44" s="341" t="s">
        <v>1484</v>
      </c>
      <c r="AD44" s="320" t="s">
        <v>917</v>
      </c>
      <c r="AE44" s="1898"/>
      <c r="AF44" s="2323"/>
      <c r="AG44" s="2323"/>
      <c r="AH44" s="2323"/>
      <c r="AI44" s="658"/>
      <c r="AJ44" s="2323"/>
      <c r="AK44" s="2323"/>
      <c r="AL44" s="2323"/>
      <c r="AM44" s="2323"/>
      <c r="AN44" s="2323"/>
      <c r="AO44" s="2323"/>
      <c r="AP44" s="2323"/>
      <c r="AQ44" s="2323"/>
      <c r="AR44" s="2323"/>
      <c r="AS44" s="2323"/>
      <c r="AT44" s="2323"/>
      <c r="AU44" s="2323"/>
      <c r="AV44" s="2323"/>
      <c r="AW44" s="2323"/>
      <c r="AX44" s="2323"/>
      <c r="AY44" s="2323"/>
      <c r="AZ44" s="2323"/>
      <c r="BA44" s="2323"/>
      <c r="BB44" s="2323"/>
      <c r="BC44" s="658"/>
      <c r="BD44" s="2323"/>
      <c r="BE44" s="2323"/>
      <c r="BF44" s="2323"/>
      <c r="BG44" s="2323"/>
      <c r="BH44" s="2323"/>
      <c r="BI44" s="2323"/>
      <c r="BJ44" s="2323"/>
      <c r="BK44" s="2323"/>
      <c r="BL44" s="2323"/>
      <c r="BM44" s="2323"/>
      <c r="BN44" s="2323"/>
      <c r="BO44" s="2323"/>
      <c r="BP44" s="2323"/>
      <c r="BQ44" s="2323"/>
      <c r="BR44" s="2323"/>
      <c r="BS44" s="2323"/>
      <c r="BT44" s="2323"/>
      <c r="BU44" s="2323"/>
      <c r="BV44" s="2323"/>
      <c r="BW44" s="1897"/>
      <c r="BX44" s="969"/>
      <c r="BY44" s="969"/>
      <c r="BZ44" s="489" t="s">
        <v>1485</v>
      </c>
      <c r="CA44" s="489"/>
      <c r="CB44" s="489"/>
      <c r="CC44" s="546"/>
      <c r="CD44" s="546"/>
      <c r="CE44" s="969"/>
      <c r="CF44" s="1501" cm="1" t="str">
        <f t="array" ref="CF44:CF44">CF43</f>
        <v>ТЭ.42.31656254.0001</v>
      </c>
      <c r="CG44" s="1501"/>
      <c r="CH44" s="1501" t="s">
        <v>1486</v>
      </c>
      <c r="CI44" s="1501"/>
      <c r="CJ44" s="1501" t="s">
        <v>303</v>
      </c>
      <c r="CK44" s="1501" t="s">
        <v>1476</v>
      </c>
      <c r="CL44" s="1501" t="s">
        <v>1477</v>
      </c>
      <c r="CM44" s="969"/>
      <c r="CN44" s="969"/>
      <c r="CO44" s="969"/>
    </row>
    <row s="969" customFormat="1" customHeight="1" ht="16.5">
      <c r="A45" s="969"/>
      <c r="B45" s="969"/>
      <c r="C45" s="969"/>
      <c r="D45" s="969"/>
      <c r="E45" s="180">
        <v>17</v>
      </c>
      <c r="F45" s="175" cm="1" t="str">
        <f t="array" ref="F45:F45">OFFSET(G45,-1,-1)</f>
        <v>1</v>
      </c>
      <c r="G45" s="193" t="s">
        <v>1487</v>
      </c>
      <c r="H45" s="969"/>
      <c r="I45" s="969"/>
      <c r="J45" s="969"/>
      <c r="K45" s="969"/>
      <c r="L45" s="969"/>
      <c r="M45" s="969"/>
      <c r="N45" s="969"/>
      <c r="O45" s="969"/>
      <c r="P45" s="969"/>
      <c r="Q45" s="969"/>
      <c r="R45" s="969"/>
      <c r="S45" s="969"/>
      <c r="T45" s="753" cm="1" t="str">
        <f t="array" ref="T45:T45">T44</f>
        <v>true</v>
      </c>
      <c r="U45" s="969"/>
      <c r="V45" s="969"/>
      <c r="W45" s="969"/>
      <c r="X45" s="969"/>
      <c r="Y45" s="969"/>
      <c r="Z45" s="969"/>
      <c r="AA45" s="969"/>
      <c r="AB45" s="360">
        <v>1.3</v>
      </c>
      <c r="AC45" s="341" t="s">
        <v>1488</v>
      </c>
      <c r="AD45" s="320" t="s">
        <v>917</v>
      </c>
      <c r="AE45" s="1898">
        <v>853</v>
      </c>
      <c r="AF45" s="2323">
        <v>1452.28</v>
      </c>
      <c r="AG45" s="2323">
        <v>1101.46</v>
      </c>
      <c r="AH45" s="2323">
        <v>1006</v>
      </c>
      <c r="AI45" s="658">
        <v>1570</v>
      </c>
      <c r="AJ45" s="2323"/>
      <c r="AK45" s="2323"/>
      <c r="AL45" s="2323"/>
      <c r="AM45" s="2323"/>
      <c r="AN45" s="2323"/>
      <c r="AO45" s="2323"/>
      <c r="AP45" s="2323"/>
      <c r="AQ45" s="2323"/>
      <c r="AR45" s="2323"/>
      <c r="AS45" s="2323"/>
      <c r="AT45" s="2323"/>
      <c r="AU45" s="2323"/>
      <c r="AV45" s="2323"/>
      <c r="AW45" s="2323"/>
      <c r="AX45" s="2323"/>
      <c r="AY45" s="2323"/>
      <c r="AZ45" s="2323"/>
      <c r="BA45" s="2323"/>
      <c r="BB45" s="2323"/>
      <c r="BC45" s="658">
        <v>1176.29</v>
      </c>
      <c r="BD45" s="2323"/>
      <c r="BE45" s="2323"/>
      <c r="BF45" s="2323"/>
      <c r="BG45" s="2323"/>
      <c r="BH45" s="2323"/>
      <c r="BI45" s="2323"/>
      <c r="BJ45" s="2323"/>
      <c r="BK45" s="2323"/>
      <c r="BL45" s="2323"/>
      <c r="BM45" s="2323"/>
      <c r="BN45" s="2323"/>
      <c r="BO45" s="2323"/>
      <c r="BP45" s="2323"/>
      <c r="BQ45" s="2323"/>
      <c r="BR45" s="2323"/>
      <c r="BS45" s="2323"/>
      <c r="BT45" s="2323"/>
      <c r="BU45" s="2323"/>
      <c r="BV45" s="2323"/>
      <c r="BW45" s="1897"/>
      <c r="BX45" s="969"/>
      <c r="BY45" s="969"/>
      <c r="BZ45" s="489" t="s">
        <v>1489</v>
      </c>
      <c r="CA45" s="489"/>
      <c r="CB45" s="489"/>
      <c r="CC45" s="546"/>
      <c r="CD45" s="546"/>
      <c r="CE45" s="969"/>
      <c r="CF45" s="1501" cm="1" t="str">
        <f t="array" ref="CF45:CF45">CF44</f>
        <v>ТЭ.42.31656254.0001</v>
      </c>
      <c r="CG45" s="1501" t="s">
        <v>1490</v>
      </c>
      <c r="CH45" s="1501"/>
      <c r="CI45" s="1501"/>
      <c r="CJ45" s="1501" t="s">
        <v>303</v>
      </c>
      <c r="CK45" s="1501" t="s">
        <v>1476</v>
      </c>
      <c r="CL45" s="1501" t="s">
        <v>1477</v>
      </c>
      <c r="CM45" s="969"/>
      <c r="CN45" s="969"/>
      <c r="CO45" s="969"/>
    </row>
    <row s="1751" customFormat="1" customHeight="1" ht="16.5">
      <c r="A46" s="371"/>
      <c r="B46" s="1548"/>
      <c r="C46" s="1548"/>
      <c r="D46" s="1548"/>
      <c r="E46" s="180">
        <v>17</v>
      </c>
      <c r="F46" s="175" cm="1" t="str">
        <f t="array" ref="F46:F46">OFFSET(G46,-1,-1)</f>
        <v>1</v>
      </c>
      <c r="G46" s="193" t="s">
        <v>1482</v>
      </c>
      <c r="H46" s="193" t="s">
        <v>1482</v>
      </c>
      <c r="I46" s="1659"/>
      <c r="J46" s="1659"/>
      <c r="K46" s="1659"/>
      <c r="L46" s="1659"/>
      <c r="M46" s="1659"/>
      <c r="N46" s="1659"/>
      <c r="O46" s="1659"/>
      <c r="P46" s="1659"/>
      <c r="Q46" s="1659"/>
      <c r="R46" s="1659"/>
      <c r="S46" s="1659"/>
      <c r="T46" s="753" cm="1" t="str">
        <f t="array" ref="T46:T46">T45</f>
        <v>true</v>
      </c>
      <c r="U46" s="1548"/>
      <c r="V46" s="1548"/>
      <c r="W46" s="1548"/>
      <c r="X46" s="1548"/>
      <c r="Y46" s="1548"/>
      <c r="Z46" s="1548"/>
      <c r="AA46" s="1727"/>
      <c r="AB46" s="360">
        <v>1.4</v>
      </c>
      <c r="AC46" s="341" t="s">
        <v>1491</v>
      </c>
      <c r="AD46" s="320" t="s">
        <v>917</v>
      </c>
      <c r="AE46" s="2326"/>
      <c r="AF46" s="2326"/>
      <c r="AG46" s="2326"/>
      <c r="AH46" s="2326"/>
      <c r="AI46" s="665"/>
      <c r="AJ46" s="2326"/>
      <c r="AK46" s="2326"/>
      <c r="AL46" s="2326"/>
      <c r="AM46" s="2326"/>
      <c r="AN46" s="2326"/>
      <c r="AO46" s="2326"/>
      <c r="AP46" s="2326"/>
      <c r="AQ46" s="2326"/>
      <c r="AR46" s="2326"/>
      <c r="AS46" s="2326"/>
      <c r="AT46" s="2326"/>
      <c r="AU46" s="2326"/>
      <c r="AV46" s="2326"/>
      <c r="AW46" s="2326"/>
      <c r="AX46" s="2326"/>
      <c r="AY46" s="2326"/>
      <c r="AZ46" s="2326"/>
      <c r="BA46" s="2326"/>
      <c r="BB46" s="2326"/>
      <c r="BC46" s="665"/>
      <c r="BD46" s="2326"/>
      <c r="BE46" s="2326"/>
      <c r="BF46" s="2326"/>
      <c r="BG46" s="2326"/>
      <c r="BH46" s="2326"/>
      <c r="BI46" s="2326"/>
      <c r="BJ46" s="2326"/>
      <c r="BK46" s="2326"/>
      <c r="BL46" s="2326"/>
      <c r="BM46" s="2326"/>
      <c r="BN46" s="2326"/>
      <c r="BO46" s="2326"/>
      <c r="BP46" s="2326"/>
      <c r="BQ46" s="2326"/>
      <c r="BR46" s="2326"/>
      <c r="BS46" s="2326"/>
      <c r="BT46" s="2326"/>
      <c r="BU46" s="2326"/>
      <c r="BV46" s="2326"/>
      <c r="BW46" s="1897"/>
      <c r="BX46" s="1727"/>
      <c r="BY46" s="969"/>
      <c r="BZ46" s="489" t="s">
        <v>586</v>
      </c>
      <c r="CA46" s="1125"/>
      <c r="CB46" s="1125"/>
      <c r="CC46" s="1126"/>
      <c r="CD46" s="1126"/>
      <c r="CE46" s="1506"/>
      <c r="CF46" s="1501" cm="1" t="str">
        <f t="array" ref="CF46:CF46">CF45</f>
        <v>ТЭ.42.31656254.0001</v>
      </c>
      <c r="CG46" s="1501"/>
      <c r="CH46" s="1501" t="s">
        <v>1492</v>
      </c>
      <c r="CI46" s="1501"/>
      <c r="CJ46" s="1501" t="s">
        <v>303</v>
      </c>
      <c r="CK46" s="1501" t="s">
        <v>1476</v>
      </c>
      <c r="CL46" s="1501" t="s">
        <v>1477</v>
      </c>
      <c r="CM46" s="1751"/>
      <c r="CN46" s="1751"/>
      <c r="CO46" s="1751"/>
    </row>
    <row s="969" customFormat="1" customHeight="1" ht="16.5">
      <c r="A47" s="969"/>
      <c r="B47" s="969"/>
      <c r="C47" s="969"/>
      <c r="D47" s="969"/>
      <c r="E47" s="180">
        <v>17</v>
      </c>
      <c r="F47" s="175" cm="1" t="str">
        <f t="array" ref="F47:F47">OFFSET(G47,-1,-1)</f>
        <v>1</v>
      </c>
      <c r="G47" s="193" t="s">
        <v>1482</v>
      </c>
      <c r="H47" s="193" t="s">
        <v>1493</v>
      </c>
      <c r="I47" s="969"/>
      <c r="J47" s="969"/>
      <c r="K47" s="969"/>
      <c r="L47" s="969"/>
      <c r="M47" s="969"/>
      <c r="N47" s="969"/>
      <c r="O47" s="969"/>
      <c r="P47" s="969"/>
      <c r="Q47" s="969"/>
      <c r="R47" s="969"/>
      <c r="S47" s="969"/>
      <c r="T47" s="753" cm="1" t="str">
        <f t="array" ref="T47:T47">T46</f>
        <v>true</v>
      </c>
      <c r="U47" s="969"/>
      <c r="V47" s="969"/>
      <c r="W47" s="969"/>
      <c r="X47" s="969"/>
      <c r="Y47" s="969"/>
      <c r="Z47" s="969"/>
      <c r="AA47" s="969"/>
      <c r="AB47" s="360">
        <v>1.5</v>
      </c>
      <c r="AC47" s="341" t="s">
        <v>1494</v>
      </c>
      <c r="AD47" s="320" t="s">
        <v>917</v>
      </c>
      <c r="AE47" s="1898">
        <v>88</v>
      </c>
      <c r="AF47" s="1898">
        <v>87.78</v>
      </c>
      <c r="AG47" s="1898">
        <v>87.78</v>
      </c>
      <c r="AH47" s="1898">
        <v>83</v>
      </c>
      <c r="AI47" s="439">
        <v>77</v>
      </c>
      <c r="AJ47" s="1898"/>
      <c r="AK47" s="1898"/>
      <c r="AL47" s="1898"/>
      <c r="AM47" s="1898"/>
      <c r="AN47" s="1898"/>
      <c r="AO47" s="1898"/>
      <c r="AP47" s="1898"/>
      <c r="AQ47" s="1898"/>
      <c r="AR47" s="1898"/>
      <c r="AS47" s="1898"/>
      <c r="AT47" s="1898"/>
      <c r="AU47" s="1898"/>
      <c r="AV47" s="1898"/>
      <c r="AW47" s="1898"/>
      <c r="AX47" s="1898"/>
      <c r="AY47" s="1898"/>
      <c r="AZ47" s="1898"/>
      <c r="BA47" s="1898"/>
      <c r="BB47" s="1898"/>
      <c r="BC47" s="439">
        <v>77</v>
      </c>
      <c r="BD47" s="1898"/>
      <c r="BE47" s="1898"/>
      <c r="BF47" s="1898"/>
      <c r="BG47" s="1898"/>
      <c r="BH47" s="1898"/>
      <c r="BI47" s="1898"/>
      <c r="BJ47" s="1898"/>
      <c r="BK47" s="1898"/>
      <c r="BL47" s="1898"/>
      <c r="BM47" s="1898"/>
      <c r="BN47" s="1898"/>
      <c r="BO47" s="1898"/>
      <c r="BP47" s="1898"/>
      <c r="BQ47" s="1898"/>
      <c r="BR47" s="1898"/>
      <c r="BS47" s="1898"/>
      <c r="BT47" s="1898"/>
      <c r="BU47" s="1898"/>
      <c r="BV47" s="1898"/>
      <c r="BW47" s="1897"/>
      <c r="BX47" s="969"/>
      <c r="BY47" s="969"/>
      <c r="BZ47" s="489" t="s">
        <v>582</v>
      </c>
      <c r="CA47" s="489"/>
      <c r="CB47" s="489"/>
      <c r="CC47" s="546"/>
      <c r="CD47" s="546"/>
      <c r="CE47" s="969"/>
      <c r="CF47" s="1501" cm="1" t="str">
        <f t="array" ref="CF47:CF47">CF46</f>
        <v>ТЭ.42.31656254.0001</v>
      </c>
      <c r="CG47" s="1501"/>
      <c r="CH47" s="1501" t="s">
        <v>1495</v>
      </c>
      <c r="CI47" s="1501"/>
      <c r="CJ47" s="1501" t="s">
        <v>303</v>
      </c>
      <c r="CK47" s="1501" t="s">
        <v>1476</v>
      </c>
      <c r="CL47" s="1501" t="s">
        <v>1477</v>
      </c>
      <c r="CM47" s="969"/>
      <c r="CN47" s="969"/>
      <c r="CO47" s="969"/>
    </row>
    <row s="969" customFormat="1" customHeight="1" ht="16.5">
      <c r="A48" s="969"/>
      <c r="B48" s="969"/>
      <c r="C48" s="969"/>
      <c r="D48" s="969"/>
      <c r="E48" s="180">
        <v>17</v>
      </c>
      <c r="F48" s="175" cm="1" t="str">
        <f t="array" ref="F48:F48">OFFSET(G48,-1,-1)</f>
        <v>1</v>
      </c>
      <c r="G48" s="193" t="s">
        <v>1482</v>
      </c>
      <c r="H48" s="193" t="s">
        <v>1496</v>
      </c>
      <c r="I48" s="969"/>
      <c r="J48" s="969"/>
      <c r="K48" s="969"/>
      <c r="L48" s="969"/>
      <c r="M48" s="969"/>
      <c r="N48" s="969"/>
      <c r="O48" s="969"/>
      <c r="P48" s="969"/>
      <c r="Q48" s="969"/>
      <c r="R48" s="969"/>
      <c r="S48" s="969"/>
      <c r="T48" s="753" cm="1" t="str">
        <f t="array" ref="T48:T48">T47</f>
        <v>true</v>
      </c>
      <c r="U48" s="969"/>
      <c r="V48" s="969"/>
      <c r="W48" s="969"/>
      <c r="X48" s="969"/>
      <c r="Y48" s="969"/>
      <c r="Z48" s="969"/>
      <c r="AA48" s="969"/>
      <c r="AB48" s="360">
        <v>1.6</v>
      </c>
      <c r="AC48" s="341" t="s">
        <v>1497</v>
      </c>
      <c r="AD48" s="320" t="s">
        <v>917</v>
      </c>
      <c r="AE48" s="1898"/>
      <c r="AF48" s="1898"/>
      <c r="AG48" s="1898"/>
      <c r="AH48" s="1898"/>
      <c r="AI48" s="439"/>
      <c r="AJ48" s="1898"/>
      <c r="AK48" s="1898"/>
      <c r="AL48" s="1898"/>
      <c r="AM48" s="1898"/>
      <c r="AN48" s="1898"/>
      <c r="AO48" s="1898"/>
      <c r="AP48" s="1898"/>
      <c r="AQ48" s="1898"/>
      <c r="AR48" s="1898"/>
      <c r="AS48" s="1898"/>
      <c r="AT48" s="1898"/>
      <c r="AU48" s="1898"/>
      <c r="AV48" s="1898"/>
      <c r="AW48" s="1898"/>
      <c r="AX48" s="1898"/>
      <c r="AY48" s="1898"/>
      <c r="AZ48" s="1898"/>
      <c r="BA48" s="1898"/>
      <c r="BB48" s="1898"/>
      <c r="BC48" s="439"/>
      <c r="BD48" s="1898"/>
      <c r="BE48" s="1898"/>
      <c r="BF48" s="1898"/>
      <c r="BG48" s="1898"/>
      <c r="BH48" s="1898"/>
      <c r="BI48" s="1898"/>
      <c r="BJ48" s="1898"/>
      <c r="BK48" s="1898"/>
      <c r="BL48" s="1898"/>
      <c r="BM48" s="1898"/>
      <c r="BN48" s="1898"/>
      <c r="BO48" s="1898"/>
      <c r="BP48" s="1898"/>
      <c r="BQ48" s="1898"/>
      <c r="BR48" s="1898"/>
      <c r="BS48" s="1898"/>
      <c r="BT48" s="1898"/>
      <c r="BU48" s="1898"/>
      <c r="BV48" s="1898"/>
      <c r="BW48" s="1897"/>
      <c r="BX48" s="969"/>
      <c r="BY48" s="969"/>
      <c r="BZ48" s="489" t="s">
        <v>1498</v>
      </c>
      <c r="CA48" s="489"/>
      <c r="CB48" s="489"/>
      <c r="CC48" s="546"/>
      <c r="CD48" s="546"/>
      <c r="CE48" s="969"/>
      <c r="CF48" s="1501" cm="1" t="str">
        <f t="array" ref="CF48:CF48">CF47</f>
        <v>ТЭ.42.31656254.0001</v>
      </c>
      <c r="CG48" s="1501"/>
      <c r="CH48" s="1501" t="s">
        <v>1499</v>
      </c>
      <c r="CI48" s="1501"/>
      <c r="CJ48" s="1501" t="s">
        <v>303</v>
      </c>
      <c r="CK48" s="1501" t="s">
        <v>1476</v>
      </c>
      <c r="CL48" s="1501" t="s">
        <v>1477</v>
      </c>
      <c r="CM48" s="969"/>
      <c r="CN48" s="969"/>
      <c r="CO48" s="969"/>
    </row>
    <row s="969" customFormat="1" customHeight="1" ht="16.5">
      <c r="A49" s="969"/>
      <c r="B49" s="969"/>
      <c r="C49" s="969"/>
      <c r="D49" s="969"/>
      <c r="E49" s="180">
        <v>17</v>
      </c>
      <c r="F49" s="175" cm="1" t="str">
        <f t="array" ref="F49:F49">OFFSET(G49,-1,-1)</f>
        <v>1</v>
      </c>
      <c r="G49" s="193" t="s">
        <v>1500</v>
      </c>
      <c r="H49" s="969"/>
      <c r="I49" s="969"/>
      <c r="J49" s="969"/>
      <c r="K49" s="969"/>
      <c r="L49" s="969"/>
      <c r="M49" s="969"/>
      <c r="N49" s="969"/>
      <c r="O49" s="969"/>
      <c r="P49" s="969"/>
      <c r="Q49" s="969"/>
      <c r="R49" s="969"/>
      <c r="S49" s="969"/>
      <c r="T49" s="753" cm="1" t="str">
        <f t="array" ref="T49:T49">T48</f>
        <v>true</v>
      </c>
      <c r="U49" s="969"/>
      <c r="V49" s="969"/>
      <c r="W49" s="969"/>
      <c r="X49" s="969"/>
      <c r="Y49" s="969"/>
      <c r="Z49" s="969"/>
      <c r="AA49" s="969"/>
      <c r="AB49" s="360">
        <v>1.7</v>
      </c>
      <c r="AC49" s="341" t="s">
        <v>1501</v>
      </c>
      <c r="AD49" s="320" t="s">
        <v>917</v>
      </c>
      <c r="AE49" s="1898"/>
      <c r="AF49" s="1898"/>
      <c r="AG49" s="1898"/>
      <c r="AH49" s="1898"/>
      <c r="AI49" s="439"/>
      <c r="AJ49" s="1898"/>
      <c r="AK49" s="1898"/>
      <c r="AL49" s="1898"/>
      <c r="AM49" s="1898"/>
      <c r="AN49" s="1898"/>
      <c r="AO49" s="1898"/>
      <c r="AP49" s="1898"/>
      <c r="AQ49" s="1898"/>
      <c r="AR49" s="1898"/>
      <c r="AS49" s="1898"/>
      <c r="AT49" s="1898"/>
      <c r="AU49" s="1898"/>
      <c r="AV49" s="1898"/>
      <c r="AW49" s="1898"/>
      <c r="AX49" s="1898"/>
      <c r="AY49" s="1898"/>
      <c r="AZ49" s="1898"/>
      <c r="BA49" s="1898"/>
      <c r="BB49" s="1898"/>
      <c r="BC49" s="439"/>
      <c r="BD49" s="1898"/>
      <c r="BE49" s="1898"/>
      <c r="BF49" s="1898"/>
      <c r="BG49" s="1898"/>
      <c r="BH49" s="1898"/>
      <c r="BI49" s="1898"/>
      <c r="BJ49" s="1898"/>
      <c r="BK49" s="1898"/>
      <c r="BL49" s="1898"/>
      <c r="BM49" s="1898"/>
      <c r="BN49" s="1898"/>
      <c r="BO49" s="1898"/>
      <c r="BP49" s="1898"/>
      <c r="BQ49" s="1898"/>
      <c r="BR49" s="1898"/>
      <c r="BS49" s="1898"/>
      <c r="BT49" s="1898"/>
      <c r="BU49" s="1898"/>
      <c r="BV49" s="1898"/>
      <c r="BW49" s="1897"/>
      <c r="BX49" s="969"/>
      <c r="BY49" s="969"/>
      <c r="BZ49" s="489" t="s">
        <v>590</v>
      </c>
      <c r="CA49" s="489"/>
      <c r="CB49" s="489"/>
      <c r="CC49" s="546"/>
      <c r="CD49" s="546"/>
      <c r="CE49" s="969"/>
      <c r="CF49" s="1501" cm="1" t="str">
        <f t="array" ref="CF49:CF49">CF48</f>
        <v>ТЭ.42.31656254.0001</v>
      </c>
      <c r="CG49" s="1501"/>
      <c r="CH49" s="1501" t="s">
        <v>1502</v>
      </c>
      <c r="CI49" s="1501"/>
      <c r="CJ49" s="1501" t="s">
        <v>303</v>
      </c>
      <c r="CK49" s="1501" t="s">
        <v>1476</v>
      </c>
      <c r="CL49" s="1501" t="s">
        <v>1477</v>
      </c>
      <c r="CM49" s="969"/>
      <c r="CN49" s="969"/>
      <c r="CO49" s="969"/>
    </row>
    <row s="969" customFormat="1" customHeight="1" ht="16.5">
      <c r="A50" s="969"/>
      <c r="B50" s="969"/>
      <c r="C50" s="969"/>
      <c r="D50" s="969"/>
      <c r="E50" s="180">
        <v>17</v>
      </c>
      <c r="F50" s="175" cm="1" t="str">
        <f t="array" ref="F50:F50">OFFSET(G50,-1,-1)</f>
        <v>1</v>
      </c>
      <c r="G50" s="193" t="s">
        <v>1482</v>
      </c>
      <c r="H50" s="193" t="s">
        <v>1503</v>
      </c>
      <c r="I50" s="969"/>
      <c r="J50" s="969"/>
      <c r="K50" s="969"/>
      <c r="L50" s="969"/>
      <c r="M50" s="969"/>
      <c r="N50" s="969"/>
      <c r="O50" s="969"/>
      <c r="P50" s="969"/>
      <c r="Q50" s="969"/>
      <c r="R50" s="969"/>
      <c r="S50" s="969"/>
      <c r="T50" s="753" cm="1" t="str">
        <f t="array" ref="T50:T50">T49</f>
        <v>true</v>
      </c>
      <c r="U50" s="969"/>
      <c r="V50" s="969"/>
      <c r="W50" s="969"/>
      <c r="X50" s="969"/>
      <c r="Y50" s="969"/>
      <c r="Z50" s="969"/>
      <c r="AA50" s="969"/>
      <c r="AB50" s="360">
        <v>1.8</v>
      </c>
      <c r="AC50" s="341" t="s">
        <v>1504</v>
      </c>
      <c r="AD50" s="320" t="s">
        <v>917</v>
      </c>
      <c r="AE50" s="1898"/>
      <c r="AF50" s="1898"/>
      <c r="AG50" s="1898"/>
      <c r="AH50" s="1898"/>
      <c r="AI50" s="439"/>
      <c r="AJ50" s="1898"/>
      <c r="AK50" s="1898"/>
      <c r="AL50" s="1898"/>
      <c r="AM50" s="1898"/>
      <c r="AN50" s="1898"/>
      <c r="AO50" s="1898"/>
      <c r="AP50" s="1898"/>
      <c r="AQ50" s="1898"/>
      <c r="AR50" s="1898"/>
      <c r="AS50" s="1898"/>
      <c r="AT50" s="1898"/>
      <c r="AU50" s="1898"/>
      <c r="AV50" s="1898"/>
      <c r="AW50" s="1898"/>
      <c r="AX50" s="1898"/>
      <c r="AY50" s="1898"/>
      <c r="AZ50" s="1898"/>
      <c r="BA50" s="1898"/>
      <c r="BB50" s="1898"/>
      <c r="BC50" s="439"/>
      <c r="BD50" s="1898"/>
      <c r="BE50" s="1898"/>
      <c r="BF50" s="1898"/>
      <c r="BG50" s="1898"/>
      <c r="BH50" s="1898"/>
      <c r="BI50" s="1898"/>
      <c r="BJ50" s="1898"/>
      <c r="BK50" s="1898"/>
      <c r="BL50" s="1898"/>
      <c r="BM50" s="1898"/>
      <c r="BN50" s="1898"/>
      <c r="BO50" s="1898"/>
      <c r="BP50" s="1898"/>
      <c r="BQ50" s="1898"/>
      <c r="BR50" s="1898"/>
      <c r="BS50" s="1898"/>
      <c r="BT50" s="1898"/>
      <c r="BU50" s="1898"/>
      <c r="BV50" s="1898"/>
      <c r="BW50" s="1897"/>
      <c r="BX50" s="969"/>
      <c r="BY50" s="969"/>
      <c r="BZ50" s="489" t="s">
        <v>1505</v>
      </c>
      <c r="CA50" s="489"/>
      <c r="CB50" s="489"/>
      <c r="CC50" s="546"/>
      <c r="CD50" s="546"/>
      <c r="CE50" s="969"/>
      <c r="CF50" s="1501" cm="1" t="str">
        <f t="array" ref="CF50:CF50">CF49</f>
        <v>ТЭ.42.31656254.0001</v>
      </c>
      <c r="CG50" s="1501" t="s">
        <v>1506</v>
      </c>
      <c r="CH50" s="1501"/>
      <c r="CI50" s="1501"/>
      <c r="CJ50" s="1501" t="s">
        <v>303</v>
      </c>
      <c r="CK50" s="1501" t="s">
        <v>1476</v>
      </c>
      <c r="CL50" s="1501" t="s">
        <v>1477</v>
      </c>
      <c r="CM50" s="969"/>
      <c r="CN50" s="969"/>
      <c r="CO50" s="969"/>
    </row>
    <row s="969" customFormat="1" customHeight="1" ht="16.5">
      <c r="A51" s="969"/>
      <c r="B51" s="969"/>
      <c r="C51" s="969"/>
      <c r="D51" s="969"/>
      <c r="E51" s="180">
        <v>17</v>
      </c>
      <c r="F51" s="175" cm="1" t="str">
        <f t="array" ref="F51:F51">OFFSET(G51,-1,-1)</f>
        <v>1</v>
      </c>
      <c r="G51" s="193" t="s">
        <v>1482</v>
      </c>
      <c r="H51" s="193" t="s">
        <v>1482</v>
      </c>
      <c r="I51" s="969"/>
      <c r="J51" s="969"/>
      <c r="K51" s="969"/>
      <c r="L51" s="969"/>
      <c r="M51" s="969"/>
      <c r="N51" s="969"/>
      <c r="O51" s="969"/>
      <c r="P51" s="969"/>
      <c r="Q51" s="969"/>
      <c r="R51" s="969"/>
      <c r="S51" s="969"/>
      <c r="T51" s="753" cm="1" t="str">
        <f t="array" ref="T51:T51">T50</f>
        <v>true</v>
      </c>
      <c r="U51" s="969"/>
      <c r="V51" s="969"/>
      <c r="W51" s="969"/>
      <c r="X51" s="969"/>
      <c r="Y51" s="969"/>
      <c r="Z51" s="969"/>
      <c r="AA51" s="969"/>
      <c r="AB51" s="360">
        <v>1.9</v>
      </c>
      <c r="AC51" s="341" t="s">
        <v>1507</v>
      </c>
      <c r="AD51" s="320" t="s">
        <v>917</v>
      </c>
      <c r="AE51" s="438">
        <f>SUM(AE52:AE54)</f>
        <v>0</v>
      </c>
      <c r="AF51" s="438">
        <f>SUM(AF52:AF54)</f>
        <v>0</v>
      </c>
      <c r="AG51" s="438">
        <f>SUM(AG52:AG54)</f>
        <v>0</v>
      </c>
      <c r="AH51" s="438">
        <f>SUM(AH52:AH54)</f>
        <v>0</v>
      </c>
      <c r="AI51" s="438">
        <f>SUM(AI52:AI54)</f>
        <v>0</v>
      </c>
      <c r="AJ51" s="438">
        <f>SUM(AJ52:AJ54)</f>
        <v>0</v>
      </c>
      <c r="AK51" s="438">
        <f>SUM(AK52:AK54)</f>
        <v>0</v>
      </c>
      <c r="AL51" s="438">
        <f>SUM(AL52:AL54)</f>
        <v>0</v>
      </c>
      <c r="AM51" s="438">
        <f>SUM(AM52:AM54)</f>
        <v>0</v>
      </c>
      <c r="AN51" s="438">
        <f>SUM(AN52:AN54)</f>
        <v>0</v>
      </c>
      <c r="AO51" s="438">
        <f>SUM(AO52:AO54)</f>
        <v>0</v>
      </c>
      <c r="AP51" s="438">
        <f>SUM(AP52:AP54)</f>
        <v>0</v>
      </c>
      <c r="AQ51" s="438">
        <f>SUM(AQ52:AQ54)</f>
        <v>0</v>
      </c>
      <c r="AR51" s="438">
        <f>SUM(AR52:AR54)</f>
        <v>0</v>
      </c>
      <c r="AS51" s="438">
        <f>SUM(AS52:AS54)</f>
        <v>0</v>
      </c>
      <c r="AT51" s="438">
        <f>SUM(AT52:AT54)</f>
        <v>0</v>
      </c>
      <c r="AU51" s="438">
        <f>SUM(AU52:AU54)</f>
        <v>0</v>
      </c>
      <c r="AV51" s="438">
        <f>SUM(AV52:AV54)</f>
        <v>0</v>
      </c>
      <c r="AW51" s="438">
        <f>SUM(AW52:AW54)</f>
        <v>0</v>
      </c>
      <c r="AX51" s="438">
        <f>SUM(AX52:AX54)</f>
        <v>0</v>
      </c>
      <c r="AY51" s="438">
        <f>SUM(AY52:AY54)</f>
        <v>0</v>
      </c>
      <c r="AZ51" s="438">
        <f>SUM(AZ52:AZ54)</f>
        <v>0</v>
      </c>
      <c r="BA51" s="438">
        <f>SUM(BA52:BA54)</f>
        <v>0</v>
      </c>
      <c r="BB51" s="438">
        <f>SUM(BB52:BB54)</f>
        <v>0</v>
      </c>
      <c r="BC51" s="438">
        <f>SUM(BC52:BC54)</f>
        <v>0</v>
      </c>
      <c r="BD51" s="438">
        <f>SUM(BD52:BD54)</f>
        <v>0</v>
      </c>
      <c r="BE51" s="438">
        <f>SUM(BE52:BE54)</f>
        <v>0</v>
      </c>
      <c r="BF51" s="438">
        <f>SUM(BF52:BF54)</f>
        <v>0</v>
      </c>
      <c r="BG51" s="438">
        <f>SUM(BG52:BG54)</f>
        <v>0</v>
      </c>
      <c r="BH51" s="438">
        <f>SUM(BH52:BH54)</f>
        <v>0</v>
      </c>
      <c r="BI51" s="438">
        <f>SUM(BI52:BI54)</f>
        <v>0</v>
      </c>
      <c r="BJ51" s="438">
        <f>SUM(BJ52:BJ54)</f>
        <v>0</v>
      </c>
      <c r="BK51" s="438">
        <f>SUM(BK52:BK54)</f>
        <v>0</v>
      </c>
      <c r="BL51" s="438">
        <f>SUM(BL52:BL54)</f>
        <v>0</v>
      </c>
      <c r="BM51" s="438">
        <f>SUM(BM52:BM54)</f>
        <v>0</v>
      </c>
      <c r="BN51" s="438">
        <f>SUM(BN52:BN54)</f>
        <v>0</v>
      </c>
      <c r="BO51" s="438">
        <f>SUM(BO52:BO54)</f>
        <v>0</v>
      </c>
      <c r="BP51" s="438">
        <f>SUM(BP52:BP54)</f>
        <v>0</v>
      </c>
      <c r="BQ51" s="438">
        <f>SUM(BQ52:BQ54)</f>
        <v>0</v>
      </c>
      <c r="BR51" s="438">
        <f>SUM(BR52:BR54)</f>
        <v>0</v>
      </c>
      <c r="BS51" s="438">
        <f>SUM(BS52:BS54)</f>
        <v>0</v>
      </c>
      <c r="BT51" s="438">
        <f>SUM(BT52:BT54)</f>
        <v>0</v>
      </c>
      <c r="BU51" s="438">
        <f>SUM(BU52:BU54)</f>
        <v>0</v>
      </c>
      <c r="BV51" s="438">
        <f>SUM(BV52:BV54)</f>
        <v>0</v>
      </c>
      <c r="BW51" s="1897"/>
      <c r="BX51" s="969"/>
      <c r="BY51" s="969"/>
      <c r="BZ51" s="489" t="s">
        <v>1403</v>
      </c>
      <c r="CA51" s="489"/>
      <c r="CB51" s="489"/>
      <c r="CC51" s="546"/>
      <c r="CD51" s="546"/>
      <c r="CE51" s="969"/>
      <c r="CF51" s="1501" cm="1" t="str">
        <f t="array" ref="CF51:CF51">CF50</f>
        <v>ТЭ.42.31656254.0001</v>
      </c>
      <c r="CG51" s="1501" t="s">
        <v>1508</v>
      </c>
      <c r="CH51" s="1501"/>
      <c r="CI51" s="1501"/>
      <c r="CJ51" s="1501" t="s">
        <v>303</v>
      </c>
      <c r="CK51" s="1501" t="s">
        <v>1476</v>
      </c>
      <c r="CL51" s="1501" t="s">
        <v>1477</v>
      </c>
      <c r="CM51" s="969"/>
      <c r="CN51" s="969"/>
      <c r="CO51" s="969"/>
    </row>
    <row s="1751" customFormat="1" customHeight="1" ht="17.25" hidden="1">
      <c r="A52" s="371"/>
      <c r="B52" s="1548"/>
      <c r="C52" s="1548"/>
      <c r="D52" s="1548"/>
      <c r="E52" s="965">
        <v>0</v>
      </c>
      <c r="F52" s="175" cm="1" t="str">
        <f t="array" ref="F52:F52">OFFSET(G52,-1,-1)</f>
        <v>1</v>
      </c>
      <c r="G52" s="1659"/>
      <c r="H52" s="1659"/>
      <c r="I52" s="1659"/>
      <c r="J52" s="1659"/>
      <c r="K52" s="1659"/>
      <c r="L52" s="1659"/>
      <c r="M52" s="1659"/>
      <c r="N52" s="1659"/>
      <c r="O52" s="1659"/>
      <c r="P52" s="1659"/>
      <c r="Q52" s="1659"/>
      <c r="R52" s="1659"/>
      <c r="S52" s="1659"/>
      <c r="T52" s="753" cm="1" t="str">
        <f t="array" ref="T52:T52">T51</f>
        <v>true</v>
      </c>
      <c r="U52" s="1548"/>
      <c r="V52" s="1548"/>
      <c r="W52" s="1548"/>
      <c r="X52" s="1548"/>
      <c r="Y52" s="1548"/>
      <c r="Z52" s="1548"/>
      <c r="AA52" s="1727"/>
      <c r="AB52" s="666"/>
      <c r="AC52" s="646"/>
      <c r="AD52" s="320"/>
      <c r="AE52" s="617"/>
      <c r="AF52" s="617"/>
      <c r="AG52" s="617"/>
      <c r="AH52" s="617"/>
      <c r="AI52" s="617"/>
      <c r="AJ52" s="617"/>
      <c r="AK52" s="617"/>
      <c r="AL52" s="617"/>
      <c r="AM52" s="617"/>
      <c r="AN52" s="617"/>
      <c r="AO52" s="617"/>
      <c r="AP52" s="617"/>
      <c r="AQ52" s="617"/>
      <c r="AR52" s="617"/>
      <c r="AS52" s="617"/>
      <c r="AT52" s="617"/>
      <c r="AU52" s="617"/>
      <c r="AV52" s="617"/>
      <c r="AW52" s="617"/>
      <c r="AX52" s="617"/>
      <c r="AY52" s="617"/>
      <c r="AZ52" s="617"/>
      <c r="BA52" s="617"/>
      <c r="BB52" s="617"/>
      <c r="BC52" s="617"/>
      <c r="BD52" s="617"/>
      <c r="BE52" s="617"/>
      <c r="BF52" s="617"/>
      <c r="BG52" s="617"/>
      <c r="BH52" s="617"/>
      <c r="BI52" s="617"/>
      <c r="BJ52" s="617"/>
      <c r="BK52" s="617"/>
      <c r="BL52" s="617"/>
      <c r="BM52" s="617"/>
      <c r="BN52" s="617"/>
      <c r="BO52" s="617"/>
      <c r="BP52" s="617"/>
      <c r="BQ52" s="617"/>
      <c r="BR52" s="617"/>
      <c r="BS52" s="617"/>
      <c r="BT52" s="617"/>
      <c r="BU52" s="617"/>
      <c r="BV52" s="617"/>
      <c r="BW52" s="320"/>
      <c r="BX52" s="1727"/>
      <c r="BY52" s="969"/>
      <c r="BZ52" s="489" t="str">
        <f>IF(AND(ISNUMBER(VALUE(TRIM(SUBSTITUTE(AB52,".","")))),TRIM(SUBSTITUTE(AB52,".",""))&lt;&gt;""),"P"&amp;SUBSTITUTE(AB52,".",""),"")</f>
        <v/>
      </c>
      <c r="CA52" s="1125"/>
      <c r="CB52" s="1125"/>
      <c r="CC52" s="1126"/>
      <c r="CD52" s="1126"/>
      <c r="CE52" s="1506"/>
      <c r="CF52" s="1501" cm="1" t="str">
        <f t="array" ref="CF52:CF52">CF51</f>
        <v>ТЭ.42.31656254.0001</v>
      </c>
      <c r="CG52" s="1501"/>
      <c r="CH52" s="1501"/>
      <c r="CI52" s="1501"/>
      <c r="CJ52" s="1501"/>
      <c r="CK52" s="1501"/>
      <c r="CL52" s="1501"/>
      <c r="CM52" s="1751"/>
      <c r="CN52" s="1751"/>
      <c r="CO52" s="1751"/>
    </row>
    <row s="969" customFormat="1" customHeight="1" ht="16.5" hidden="1">
      <c r="A53" s="969"/>
      <c r="B53" s="969"/>
      <c r="C53" s="969"/>
      <c r="D53" s="969"/>
      <c r="E53" s="180">
        <v>17</v>
      </c>
      <c r="F53" s="175" cm="1" t="str">
        <f t="array" ref="F53:F53">OFFSET(G53,-1,-1)</f>
        <v>1</v>
      </c>
      <c r="G53" s="969"/>
      <c r="H53" s="193" cm="1" t="str">
        <f t="array" ref="H53:H53">AC53</f>
        <v>0</v>
      </c>
      <c r="I53" s="969"/>
      <c r="J53" s="969"/>
      <c r="K53" s="969"/>
      <c r="L53" s="969"/>
      <c r="M53" s="969"/>
      <c r="N53" s="969"/>
      <c r="O53" s="969"/>
      <c r="P53" s="969"/>
      <c r="Q53" s="969"/>
      <c r="R53" s="969"/>
      <c r="S53" s="969"/>
      <c r="T53" s="753">
        <f>AND(OFFSET(U53,1,-1),Y53&gt;0)</f>
        <v>0</v>
      </c>
      <c r="U53" s="969"/>
      <c r="V53" s="969"/>
      <c r="W53" s="175" t="s">
        <v>189</v>
      </c>
      <c r="X53" s="969"/>
      <c r="Y53" s="175">
        <v>0</v>
      </c>
      <c r="Z53" s="969"/>
      <c r="AA53" s="477" t="s">
        <v>171</v>
      </c>
      <c r="AB53" s="320" t="str">
        <f>"1.9."&amp;Y53</f>
        <v>1.9.0</v>
      </c>
      <c r="AC53" s="115"/>
      <c r="AD53" s="320" t="s">
        <v>917</v>
      </c>
      <c r="AE53" s="47"/>
      <c r="AF53" s="116"/>
      <c r="AG53" s="116"/>
      <c r="AH53" s="116"/>
      <c r="AI53" s="658"/>
      <c r="AJ53" s="116"/>
      <c r="AK53" s="116"/>
      <c r="AL53" s="116"/>
      <c r="AM53" s="116"/>
      <c r="AN53" s="116"/>
      <c r="AO53" s="116"/>
      <c r="AP53" s="116"/>
      <c r="AQ53" s="116"/>
      <c r="AR53" s="116"/>
      <c r="AS53" s="116"/>
      <c r="AT53" s="116"/>
      <c r="AU53" s="116"/>
      <c r="AV53" s="116"/>
      <c r="AW53" s="116"/>
      <c r="AX53" s="116"/>
      <c r="AY53" s="116"/>
      <c r="AZ53" s="116"/>
      <c r="BA53" s="116"/>
      <c r="BB53" s="116"/>
      <c r="BC53" s="658"/>
      <c r="BD53" s="116"/>
      <c r="BE53" s="116"/>
      <c r="BF53" s="116"/>
      <c r="BG53" s="116"/>
      <c r="BH53" s="116"/>
      <c r="BI53" s="116"/>
      <c r="BJ53" s="116"/>
      <c r="BK53" s="116"/>
      <c r="BL53" s="116"/>
      <c r="BM53" s="116"/>
      <c r="BN53" s="116"/>
      <c r="BO53" s="116"/>
      <c r="BP53" s="116"/>
      <c r="BQ53" s="116"/>
      <c r="BR53" s="116"/>
      <c r="BS53" s="116"/>
      <c r="BT53" s="116"/>
      <c r="BU53" s="116"/>
      <c r="BV53" s="116"/>
      <c r="BW53" s="83"/>
      <c r="BX53" s="969"/>
      <c r="BY53" s="969"/>
      <c r="BZ53" s="489" t="s">
        <v>1509</v>
      </c>
      <c r="CA53" s="489" t="s">
        <v>1510</v>
      </c>
      <c r="CB53" s="489" cm="1" t="str">
        <f t="array" ref="CB53:CB53">AC53</f>
        <v>0</v>
      </c>
      <c r="CC53" s="546"/>
      <c r="CD53" s="546" t="b">
        <v>1</v>
      </c>
      <c r="CE53" s="969"/>
      <c r="CF53" s="1501" cm="1" t="str">
        <f t="array" ref="CF53:CF53">OFFSET(CG53,-1,-1)</f>
        <v>ТЭ.42.31656254.0001</v>
      </c>
      <c r="CG53" s="1501" t="s">
        <v>1508</v>
      </c>
      <c r="CH53" s="1501"/>
      <c r="CI53" s="1501" cm="1" t="str">
        <f t="array" ref="CI53:CI53">$AC53</f>
        <v>0</v>
      </c>
      <c r="CJ53" s="1501" t="s">
        <v>303</v>
      </c>
      <c r="CK53" s="1501" t="s">
        <v>1476</v>
      </c>
      <c r="CL53" s="1501" t="s">
        <v>1477</v>
      </c>
      <c r="CM53" s="969"/>
      <c r="CN53" s="969"/>
      <c r="CO53" s="969"/>
    </row>
    <row s="969" customFormat="1" customHeight="1" ht="10.5">
      <c r="A54" s="969"/>
      <c r="B54" s="969"/>
      <c r="C54" s="969"/>
      <c r="D54" s="969"/>
      <c r="E54" s="180">
        <v>11</v>
      </c>
      <c r="F54" s="175" cm="1" t="str">
        <f t="array" ref="F54:F54">OFFSET(G54,-1,-1)</f>
        <v>1</v>
      </c>
      <c r="G54" s="969"/>
      <c r="H54" s="969"/>
      <c r="I54" s="969"/>
      <c r="J54" s="969"/>
      <c r="K54" s="969"/>
      <c r="L54" s="969"/>
      <c r="M54" s="969"/>
      <c r="N54" s="969"/>
      <c r="O54" s="969"/>
      <c r="P54" s="969"/>
      <c r="Q54" s="969"/>
      <c r="R54" s="969"/>
      <c r="S54" s="969"/>
      <c r="T54" s="753" cm="1" t="str">
        <f t="array" ref="T54:T54">T51</f>
        <v>true</v>
      </c>
      <c r="U54" s="969"/>
      <c r="V54" s="969"/>
      <c r="W54" s="176" t="s">
        <v>1070</v>
      </c>
      <c r="X54" s="969"/>
      <c r="Y54" s="969"/>
      <c r="Z54" s="969"/>
      <c r="AA54" s="969"/>
      <c r="AB54" s="667"/>
      <c r="AC54" s="407" t="s">
        <v>191</v>
      </c>
      <c r="AD54" s="407"/>
      <c r="AE54" s="407"/>
      <c r="AF54" s="407"/>
      <c r="AG54" s="407"/>
      <c r="AH54" s="407"/>
      <c r="AI54" s="407"/>
      <c r="AJ54" s="407"/>
      <c r="AK54" s="407"/>
      <c r="AL54" s="407"/>
      <c r="AM54" s="407"/>
      <c r="AN54" s="407"/>
      <c r="AO54" s="407"/>
      <c r="AP54" s="407"/>
      <c r="AQ54" s="407"/>
      <c r="AR54" s="407"/>
      <c r="AS54" s="407"/>
      <c r="AT54" s="407"/>
      <c r="AU54" s="407"/>
      <c r="AV54" s="407"/>
      <c r="AW54" s="407"/>
      <c r="AX54" s="407"/>
      <c r="AY54" s="407"/>
      <c r="AZ54" s="407"/>
      <c r="BA54" s="407"/>
      <c r="BB54" s="407"/>
      <c r="BC54" s="407"/>
      <c r="BD54" s="407"/>
      <c r="BE54" s="407"/>
      <c r="BF54" s="407"/>
      <c r="BG54" s="407"/>
      <c r="BH54" s="407"/>
      <c r="BI54" s="407"/>
      <c r="BJ54" s="407"/>
      <c r="BK54" s="407"/>
      <c r="BL54" s="407"/>
      <c r="BM54" s="407"/>
      <c r="BN54" s="407"/>
      <c r="BO54" s="407"/>
      <c r="BP54" s="407"/>
      <c r="BQ54" s="407"/>
      <c r="BR54" s="407"/>
      <c r="BS54" s="407"/>
      <c r="BT54" s="407"/>
      <c r="BU54" s="407"/>
      <c r="BV54" s="407"/>
      <c r="BW54" s="408"/>
      <c r="BX54" s="969"/>
      <c r="BY54" s="969"/>
      <c r="BZ54" s="489"/>
      <c r="CA54" s="489"/>
      <c r="CB54" s="489"/>
      <c r="CC54" s="546" t="s">
        <v>1510</v>
      </c>
      <c r="CD54" s="546"/>
      <c r="CE54" s="969"/>
      <c r="CF54" s="969"/>
      <c r="CG54" s="969"/>
      <c r="CH54" s="969"/>
      <c r="CI54" s="969"/>
      <c r="CJ54" s="969"/>
      <c r="CK54" s="969"/>
      <c r="CL54" s="969"/>
      <c r="CM54" s="969"/>
      <c r="CN54" s="969"/>
      <c r="CO54" s="969"/>
    </row>
    <row customHeight="1" ht="10.725000000000001">
      <c r="E55" s="180">
        <v>11</v>
      </c>
      <c r="U55" s="175" t="s">
        <v>191</v>
      </c>
      <c r="V55" s="176" t="s">
        <v>1511</v>
      </c>
      <c r="AB55" s="318"/>
      <c r="AI55" s="1727"/>
      <c r="AJ55" s="1727"/>
      <c r="AK55" s="1727"/>
      <c r="AL55" s="1727"/>
      <c r="AM55" s="1727"/>
      <c r="AN55" s="1727"/>
      <c r="AO55" s="1727"/>
      <c r="AP55" s="1727"/>
      <c r="AQ55" s="1727"/>
      <c r="AR55" s="1727"/>
      <c r="AS55" s="1727"/>
      <c r="AT55" s="1727"/>
      <c r="AU55" s="1727"/>
      <c r="AV55" s="1727"/>
      <c r="AW55" s="1727"/>
      <c r="AX55" s="1727"/>
      <c r="AY55" s="1727"/>
      <c r="AZ55" s="1727"/>
      <c r="BA55" s="1727"/>
      <c r="BB55" s="1727"/>
      <c r="BC55" s="1727"/>
      <c r="BD55" s="1727"/>
      <c r="BE55" s="1727"/>
      <c r="BF55" s="1727"/>
      <c r="BG55" s="1727"/>
      <c r="BH55" s="1727"/>
      <c r="BI55" s="1727"/>
      <c r="BJ55" s="1727"/>
      <c r="BK55" s="1727"/>
      <c r="BL55" s="1727"/>
      <c r="BM55" s="1727"/>
      <c r="BN55" s="1727"/>
      <c r="BO55" s="1727"/>
      <c r="BP55" s="1727"/>
      <c r="BQ55" s="1727"/>
      <c r="BR55" s="1727"/>
      <c r="BS55" s="1727"/>
      <c r="BT55" s="1727"/>
      <c r="BU55" s="1727"/>
      <c r="BV55" s="1727"/>
    </row>
    <row customHeight="1" ht="11.25" hidden="1">
      <c r="E56" s="965">
        <v>0</v>
      </c>
      <c r="AI56" s="1727"/>
      <c r="AJ56" s="1727"/>
      <c r="AK56" s="1727"/>
      <c r="AL56" s="1727"/>
      <c r="AM56" s="1727"/>
      <c r="AN56" s="1727"/>
      <c r="AO56" s="1727"/>
      <c r="AP56" s="1727"/>
      <c r="AQ56" s="1727"/>
      <c r="AR56" s="1727"/>
      <c r="AS56" s="1727"/>
      <c r="AT56" s="1727"/>
      <c r="AU56" s="1727"/>
      <c r="AV56" s="1727"/>
      <c r="AW56" s="1727"/>
      <c r="AX56" s="1727"/>
      <c r="AY56" s="1727"/>
      <c r="AZ56" s="1727"/>
      <c r="BA56" s="1727"/>
      <c r="BB56" s="1727"/>
      <c r="BC56" s="1727"/>
      <c r="BD56" s="1727"/>
      <c r="BE56" s="1727"/>
      <c r="BF56" s="1727"/>
      <c r="BG56" s="1727"/>
      <c r="BH56" s="1727"/>
      <c r="BI56" s="1727"/>
      <c r="BJ56" s="1727"/>
      <c r="BK56" s="1727"/>
      <c r="BL56" s="1727"/>
      <c r="BM56" s="1727"/>
      <c r="BN56" s="1727"/>
      <c r="BO56" s="1727"/>
      <c r="BP56" s="1727"/>
      <c r="BQ56" s="1727"/>
      <c r="BR56" s="1727"/>
      <c r="BS56" s="1727"/>
      <c r="BT56" s="1727"/>
      <c r="BU56" s="1727"/>
      <c r="BV56" s="1727"/>
    </row>
    <row s="1659" customFormat="1" customHeight="1" ht="14.625">
      <c r="A57" s="371"/>
      <c r="B57" s="175"/>
      <c r="C57" s="175"/>
      <c r="D57" s="175"/>
      <c r="E57" s="180">
        <v>15</v>
      </c>
      <c r="F57" s="175"/>
      <c r="T57" s="175"/>
      <c r="U57" s="175"/>
      <c r="V57" s="175"/>
      <c r="W57" s="175"/>
      <c r="X57" s="175"/>
      <c r="Y57" s="175"/>
      <c r="Z57" s="175"/>
      <c r="AA57" s="286"/>
      <c r="AB57" s="1653" t="s">
        <v>765</v>
      </c>
      <c r="AC57" s="1653"/>
      <c r="AD57" s="1653"/>
      <c r="AE57" s="1653"/>
      <c r="AF57" s="1653"/>
      <c r="AG57" s="1653"/>
      <c r="AH57" s="1653"/>
      <c r="AI57" s="1654"/>
      <c r="AJ57" s="1654"/>
      <c r="AK57" s="1654"/>
      <c r="AL57" s="1654"/>
      <c r="AM57" s="1654"/>
      <c r="AN57" s="1654"/>
      <c r="AO57" s="1654"/>
      <c r="AP57" s="1654"/>
      <c r="AQ57" s="1654"/>
      <c r="AR57" s="1654"/>
      <c r="AS57" s="1654"/>
      <c r="AT57" s="1654"/>
      <c r="AU57" s="1654"/>
      <c r="AV57" s="1654"/>
      <c r="AW57" s="1654"/>
      <c r="AX57" s="1654"/>
      <c r="AY57" s="1654"/>
      <c r="AZ57" s="1654"/>
      <c r="BA57" s="1654"/>
      <c r="BB57" s="1654"/>
      <c r="BC57" s="1654"/>
      <c r="BD57" s="1654"/>
      <c r="BE57" s="1654"/>
      <c r="BF57" s="1654"/>
      <c r="BG57" s="1654"/>
      <c r="BH57" s="1654"/>
      <c r="BI57" s="1654"/>
      <c r="BJ57" s="1654"/>
      <c r="BK57" s="1654"/>
      <c r="BL57" s="1654"/>
      <c r="BM57" s="1654"/>
      <c r="BN57" s="1654"/>
      <c r="BO57" s="1654"/>
      <c r="BP57" s="1654"/>
      <c r="BQ57" s="1654"/>
      <c r="BR57" s="1654"/>
      <c r="BS57" s="1654"/>
      <c r="BT57" s="1654"/>
      <c r="BU57" s="1654"/>
      <c r="BV57" s="1654"/>
      <c r="BW57" s="1654"/>
      <c r="BX57" s="286"/>
      <c r="BZ57" s="489"/>
      <c r="CA57" s="489"/>
      <c r="CB57" s="489"/>
      <c r="CC57" s="546"/>
      <c r="CD57" s="546"/>
      <c r="CF57" s="0"/>
      <c r="CG57" s="0"/>
      <c r="CH57" s="0"/>
      <c r="CI57" s="0"/>
      <c r="CJ57" s="0"/>
      <c r="CK57" s="0"/>
      <c r="CL57" s="0"/>
      <c r="CM57" s="0"/>
      <c r="CN57" s="0"/>
      <c r="CO57" s="0"/>
    </row>
    <row s="1659" customFormat="1" customHeight="1" ht="14.625">
      <c r="A58" s="371"/>
      <c r="B58" s="175"/>
      <c r="C58" s="175"/>
      <c r="D58" s="175"/>
      <c r="E58" s="180">
        <v>15</v>
      </c>
      <c r="F58" s="175"/>
      <c r="T58" s="175"/>
      <c r="U58" s="175"/>
      <c r="V58" s="175"/>
      <c r="W58" s="175"/>
      <c r="X58" s="175"/>
      <c r="Y58" s="175"/>
      <c r="Z58" s="175"/>
      <c r="AA58" s="477"/>
      <c r="AB58" s="1655"/>
      <c r="AC58" s="1655"/>
      <c r="AD58" s="1655"/>
      <c r="AE58" s="1655"/>
      <c r="AF58" s="1655"/>
      <c r="AG58" s="1655"/>
      <c r="AH58" s="1655"/>
      <c r="AI58" s="1656"/>
      <c r="AJ58" s="2292"/>
      <c r="AK58" s="2292"/>
      <c r="AL58" s="2292"/>
      <c r="AM58" s="2292"/>
      <c r="AN58" s="2292"/>
      <c r="AO58" s="2292"/>
      <c r="AP58" s="2292"/>
      <c r="AQ58" s="2292"/>
      <c r="AR58" s="2292"/>
      <c r="AS58" s="2292"/>
      <c r="AT58" s="2292"/>
      <c r="AU58" s="2292"/>
      <c r="AV58" s="2292"/>
      <c r="AW58" s="2292"/>
      <c r="AX58" s="2292"/>
      <c r="AY58" s="2292"/>
      <c r="AZ58" s="2292"/>
      <c r="BA58" s="2292"/>
      <c r="BB58" s="2292"/>
      <c r="BC58" s="1656"/>
      <c r="BD58" s="2292"/>
      <c r="BE58" s="2292"/>
      <c r="BF58" s="2292"/>
      <c r="BG58" s="2292"/>
      <c r="BH58" s="2292"/>
      <c r="BI58" s="2292"/>
      <c r="BJ58" s="2292"/>
      <c r="BK58" s="2292"/>
      <c r="BL58" s="2292"/>
      <c r="BM58" s="2292"/>
      <c r="BN58" s="2292"/>
      <c r="BO58" s="2292"/>
      <c r="BP58" s="2292"/>
      <c r="BQ58" s="2292"/>
      <c r="BR58" s="2292"/>
      <c r="BS58" s="2292"/>
      <c r="BT58" s="2292"/>
      <c r="BU58" s="2292"/>
      <c r="BV58" s="2292"/>
      <c r="BW58" s="1657"/>
      <c r="BX58" s="286"/>
      <c r="BZ58" s="489"/>
      <c r="CA58" s="489"/>
      <c r="CB58" s="489"/>
      <c r="CC58" s="546"/>
      <c r="CD58" s="546"/>
      <c r="CF58" s="0"/>
      <c r="CG58" s="0"/>
      <c r="CH58" s="0"/>
      <c r="CI58" s="0"/>
      <c r="CJ58" s="0"/>
      <c r="CK58" s="0"/>
      <c r="CL58" s="0"/>
      <c r="CM58" s="0"/>
      <c r="CN58" s="0"/>
      <c r="CO58" s="0"/>
    </row>
    <row s="1659" customFormat="1" customHeight="1" ht="14.625" hidden="1">
      <c r="A59" s="371"/>
      <c r="B59" s="175"/>
      <c r="C59" s="175"/>
      <c r="D59" s="175"/>
      <c r="E59" s="180">
        <v>15</v>
      </c>
      <c r="F59" s="175"/>
      <c r="G59" s="1659"/>
      <c r="H59" s="1659"/>
      <c r="I59" s="1659"/>
      <c r="J59" s="1659"/>
      <c r="K59" s="1659"/>
      <c r="L59" s="1659"/>
      <c r="M59" s="1659"/>
      <c r="N59" s="1659"/>
      <c r="O59" s="1659"/>
      <c r="P59" s="1659"/>
      <c r="Q59" s="1659"/>
      <c r="R59" s="1659"/>
      <c r="S59" s="1659"/>
      <c r="T59" s="753">
        <f>ROW(W59)&gt;ROW(W$59)</f>
        <v>0</v>
      </c>
      <c r="U59" s="175"/>
      <c r="V59" s="175"/>
      <c r="W59" s="175" t="s">
        <v>189</v>
      </c>
      <c r="X59" s="175"/>
      <c r="Y59" s="175"/>
      <c r="Z59" s="175"/>
      <c r="AA59" s="477" t="s">
        <v>171</v>
      </c>
      <c r="AB59" s="2293"/>
      <c r="AC59" s="2293"/>
      <c r="AD59" s="2293"/>
      <c r="AE59" s="2293"/>
      <c r="AF59" s="2293"/>
      <c r="AG59" s="2293"/>
      <c r="AH59" s="2293"/>
      <c r="AI59" s="1656"/>
      <c r="AJ59" s="2292"/>
      <c r="AK59" s="2292"/>
      <c r="AL59" s="2292"/>
      <c r="AM59" s="2292"/>
      <c r="AN59" s="2292"/>
      <c r="AO59" s="2292"/>
      <c r="AP59" s="2292"/>
      <c r="AQ59" s="2292"/>
      <c r="AR59" s="2292"/>
      <c r="AS59" s="2292"/>
      <c r="AT59" s="2292"/>
      <c r="AU59" s="2292"/>
      <c r="AV59" s="2292"/>
      <c r="AW59" s="2292"/>
      <c r="AX59" s="2292"/>
      <c r="AY59" s="2292"/>
      <c r="AZ59" s="2292"/>
      <c r="BA59" s="2292"/>
      <c r="BB59" s="2292"/>
      <c r="BC59" s="1656"/>
      <c r="BD59" s="2292"/>
      <c r="BE59" s="2292"/>
      <c r="BF59" s="2292"/>
      <c r="BG59" s="2292"/>
      <c r="BH59" s="2292"/>
      <c r="BI59" s="2292"/>
      <c r="BJ59" s="2292"/>
      <c r="BK59" s="2292"/>
      <c r="BL59" s="2292"/>
      <c r="BM59" s="2292"/>
      <c r="BN59" s="2292"/>
      <c r="BO59" s="2292"/>
      <c r="BP59" s="2292"/>
      <c r="BQ59" s="2292"/>
      <c r="BR59" s="2292"/>
      <c r="BS59" s="2292"/>
      <c r="BT59" s="2292"/>
      <c r="BU59" s="2292"/>
      <c r="BV59" s="2292"/>
      <c r="BW59" s="2294"/>
      <c r="BX59" s="286"/>
      <c r="BY59" s="1659"/>
      <c r="BZ59" s="489"/>
      <c r="CA59" s="489"/>
      <c r="CB59" s="489"/>
      <c r="CC59" s="546"/>
      <c r="CD59" s="546"/>
      <c r="CE59" s="1659"/>
      <c r="CF59" s="0"/>
      <c r="CG59" s="0"/>
      <c r="CH59" s="0"/>
      <c r="CI59" s="0"/>
      <c r="CJ59" s="0"/>
      <c r="CK59" s="0"/>
      <c r="CL59" s="0"/>
      <c r="CM59" s="0"/>
      <c r="CN59" s="0"/>
      <c r="CO59" s="0"/>
    </row>
    <row s="1659" customFormat="1" customHeight="1" ht="14.625">
      <c r="A60" s="371"/>
      <c r="B60" s="175"/>
      <c r="C60" s="175"/>
      <c r="D60" s="175"/>
      <c r="E60" s="180">
        <v>15</v>
      </c>
      <c r="F60" s="175"/>
      <c r="T60" s="175"/>
      <c r="U60" s="175"/>
      <c r="V60" s="175"/>
      <c r="W60" s="176" t="s">
        <v>1512</v>
      </c>
      <c r="X60" s="175"/>
      <c r="Y60" s="175"/>
      <c r="Z60" s="175"/>
      <c r="AA60" s="286"/>
      <c r="AB60" s="1599" t="s">
        <v>766</v>
      </c>
      <c r="AC60" s="1600"/>
      <c r="AD60" s="480"/>
      <c r="AE60" s="480"/>
      <c r="AF60" s="481"/>
      <c r="AG60" s="481"/>
      <c r="AH60" s="481"/>
      <c r="AI60" s="481"/>
      <c r="AJ60" s="481"/>
      <c r="AK60" s="481"/>
      <c r="AL60" s="481"/>
      <c r="AM60" s="481"/>
      <c r="AN60" s="481"/>
      <c r="AO60" s="481"/>
      <c r="AP60" s="481"/>
      <c r="AQ60" s="481"/>
      <c r="AR60" s="481"/>
      <c r="AS60" s="481"/>
      <c r="AT60" s="481"/>
      <c r="AU60" s="481"/>
      <c r="AV60" s="481"/>
      <c r="AW60" s="481"/>
      <c r="AX60" s="481"/>
      <c r="AY60" s="481"/>
      <c r="AZ60" s="481"/>
      <c r="BA60" s="481"/>
      <c r="BB60" s="481"/>
      <c r="BC60" s="481"/>
      <c r="BD60" s="481"/>
      <c r="BE60" s="481"/>
      <c r="BF60" s="481"/>
      <c r="BG60" s="481"/>
      <c r="BH60" s="481"/>
      <c r="BI60" s="481"/>
      <c r="BJ60" s="481"/>
      <c r="BK60" s="481"/>
      <c r="BL60" s="481"/>
      <c r="BM60" s="481"/>
      <c r="BN60" s="481"/>
      <c r="BO60" s="481"/>
      <c r="BP60" s="481"/>
      <c r="BQ60" s="481"/>
      <c r="BR60" s="481"/>
      <c r="BS60" s="481"/>
      <c r="BT60" s="481"/>
      <c r="BU60" s="481"/>
      <c r="BV60" s="481"/>
      <c r="BW60" s="611"/>
      <c r="BX60" s="286"/>
      <c r="BZ60" s="489"/>
      <c r="CA60" s="489"/>
      <c r="CB60" s="489"/>
      <c r="CC60" s="546"/>
      <c r="CD60" s="546"/>
      <c r="CF60" s="0"/>
      <c r="CG60" s="0"/>
      <c r="CH60" s="0"/>
      <c r="CI60" s="0"/>
      <c r="CJ60" s="0"/>
      <c r="CK60" s="0"/>
      <c r="CL60" s="0"/>
      <c r="CM60" s="0"/>
      <c r="CN60" s="0"/>
      <c r="CO60" s="0"/>
    </row>
    <row customHeight="1" ht="11.25">
      <c r="AI61" s="1727"/>
      <c r="AJ61" s="1727"/>
      <c r="AK61" s="1727"/>
      <c r="AL61" s="1727"/>
      <c r="AM61" s="1727"/>
      <c r="AN61" s="1727"/>
      <c r="AO61" s="1727"/>
      <c r="AP61" s="1727"/>
      <c r="AQ61" s="1727"/>
      <c r="AR61" s="1727"/>
      <c r="AS61" s="1727"/>
      <c r="AT61" s="1727"/>
      <c r="AU61" s="1727"/>
      <c r="AV61" s="1727"/>
      <c r="AW61" s="1727"/>
      <c r="AX61" s="1727"/>
      <c r="AY61" s="1727"/>
      <c r="AZ61" s="1727"/>
      <c r="BA61" s="1727"/>
      <c r="BB61" s="1727"/>
      <c r="BC61" s="1727"/>
      <c r="BD61" s="1727"/>
      <c r="BE61" s="1727"/>
      <c r="BF61" s="1727"/>
      <c r="BG61" s="1727"/>
      <c r="BH61" s="1727"/>
      <c r="BI61" s="1727"/>
      <c r="BJ61" s="1727"/>
      <c r="BK61" s="1727"/>
      <c r="BL61" s="1727"/>
      <c r="BM61" s="1727"/>
      <c r="BN61" s="1727"/>
      <c r="BO61" s="1727"/>
      <c r="BP61" s="1727"/>
      <c r="BQ61" s="1727"/>
      <c r="BR61" s="1727"/>
      <c r="BS61" s="1727"/>
      <c r="BT61" s="1727"/>
      <c r="BU61" s="1727"/>
      <c r="BV61" s="1727"/>
      <c r="BX61" s="318"/>
    </row>
    <row customHeight="1" ht="11.25" hidden="1">
      <c r="AI62" s="1727"/>
      <c r="AJ62" s="1727"/>
      <c r="AK62" s="1727"/>
      <c r="AL62" s="1727"/>
      <c r="AM62" s="1727"/>
      <c r="AN62" s="1727"/>
      <c r="AO62" s="1727"/>
      <c r="AP62" s="1727"/>
      <c r="AQ62" s="1727"/>
      <c r="AR62" s="1727"/>
      <c r="AS62" s="1727"/>
      <c r="AT62" s="1727"/>
      <c r="AU62" s="1727"/>
      <c r="AV62" s="1727"/>
      <c r="AW62" s="1727"/>
      <c r="AX62" s="1727"/>
      <c r="AY62" s="1727"/>
      <c r="AZ62" s="1727"/>
      <c r="BA62" s="1727"/>
      <c r="BB62" s="1727"/>
      <c r="BC62" s="1727"/>
      <c r="BD62" s="1727"/>
      <c r="BE62" s="1727"/>
      <c r="BF62" s="1727"/>
      <c r="BG62" s="1727"/>
      <c r="BH62" s="1727"/>
      <c r="BI62" s="1727"/>
      <c r="BJ62" s="1727"/>
      <c r="BK62" s="1727"/>
      <c r="BL62" s="1727"/>
      <c r="BM62" s="1727"/>
      <c r="BN62" s="1727"/>
      <c r="BO62" s="1727"/>
      <c r="BP62" s="1727"/>
      <c r="BQ62" s="1727"/>
      <c r="BR62" s="1727"/>
      <c r="BS62" s="1727"/>
      <c r="BT62" s="1727"/>
      <c r="BU62" s="1727"/>
      <c r="BV62" s="1727"/>
    </row>
    <row customHeight="1" ht="11.25" hidden="1">
      <c r="A63" s="0" t="s">
        <v>109</v>
      </c>
      <c r="AE63" s="0" t="str">
        <f>"389.0."&amp;AE$9-2010&amp;"."</f>
        <v>389.0.15.</v>
      </c>
      <c r="AF63" s="0" t="str">
        <f>"389.0."&amp;AF$9-2010&amp;"."</f>
        <v>389.0.15.</v>
      </c>
      <c r="AG63" s="0" t="str">
        <f>"389.0."&amp;AG$9-2010&amp;"."</f>
        <v>389.0.15.</v>
      </c>
      <c r="AH63" s="0" t="str">
        <f>"389.0."&amp;AH$9-2010&amp;"."</f>
        <v>389.0.16.</v>
      </c>
      <c r="AI63" s="0" t="str">
        <f>"389.0."&amp;AI$9-2010&amp;"."</f>
        <v>389.0.17.</v>
      </c>
      <c r="AJ63" s="0" t="str">
        <f>"389.0."&amp;AJ$9-2010&amp;"."</f>
        <v>389.0.18.</v>
      </c>
      <c r="AK63" s="0" t="str">
        <f>"389.0."&amp;AK$9-2010&amp;"."</f>
        <v>389.0.19.</v>
      </c>
      <c r="AL63" s="0" t="str">
        <f>"389.0."&amp;AL$9-2010&amp;"."</f>
        <v>389.0.20.</v>
      </c>
      <c r="AM63" s="0" t="str">
        <f>"389.0."&amp;AM$9-2010&amp;"."</f>
        <v>389.0.21.</v>
      </c>
      <c r="AN63" s="0" t="str">
        <f>"389.0."&amp;AN$9-2010&amp;"."</f>
        <v>389.0.22.</v>
      </c>
      <c r="AO63" s="0" t="str">
        <f>"389.0."&amp;AO$9-2010&amp;"."</f>
        <v>389.0.23.</v>
      </c>
      <c r="AP63" s="0" t="str">
        <f>"389.0."&amp;AP$9-2010&amp;"."</f>
        <v>389.0.24.</v>
      </c>
      <c r="AQ63" s="0" t="str">
        <f>"389.0."&amp;AQ$9-2010&amp;"."</f>
        <v>389.0.25.</v>
      </c>
      <c r="AR63" s="0" t="str">
        <f>"389.0."&amp;AR$9-2010&amp;"."</f>
        <v>389.0.26.</v>
      </c>
      <c r="AS63" s="0" t="str">
        <f>"389.0."&amp;AS$9-2010&amp;"."</f>
        <v>389.0.27.</v>
      </c>
      <c r="AT63" s="0" t="str">
        <f>"389.0."&amp;AT$9-2010&amp;"."</f>
        <v>389.0.28.</v>
      </c>
      <c r="AU63" s="0" t="str">
        <f>"389.0."&amp;AU$9-2010&amp;"."</f>
        <v>389.0.29.</v>
      </c>
      <c r="AV63" s="0" t="str">
        <f>"389.0."&amp;AV$9-2010&amp;"."</f>
        <v>389.0.30.</v>
      </c>
      <c r="AW63" s="0" t="str">
        <f>"389.0."&amp;AW$9-2010&amp;"."</f>
        <v>389.0.31.</v>
      </c>
      <c r="AX63" s="0" t="str">
        <f>"389.0."&amp;AX$9-2010&amp;"."</f>
        <v>389.0.32.</v>
      </c>
      <c r="AY63" s="0" t="str">
        <f>"389.0."&amp;AY$9-2010&amp;"."</f>
        <v>389.0.33.</v>
      </c>
      <c r="AZ63" s="0" t="str">
        <f>"389.0."&amp;AZ$9-2010&amp;"."</f>
        <v>389.0.34.</v>
      </c>
      <c r="BA63" s="0" t="str">
        <f>"389.0."&amp;BA$9-2010&amp;"."</f>
        <v>389.0.35.</v>
      </c>
      <c r="BB63" s="0" t="str">
        <f>"389.0."&amp;BB$9-2010&amp;"."</f>
        <v>389.0.36.</v>
      </c>
      <c r="BC63" s="0" t="str">
        <f>"389.0."&amp;BC$9-2010&amp;"."</f>
        <v>389.0.17.</v>
      </c>
      <c r="BD63" s="0" t="str">
        <f>"389.0."&amp;BD$9-2010&amp;"."</f>
        <v>389.0.18.</v>
      </c>
      <c r="BE63" s="0" t="str">
        <f>"389.0."&amp;BE$9-2010&amp;"."</f>
        <v>389.0.19.</v>
      </c>
      <c r="BF63" s="0" t="str">
        <f>"389.0."&amp;BF$9-2010&amp;"."</f>
        <v>389.0.20.</v>
      </c>
      <c r="BG63" s="0" t="str">
        <f>"389.0."&amp;BG$9-2010&amp;"."</f>
        <v>389.0.21.</v>
      </c>
      <c r="BH63" s="0" t="str">
        <f>"389.0."&amp;BH$9-2010&amp;"."</f>
        <v>389.0.22.</v>
      </c>
      <c r="BI63" s="0" t="str">
        <f>"389.0."&amp;BI$9-2010&amp;"."</f>
        <v>389.0.23.</v>
      </c>
      <c r="BJ63" s="0" t="str">
        <f>"389.0."&amp;BJ$9-2010&amp;"."</f>
        <v>389.0.24.</v>
      </c>
      <c r="BK63" s="0" t="str">
        <f>"389.0."&amp;BK$9-2010&amp;"."</f>
        <v>389.0.25.</v>
      </c>
      <c r="BL63" s="0" t="str">
        <f>"389.0."&amp;BL$9-2010&amp;"."</f>
        <v>389.0.26.</v>
      </c>
      <c r="BM63" s="0" t="str">
        <f>"389.0."&amp;BM$9-2010&amp;"."</f>
        <v>389.0.27.</v>
      </c>
      <c r="BN63" s="0" t="str">
        <f>"389.0."&amp;BN$9-2010&amp;"."</f>
        <v>389.0.28.</v>
      </c>
      <c r="BO63" s="0" t="str">
        <f>"389.0."&amp;BO$9-2010&amp;"."</f>
        <v>389.0.29.</v>
      </c>
      <c r="BP63" s="0" t="str">
        <f>"389.0."&amp;BP$9-2010&amp;"."</f>
        <v>389.0.30.</v>
      </c>
      <c r="BQ63" s="0" t="str">
        <f>"389.0."&amp;BQ$9-2010&amp;"."</f>
        <v>389.0.31.</v>
      </c>
      <c r="BR63" s="0" t="str">
        <f>"389.0."&amp;BR$9-2010&amp;"."</f>
        <v>389.0.32.</v>
      </c>
      <c r="BS63" s="0" t="str">
        <f>"389.0."&amp;BS$9-2010&amp;"."</f>
        <v>389.0.33.</v>
      </c>
      <c r="BT63" s="0" t="str">
        <f>"389.0."&amp;BT$9-2010&amp;"."</f>
        <v>389.0.34.</v>
      </c>
      <c r="BU63" s="0" t="str">
        <f>"389.0."&amp;BU$9-2010&amp;"."</f>
        <v>389.0.35.</v>
      </c>
      <c r="BV63" s="0" t="str">
        <f>"389.0."&amp;BV$9-2010&amp;"."</f>
        <v>389.0.36.</v>
      </c>
    </row>
    <row customHeight="1" ht="11.25" hidden="1">
      <c r="A64" s="0" t="s">
        <v>406</v>
      </c>
      <c r="AE64" s="0" cm="1" t="str">
        <f t="array" ref="AE64:AE64">IF($A64="uni_org_reg_NAME",INDEX(org_reg_values,MATCH(AE$10,org_reg_codes,0),1),IF($A64="uni_pf_NAME",INDEX(pf_codes_values,MATCH(AE$10,pf_codes,0),1),""))</f>
        <v>328.0.2.</v>
      </c>
      <c r="AF64" s="0" cm="1" t="str">
        <f t="array" ref="AF64:AF64">IF($A64="uni_org_reg_NAME",INDEX(org_reg_values,MATCH(AF$10,org_reg_codes,0),1),IF($A64="uni_pf_NAME",INDEX(pf_codes_values,MATCH(AF$10,pf_codes,0),1),""))</f>
        <v>328.0.1.</v>
      </c>
      <c r="AG64" s="0" cm="1" t="str">
        <f t="array" ref="AG64:AG64">IF($A64="uni_org_reg_NAME",INDEX(org_reg_values,MATCH(AG$10,org_reg_codes,0),1),IF($A64="uni_pf_NAME",INDEX(pf_codes_values,MATCH(AG$10,pf_codes,0),1),""))</f>
        <v>328.0.2.</v>
      </c>
      <c r="AH64" s="0" cm="1" t="str">
        <f t="array" ref="AH64:AH64">IF($A64="uni_org_reg_NAME",INDEX(org_reg_values,MATCH(AH$10,org_reg_codes,0),1),IF($A64="uni_pf_NAME",INDEX(pf_codes_values,MATCH(AH$10,pf_codes,0),1),""))</f>
        <v>328.0.2.</v>
      </c>
      <c r="AI64" s="0" cm="1" t="str">
        <f t="array" ref="AI64:AI64">IF($A64="uni_org_reg_NAME",INDEX(org_reg_values,MATCH(AI$10,org_reg_codes,0),1),IF($A64="uni_pf_NAME",INDEX(pf_codes_values,MATCH(AI$10,pf_codes,0),1),""))</f>
        <v>328.0.1.</v>
      </c>
      <c r="AJ64" s="0" cm="1" t="str">
        <f t="array" ref="AJ64:AJ64">IF($A64="uni_org_reg_NAME",INDEX(org_reg_values,MATCH(AJ$10,org_reg_codes,0),1),IF($A64="uni_pf_NAME",INDEX(pf_codes_values,MATCH(AJ$10,pf_codes,0),1),""))</f>
        <v>328.0.1.</v>
      </c>
      <c r="AK64" s="0" cm="1" t="str">
        <f t="array" ref="AK64:AK64">IF($A64="uni_org_reg_NAME",INDEX(org_reg_values,MATCH(AK$10,org_reg_codes,0),1),IF($A64="uni_pf_NAME",INDEX(pf_codes_values,MATCH(AK$10,pf_codes,0),1),""))</f>
        <v>328.0.1.</v>
      </c>
      <c r="AL64" s="0" cm="1" t="str">
        <f t="array" ref="AL64:AL64">IF($A64="uni_org_reg_NAME",INDEX(org_reg_values,MATCH(AL$10,org_reg_codes,0),1),IF($A64="uni_pf_NAME",INDEX(pf_codes_values,MATCH(AL$10,pf_codes,0),1),""))</f>
        <v>328.0.1.</v>
      </c>
      <c r="AM64" s="0" cm="1" t="str">
        <f t="array" ref="AM64:AM64">IF($A64="uni_org_reg_NAME",INDEX(org_reg_values,MATCH(AM$10,org_reg_codes,0),1),IF($A64="uni_pf_NAME",INDEX(pf_codes_values,MATCH(AM$10,pf_codes,0),1),""))</f>
        <v>328.0.1.</v>
      </c>
      <c r="AN64" s="0" cm="1" t="str">
        <f t="array" ref="AN64:AN64">IF($A64="uni_org_reg_NAME",INDEX(org_reg_values,MATCH(AN$10,org_reg_codes,0),1),IF($A64="uni_pf_NAME",INDEX(pf_codes_values,MATCH(AN$10,pf_codes,0),1),""))</f>
        <v>328.0.1.</v>
      </c>
      <c r="AO64" s="0" cm="1" t="str">
        <f t="array" ref="AO64:AO64">IF($A64="uni_org_reg_NAME",INDEX(org_reg_values,MATCH(AO$10,org_reg_codes,0),1),IF($A64="uni_pf_NAME",INDEX(pf_codes_values,MATCH(AO$10,pf_codes,0),1),""))</f>
        <v>328.0.1.</v>
      </c>
      <c r="AP64" s="0" cm="1" t="str">
        <f t="array" ref="AP64:AP64">IF($A64="uni_org_reg_NAME",INDEX(org_reg_values,MATCH(AP$10,org_reg_codes,0),1),IF($A64="uni_pf_NAME",INDEX(pf_codes_values,MATCH(AP$10,pf_codes,0),1),""))</f>
        <v>328.0.1.</v>
      </c>
      <c r="AQ64" s="0" cm="1" t="str">
        <f t="array" ref="AQ64:AQ64">IF($A64="uni_org_reg_NAME",INDEX(org_reg_values,MATCH(AQ$10,org_reg_codes,0),1),IF($A64="uni_pf_NAME",INDEX(pf_codes_values,MATCH(AQ$10,pf_codes,0),1),""))</f>
        <v>328.0.1.</v>
      </c>
      <c r="AR64" s="0" cm="1" t="str">
        <f t="array" ref="AR64:AR64">IF($A64="uni_org_reg_NAME",INDEX(org_reg_values,MATCH(AR$10,org_reg_codes,0),1),IF($A64="uni_pf_NAME",INDEX(pf_codes_values,MATCH(AR$10,pf_codes,0),1),""))</f>
        <v>328.0.1.</v>
      </c>
      <c r="AS64" s="0" cm="1" t="str">
        <f t="array" ref="AS64:AS64">IF($A64="uni_org_reg_NAME",INDEX(org_reg_values,MATCH(AS$10,org_reg_codes,0),1),IF($A64="uni_pf_NAME",INDEX(pf_codes_values,MATCH(AS$10,pf_codes,0),1),""))</f>
        <v>328.0.1.</v>
      </c>
      <c r="AT64" s="0" cm="1" t="str">
        <f t="array" ref="AT64:AT64">IF($A64="uni_org_reg_NAME",INDEX(org_reg_values,MATCH(AT$10,org_reg_codes,0),1),IF($A64="uni_pf_NAME",INDEX(pf_codes_values,MATCH(AT$10,pf_codes,0),1),""))</f>
        <v>328.0.1.</v>
      </c>
      <c r="AU64" s="0" cm="1" t="str">
        <f t="array" ref="AU64:AU64">IF($A64="uni_org_reg_NAME",INDEX(org_reg_values,MATCH(AU$10,org_reg_codes,0),1),IF($A64="uni_pf_NAME",INDEX(pf_codes_values,MATCH(AU$10,pf_codes,0),1),""))</f>
        <v>328.0.1.</v>
      </c>
      <c r="AV64" s="0" cm="1" t="str">
        <f t="array" ref="AV64:AV64">IF($A64="uni_org_reg_NAME",INDEX(org_reg_values,MATCH(AV$10,org_reg_codes,0),1),IF($A64="uni_pf_NAME",INDEX(pf_codes_values,MATCH(AV$10,pf_codes,0),1),""))</f>
        <v>328.0.1.</v>
      </c>
      <c r="AW64" s="0" cm="1" t="str">
        <f t="array" ref="AW64:AW64">IF($A64="uni_org_reg_NAME",INDEX(org_reg_values,MATCH(AW$10,org_reg_codes,0),1),IF($A64="uni_pf_NAME",INDEX(pf_codes_values,MATCH(AW$10,pf_codes,0),1),""))</f>
        <v>328.0.1.</v>
      </c>
      <c r="AX64" s="0" cm="1" t="str">
        <f t="array" ref="AX64:AX64">IF($A64="uni_org_reg_NAME",INDEX(org_reg_values,MATCH(AX$10,org_reg_codes,0),1),IF($A64="uni_pf_NAME",INDEX(pf_codes_values,MATCH(AX$10,pf_codes,0),1),""))</f>
        <v>328.0.1.</v>
      </c>
      <c r="AY64" s="0" cm="1" t="str">
        <f t="array" ref="AY64:AY64">IF($A64="uni_org_reg_NAME",INDEX(org_reg_values,MATCH(AY$10,org_reg_codes,0),1),IF($A64="uni_pf_NAME",INDEX(pf_codes_values,MATCH(AY$10,pf_codes,0),1),""))</f>
        <v>328.0.1.</v>
      </c>
      <c r="AZ64" s="0" cm="1" t="str">
        <f t="array" ref="AZ64:AZ64">IF($A64="uni_org_reg_NAME",INDEX(org_reg_values,MATCH(AZ$10,org_reg_codes,0),1),IF($A64="uni_pf_NAME",INDEX(pf_codes_values,MATCH(AZ$10,pf_codes,0),1),""))</f>
        <v>328.0.1.</v>
      </c>
      <c r="BA64" s="0" cm="1" t="str">
        <f t="array" ref="BA64:BA64">IF($A64="uni_org_reg_NAME",INDEX(org_reg_values,MATCH(BA$10,org_reg_codes,0),1),IF($A64="uni_pf_NAME",INDEX(pf_codes_values,MATCH(BA$10,pf_codes,0),1),""))</f>
        <v>328.0.1.</v>
      </c>
      <c r="BB64" s="0" cm="1" t="str">
        <f t="array" ref="BB64:BB64">IF($A64="uni_org_reg_NAME",INDEX(org_reg_values,MATCH(BB$10,org_reg_codes,0),1),IF($A64="uni_pf_NAME",INDEX(pf_codes_values,MATCH(BB$10,pf_codes,0),1),""))</f>
        <v>328.0.1.</v>
      </c>
      <c r="BC64" s="0" cm="1" t="str">
        <f t="array" ref="BC64:BC64">IF($A64="uni_org_reg_NAME",INDEX(org_reg_values,MATCH(BC$10,org_reg_codes,0),1),IF($A64="uni_pf_NAME",INDEX(pf_codes_values,MATCH(BC$10,pf_codes,0),1),""))</f>
        <v>328.0.2.</v>
      </c>
      <c r="BD64" s="0" cm="1" t="str">
        <f t="array" ref="BD64:BD64">IF($A64="uni_org_reg_NAME",INDEX(org_reg_values,MATCH(BD$10,org_reg_codes,0),1),IF($A64="uni_pf_NAME",INDEX(pf_codes_values,MATCH(BD$10,pf_codes,0),1),""))</f>
        <v>328.0.2.</v>
      </c>
      <c r="BE64" s="0" cm="1" t="str">
        <f t="array" ref="BE64:BE64">IF($A64="uni_org_reg_NAME",INDEX(org_reg_values,MATCH(BE$10,org_reg_codes,0),1),IF($A64="uni_pf_NAME",INDEX(pf_codes_values,MATCH(BE$10,pf_codes,0),1),""))</f>
        <v>328.0.2.</v>
      </c>
      <c r="BF64" s="0" cm="1" t="str">
        <f t="array" ref="BF64:BF64">IF($A64="uni_org_reg_NAME",INDEX(org_reg_values,MATCH(BF$10,org_reg_codes,0),1),IF($A64="uni_pf_NAME",INDEX(pf_codes_values,MATCH(BF$10,pf_codes,0),1),""))</f>
        <v>328.0.2.</v>
      </c>
      <c r="BG64" s="0" cm="1" t="str">
        <f t="array" ref="BG64:BG64">IF($A64="uni_org_reg_NAME",INDEX(org_reg_values,MATCH(BG$10,org_reg_codes,0),1),IF($A64="uni_pf_NAME",INDEX(pf_codes_values,MATCH(BG$10,pf_codes,0),1),""))</f>
        <v>328.0.2.</v>
      </c>
      <c r="BH64" s="0" cm="1" t="str">
        <f t="array" ref="BH64:BH64">IF($A64="uni_org_reg_NAME",INDEX(org_reg_values,MATCH(BH$10,org_reg_codes,0),1),IF($A64="uni_pf_NAME",INDEX(pf_codes_values,MATCH(BH$10,pf_codes,0),1),""))</f>
        <v>328.0.2.</v>
      </c>
      <c r="BI64" s="0" cm="1" t="str">
        <f t="array" ref="BI64:BI64">IF($A64="uni_org_reg_NAME",INDEX(org_reg_values,MATCH(BI$10,org_reg_codes,0),1),IF($A64="uni_pf_NAME",INDEX(pf_codes_values,MATCH(BI$10,pf_codes,0),1),""))</f>
        <v>328.0.2.</v>
      </c>
      <c r="BJ64" s="0" cm="1" t="str">
        <f t="array" ref="BJ64:BJ64">IF($A64="uni_org_reg_NAME",INDEX(org_reg_values,MATCH(BJ$10,org_reg_codes,0),1),IF($A64="uni_pf_NAME",INDEX(pf_codes_values,MATCH(BJ$10,pf_codes,0),1),""))</f>
        <v>328.0.2.</v>
      </c>
      <c r="BK64" s="0" cm="1" t="str">
        <f t="array" ref="BK64:BK64">IF($A64="uni_org_reg_NAME",INDEX(org_reg_values,MATCH(BK$10,org_reg_codes,0),1),IF($A64="uni_pf_NAME",INDEX(pf_codes_values,MATCH(BK$10,pf_codes,0),1),""))</f>
        <v>328.0.2.</v>
      </c>
      <c r="BL64" s="0" cm="1" t="str">
        <f t="array" ref="BL64:BL64">IF($A64="uni_org_reg_NAME",INDEX(org_reg_values,MATCH(BL$10,org_reg_codes,0),1),IF($A64="uni_pf_NAME",INDEX(pf_codes_values,MATCH(BL$10,pf_codes,0),1),""))</f>
        <v>328.0.2.</v>
      </c>
      <c r="BM64" s="0" cm="1" t="str">
        <f t="array" ref="BM64:BM64">IF($A64="uni_org_reg_NAME",INDEX(org_reg_values,MATCH(BM$10,org_reg_codes,0),1),IF($A64="uni_pf_NAME",INDEX(pf_codes_values,MATCH(BM$10,pf_codes,0),1),""))</f>
        <v>328.0.2.</v>
      </c>
      <c r="BN64" s="0" cm="1" t="str">
        <f t="array" ref="BN64:BN64">IF($A64="uni_org_reg_NAME",INDEX(org_reg_values,MATCH(BN$10,org_reg_codes,0),1),IF($A64="uni_pf_NAME",INDEX(pf_codes_values,MATCH(BN$10,pf_codes,0),1),""))</f>
        <v>328.0.2.</v>
      </c>
      <c r="BO64" s="0" cm="1" t="str">
        <f t="array" ref="BO64:BO64">IF($A64="uni_org_reg_NAME",INDEX(org_reg_values,MATCH(BO$10,org_reg_codes,0),1),IF($A64="uni_pf_NAME",INDEX(pf_codes_values,MATCH(BO$10,pf_codes,0),1),""))</f>
        <v>328.0.2.</v>
      </c>
      <c r="BP64" s="0" cm="1" t="str">
        <f t="array" ref="BP64:BP64">IF($A64="uni_org_reg_NAME",INDEX(org_reg_values,MATCH(BP$10,org_reg_codes,0),1),IF($A64="uni_pf_NAME",INDEX(pf_codes_values,MATCH(BP$10,pf_codes,0),1),""))</f>
        <v>328.0.2.</v>
      </c>
      <c r="BQ64" s="0" cm="1" t="str">
        <f t="array" ref="BQ64:BQ64">IF($A64="uni_org_reg_NAME",INDEX(org_reg_values,MATCH(BQ$10,org_reg_codes,0),1),IF($A64="uni_pf_NAME",INDEX(pf_codes_values,MATCH(BQ$10,pf_codes,0),1),""))</f>
        <v>328.0.2.</v>
      </c>
      <c r="BR64" s="0" cm="1" t="str">
        <f t="array" ref="BR64:BR64">IF($A64="uni_org_reg_NAME",INDEX(org_reg_values,MATCH(BR$10,org_reg_codes,0),1),IF($A64="uni_pf_NAME",INDEX(pf_codes_values,MATCH(BR$10,pf_codes,0),1),""))</f>
        <v>328.0.2.</v>
      </c>
      <c r="BS64" s="0" cm="1" t="str">
        <f t="array" ref="BS64:BS64">IF($A64="uni_org_reg_NAME",INDEX(org_reg_values,MATCH(BS$10,org_reg_codes,0),1),IF($A64="uni_pf_NAME",INDEX(pf_codes_values,MATCH(BS$10,pf_codes,0),1),""))</f>
        <v>328.0.2.</v>
      </c>
      <c r="BT64" s="0" cm="1" t="str">
        <f t="array" ref="BT64:BT64">IF($A64="uni_org_reg_NAME",INDEX(org_reg_values,MATCH(BT$10,org_reg_codes,0),1),IF($A64="uni_pf_NAME",INDEX(pf_codes_values,MATCH(BT$10,pf_codes,0),1),""))</f>
        <v>328.0.2.</v>
      </c>
      <c r="BU64" s="0" cm="1" t="str">
        <f t="array" ref="BU64:BU64">IF($A64="uni_org_reg_NAME",INDEX(org_reg_values,MATCH(BU$10,org_reg_codes,0),1),IF($A64="uni_pf_NAME",INDEX(pf_codes_values,MATCH(BU$10,pf_codes,0),1),""))</f>
        <v>328.0.2.</v>
      </c>
      <c r="BV64" s="0" cm="1" t="str">
        <f t="array" ref="BV64:BV64">IF($A64="uni_org_reg_NAME",INDEX(org_reg_values,MATCH(BV$10,org_reg_codes,0),1),IF($A64="uni_pf_NAME",INDEX(pf_codes_values,MATCH(BV$10,pf_codes,0),1),""))</f>
        <v>328.0.2.</v>
      </c>
    </row>
    <row customHeight="1" ht="11.25" hidden="1">
      <c r="A65" s="0" t="s">
        <v>409</v>
      </c>
      <c r="AE65" s="0" cm="1" t="str">
        <f t="array" ref="AE65:AE65">IF($A65="uni_org_reg_NAME",INDEX(org_reg_values,MATCH(AE$10,org_reg_codes,0),1),IF($A65="uni_pf_NAME",INDEX(pf_codes_values,MATCH(AE$10,pf_codes,0),1),""))</f>
        <v>36.0.7.</v>
      </c>
      <c r="AF65" s="0" cm="1" t="str">
        <f t="array" ref="AF65:AF65">IF($A65="uni_org_reg_NAME",INDEX(org_reg_values,MATCH(AF$10,org_reg_codes,0),1),IF($A65="uni_pf_NAME",INDEX(pf_codes_values,MATCH(AF$10,pf_codes,0),1),""))</f>
        <v>36.0.1.</v>
      </c>
      <c r="AG65" s="0" cm="1" t="str">
        <f t="array" ref="AG65:AG65">IF($A65="uni_org_reg_NAME",INDEX(org_reg_values,MATCH(AG$10,org_reg_codes,0),1),IF($A65="uni_pf_NAME",INDEX(pf_codes_values,MATCH(AG$10,pf_codes,0),1),""))</f>
        <v>36.0.1.</v>
      </c>
      <c r="AH65" s="0" cm="1" t="str">
        <f t="array" ref="AH65:AH65">IF($A65="uni_org_reg_NAME",INDEX(org_reg_values,MATCH(AH$10,org_reg_codes,0),1),IF($A65="uni_pf_NAME",INDEX(pf_codes_values,MATCH(AH$10,pf_codes,0),1),""))</f>
        <v>36.0.7.</v>
      </c>
      <c r="AI65" s="0" cm="1" t="str">
        <f t="array" ref="AI65:AI65">IF($A65="uni_org_reg_NAME",INDEX(org_reg_values,MATCH(AI$10,org_reg_codes,0),1),IF($A65="uni_pf_NAME",INDEX(pf_codes_values,MATCH(AI$10,pf_codes,0),1),""))</f>
        <v>36.0.3.</v>
      </c>
      <c r="AJ65" s="0" cm="1" t="str">
        <f t="array" ref="AJ65:AJ65">IF($A65="uni_org_reg_NAME",INDEX(org_reg_values,MATCH(AJ$10,org_reg_codes,0),1),IF($A65="uni_pf_NAME",INDEX(pf_codes_values,MATCH(AJ$10,pf_codes,0),1),""))</f>
        <v>36.0.3.</v>
      </c>
      <c r="AK65" s="0" cm="1" t="str">
        <f t="array" ref="AK65:AK65">IF($A65="uni_org_reg_NAME",INDEX(org_reg_values,MATCH(AK$10,org_reg_codes,0),1),IF($A65="uni_pf_NAME",INDEX(pf_codes_values,MATCH(AK$10,pf_codes,0),1),""))</f>
        <v>36.0.3.</v>
      </c>
      <c r="AL65" s="0" cm="1" t="str">
        <f t="array" ref="AL65:AL65">IF($A65="uni_org_reg_NAME",INDEX(org_reg_values,MATCH(AL$10,org_reg_codes,0),1),IF($A65="uni_pf_NAME",INDEX(pf_codes_values,MATCH(AL$10,pf_codes,0),1),""))</f>
        <v>36.0.3.</v>
      </c>
      <c r="AM65" s="0" cm="1" t="str">
        <f t="array" ref="AM65:AM65">IF($A65="uni_org_reg_NAME",INDEX(org_reg_values,MATCH(AM$10,org_reg_codes,0),1),IF($A65="uni_pf_NAME",INDEX(pf_codes_values,MATCH(AM$10,pf_codes,0),1),""))</f>
        <v>36.0.3.</v>
      </c>
      <c r="AN65" s="0" cm="1" t="str">
        <f t="array" ref="AN65:AN65">IF($A65="uni_org_reg_NAME",INDEX(org_reg_values,MATCH(AN$10,org_reg_codes,0),1),IF($A65="uni_pf_NAME",INDEX(pf_codes_values,MATCH(AN$10,pf_codes,0),1),""))</f>
        <v>36.0.3.</v>
      </c>
      <c r="AO65" s="0" cm="1" t="str">
        <f t="array" ref="AO65:AO65">IF($A65="uni_org_reg_NAME",INDEX(org_reg_values,MATCH(AO$10,org_reg_codes,0),1),IF($A65="uni_pf_NAME",INDEX(pf_codes_values,MATCH(AO$10,pf_codes,0),1),""))</f>
        <v>36.0.3.</v>
      </c>
      <c r="AP65" s="0" cm="1" t="str">
        <f t="array" ref="AP65:AP65">IF($A65="uni_org_reg_NAME",INDEX(org_reg_values,MATCH(AP$10,org_reg_codes,0),1),IF($A65="uni_pf_NAME",INDEX(pf_codes_values,MATCH(AP$10,pf_codes,0),1),""))</f>
        <v>36.0.3.</v>
      </c>
      <c r="AQ65" s="0" cm="1" t="str">
        <f t="array" ref="AQ65:AQ65">IF($A65="uni_org_reg_NAME",INDEX(org_reg_values,MATCH(AQ$10,org_reg_codes,0),1),IF($A65="uni_pf_NAME",INDEX(pf_codes_values,MATCH(AQ$10,pf_codes,0),1),""))</f>
        <v>36.0.3.</v>
      </c>
      <c r="AR65" s="0" cm="1" t="str">
        <f t="array" ref="AR65:AR65">IF($A65="uni_org_reg_NAME",INDEX(org_reg_values,MATCH(AR$10,org_reg_codes,0),1),IF($A65="uni_pf_NAME",INDEX(pf_codes_values,MATCH(AR$10,pf_codes,0),1),""))</f>
        <v>36.0.3.</v>
      </c>
      <c r="AS65" s="0" cm="1" t="str">
        <f t="array" ref="AS65:AS65">IF($A65="uni_org_reg_NAME",INDEX(org_reg_values,MATCH(AS$10,org_reg_codes,0),1),IF($A65="uni_pf_NAME",INDEX(pf_codes_values,MATCH(AS$10,pf_codes,0),1),""))</f>
        <v>36.0.3.</v>
      </c>
      <c r="AT65" s="0" cm="1" t="str">
        <f t="array" ref="AT65:AT65">IF($A65="uni_org_reg_NAME",INDEX(org_reg_values,MATCH(AT$10,org_reg_codes,0),1),IF($A65="uni_pf_NAME",INDEX(pf_codes_values,MATCH(AT$10,pf_codes,0),1),""))</f>
        <v>36.0.3.</v>
      </c>
      <c r="AU65" s="0" cm="1" t="str">
        <f t="array" ref="AU65:AU65">IF($A65="uni_org_reg_NAME",INDEX(org_reg_values,MATCH(AU$10,org_reg_codes,0),1),IF($A65="uni_pf_NAME",INDEX(pf_codes_values,MATCH(AU$10,pf_codes,0),1),""))</f>
        <v>36.0.3.</v>
      </c>
      <c r="AV65" s="0" cm="1" t="str">
        <f t="array" ref="AV65:AV65">IF($A65="uni_org_reg_NAME",INDEX(org_reg_values,MATCH(AV$10,org_reg_codes,0),1),IF($A65="uni_pf_NAME",INDEX(pf_codes_values,MATCH(AV$10,pf_codes,0),1),""))</f>
        <v>36.0.3.</v>
      </c>
      <c r="AW65" s="0" cm="1" t="str">
        <f t="array" ref="AW65:AW65">IF($A65="uni_org_reg_NAME",INDEX(org_reg_values,MATCH(AW$10,org_reg_codes,0),1),IF($A65="uni_pf_NAME",INDEX(pf_codes_values,MATCH(AW$10,pf_codes,0),1),""))</f>
        <v>36.0.3.</v>
      </c>
      <c r="AX65" s="0" cm="1" t="str">
        <f t="array" ref="AX65:AX65">IF($A65="uni_org_reg_NAME",INDEX(org_reg_values,MATCH(AX$10,org_reg_codes,0),1),IF($A65="uni_pf_NAME",INDEX(pf_codes_values,MATCH(AX$10,pf_codes,0),1),""))</f>
        <v>36.0.3.</v>
      </c>
      <c r="AY65" s="0" cm="1" t="str">
        <f t="array" ref="AY65:AY65">IF($A65="uni_org_reg_NAME",INDEX(org_reg_values,MATCH(AY$10,org_reg_codes,0),1),IF($A65="uni_pf_NAME",INDEX(pf_codes_values,MATCH(AY$10,pf_codes,0),1),""))</f>
        <v>36.0.3.</v>
      </c>
      <c r="AZ65" s="0" cm="1" t="str">
        <f t="array" ref="AZ65:AZ65">IF($A65="uni_org_reg_NAME",INDEX(org_reg_values,MATCH(AZ$10,org_reg_codes,0),1),IF($A65="uni_pf_NAME",INDEX(pf_codes_values,MATCH(AZ$10,pf_codes,0),1),""))</f>
        <v>36.0.3.</v>
      </c>
      <c r="BA65" s="0" cm="1" t="str">
        <f t="array" ref="BA65:BA65">IF($A65="uni_org_reg_NAME",INDEX(org_reg_values,MATCH(BA$10,org_reg_codes,0),1),IF($A65="uni_pf_NAME",INDEX(pf_codes_values,MATCH(BA$10,pf_codes,0),1),""))</f>
        <v>36.0.3.</v>
      </c>
      <c r="BB65" s="0" cm="1" t="str">
        <f t="array" ref="BB65:BB65">IF($A65="uni_org_reg_NAME",INDEX(org_reg_values,MATCH(BB$10,org_reg_codes,0),1),IF($A65="uni_pf_NAME",INDEX(pf_codes_values,MATCH(BB$10,pf_codes,0),1),""))</f>
        <v>36.0.3.</v>
      </c>
      <c r="BC65" s="0" cm="1" t="str">
        <f t="array" ref="BC65:BC65">IF($A65="uni_org_reg_NAME",INDEX(org_reg_values,MATCH(BC$10,org_reg_codes,0),1),IF($A65="uni_pf_NAME",INDEX(pf_codes_values,MATCH(BC$10,pf_codes,0),1),""))</f>
        <v>36.0.7.</v>
      </c>
      <c r="BD65" s="0" cm="1" t="str">
        <f t="array" ref="BD65:BD65">IF($A65="uni_org_reg_NAME",INDEX(org_reg_values,MATCH(BD$10,org_reg_codes,0),1),IF($A65="uni_pf_NAME",INDEX(pf_codes_values,MATCH(BD$10,pf_codes,0),1),""))</f>
        <v>36.0.7.</v>
      </c>
      <c r="BE65" s="0" cm="1" t="str">
        <f t="array" ref="BE65:BE65">IF($A65="uni_org_reg_NAME",INDEX(org_reg_values,MATCH(BE$10,org_reg_codes,0),1),IF($A65="uni_pf_NAME",INDEX(pf_codes_values,MATCH(BE$10,pf_codes,0),1),""))</f>
        <v>36.0.7.</v>
      </c>
      <c r="BF65" s="0" cm="1" t="str">
        <f t="array" ref="BF65:BF65">IF($A65="uni_org_reg_NAME",INDEX(org_reg_values,MATCH(BF$10,org_reg_codes,0),1),IF($A65="uni_pf_NAME",INDEX(pf_codes_values,MATCH(BF$10,pf_codes,0),1),""))</f>
        <v>36.0.7.</v>
      </c>
      <c r="BG65" s="0" cm="1" t="str">
        <f t="array" ref="BG65:BG65">IF($A65="uni_org_reg_NAME",INDEX(org_reg_values,MATCH(BG$10,org_reg_codes,0),1),IF($A65="uni_pf_NAME",INDEX(pf_codes_values,MATCH(BG$10,pf_codes,0),1),""))</f>
        <v>36.0.7.</v>
      </c>
      <c r="BH65" s="0" cm="1" t="str">
        <f t="array" ref="BH65:BH65">IF($A65="uni_org_reg_NAME",INDEX(org_reg_values,MATCH(BH$10,org_reg_codes,0),1),IF($A65="uni_pf_NAME",INDEX(pf_codes_values,MATCH(BH$10,pf_codes,0),1),""))</f>
        <v>36.0.7.</v>
      </c>
      <c r="BI65" s="0" cm="1" t="str">
        <f t="array" ref="BI65:BI65">IF($A65="uni_org_reg_NAME",INDEX(org_reg_values,MATCH(BI$10,org_reg_codes,0),1),IF($A65="uni_pf_NAME",INDEX(pf_codes_values,MATCH(BI$10,pf_codes,0),1),""))</f>
        <v>36.0.7.</v>
      </c>
      <c r="BJ65" s="0" cm="1" t="str">
        <f t="array" ref="BJ65:BJ65">IF($A65="uni_org_reg_NAME",INDEX(org_reg_values,MATCH(BJ$10,org_reg_codes,0),1),IF($A65="uni_pf_NAME",INDEX(pf_codes_values,MATCH(BJ$10,pf_codes,0),1),""))</f>
        <v>36.0.7.</v>
      </c>
      <c r="BK65" s="0" cm="1" t="str">
        <f t="array" ref="BK65:BK65">IF($A65="uni_org_reg_NAME",INDEX(org_reg_values,MATCH(BK$10,org_reg_codes,0),1),IF($A65="uni_pf_NAME",INDEX(pf_codes_values,MATCH(BK$10,pf_codes,0),1),""))</f>
        <v>36.0.7.</v>
      </c>
      <c r="BL65" s="0" cm="1" t="str">
        <f t="array" ref="BL65:BL65">IF($A65="uni_org_reg_NAME",INDEX(org_reg_values,MATCH(BL$10,org_reg_codes,0),1),IF($A65="uni_pf_NAME",INDEX(pf_codes_values,MATCH(BL$10,pf_codes,0),1),""))</f>
        <v>36.0.7.</v>
      </c>
      <c r="BM65" s="0" cm="1" t="str">
        <f t="array" ref="BM65:BM65">IF($A65="uni_org_reg_NAME",INDEX(org_reg_values,MATCH(BM$10,org_reg_codes,0),1),IF($A65="uni_pf_NAME",INDEX(pf_codes_values,MATCH(BM$10,pf_codes,0),1),""))</f>
        <v>36.0.7.</v>
      </c>
      <c r="BN65" s="0" cm="1" t="str">
        <f t="array" ref="BN65:BN65">IF($A65="uni_org_reg_NAME",INDEX(org_reg_values,MATCH(BN$10,org_reg_codes,0),1),IF($A65="uni_pf_NAME",INDEX(pf_codes_values,MATCH(BN$10,pf_codes,0),1),""))</f>
        <v>36.0.7.</v>
      </c>
      <c r="BO65" s="0" cm="1" t="str">
        <f t="array" ref="BO65:BO65">IF($A65="uni_org_reg_NAME",INDEX(org_reg_values,MATCH(BO$10,org_reg_codes,0),1),IF($A65="uni_pf_NAME",INDEX(pf_codes_values,MATCH(BO$10,pf_codes,0),1),""))</f>
        <v>36.0.7.</v>
      </c>
      <c r="BP65" s="0" cm="1" t="str">
        <f t="array" ref="BP65:BP65">IF($A65="uni_org_reg_NAME",INDEX(org_reg_values,MATCH(BP$10,org_reg_codes,0),1),IF($A65="uni_pf_NAME",INDEX(pf_codes_values,MATCH(BP$10,pf_codes,0),1),""))</f>
        <v>36.0.7.</v>
      </c>
      <c r="BQ65" s="0" cm="1" t="str">
        <f t="array" ref="BQ65:BQ65">IF($A65="uni_org_reg_NAME",INDEX(org_reg_values,MATCH(BQ$10,org_reg_codes,0),1),IF($A65="uni_pf_NAME",INDEX(pf_codes_values,MATCH(BQ$10,pf_codes,0),1),""))</f>
        <v>36.0.7.</v>
      </c>
      <c r="BR65" s="0" cm="1" t="str">
        <f t="array" ref="BR65:BR65">IF($A65="uni_org_reg_NAME",INDEX(org_reg_values,MATCH(BR$10,org_reg_codes,0),1),IF($A65="uni_pf_NAME",INDEX(pf_codes_values,MATCH(BR$10,pf_codes,0),1),""))</f>
        <v>36.0.7.</v>
      </c>
      <c r="BS65" s="0" cm="1" t="str">
        <f t="array" ref="BS65:BS65">IF($A65="uni_org_reg_NAME",INDEX(org_reg_values,MATCH(BS$10,org_reg_codes,0),1),IF($A65="uni_pf_NAME",INDEX(pf_codes_values,MATCH(BS$10,pf_codes,0),1),""))</f>
        <v>36.0.7.</v>
      </c>
      <c r="BT65" s="0" cm="1" t="str">
        <f t="array" ref="BT65:BT65">IF($A65="uni_org_reg_NAME",INDEX(org_reg_values,MATCH(BT$10,org_reg_codes,0),1),IF($A65="uni_pf_NAME",INDEX(pf_codes_values,MATCH(BT$10,pf_codes,0),1),""))</f>
        <v>36.0.7.</v>
      </c>
      <c r="BU65" s="0" cm="1" t="str">
        <f t="array" ref="BU65:BU65">IF($A65="uni_org_reg_NAME",INDEX(org_reg_values,MATCH(BU$10,org_reg_codes,0),1),IF($A65="uni_pf_NAME",INDEX(pf_codes_values,MATCH(BU$10,pf_codes,0),1),""))</f>
        <v>36.0.7.</v>
      </c>
      <c r="BV65" s="0" cm="1" t="str">
        <f t="array" ref="BV65:BV65">IF($A65="uni_org_reg_NAME",INDEX(org_reg_values,MATCH(BV$10,org_reg_codes,0),1),IF($A65="uni_pf_NAME",INDEX(pf_codes_values,MATCH(BV$10,pf_codes,0),1),""))</f>
        <v>36.0.7.</v>
      </c>
    </row>
    <row customHeight="1" ht="11.25" hidden="1">
      <c r="A66" s="0" t="s">
        <v>351</v>
      </c>
      <c r="AI66" s="1727"/>
      <c r="AJ66" s="1727"/>
      <c r="AK66" s="1727"/>
      <c r="AL66" s="1727"/>
      <c r="AM66" s="1727"/>
      <c r="AN66" s="1727"/>
      <c r="AO66" s="1727"/>
      <c r="AP66" s="1727"/>
      <c r="AQ66" s="1727"/>
      <c r="AR66" s="1727"/>
      <c r="AS66" s="1727"/>
      <c r="AT66" s="1727"/>
      <c r="AU66" s="1727"/>
      <c r="AV66" s="1727"/>
      <c r="AW66" s="1727"/>
      <c r="AX66" s="1727"/>
      <c r="AY66" s="1727"/>
      <c r="AZ66" s="1727"/>
      <c r="BA66" s="1727"/>
      <c r="BB66" s="1727"/>
      <c r="BC66" s="1727"/>
      <c r="BD66" s="1727"/>
      <c r="BE66" s="1727"/>
      <c r="BF66" s="1727"/>
      <c r="BG66" s="1727"/>
      <c r="BH66" s="1727"/>
      <c r="BI66" s="1727"/>
      <c r="BJ66" s="1727"/>
      <c r="BK66" s="1727"/>
      <c r="BL66" s="1727"/>
      <c r="BM66" s="1727"/>
      <c r="BN66" s="1727"/>
      <c r="BO66" s="1727"/>
      <c r="BP66" s="1727"/>
      <c r="BQ66" s="1727"/>
      <c r="BR66" s="1727"/>
      <c r="BS66" s="1727"/>
      <c r="BT66" s="1727"/>
      <c r="BU66" s="1727"/>
      <c r="BV66" s="1727"/>
      <c r="BW66" s="0" t="s">
        <v>178</v>
      </c>
    </row>
    <row customHeight="1" ht="11.25" hidden="1">
      <c r="A67" s="0" t="s">
        <v>352</v>
      </c>
      <c r="AI67" s="1727"/>
      <c r="AJ67" s="1727"/>
      <c r="AK67" s="1727"/>
      <c r="AL67" s="1727"/>
      <c r="AM67" s="1727"/>
      <c r="AN67" s="1727"/>
      <c r="AO67" s="1727"/>
      <c r="AP67" s="1727"/>
      <c r="AQ67" s="1727"/>
      <c r="AR67" s="1727"/>
      <c r="AS67" s="1727"/>
      <c r="AT67" s="1727"/>
      <c r="AU67" s="1727"/>
      <c r="AV67" s="1727"/>
      <c r="AW67" s="1727"/>
      <c r="AX67" s="1727"/>
      <c r="AY67" s="1727"/>
      <c r="AZ67" s="1727"/>
      <c r="BA67" s="1727"/>
      <c r="BB67" s="1727"/>
      <c r="BC67" s="1727"/>
      <c r="BD67" s="1727"/>
      <c r="BE67" s="1727"/>
      <c r="BF67" s="1727"/>
      <c r="BG67" s="1727"/>
      <c r="BH67" s="1727"/>
      <c r="BI67" s="1727"/>
      <c r="BJ67" s="1727"/>
      <c r="BK67" s="1727"/>
      <c r="BL67" s="1727"/>
      <c r="BM67" s="1727"/>
      <c r="BN67" s="1727"/>
      <c r="BO67" s="1727"/>
      <c r="BP67" s="1727"/>
      <c r="BQ67" s="1727"/>
      <c r="BR67" s="1727"/>
      <c r="BS67" s="1727"/>
      <c r="BT67" s="1727"/>
      <c r="BU67" s="1727"/>
      <c r="BV67" s="1727"/>
      <c r="BW67" s="0" t="s">
        <v>798</v>
      </c>
    </row>
    <row customHeight="1" ht="11.25" hidden="1">
      <c r="A68" s="0" t="s">
        <v>379</v>
      </c>
      <c r="AI68" s="1727"/>
      <c r="AJ68" s="1727"/>
      <c r="AK68" s="1727"/>
      <c r="AL68" s="1727"/>
      <c r="AM68" s="1727"/>
      <c r="AN68" s="1727"/>
      <c r="AO68" s="1727"/>
      <c r="AP68" s="1727"/>
      <c r="AQ68" s="1727"/>
      <c r="AR68" s="1727"/>
      <c r="AS68" s="1727"/>
      <c r="AT68" s="1727"/>
      <c r="AU68" s="1727"/>
      <c r="AV68" s="1727"/>
      <c r="AW68" s="1727"/>
      <c r="AX68" s="1727"/>
      <c r="AY68" s="1727"/>
      <c r="AZ68" s="1727"/>
      <c r="BA68" s="1727"/>
      <c r="BB68" s="1727"/>
      <c r="BC68" s="1727"/>
      <c r="BD68" s="1727"/>
      <c r="BE68" s="1727"/>
      <c r="BF68" s="1727"/>
      <c r="BG68" s="1727"/>
      <c r="BH68" s="1727"/>
      <c r="BI68" s="1727"/>
      <c r="BJ68" s="1727"/>
      <c r="BK68" s="1727"/>
      <c r="BL68" s="1727"/>
      <c r="BM68" s="1727"/>
      <c r="BN68" s="1727"/>
      <c r="BO68" s="1727"/>
      <c r="BP68" s="1727"/>
      <c r="BQ68" s="1727"/>
      <c r="BR68" s="1727"/>
      <c r="BS68" s="1727"/>
      <c r="BT68" s="1727"/>
      <c r="BU68" s="1727"/>
      <c r="BV68" s="1727"/>
      <c r="BW68" s="0" t="s">
        <v>799</v>
      </c>
    </row>
  </sheetData>
  <sheetProtection formatColumns="0" formatRows="0" insertRows="0" deleteColumns="0" deleteRows="0" sort="0" autoFilter="0" insertColumns="1"/>
  <mergeCells count="12">
    <mergeCell ref="X27:X40"/>
    <mergeCell ref="Z27:Z40"/>
    <mergeCell ref="AB60:AC60"/>
    <mergeCell ref="AB57:BW57"/>
    <mergeCell ref="AB58:BW58"/>
    <mergeCell ref="AB24:AB25"/>
    <mergeCell ref="AC24:AC25"/>
    <mergeCell ref="AD24:AD25"/>
    <mergeCell ref="BW24:BW25"/>
    <mergeCell ref="AB59:BW59"/>
    <mergeCell ref="X41:X54"/>
    <mergeCell ref="Z41:Z54"/>
  </mergeCells>
  <dataValidations count="2">
    <dataValidation allowBlank="1" showInputMessage="1" showErrorMessage="1" sqref="AI38:BV38 BW56:BW65516 AI56:BV62 AI66:BV65516 AI52 AJ52 AK52 AL52 AM52 AN52 AO52 AP52 AQ52 AR52 AS52 AT52 AU52 AV52 AW52 AX52 AY52 AZ52 BA52 BB52 BC52 BD52 BE52 BF52 BG52 BH52 BI52 BJ52 BK52 BL52 BM52 BN52 BO52 BP52 BQ52 BR52 BS52 BT52 BU52 BV52"/>
    <dataValidation type="decimal" allowBlank="1" showErrorMessage="1" errorTitle="Ошибка" error="Допускается ввод только неотрицательных чисел!" sqref="AE29:BV37 AE43 AF43 AG43 AH43 AI43 AJ43 AK43 AL43 AM43 AN43 AO43 AP43 AQ43 AR43 AS43 AT43 AU43 AV43 AW43 AX43 AY43 AZ43 BA43 BB43 BC43 BD43 BE43 BF43 BG43 BH43 BI43 BJ43 BK43 BL43 BM43 BN43 BO43 BP43 BQ43 BR43 BS43 BT43 BU43 BV43 AE44 AF44 AG44 AH44 AI44 AJ44 AK44 AL44 AM44 AN44 AO44 AP44 AQ44 AR44 AS44 AT44 AU44 AV44 AW44 AX44 AY44 AZ44 BA44 BB44 BC44 BD44 BE44 BF44 BG44 BH44 BI44 BJ44 BK44 BL44 BM44 BN44 BO44 BP44 BQ44 BR44 BS44 BT44 BU44 BV44 AE45 AF45 AG45 AH45 AI45 AJ45 AK45 AL45 AM45 AN45 AO45 AP45 AQ45 AR45 AS45 AT45 AU45 AV45 AW45 AX45 AY45 AZ45 BA45 BB45 BC45 BD45 BE45 BF45 BG45 BH45 BI45 BJ45 BK45 BL45 BM45 BN45 BO45 BP45 BQ45 BR45 BS45 BT45 BU45 BV45 AE46 AF46 AG46 AH46 AI46 AJ46 AK46 AL46 AM46 AN46 AO46 AP46 AQ46 AR46 AS46 AT46 AU46 AV46 AW46 AX46 AY46 AZ46 BA46 BB46 BC46 BD46 BE46 BF46 BG46 BH46 BI46 BJ46 BK46 BL46 BM46 BN46 BO46 BP46 BQ46 BR46 BS46 BT46 BU46 BV46 AE47 AF47 AG47 AH47 AI47 AJ47 AK47 AL47 AM47 AN47 AO47 AP47 AQ47 AR47 AS47 AT47 AU47 AV47 AW47 AX47 AY47 AZ47 BA47 BB47 BC47 BD47 BE47 BF47 BG47 BH47 BI47 BJ47 BK47 BL47 BM47 BN47 BO47 BP47 BQ47 BR47 BS47 BT47 BU47 BV47 AE48 AF48 AG48 AH48 AI48 AJ48 AK48 AL48 AM48 AN48 AO48 AP48 AQ48 AR48 AS48 AT48 AU48 AV48 AW48 AX48 AY48 AZ48 BA48 BB48 BC48 BD48 BE48 BF48 BG48 BH48 BI48 BJ48 BK48 BL48 BM48 BN48 BO48 BP48 BQ48 BR48 BS48 BT48 BU48 BV48 AE49 AF49 AG49 AH49 AI49 AJ49 AK49 AL49 AM49 AN49 AO49 AP49 AQ49 AR49 AS49 AT49 AU49 AV49 AW49 AX49 AY49 AZ49 BA49 BB49 BC49 BD49 BE49 BF49 BG49 BH49 BI49 BJ49 BK49 BL49 BM49 BN49 BO49 BP49 BQ49 BR49 BS49 BT49 BU49 BV49 AE50 AF50 AG50 AH50 AI50 AJ50 AK50 AL50 AM50 AN50 AO50 AP50 AQ50 AR50 AS50 AT50 AU50 AV50 AW50 AX50 AY50 AZ50 BA50 BB50 BC50 BD50 BE50 BF50 BG50 BH50 BI50 BJ50 BK50 BL50 BM50 BN50 BO50 BP50 BQ50 BR50 BS50 BT50 BU50 BV50 AE51 AF51 AG51 AH51 AI51 AJ51 AK51 AL51 AM51 AN51 AO51 AP51 AQ51 AR51 AS51 AT51 AU51 AV51 AW51 AX51 AY51 AZ51 BA51 BB51 BC51 BD51 BE51 BF51 BG51 BH51 BI51 BJ51 BK51 BL51 BM51 BN51 BO51 BP51 BQ51 BR51 BS51 BT51 BU51 BV51">
      <formula1>0</formula1>
      <formula2>9.99999999999999E+23</formula2>
    </dataValidation>
  </dataValidations>
  <pageMargins left="0.35" right="0.35" top="0.40" bottom="0.40" header="0.31" footer="0.31"/>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72E7D8-11B5-13E9-3F58-52278816A788}" mc:Ignorable="x14ac xr xr2 xr3">
  <sheetPr>
    <tabColor rgb="FF002060"/>
    <outlinePr summaryRight="0" summaryBelow="0"/>
  </sheetPr>
  <dimension ref="A1:CG57"/>
  <sheetViews>
    <sheetView showGridLines="0" workbookViewId="0">
      <pane xSplit="30" ySplit="26" topLeftCell="AE35" activePane="bottomRight" state="frozen"/>
      <selection pane="bottomLeft" activeCell="A27" sqref="A27"/>
      <selection pane="topRight" activeCell="AE1" sqref="AE1"/>
      <selection pane="bottomRight" activeCell="AE39" sqref="AE39"/>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8.42187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1727" width="3.00390625" customWidth="1"/>
    <col min="28" max="28" style="1727" width="6.00390625" customWidth="1"/>
    <col min="29" max="29" style="1727" width="50.00390625" customWidth="1"/>
    <col min="30" max="30" style="1727" width="10.00390625" customWidth="1"/>
    <col min="31" max="31" style="1727" width="13.00390625" customWidth="1"/>
    <col min="32" max="32" style="1727" width="13.00390625" hidden="1" customWidth="1"/>
    <col min="33" max="33" style="1727" width="18.00390625" hidden="1" customWidth="1"/>
    <col min="34" max="50" style="1727" width="13.00390625" hidden="1" customWidth="1"/>
    <col min="51" max="51" style="1727" width="13.00390625" customWidth="1"/>
    <col min="52" max="70" style="1727" width="13.00390625" hidden="1" customWidth="1"/>
    <col min="71" max="71" style="1727" width="20.00390625" customWidth="1"/>
    <col min="72" max="72" style="1727" width="3.00390625" customWidth="1"/>
    <col min="73" max="73" style="969" width="9.140625" hidden="1"/>
    <col min="74" max="74" style="1145" width="9.140625" hidden="1"/>
    <col min="75" max="76" style="1506" width="9.140625" hidden="1"/>
    <col min="77" max="85" width="9.140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E1" s="1548"/>
      <c r="AF1" s="1548"/>
      <c r="AG1" s="1548"/>
      <c r="AH1" s="1548"/>
      <c r="AI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V1" s="309" t="s">
        <v>336</v>
      </c>
      <c r="BY1" s="0" t="s">
        <v>94</v>
      </c>
      <c r="BZ1" s="0" t="s">
        <v>1513</v>
      </c>
      <c r="CA1" s="0" t="s">
        <v>1514</v>
      </c>
      <c r="CB1" s="0" t="s">
        <v>1515</v>
      </c>
      <c r="CC1" s="0" t="s">
        <v>409</v>
      </c>
      <c r="CD1" s="0" t="s">
        <v>110</v>
      </c>
      <c r="CE1" s="0" t="s">
        <v>112</v>
      </c>
      <c r="CF1" s="0" t="s">
        <v>113</v>
      </c>
      <c r="CG1" s="0" t="s">
        <v>114</v>
      </c>
    </row>
    <row s="1548" customFormat="1" customHeight="1" ht="11.25" hidden="1">
      <c r="A2" s="371"/>
      <c r="B2" s="179" t="s">
        <v>16</v>
      </c>
      <c r="G2" s="193"/>
      <c r="H2" s="193"/>
      <c r="I2" s="193"/>
      <c r="J2" s="193"/>
      <c r="K2" s="193"/>
      <c r="L2" s="193"/>
      <c r="M2" s="193"/>
      <c r="N2" s="193"/>
      <c r="O2" s="193"/>
      <c r="P2" s="193"/>
      <c r="Q2" s="193"/>
      <c r="R2" s="193"/>
      <c r="S2" s="193"/>
      <c r="AE2" s="179">
        <f>AE9&lt;=last_year_vis</f>
        <v>1</v>
      </c>
      <c r="AF2" s="179">
        <f>AF9&lt;=last_year_vis</f>
        <v>0</v>
      </c>
      <c r="AG2" s="179">
        <f>AG9&lt;=last_year_vis</f>
        <v>0</v>
      </c>
      <c r="AH2" s="179">
        <f>AH9&lt;=last_year_vis</f>
        <v>0</v>
      </c>
      <c r="AI2" s="179">
        <f>AI9&lt;=last_year_vis</f>
        <v>0</v>
      </c>
      <c r="AJ2" s="179">
        <f>AJ9&lt;=last_year_vis</f>
        <v>0</v>
      </c>
      <c r="AK2" s="179">
        <f>AK9&lt;=last_year_vis</f>
        <v>0</v>
      </c>
      <c r="AL2" s="179">
        <f>AL9&lt;=last_year_vis</f>
        <v>0</v>
      </c>
      <c r="AM2" s="179">
        <f>AM9&lt;=last_year_vis</f>
        <v>0</v>
      </c>
      <c r="AN2" s="179">
        <f>AN9&lt;=last_year_vis</f>
        <v>0</v>
      </c>
      <c r="AO2" s="179">
        <f>AO9&lt;=last_year_vis</f>
        <v>0</v>
      </c>
      <c r="AP2" s="179">
        <f>AP9&lt;=last_year_vis</f>
        <v>0</v>
      </c>
      <c r="AQ2" s="179">
        <f>AQ9&lt;=last_year_vis</f>
        <v>0</v>
      </c>
      <c r="AR2" s="179">
        <f>AR9&lt;=last_year_vis</f>
        <v>0</v>
      </c>
      <c r="AS2" s="179">
        <f>AS9&lt;=last_year_vis</f>
        <v>0</v>
      </c>
      <c r="AT2" s="179">
        <f>AT9&lt;=last_year_vis</f>
        <v>0</v>
      </c>
      <c r="AU2" s="179">
        <f>AU9&lt;=last_year_vis</f>
        <v>0</v>
      </c>
      <c r="AV2" s="179">
        <f>AV9&lt;=last_year_vis</f>
        <v>0</v>
      </c>
      <c r="AW2" s="179">
        <f>AW9&lt;=last_year_vis</f>
        <v>0</v>
      </c>
      <c r="AX2" s="179">
        <f>AX9&lt;=last_year_vis</f>
        <v>0</v>
      </c>
      <c r="AY2" s="179">
        <f>AY9&lt;=last_year_vis</f>
        <v>1</v>
      </c>
      <c r="AZ2" s="179">
        <f>AZ9&lt;=last_year_vis</f>
        <v>0</v>
      </c>
      <c r="BA2" s="179">
        <f>BA9&lt;=last_year_vis</f>
        <v>0</v>
      </c>
      <c r="BB2" s="179">
        <f>BB9&lt;=last_year_vis</f>
        <v>0</v>
      </c>
      <c r="BC2" s="179">
        <f>BC9&lt;=last_year_vis</f>
        <v>0</v>
      </c>
      <c r="BD2" s="179">
        <f>BD9&lt;=last_year_vis</f>
        <v>0</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V2" s="309"/>
      <c r="BY2" s="0"/>
      <c r="BZ2" s="0"/>
      <c r="CA2" s="0"/>
      <c r="CB2" s="0"/>
      <c r="CC2" s="0"/>
      <c r="CD2" s="0"/>
      <c r="CE2" s="0"/>
      <c r="CF2" s="0"/>
      <c r="CG2" s="0"/>
    </row>
    <row s="1548" customFormat="1" customHeight="1" ht="11.25" hidden="1">
      <c r="A3" s="371"/>
      <c r="G3" s="193"/>
      <c r="H3" s="193"/>
      <c r="I3" s="193"/>
      <c r="J3" s="193"/>
      <c r="K3" s="193"/>
      <c r="L3" s="193"/>
      <c r="M3" s="193"/>
      <c r="N3" s="193"/>
      <c r="O3" s="193"/>
      <c r="P3" s="193"/>
      <c r="Q3" s="193"/>
      <c r="R3" s="193"/>
      <c r="S3" s="193"/>
      <c r="AE3" s="1548"/>
      <c r="AF3" s="1548"/>
      <c r="AG3" s="1548"/>
      <c r="AH3" s="1548"/>
      <c r="AI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V3" s="309"/>
      <c r="BY3" s="0"/>
      <c r="BZ3" s="0"/>
      <c r="CA3" s="0"/>
      <c r="CB3" s="0"/>
      <c r="CC3" s="0"/>
      <c r="CD3" s="0"/>
      <c r="CE3" s="0"/>
      <c r="CF3" s="0"/>
      <c r="CG3" s="0"/>
    </row>
    <row s="1548" customFormat="1" customHeight="1" ht="11.25" hidden="1">
      <c r="A4" s="371"/>
      <c r="G4" s="193"/>
      <c r="H4" s="193"/>
      <c r="I4" s="193"/>
      <c r="J4" s="193"/>
      <c r="K4" s="193"/>
      <c r="L4" s="193"/>
      <c r="M4" s="193"/>
      <c r="N4" s="193"/>
      <c r="O4" s="193"/>
      <c r="P4" s="193"/>
      <c r="Q4" s="193"/>
      <c r="R4" s="193"/>
      <c r="S4" s="193"/>
      <c r="AE4" s="1548"/>
      <c r="AF4" s="1548"/>
      <c r="AG4" s="1548"/>
      <c r="AH4" s="1548"/>
      <c r="AI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V4" s="309"/>
      <c r="BY4" s="0"/>
      <c r="BZ4" s="0"/>
      <c r="CA4" s="0"/>
      <c r="CB4" s="0"/>
      <c r="CC4" s="0"/>
      <c r="CD4" s="0"/>
      <c r="CE4" s="0"/>
      <c r="CF4" s="0"/>
      <c r="CG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6</v>
      </c>
      <c r="AC5" s="180">
        <v>50</v>
      </c>
      <c r="AD5" s="180">
        <v>10</v>
      </c>
      <c r="AE5" s="180">
        <v>13</v>
      </c>
      <c r="AF5" s="180">
        <v>13</v>
      </c>
      <c r="AG5" s="180">
        <v>18</v>
      </c>
      <c r="AH5" s="180">
        <v>13</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20</v>
      </c>
      <c r="BT5" s="180">
        <v>3</v>
      </c>
      <c r="BV5" s="309"/>
      <c r="BY5" s="1729"/>
      <c r="BZ5" s="1729"/>
      <c r="CA5" s="1729"/>
      <c r="CB5" s="1729"/>
      <c r="CC5" s="1729"/>
      <c r="CD5" s="1729"/>
      <c r="CE5" s="1729"/>
      <c r="CF5" s="1729"/>
      <c r="CG5" s="1729"/>
    </row>
    <row s="1548" customFormat="1" customHeight="1" ht="11.25" hidden="1">
      <c r="A6" s="371"/>
      <c r="E6" s="180"/>
      <c r="G6" s="193"/>
      <c r="H6" s="193"/>
      <c r="I6" s="193"/>
      <c r="J6" s="193"/>
      <c r="K6" s="193"/>
      <c r="L6" s="193"/>
      <c r="M6" s="193"/>
      <c r="N6" s="193"/>
      <c r="O6" s="193"/>
      <c r="P6" s="193"/>
      <c r="Q6" s="193"/>
      <c r="R6" s="193"/>
      <c r="S6" s="193"/>
      <c r="AE6" s="1548"/>
      <c r="AF6" s="1548"/>
      <c r="AG6" s="1548"/>
      <c r="AH6" s="1548"/>
      <c r="AI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V6" s="309"/>
      <c r="BY6" s="0"/>
      <c r="BZ6" s="0"/>
      <c r="CA6" s="0"/>
      <c r="CB6" s="0"/>
      <c r="CC6" s="0"/>
      <c r="CD6" s="0"/>
      <c r="CE6" s="0"/>
      <c r="CF6" s="0"/>
      <c r="CG6" s="0"/>
    </row>
    <row s="1659" customFormat="1" customHeight="1" ht="11.25" hidden="1">
      <c r="A7" s="371"/>
      <c r="B7" s="175"/>
      <c r="C7" s="175"/>
      <c r="D7" s="175"/>
      <c r="E7" s="180"/>
      <c r="AE7" s="1659"/>
      <c r="AF7" s="1659"/>
      <c r="AG7" s="1659"/>
      <c r="AH7" s="1659"/>
      <c r="AI7" s="1659"/>
      <c r="AJ7" s="1659"/>
      <c r="AK7" s="1659"/>
      <c r="AL7" s="1659"/>
      <c r="AM7" s="1659"/>
      <c r="AN7" s="1659"/>
      <c r="AO7" s="1659"/>
      <c r="AP7" s="1659"/>
      <c r="AQ7" s="1659"/>
      <c r="AR7" s="1659"/>
      <c r="AS7" s="1659"/>
      <c r="AT7" s="1659"/>
      <c r="AU7" s="1659"/>
      <c r="AV7" s="1659"/>
      <c r="AW7" s="1659"/>
      <c r="AX7" s="1659"/>
      <c r="AY7" s="1659"/>
      <c r="AZ7" s="1659"/>
      <c r="BA7" s="1659"/>
      <c r="BB7" s="1659"/>
      <c r="BC7" s="1659"/>
      <c r="BD7" s="1659"/>
      <c r="BE7" s="1659"/>
      <c r="BF7" s="1659"/>
      <c r="BG7" s="1659"/>
      <c r="BH7" s="1659"/>
      <c r="BI7" s="1659"/>
      <c r="BJ7" s="1659"/>
      <c r="BK7" s="1659"/>
      <c r="BL7" s="1659"/>
      <c r="BM7" s="1659"/>
      <c r="BN7" s="1659"/>
      <c r="BO7" s="1659"/>
      <c r="BP7" s="1659"/>
      <c r="BQ7" s="1659"/>
      <c r="BR7" s="1659"/>
      <c r="BV7" s="309"/>
      <c r="BY7" s="0"/>
      <c r="BZ7" s="0"/>
      <c r="CA7" s="0"/>
      <c r="CB7" s="0"/>
      <c r="CC7" s="0"/>
      <c r="CD7" s="0"/>
      <c r="CE7" s="0"/>
      <c r="CF7" s="0"/>
      <c r="CG7" s="0"/>
    </row>
    <row s="1659" customFormat="1" customHeight="1" ht="11.25" hidden="1">
      <c r="A8" s="371"/>
      <c r="B8" s="175"/>
      <c r="C8" s="175"/>
      <c r="D8" s="175"/>
      <c r="E8" s="180"/>
      <c r="AE8" s="1659"/>
      <c r="AF8" s="1659"/>
      <c r="AG8" s="1659"/>
      <c r="AH8" s="1659"/>
      <c r="AI8" s="1659"/>
      <c r="AJ8" s="1659"/>
      <c r="AK8" s="1659"/>
      <c r="AL8" s="1659"/>
      <c r="AM8" s="1659"/>
      <c r="AN8" s="1659"/>
      <c r="AO8" s="1659"/>
      <c r="AP8" s="1659"/>
      <c r="AQ8" s="1659"/>
      <c r="AR8" s="1659"/>
      <c r="AS8" s="1659"/>
      <c r="AT8" s="1659"/>
      <c r="AU8" s="1659"/>
      <c r="AV8" s="1659"/>
      <c r="AW8" s="1659"/>
      <c r="AX8" s="1659"/>
      <c r="AY8" s="1659"/>
      <c r="AZ8" s="1659"/>
      <c r="BA8" s="1659"/>
      <c r="BB8" s="1659"/>
      <c r="BC8" s="1659"/>
      <c r="BD8" s="1659"/>
      <c r="BE8" s="1659"/>
      <c r="BF8" s="1659"/>
      <c r="BG8" s="1659"/>
      <c r="BH8" s="1659"/>
      <c r="BI8" s="1659"/>
      <c r="BJ8" s="1659"/>
      <c r="BK8" s="1659"/>
      <c r="BL8" s="1659"/>
      <c r="BM8" s="1659"/>
      <c r="BN8" s="1659"/>
      <c r="BO8" s="1659"/>
      <c r="BP8" s="1659"/>
      <c r="BQ8" s="1659"/>
      <c r="BR8" s="1659"/>
      <c r="BV8" s="309"/>
      <c r="BY8" s="0"/>
      <c r="BZ8" s="0"/>
      <c r="CA8" s="0"/>
      <c r="CB8" s="0"/>
      <c r="CC8" s="0"/>
      <c r="CD8" s="0"/>
      <c r="CE8" s="0"/>
      <c r="CF8" s="0"/>
      <c r="CG8" s="0"/>
    </row>
    <row s="1143" customFormat="1" customHeight="1" ht="11.25" hidden="1">
      <c r="A9" s="309" t="s">
        <v>403</v>
      </c>
      <c r="AE9" s="312" cm="1" t="str">
        <f t="array" ref="AE9:AE9">god</f>
        <v>2027</v>
      </c>
      <c r="AF9" s="312">
        <f>god+1</f>
        <v>2028</v>
      </c>
      <c r="AG9" s="312">
        <f>god+2</f>
        <v>2029</v>
      </c>
      <c r="AH9" s="312">
        <f>god+3</f>
        <v>2030</v>
      </c>
      <c r="AI9" s="312">
        <f>god+4</f>
        <v>2031</v>
      </c>
      <c r="AJ9" s="312">
        <f>god+5</f>
        <v>2032</v>
      </c>
      <c r="AK9" s="312">
        <f>god+6</f>
        <v>2033</v>
      </c>
      <c r="AL9" s="312">
        <f>god+7</f>
        <v>2034</v>
      </c>
      <c r="AM9" s="312">
        <f>god+8</f>
        <v>2035</v>
      </c>
      <c r="AN9" s="312">
        <f>god+9</f>
        <v>2036</v>
      </c>
      <c r="AO9" s="312">
        <f>god+10</f>
        <v>2037</v>
      </c>
      <c r="AP9" s="312">
        <f>god+11</f>
        <v>2038</v>
      </c>
      <c r="AQ9" s="312">
        <f>god+12</f>
        <v>2039</v>
      </c>
      <c r="AR9" s="312">
        <f>god+13</f>
        <v>2040</v>
      </c>
      <c r="AS9" s="312">
        <f>god+14</f>
        <v>2041</v>
      </c>
      <c r="AT9" s="312">
        <f>god+15</f>
        <v>2042</v>
      </c>
      <c r="AU9" s="312">
        <f>god+16</f>
        <v>2043</v>
      </c>
      <c r="AV9" s="312">
        <f>god+17</f>
        <v>2044</v>
      </c>
      <c r="AW9" s="312">
        <f>god+18</f>
        <v>2045</v>
      </c>
      <c r="AX9" s="312">
        <f>god+19</f>
        <v>2046</v>
      </c>
      <c r="AY9" s="312" cm="1" t="str">
        <f t="array" ref="AY9:AY9">god</f>
        <v>2027</v>
      </c>
      <c r="AZ9" s="312">
        <f>god+1</f>
        <v>2028</v>
      </c>
      <c r="BA9" s="312">
        <f>god+2</f>
        <v>2029</v>
      </c>
      <c r="BB9" s="312">
        <f>god+3</f>
        <v>2030</v>
      </c>
      <c r="BC9" s="312">
        <f>god+4</f>
        <v>2031</v>
      </c>
      <c r="BD9" s="312">
        <f>god+5</f>
        <v>2032</v>
      </c>
      <c r="BE9" s="312">
        <f>god+6</f>
        <v>2033</v>
      </c>
      <c r="BF9" s="312">
        <f>god+7</f>
        <v>2034</v>
      </c>
      <c r="BG9" s="312">
        <f>god+8</f>
        <v>2035</v>
      </c>
      <c r="BH9" s="312">
        <f>god+9</f>
        <v>2036</v>
      </c>
      <c r="BI9" s="312">
        <f>god+10</f>
        <v>2037</v>
      </c>
      <c r="BJ9" s="312">
        <f>god+11</f>
        <v>2038</v>
      </c>
      <c r="BK9" s="312">
        <f>god+12</f>
        <v>2039</v>
      </c>
      <c r="BL9" s="312">
        <f>god+13</f>
        <v>2040</v>
      </c>
      <c r="BM9" s="312">
        <f>god+14</f>
        <v>2041</v>
      </c>
      <c r="BN9" s="312">
        <f>god+15</f>
        <v>2042</v>
      </c>
      <c r="BO9" s="312">
        <f>god+16</f>
        <v>2043</v>
      </c>
      <c r="BP9" s="312">
        <f>god+17</f>
        <v>2044</v>
      </c>
      <c r="BQ9" s="312">
        <f>god+18</f>
        <v>2045</v>
      </c>
      <c r="BR9" s="312">
        <f>god+19</f>
        <v>2046</v>
      </c>
      <c r="BV9" s="309"/>
      <c r="BY9" s="1730"/>
      <c r="BZ9" s="1730"/>
      <c r="CA9" s="1730"/>
      <c r="CB9" s="1730"/>
      <c r="CC9" s="1730"/>
      <c r="CD9" s="1730"/>
      <c r="CE9" s="1730"/>
      <c r="CF9" s="1730"/>
      <c r="CG9" s="1730"/>
    </row>
    <row s="1143" customFormat="1" customHeight="1" ht="11.25" hidden="1">
      <c r="A10" s="309" t="s">
        <v>404</v>
      </c>
      <c r="AE10" s="312" cm="1" t="str">
        <f t="array" ref="AE10:AE10">AE25</f>
        <v>Предложения организации</v>
      </c>
      <c r="AF10" s="312" cm="1" t="str">
        <f t="array" ref="AF10:AF10">AF25</f>
        <v>Предложения организации</v>
      </c>
      <c r="AG10" s="312" cm="1" t="str">
        <f t="array" ref="AG10:AG10">AG25</f>
        <v>Предложения организации</v>
      </c>
      <c r="AH10" s="312" cm="1" t="str">
        <f t="array" ref="AH10:AH10">AH25</f>
        <v>Предложения организации</v>
      </c>
      <c r="AI10" s="312" cm="1" t="str">
        <f t="array" ref="AI10:AI10">AI25</f>
        <v>Предложения организации</v>
      </c>
      <c r="AJ10" s="312" cm="1" t="str">
        <f t="array" ref="AJ10:AJ10">AJ25</f>
        <v>Предложения организации</v>
      </c>
      <c r="AK10" s="312" cm="1" t="str">
        <f t="array" ref="AK10:AK10">AK25</f>
        <v>Предложения организации</v>
      </c>
      <c r="AL10" s="312" cm="1" t="str">
        <f t="array" ref="AL10:AL10">AL25</f>
        <v>Предложения организации</v>
      </c>
      <c r="AM10" s="312" cm="1" t="str">
        <f t="array" ref="AM10:AM10">AM25</f>
        <v>Предложения организации</v>
      </c>
      <c r="AN10" s="312" cm="1" t="str">
        <f t="array" ref="AN10:AN10">AN25</f>
        <v>Предложения организации</v>
      </c>
      <c r="AO10" s="312" cm="1" t="str">
        <f t="array" ref="AO10:AO10">AO25</f>
        <v>Предложения организации</v>
      </c>
      <c r="AP10" s="312" cm="1" t="str">
        <f t="array" ref="AP10:AP10">AP25</f>
        <v>Предложения организации</v>
      </c>
      <c r="AQ10" s="312" cm="1" t="str">
        <f t="array" ref="AQ10:AQ10">AQ25</f>
        <v>Предложения организации</v>
      </c>
      <c r="AR10" s="312" cm="1" t="str">
        <f t="array" ref="AR10:AR10">AR25</f>
        <v>Предложения организации</v>
      </c>
      <c r="AS10" s="312" cm="1" t="str">
        <f t="array" ref="AS10:AS10">AS25</f>
        <v>Предложения организации</v>
      </c>
      <c r="AT10" s="312" cm="1" t="str">
        <f t="array" ref="AT10:AT10">AT25</f>
        <v>Предложения организации</v>
      </c>
      <c r="AU10" s="312" cm="1" t="str">
        <f t="array" ref="AU10:AU10">AU25</f>
        <v>Предложения организации</v>
      </c>
      <c r="AV10" s="312" cm="1" t="str">
        <f t="array" ref="AV10:AV10">AV25</f>
        <v>Предложения организации</v>
      </c>
      <c r="AW10" s="312" cm="1" t="str">
        <f t="array" ref="AW10:AW10">AW25</f>
        <v>Предложения организации</v>
      </c>
      <c r="AX10" s="312" cm="1" t="str">
        <f t="array" ref="AX10:AX10">AX25</f>
        <v>Предложения организации</v>
      </c>
      <c r="AY10" s="312" cm="1" t="str">
        <f t="array" ref="AY10:AY10">AY25</f>
        <v>Принято органом регулирования</v>
      </c>
      <c r="AZ10" s="312" cm="1" t="str">
        <f t="array" ref="AZ10:AZ10">AZ25</f>
        <v>Принято органом регулирования</v>
      </c>
      <c r="BA10" s="312" cm="1" t="str">
        <f t="array" ref="BA10:BA10">BA25</f>
        <v>Принято органом регулирования</v>
      </c>
      <c r="BB10" s="312" cm="1" t="str">
        <f t="array" ref="BB10:BB10">BB25</f>
        <v>Принято органом регулирования</v>
      </c>
      <c r="BC10" s="312" cm="1" t="str">
        <f t="array" ref="BC10:BC10">BC25</f>
        <v>Принято органом регулирования</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V10" s="309"/>
      <c r="BY10" s="1730"/>
      <c r="BZ10" s="1730"/>
      <c r="CA10" s="1730"/>
      <c r="CB10" s="1730"/>
      <c r="CC10" s="1730"/>
      <c r="CD10" s="1730"/>
      <c r="CE10" s="1730"/>
      <c r="CF10" s="1730"/>
      <c r="CG10" s="1730"/>
    </row>
    <row s="1143" customFormat="1" customHeight="1" ht="11.25" hidden="1">
      <c r="A11" s="309" t="s">
        <v>405</v>
      </c>
      <c r="G11" s="483"/>
      <c r="H11" s="483"/>
      <c r="I11" s="483"/>
      <c r="J11" s="483"/>
      <c r="K11" s="483"/>
      <c r="L11" s="483"/>
      <c r="M11" s="483"/>
      <c r="N11" s="483"/>
      <c r="O11" s="483"/>
      <c r="P11" s="483"/>
      <c r="Q11" s="483"/>
      <c r="R11" s="483"/>
      <c r="S11" s="483"/>
      <c r="AE11" s="1143"/>
      <c r="AF11" s="1143"/>
      <c r="AG11" s="1143"/>
      <c r="AH11" s="1143"/>
      <c r="AI11" s="1143"/>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312" cm="1" t="str">
        <f t="array" ref="BS11:BS11">BS24</f>
        <v>Ссылка на правовую норму (основание для принятия показателя в расчет тарифа)</v>
      </c>
      <c r="BV11" s="309"/>
      <c r="BY11" s="1730"/>
      <c r="BZ11" s="1730"/>
      <c r="CA11" s="1730"/>
      <c r="CB11" s="1730"/>
      <c r="CC11" s="1730"/>
      <c r="CD11" s="1730"/>
      <c r="CE11" s="1730"/>
      <c r="CF11" s="1730"/>
      <c r="CG11" s="1730"/>
    </row>
    <row s="1548" customFormat="1" customHeight="1" ht="11.25" hidden="1">
      <c r="A12" s="371"/>
      <c r="E12" s="180"/>
      <c r="G12" s="193"/>
      <c r="H12" s="193"/>
      <c r="I12" s="193"/>
      <c r="J12" s="193"/>
      <c r="K12" s="193"/>
      <c r="L12" s="193"/>
      <c r="M12" s="193"/>
      <c r="N12" s="193"/>
      <c r="O12" s="193"/>
      <c r="P12" s="193"/>
      <c r="Q12" s="193"/>
      <c r="R12" s="193"/>
      <c r="S12" s="193"/>
      <c r="AE12" s="1548"/>
      <c r="AF12" s="1548"/>
      <c r="AG12" s="1548"/>
      <c r="AH12" s="1548"/>
      <c r="AI12" s="1548"/>
      <c r="AJ12" s="1548"/>
      <c r="AK12" s="1548"/>
      <c r="AL12" s="1548"/>
      <c r="AM12" s="1548"/>
      <c r="AN12" s="1548"/>
      <c r="AO12" s="1548"/>
      <c r="AP12" s="1548"/>
      <c r="AQ12" s="1548"/>
      <c r="AR12" s="1548"/>
      <c r="AS12" s="1548"/>
      <c r="AT12" s="1548"/>
      <c r="AU12" s="1548"/>
      <c r="AV12" s="1548"/>
      <c r="AW12" s="1548"/>
      <c r="AX12" s="1548"/>
      <c r="AY12" s="1548"/>
      <c r="AZ12" s="1548"/>
      <c r="BA12" s="1548"/>
      <c r="BB12" s="1548"/>
      <c r="BC12" s="1548"/>
      <c r="BD12" s="1548"/>
      <c r="BE12" s="1548"/>
      <c r="BF12" s="1548"/>
      <c r="BG12" s="1548"/>
      <c r="BH12" s="1548"/>
      <c r="BI12" s="1548"/>
      <c r="BJ12" s="1548"/>
      <c r="BK12" s="1548"/>
      <c r="BL12" s="1548"/>
      <c r="BM12" s="1548"/>
      <c r="BN12" s="1548"/>
      <c r="BO12" s="1548"/>
      <c r="BP12" s="1548"/>
      <c r="BQ12" s="1548"/>
      <c r="BR12" s="1548"/>
      <c r="BV12" s="309"/>
      <c r="BY12" s="0"/>
      <c r="BZ12" s="0"/>
      <c r="CA12" s="0"/>
      <c r="CB12" s="0"/>
      <c r="CC12" s="0"/>
      <c r="CD12" s="0"/>
      <c r="CE12" s="0"/>
      <c r="CF12" s="0"/>
      <c r="CG12" s="0"/>
    </row>
    <row s="1548" customFormat="1" customHeight="1" ht="11.25" hidden="1">
      <c r="A13" s="371"/>
      <c r="E13" s="180"/>
      <c r="G13" s="193"/>
      <c r="H13" s="193"/>
      <c r="I13" s="193"/>
      <c r="J13" s="193"/>
      <c r="K13" s="193"/>
      <c r="L13" s="193"/>
      <c r="M13" s="193"/>
      <c r="N13" s="193"/>
      <c r="O13" s="193"/>
      <c r="P13" s="193"/>
      <c r="Q13" s="193"/>
      <c r="R13" s="193"/>
      <c r="S13" s="193"/>
      <c r="AE13" s="1548"/>
      <c r="AF13" s="1548"/>
      <c r="AG13" s="1548"/>
      <c r="AH13" s="1548"/>
      <c r="AI13" s="1548"/>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V13" s="309"/>
      <c r="BY13" s="0"/>
      <c r="BZ13" s="0"/>
      <c r="CA13" s="0"/>
      <c r="CB13" s="0"/>
      <c r="CC13" s="0"/>
      <c r="CD13" s="0"/>
      <c r="CE13" s="0"/>
      <c r="CF13" s="0"/>
      <c r="CG13" s="0"/>
    </row>
    <row s="1548" customFormat="1" customHeight="1" ht="11.25" hidden="1">
      <c r="A14" s="371"/>
      <c r="E14" s="180"/>
      <c r="G14" s="193"/>
      <c r="H14" s="193"/>
      <c r="I14" s="193"/>
      <c r="J14" s="193"/>
      <c r="K14" s="193"/>
      <c r="L14" s="193"/>
      <c r="M14" s="193"/>
      <c r="N14" s="193"/>
      <c r="O14" s="193"/>
      <c r="P14" s="193"/>
      <c r="Q14" s="193"/>
      <c r="R14" s="193"/>
      <c r="S14" s="193"/>
      <c r="AE14" s="1548"/>
      <c r="AF14" s="1548"/>
      <c r="AG14" s="1548"/>
      <c r="AH14" s="1548"/>
      <c r="AI14" s="1548"/>
      <c r="AJ14" s="1548"/>
      <c r="AK14" s="1548"/>
      <c r="AL14" s="1548"/>
      <c r="AM14" s="1548"/>
      <c r="AN14" s="1548"/>
      <c r="AO14" s="1548"/>
      <c r="AP14" s="1548"/>
      <c r="AQ14" s="1548"/>
      <c r="AR14" s="1548"/>
      <c r="AS14" s="1548"/>
      <c r="AT14" s="1548"/>
      <c r="AU14" s="1548"/>
      <c r="AV14" s="1548"/>
      <c r="AW14" s="1548"/>
      <c r="AX14" s="1548"/>
      <c r="AY14" s="1548"/>
      <c r="AZ14" s="1548"/>
      <c r="BA14" s="1548"/>
      <c r="BB14" s="1548"/>
      <c r="BC14" s="1548"/>
      <c r="BD14" s="1548"/>
      <c r="BE14" s="1548"/>
      <c r="BF14" s="1548"/>
      <c r="BG14" s="1548"/>
      <c r="BH14" s="1548"/>
      <c r="BI14" s="1548"/>
      <c r="BJ14" s="1548"/>
      <c r="BK14" s="1548"/>
      <c r="BL14" s="1548"/>
      <c r="BM14" s="1548"/>
      <c r="BN14" s="1548"/>
      <c r="BO14" s="1548"/>
      <c r="BP14" s="1548"/>
      <c r="BQ14" s="1548"/>
      <c r="BR14" s="1548"/>
      <c r="BV14" s="309"/>
      <c r="BY14" s="0"/>
      <c r="BZ14" s="0"/>
      <c r="CA14" s="0"/>
      <c r="CB14" s="0"/>
      <c r="CC14" s="0"/>
      <c r="CD14" s="0"/>
      <c r="CE14" s="0"/>
      <c r="CF14" s="0"/>
      <c r="CG14" s="0"/>
    </row>
    <row s="1548" customFormat="1" customHeight="1" ht="11.25" hidden="1">
      <c r="A15" s="371"/>
      <c r="E15" s="180"/>
      <c r="G15" s="193"/>
      <c r="H15" s="193"/>
      <c r="I15" s="193"/>
      <c r="J15" s="193"/>
      <c r="K15" s="193"/>
      <c r="L15" s="193"/>
      <c r="M15" s="193"/>
      <c r="N15" s="193"/>
      <c r="O15" s="193"/>
      <c r="P15" s="193"/>
      <c r="Q15" s="193"/>
      <c r="R15" s="193"/>
      <c r="S15" s="193"/>
      <c r="AE15" s="1548"/>
      <c r="AF15" s="1548"/>
      <c r="AG15" s="1548"/>
      <c r="AH15" s="1548"/>
      <c r="AI15" s="1548"/>
      <c r="AJ15" s="1548"/>
      <c r="AK15" s="1548"/>
      <c r="AL15" s="1548"/>
      <c r="AM15" s="1548"/>
      <c r="AN15" s="1548"/>
      <c r="AO15" s="1548"/>
      <c r="AP15" s="1548"/>
      <c r="AQ15" s="1548"/>
      <c r="AR15" s="1548"/>
      <c r="AS15" s="1548"/>
      <c r="AT15" s="1548"/>
      <c r="AU15" s="1548"/>
      <c r="AV15" s="1548"/>
      <c r="AW15" s="1548"/>
      <c r="AX15" s="1548"/>
      <c r="AY15" s="1548"/>
      <c r="AZ15" s="1548"/>
      <c r="BA15" s="1548"/>
      <c r="BB15" s="1548"/>
      <c r="BC15" s="1548"/>
      <c r="BD15" s="1548"/>
      <c r="BE15" s="1548"/>
      <c r="BF15" s="1548"/>
      <c r="BG15" s="1548"/>
      <c r="BH15" s="1548"/>
      <c r="BI15" s="1548"/>
      <c r="BJ15" s="1548"/>
      <c r="BK15" s="1548"/>
      <c r="BL15" s="1548"/>
      <c r="BM15" s="1548"/>
      <c r="BN15" s="1548"/>
      <c r="BO15" s="1548"/>
      <c r="BP15" s="1548"/>
      <c r="BQ15" s="1548"/>
      <c r="BR15" s="1548"/>
      <c r="BV15" s="309"/>
      <c r="BY15" s="0"/>
      <c r="BZ15" s="0"/>
      <c r="CA15" s="0"/>
      <c r="CB15" s="0"/>
      <c r="CC15" s="0"/>
      <c r="CD15" s="0"/>
      <c r="CE15" s="0"/>
      <c r="CF15" s="0"/>
      <c r="CG15" s="0"/>
    </row>
    <row s="1548" customFormat="1" customHeight="1" ht="11.25" hidden="1">
      <c r="A16" s="371"/>
      <c r="E16" s="180"/>
      <c r="G16" s="193"/>
      <c r="H16" s="193"/>
      <c r="I16" s="193"/>
      <c r="J16" s="193"/>
      <c r="K16" s="193"/>
      <c r="L16" s="193"/>
      <c r="M16" s="193"/>
      <c r="N16" s="193"/>
      <c r="O16" s="193"/>
      <c r="P16" s="193"/>
      <c r="Q16" s="193"/>
      <c r="R16" s="193"/>
      <c r="S16" s="193"/>
      <c r="AE16" s="1548"/>
      <c r="AF16" s="1548"/>
      <c r="AG16" s="1548"/>
      <c r="AH16" s="1548"/>
      <c r="AI16" s="1548"/>
      <c r="AJ16" s="1548"/>
      <c r="AK16" s="1548"/>
      <c r="AL16" s="1548"/>
      <c r="AM16" s="1548"/>
      <c r="AN16" s="1548"/>
      <c r="AO16" s="1548"/>
      <c r="AP16" s="1548"/>
      <c r="AQ16" s="1548"/>
      <c r="AR16" s="1548"/>
      <c r="AS16" s="1548"/>
      <c r="AT16" s="1548"/>
      <c r="AU16" s="1548"/>
      <c r="AV16" s="1548"/>
      <c r="AW16" s="1548"/>
      <c r="AX16" s="1548"/>
      <c r="AY16" s="1548"/>
      <c r="AZ16" s="1548"/>
      <c r="BA16" s="1548"/>
      <c r="BB16" s="1548"/>
      <c r="BC16" s="1548"/>
      <c r="BD16" s="1548"/>
      <c r="BE16" s="1548"/>
      <c r="BF16" s="1548"/>
      <c r="BG16" s="1548"/>
      <c r="BH16" s="1548"/>
      <c r="BI16" s="1548"/>
      <c r="BJ16" s="1548"/>
      <c r="BK16" s="1548"/>
      <c r="BL16" s="1548"/>
      <c r="BM16" s="1548"/>
      <c r="BN16" s="1548"/>
      <c r="BO16" s="1548"/>
      <c r="BP16" s="1548"/>
      <c r="BQ16" s="1548"/>
      <c r="BR16" s="1548"/>
      <c r="BV16" s="309"/>
      <c r="BY16" s="0"/>
      <c r="BZ16" s="0"/>
      <c r="CA16" s="0"/>
      <c r="CB16" s="0"/>
      <c r="CC16" s="0"/>
      <c r="CD16" s="0"/>
      <c r="CE16" s="0"/>
      <c r="CF16" s="0"/>
      <c r="CG16" s="0"/>
    </row>
    <row s="1548" customFormat="1" customHeight="1" ht="11.25" hidden="1">
      <c r="A17" s="371"/>
      <c r="E17" s="180"/>
      <c r="G17" s="193"/>
      <c r="H17" s="193"/>
      <c r="I17" s="193"/>
      <c r="J17" s="193"/>
      <c r="K17" s="193"/>
      <c r="L17" s="193"/>
      <c r="M17" s="193"/>
      <c r="N17" s="193"/>
      <c r="O17" s="193"/>
      <c r="P17" s="193"/>
      <c r="Q17" s="193"/>
      <c r="R17" s="193"/>
      <c r="S17" s="193"/>
      <c r="AE17" s="1548"/>
      <c r="AF17" s="1548"/>
      <c r="AG17" s="1548"/>
      <c r="AH17" s="1548"/>
      <c r="AI17" s="1548"/>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V17" s="309"/>
      <c r="BY17" s="0"/>
      <c r="BZ17" s="0"/>
      <c r="CA17" s="0"/>
      <c r="CB17" s="0"/>
      <c r="CC17" s="0"/>
      <c r="CD17" s="0"/>
      <c r="CE17" s="0"/>
      <c r="CF17" s="0"/>
      <c r="CG17" s="0"/>
    </row>
    <row s="1548" customFormat="1" customHeight="1" ht="11.25" hidden="1">
      <c r="A18" s="371"/>
      <c r="E18" s="180"/>
      <c r="G18" s="193"/>
      <c r="H18" s="193"/>
      <c r="I18" s="193"/>
      <c r="J18" s="193"/>
      <c r="K18" s="193"/>
      <c r="L18" s="193"/>
      <c r="M18" s="193"/>
      <c r="N18" s="193"/>
      <c r="O18" s="193"/>
      <c r="P18" s="193"/>
      <c r="Q18" s="193"/>
      <c r="R18" s="193"/>
      <c r="S18" s="193"/>
      <c r="AE18" s="1548"/>
      <c r="AF18" s="1548"/>
      <c r="AG18" s="1548"/>
      <c r="AH18" s="1548"/>
      <c r="AI18" s="1548"/>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V18" s="309"/>
      <c r="BY18" s="0"/>
      <c r="BZ18" s="0"/>
      <c r="CA18" s="0"/>
      <c r="CB18" s="0"/>
      <c r="CC18" s="0"/>
      <c r="CD18" s="0"/>
      <c r="CE18" s="0"/>
      <c r="CF18" s="0"/>
      <c r="CG18" s="0"/>
    </row>
    <row s="1548" customFormat="1" customHeight="1" ht="11.25" hidden="1">
      <c r="A19" s="371"/>
      <c r="E19" s="180"/>
      <c r="G19" s="193"/>
      <c r="H19" s="193"/>
      <c r="I19" s="193"/>
      <c r="J19" s="193"/>
      <c r="K19" s="193"/>
      <c r="L19" s="193"/>
      <c r="M19" s="193"/>
      <c r="N19" s="193"/>
      <c r="O19" s="193"/>
      <c r="P19" s="193"/>
      <c r="Q19" s="193"/>
      <c r="R19" s="193"/>
      <c r="S19" s="193"/>
      <c r="AE19" s="1548"/>
      <c r="AF19" s="1548"/>
      <c r="AG19" s="1548"/>
      <c r="AH19" s="1548"/>
      <c r="AI19" s="1548"/>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V19" s="309"/>
      <c r="BY19" s="0"/>
      <c r="BZ19" s="0"/>
      <c r="CA19" s="0"/>
      <c r="CB19" s="0"/>
      <c r="CC19" s="0"/>
      <c r="CD19" s="0"/>
      <c r="CE19" s="0"/>
      <c r="CF19" s="0"/>
      <c r="CG19" s="0"/>
    </row>
    <row s="1548" customFormat="1" customHeight="1" ht="11.25" hidden="1">
      <c r="A20" s="371"/>
      <c r="E20" s="180"/>
      <c r="G20" s="193"/>
      <c r="H20" s="193"/>
      <c r="I20" s="193"/>
      <c r="J20" s="193"/>
      <c r="K20" s="193"/>
      <c r="L20" s="193"/>
      <c r="M20" s="193"/>
      <c r="N20" s="193"/>
      <c r="O20" s="193"/>
      <c r="P20" s="193"/>
      <c r="Q20" s="193"/>
      <c r="R20" s="193"/>
      <c r="S20" s="193"/>
      <c r="AE20" s="1548"/>
      <c r="AF20" s="1548"/>
      <c r="AG20" s="1548"/>
      <c r="AH20" s="1548"/>
      <c r="AI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V20" s="309"/>
      <c r="BY20" s="0"/>
      <c r="BZ20" s="0"/>
      <c r="CA20" s="0"/>
      <c r="CB20" s="0"/>
      <c r="CC20" s="0"/>
      <c r="CD20" s="0"/>
      <c r="CE20" s="0"/>
      <c r="CF20" s="0"/>
      <c r="CG20" s="0"/>
    </row>
    <row customHeight="1" ht="14.625">
      <c r="E21" s="180">
        <v>15</v>
      </c>
      <c r="AA21" s="182"/>
      <c r="AB21" s="668"/>
      <c r="AC21" s="278" cm="1" t="str">
        <f t="array" ref="AC21:AC21">tpl_title</f>
        <v>Кемеровская область / 2027 / ООО "КК-ИНВЕСТ" (ИНН:1901133713, КПП:190101001) / ДПР: 2025-2027</v>
      </c>
      <c r="AD21" s="668"/>
      <c r="AE21" s="668"/>
      <c r="AF21" s="668"/>
      <c r="AG21" s="668"/>
      <c r="AH21" s="668"/>
      <c r="AI21" s="668"/>
      <c r="AJ21" s="668"/>
      <c r="AK21" s="668"/>
      <c r="AL21" s="668"/>
      <c r="AM21" s="668"/>
      <c r="AN21" s="668"/>
      <c r="AO21" s="668"/>
      <c r="AP21" s="668"/>
      <c r="AQ21" s="668"/>
      <c r="AR21" s="668"/>
      <c r="AS21" s="668"/>
      <c r="AT21" s="668"/>
      <c r="AU21" s="668"/>
      <c r="AV21" s="668"/>
      <c r="AW21" s="668"/>
      <c r="AX21" s="668"/>
      <c r="AY21" s="668"/>
      <c r="AZ21" s="668"/>
      <c r="BA21" s="668"/>
      <c r="BB21" s="668"/>
      <c r="BC21" s="668"/>
      <c r="BD21" s="668"/>
      <c r="BE21" s="668"/>
      <c r="BF21" s="668"/>
      <c r="BG21" s="668"/>
      <c r="BH21" s="668"/>
      <c r="BI21" s="668"/>
      <c r="BJ21" s="668"/>
      <c r="BK21" s="668"/>
      <c r="BL21" s="668"/>
      <c r="BM21" s="668"/>
      <c r="BN21" s="668"/>
      <c r="BO21" s="668"/>
      <c r="BP21" s="668"/>
      <c r="BQ21" s="668"/>
      <c r="BR21" s="668"/>
    </row>
    <row customHeight="1" ht="19.5">
      <c r="E22" s="180">
        <v>20</v>
      </c>
      <c r="AB22" s="547" t="s">
        <v>54</v>
      </c>
      <c r="AC22" s="548"/>
      <c r="AD22" s="548"/>
      <c r="AE22" s="548"/>
      <c r="AF22" s="548"/>
      <c r="AG22" s="548"/>
      <c r="AH22" s="548"/>
      <c r="AI22" s="548"/>
      <c r="AJ22" s="548"/>
      <c r="AK22" s="548"/>
      <c r="AL22" s="548"/>
      <c r="AM22" s="548"/>
      <c r="AN22" s="548"/>
      <c r="AO22" s="548"/>
      <c r="AP22" s="548"/>
      <c r="AQ22" s="548"/>
      <c r="AR22" s="548"/>
      <c r="AS22" s="548"/>
      <c r="AT22" s="548"/>
      <c r="AU22" s="548"/>
      <c r="AV22" s="548"/>
      <c r="AW22" s="548"/>
      <c r="AX22" s="548"/>
      <c r="AY22" s="548"/>
      <c r="AZ22" s="548"/>
      <c r="BA22" s="548"/>
      <c r="BB22" s="548"/>
      <c r="BC22" s="548"/>
      <c r="BD22" s="548"/>
      <c r="BE22" s="548"/>
      <c r="BF22" s="548"/>
      <c r="BG22" s="548"/>
      <c r="BH22" s="548"/>
      <c r="BI22" s="548"/>
      <c r="BJ22" s="548"/>
      <c r="BK22" s="548"/>
      <c r="BL22" s="548"/>
      <c r="BM22" s="548"/>
      <c r="BN22" s="548"/>
      <c r="BO22" s="548"/>
      <c r="BP22" s="548"/>
      <c r="BQ22" s="548"/>
      <c r="BR22" s="548"/>
      <c r="BS22" s="548"/>
    </row>
    <row customHeight="1" ht="10.725000000000001">
      <c r="E23" s="180">
        <v>11</v>
      </c>
      <c r="AB23" s="668"/>
      <c r="AC23" s="668"/>
      <c r="AD23" s="668"/>
      <c r="AE23" s="668"/>
      <c r="AF23" s="668"/>
      <c r="AG23" s="668"/>
      <c r="AH23" s="668"/>
      <c r="AI23" s="668"/>
      <c r="AJ23" s="668"/>
      <c r="AK23" s="668"/>
      <c r="AL23" s="668"/>
      <c r="AM23" s="668"/>
      <c r="AN23" s="668"/>
      <c r="AO23" s="668"/>
      <c r="AP23" s="668"/>
      <c r="AQ23" s="668"/>
      <c r="AR23" s="668"/>
      <c r="AS23" s="668"/>
      <c r="AT23" s="668"/>
      <c r="AU23" s="668"/>
      <c r="AV23" s="668"/>
      <c r="AW23" s="668"/>
      <c r="AX23" s="668"/>
      <c r="AY23" s="668"/>
      <c r="AZ23" s="668"/>
      <c r="BA23" s="668"/>
      <c r="BB23" s="668"/>
      <c r="BC23" s="668"/>
      <c r="BD23" s="668"/>
      <c r="BE23" s="668"/>
      <c r="BF23" s="668"/>
      <c r="BG23" s="668"/>
      <c r="BH23" s="668"/>
      <c r="BI23" s="668"/>
      <c r="BJ23" s="668"/>
      <c r="BK23" s="668"/>
      <c r="BL23" s="668"/>
      <c r="BM23" s="668"/>
      <c r="BN23" s="668"/>
      <c r="BO23" s="668"/>
      <c r="BP23" s="668"/>
      <c r="BQ23" s="668"/>
      <c r="BR23" s="668"/>
    </row>
    <row customHeight="1" ht="21.450000000000003">
      <c r="E24" s="180">
        <v>22</v>
      </c>
      <c r="AB24" s="1589" t="s">
        <v>355</v>
      </c>
      <c r="AC24" s="1588" t="s">
        <v>801</v>
      </c>
      <c r="AD24" s="1588" t="s">
        <v>413</v>
      </c>
      <c r="AE24" s="329" t="str">
        <f>god&amp;" год"</f>
        <v>2027 год</v>
      </c>
      <c r="AF24" s="329" t="str">
        <f>god+1&amp;" год"</f>
        <v>2028 год</v>
      </c>
      <c r="AG24" s="329" t="str">
        <f>god+2&amp;" год"</f>
        <v>2029 год</v>
      </c>
      <c r="AH24" s="329" t="str">
        <f>god+3&amp;" год"</f>
        <v>2030 год</v>
      </c>
      <c r="AI24" s="329" t="str">
        <f>god+4&amp;" год"</f>
        <v>2031 год</v>
      </c>
      <c r="AJ24" s="329" t="str">
        <f>god+5&amp;" год"</f>
        <v>2032 год</v>
      </c>
      <c r="AK24" s="329" t="str">
        <f>god+6&amp;" год"</f>
        <v>2033 год</v>
      </c>
      <c r="AL24" s="329" t="str">
        <f>god+7&amp;" год"</f>
        <v>2034 год</v>
      </c>
      <c r="AM24" s="329" t="str">
        <f>god+8&amp;" год"</f>
        <v>2035 год</v>
      </c>
      <c r="AN24" s="329" t="str">
        <f>god+9&amp;" год"</f>
        <v>2036 год</v>
      </c>
      <c r="AO24" s="329" t="str">
        <f>god+10&amp;" год"</f>
        <v>2037 год</v>
      </c>
      <c r="AP24" s="329" t="str">
        <f>god+11&amp;" год"</f>
        <v>2038 год</v>
      </c>
      <c r="AQ24" s="329" t="str">
        <f>god+12&amp;" год"</f>
        <v>2039 год</v>
      </c>
      <c r="AR24" s="329" t="str">
        <f>god+13&amp;" год"</f>
        <v>2040 год</v>
      </c>
      <c r="AS24" s="329" t="str">
        <f>god+14&amp;" год"</f>
        <v>2041 год</v>
      </c>
      <c r="AT24" s="329" t="str">
        <f>god+15&amp;" год"</f>
        <v>2042 год</v>
      </c>
      <c r="AU24" s="329" t="str">
        <f>god+16&amp;" год"</f>
        <v>2043 год</v>
      </c>
      <c r="AV24" s="329" t="str">
        <f>god+17&amp;" год"</f>
        <v>2044 год</v>
      </c>
      <c r="AW24" s="329" t="str">
        <f>god+18&amp;" год"</f>
        <v>2045 год</v>
      </c>
      <c r="AX24" s="329" t="str">
        <f>god+19&amp;" год"</f>
        <v>2046 год</v>
      </c>
      <c r="AY24" s="328" t="str">
        <f>god&amp;" год"</f>
        <v>2027 год</v>
      </c>
      <c r="AZ24" s="328" t="str">
        <f>god+1&amp;" год"</f>
        <v>2028 год</v>
      </c>
      <c r="BA24" s="328" t="str">
        <f>god+2&amp;" год"</f>
        <v>2029 год</v>
      </c>
      <c r="BB24" s="328" t="str">
        <f>god+3&amp;" год"</f>
        <v>2030 год</v>
      </c>
      <c r="BC24" s="328" t="str">
        <f>god+4&amp;" год"</f>
        <v>2031 год</v>
      </c>
      <c r="BD24" s="328" t="str">
        <f>god+5&amp;" год"</f>
        <v>2032 год</v>
      </c>
      <c r="BE24" s="328" t="str">
        <f>god+6&amp;" год"</f>
        <v>2033 год</v>
      </c>
      <c r="BF24" s="328" t="str">
        <f>god+7&amp;" год"</f>
        <v>2034 год</v>
      </c>
      <c r="BG24" s="328" t="str">
        <f>god+8&amp;" год"</f>
        <v>2035 год</v>
      </c>
      <c r="BH24" s="328" t="str">
        <f>god+9&amp;" год"</f>
        <v>2036 год</v>
      </c>
      <c r="BI24" s="328" t="str">
        <f>god+10&amp;" год"</f>
        <v>2037 год</v>
      </c>
      <c r="BJ24" s="328" t="str">
        <f>god+11&amp;" год"</f>
        <v>2038 год</v>
      </c>
      <c r="BK24" s="328" t="str">
        <f>god+12&amp;" год"</f>
        <v>2039 год</v>
      </c>
      <c r="BL24" s="328" t="str">
        <f>god+13&amp;" год"</f>
        <v>2040 год</v>
      </c>
      <c r="BM24" s="328" t="str">
        <f>god+14&amp;" год"</f>
        <v>2041 год</v>
      </c>
      <c r="BN24" s="328" t="str">
        <f>god+15&amp;" год"</f>
        <v>2042 год</v>
      </c>
      <c r="BO24" s="328" t="str">
        <f>god+16&amp;" год"</f>
        <v>2043 год</v>
      </c>
      <c r="BP24" s="328" t="str">
        <f>god+17&amp;" год"</f>
        <v>2044 год</v>
      </c>
      <c r="BQ24" s="328" t="str">
        <f>god+18&amp;" год"</f>
        <v>2045 год</v>
      </c>
      <c r="BR24" s="328" t="str">
        <f>god+19&amp;" год"</f>
        <v>2046 год</v>
      </c>
      <c r="BS24" s="1674" t="s">
        <v>625</v>
      </c>
    </row>
    <row customHeight="1" ht="56.550000000000004">
      <c r="E25" s="180">
        <v>58</v>
      </c>
      <c r="AB25" s="1589"/>
      <c r="AC25" s="1588"/>
      <c r="AD25" s="1588"/>
      <c r="AE25" s="382" t="s">
        <v>1129</v>
      </c>
      <c r="AF25" s="382" t="s">
        <v>1129</v>
      </c>
      <c r="AG25" s="382" t="s">
        <v>1129</v>
      </c>
      <c r="AH25" s="382" t="s">
        <v>1129</v>
      </c>
      <c r="AI25" s="382" t="s">
        <v>1129</v>
      </c>
      <c r="AJ25" s="382" t="s">
        <v>1129</v>
      </c>
      <c r="AK25" s="382" t="s">
        <v>1129</v>
      </c>
      <c r="AL25" s="382" t="s">
        <v>1129</v>
      </c>
      <c r="AM25" s="382" t="s">
        <v>1129</v>
      </c>
      <c r="AN25" s="382" t="s">
        <v>1129</v>
      </c>
      <c r="AO25" s="382" t="s">
        <v>1129</v>
      </c>
      <c r="AP25" s="382" t="s">
        <v>1129</v>
      </c>
      <c r="AQ25" s="382" t="s">
        <v>1129</v>
      </c>
      <c r="AR25" s="382" t="s">
        <v>1129</v>
      </c>
      <c r="AS25" s="382" t="s">
        <v>1129</v>
      </c>
      <c r="AT25" s="382" t="s">
        <v>1129</v>
      </c>
      <c r="AU25" s="382" t="s">
        <v>1129</v>
      </c>
      <c r="AV25" s="382" t="s">
        <v>1129</v>
      </c>
      <c r="AW25" s="382" t="s">
        <v>1129</v>
      </c>
      <c r="AX25" s="382" t="s">
        <v>1129</v>
      </c>
      <c r="AY25" s="384" t="s">
        <v>415</v>
      </c>
      <c r="AZ25" s="384" t="s">
        <v>415</v>
      </c>
      <c r="BA25" s="384" t="s">
        <v>415</v>
      </c>
      <c r="BB25" s="384" t="s">
        <v>415</v>
      </c>
      <c r="BC25" s="384" t="s">
        <v>415</v>
      </c>
      <c r="BD25" s="384" t="s">
        <v>415</v>
      </c>
      <c r="BE25" s="384" t="s">
        <v>415</v>
      </c>
      <c r="BF25" s="384" t="s">
        <v>415</v>
      </c>
      <c r="BG25" s="384" t="s">
        <v>415</v>
      </c>
      <c r="BH25" s="384" t="s">
        <v>415</v>
      </c>
      <c r="BI25" s="384" t="s">
        <v>415</v>
      </c>
      <c r="BJ25" s="384" t="s">
        <v>415</v>
      </c>
      <c r="BK25" s="384" t="s">
        <v>415</v>
      </c>
      <c r="BL25" s="384" t="s">
        <v>415</v>
      </c>
      <c r="BM25" s="384" t="s">
        <v>415</v>
      </c>
      <c r="BN25" s="384" t="s">
        <v>415</v>
      </c>
      <c r="BO25" s="384" t="s">
        <v>415</v>
      </c>
      <c r="BP25" s="384" t="s">
        <v>415</v>
      </c>
      <c r="BQ25" s="384" t="s">
        <v>415</v>
      </c>
      <c r="BR25" s="384" t="s">
        <v>415</v>
      </c>
      <c r="BS25" s="1674"/>
    </row>
    <row customHeight="1" ht="57.75" hidden="1">
      <c r="E26" s="965">
        <v>0</v>
      </c>
      <c r="AB26" s="239"/>
      <c r="AC26" s="333"/>
      <c r="AD26" s="333"/>
      <c r="AE26" s="495"/>
      <c r="AF26" s="495"/>
      <c r="AG26" s="495"/>
      <c r="AH26" s="495"/>
      <c r="AI26" s="495"/>
      <c r="AJ26" s="495"/>
      <c r="AK26" s="495"/>
      <c r="AL26" s="495"/>
      <c r="AM26" s="495"/>
      <c r="AN26" s="495"/>
      <c r="AO26" s="495"/>
      <c r="AP26" s="495"/>
      <c r="AQ26" s="495"/>
      <c r="AR26" s="495"/>
      <c r="AS26" s="495"/>
      <c r="AT26" s="495"/>
      <c r="AU26" s="495"/>
      <c r="AV26" s="495"/>
      <c r="AW26" s="495"/>
      <c r="AX26" s="495"/>
      <c r="AY26" s="495"/>
      <c r="AZ26" s="495"/>
      <c r="BA26" s="495"/>
      <c r="BB26" s="495"/>
      <c r="BC26" s="495"/>
      <c r="BD26" s="495"/>
      <c r="BE26" s="495"/>
      <c r="BF26" s="495"/>
      <c r="BG26" s="495"/>
      <c r="BH26" s="495"/>
      <c r="BI26" s="495"/>
      <c r="BJ26" s="495"/>
      <c r="BK26" s="495"/>
      <c r="BL26" s="495"/>
      <c r="BM26" s="495"/>
      <c r="BN26" s="495"/>
      <c r="BO26" s="495"/>
      <c r="BP26" s="495"/>
      <c r="BQ26" s="495"/>
      <c r="BR26" s="495"/>
      <c r="BS26" s="669"/>
    </row>
    <row customHeight="1" ht="16.575" hidden="1">
      <c r="E27" s="180">
        <v>17</v>
      </c>
      <c r="F27" s="175" cm="1" t="str">
        <f t="array" ref="F27:F27">X27</f>
        <v>0</v>
      </c>
      <c r="T27" s="753">
        <f>X27&gt;0</f>
        <v>0</v>
      </c>
      <c r="V27" s="175" t="s">
        <v>266</v>
      </c>
      <c r="X27" s="175">
        <v>0</v>
      </c>
      <c r="AB27" s="656" cm="1" t="str">
        <f t="array" ref="AB27:AB27">INDEX('Общие сведения'!$AG$169:$AG$202,MATCH($F27,'Общие сведения'!$Y$169:$Y$202,0))</f>
        <v>Тариф 0 (Теплоснабжение) - </v>
      </c>
      <c r="AC27" s="335"/>
      <c r="AD27" s="335"/>
      <c r="AE27" s="335"/>
      <c r="AF27" s="335"/>
      <c r="AG27" s="335"/>
      <c r="AH27" s="335"/>
      <c r="AI27" s="335"/>
      <c r="AJ27" s="335"/>
      <c r="AK27" s="335"/>
      <c r="AL27" s="335"/>
      <c r="AM27" s="335"/>
      <c r="AN27" s="335"/>
      <c r="AO27" s="335"/>
      <c r="AP27" s="335"/>
      <c r="AQ27" s="335"/>
      <c r="AR27" s="335"/>
      <c r="AS27" s="335"/>
      <c r="AT27" s="335"/>
      <c r="AU27" s="335"/>
      <c r="AV27" s="335"/>
      <c r="AW27" s="335"/>
      <c r="AX27" s="335"/>
      <c r="AY27" s="335"/>
      <c r="AZ27" s="335"/>
      <c r="BA27" s="335"/>
      <c r="BB27" s="335"/>
      <c r="BC27" s="335"/>
      <c r="BD27" s="335"/>
      <c r="BE27" s="335"/>
      <c r="BF27" s="335"/>
      <c r="BG27" s="335"/>
      <c r="BH27" s="335"/>
      <c r="BI27" s="335"/>
      <c r="BJ27" s="335"/>
      <c r="BK27" s="335"/>
      <c r="BL27" s="335"/>
      <c r="BM27" s="335"/>
      <c r="BN27" s="335"/>
      <c r="BO27" s="335"/>
      <c r="BP27" s="335"/>
      <c r="BQ27" s="335"/>
      <c r="BR27" s="335"/>
      <c r="BS27" s="335"/>
    </row>
    <row s="986" customFormat="1" customHeight="1" ht="16.575" hidden="1">
      <c r="E28" s="180">
        <v>17</v>
      </c>
      <c r="F28" s="175" cm="1" t="str">
        <f t="array" ref="F28:F28">F27</f>
        <v>0</v>
      </c>
      <c r="T28" s="753" cm="1" t="str">
        <f t="array" ref="T28:T28">T27</f>
        <v>false</v>
      </c>
      <c r="AB28" s="436">
        <v>1</v>
      </c>
      <c r="AC28" s="437" t="s">
        <v>1516</v>
      </c>
      <c r="AD28" s="436" t="s">
        <v>917</v>
      </c>
      <c r="AE28" s="664">
        <f>AE29+AE30+AE31</f>
        <v>0</v>
      </c>
      <c r="AF28" s="672">
        <f>AF29+AF30+AF31</f>
        <v>0</v>
      </c>
      <c r="AG28" s="672">
        <f>AG29+AG30+AG31</f>
        <v>0</v>
      </c>
      <c r="AH28" s="672">
        <f>AH29+AH30+AH31</f>
        <v>0</v>
      </c>
      <c r="AI28" s="672">
        <f>AI29+AI30+AI31</f>
        <v>0</v>
      </c>
      <c r="AJ28" s="672">
        <f>AJ29+AJ30+AJ31</f>
        <v>0</v>
      </c>
      <c r="AK28" s="672">
        <f>AK29+AK30+AK31</f>
        <v>0</v>
      </c>
      <c r="AL28" s="672">
        <f>AL29+AL30+AL31</f>
        <v>0</v>
      </c>
      <c r="AM28" s="672">
        <f>AM29+AM30+AM31</f>
        <v>0</v>
      </c>
      <c r="AN28" s="672">
        <f>AN29+AN30+AN31</f>
        <v>0</v>
      </c>
      <c r="AO28" s="672">
        <f>AO29+AO30+AO31</f>
        <v>0</v>
      </c>
      <c r="AP28" s="672">
        <f>AP29+AP30+AP31</f>
        <v>0</v>
      </c>
      <c r="AQ28" s="672">
        <f>AQ29+AQ30+AQ31</f>
        <v>0</v>
      </c>
      <c r="AR28" s="672">
        <f>AR29+AR30+AR31</f>
        <v>0</v>
      </c>
      <c r="AS28" s="672">
        <f>AS29+AS30+AS31</f>
        <v>0</v>
      </c>
      <c r="AT28" s="672">
        <f>AT29+AT30+AT31</f>
        <v>0</v>
      </c>
      <c r="AU28" s="672">
        <f>AU29+AU30+AU31</f>
        <v>0</v>
      </c>
      <c r="AV28" s="672">
        <f>AV29+AV30+AV31</f>
        <v>0</v>
      </c>
      <c r="AW28" s="672">
        <f>AW29+AW30+AW31</f>
        <v>0</v>
      </c>
      <c r="AX28" s="672">
        <f>AX29+AX30+AX31</f>
        <v>0</v>
      </c>
      <c r="AY28" s="664">
        <f>AY29+AY30+AY31</f>
        <v>0</v>
      </c>
      <c r="AZ28" s="672">
        <f>AZ29+AZ30+AZ31</f>
        <v>0</v>
      </c>
      <c r="BA28" s="672">
        <f>BA29+BA30+BA31</f>
        <v>0</v>
      </c>
      <c r="BB28" s="672">
        <f>BB29+BB30+BB31</f>
        <v>0</v>
      </c>
      <c r="BC28" s="672">
        <f>BC29+BC30+BC31</f>
        <v>0</v>
      </c>
      <c r="BD28" s="672">
        <f>BD29+BD30+BD31</f>
        <v>0</v>
      </c>
      <c r="BE28" s="672">
        <f>BE29+BE30+BE31</f>
        <v>0</v>
      </c>
      <c r="BF28" s="672">
        <f>BF29+BF30+BF31</f>
        <v>0</v>
      </c>
      <c r="BG28" s="672">
        <f>BG29+BG30+BG31</f>
        <v>0</v>
      </c>
      <c r="BH28" s="672">
        <f>BH29+BH30+BH31</f>
        <v>0</v>
      </c>
      <c r="BI28" s="672">
        <f>BI29+BI30+BI31</f>
        <v>0</v>
      </c>
      <c r="BJ28" s="672">
        <f>BJ29+BJ30+BJ31</f>
        <v>0</v>
      </c>
      <c r="BK28" s="672">
        <f>BK29+BK30+BK31</f>
        <v>0</v>
      </c>
      <c r="BL28" s="672">
        <f>BL29+BL30+BL31</f>
        <v>0</v>
      </c>
      <c r="BM28" s="672">
        <f>BM29+BM30+BM31</f>
        <v>0</v>
      </c>
      <c r="BN28" s="672">
        <f>BN29+BN30+BN31</f>
        <v>0</v>
      </c>
      <c r="BO28" s="672">
        <f>BO29+BO30+BO31</f>
        <v>0</v>
      </c>
      <c r="BP28" s="672">
        <f>BP29+BP30+BP31</f>
        <v>0</v>
      </c>
      <c r="BQ28" s="672">
        <f>BQ29+BQ30+BQ31</f>
        <v>0</v>
      </c>
      <c r="BR28" s="672">
        <f>BR29+BR30+BR31</f>
        <v>0</v>
      </c>
      <c r="BS28" s="83"/>
      <c r="BV28" s="975" t="s">
        <v>1517</v>
      </c>
      <c r="BY28" s="0" cm="1" t="str">
        <f t="array" ref="BY28:BY28">INDEX('Общие сведения'!$N$170:$N$202,MATCH($F28,'Общие сведения'!$Y$170:$Y$202,0)+1)</f>
        <v>0</v>
      </c>
      <c r="BZ28" s="0" t="s">
        <v>1518</v>
      </c>
      <c r="CE28" s="0" t="s">
        <v>303</v>
      </c>
      <c r="CF28" s="0" t="s">
        <v>1519</v>
      </c>
      <c r="CG28" s="0" t="s">
        <v>1520</v>
      </c>
    </row>
    <row customHeight="1" ht="16.575" hidden="1">
      <c r="E29" s="180">
        <v>17</v>
      </c>
      <c r="F29" s="175" cm="1" t="str">
        <f t="array" ref="F29:F29">F28</f>
        <v>0</v>
      </c>
      <c r="T29" s="753" cm="1" t="str">
        <f t="array" ref="T29:T29">T28</f>
        <v>false</v>
      </c>
      <c r="AB29" s="327">
        <v>1.1</v>
      </c>
      <c r="AC29" s="368" t="s">
        <v>1521</v>
      </c>
      <c r="AD29" s="327" t="s">
        <v>917</v>
      </c>
      <c r="AE29" s="658"/>
      <c r="AF29" s="118"/>
      <c r="AG29" s="118"/>
      <c r="AH29" s="118"/>
      <c r="AI29" s="118"/>
      <c r="AJ29" s="118"/>
      <c r="AK29" s="118"/>
      <c r="AL29" s="118"/>
      <c r="AM29" s="118"/>
      <c r="AN29" s="118"/>
      <c r="AO29" s="118"/>
      <c r="AP29" s="118"/>
      <c r="AQ29" s="118"/>
      <c r="AR29" s="118"/>
      <c r="AS29" s="118"/>
      <c r="AT29" s="118"/>
      <c r="AU29" s="118"/>
      <c r="AV29" s="118"/>
      <c r="AW29" s="118"/>
      <c r="AX29" s="118"/>
      <c r="AY29" s="658"/>
      <c r="AZ29" s="118"/>
      <c r="BA29" s="118"/>
      <c r="BB29" s="118"/>
      <c r="BC29" s="118"/>
      <c r="BD29" s="118"/>
      <c r="BE29" s="118"/>
      <c r="BF29" s="118"/>
      <c r="BG29" s="118"/>
      <c r="BH29" s="118"/>
      <c r="BI29" s="118"/>
      <c r="BJ29" s="118"/>
      <c r="BK29" s="118"/>
      <c r="BL29" s="118"/>
      <c r="BM29" s="118"/>
      <c r="BN29" s="118"/>
      <c r="BO29" s="118"/>
      <c r="BP29" s="118"/>
      <c r="BQ29" s="118"/>
      <c r="BR29" s="118"/>
      <c r="BS29" s="83"/>
      <c r="BV29" s="975" t="s">
        <v>1522</v>
      </c>
      <c r="BY29" s="0" cm="1" t="str">
        <f t="array" ref="BY29:BY29">BY28</f>
        <v>0</v>
      </c>
      <c r="CA29" s="0" t="s">
        <v>1523</v>
      </c>
      <c r="CE29" s="0" t="s">
        <v>303</v>
      </c>
      <c r="CF29" s="0" t="s">
        <v>1519</v>
      </c>
      <c r="CG29" s="0" t="s">
        <v>1520</v>
      </c>
    </row>
    <row customHeight="1" ht="16.575" hidden="1">
      <c r="E30" s="180">
        <v>17</v>
      </c>
      <c r="F30" s="175" cm="1" t="str">
        <f t="array" ref="F30:F30">F29</f>
        <v>0</v>
      </c>
      <c r="T30" s="753" cm="1" t="str">
        <f t="array" ref="T30:T30">T29</f>
        <v>false</v>
      </c>
      <c r="AB30" s="327">
        <v>1.2</v>
      </c>
      <c r="AC30" s="368" t="s">
        <v>1524</v>
      </c>
      <c r="AD30" s="327" t="s">
        <v>917</v>
      </c>
      <c r="AE30" s="658"/>
      <c r="AF30" s="118"/>
      <c r="AG30" s="118"/>
      <c r="AH30" s="118"/>
      <c r="AI30" s="118"/>
      <c r="AJ30" s="118"/>
      <c r="AK30" s="118"/>
      <c r="AL30" s="118"/>
      <c r="AM30" s="118"/>
      <c r="AN30" s="118"/>
      <c r="AO30" s="118"/>
      <c r="AP30" s="118"/>
      <c r="AQ30" s="118"/>
      <c r="AR30" s="118"/>
      <c r="AS30" s="118"/>
      <c r="AT30" s="118"/>
      <c r="AU30" s="118"/>
      <c r="AV30" s="118"/>
      <c r="AW30" s="118"/>
      <c r="AX30" s="118"/>
      <c r="AY30" s="658"/>
      <c r="AZ30" s="118"/>
      <c r="BA30" s="118"/>
      <c r="BB30" s="118"/>
      <c r="BC30" s="118"/>
      <c r="BD30" s="118"/>
      <c r="BE30" s="118"/>
      <c r="BF30" s="118"/>
      <c r="BG30" s="118"/>
      <c r="BH30" s="118"/>
      <c r="BI30" s="118"/>
      <c r="BJ30" s="118"/>
      <c r="BK30" s="118"/>
      <c r="BL30" s="118"/>
      <c r="BM30" s="118"/>
      <c r="BN30" s="118"/>
      <c r="BO30" s="118"/>
      <c r="BP30" s="118"/>
      <c r="BQ30" s="118"/>
      <c r="BR30" s="118"/>
      <c r="BS30" s="83"/>
      <c r="BV30" s="975" t="s">
        <v>1525</v>
      </c>
      <c r="BY30" s="0" cm="1" t="str">
        <f t="array" ref="BY30:BY30">BY29</f>
        <v>0</v>
      </c>
      <c r="CA30" s="0" t="s">
        <v>1526</v>
      </c>
      <c r="CE30" s="0" t="s">
        <v>303</v>
      </c>
      <c r="CF30" s="0" t="s">
        <v>1519</v>
      </c>
      <c r="CG30" s="0" t="s">
        <v>1520</v>
      </c>
    </row>
    <row customHeight="1" ht="33.15" hidden="1">
      <c r="E31" s="180">
        <v>34</v>
      </c>
      <c r="F31" s="175" cm="1" t="str">
        <f t="array" ref="F31:F31">F30</f>
        <v>0</v>
      </c>
      <c r="T31" s="753" cm="1" t="str">
        <f t="array" ref="T31:T31">T30</f>
        <v>false</v>
      </c>
      <c r="AB31" s="327">
        <v>1.3</v>
      </c>
      <c r="AC31" s="368" t="s">
        <v>1527</v>
      </c>
      <c r="AD31" s="327" t="s">
        <v>917</v>
      </c>
      <c r="AE31" s="658"/>
      <c r="AF31" s="118"/>
      <c r="AG31" s="118"/>
      <c r="AH31" s="118"/>
      <c r="AI31" s="118"/>
      <c r="AJ31" s="118"/>
      <c r="AK31" s="118"/>
      <c r="AL31" s="118"/>
      <c r="AM31" s="118"/>
      <c r="AN31" s="118"/>
      <c r="AO31" s="118"/>
      <c r="AP31" s="118"/>
      <c r="AQ31" s="118"/>
      <c r="AR31" s="118"/>
      <c r="AS31" s="118"/>
      <c r="AT31" s="118"/>
      <c r="AU31" s="118"/>
      <c r="AV31" s="118"/>
      <c r="AW31" s="118"/>
      <c r="AX31" s="118"/>
      <c r="AY31" s="658"/>
      <c r="AZ31" s="118"/>
      <c r="BA31" s="118"/>
      <c r="BB31" s="118"/>
      <c r="BC31" s="118"/>
      <c r="BD31" s="118"/>
      <c r="BE31" s="118"/>
      <c r="BF31" s="118"/>
      <c r="BG31" s="118"/>
      <c r="BH31" s="118"/>
      <c r="BI31" s="118"/>
      <c r="BJ31" s="118"/>
      <c r="BK31" s="118"/>
      <c r="BL31" s="118"/>
      <c r="BM31" s="118"/>
      <c r="BN31" s="118"/>
      <c r="BO31" s="118"/>
      <c r="BP31" s="118"/>
      <c r="BQ31" s="118"/>
      <c r="BR31" s="118"/>
      <c r="BS31" s="83"/>
      <c r="BV31" s="975" t="s">
        <v>1528</v>
      </c>
      <c r="BY31" s="0" cm="1" t="str">
        <f t="array" ref="BY31:BY31">BY30</f>
        <v>0</v>
      </c>
      <c r="CA31" s="0" t="s">
        <v>1529</v>
      </c>
      <c r="CE31" s="0" t="s">
        <v>303</v>
      </c>
      <c r="CF31" s="0" t="s">
        <v>1530</v>
      </c>
      <c r="CG31" s="0" t="s">
        <v>1531</v>
      </c>
    </row>
    <row customHeight="1" ht="16.575" hidden="1">
      <c r="E32" s="180">
        <v>17</v>
      </c>
      <c r="F32" s="175" cm="1" t="str">
        <f t="array" ref="F32:F32">F31</f>
        <v>0</v>
      </c>
      <c r="T32" s="753" cm="1" t="str">
        <f t="array" ref="T32:T32">T31</f>
        <v>false</v>
      </c>
      <c r="AB32" s="327">
        <v>2</v>
      </c>
      <c r="AC32" s="427" t="s">
        <v>1532</v>
      </c>
      <c r="AD32" s="327" t="s">
        <v>495</v>
      </c>
      <c r="AE32" s="674">
        <f>_xlfn.SUMIFS(Сценарии!AE$25:AE$87,Сценарии!$F$25:$F$87,$F32,Сценарии!$AC$25:$AC$87,"Индекс потребительских цен")</f>
        <v>0</v>
      </c>
      <c r="AF32" s="674">
        <f>_xlfn.SUMIFS(Сценарии!AF$25:AF$87,Сценарии!$F$25:$F$87,$F32,Сценарии!$AC$25:$AC$87,"Индекс потребительских цен")</f>
        <v>0</v>
      </c>
      <c r="AG32" s="674">
        <f>_xlfn.SUMIFS(Сценарии!AG$25:AG$87,Сценарии!$F$25:$F$87,$F32,Сценарии!$AC$25:$AC$87,"Индекс потребительских цен")</f>
        <v>0</v>
      </c>
      <c r="AH32" s="674">
        <f>_xlfn.SUMIFS(Сценарии!AH$25:AH$87,Сценарии!$F$25:$F$87,$F32,Сценарии!$AC$25:$AC$87,"Индекс потребительских цен")</f>
        <v>0</v>
      </c>
      <c r="AI32" s="674">
        <f>_xlfn.SUMIFS(Сценарии!AI$25:AI$87,Сценарии!$F$25:$F$87,$F32,Сценарии!$AC$25:$AC$87,"Индекс потребительских цен")</f>
        <v>0</v>
      </c>
      <c r="AJ32" s="674">
        <f>_xlfn.SUMIFS(Сценарии!AJ$25:AJ$87,Сценарии!$F$25:$F$87,$F32,Сценарии!$AC$25:$AC$87,"Индекс потребительских цен")</f>
        <v>0</v>
      </c>
      <c r="AK32" s="674">
        <f>_xlfn.SUMIFS(Сценарии!AK$25:AK$87,Сценарии!$F$25:$F$87,$F32,Сценарии!$AC$25:$AC$87,"Индекс потребительских цен")</f>
        <v>0</v>
      </c>
      <c r="AL32" s="674">
        <f>_xlfn.SUMIFS(Сценарии!AL$25:AL$87,Сценарии!$F$25:$F$87,$F32,Сценарии!$AC$25:$AC$87,"Индекс потребительских цен")</f>
        <v>0</v>
      </c>
      <c r="AM32" s="674">
        <f>_xlfn.SUMIFS(Сценарии!AM$25:AM$87,Сценарии!$F$25:$F$87,$F32,Сценарии!$AC$25:$AC$87,"Индекс потребительских цен")</f>
        <v>0</v>
      </c>
      <c r="AN32" s="674">
        <f>_xlfn.SUMIFS(Сценарии!AN$25:AN$87,Сценарии!$F$25:$F$87,$F32,Сценарии!$AC$25:$AC$87,"Индекс потребительских цен")</f>
        <v>0</v>
      </c>
      <c r="AO32" s="674">
        <f>_xlfn.SUMIFS(Сценарии!AO$25:AO$87,Сценарии!$F$25:$F$87,$F32,Сценарии!$AC$25:$AC$87,"Индекс потребительских цен")</f>
        <v>0</v>
      </c>
      <c r="AP32" s="674">
        <f>_xlfn.SUMIFS(Сценарии!AP$25:AP$87,Сценарии!$F$25:$F$87,$F32,Сценарии!$AC$25:$AC$87,"Индекс потребительских цен")</f>
        <v>0</v>
      </c>
      <c r="AQ32" s="674">
        <f>_xlfn.SUMIFS(Сценарии!AQ$25:AQ$87,Сценарии!$F$25:$F$87,$F32,Сценарии!$AC$25:$AC$87,"Индекс потребительских цен")</f>
        <v>0</v>
      </c>
      <c r="AR32" s="674">
        <f>_xlfn.SUMIFS(Сценарии!AR$25:AR$87,Сценарии!$F$25:$F$87,$F32,Сценарии!$AC$25:$AC$87,"Индекс потребительских цен")</f>
        <v>0</v>
      </c>
      <c r="AS32" s="674">
        <f>_xlfn.SUMIFS(Сценарии!AS$25:AS$87,Сценарии!$F$25:$F$87,$F32,Сценарии!$AC$25:$AC$87,"Индекс потребительских цен")</f>
        <v>0</v>
      </c>
      <c r="AT32" s="674">
        <f>_xlfn.SUMIFS(Сценарии!AT$25:AT$87,Сценарии!$F$25:$F$87,$F32,Сценарии!$AC$25:$AC$87,"Индекс потребительских цен")</f>
        <v>0</v>
      </c>
      <c r="AU32" s="674">
        <f>_xlfn.SUMIFS(Сценарии!AU$25:AU$87,Сценарии!$F$25:$F$87,$F32,Сценарии!$AC$25:$AC$87,"Индекс потребительских цен")</f>
        <v>0</v>
      </c>
      <c r="AV32" s="674">
        <f>_xlfn.SUMIFS(Сценарии!AV$25:AV$87,Сценарии!$F$25:$F$87,$F32,Сценарии!$AC$25:$AC$87,"Индекс потребительских цен")</f>
        <v>0</v>
      </c>
      <c r="AW32" s="674">
        <f>_xlfn.SUMIFS(Сценарии!AW$25:AW$87,Сценарии!$F$25:$F$87,$F32,Сценарии!$AC$25:$AC$87,"Индекс потребительских цен")</f>
        <v>0</v>
      </c>
      <c r="AX32" s="674">
        <f>_xlfn.SUMIFS(Сценарии!AX$25:AX$87,Сценарии!$F$25:$F$87,$F32,Сценарии!$AC$25:$AC$87,"Индекс потребительских цен")</f>
        <v>0</v>
      </c>
      <c r="AY32" s="674">
        <f>_xlfn.SUMIFS(Сценарии!AY$25:AY$87,Сценарии!$F$25:$F$87,$F32,Сценарии!$AC$25:$AC$87,"Индекс потребительских цен")</f>
        <v>0</v>
      </c>
      <c r="AZ32" s="674">
        <f>_xlfn.SUMIFS(Сценарии!AZ$25:AZ$87,Сценарии!$F$25:$F$87,$F32,Сценарии!$AC$25:$AC$87,"Индекс потребительских цен")</f>
        <v>0</v>
      </c>
      <c r="BA32" s="674">
        <f>_xlfn.SUMIFS(Сценарии!BA$25:BA$87,Сценарии!$F$25:$F$87,$F32,Сценарии!$AC$25:$AC$87,"Индекс потребительских цен")</f>
        <v>0</v>
      </c>
      <c r="BB32" s="674">
        <f>_xlfn.SUMIFS(Сценарии!BB$25:BB$87,Сценарии!$F$25:$F$87,$F32,Сценарии!$AC$25:$AC$87,"Индекс потребительских цен")</f>
        <v>0</v>
      </c>
      <c r="BC32" s="674">
        <f>_xlfn.SUMIFS(Сценарии!BC$25:BC$87,Сценарии!$F$25:$F$87,$F32,Сценарии!$AC$25:$AC$87,"Индекс потребительских цен")</f>
        <v>0</v>
      </c>
      <c r="BD32" s="674">
        <f>_xlfn.SUMIFS(Сценарии!BD$25:BD$87,Сценарии!$F$25:$F$87,$F32,Сценарии!$AC$25:$AC$87,"Индекс потребительских цен")</f>
        <v>0</v>
      </c>
      <c r="BE32" s="674">
        <f>_xlfn.SUMIFS(Сценарии!BE$25:BE$87,Сценарии!$F$25:$F$87,$F32,Сценарии!$AC$25:$AC$87,"Индекс потребительских цен")</f>
        <v>0</v>
      </c>
      <c r="BF32" s="674">
        <f>_xlfn.SUMIFS(Сценарии!BF$25:BF$87,Сценарии!$F$25:$F$87,$F32,Сценарии!$AC$25:$AC$87,"Индекс потребительских цен")</f>
        <v>0</v>
      </c>
      <c r="BG32" s="674">
        <f>_xlfn.SUMIFS(Сценарии!BG$25:BG$87,Сценарии!$F$25:$F$87,$F32,Сценарии!$AC$25:$AC$87,"Индекс потребительских цен")</f>
        <v>0</v>
      </c>
      <c r="BH32" s="674">
        <f>_xlfn.SUMIFS(Сценарии!BH$25:BH$87,Сценарии!$F$25:$F$87,$F32,Сценарии!$AC$25:$AC$87,"Индекс потребительских цен")</f>
        <v>0</v>
      </c>
      <c r="BI32" s="674">
        <f>_xlfn.SUMIFS(Сценарии!BI$25:BI$87,Сценарии!$F$25:$F$87,$F32,Сценарии!$AC$25:$AC$87,"Индекс потребительских цен")</f>
        <v>0</v>
      </c>
      <c r="BJ32" s="674">
        <f>_xlfn.SUMIFS(Сценарии!BJ$25:BJ$87,Сценарии!$F$25:$F$87,$F32,Сценарии!$AC$25:$AC$87,"Индекс потребительских цен")</f>
        <v>0</v>
      </c>
      <c r="BK32" s="674">
        <f>_xlfn.SUMIFS(Сценарии!BK$25:BK$87,Сценарии!$F$25:$F$87,$F32,Сценарии!$AC$25:$AC$87,"Индекс потребительских цен")</f>
        <v>0</v>
      </c>
      <c r="BL32" s="674">
        <f>_xlfn.SUMIFS(Сценарии!BL$25:BL$87,Сценарии!$F$25:$F$87,$F32,Сценарии!$AC$25:$AC$87,"Индекс потребительских цен")</f>
        <v>0</v>
      </c>
      <c r="BM32" s="674">
        <f>_xlfn.SUMIFS(Сценарии!BM$25:BM$87,Сценарии!$F$25:$F$87,$F32,Сценарии!$AC$25:$AC$87,"Индекс потребительских цен")</f>
        <v>0</v>
      </c>
      <c r="BN32" s="674">
        <f>_xlfn.SUMIFS(Сценарии!BN$25:BN$87,Сценарии!$F$25:$F$87,$F32,Сценарии!$AC$25:$AC$87,"Индекс потребительских цен")</f>
        <v>0</v>
      </c>
      <c r="BO32" s="674">
        <f>_xlfn.SUMIFS(Сценарии!BO$25:BO$87,Сценарии!$F$25:$F$87,$F32,Сценарии!$AC$25:$AC$87,"Индекс потребительских цен")</f>
        <v>0</v>
      </c>
      <c r="BP32" s="674">
        <f>_xlfn.SUMIFS(Сценарии!BP$25:BP$87,Сценарии!$F$25:$F$87,$F32,Сценарии!$AC$25:$AC$87,"Индекс потребительских цен")</f>
        <v>0</v>
      </c>
      <c r="BQ32" s="674">
        <f>_xlfn.SUMIFS(Сценарии!BQ$25:BQ$87,Сценарии!$F$25:$F$87,$F32,Сценарии!$AC$25:$AC$87,"Индекс потребительских цен")</f>
        <v>0</v>
      </c>
      <c r="BR32" s="674">
        <f>_xlfn.SUMIFS(Сценарии!BR$25:BR$87,Сценарии!$F$25:$F$87,$F32,Сценарии!$AC$25:$AC$87,"Индекс потребительских цен")</f>
        <v>0</v>
      </c>
      <c r="BS32" s="83"/>
      <c r="BV32" s="975" t="s">
        <v>513</v>
      </c>
      <c r="BY32" s="0" cm="1" t="str">
        <f t="array" ref="BY32:BY32">BY31</f>
        <v>0</v>
      </c>
      <c r="CD32" s="0" t="s">
        <v>219</v>
      </c>
      <c r="CE32" s="0" t="s">
        <v>303</v>
      </c>
      <c r="CF32" s="0" t="s">
        <v>514</v>
      </c>
      <c r="CG32" s="0" t="s">
        <v>515</v>
      </c>
    </row>
    <row customHeight="1" ht="16.575" hidden="1">
      <c r="E33" s="180">
        <v>17</v>
      </c>
      <c r="F33" s="175" cm="1" t="str">
        <f t="array" ref="F33:F33">F32</f>
        <v>0</v>
      </c>
      <c r="T33" s="753" cm="1" t="str">
        <f t="array" ref="T33:T33">T32</f>
        <v>false</v>
      </c>
      <c r="AB33" s="675">
        <v>3</v>
      </c>
      <c r="AC33" s="427" t="s">
        <v>1533</v>
      </c>
      <c r="AD33" s="327"/>
      <c r="AE33" s="676">
        <f>1+AE32%</f>
        <v>1</v>
      </c>
      <c r="AF33" s="119">
        <f>IF(first_year&lt;god,1,AE33*(1+AF32%))</f>
        <v>1</v>
      </c>
      <c r="AG33" s="119">
        <f>IF(first_year&lt;god,1,AF33*(1+AG32%))</f>
        <v>1</v>
      </c>
      <c r="AH33" s="119">
        <f>IF(first_year&lt;god,1,AG33*(1+AH32%))</f>
        <v>1</v>
      </c>
      <c r="AI33" s="119">
        <f>IF(first_year&lt;god,1,AH33*(1+AI32%))</f>
        <v>1</v>
      </c>
      <c r="AJ33" s="119">
        <f>IF(first_year&lt;god,1,AI33*(1+AJ32%))</f>
        <v>1</v>
      </c>
      <c r="AK33" s="119">
        <f>IF(first_year&lt;god,1,AJ33*(1+AK32%))</f>
        <v>1</v>
      </c>
      <c r="AL33" s="119">
        <f>IF(first_year&lt;god,1,AK33*(1+AL32%))</f>
        <v>1</v>
      </c>
      <c r="AM33" s="119">
        <f>IF(first_year&lt;god,1,AL33*(1+AM32%))</f>
        <v>1</v>
      </c>
      <c r="AN33" s="119">
        <f>IF(first_year&lt;god,1,AM33*(1+AN32%))</f>
        <v>1</v>
      </c>
      <c r="AO33" s="119">
        <f>IF(first_year&lt;god,1,AN33*(1+AO32%))</f>
        <v>1</v>
      </c>
      <c r="AP33" s="119">
        <f>IF(first_year&lt;god,1,AO33*(1+AP32%))</f>
        <v>1</v>
      </c>
      <c r="AQ33" s="119">
        <f>IF(first_year&lt;god,1,AP33*(1+AQ32%))</f>
        <v>1</v>
      </c>
      <c r="AR33" s="119">
        <f>IF(first_year&lt;god,1,AQ33*(1+AR32%))</f>
        <v>1</v>
      </c>
      <c r="AS33" s="119">
        <f>IF(first_year&lt;god,1,AR33*(1+AS32%))</f>
        <v>1</v>
      </c>
      <c r="AT33" s="119">
        <f>IF(first_year&lt;god,1,AS33*(1+AT32%))</f>
        <v>1</v>
      </c>
      <c r="AU33" s="119">
        <f>IF(first_year&lt;god,1,AT33*(1+AU32%))</f>
        <v>1</v>
      </c>
      <c r="AV33" s="119">
        <f>IF(first_year&lt;god,1,AU33*(1+AV32%))</f>
        <v>1</v>
      </c>
      <c r="AW33" s="119">
        <f>IF(first_year&lt;god,1,AV33*(1+AW32%))</f>
        <v>1</v>
      </c>
      <c r="AX33" s="119">
        <f>IF(first_year&lt;god,1,AW33*(1+AX32%))</f>
        <v>1</v>
      </c>
      <c r="AY33" s="676">
        <f>1+AY32%</f>
        <v>1</v>
      </c>
      <c r="AZ33" s="119">
        <f>IF(first_year&lt;god,1,AY33*(1+AZ32%))</f>
        <v>1</v>
      </c>
      <c r="BA33" s="119">
        <f>IF(first_year&lt;god,1,AZ33*(1+BA32%))</f>
        <v>1</v>
      </c>
      <c r="BB33" s="119">
        <f>IF(first_year&lt;god,1,BA33*(1+BB32%))</f>
        <v>1</v>
      </c>
      <c r="BC33" s="119">
        <f>IF(first_year&lt;god,1,BB33*(1+BC32%))</f>
        <v>1</v>
      </c>
      <c r="BD33" s="119">
        <f>IF(first_year&lt;god,1,BC33*(1+BD32%))</f>
        <v>1</v>
      </c>
      <c r="BE33" s="119">
        <f>IF(first_year&lt;god,1,BD33*(1+BE32%))</f>
        <v>1</v>
      </c>
      <c r="BF33" s="119">
        <f>IF(first_year&lt;god,1,BE33*(1+BF32%))</f>
        <v>1</v>
      </c>
      <c r="BG33" s="119">
        <f>IF(first_year&lt;god,1,BF33*(1+BG32%))</f>
        <v>1</v>
      </c>
      <c r="BH33" s="119">
        <f>IF(first_year&lt;god,1,BG33*(1+BH32%))</f>
        <v>1</v>
      </c>
      <c r="BI33" s="119">
        <f>IF(first_year&lt;god,1,BH33*(1+BI32%))</f>
        <v>1</v>
      </c>
      <c r="BJ33" s="119">
        <f>IF(first_year&lt;god,1,BI33*(1+BJ32%))</f>
        <v>1</v>
      </c>
      <c r="BK33" s="119">
        <f>IF(first_year&lt;god,1,BJ33*(1+BK32%))</f>
        <v>1</v>
      </c>
      <c r="BL33" s="119">
        <f>IF(first_year&lt;god,1,BK33*(1+BL32%))</f>
        <v>1</v>
      </c>
      <c r="BM33" s="119">
        <f>IF(first_year&lt;god,1,BL33*(1+BM32%))</f>
        <v>1</v>
      </c>
      <c r="BN33" s="119">
        <f>IF(first_year&lt;god,1,BM33*(1+BN32%))</f>
        <v>1</v>
      </c>
      <c r="BO33" s="119">
        <f>IF(first_year&lt;god,1,BN33*(1+BO32%))</f>
        <v>1</v>
      </c>
      <c r="BP33" s="119">
        <f>IF(first_year&lt;god,1,BO33*(1+BP32%))</f>
        <v>1</v>
      </c>
      <c r="BQ33" s="119">
        <f>IF(first_year&lt;god,1,BP33*(1+BQ32%))</f>
        <v>1</v>
      </c>
      <c r="BR33" s="119">
        <f>IF(first_year&lt;god,1,BQ33*(1+BR32%))</f>
        <v>1</v>
      </c>
      <c r="BS33" s="83"/>
      <c r="BV33" s="975" t="s">
        <v>1534</v>
      </c>
      <c r="BY33" s="0" cm="1" t="str">
        <f t="array" ref="BY33:BY33">BY32</f>
        <v>0</v>
      </c>
      <c r="CD33" s="0" t="s">
        <v>255</v>
      </c>
      <c r="CE33" s="0" t="s">
        <v>303</v>
      </c>
      <c r="CF33" s="0" t="s">
        <v>1535</v>
      </c>
      <c r="CG33" s="0" t="s">
        <v>1536</v>
      </c>
    </row>
    <row s="986" customFormat="1" customHeight="1" ht="16.575" hidden="1">
      <c r="E34" s="180">
        <v>17</v>
      </c>
      <c r="F34" s="175" cm="1" t="str">
        <f t="array" ref="F34:F34">F33</f>
        <v>0</v>
      </c>
      <c r="G34" s="193" t="s">
        <v>1537</v>
      </c>
      <c r="T34" s="753" cm="1" t="str">
        <f t="array" ref="T34:T34">T33</f>
        <v>false</v>
      </c>
      <c r="AB34" s="436">
        <v>4</v>
      </c>
      <c r="AC34" s="437" t="s">
        <v>1538</v>
      </c>
      <c r="AD34" s="436" t="s">
        <v>917</v>
      </c>
      <c r="AE34" s="664">
        <f>AE28*AE33</f>
        <v>0</v>
      </c>
      <c r="AF34" s="664">
        <f>AF28*AF33</f>
        <v>0</v>
      </c>
      <c r="AG34" s="664">
        <f>AG28*AG33</f>
        <v>0</v>
      </c>
      <c r="AH34" s="664">
        <f>AH28*AH33</f>
        <v>0</v>
      </c>
      <c r="AI34" s="664">
        <f>AI28*AI33</f>
        <v>0</v>
      </c>
      <c r="AJ34" s="664">
        <f>AJ28*AJ33</f>
        <v>0</v>
      </c>
      <c r="AK34" s="664">
        <f>AK28*AK33</f>
        <v>0</v>
      </c>
      <c r="AL34" s="664">
        <f>AL28*AL33</f>
        <v>0</v>
      </c>
      <c r="AM34" s="664">
        <f>AM28*AM33</f>
        <v>0</v>
      </c>
      <c r="AN34" s="664">
        <f>AN28*AN33</f>
        <v>0</v>
      </c>
      <c r="AO34" s="664">
        <f>AO28*AO33</f>
        <v>0</v>
      </c>
      <c r="AP34" s="664">
        <f>AP28*AP33</f>
        <v>0</v>
      </c>
      <c r="AQ34" s="664">
        <f>AQ28*AQ33</f>
        <v>0</v>
      </c>
      <c r="AR34" s="664">
        <f>AR28*AR33</f>
        <v>0</v>
      </c>
      <c r="AS34" s="664">
        <f>AS28*AS33</f>
        <v>0</v>
      </c>
      <c r="AT34" s="664">
        <f>AT28*AT33</f>
        <v>0</v>
      </c>
      <c r="AU34" s="664">
        <f>AU28*AU33</f>
        <v>0</v>
      </c>
      <c r="AV34" s="664">
        <f>AV28*AV33</f>
        <v>0</v>
      </c>
      <c r="AW34" s="664">
        <f>AW28*AW33</f>
        <v>0</v>
      </c>
      <c r="AX34" s="664">
        <f>AX28*AX33</f>
        <v>0</v>
      </c>
      <c r="AY34" s="664">
        <f>AY28*AY33</f>
        <v>0</v>
      </c>
      <c r="AZ34" s="664">
        <f>AZ28*AZ33</f>
        <v>0</v>
      </c>
      <c r="BA34" s="664">
        <f>BA28*BA33</f>
        <v>0</v>
      </c>
      <c r="BB34" s="664">
        <f>BB28*BB33</f>
        <v>0</v>
      </c>
      <c r="BC34" s="664">
        <f>BC28*BC33</f>
        <v>0</v>
      </c>
      <c r="BD34" s="664">
        <f>BD28*BD33</f>
        <v>0</v>
      </c>
      <c r="BE34" s="664">
        <f>BE28*BE33</f>
        <v>0</v>
      </c>
      <c r="BF34" s="664">
        <f>BF28*BF33</f>
        <v>0</v>
      </c>
      <c r="BG34" s="664">
        <f>BG28*BG33</f>
        <v>0</v>
      </c>
      <c r="BH34" s="664">
        <f>BH28*BH33</f>
        <v>0</v>
      </c>
      <c r="BI34" s="664">
        <f>BI28*BI33</f>
        <v>0</v>
      </c>
      <c r="BJ34" s="664">
        <f>BJ28*BJ33</f>
        <v>0</v>
      </c>
      <c r="BK34" s="664">
        <f>BK28*BK33</f>
        <v>0</v>
      </c>
      <c r="BL34" s="664">
        <f>BL28*BL33</f>
        <v>0</v>
      </c>
      <c r="BM34" s="664">
        <f>BM28*BM33</f>
        <v>0</v>
      </c>
      <c r="BN34" s="664">
        <f>BN28*BN33</f>
        <v>0</v>
      </c>
      <c r="BO34" s="664">
        <f>BO28*BO33</f>
        <v>0</v>
      </c>
      <c r="BP34" s="664">
        <f>BP28*BP33</f>
        <v>0</v>
      </c>
      <c r="BQ34" s="664">
        <f>BQ28*BQ33</f>
        <v>0</v>
      </c>
      <c r="BR34" s="664">
        <f>BR28*BR33</f>
        <v>0</v>
      </c>
      <c r="BS34" s="83"/>
      <c r="BV34" s="975" t="s">
        <v>1539</v>
      </c>
      <c r="BY34" s="0" cm="1" t="str">
        <f t="array" ref="BY34:BY34">BY33</f>
        <v>0</v>
      </c>
      <c r="CD34" s="0" t="s">
        <v>449</v>
      </c>
      <c r="CE34" s="0" t="s">
        <v>303</v>
      </c>
      <c r="CF34" s="0" t="s">
        <v>1540</v>
      </c>
      <c r="CG34" s="0" t="s">
        <v>1541</v>
      </c>
    </row>
    <row s="1751" customFormat="1" customHeight="1" ht="16.5">
      <c r="A35" s="371"/>
      <c r="B35" s="1548"/>
      <c r="C35" s="1548"/>
      <c r="D35" s="1548"/>
      <c r="E35" s="180">
        <v>17</v>
      </c>
      <c r="F35" s="175" cm="1" t="str">
        <f t="array" ref="F35:F35">X35</f>
        <v>1</v>
      </c>
      <c r="G35" s="1659"/>
      <c r="H35" s="1659"/>
      <c r="I35" s="1659"/>
      <c r="J35" s="1659"/>
      <c r="K35" s="1659"/>
      <c r="L35" s="1659"/>
      <c r="M35" s="1659"/>
      <c r="N35" s="1659"/>
      <c r="O35" s="1659"/>
      <c r="P35" s="1659"/>
      <c r="Q35" s="1659"/>
      <c r="R35" s="1659"/>
      <c r="S35" s="1659"/>
      <c r="T35" s="753">
        <f>X35&gt;0</f>
        <v>1</v>
      </c>
      <c r="U35" s="1548"/>
      <c r="V35" s="175" cm="1" t="str">
        <f t="array" ref="V35:V35">Налоги!$AB$41</f>
        <v>Тариф 1 (Теплоснабжение) - Тариф на тепловую энергию (мощность), поставляемую потребителям (Доп. признак не требуется)</v>
      </c>
      <c r="W35" s="1548"/>
      <c r="X35" s="175" t="s">
        <v>308</v>
      </c>
      <c r="Y35" s="1548"/>
      <c r="Z35" s="1548"/>
      <c r="AA35" s="1727"/>
      <c r="AB35" s="656" cm="1" t="str">
        <f t="array" ref="AB35:AB35">IF(ISBLANK(Налоги!$AB$41),"",Налоги!$AB$41)</f>
        <v>Тариф 1 (Теплоснабжение) - Тариф на тепловую энергию (мощность), поставляемую потребителям (Доп. признак не требуется)</v>
      </c>
      <c r="AC35" s="335"/>
      <c r="AD35" s="335"/>
      <c r="AE35" s="335"/>
      <c r="AF35" s="335"/>
      <c r="AG35" s="335"/>
      <c r="AH35" s="335"/>
      <c r="AI35" s="335"/>
      <c r="AJ35" s="335"/>
      <c r="AK35" s="335"/>
      <c r="AL35" s="335"/>
      <c r="AM35" s="335"/>
      <c r="AN35" s="335"/>
      <c r="AO35" s="335"/>
      <c r="AP35" s="335"/>
      <c r="AQ35" s="335"/>
      <c r="AR35" s="335"/>
      <c r="AS35" s="335"/>
      <c r="AT35" s="335"/>
      <c r="AU35" s="335"/>
      <c r="AV35" s="335"/>
      <c r="AW35" s="335"/>
      <c r="AX35" s="335"/>
      <c r="AY35" s="335"/>
      <c r="AZ35" s="335"/>
      <c r="BA35" s="335"/>
      <c r="BB35" s="335"/>
      <c r="BC35" s="335"/>
      <c r="BD35" s="335"/>
      <c r="BE35" s="335"/>
      <c r="BF35" s="335"/>
      <c r="BG35" s="335"/>
      <c r="BH35" s="335"/>
      <c r="BI35" s="335"/>
      <c r="BJ35" s="335"/>
      <c r="BK35" s="335"/>
      <c r="BL35" s="335"/>
      <c r="BM35" s="335"/>
      <c r="BN35" s="335"/>
      <c r="BO35" s="335"/>
      <c r="BP35" s="335"/>
      <c r="BQ35" s="335"/>
      <c r="BR35" s="335"/>
      <c r="BS35" s="335"/>
      <c r="BT35" s="1727"/>
      <c r="BU35" s="969"/>
      <c r="BV35" s="1145"/>
      <c r="BW35" s="1506"/>
      <c r="BX35" s="1506"/>
      <c r="BY35" s="1751"/>
      <c r="BZ35" s="1751"/>
      <c r="CA35" s="1751"/>
      <c r="CB35" s="1751"/>
      <c r="CC35" s="1751"/>
      <c r="CD35" s="1751"/>
      <c r="CE35" s="1751"/>
      <c r="CF35" s="1751"/>
      <c r="CG35" s="1751"/>
    </row>
    <row s="986" customFormat="1" customHeight="1" ht="16.5">
      <c r="A36" s="986"/>
      <c r="B36" s="986"/>
      <c r="C36" s="986"/>
      <c r="D36" s="986"/>
      <c r="E36" s="180">
        <v>17</v>
      </c>
      <c r="F36" s="175" cm="1" t="str">
        <f t="array" ref="F36:F36">F35</f>
        <v>1</v>
      </c>
      <c r="G36" s="986"/>
      <c r="H36" s="986"/>
      <c r="I36" s="986"/>
      <c r="J36" s="986"/>
      <c r="K36" s="986"/>
      <c r="L36" s="986"/>
      <c r="M36" s="986"/>
      <c r="N36" s="986"/>
      <c r="O36" s="986"/>
      <c r="P36" s="986"/>
      <c r="Q36" s="986"/>
      <c r="R36" s="986"/>
      <c r="S36" s="986"/>
      <c r="T36" s="753" cm="1" t="str">
        <f t="array" ref="T36:T36">T35</f>
        <v>true</v>
      </c>
      <c r="U36" s="986"/>
      <c r="V36" s="986"/>
      <c r="W36" s="986"/>
      <c r="X36" s="986"/>
      <c r="Y36" s="986"/>
      <c r="Z36" s="986"/>
      <c r="AA36" s="986"/>
      <c r="AB36" s="436">
        <v>1</v>
      </c>
      <c r="AC36" s="437" t="s">
        <v>1516</v>
      </c>
      <c r="AD36" s="436" t="s">
        <v>917</v>
      </c>
      <c r="AE36" s="664">
        <f>AE37+AE38+AE39</f>
        <v>0</v>
      </c>
      <c r="AF36" s="672">
        <f>AF37+AF38+AF39</f>
        <v>0</v>
      </c>
      <c r="AG36" s="672">
        <f>AG37+AG38+AG39</f>
        <v>0</v>
      </c>
      <c r="AH36" s="672">
        <f>AH37+AH38+AH39</f>
        <v>0</v>
      </c>
      <c r="AI36" s="672">
        <f>AI37+AI38+AI39</f>
        <v>0</v>
      </c>
      <c r="AJ36" s="672">
        <f>AJ37+AJ38+AJ39</f>
        <v>0</v>
      </c>
      <c r="AK36" s="672">
        <f>AK37+AK38+AK39</f>
        <v>0</v>
      </c>
      <c r="AL36" s="672">
        <f>AL37+AL38+AL39</f>
        <v>0</v>
      </c>
      <c r="AM36" s="672">
        <f>AM37+AM38+AM39</f>
        <v>0</v>
      </c>
      <c r="AN36" s="672">
        <f>AN37+AN38+AN39</f>
        <v>0</v>
      </c>
      <c r="AO36" s="672">
        <f>AO37+AO38+AO39</f>
        <v>0</v>
      </c>
      <c r="AP36" s="672">
        <f>AP37+AP38+AP39</f>
        <v>0</v>
      </c>
      <c r="AQ36" s="672">
        <f>AQ37+AQ38+AQ39</f>
        <v>0</v>
      </c>
      <c r="AR36" s="672">
        <f>AR37+AR38+AR39</f>
        <v>0</v>
      </c>
      <c r="AS36" s="672">
        <f>AS37+AS38+AS39</f>
        <v>0</v>
      </c>
      <c r="AT36" s="672">
        <f>AT37+AT38+AT39</f>
        <v>0</v>
      </c>
      <c r="AU36" s="672">
        <f>AU37+AU38+AU39</f>
        <v>0</v>
      </c>
      <c r="AV36" s="672">
        <f>AV37+AV38+AV39</f>
        <v>0</v>
      </c>
      <c r="AW36" s="672">
        <f>AW37+AW38+AW39</f>
        <v>0</v>
      </c>
      <c r="AX36" s="672">
        <f>AX37+AX38+AX39</f>
        <v>0</v>
      </c>
      <c r="AY36" s="664">
        <f>AY37+AY38+AY39</f>
        <v>0</v>
      </c>
      <c r="AZ36" s="672">
        <f>AZ37+AZ38+AZ39</f>
        <v>0</v>
      </c>
      <c r="BA36" s="672">
        <f>BA37+BA38+BA39</f>
        <v>0</v>
      </c>
      <c r="BB36" s="672">
        <f>BB37+BB38+BB39</f>
        <v>0</v>
      </c>
      <c r="BC36" s="672">
        <f>BC37+BC38+BC39</f>
        <v>0</v>
      </c>
      <c r="BD36" s="672">
        <f>BD37+BD38+BD39</f>
        <v>0</v>
      </c>
      <c r="BE36" s="672">
        <f>BE37+BE38+BE39</f>
        <v>0</v>
      </c>
      <c r="BF36" s="672">
        <f>BF37+BF38+BF39</f>
        <v>0</v>
      </c>
      <c r="BG36" s="672">
        <f>BG37+BG38+BG39</f>
        <v>0</v>
      </c>
      <c r="BH36" s="672">
        <f>BH37+BH38+BH39</f>
        <v>0</v>
      </c>
      <c r="BI36" s="672">
        <f>BI37+BI38+BI39</f>
        <v>0</v>
      </c>
      <c r="BJ36" s="672">
        <f>BJ37+BJ38+BJ39</f>
        <v>0</v>
      </c>
      <c r="BK36" s="672">
        <f>BK37+BK38+BK39</f>
        <v>0</v>
      </c>
      <c r="BL36" s="672">
        <f>BL37+BL38+BL39</f>
        <v>0</v>
      </c>
      <c r="BM36" s="672">
        <f>BM37+BM38+BM39</f>
        <v>0</v>
      </c>
      <c r="BN36" s="672">
        <f>BN37+BN38+BN39</f>
        <v>0</v>
      </c>
      <c r="BO36" s="672">
        <f>BO37+BO38+BO39</f>
        <v>0</v>
      </c>
      <c r="BP36" s="672">
        <f>BP37+BP38+BP39</f>
        <v>0</v>
      </c>
      <c r="BQ36" s="672">
        <f>BQ37+BQ38+BQ39</f>
        <v>0</v>
      </c>
      <c r="BR36" s="672">
        <f>BR37+BR38+BR39</f>
        <v>0</v>
      </c>
      <c r="BS36" s="1897"/>
      <c r="BT36" s="986"/>
      <c r="BU36" s="986"/>
      <c r="BV36" s="975" t="s">
        <v>1517</v>
      </c>
      <c r="BW36" s="986"/>
      <c r="BX36" s="986"/>
      <c r="BY36" s="0" cm="1" t="str">
        <f t="array" ref="BY36:BY36">INDEX('Общие сведения'!$N$170:$N$202,MATCH($F36,'Общие сведения'!$Y$170:$Y$202,0)+1)</f>
        <v>ТЭ.42.31656254.0001</v>
      </c>
      <c r="BZ36" s="0" t="s">
        <v>1518</v>
      </c>
      <c r="CA36" s="986"/>
      <c r="CB36" s="986"/>
      <c r="CC36" s="986"/>
      <c r="CD36" s="986"/>
      <c r="CE36" s="0" t="s">
        <v>303</v>
      </c>
      <c r="CF36" s="0" t="s">
        <v>1519</v>
      </c>
      <c r="CG36" s="0" t="s">
        <v>1520</v>
      </c>
    </row>
    <row s="1751" customFormat="1" customHeight="1" ht="16.5">
      <c r="A37" s="371"/>
      <c r="B37" s="1548"/>
      <c r="C37" s="1548"/>
      <c r="D37" s="1548"/>
      <c r="E37" s="180">
        <v>17</v>
      </c>
      <c r="F37" s="175" cm="1" t="str">
        <f t="array" ref="F37:F37">F36</f>
        <v>1</v>
      </c>
      <c r="G37" s="1659"/>
      <c r="H37" s="1659"/>
      <c r="I37" s="1659"/>
      <c r="J37" s="1659"/>
      <c r="K37" s="1659"/>
      <c r="L37" s="1659"/>
      <c r="M37" s="1659"/>
      <c r="N37" s="1659"/>
      <c r="O37" s="1659"/>
      <c r="P37" s="1659"/>
      <c r="Q37" s="1659"/>
      <c r="R37" s="1659"/>
      <c r="S37" s="1659"/>
      <c r="T37" s="753" cm="1" t="str">
        <f t="array" ref="T37:T37">T36</f>
        <v>true</v>
      </c>
      <c r="U37" s="1548"/>
      <c r="V37" s="1548"/>
      <c r="W37" s="1548"/>
      <c r="X37" s="1548"/>
      <c r="Y37" s="1548"/>
      <c r="Z37" s="1548"/>
      <c r="AA37" s="1727"/>
      <c r="AB37" s="327">
        <v>1.1</v>
      </c>
      <c r="AC37" s="368" t="s">
        <v>1521</v>
      </c>
      <c r="AD37" s="327" t="s">
        <v>917</v>
      </c>
      <c r="AE37" s="658"/>
      <c r="AF37" s="2329"/>
      <c r="AG37" s="2329"/>
      <c r="AH37" s="2329"/>
      <c r="AI37" s="2329"/>
      <c r="AJ37" s="2329"/>
      <c r="AK37" s="2329"/>
      <c r="AL37" s="2329"/>
      <c r="AM37" s="2329"/>
      <c r="AN37" s="2329"/>
      <c r="AO37" s="2329"/>
      <c r="AP37" s="2329"/>
      <c r="AQ37" s="2329"/>
      <c r="AR37" s="2329"/>
      <c r="AS37" s="2329"/>
      <c r="AT37" s="2329"/>
      <c r="AU37" s="2329"/>
      <c r="AV37" s="2329"/>
      <c r="AW37" s="2329"/>
      <c r="AX37" s="2329"/>
      <c r="AY37" s="658"/>
      <c r="AZ37" s="2329"/>
      <c r="BA37" s="2329"/>
      <c r="BB37" s="2329"/>
      <c r="BC37" s="2329"/>
      <c r="BD37" s="2329"/>
      <c r="BE37" s="2329"/>
      <c r="BF37" s="2329"/>
      <c r="BG37" s="2329"/>
      <c r="BH37" s="2329"/>
      <c r="BI37" s="2329"/>
      <c r="BJ37" s="2329"/>
      <c r="BK37" s="2329"/>
      <c r="BL37" s="2329"/>
      <c r="BM37" s="2329"/>
      <c r="BN37" s="2329"/>
      <c r="BO37" s="2329"/>
      <c r="BP37" s="2329"/>
      <c r="BQ37" s="2329"/>
      <c r="BR37" s="2329"/>
      <c r="BS37" s="1897"/>
      <c r="BT37" s="1727"/>
      <c r="BU37" s="969"/>
      <c r="BV37" s="975" t="s">
        <v>1522</v>
      </c>
      <c r="BW37" s="1506"/>
      <c r="BX37" s="1506"/>
      <c r="BY37" s="0" cm="1" t="str">
        <f t="array" ref="BY37:BY37">BY36</f>
        <v>ТЭ.42.31656254.0001</v>
      </c>
      <c r="BZ37" s="1751"/>
      <c r="CA37" s="0" t="s">
        <v>1523</v>
      </c>
      <c r="CB37" s="1751"/>
      <c r="CC37" s="1751"/>
      <c r="CD37" s="1751"/>
      <c r="CE37" s="0" t="s">
        <v>303</v>
      </c>
      <c r="CF37" s="0" t="s">
        <v>1519</v>
      </c>
      <c r="CG37" s="0" t="s">
        <v>1520</v>
      </c>
    </row>
    <row s="1751" customFormat="1" customHeight="1" ht="16.5">
      <c r="A38" s="371"/>
      <c r="B38" s="1548"/>
      <c r="C38" s="1548"/>
      <c r="D38" s="1548"/>
      <c r="E38" s="180">
        <v>17</v>
      </c>
      <c r="F38" s="175" cm="1" t="str">
        <f t="array" ref="F38:F38">F37</f>
        <v>1</v>
      </c>
      <c r="G38" s="1659"/>
      <c r="H38" s="1659"/>
      <c r="I38" s="1659"/>
      <c r="J38" s="1659"/>
      <c r="K38" s="1659"/>
      <c r="L38" s="1659"/>
      <c r="M38" s="1659"/>
      <c r="N38" s="1659"/>
      <c r="O38" s="1659"/>
      <c r="P38" s="1659"/>
      <c r="Q38" s="1659"/>
      <c r="R38" s="1659"/>
      <c r="S38" s="1659"/>
      <c r="T38" s="753" cm="1" t="str">
        <f t="array" ref="T38:T38">T37</f>
        <v>true</v>
      </c>
      <c r="U38" s="1548"/>
      <c r="V38" s="1548"/>
      <c r="W38" s="1548"/>
      <c r="X38" s="1548"/>
      <c r="Y38" s="1548"/>
      <c r="Z38" s="1548"/>
      <c r="AA38" s="1727"/>
      <c r="AB38" s="327">
        <v>1.2</v>
      </c>
      <c r="AC38" s="368" t="s">
        <v>1524</v>
      </c>
      <c r="AD38" s="327" t="s">
        <v>917</v>
      </c>
      <c r="AE38" s="658"/>
      <c r="AF38" s="2329"/>
      <c r="AG38" s="2329"/>
      <c r="AH38" s="2329"/>
      <c r="AI38" s="2329"/>
      <c r="AJ38" s="2329"/>
      <c r="AK38" s="2329"/>
      <c r="AL38" s="2329"/>
      <c r="AM38" s="2329"/>
      <c r="AN38" s="2329"/>
      <c r="AO38" s="2329"/>
      <c r="AP38" s="2329"/>
      <c r="AQ38" s="2329"/>
      <c r="AR38" s="2329"/>
      <c r="AS38" s="2329"/>
      <c r="AT38" s="2329"/>
      <c r="AU38" s="2329"/>
      <c r="AV38" s="2329"/>
      <c r="AW38" s="2329"/>
      <c r="AX38" s="2329"/>
      <c r="AY38" s="658"/>
      <c r="AZ38" s="2329"/>
      <c r="BA38" s="2329"/>
      <c r="BB38" s="2329"/>
      <c r="BC38" s="2329"/>
      <c r="BD38" s="2329"/>
      <c r="BE38" s="2329"/>
      <c r="BF38" s="2329"/>
      <c r="BG38" s="2329"/>
      <c r="BH38" s="2329"/>
      <c r="BI38" s="2329"/>
      <c r="BJ38" s="2329"/>
      <c r="BK38" s="2329"/>
      <c r="BL38" s="2329"/>
      <c r="BM38" s="2329"/>
      <c r="BN38" s="2329"/>
      <c r="BO38" s="2329"/>
      <c r="BP38" s="2329"/>
      <c r="BQ38" s="2329"/>
      <c r="BR38" s="2329"/>
      <c r="BS38" s="1897"/>
      <c r="BT38" s="1727"/>
      <c r="BU38" s="969"/>
      <c r="BV38" s="975" t="s">
        <v>1525</v>
      </c>
      <c r="BW38" s="1506"/>
      <c r="BX38" s="1506"/>
      <c r="BY38" s="0" cm="1" t="str">
        <f t="array" ref="BY38:BY38">BY37</f>
        <v>ТЭ.42.31656254.0001</v>
      </c>
      <c r="BZ38" s="1751"/>
      <c r="CA38" s="0" t="s">
        <v>1526</v>
      </c>
      <c r="CB38" s="1751"/>
      <c r="CC38" s="1751"/>
      <c r="CD38" s="1751"/>
      <c r="CE38" s="0" t="s">
        <v>303</v>
      </c>
      <c r="CF38" s="0" t="s">
        <v>1519</v>
      </c>
      <c r="CG38" s="0" t="s">
        <v>1520</v>
      </c>
    </row>
    <row s="1751" customFormat="1" customHeight="1" ht="33">
      <c r="A39" s="371"/>
      <c r="B39" s="1548"/>
      <c r="C39" s="1548"/>
      <c r="D39" s="1548"/>
      <c r="E39" s="180">
        <v>34</v>
      </c>
      <c r="F39" s="175" cm="1" t="str">
        <f t="array" ref="F39:F39">F38</f>
        <v>1</v>
      </c>
      <c r="G39" s="1659"/>
      <c r="H39" s="1659"/>
      <c r="I39" s="1659"/>
      <c r="J39" s="1659"/>
      <c r="K39" s="1659"/>
      <c r="L39" s="1659"/>
      <c r="M39" s="1659"/>
      <c r="N39" s="1659"/>
      <c r="O39" s="1659"/>
      <c r="P39" s="1659"/>
      <c r="Q39" s="1659"/>
      <c r="R39" s="1659"/>
      <c r="S39" s="1659"/>
      <c r="T39" s="753" cm="1" t="str">
        <f t="array" ref="T39:T39">T38</f>
        <v>true</v>
      </c>
      <c r="U39" s="1548"/>
      <c r="V39" s="1548"/>
      <c r="W39" s="1548"/>
      <c r="X39" s="1548"/>
      <c r="Y39" s="1548"/>
      <c r="Z39" s="1548"/>
      <c r="AA39" s="1727"/>
      <c r="AB39" s="327">
        <v>1.3</v>
      </c>
      <c r="AC39" s="368" t="s">
        <v>1527</v>
      </c>
      <c r="AD39" s="327" t="s">
        <v>917</v>
      </c>
      <c r="AE39" s="658"/>
      <c r="AF39" s="2329"/>
      <c r="AG39" s="2329"/>
      <c r="AH39" s="2329"/>
      <c r="AI39" s="2329"/>
      <c r="AJ39" s="2329"/>
      <c r="AK39" s="2329"/>
      <c r="AL39" s="2329"/>
      <c r="AM39" s="2329"/>
      <c r="AN39" s="2329"/>
      <c r="AO39" s="2329"/>
      <c r="AP39" s="2329"/>
      <c r="AQ39" s="2329"/>
      <c r="AR39" s="2329"/>
      <c r="AS39" s="2329"/>
      <c r="AT39" s="2329"/>
      <c r="AU39" s="2329"/>
      <c r="AV39" s="2329"/>
      <c r="AW39" s="2329"/>
      <c r="AX39" s="2329"/>
      <c r="AY39" s="658"/>
      <c r="AZ39" s="2329"/>
      <c r="BA39" s="2329"/>
      <c r="BB39" s="2329"/>
      <c r="BC39" s="2329"/>
      <c r="BD39" s="2329"/>
      <c r="BE39" s="2329"/>
      <c r="BF39" s="2329"/>
      <c r="BG39" s="2329"/>
      <c r="BH39" s="2329"/>
      <c r="BI39" s="2329"/>
      <c r="BJ39" s="2329"/>
      <c r="BK39" s="2329"/>
      <c r="BL39" s="2329"/>
      <c r="BM39" s="2329"/>
      <c r="BN39" s="2329"/>
      <c r="BO39" s="2329"/>
      <c r="BP39" s="2329"/>
      <c r="BQ39" s="2329"/>
      <c r="BR39" s="2329"/>
      <c r="BS39" s="1897"/>
      <c r="BT39" s="1727"/>
      <c r="BU39" s="969"/>
      <c r="BV39" s="975" t="s">
        <v>1528</v>
      </c>
      <c r="BW39" s="1506"/>
      <c r="BX39" s="1506"/>
      <c r="BY39" s="0" cm="1" t="str">
        <f t="array" ref="BY39:BY39">BY38</f>
        <v>ТЭ.42.31656254.0001</v>
      </c>
      <c r="BZ39" s="1751"/>
      <c r="CA39" s="0" t="s">
        <v>1529</v>
      </c>
      <c r="CB39" s="1751"/>
      <c r="CC39" s="1751"/>
      <c r="CD39" s="1751"/>
      <c r="CE39" s="0" t="s">
        <v>303</v>
      </c>
      <c r="CF39" s="0" t="s">
        <v>1530</v>
      </c>
      <c r="CG39" s="0" t="s">
        <v>1531</v>
      </c>
    </row>
    <row s="1751" customFormat="1" customHeight="1" ht="16.5">
      <c r="A40" s="371"/>
      <c r="B40" s="1548"/>
      <c r="C40" s="1548"/>
      <c r="D40" s="1548"/>
      <c r="E40" s="180">
        <v>17</v>
      </c>
      <c r="F40" s="175" cm="1" t="str">
        <f t="array" ref="F40:F40">F39</f>
        <v>1</v>
      </c>
      <c r="G40" s="1659"/>
      <c r="H40" s="1659"/>
      <c r="I40" s="1659"/>
      <c r="J40" s="1659"/>
      <c r="K40" s="1659"/>
      <c r="L40" s="1659"/>
      <c r="M40" s="1659"/>
      <c r="N40" s="1659"/>
      <c r="O40" s="1659"/>
      <c r="P40" s="1659"/>
      <c r="Q40" s="1659"/>
      <c r="R40" s="1659"/>
      <c r="S40" s="1659"/>
      <c r="T40" s="753" cm="1" t="str">
        <f t="array" ref="T40:T40">T39</f>
        <v>true</v>
      </c>
      <c r="U40" s="1548"/>
      <c r="V40" s="1548"/>
      <c r="W40" s="1548"/>
      <c r="X40" s="1548"/>
      <c r="Y40" s="1548"/>
      <c r="Z40" s="1548"/>
      <c r="AA40" s="1727"/>
      <c r="AB40" s="327">
        <v>2</v>
      </c>
      <c r="AC40" s="427" t="s">
        <v>1532</v>
      </c>
      <c r="AD40" s="327" t="s">
        <v>495</v>
      </c>
      <c r="AE40" s="674">
        <f>_xlfn.SUMIFS(Сценарии!AE$25:AE$87,Сценарии!$F$25:$F$87,$F40,Сценарии!$AC$25:$AC$87,"Индекс потребительских цен")</f>
        <v>5</v>
      </c>
      <c r="AF40" s="674">
        <f>_xlfn.SUMIFS(Сценарии!AF$25:AF$87,Сценарии!$F$25:$F$87,$F40,Сценарии!$AC$25:$AC$87,"Индекс потребительских цен")</f>
        <v>0</v>
      </c>
      <c r="AG40" s="674">
        <f>_xlfn.SUMIFS(Сценарии!AG$25:AG$87,Сценарии!$F$25:$F$87,$F40,Сценарии!$AC$25:$AC$87,"Индекс потребительских цен")</f>
        <v>0</v>
      </c>
      <c r="AH40" s="674">
        <f>_xlfn.SUMIFS(Сценарии!AH$25:AH$87,Сценарии!$F$25:$F$87,$F40,Сценарии!$AC$25:$AC$87,"Индекс потребительских цен")</f>
        <v>0</v>
      </c>
      <c r="AI40" s="674">
        <f>_xlfn.SUMIFS(Сценарии!AI$25:AI$87,Сценарии!$F$25:$F$87,$F40,Сценарии!$AC$25:$AC$87,"Индекс потребительских цен")</f>
        <v>0</v>
      </c>
      <c r="AJ40" s="674">
        <f>_xlfn.SUMIFS(Сценарии!AJ$25:AJ$87,Сценарии!$F$25:$F$87,$F40,Сценарии!$AC$25:$AC$87,"Индекс потребительских цен")</f>
        <v>0</v>
      </c>
      <c r="AK40" s="674">
        <f>_xlfn.SUMIFS(Сценарии!AK$25:AK$87,Сценарии!$F$25:$F$87,$F40,Сценарии!$AC$25:$AC$87,"Индекс потребительских цен")</f>
        <v>0</v>
      </c>
      <c r="AL40" s="674">
        <f>_xlfn.SUMIFS(Сценарии!AL$25:AL$87,Сценарии!$F$25:$F$87,$F40,Сценарии!$AC$25:$AC$87,"Индекс потребительских цен")</f>
        <v>0</v>
      </c>
      <c r="AM40" s="674">
        <f>_xlfn.SUMIFS(Сценарии!AM$25:AM$87,Сценарии!$F$25:$F$87,$F40,Сценарии!$AC$25:$AC$87,"Индекс потребительских цен")</f>
        <v>0</v>
      </c>
      <c r="AN40" s="674">
        <f>_xlfn.SUMIFS(Сценарии!AN$25:AN$87,Сценарии!$F$25:$F$87,$F40,Сценарии!$AC$25:$AC$87,"Индекс потребительских цен")</f>
        <v>0</v>
      </c>
      <c r="AO40" s="674">
        <f>_xlfn.SUMIFS(Сценарии!AO$25:AO$87,Сценарии!$F$25:$F$87,$F40,Сценарии!$AC$25:$AC$87,"Индекс потребительских цен")</f>
        <v>0</v>
      </c>
      <c r="AP40" s="674">
        <f>_xlfn.SUMIFS(Сценарии!AP$25:AP$87,Сценарии!$F$25:$F$87,$F40,Сценарии!$AC$25:$AC$87,"Индекс потребительских цен")</f>
        <v>0</v>
      </c>
      <c r="AQ40" s="674">
        <f>_xlfn.SUMIFS(Сценарии!AQ$25:AQ$87,Сценарии!$F$25:$F$87,$F40,Сценарии!$AC$25:$AC$87,"Индекс потребительских цен")</f>
        <v>0</v>
      </c>
      <c r="AR40" s="674">
        <f>_xlfn.SUMIFS(Сценарии!AR$25:AR$87,Сценарии!$F$25:$F$87,$F40,Сценарии!$AC$25:$AC$87,"Индекс потребительских цен")</f>
        <v>0</v>
      </c>
      <c r="AS40" s="674">
        <f>_xlfn.SUMIFS(Сценарии!AS$25:AS$87,Сценарии!$F$25:$F$87,$F40,Сценарии!$AC$25:$AC$87,"Индекс потребительских цен")</f>
        <v>0</v>
      </c>
      <c r="AT40" s="674">
        <f>_xlfn.SUMIFS(Сценарии!AT$25:AT$87,Сценарии!$F$25:$F$87,$F40,Сценарии!$AC$25:$AC$87,"Индекс потребительских цен")</f>
        <v>0</v>
      </c>
      <c r="AU40" s="674">
        <f>_xlfn.SUMIFS(Сценарии!AU$25:AU$87,Сценарии!$F$25:$F$87,$F40,Сценарии!$AC$25:$AC$87,"Индекс потребительских цен")</f>
        <v>0</v>
      </c>
      <c r="AV40" s="674">
        <f>_xlfn.SUMIFS(Сценарии!AV$25:AV$87,Сценарии!$F$25:$F$87,$F40,Сценарии!$AC$25:$AC$87,"Индекс потребительских цен")</f>
        <v>0</v>
      </c>
      <c r="AW40" s="674">
        <f>_xlfn.SUMIFS(Сценарии!AW$25:AW$87,Сценарии!$F$25:$F$87,$F40,Сценарии!$AC$25:$AC$87,"Индекс потребительских цен")</f>
        <v>0</v>
      </c>
      <c r="AX40" s="674">
        <f>_xlfn.SUMIFS(Сценарии!AX$25:AX$87,Сценарии!$F$25:$F$87,$F40,Сценарии!$AC$25:$AC$87,"Индекс потребительских цен")</f>
        <v>0</v>
      </c>
      <c r="AY40" s="674">
        <f>_xlfn.SUMIFS(Сценарии!AY$25:AY$87,Сценарии!$F$25:$F$87,$F40,Сценарии!$AC$25:$AC$87,"Индекс потребительских цен")</f>
        <v>5</v>
      </c>
      <c r="AZ40" s="674">
        <f>_xlfn.SUMIFS(Сценарии!AZ$25:AZ$87,Сценарии!$F$25:$F$87,$F40,Сценарии!$AC$25:$AC$87,"Индекс потребительских цен")</f>
        <v>0</v>
      </c>
      <c r="BA40" s="674">
        <f>_xlfn.SUMIFS(Сценарии!BA$25:BA$87,Сценарии!$F$25:$F$87,$F40,Сценарии!$AC$25:$AC$87,"Индекс потребительских цен")</f>
        <v>0</v>
      </c>
      <c r="BB40" s="674">
        <f>_xlfn.SUMIFS(Сценарии!BB$25:BB$87,Сценарии!$F$25:$F$87,$F40,Сценарии!$AC$25:$AC$87,"Индекс потребительских цен")</f>
        <v>0</v>
      </c>
      <c r="BC40" s="674">
        <f>_xlfn.SUMIFS(Сценарии!BC$25:BC$87,Сценарии!$F$25:$F$87,$F40,Сценарии!$AC$25:$AC$87,"Индекс потребительских цен")</f>
        <v>0</v>
      </c>
      <c r="BD40" s="674">
        <f>_xlfn.SUMIFS(Сценарии!BD$25:BD$87,Сценарии!$F$25:$F$87,$F40,Сценарии!$AC$25:$AC$87,"Индекс потребительских цен")</f>
        <v>0</v>
      </c>
      <c r="BE40" s="674">
        <f>_xlfn.SUMIFS(Сценарии!BE$25:BE$87,Сценарии!$F$25:$F$87,$F40,Сценарии!$AC$25:$AC$87,"Индекс потребительских цен")</f>
        <v>0</v>
      </c>
      <c r="BF40" s="674">
        <f>_xlfn.SUMIFS(Сценарии!BF$25:BF$87,Сценарии!$F$25:$F$87,$F40,Сценарии!$AC$25:$AC$87,"Индекс потребительских цен")</f>
        <v>0</v>
      </c>
      <c r="BG40" s="674">
        <f>_xlfn.SUMIFS(Сценарии!BG$25:BG$87,Сценарии!$F$25:$F$87,$F40,Сценарии!$AC$25:$AC$87,"Индекс потребительских цен")</f>
        <v>0</v>
      </c>
      <c r="BH40" s="674">
        <f>_xlfn.SUMIFS(Сценарии!BH$25:BH$87,Сценарии!$F$25:$F$87,$F40,Сценарии!$AC$25:$AC$87,"Индекс потребительских цен")</f>
        <v>0</v>
      </c>
      <c r="BI40" s="674">
        <f>_xlfn.SUMIFS(Сценарии!BI$25:BI$87,Сценарии!$F$25:$F$87,$F40,Сценарии!$AC$25:$AC$87,"Индекс потребительских цен")</f>
        <v>0</v>
      </c>
      <c r="BJ40" s="674">
        <f>_xlfn.SUMIFS(Сценарии!BJ$25:BJ$87,Сценарии!$F$25:$F$87,$F40,Сценарии!$AC$25:$AC$87,"Индекс потребительских цен")</f>
        <v>0</v>
      </c>
      <c r="BK40" s="674">
        <f>_xlfn.SUMIFS(Сценарии!BK$25:BK$87,Сценарии!$F$25:$F$87,$F40,Сценарии!$AC$25:$AC$87,"Индекс потребительских цен")</f>
        <v>0</v>
      </c>
      <c r="BL40" s="674">
        <f>_xlfn.SUMIFS(Сценарии!BL$25:BL$87,Сценарии!$F$25:$F$87,$F40,Сценарии!$AC$25:$AC$87,"Индекс потребительских цен")</f>
        <v>0</v>
      </c>
      <c r="BM40" s="674">
        <f>_xlfn.SUMIFS(Сценарии!BM$25:BM$87,Сценарии!$F$25:$F$87,$F40,Сценарии!$AC$25:$AC$87,"Индекс потребительских цен")</f>
        <v>0</v>
      </c>
      <c r="BN40" s="674">
        <f>_xlfn.SUMIFS(Сценарии!BN$25:BN$87,Сценарии!$F$25:$F$87,$F40,Сценарии!$AC$25:$AC$87,"Индекс потребительских цен")</f>
        <v>0</v>
      </c>
      <c r="BO40" s="674">
        <f>_xlfn.SUMIFS(Сценарии!BO$25:BO$87,Сценарии!$F$25:$F$87,$F40,Сценарии!$AC$25:$AC$87,"Индекс потребительских цен")</f>
        <v>0</v>
      </c>
      <c r="BP40" s="674">
        <f>_xlfn.SUMIFS(Сценарии!BP$25:BP$87,Сценарии!$F$25:$F$87,$F40,Сценарии!$AC$25:$AC$87,"Индекс потребительских цен")</f>
        <v>0</v>
      </c>
      <c r="BQ40" s="674">
        <f>_xlfn.SUMIFS(Сценарии!BQ$25:BQ$87,Сценарии!$F$25:$F$87,$F40,Сценарии!$AC$25:$AC$87,"Индекс потребительских цен")</f>
        <v>0</v>
      </c>
      <c r="BR40" s="674">
        <f>_xlfn.SUMIFS(Сценарии!BR$25:BR$87,Сценарии!$F$25:$F$87,$F40,Сценарии!$AC$25:$AC$87,"Индекс потребительских цен")</f>
        <v>0</v>
      </c>
      <c r="BS40" s="1897"/>
      <c r="BT40" s="1727"/>
      <c r="BU40" s="969"/>
      <c r="BV40" s="975" t="s">
        <v>513</v>
      </c>
      <c r="BW40" s="1506"/>
      <c r="BX40" s="1506"/>
      <c r="BY40" s="0" cm="1" t="str">
        <f t="array" ref="BY40:BY40">BY39</f>
        <v>ТЭ.42.31656254.0001</v>
      </c>
      <c r="BZ40" s="1751"/>
      <c r="CA40" s="1751"/>
      <c r="CB40" s="1751"/>
      <c r="CC40" s="1751"/>
      <c r="CD40" s="0" t="s">
        <v>219</v>
      </c>
      <c r="CE40" s="0" t="s">
        <v>303</v>
      </c>
      <c r="CF40" s="0" t="s">
        <v>514</v>
      </c>
      <c r="CG40" s="0" t="s">
        <v>515</v>
      </c>
    </row>
    <row s="1751" customFormat="1" customHeight="1" ht="16.5">
      <c r="A41" s="371"/>
      <c r="B41" s="1548"/>
      <c r="C41" s="1548"/>
      <c r="D41" s="1548"/>
      <c r="E41" s="180">
        <v>17</v>
      </c>
      <c r="F41" s="175" cm="1" t="str">
        <f t="array" ref="F41:F41">F40</f>
        <v>1</v>
      </c>
      <c r="G41" s="1659"/>
      <c r="H41" s="1659"/>
      <c r="I41" s="1659"/>
      <c r="J41" s="1659"/>
      <c r="K41" s="1659"/>
      <c r="L41" s="1659"/>
      <c r="M41" s="1659"/>
      <c r="N41" s="1659"/>
      <c r="O41" s="1659"/>
      <c r="P41" s="1659"/>
      <c r="Q41" s="1659"/>
      <c r="R41" s="1659"/>
      <c r="S41" s="1659"/>
      <c r="T41" s="753" cm="1" t="str">
        <f t="array" ref="T41:T41">T40</f>
        <v>true</v>
      </c>
      <c r="U41" s="1548"/>
      <c r="V41" s="1548"/>
      <c r="W41" s="1548"/>
      <c r="X41" s="1548"/>
      <c r="Y41" s="1548"/>
      <c r="Z41" s="1548"/>
      <c r="AA41" s="1727"/>
      <c r="AB41" s="675">
        <v>3</v>
      </c>
      <c r="AC41" s="427" t="s">
        <v>1533</v>
      </c>
      <c r="AD41" s="327"/>
      <c r="AE41" s="676">
        <f>1+AE40%</f>
        <v>1.05</v>
      </c>
      <c r="AF41" s="2331">
        <f>IF(first_year&lt;god,1,AE41*(1+AF40%))</f>
        <v>1</v>
      </c>
      <c r="AG41" s="2331">
        <f>IF(first_year&lt;god,1,AF41*(1+AG40%))</f>
        <v>1</v>
      </c>
      <c r="AH41" s="2331">
        <f>IF(first_year&lt;god,1,AG41*(1+AH40%))</f>
        <v>1</v>
      </c>
      <c r="AI41" s="2331">
        <f>IF(first_year&lt;god,1,AH41*(1+AI40%))</f>
        <v>1</v>
      </c>
      <c r="AJ41" s="2331">
        <f>IF(first_year&lt;god,1,AI41*(1+AJ40%))</f>
        <v>1</v>
      </c>
      <c r="AK41" s="2331">
        <f>IF(first_year&lt;god,1,AJ41*(1+AK40%))</f>
        <v>1</v>
      </c>
      <c r="AL41" s="2331">
        <f>IF(first_year&lt;god,1,AK41*(1+AL40%))</f>
        <v>1</v>
      </c>
      <c r="AM41" s="2331">
        <f>IF(first_year&lt;god,1,AL41*(1+AM40%))</f>
        <v>1</v>
      </c>
      <c r="AN41" s="2331">
        <f>IF(first_year&lt;god,1,AM41*(1+AN40%))</f>
        <v>1</v>
      </c>
      <c r="AO41" s="2331">
        <f>IF(first_year&lt;god,1,AN41*(1+AO40%))</f>
        <v>1</v>
      </c>
      <c r="AP41" s="2331">
        <f>IF(first_year&lt;god,1,AO41*(1+AP40%))</f>
        <v>1</v>
      </c>
      <c r="AQ41" s="2331">
        <f>IF(first_year&lt;god,1,AP41*(1+AQ40%))</f>
        <v>1</v>
      </c>
      <c r="AR41" s="2331">
        <f>IF(first_year&lt;god,1,AQ41*(1+AR40%))</f>
        <v>1</v>
      </c>
      <c r="AS41" s="2331">
        <f>IF(first_year&lt;god,1,AR41*(1+AS40%))</f>
        <v>1</v>
      </c>
      <c r="AT41" s="2331">
        <f>IF(first_year&lt;god,1,AS41*(1+AT40%))</f>
        <v>1</v>
      </c>
      <c r="AU41" s="2331">
        <f>IF(first_year&lt;god,1,AT41*(1+AU40%))</f>
        <v>1</v>
      </c>
      <c r="AV41" s="2331">
        <f>IF(first_year&lt;god,1,AU41*(1+AV40%))</f>
        <v>1</v>
      </c>
      <c r="AW41" s="2331">
        <f>IF(first_year&lt;god,1,AV41*(1+AW40%))</f>
        <v>1</v>
      </c>
      <c r="AX41" s="2331">
        <f>IF(first_year&lt;god,1,AW41*(1+AX40%))</f>
        <v>1</v>
      </c>
      <c r="AY41" s="676">
        <f>1+AY40%</f>
        <v>1.05</v>
      </c>
      <c r="AZ41" s="2331">
        <f>IF(first_year&lt;god,1,AY41*(1+AZ40%))</f>
        <v>1</v>
      </c>
      <c r="BA41" s="2331">
        <f>IF(first_year&lt;god,1,AZ41*(1+BA40%))</f>
        <v>1</v>
      </c>
      <c r="BB41" s="2331">
        <f>IF(first_year&lt;god,1,BA41*(1+BB40%))</f>
        <v>1</v>
      </c>
      <c r="BC41" s="2331">
        <f>IF(first_year&lt;god,1,BB41*(1+BC40%))</f>
        <v>1</v>
      </c>
      <c r="BD41" s="2331">
        <f>IF(first_year&lt;god,1,BC41*(1+BD40%))</f>
        <v>1</v>
      </c>
      <c r="BE41" s="2331">
        <f>IF(first_year&lt;god,1,BD41*(1+BE40%))</f>
        <v>1</v>
      </c>
      <c r="BF41" s="2331">
        <f>IF(first_year&lt;god,1,BE41*(1+BF40%))</f>
        <v>1</v>
      </c>
      <c r="BG41" s="2331">
        <f>IF(first_year&lt;god,1,BF41*(1+BG40%))</f>
        <v>1</v>
      </c>
      <c r="BH41" s="2331">
        <f>IF(first_year&lt;god,1,BG41*(1+BH40%))</f>
        <v>1</v>
      </c>
      <c r="BI41" s="2331">
        <f>IF(first_year&lt;god,1,BH41*(1+BI40%))</f>
        <v>1</v>
      </c>
      <c r="BJ41" s="2331">
        <f>IF(first_year&lt;god,1,BI41*(1+BJ40%))</f>
        <v>1</v>
      </c>
      <c r="BK41" s="2331">
        <f>IF(first_year&lt;god,1,BJ41*(1+BK40%))</f>
        <v>1</v>
      </c>
      <c r="BL41" s="2331">
        <f>IF(first_year&lt;god,1,BK41*(1+BL40%))</f>
        <v>1</v>
      </c>
      <c r="BM41" s="2331">
        <f>IF(first_year&lt;god,1,BL41*(1+BM40%))</f>
        <v>1</v>
      </c>
      <c r="BN41" s="2331">
        <f>IF(first_year&lt;god,1,BM41*(1+BN40%))</f>
        <v>1</v>
      </c>
      <c r="BO41" s="2331">
        <f>IF(first_year&lt;god,1,BN41*(1+BO40%))</f>
        <v>1</v>
      </c>
      <c r="BP41" s="2331">
        <f>IF(first_year&lt;god,1,BO41*(1+BP40%))</f>
        <v>1</v>
      </c>
      <c r="BQ41" s="2331">
        <f>IF(first_year&lt;god,1,BP41*(1+BQ40%))</f>
        <v>1</v>
      </c>
      <c r="BR41" s="2331">
        <f>IF(first_year&lt;god,1,BQ41*(1+BR40%))</f>
        <v>1</v>
      </c>
      <c r="BS41" s="1897"/>
      <c r="BT41" s="1727"/>
      <c r="BU41" s="969"/>
      <c r="BV41" s="975" t="s">
        <v>1534</v>
      </c>
      <c r="BW41" s="1506"/>
      <c r="BX41" s="1506"/>
      <c r="BY41" s="0" cm="1" t="str">
        <f t="array" ref="BY41:BY41">BY40</f>
        <v>ТЭ.42.31656254.0001</v>
      </c>
      <c r="BZ41" s="1751"/>
      <c r="CA41" s="1751"/>
      <c r="CB41" s="1751"/>
      <c r="CC41" s="1751"/>
      <c r="CD41" s="0" t="s">
        <v>255</v>
      </c>
      <c r="CE41" s="0" t="s">
        <v>303</v>
      </c>
      <c r="CF41" s="0" t="s">
        <v>1535</v>
      </c>
      <c r="CG41" s="0" t="s">
        <v>1536</v>
      </c>
    </row>
    <row s="986" customFormat="1" customHeight="1" ht="16.5">
      <c r="A42" s="986"/>
      <c r="B42" s="986"/>
      <c r="C42" s="986"/>
      <c r="D42" s="986"/>
      <c r="E42" s="180">
        <v>17</v>
      </c>
      <c r="F42" s="175" cm="1" t="str">
        <f t="array" ref="F42:F42">F41</f>
        <v>1</v>
      </c>
      <c r="G42" s="193" t="s">
        <v>1537</v>
      </c>
      <c r="H42" s="986"/>
      <c r="I42" s="986"/>
      <c r="J42" s="986"/>
      <c r="K42" s="986"/>
      <c r="L42" s="986"/>
      <c r="M42" s="986"/>
      <c r="N42" s="986"/>
      <c r="O42" s="986"/>
      <c r="P42" s="986"/>
      <c r="Q42" s="986"/>
      <c r="R42" s="986"/>
      <c r="S42" s="986"/>
      <c r="T42" s="753" cm="1" t="str">
        <f t="array" ref="T42:T42">T41</f>
        <v>true</v>
      </c>
      <c r="U42" s="986"/>
      <c r="V42" s="986"/>
      <c r="W42" s="986"/>
      <c r="X42" s="986"/>
      <c r="Y42" s="986"/>
      <c r="Z42" s="986"/>
      <c r="AA42" s="986"/>
      <c r="AB42" s="436">
        <v>4</v>
      </c>
      <c r="AC42" s="437" t="s">
        <v>1538</v>
      </c>
      <c r="AD42" s="436" t="s">
        <v>917</v>
      </c>
      <c r="AE42" s="664">
        <f>AE36*AE41</f>
        <v>0</v>
      </c>
      <c r="AF42" s="664">
        <f>AF36*AF41</f>
        <v>0</v>
      </c>
      <c r="AG42" s="664">
        <f>AG36*AG41</f>
        <v>0</v>
      </c>
      <c r="AH42" s="664">
        <f>AH36*AH41</f>
        <v>0</v>
      </c>
      <c r="AI42" s="664">
        <f>AI36*AI41</f>
        <v>0</v>
      </c>
      <c r="AJ42" s="664">
        <f>AJ36*AJ41</f>
        <v>0</v>
      </c>
      <c r="AK42" s="664">
        <f>AK36*AK41</f>
        <v>0</v>
      </c>
      <c r="AL42" s="664">
        <f>AL36*AL41</f>
        <v>0</v>
      </c>
      <c r="AM42" s="664">
        <f>AM36*AM41</f>
        <v>0</v>
      </c>
      <c r="AN42" s="664">
        <f>AN36*AN41</f>
        <v>0</v>
      </c>
      <c r="AO42" s="664">
        <f>AO36*AO41</f>
        <v>0</v>
      </c>
      <c r="AP42" s="664">
        <f>AP36*AP41</f>
        <v>0</v>
      </c>
      <c r="AQ42" s="664">
        <f>AQ36*AQ41</f>
        <v>0</v>
      </c>
      <c r="AR42" s="664">
        <f>AR36*AR41</f>
        <v>0</v>
      </c>
      <c r="AS42" s="664">
        <f>AS36*AS41</f>
        <v>0</v>
      </c>
      <c r="AT42" s="664">
        <f>AT36*AT41</f>
        <v>0</v>
      </c>
      <c r="AU42" s="664">
        <f>AU36*AU41</f>
        <v>0</v>
      </c>
      <c r="AV42" s="664">
        <f>AV36*AV41</f>
        <v>0</v>
      </c>
      <c r="AW42" s="664">
        <f>AW36*AW41</f>
        <v>0</v>
      </c>
      <c r="AX42" s="664">
        <f>AX36*AX41</f>
        <v>0</v>
      </c>
      <c r="AY42" s="664">
        <f>AY36*AY41</f>
        <v>0</v>
      </c>
      <c r="AZ42" s="664">
        <f>AZ36*AZ41</f>
        <v>0</v>
      </c>
      <c r="BA42" s="664">
        <f>BA36*BA41</f>
        <v>0</v>
      </c>
      <c r="BB42" s="664">
        <f>BB36*BB41</f>
        <v>0</v>
      </c>
      <c r="BC42" s="664">
        <f>BC36*BC41</f>
        <v>0</v>
      </c>
      <c r="BD42" s="664">
        <f>BD36*BD41</f>
        <v>0</v>
      </c>
      <c r="BE42" s="664">
        <f>BE36*BE41</f>
        <v>0</v>
      </c>
      <c r="BF42" s="664">
        <f>BF36*BF41</f>
        <v>0</v>
      </c>
      <c r="BG42" s="664">
        <f>BG36*BG41</f>
        <v>0</v>
      </c>
      <c r="BH42" s="664">
        <f>BH36*BH41</f>
        <v>0</v>
      </c>
      <c r="BI42" s="664">
        <f>BI36*BI41</f>
        <v>0</v>
      </c>
      <c r="BJ42" s="664">
        <f>BJ36*BJ41</f>
        <v>0</v>
      </c>
      <c r="BK42" s="664">
        <f>BK36*BK41</f>
        <v>0</v>
      </c>
      <c r="BL42" s="664">
        <f>BL36*BL41</f>
        <v>0</v>
      </c>
      <c r="BM42" s="664">
        <f>BM36*BM41</f>
        <v>0</v>
      </c>
      <c r="BN42" s="664">
        <f>BN36*BN41</f>
        <v>0</v>
      </c>
      <c r="BO42" s="664">
        <f>BO36*BO41</f>
        <v>0</v>
      </c>
      <c r="BP42" s="664">
        <f>BP36*BP41</f>
        <v>0</v>
      </c>
      <c r="BQ42" s="664">
        <f>BQ36*BQ41</f>
        <v>0</v>
      </c>
      <c r="BR42" s="664">
        <f>BR36*BR41</f>
        <v>0</v>
      </c>
      <c r="BS42" s="1897"/>
      <c r="BT42" s="986"/>
      <c r="BU42" s="986"/>
      <c r="BV42" s="975" t="s">
        <v>1539</v>
      </c>
      <c r="BW42" s="986"/>
      <c r="BX42" s="986"/>
      <c r="BY42" s="0" cm="1" t="str">
        <f t="array" ref="BY42:BY42">BY41</f>
        <v>ТЭ.42.31656254.0001</v>
      </c>
      <c r="BZ42" s="986"/>
      <c r="CA42" s="986"/>
      <c r="CB42" s="986"/>
      <c r="CC42" s="986"/>
      <c r="CD42" s="0" t="s">
        <v>449</v>
      </c>
      <c r="CE42" s="0" t="s">
        <v>303</v>
      </c>
      <c r="CF42" s="0" t="s">
        <v>1540</v>
      </c>
      <c r="CG42" s="0" t="s">
        <v>1541</v>
      </c>
    </row>
    <row customHeight="1" ht="10.725000000000001">
      <c r="E43" s="180">
        <v>11</v>
      </c>
      <c r="U43" s="175" t="s">
        <v>191</v>
      </c>
      <c r="V43" s="176" t="s">
        <v>1542</v>
      </c>
      <c r="AE43" s="1727"/>
      <c r="AF43" s="1727"/>
      <c r="AG43" s="1727"/>
      <c r="AH43" s="1727"/>
      <c r="AI43" s="1727"/>
      <c r="AJ43" s="1727"/>
      <c r="AK43" s="1727"/>
      <c r="AL43" s="1727"/>
      <c r="AM43" s="1727"/>
      <c r="AN43" s="1727"/>
      <c r="AO43" s="1727"/>
      <c r="AP43" s="1727"/>
      <c r="AQ43" s="1727"/>
      <c r="AR43" s="1727"/>
      <c r="AS43" s="1727"/>
      <c r="AT43" s="1727"/>
      <c r="AU43" s="1727"/>
      <c r="AV43" s="1727"/>
      <c r="AW43" s="1727"/>
      <c r="AX43" s="1727"/>
      <c r="AY43" s="1727"/>
      <c r="AZ43" s="1727"/>
      <c r="BA43" s="1727"/>
      <c r="BB43" s="1727"/>
      <c r="BC43" s="1727"/>
      <c r="BD43" s="1727"/>
      <c r="BE43" s="1727"/>
      <c r="BF43" s="1727"/>
      <c r="BG43" s="1727"/>
      <c r="BH43" s="1727"/>
      <c r="BI43" s="1727"/>
      <c r="BJ43" s="1727"/>
      <c r="BK43" s="1727"/>
      <c r="BL43" s="1727"/>
      <c r="BM43" s="1727"/>
      <c r="BN43" s="1727"/>
      <c r="BO43" s="1727"/>
      <c r="BP43" s="1727"/>
      <c r="BQ43" s="1727"/>
      <c r="BR43" s="1727"/>
    </row>
    <row customHeight="1" ht="11.25" hidden="1">
      <c r="E44" s="965">
        <v>0</v>
      </c>
      <c r="AE44" s="1727"/>
      <c r="AF44" s="1727"/>
      <c r="AG44" s="1727"/>
      <c r="AH44" s="1727"/>
      <c r="AI44" s="1727"/>
      <c r="AJ44" s="1727"/>
      <c r="AK44" s="1727"/>
      <c r="AL44" s="1727"/>
      <c r="AM44" s="1727"/>
      <c r="AN44" s="1727"/>
      <c r="AO44" s="1727"/>
      <c r="AP44" s="1727"/>
      <c r="AQ44" s="1727"/>
      <c r="AR44" s="1727"/>
      <c r="AS44" s="1727"/>
      <c r="AT44" s="1727"/>
      <c r="AU44" s="1727"/>
      <c r="AV44" s="1727"/>
      <c r="AW44" s="1727"/>
      <c r="AX44" s="1727"/>
      <c r="AY44" s="1727"/>
      <c r="AZ44" s="1727"/>
      <c r="BA44" s="1727"/>
      <c r="BB44" s="1727"/>
      <c r="BC44" s="1727"/>
      <c r="BD44" s="1727"/>
      <c r="BE44" s="1727"/>
      <c r="BF44" s="1727"/>
      <c r="BG44" s="1727"/>
      <c r="BH44" s="1727"/>
      <c r="BI44" s="1727"/>
      <c r="BJ44" s="1727"/>
      <c r="BK44" s="1727"/>
      <c r="BL44" s="1727"/>
      <c r="BM44" s="1727"/>
      <c r="BN44" s="1727"/>
      <c r="BO44" s="1727"/>
      <c r="BP44" s="1727"/>
      <c r="BQ44" s="1727"/>
      <c r="BR44" s="1727"/>
    </row>
    <row customHeight="1" ht="14.625">
      <c r="E45" s="180">
        <v>15</v>
      </c>
      <c r="AB45" s="1653" t="s">
        <v>765</v>
      </c>
      <c r="AC45" s="1653"/>
      <c r="AD45" s="1653"/>
      <c r="AE45" s="1653"/>
      <c r="AF45" s="1653"/>
      <c r="AG45" s="1653"/>
      <c r="AH45" s="1653"/>
      <c r="AI45" s="1653"/>
      <c r="AJ45" s="1653"/>
      <c r="AK45" s="1653"/>
      <c r="AL45" s="1653"/>
      <c r="AM45" s="1653"/>
      <c r="AN45" s="1653"/>
      <c r="AO45" s="1653"/>
      <c r="AP45" s="1653"/>
      <c r="AQ45" s="1653"/>
      <c r="AR45" s="1653"/>
      <c r="AS45" s="1653"/>
      <c r="AT45" s="1653"/>
      <c r="AU45" s="1653"/>
      <c r="AV45" s="1653"/>
      <c r="AW45" s="1653"/>
      <c r="AX45" s="1653"/>
      <c r="AY45" s="1653"/>
      <c r="AZ45" s="1653"/>
      <c r="BA45" s="1653"/>
      <c r="BB45" s="1653"/>
      <c r="BC45" s="1653"/>
      <c r="BD45" s="1653"/>
      <c r="BE45" s="1653"/>
      <c r="BF45" s="1653"/>
      <c r="BG45" s="1653"/>
      <c r="BH45" s="1653"/>
      <c r="BI45" s="1653"/>
      <c r="BJ45" s="1653"/>
      <c r="BK45" s="1653"/>
      <c r="BL45" s="1653"/>
      <c r="BM45" s="1653"/>
      <c r="BN45" s="1653"/>
      <c r="BO45" s="1653"/>
      <c r="BP45" s="1653"/>
      <c r="BQ45" s="1653"/>
      <c r="BR45" s="1654"/>
      <c r="BS45" s="1654"/>
    </row>
    <row customHeight="1" ht="14.625">
      <c r="E46" s="180">
        <v>15</v>
      </c>
      <c r="AA46" s="477"/>
      <c r="AB46" s="1675"/>
      <c r="AC46" s="1676"/>
      <c r="AD46" s="1676"/>
      <c r="AE46" s="1676"/>
      <c r="AF46" s="1676"/>
      <c r="AG46" s="1676"/>
      <c r="AH46" s="1676"/>
      <c r="AI46" s="1676"/>
      <c r="AJ46" s="1676"/>
      <c r="AK46" s="1676"/>
      <c r="AL46" s="1676"/>
      <c r="AM46" s="1676"/>
      <c r="AN46" s="1676"/>
      <c r="AO46" s="1676"/>
      <c r="AP46" s="1676"/>
      <c r="AQ46" s="1676"/>
      <c r="AR46" s="1676"/>
      <c r="AS46" s="1676"/>
      <c r="AT46" s="1676"/>
      <c r="AU46" s="1676"/>
      <c r="AV46" s="1676"/>
      <c r="AW46" s="1676"/>
      <c r="AX46" s="1676"/>
      <c r="AY46" s="1676"/>
      <c r="AZ46" s="1676"/>
      <c r="BA46" s="1676"/>
      <c r="BB46" s="1676"/>
      <c r="BC46" s="1676"/>
      <c r="BD46" s="1676"/>
      <c r="BE46" s="1676"/>
      <c r="BF46" s="1676"/>
      <c r="BG46" s="1676"/>
      <c r="BH46" s="1676"/>
      <c r="BI46" s="1676"/>
      <c r="BJ46" s="1676"/>
      <c r="BK46" s="1676"/>
      <c r="BL46" s="1676"/>
      <c r="BM46" s="1676"/>
      <c r="BN46" s="1676"/>
      <c r="BO46" s="1676"/>
      <c r="BP46" s="1676"/>
      <c r="BQ46" s="1676"/>
      <c r="BR46" s="1677"/>
      <c r="BS46" s="1677"/>
    </row>
    <row customHeight="1" ht="14.625" hidden="1">
      <c r="A47" s="371"/>
      <c r="B47" s="1548"/>
      <c r="C47" s="1548"/>
      <c r="D47" s="1548"/>
      <c r="E47" s="180">
        <v>15</v>
      </c>
      <c r="F47" s="1548"/>
      <c r="G47" s="1659"/>
      <c r="H47" s="1659"/>
      <c r="I47" s="1659"/>
      <c r="J47" s="1659"/>
      <c r="K47" s="1659"/>
      <c r="L47" s="1659"/>
      <c r="M47" s="1659"/>
      <c r="N47" s="1659"/>
      <c r="O47" s="1659"/>
      <c r="P47" s="1659"/>
      <c r="Q47" s="1659"/>
      <c r="R47" s="1659"/>
      <c r="S47" s="1659"/>
      <c r="T47" s="753">
        <f>ROW(W47)&gt;ROW(W$47)</f>
        <v>0</v>
      </c>
      <c r="U47" s="1548"/>
      <c r="V47" s="1548"/>
      <c r="W47" s="175" t="s">
        <v>189</v>
      </c>
      <c r="X47" s="1548"/>
      <c r="Y47" s="1548"/>
      <c r="Z47" s="1548"/>
      <c r="AA47" s="477" t="s">
        <v>171</v>
      </c>
      <c r="AB47" s="2334"/>
      <c r="AC47" s="1676"/>
      <c r="AD47" s="1676"/>
      <c r="AE47" s="1676"/>
      <c r="AF47" s="1676"/>
      <c r="AG47" s="1676"/>
      <c r="AH47" s="1676"/>
      <c r="AI47" s="1676"/>
      <c r="AJ47" s="1676"/>
      <c r="AK47" s="1676"/>
      <c r="AL47" s="1676"/>
      <c r="AM47" s="1676"/>
      <c r="AN47" s="1676"/>
      <c r="AO47" s="1676"/>
      <c r="AP47" s="1676"/>
      <c r="AQ47" s="1676"/>
      <c r="AR47" s="1676"/>
      <c r="AS47" s="1676"/>
      <c r="AT47" s="1676"/>
      <c r="AU47" s="1676"/>
      <c r="AV47" s="1676"/>
      <c r="AW47" s="1676"/>
      <c r="AX47" s="1676"/>
      <c r="AY47" s="1676"/>
      <c r="AZ47" s="1676"/>
      <c r="BA47" s="1676"/>
      <c r="BB47" s="1676"/>
      <c r="BC47" s="1676"/>
      <c r="BD47" s="1676"/>
      <c r="BE47" s="1676"/>
      <c r="BF47" s="1676"/>
      <c r="BG47" s="1676"/>
      <c r="BH47" s="1676"/>
      <c r="BI47" s="1676"/>
      <c r="BJ47" s="1676"/>
      <c r="BK47" s="1676"/>
      <c r="BL47" s="1676"/>
      <c r="BM47" s="1676"/>
      <c r="BN47" s="1676"/>
      <c r="BO47" s="1676"/>
      <c r="BP47" s="1676"/>
      <c r="BQ47" s="1676"/>
      <c r="BR47" s="1677"/>
      <c r="BS47" s="1677"/>
      <c r="BT47" s="1727"/>
      <c r="BU47" s="969"/>
      <c r="BV47" s="1145"/>
      <c r="BW47" s="1506"/>
      <c r="BX47" s="1506"/>
      <c r="BY47" s="1752"/>
      <c r="BZ47" s="1752"/>
      <c r="CA47" s="1752"/>
      <c r="CB47" s="1752"/>
      <c r="CC47" s="1752"/>
      <c r="CD47" s="1752"/>
      <c r="CE47" s="1752"/>
      <c r="CF47" s="1752"/>
      <c r="CG47" s="1752"/>
    </row>
    <row customHeight="1" ht="14.625">
      <c r="E48" s="180">
        <v>15</v>
      </c>
      <c r="W48" s="176" t="s">
        <v>190</v>
      </c>
      <c r="AA48" s="286"/>
      <c r="AB48" s="1599" t="s">
        <v>766</v>
      </c>
      <c r="AC48" s="1600"/>
      <c r="AD48" s="480"/>
      <c r="AE48" s="480"/>
      <c r="AF48" s="480"/>
      <c r="AG48" s="480"/>
      <c r="AH48" s="480"/>
      <c r="AI48" s="480"/>
      <c r="AJ48" s="480"/>
      <c r="AK48" s="480"/>
      <c r="AL48" s="480"/>
      <c r="AM48" s="480"/>
      <c r="AN48" s="480"/>
      <c r="AO48" s="480"/>
      <c r="AP48" s="480"/>
      <c r="AQ48" s="480"/>
      <c r="AR48" s="480"/>
      <c r="AS48" s="480"/>
      <c r="AT48" s="480"/>
      <c r="AU48" s="480"/>
      <c r="AV48" s="480"/>
      <c r="AW48" s="480"/>
      <c r="AX48" s="480"/>
      <c r="AY48" s="480"/>
      <c r="AZ48" s="480"/>
      <c r="BA48" s="480"/>
      <c r="BB48" s="480"/>
      <c r="BC48" s="480"/>
      <c r="BD48" s="480"/>
      <c r="BE48" s="480"/>
      <c r="BF48" s="480"/>
      <c r="BG48" s="480"/>
      <c r="BH48" s="480"/>
      <c r="BI48" s="480"/>
      <c r="BJ48" s="480"/>
      <c r="BK48" s="480"/>
      <c r="BL48" s="480"/>
      <c r="BM48" s="480"/>
      <c r="BN48" s="480"/>
      <c r="BO48" s="480"/>
      <c r="BP48" s="480"/>
      <c r="BQ48" s="480"/>
      <c r="BR48" s="480"/>
      <c r="BS48" s="482"/>
    </row>
    <row customHeight="1" ht="11.25">
      <c r="AE49" s="1727"/>
      <c r="AF49" s="1727"/>
      <c r="AG49" s="1727"/>
      <c r="AH49" s="1727"/>
      <c r="AI49" s="1727"/>
      <c r="AJ49" s="1727"/>
      <c r="AK49" s="1727"/>
      <c r="AL49" s="1727"/>
      <c r="AM49" s="1727"/>
      <c r="AN49" s="1727"/>
      <c r="AO49" s="1727"/>
      <c r="AP49" s="1727"/>
      <c r="AQ49" s="1727"/>
      <c r="AR49" s="1727"/>
      <c r="AS49" s="1727"/>
      <c r="AT49" s="1727"/>
      <c r="AU49" s="1727"/>
      <c r="AV49" s="1727"/>
      <c r="AW49" s="1727"/>
      <c r="AX49" s="1727"/>
      <c r="AY49" s="1727"/>
      <c r="AZ49" s="1727"/>
      <c r="BA49" s="1727"/>
      <c r="BB49" s="1727"/>
      <c r="BC49" s="1727"/>
      <c r="BD49" s="1727"/>
      <c r="BE49" s="1727"/>
      <c r="BF49" s="1727"/>
      <c r="BG49" s="1727"/>
      <c r="BH49" s="1727"/>
      <c r="BI49" s="1727"/>
      <c r="BJ49" s="1727"/>
      <c r="BK49" s="1727"/>
      <c r="BL49" s="1727"/>
      <c r="BM49" s="1727"/>
      <c r="BN49" s="1727"/>
      <c r="BO49" s="1727"/>
      <c r="BP49" s="1727"/>
      <c r="BQ49" s="1727"/>
      <c r="BR49" s="1727"/>
      <c r="BT49" s="318"/>
    </row>
    <row customHeight="1" ht="11.25" hidden="1">
      <c r="AE50" s="1727"/>
      <c r="AF50" s="1727"/>
      <c r="AG50" s="1727"/>
      <c r="AH50" s="1727"/>
      <c r="AI50" s="1727"/>
      <c r="AJ50" s="1727"/>
      <c r="AK50" s="1727"/>
      <c r="AL50" s="1727"/>
      <c r="AM50" s="1727"/>
      <c r="AN50" s="1727"/>
      <c r="AO50" s="1727"/>
      <c r="AP50" s="1727"/>
      <c r="AQ50" s="1727"/>
      <c r="AR50" s="1727"/>
      <c r="AS50" s="1727"/>
      <c r="AT50" s="1727"/>
      <c r="AU50" s="1727"/>
      <c r="AV50" s="1727"/>
      <c r="AW50" s="1727"/>
      <c r="AX50" s="1727"/>
      <c r="AY50" s="1727"/>
      <c r="AZ50" s="1727"/>
      <c r="BA50" s="1727"/>
      <c r="BB50" s="1727"/>
      <c r="BC50" s="1727"/>
      <c r="BD50" s="1727"/>
      <c r="BE50" s="1727"/>
      <c r="BF50" s="1727"/>
      <c r="BG50" s="1727"/>
      <c r="BH50" s="1727"/>
      <c r="BI50" s="1727"/>
      <c r="BJ50" s="1727"/>
      <c r="BK50" s="1727"/>
      <c r="BL50" s="1727"/>
      <c r="BM50" s="1727"/>
      <c r="BN50" s="1727"/>
      <c r="BO50" s="1727"/>
      <c r="BP50" s="1727"/>
      <c r="BQ50" s="1727"/>
      <c r="BR50" s="1727"/>
    </row>
    <row customHeight="1" ht="11.25" hidden="1">
      <c r="AE51" s="1727"/>
      <c r="AF51" s="1727"/>
      <c r="AG51" s="1727"/>
      <c r="AH51" s="1727"/>
      <c r="AI51" s="1727"/>
      <c r="AJ51" s="1727"/>
      <c r="AK51" s="1727"/>
      <c r="AL51" s="1727"/>
      <c r="AM51" s="1727"/>
      <c r="AN51" s="1727"/>
      <c r="AO51" s="1727"/>
      <c r="AP51" s="1727"/>
      <c r="AQ51" s="1727"/>
      <c r="AR51" s="1727"/>
      <c r="AS51" s="1727"/>
      <c r="AT51" s="1727"/>
      <c r="AU51" s="1727"/>
      <c r="AV51" s="1727"/>
      <c r="AW51" s="1727"/>
      <c r="AX51" s="1727"/>
      <c r="AY51" s="1727"/>
      <c r="AZ51" s="1727"/>
      <c r="BA51" s="1727"/>
      <c r="BB51" s="1727"/>
      <c r="BC51" s="1727"/>
      <c r="BD51" s="1727"/>
      <c r="BE51" s="1727"/>
      <c r="BF51" s="1727"/>
      <c r="BG51" s="1727"/>
      <c r="BH51" s="1727"/>
      <c r="BI51" s="1727"/>
      <c r="BJ51" s="1727"/>
      <c r="BK51" s="1727"/>
      <c r="BL51" s="1727"/>
      <c r="BM51" s="1727"/>
      <c r="BN51" s="1727"/>
      <c r="BO51" s="1727"/>
      <c r="BP51" s="1727"/>
      <c r="BQ51" s="1727"/>
      <c r="BR51" s="1727"/>
    </row>
    <row customHeight="1" ht="11.25" hidden="1">
      <c r="A52" s="0" t="s">
        <v>109</v>
      </c>
      <c r="AE52" s="0" t="str">
        <f>"389.0."&amp;AE$9-2010&amp;"."</f>
        <v>389.0.17.</v>
      </c>
      <c r="AF52" s="0" t="str">
        <f>"389.0."&amp;AF$9-2010&amp;"."</f>
        <v>389.0.18.</v>
      </c>
      <c r="AG52" s="0" t="str">
        <f>"389.0."&amp;AG$9-2010&amp;"."</f>
        <v>389.0.19.</v>
      </c>
      <c r="AH52" s="0" t="str">
        <f>"389.0."&amp;AH$9-2010&amp;"."</f>
        <v>389.0.20.</v>
      </c>
      <c r="AI52" s="0" t="str">
        <f>"389.0."&amp;AI$9-2010&amp;"."</f>
        <v>389.0.21.</v>
      </c>
      <c r="AJ52" s="0" t="str">
        <f>"389.0."&amp;AJ$9-2010&amp;"."</f>
        <v>389.0.22.</v>
      </c>
      <c r="AK52" s="0" t="str">
        <f>"389.0."&amp;AK$9-2010&amp;"."</f>
        <v>389.0.23.</v>
      </c>
      <c r="AL52" s="0" t="str">
        <f>"389.0."&amp;AL$9-2010&amp;"."</f>
        <v>389.0.24.</v>
      </c>
      <c r="AM52" s="0" t="str">
        <f>"389.0."&amp;AM$9-2010&amp;"."</f>
        <v>389.0.25.</v>
      </c>
      <c r="AN52" s="0" t="str">
        <f>"389.0."&amp;AN$9-2010&amp;"."</f>
        <v>389.0.26.</v>
      </c>
      <c r="AO52" s="0" t="str">
        <f>"389.0."&amp;AO$9-2010&amp;"."</f>
        <v>389.0.27.</v>
      </c>
      <c r="AP52" s="0" t="str">
        <f>"389.0."&amp;AP$9-2010&amp;"."</f>
        <v>389.0.28.</v>
      </c>
      <c r="AQ52" s="0" t="str">
        <f>"389.0."&amp;AQ$9-2010&amp;"."</f>
        <v>389.0.29.</v>
      </c>
      <c r="AR52" s="0" t="str">
        <f>"389.0."&amp;AR$9-2010&amp;"."</f>
        <v>389.0.30.</v>
      </c>
      <c r="AS52" s="0" t="str">
        <f>"389.0."&amp;AS$9-2010&amp;"."</f>
        <v>389.0.31.</v>
      </c>
      <c r="AT52" s="0" t="str">
        <f>"389.0."&amp;AT$9-2010&amp;"."</f>
        <v>389.0.32.</v>
      </c>
      <c r="AU52" s="0" t="str">
        <f>"389.0."&amp;AU$9-2010&amp;"."</f>
        <v>389.0.33.</v>
      </c>
      <c r="AV52" s="0" t="str">
        <f>"389.0."&amp;AV$9-2010&amp;"."</f>
        <v>389.0.34.</v>
      </c>
      <c r="AW52" s="0" t="str">
        <f>"389.0."&amp;AW$9-2010&amp;"."</f>
        <v>389.0.35.</v>
      </c>
      <c r="AX52" s="0" t="str">
        <f>"389.0."&amp;AX$9-2010&amp;"."</f>
        <v>389.0.36.</v>
      </c>
      <c r="AY52" s="0" t="str">
        <f>"389.0."&amp;AY$9-2010&amp;"."</f>
        <v>389.0.17.</v>
      </c>
      <c r="AZ52" s="0" t="str">
        <f>"389.0."&amp;AZ$9-2010&amp;"."</f>
        <v>389.0.18.</v>
      </c>
      <c r="BA52" s="0" t="str">
        <f>"389.0."&amp;BA$9-2010&amp;"."</f>
        <v>389.0.19.</v>
      </c>
      <c r="BB52" s="0" t="str">
        <f>"389.0."&amp;BB$9-2010&amp;"."</f>
        <v>389.0.20.</v>
      </c>
      <c r="BC52" s="0" t="str">
        <f>"389.0."&amp;BC$9-2010&amp;"."</f>
        <v>389.0.21.</v>
      </c>
      <c r="BD52" s="0" t="str">
        <f>"389.0."&amp;BD$9-2010&amp;"."</f>
        <v>389.0.22.</v>
      </c>
      <c r="BE52" s="0" t="str">
        <f>"389.0."&amp;BE$9-2010&amp;"."</f>
        <v>389.0.23.</v>
      </c>
      <c r="BF52" s="0" t="str">
        <f>"389.0."&amp;BF$9-2010&amp;"."</f>
        <v>389.0.24.</v>
      </c>
      <c r="BG52" s="0" t="str">
        <f>"389.0."&amp;BG$9-2010&amp;"."</f>
        <v>389.0.25.</v>
      </c>
      <c r="BH52" s="0" t="str">
        <f>"389.0."&amp;BH$9-2010&amp;"."</f>
        <v>389.0.26.</v>
      </c>
      <c r="BI52" s="0" t="str">
        <f>"389.0."&amp;BI$9-2010&amp;"."</f>
        <v>389.0.27.</v>
      </c>
      <c r="BJ52" s="0" t="str">
        <f>"389.0."&amp;BJ$9-2010&amp;"."</f>
        <v>389.0.28.</v>
      </c>
      <c r="BK52" s="0" t="str">
        <f>"389.0."&amp;BK$9-2010&amp;"."</f>
        <v>389.0.29.</v>
      </c>
      <c r="BL52" s="0" t="str">
        <f>"389.0."&amp;BL$9-2010&amp;"."</f>
        <v>389.0.30.</v>
      </c>
      <c r="BM52" s="0" t="str">
        <f>"389.0."&amp;BM$9-2010&amp;"."</f>
        <v>389.0.31.</v>
      </c>
      <c r="BN52" s="0" t="str">
        <f>"389.0."&amp;BN$9-2010&amp;"."</f>
        <v>389.0.32.</v>
      </c>
      <c r="BO52" s="0" t="str">
        <f>"389.0."&amp;BO$9-2010&amp;"."</f>
        <v>389.0.33.</v>
      </c>
      <c r="BP52" s="0" t="str">
        <f>"389.0."&amp;BP$9-2010&amp;"."</f>
        <v>389.0.34.</v>
      </c>
      <c r="BQ52" s="0" t="str">
        <f>"389.0."&amp;BQ$9-2010&amp;"."</f>
        <v>389.0.35.</v>
      </c>
      <c r="BR52" s="0" t="str">
        <f>"389.0."&amp;BR$9-2010&amp;"."</f>
        <v>389.0.36.</v>
      </c>
    </row>
    <row customHeight="1" ht="11.25" hidden="1">
      <c r="A53" s="0" t="s">
        <v>406</v>
      </c>
      <c r="AE53" s="0" cm="1" t="str">
        <f t="array" ref="AE53:AE53">IF($A53="uni_org_reg_NAME",INDEX(org_reg_values,MATCH(AE$10,org_reg_codes,0),1),IF($A53="uni_pf_NAME",INDEX(pf_codes_values,MATCH(AE$10,pf_codes,0),1),""))</f>
        <v>328.0.1.</v>
      </c>
      <c r="AF53" s="0" cm="1" t="str">
        <f t="array" ref="AF53:AF53">IF($A53="uni_org_reg_NAME",INDEX(org_reg_values,MATCH(AF$10,org_reg_codes,0),1),IF($A53="uni_pf_NAME",INDEX(pf_codes_values,MATCH(AF$10,pf_codes,0),1),""))</f>
        <v>328.0.1.</v>
      </c>
      <c r="AG53" s="0" cm="1" t="str">
        <f t="array" ref="AG53:AG53">IF($A53="uni_org_reg_NAME",INDEX(org_reg_values,MATCH(AG$10,org_reg_codes,0),1),IF($A53="uni_pf_NAME",INDEX(pf_codes_values,MATCH(AG$10,pf_codes,0),1),""))</f>
        <v>328.0.1.</v>
      </c>
      <c r="AH53" s="0" cm="1" t="str">
        <f t="array" ref="AH53:AH53">IF($A53="uni_org_reg_NAME",INDEX(org_reg_values,MATCH(AH$10,org_reg_codes,0),1),IF($A53="uni_pf_NAME",INDEX(pf_codes_values,MATCH(AH$10,pf_codes,0),1),""))</f>
        <v>328.0.1.</v>
      </c>
      <c r="AI53" s="0" cm="1" t="str">
        <f t="array" ref="AI53:AI53">IF($A53="uni_org_reg_NAME",INDEX(org_reg_values,MATCH(AI$10,org_reg_codes,0),1),IF($A53="uni_pf_NAME",INDEX(pf_codes_values,MATCH(AI$10,pf_codes,0),1),""))</f>
        <v>328.0.1.</v>
      </c>
      <c r="AJ53" s="0" cm="1" t="str">
        <f t="array" ref="AJ53:AJ53">IF($A53="uni_org_reg_NAME",INDEX(org_reg_values,MATCH(AJ$10,org_reg_codes,0),1),IF($A53="uni_pf_NAME",INDEX(pf_codes_values,MATCH(AJ$10,pf_codes,0),1),""))</f>
        <v>328.0.1.</v>
      </c>
      <c r="AK53" s="0" cm="1" t="str">
        <f t="array" ref="AK53:AK53">IF($A53="uni_org_reg_NAME",INDEX(org_reg_values,MATCH(AK$10,org_reg_codes,0),1),IF($A53="uni_pf_NAME",INDEX(pf_codes_values,MATCH(AK$10,pf_codes,0),1),""))</f>
        <v>328.0.1.</v>
      </c>
      <c r="AL53" s="0" cm="1" t="str">
        <f t="array" ref="AL53:AL53">IF($A53="uni_org_reg_NAME",INDEX(org_reg_values,MATCH(AL$10,org_reg_codes,0),1),IF($A53="uni_pf_NAME",INDEX(pf_codes_values,MATCH(AL$10,pf_codes,0),1),""))</f>
        <v>328.0.1.</v>
      </c>
      <c r="AM53" s="0" cm="1" t="str">
        <f t="array" ref="AM53:AM53">IF($A53="uni_org_reg_NAME",INDEX(org_reg_values,MATCH(AM$10,org_reg_codes,0),1),IF($A53="uni_pf_NAME",INDEX(pf_codes_values,MATCH(AM$10,pf_codes,0),1),""))</f>
        <v>328.0.1.</v>
      </c>
      <c r="AN53" s="0" cm="1" t="str">
        <f t="array" ref="AN53:AN53">IF($A53="uni_org_reg_NAME",INDEX(org_reg_values,MATCH(AN$10,org_reg_codes,0),1),IF($A53="uni_pf_NAME",INDEX(pf_codes_values,MATCH(AN$10,pf_codes,0),1),""))</f>
        <v>328.0.1.</v>
      </c>
      <c r="AO53" s="0" cm="1" t="str">
        <f t="array" ref="AO53:AO53">IF($A53="uni_org_reg_NAME",INDEX(org_reg_values,MATCH(AO$10,org_reg_codes,0),1),IF($A53="uni_pf_NAME",INDEX(pf_codes_values,MATCH(AO$10,pf_codes,0),1),""))</f>
        <v>328.0.1.</v>
      </c>
      <c r="AP53" s="0" cm="1" t="str">
        <f t="array" ref="AP53:AP53">IF($A53="uni_org_reg_NAME",INDEX(org_reg_values,MATCH(AP$10,org_reg_codes,0),1),IF($A53="uni_pf_NAME",INDEX(pf_codes_values,MATCH(AP$10,pf_codes,0),1),""))</f>
        <v>328.0.1.</v>
      </c>
      <c r="AQ53" s="0" cm="1" t="str">
        <f t="array" ref="AQ53:AQ53">IF($A53="uni_org_reg_NAME",INDEX(org_reg_values,MATCH(AQ$10,org_reg_codes,0),1),IF($A53="uni_pf_NAME",INDEX(pf_codes_values,MATCH(AQ$10,pf_codes,0),1),""))</f>
        <v>328.0.1.</v>
      </c>
      <c r="AR53" s="0" cm="1" t="str">
        <f t="array" ref="AR53:AR53">IF($A53="uni_org_reg_NAME",INDEX(org_reg_values,MATCH(AR$10,org_reg_codes,0),1),IF($A53="uni_pf_NAME",INDEX(pf_codes_values,MATCH(AR$10,pf_codes,0),1),""))</f>
        <v>328.0.1.</v>
      </c>
      <c r="AS53" s="0" cm="1" t="str">
        <f t="array" ref="AS53:AS53">IF($A53="uni_org_reg_NAME",INDEX(org_reg_values,MATCH(AS$10,org_reg_codes,0),1),IF($A53="uni_pf_NAME",INDEX(pf_codes_values,MATCH(AS$10,pf_codes,0),1),""))</f>
        <v>328.0.1.</v>
      </c>
      <c r="AT53" s="0" cm="1" t="str">
        <f t="array" ref="AT53:AT53">IF($A53="uni_org_reg_NAME",INDEX(org_reg_values,MATCH(AT$10,org_reg_codes,0),1),IF($A53="uni_pf_NAME",INDEX(pf_codes_values,MATCH(AT$10,pf_codes,0),1),""))</f>
        <v>328.0.1.</v>
      </c>
      <c r="AU53" s="0" cm="1" t="str">
        <f t="array" ref="AU53:AU53">IF($A53="uni_org_reg_NAME",INDEX(org_reg_values,MATCH(AU$10,org_reg_codes,0),1),IF($A53="uni_pf_NAME",INDEX(pf_codes_values,MATCH(AU$10,pf_codes,0),1),""))</f>
        <v>328.0.1.</v>
      </c>
      <c r="AV53" s="0" cm="1" t="str">
        <f t="array" ref="AV53:AV53">IF($A53="uni_org_reg_NAME",INDEX(org_reg_values,MATCH(AV$10,org_reg_codes,0),1),IF($A53="uni_pf_NAME",INDEX(pf_codes_values,MATCH(AV$10,pf_codes,0),1),""))</f>
        <v>328.0.1.</v>
      </c>
      <c r="AW53" s="0" cm="1" t="str">
        <f t="array" ref="AW53:AW53">IF($A53="uni_org_reg_NAME",INDEX(org_reg_values,MATCH(AW$10,org_reg_codes,0),1),IF($A53="uni_pf_NAME",INDEX(pf_codes_values,MATCH(AW$10,pf_codes,0),1),""))</f>
        <v>328.0.1.</v>
      </c>
      <c r="AX53" s="0" cm="1" t="str">
        <f t="array" ref="AX53:AX53">IF($A53="uni_org_reg_NAME",INDEX(org_reg_values,MATCH(AX$10,org_reg_codes,0),1),IF($A53="uni_pf_NAME",INDEX(pf_codes_values,MATCH(AX$10,pf_codes,0),1),""))</f>
        <v>328.0.1.</v>
      </c>
      <c r="AY53" s="0" cm="1" t="str">
        <f t="array" ref="AY53:AY53">IF($A53="uni_org_reg_NAME",INDEX(org_reg_values,MATCH(AY$10,org_reg_codes,0),1),IF($A53="uni_pf_NAME",INDEX(pf_codes_values,MATCH(AY$10,pf_codes,0),1),""))</f>
        <v>328.0.2.</v>
      </c>
      <c r="AZ53" s="0" cm="1" t="str">
        <f t="array" ref="AZ53:AZ53">IF($A53="uni_org_reg_NAME",INDEX(org_reg_values,MATCH(AZ$10,org_reg_codes,0),1),IF($A53="uni_pf_NAME",INDEX(pf_codes_values,MATCH(AZ$10,pf_codes,0),1),""))</f>
        <v>328.0.2.</v>
      </c>
      <c r="BA53" s="0" cm="1" t="str">
        <f t="array" ref="BA53:BA53">IF($A53="uni_org_reg_NAME",INDEX(org_reg_values,MATCH(BA$10,org_reg_codes,0),1),IF($A53="uni_pf_NAME",INDEX(pf_codes_values,MATCH(BA$10,pf_codes,0),1),""))</f>
        <v>328.0.2.</v>
      </c>
      <c r="BB53" s="0" cm="1" t="str">
        <f t="array" ref="BB53:BB53">IF($A53="uni_org_reg_NAME",INDEX(org_reg_values,MATCH(BB$10,org_reg_codes,0),1),IF($A53="uni_pf_NAME",INDEX(pf_codes_values,MATCH(BB$10,pf_codes,0),1),""))</f>
        <v>328.0.2.</v>
      </c>
      <c r="BC53" s="0" cm="1" t="str">
        <f t="array" ref="BC53:BC53">IF($A53="uni_org_reg_NAME",INDEX(org_reg_values,MATCH(BC$10,org_reg_codes,0),1),IF($A53="uni_pf_NAME",INDEX(pf_codes_values,MATCH(BC$10,pf_codes,0),1),""))</f>
        <v>328.0.2.</v>
      </c>
      <c r="BD53" s="0" cm="1" t="str">
        <f t="array" ref="BD53:BD53">IF($A53="uni_org_reg_NAME",INDEX(org_reg_values,MATCH(BD$10,org_reg_codes,0),1),IF($A53="uni_pf_NAME",INDEX(pf_codes_values,MATCH(BD$10,pf_codes,0),1),""))</f>
        <v>328.0.2.</v>
      </c>
      <c r="BE53" s="0" cm="1" t="str">
        <f t="array" ref="BE53:BE53">IF($A53="uni_org_reg_NAME",INDEX(org_reg_values,MATCH(BE$10,org_reg_codes,0),1),IF($A53="uni_pf_NAME",INDEX(pf_codes_values,MATCH(BE$10,pf_codes,0),1),""))</f>
        <v>328.0.2.</v>
      </c>
      <c r="BF53" s="0" cm="1" t="str">
        <f t="array" ref="BF53:BF53">IF($A53="uni_org_reg_NAME",INDEX(org_reg_values,MATCH(BF$10,org_reg_codes,0),1),IF($A53="uni_pf_NAME",INDEX(pf_codes_values,MATCH(BF$10,pf_codes,0),1),""))</f>
        <v>328.0.2.</v>
      </c>
      <c r="BG53" s="0" cm="1" t="str">
        <f t="array" ref="BG53:BG53">IF($A53="uni_org_reg_NAME",INDEX(org_reg_values,MATCH(BG$10,org_reg_codes,0),1),IF($A53="uni_pf_NAME",INDEX(pf_codes_values,MATCH(BG$10,pf_codes,0),1),""))</f>
        <v>328.0.2.</v>
      </c>
      <c r="BH53" s="0" cm="1" t="str">
        <f t="array" ref="BH53:BH53">IF($A53="uni_org_reg_NAME",INDEX(org_reg_values,MATCH(BH$10,org_reg_codes,0),1),IF($A53="uni_pf_NAME",INDEX(pf_codes_values,MATCH(BH$10,pf_codes,0),1),""))</f>
        <v>328.0.2.</v>
      </c>
      <c r="BI53" s="0" cm="1" t="str">
        <f t="array" ref="BI53:BI53">IF($A53="uni_org_reg_NAME",INDEX(org_reg_values,MATCH(BI$10,org_reg_codes,0),1),IF($A53="uni_pf_NAME",INDEX(pf_codes_values,MATCH(BI$10,pf_codes,0),1),""))</f>
        <v>328.0.2.</v>
      </c>
      <c r="BJ53" s="0" cm="1" t="str">
        <f t="array" ref="BJ53:BJ53">IF($A53="uni_org_reg_NAME",INDEX(org_reg_values,MATCH(BJ$10,org_reg_codes,0),1),IF($A53="uni_pf_NAME",INDEX(pf_codes_values,MATCH(BJ$10,pf_codes,0),1),""))</f>
        <v>328.0.2.</v>
      </c>
      <c r="BK53" s="0" cm="1" t="str">
        <f t="array" ref="BK53:BK53">IF($A53="uni_org_reg_NAME",INDEX(org_reg_values,MATCH(BK$10,org_reg_codes,0),1),IF($A53="uni_pf_NAME",INDEX(pf_codes_values,MATCH(BK$10,pf_codes,0),1),""))</f>
        <v>328.0.2.</v>
      </c>
      <c r="BL53" s="0" cm="1" t="str">
        <f t="array" ref="BL53:BL53">IF($A53="uni_org_reg_NAME",INDEX(org_reg_values,MATCH(BL$10,org_reg_codes,0),1),IF($A53="uni_pf_NAME",INDEX(pf_codes_values,MATCH(BL$10,pf_codes,0),1),""))</f>
        <v>328.0.2.</v>
      </c>
      <c r="BM53" s="0" cm="1" t="str">
        <f t="array" ref="BM53:BM53">IF($A53="uni_org_reg_NAME",INDEX(org_reg_values,MATCH(BM$10,org_reg_codes,0),1),IF($A53="uni_pf_NAME",INDEX(pf_codes_values,MATCH(BM$10,pf_codes,0),1),""))</f>
        <v>328.0.2.</v>
      </c>
      <c r="BN53" s="0" cm="1" t="str">
        <f t="array" ref="BN53:BN53">IF($A53="uni_org_reg_NAME",INDEX(org_reg_values,MATCH(BN$10,org_reg_codes,0),1),IF($A53="uni_pf_NAME",INDEX(pf_codes_values,MATCH(BN$10,pf_codes,0),1),""))</f>
        <v>328.0.2.</v>
      </c>
      <c r="BO53" s="0" cm="1" t="str">
        <f t="array" ref="BO53:BO53">IF($A53="uni_org_reg_NAME",INDEX(org_reg_values,MATCH(BO$10,org_reg_codes,0),1),IF($A53="uni_pf_NAME",INDEX(pf_codes_values,MATCH(BO$10,pf_codes,0),1),""))</f>
        <v>328.0.2.</v>
      </c>
      <c r="BP53" s="0" cm="1" t="str">
        <f t="array" ref="BP53:BP53">IF($A53="uni_org_reg_NAME",INDEX(org_reg_values,MATCH(BP$10,org_reg_codes,0),1),IF($A53="uni_pf_NAME",INDEX(pf_codes_values,MATCH(BP$10,pf_codes,0),1),""))</f>
        <v>328.0.2.</v>
      </c>
      <c r="BQ53" s="0" cm="1" t="str">
        <f t="array" ref="BQ53:BQ53">IF($A53="uni_org_reg_NAME",INDEX(org_reg_values,MATCH(BQ$10,org_reg_codes,0),1),IF($A53="uni_pf_NAME",INDEX(pf_codes_values,MATCH(BQ$10,pf_codes,0),1),""))</f>
        <v>328.0.2.</v>
      </c>
      <c r="BR53" s="0" cm="1" t="str">
        <f t="array" ref="BR53:BR53">IF($A53="uni_org_reg_NAME",INDEX(org_reg_values,MATCH(BR$10,org_reg_codes,0),1),IF($A53="uni_pf_NAME",INDEX(pf_codes_values,MATCH(BR$10,pf_codes,0),1),""))</f>
        <v>328.0.2.</v>
      </c>
    </row>
    <row customHeight="1" ht="11.25" hidden="1">
      <c r="A54" s="0" t="s">
        <v>351</v>
      </c>
      <c r="AE54" s="1727"/>
      <c r="AF54" s="1727"/>
      <c r="AG54" s="1727"/>
      <c r="AH54" s="1727"/>
      <c r="AI54" s="1727"/>
      <c r="AJ54" s="1727"/>
      <c r="AK54" s="1727"/>
      <c r="AL54" s="1727"/>
      <c r="AM54" s="1727"/>
      <c r="AN54" s="1727"/>
      <c r="AO54" s="1727"/>
      <c r="AP54" s="1727"/>
      <c r="AQ54" s="1727"/>
      <c r="AR54" s="1727"/>
      <c r="AS54" s="1727"/>
      <c r="AT54" s="1727"/>
      <c r="AU54" s="1727"/>
      <c r="AV54" s="1727"/>
      <c r="AW54" s="1727"/>
      <c r="AX54" s="1727"/>
      <c r="AY54" s="1727"/>
      <c r="AZ54" s="1727"/>
      <c r="BA54" s="1727"/>
      <c r="BB54" s="1727"/>
      <c r="BC54" s="1727"/>
      <c r="BD54" s="1727"/>
      <c r="BE54" s="1727"/>
      <c r="BF54" s="1727"/>
      <c r="BG54" s="1727"/>
      <c r="BH54" s="1727"/>
      <c r="BI54" s="1727"/>
      <c r="BJ54" s="1727"/>
      <c r="BK54" s="1727"/>
      <c r="BL54" s="1727"/>
      <c r="BM54" s="1727"/>
      <c r="BN54" s="1727"/>
      <c r="BO54" s="1727"/>
      <c r="BP54" s="1727"/>
      <c r="BQ54" s="1727"/>
      <c r="BR54" s="1727"/>
      <c r="BS54" s="0" t="s">
        <v>178</v>
      </c>
    </row>
    <row customHeight="1" ht="11.25" hidden="1">
      <c r="A55" s="0" t="s">
        <v>352</v>
      </c>
      <c r="AE55" s="1727"/>
      <c r="AF55" s="1727"/>
      <c r="AG55" s="1727"/>
      <c r="AH55" s="1727"/>
      <c r="AI55" s="1727"/>
      <c r="AJ55" s="1727"/>
      <c r="AK55" s="1727"/>
      <c r="AL55" s="1727"/>
      <c r="AM55" s="1727"/>
      <c r="AN55" s="1727"/>
      <c r="AO55" s="1727"/>
      <c r="AP55" s="1727"/>
      <c r="AQ55" s="1727"/>
      <c r="AR55" s="1727"/>
      <c r="AS55" s="1727"/>
      <c r="AT55" s="1727"/>
      <c r="AU55" s="1727"/>
      <c r="AV55" s="1727"/>
      <c r="AW55" s="1727"/>
      <c r="AX55" s="1727"/>
      <c r="AY55" s="1727"/>
      <c r="AZ55" s="1727"/>
      <c r="BA55" s="1727"/>
      <c r="BB55" s="1727"/>
      <c r="BC55" s="1727"/>
      <c r="BD55" s="1727"/>
      <c r="BE55" s="1727"/>
      <c r="BF55" s="1727"/>
      <c r="BG55" s="1727"/>
      <c r="BH55" s="1727"/>
      <c r="BI55" s="1727"/>
      <c r="BJ55" s="1727"/>
      <c r="BK55" s="1727"/>
      <c r="BL55" s="1727"/>
      <c r="BM55" s="1727"/>
      <c r="BN55" s="1727"/>
      <c r="BO55" s="1727"/>
      <c r="BP55" s="1727"/>
      <c r="BQ55" s="1727"/>
      <c r="BR55" s="1727"/>
      <c r="BS55" s="0" t="s">
        <v>798</v>
      </c>
    </row>
    <row customHeight="1" ht="11.25" hidden="1">
      <c r="A56" s="0" t="s">
        <v>379</v>
      </c>
      <c r="AE56" s="1727"/>
      <c r="AF56" s="1727"/>
      <c r="AG56" s="1727"/>
      <c r="AH56" s="1727"/>
      <c r="AI56" s="1727"/>
      <c r="AJ56" s="1727"/>
      <c r="AK56" s="1727"/>
      <c r="AL56" s="1727"/>
      <c r="AM56" s="1727"/>
      <c r="AN56" s="1727"/>
      <c r="AO56" s="1727"/>
      <c r="AP56" s="1727"/>
      <c r="AQ56" s="1727"/>
      <c r="AR56" s="1727"/>
      <c r="AS56" s="1727"/>
      <c r="AT56" s="1727"/>
      <c r="AU56" s="1727"/>
      <c r="AV56" s="1727"/>
      <c r="AW56" s="1727"/>
      <c r="AX56" s="1727"/>
      <c r="AY56" s="1727"/>
      <c r="AZ56" s="1727"/>
      <c r="BA56" s="1727"/>
      <c r="BB56" s="1727"/>
      <c r="BC56" s="1727"/>
      <c r="BD56" s="1727"/>
      <c r="BE56" s="1727"/>
      <c r="BF56" s="1727"/>
      <c r="BG56" s="1727"/>
      <c r="BH56" s="1727"/>
      <c r="BI56" s="1727"/>
      <c r="BJ56" s="1727"/>
      <c r="BK56" s="1727"/>
      <c r="BL56" s="1727"/>
      <c r="BM56" s="1727"/>
      <c r="BN56" s="1727"/>
      <c r="BO56" s="1727"/>
      <c r="BP56" s="1727"/>
      <c r="BQ56" s="1727"/>
      <c r="BR56" s="1727"/>
      <c r="BS56" s="0" t="s">
        <v>799</v>
      </c>
    </row>
    <row customHeight="1" ht="11.25" hidden="1">
      <c r="AE57" s="1727"/>
      <c r="AF57" s="1727"/>
      <c r="AG57" s="1727"/>
      <c r="AH57" s="1727"/>
      <c r="AI57" s="1727"/>
      <c r="AJ57" s="1727"/>
      <c r="AK57" s="1727"/>
      <c r="AL57" s="1727"/>
      <c r="AM57" s="1727"/>
      <c r="AN57" s="1727"/>
      <c r="AO57" s="1727"/>
      <c r="AP57" s="1727"/>
      <c r="AQ57" s="1727"/>
      <c r="AR57" s="1727"/>
      <c r="AS57" s="1727"/>
      <c r="AT57" s="1727"/>
      <c r="AU57" s="1727"/>
      <c r="AV57" s="1727"/>
      <c r="AW57" s="1727"/>
      <c r="AX57" s="1727"/>
      <c r="AY57" s="1727"/>
      <c r="AZ57" s="1727"/>
      <c r="BA57" s="1727"/>
      <c r="BB57" s="1727"/>
      <c r="BC57" s="1727"/>
      <c r="BD57" s="1727"/>
      <c r="BE57" s="1727"/>
      <c r="BF57" s="1727"/>
      <c r="BG57" s="1727"/>
      <c r="BH57" s="1727"/>
      <c r="BI57" s="1727"/>
      <c r="BJ57" s="1727"/>
      <c r="BK57" s="1727"/>
      <c r="BL57" s="1727"/>
      <c r="BM57" s="1727"/>
      <c r="BN57" s="1727"/>
      <c r="BO57" s="1727"/>
      <c r="BP57" s="1727"/>
      <c r="BQ57" s="1727"/>
      <c r="BR57" s="1727"/>
    </row>
  </sheetData>
  <sheetProtection formatColumns="0" formatRows="0" insertRows="0" deleteColumns="0" deleteRows="0" sort="0" autoFilter="0" insertColumns="1"/>
  <mergeCells count="12">
    <mergeCell ref="Z27:Z34"/>
    <mergeCell ref="X27:X34"/>
    <mergeCell ref="AB48:AC48"/>
    <mergeCell ref="AB45:BS45"/>
    <mergeCell ref="AB46:BS46"/>
    <mergeCell ref="AB24:AB25"/>
    <mergeCell ref="AC24:AC25"/>
    <mergeCell ref="AD24:AD25"/>
    <mergeCell ref="BS24:BS25"/>
    <mergeCell ref="AB47:BS47"/>
    <mergeCell ref="Z35:Z42"/>
    <mergeCell ref="X35:X42"/>
  </mergeCells>
  <dataValidations count="1">
    <dataValidation allowBlank="1" showInputMessage="1" showErrorMessage="1" sqref="BS45:BS47"/>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FD0C08-49BD-9FFD-CC48-87CCB05A8698}" mc:Ignorable="x14ac xr xr2 xr3">
  <sheetPr>
    <tabColor rgb="FF92D050"/>
    <outlinePr summaryRight="0" summaryBelow="0"/>
    <pageSetUpPr fitToPage="1"/>
  </sheetPr>
  <dimension ref="A1:BI89"/>
  <sheetViews>
    <sheetView showGridLines="0" workbookViewId="0">
      <pane xSplit="30" ySplit="26" topLeftCell="AE51" activePane="bottomRight" state="frozen"/>
      <selection pane="bottomLeft" activeCell="A27" sqref="A27"/>
      <selection pane="topRight" activeCell="AE1" sqref="AE1"/>
      <selection pane="bottomRight" activeCell="AJ55" sqref="AJ55"/>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7.85156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77" width="8.00390625" customWidth="1"/>
    <col min="29" max="29" style="285" width="70.00390625" customWidth="1"/>
    <col min="30" max="30" style="277" width="14.00390625" customWidth="1"/>
    <col min="31" max="33" style="286" width="13.00390625" customWidth="1"/>
    <col min="34" max="34" style="286" width="19.00390625" customWidth="1"/>
    <col min="35" max="37" style="286" width="13.00390625" customWidth="1"/>
    <col min="38" max="38" style="286" width="38.00390625" customWidth="1"/>
    <col min="39" max="39" style="286" width="19.00390625" customWidth="1"/>
    <col min="40" max="40" style="286" width="17.00390625" customWidth="1"/>
    <col min="41" max="41" style="286" width="31.00390625" customWidth="1"/>
    <col min="42" max="42" style="286" width="3.00390625" customWidth="1"/>
    <col min="43" max="43" style="1659" width="9.140625" hidden="1"/>
    <col min="44" max="46" style="1125" width="9.140625" hidden="1"/>
    <col min="47" max="48" style="1126" width="9.140625" hidden="1"/>
    <col min="49" max="49" style="1506" width="9.140625" hidden="1"/>
    <col min="50" max="61" width="9.140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C1" s="753" t="s">
        <v>92</v>
      </c>
      <c r="AR1" s="489" t="s">
        <v>336</v>
      </c>
      <c r="AS1" s="489" t="s">
        <v>337</v>
      </c>
      <c r="AT1" s="489" t="s">
        <v>338</v>
      </c>
      <c r="AU1" s="546" t="s">
        <v>341</v>
      </c>
      <c r="AV1" s="546" t="s">
        <v>342</v>
      </c>
      <c r="AX1" s="0" t="s">
        <v>94</v>
      </c>
      <c r="AY1" s="0" t="s">
        <v>789</v>
      </c>
      <c r="AZ1" s="0" t="s">
        <v>1543</v>
      </c>
      <c r="BA1" s="0" t="s">
        <v>1544</v>
      </c>
      <c r="BB1" s="0" t="s">
        <v>1545</v>
      </c>
      <c r="BC1" s="0" t="s">
        <v>1329</v>
      </c>
      <c r="BD1" s="0" t="s">
        <v>1515</v>
      </c>
      <c r="BE1" s="0" t="s">
        <v>110</v>
      </c>
      <c r="BF1" s="0" t="s">
        <v>111</v>
      </c>
      <c r="BG1" s="0" t="s">
        <v>112</v>
      </c>
      <c r="BH1" s="0" t="s">
        <v>113</v>
      </c>
      <c r="BI1" s="0" t="s">
        <v>114</v>
      </c>
    </row>
    <row s="1548" customFormat="1" customHeight="1" ht="11.25" hidden="1">
      <c r="A2" s="371"/>
      <c r="B2" s="179" t="s">
        <v>16</v>
      </c>
      <c r="G2" s="193"/>
      <c r="H2" s="193"/>
      <c r="I2" s="193"/>
      <c r="J2" s="193"/>
      <c r="K2" s="193"/>
      <c r="L2" s="193"/>
      <c r="M2" s="193"/>
      <c r="N2" s="193"/>
      <c r="O2" s="193"/>
      <c r="P2" s="193"/>
      <c r="Q2" s="193"/>
      <c r="R2" s="193"/>
      <c r="S2" s="193"/>
      <c r="AC2" s="176"/>
      <c r="AF2" s="179" cm="1" t="str">
        <f t="array" ref="AF2:AF2">isOrgDeclare</f>
        <v>true</v>
      </c>
      <c r="AH2" s="179" cm="1" t="str">
        <f t="array" ref="AH2:AH2">isOrgDeclare</f>
        <v>true</v>
      </c>
      <c r="AJ2" s="179" cm="1" t="str">
        <f t="array" ref="AJ2:AJ2">isOrgDeclare</f>
        <v>true</v>
      </c>
      <c r="AR2" s="489"/>
      <c r="AS2" s="489"/>
      <c r="AT2" s="489"/>
      <c r="AU2" s="546"/>
      <c r="AV2" s="546"/>
      <c r="AX2" s="0"/>
      <c r="AY2" s="0"/>
      <c r="AZ2" s="0"/>
      <c r="BA2" s="0"/>
      <c r="BB2" s="0"/>
      <c r="BC2" s="0"/>
      <c r="BD2" s="0"/>
      <c r="BE2" s="0"/>
      <c r="BF2" s="0"/>
      <c r="BG2" s="0"/>
      <c r="BH2" s="0"/>
      <c r="BI2" s="0"/>
    </row>
    <row s="1548" customFormat="1" customHeight="1" ht="11.25" hidden="1">
      <c r="A3" s="371"/>
      <c r="G3" s="193"/>
      <c r="H3" s="193"/>
      <c r="I3" s="193"/>
      <c r="J3" s="193"/>
      <c r="K3" s="193"/>
      <c r="L3" s="193"/>
      <c r="M3" s="193"/>
      <c r="N3" s="193"/>
      <c r="O3" s="193"/>
      <c r="P3" s="193"/>
      <c r="Q3" s="193"/>
      <c r="R3" s="193"/>
      <c r="S3" s="193"/>
      <c r="AC3" s="176"/>
      <c r="AR3" s="489"/>
      <c r="AS3" s="489"/>
      <c r="AT3" s="489"/>
      <c r="AU3" s="546"/>
      <c r="AV3" s="546"/>
      <c r="AX3" s="0"/>
      <c r="AY3" s="0"/>
      <c r="AZ3" s="0"/>
      <c r="BA3" s="0"/>
      <c r="BB3" s="0"/>
      <c r="BC3" s="0"/>
      <c r="BD3" s="0"/>
      <c r="BE3" s="0"/>
      <c r="BF3" s="0"/>
      <c r="BG3" s="0"/>
      <c r="BH3" s="0"/>
      <c r="BI3" s="0"/>
    </row>
    <row s="1548" customFormat="1" customHeight="1" ht="11.25" hidden="1">
      <c r="A4" s="371"/>
      <c r="G4" s="193"/>
      <c r="H4" s="193"/>
      <c r="I4" s="193"/>
      <c r="J4" s="193"/>
      <c r="K4" s="193"/>
      <c r="L4" s="193"/>
      <c r="M4" s="193"/>
      <c r="N4" s="193"/>
      <c r="O4" s="193"/>
      <c r="P4" s="193"/>
      <c r="Q4" s="193"/>
      <c r="R4" s="193"/>
      <c r="S4" s="193"/>
      <c r="AC4" s="176"/>
      <c r="AR4" s="489"/>
      <c r="AS4" s="489"/>
      <c r="AT4" s="489"/>
      <c r="AU4" s="546"/>
      <c r="AV4" s="546"/>
      <c r="AX4" s="0"/>
      <c r="AY4" s="0"/>
      <c r="AZ4" s="0"/>
      <c r="BA4" s="0"/>
      <c r="BB4" s="0"/>
      <c r="BC4" s="0"/>
      <c r="BD4" s="0"/>
      <c r="BE4" s="0"/>
      <c r="BF4" s="0"/>
      <c r="BG4" s="0"/>
      <c r="BH4" s="0"/>
      <c r="BI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8</v>
      </c>
      <c r="AC5" s="284">
        <v>70</v>
      </c>
      <c r="AD5" s="180">
        <v>14</v>
      </c>
      <c r="AE5" s="180">
        <v>13</v>
      </c>
      <c r="AF5" s="180">
        <v>13</v>
      </c>
      <c r="AG5" s="180">
        <v>13</v>
      </c>
      <c r="AH5" s="180">
        <v>19</v>
      </c>
      <c r="AI5" s="180">
        <v>13</v>
      </c>
      <c r="AJ5" s="180">
        <v>13</v>
      </c>
      <c r="AK5" s="180">
        <v>13</v>
      </c>
      <c r="AL5" s="180">
        <v>38</v>
      </c>
      <c r="AM5" s="180">
        <v>19</v>
      </c>
      <c r="AN5" s="180">
        <v>17</v>
      </c>
      <c r="AO5" s="180">
        <v>31</v>
      </c>
      <c r="AP5" s="180">
        <v>3</v>
      </c>
      <c r="AR5" s="489"/>
      <c r="AS5" s="489"/>
      <c r="AT5" s="489"/>
      <c r="AU5" s="546"/>
      <c r="AV5" s="546"/>
      <c r="AX5" s="1729"/>
      <c r="AY5" s="1729"/>
      <c r="AZ5" s="1729"/>
      <c r="BA5" s="1729"/>
      <c r="BB5" s="1729"/>
      <c r="BC5" s="1729"/>
      <c r="BD5" s="1729"/>
      <c r="BE5" s="1729"/>
      <c r="BF5" s="1729"/>
      <c r="BG5" s="1729"/>
      <c r="BH5" s="1729"/>
      <c r="BI5" s="1729"/>
    </row>
    <row s="1548" customFormat="1" customHeight="1" ht="11.25" hidden="1">
      <c r="A6" s="371"/>
      <c r="E6" s="180"/>
      <c r="G6" s="193"/>
      <c r="H6" s="193"/>
      <c r="I6" s="193"/>
      <c r="J6" s="193"/>
      <c r="K6" s="193"/>
      <c r="L6" s="193"/>
      <c r="M6" s="193"/>
      <c r="N6" s="193"/>
      <c r="O6" s="193"/>
      <c r="P6" s="193"/>
      <c r="Q6" s="193"/>
      <c r="R6" s="193"/>
      <c r="S6" s="193"/>
      <c r="AC6" s="176"/>
      <c r="AR6" s="489"/>
      <c r="AS6" s="489"/>
      <c r="AT6" s="489"/>
      <c r="AU6" s="546"/>
      <c r="AV6" s="546"/>
      <c r="AX6" s="0"/>
      <c r="AY6" s="0"/>
      <c r="AZ6" s="0"/>
      <c r="BA6" s="0"/>
      <c r="BB6" s="0"/>
      <c r="BC6" s="0"/>
      <c r="BD6" s="0"/>
      <c r="BE6" s="0"/>
      <c r="BF6" s="0"/>
      <c r="BG6" s="0"/>
      <c r="BH6" s="0"/>
      <c r="BI6" s="0"/>
    </row>
    <row customHeight="1" ht="11.25" hidden="1">
      <c r="F7" s="193"/>
      <c r="T7" s="193"/>
      <c r="U7" s="193"/>
      <c r="V7" s="193"/>
      <c r="W7" s="193"/>
      <c r="X7" s="193"/>
      <c r="Y7" s="193"/>
      <c r="Z7" s="193"/>
      <c r="AA7" s="193"/>
      <c r="AB7" s="193"/>
      <c r="AC7" s="308"/>
      <c r="AD7" s="193"/>
      <c r="AE7" s="193"/>
      <c r="AF7" s="193"/>
      <c r="AG7" s="193"/>
      <c r="AH7" s="193"/>
      <c r="AI7" s="193"/>
      <c r="AJ7" s="193"/>
      <c r="AK7" s="193"/>
      <c r="AL7" s="193"/>
      <c r="AM7" s="193"/>
      <c r="AN7" s="193"/>
      <c r="AO7" s="193"/>
      <c r="AP7" s="193"/>
    </row>
    <row customHeight="1" ht="11.25" hidden="1">
      <c r="F8" s="193"/>
      <c r="T8" s="193"/>
      <c r="U8" s="193"/>
      <c r="V8" s="193"/>
      <c r="W8" s="193"/>
      <c r="X8" s="193"/>
      <c r="Y8" s="193"/>
      <c r="Z8" s="193"/>
      <c r="AA8" s="193"/>
      <c r="AB8" s="193"/>
      <c r="AC8" s="308"/>
      <c r="AD8" s="193"/>
      <c r="AE8" s="193"/>
      <c r="AF8" s="193"/>
      <c r="AG8" s="193"/>
      <c r="AH8" s="193"/>
      <c r="AI8" s="193"/>
      <c r="AJ8" s="193"/>
      <c r="AK8" s="193"/>
      <c r="AL8" s="193"/>
      <c r="AM8" s="193"/>
      <c r="AN8" s="193"/>
      <c r="AO8" s="193"/>
      <c r="AP8" s="193"/>
    </row>
    <row s="1143" customFormat="1" customHeight="1" ht="11.25" hidden="1">
      <c r="A9" s="309" t="s">
        <v>403</v>
      </c>
      <c r="AE9" s="312">
        <f>god-2</f>
        <v>2025</v>
      </c>
      <c r="AF9" s="312">
        <f>god-2</f>
        <v>2025</v>
      </c>
      <c r="AG9" s="312">
        <f>god-2</f>
        <v>2025</v>
      </c>
      <c r="AH9" s="312">
        <f>god-2</f>
        <v>2025</v>
      </c>
      <c r="AI9" s="312">
        <f>god-1</f>
        <v>2026</v>
      </c>
      <c r="AJ9" s="312" cm="1" t="str">
        <f t="array" ref="AJ9:AJ9">god</f>
        <v>2027</v>
      </c>
      <c r="AK9" s="312" cm="1" t="str">
        <f t="array" ref="AK9:AK9">god</f>
        <v>2027</v>
      </c>
      <c r="AL9" s="312" cm="1" t="str">
        <f t="array" ref="AL9:AL9">god</f>
        <v>2027</v>
      </c>
      <c r="AR9" s="489"/>
      <c r="AS9" s="489"/>
      <c r="AT9" s="489"/>
      <c r="AU9" s="546"/>
      <c r="AV9" s="546"/>
      <c r="AX9" s="1730"/>
      <c r="AY9" s="1730"/>
      <c r="AZ9" s="1730"/>
      <c r="BA9" s="1730"/>
      <c r="BB9" s="1730"/>
      <c r="BC9" s="1730"/>
      <c r="BD9" s="1730"/>
      <c r="BE9" s="1730"/>
      <c r="BF9" s="1730"/>
      <c r="BG9" s="1730"/>
      <c r="BH9" s="1730"/>
      <c r="BI9" s="1730"/>
    </row>
    <row s="1143" customFormat="1" customHeight="1" ht="11.25" hidden="1">
      <c r="A10" s="309" t="s">
        <v>404</v>
      </c>
      <c r="AE10" s="312" cm="1" t="str">
        <f t="array" ref="AE10:AE10">AE25</f>
        <v>Принято органом регулирования</v>
      </c>
      <c r="AF10" s="312" cm="1" t="str">
        <f t="array" ref="AF10:AF10">AF25</f>
        <v>Факт по данным организации</v>
      </c>
      <c r="AG10" s="312" cm="1" t="str">
        <f t="array" ref="AG10:AG10">AG25</f>
        <v>Факт, принятый органом регулирования</v>
      </c>
      <c r="AH10" s="312" cm="1" t="str">
        <f t="array" ref="AH10:AH10">AH25</f>
        <v>отклонение факта по данным организации к факту принятому органом регулирования</v>
      </c>
      <c r="AI10" s="312" cm="1" t="str">
        <f t="array" ref="AI10:AI10">AI25</f>
        <v>Принято органом регулирования</v>
      </c>
      <c r="AJ10" s="312" cm="1" t="str">
        <f t="array" ref="AJ10:AJ10">AJ25</f>
        <v>Предложение организации</v>
      </c>
      <c r="AK10" s="312" cm="1" t="str">
        <f t="array" ref="AK10:AK10">AK25</f>
        <v>Принято органом регулирования</v>
      </c>
      <c r="AL10" s="312"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489"/>
      <c r="AS10" s="489"/>
      <c r="AT10" s="489"/>
      <c r="AU10" s="546"/>
      <c r="AV10" s="546"/>
      <c r="AX10" s="1730"/>
      <c r="AY10" s="1730"/>
      <c r="AZ10" s="1730"/>
      <c r="BA10" s="1730"/>
      <c r="BB10" s="1730"/>
      <c r="BC10" s="1730"/>
      <c r="BD10" s="1730"/>
      <c r="BE10" s="1730"/>
      <c r="BF10" s="1730"/>
      <c r="BG10" s="1730"/>
      <c r="BH10" s="1730"/>
      <c r="BI10" s="1730"/>
    </row>
    <row s="1143" customFormat="1" customHeight="1" ht="11.25" hidden="1">
      <c r="A11" s="309" t="s">
        <v>405</v>
      </c>
      <c r="G11" s="483"/>
      <c r="H11" s="483"/>
      <c r="I11" s="483"/>
      <c r="J11" s="483"/>
      <c r="K11" s="483"/>
      <c r="L11" s="483"/>
      <c r="M11" s="483"/>
      <c r="N11" s="483"/>
      <c r="O11" s="483"/>
      <c r="P11" s="483"/>
      <c r="Q11" s="483"/>
      <c r="R11" s="483"/>
      <c r="S11" s="483"/>
      <c r="AC11" s="326"/>
      <c r="AM11" s="312" cm="1" t="str">
        <f t="array" ref="AM11:AM11">AM24</f>
        <v>Указание на подтверждающие документы / URL-ссылка на копии подтверждающих документов</v>
      </c>
      <c r="AN11" s="312" cm="1" t="str">
        <f t="array" ref="AN11:AN11">AN24</f>
        <v>Ссылка на правовую норму (основание для принятия показателя в расчет тарифа)</v>
      </c>
      <c r="AO11" s="312"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489"/>
      <c r="AS11" s="489"/>
      <c r="AT11" s="489"/>
      <c r="AU11" s="546"/>
      <c r="AV11" s="546"/>
      <c r="AX11" s="1730"/>
      <c r="AY11" s="1730"/>
      <c r="AZ11" s="1730"/>
      <c r="BA11" s="1730"/>
      <c r="BB11" s="1730"/>
      <c r="BC11" s="1730"/>
      <c r="BD11" s="1730"/>
      <c r="BE11" s="1730"/>
      <c r="BF11" s="1730"/>
      <c r="BG11" s="1730"/>
      <c r="BH11" s="1730"/>
      <c r="BI11" s="1730"/>
    </row>
    <row s="1143" customFormat="1" customHeight="1" ht="11.25" hidden="1">
      <c r="A12" s="309" t="s">
        <v>350</v>
      </c>
      <c r="G12" s="483"/>
      <c r="H12" s="483"/>
      <c r="I12" s="483"/>
      <c r="J12" s="483"/>
      <c r="K12" s="483"/>
      <c r="L12" s="483"/>
      <c r="M12" s="483"/>
      <c r="N12" s="483"/>
      <c r="O12" s="483"/>
      <c r="P12" s="483"/>
      <c r="Q12" s="483"/>
      <c r="R12" s="483"/>
      <c r="S12" s="483"/>
      <c r="AC12" s="326" t="s">
        <v>338</v>
      </c>
      <c r="AR12" s="489"/>
      <c r="AS12" s="489"/>
      <c r="AT12" s="489"/>
      <c r="AU12" s="546"/>
      <c r="AV12" s="546"/>
      <c r="AX12" s="1730"/>
      <c r="AY12" s="1730"/>
      <c r="AZ12" s="1730"/>
      <c r="BA12" s="1730"/>
      <c r="BB12" s="1730"/>
      <c r="BC12" s="1730"/>
      <c r="BD12" s="1730"/>
      <c r="BE12" s="1730"/>
      <c r="BF12" s="1730"/>
      <c r="BG12" s="1730"/>
      <c r="BH12" s="1730"/>
      <c r="BI12" s="1730"/>
    </row>
    <row s="1548" customFormat="1" customHeight="1" ht="11.25" hidden="1">
      <c r="A13" s="371"/>
      <c r="E13" s="180"/>
      <c r="G13" s="193"/>
      <c r="H13" s="193"/>
      <c r="I13" s="193"/>
      <c r="J13" s="193"/>
      <c r="K13" s="193"/>
      <c r="L13" s="193"/>
      <c r="M13" s="193"/>
      <c r="N13" s="193"/>
      <c r="O13" s="193"/>
      <c r="P13" s="193"/>
      <c r="Q13" s="193"/>
      <c r="R13" s="193"/>
      <c r="S13" s="193"/>
      <c r="AC13" s="176"/>
      <c r="AR13" s="489"/>
      <c r="AS13" s="489"/>
      <c r="AT13" s="489"/>
      <c r="AU13" s="546"/>
      <c r="AV13" s="546"/>
      <c r="AX13" s="0"/>
      <c r="AY13" s="0"/>
      <c r="AZ13" s="0"/>
      <c r="BA13" s="0"/>
      <c r="BB13" s="0"/>
      <c r="BC13" s="0"/>
      <c r="BD13" s="0"/>
      <c r="BE13" s="0"/>
      <c r="BF13" s="0"/>
      <c r="BG13" s="0"/>
      <c r="BH13" s="0"/>
      <c r="BI13" s="0"/>
    </row>
    <row s="1548" customFormat="1" customHeight="1" ht="11.25" hidden="1">
      <c r="A14" s="371"/>
      <c r="E14" s="180"/>
      <c r="G14" s="193"/>
      <c r="H14" s="193"/>
      <c r="I14" s="193"/>
      <c r="J14" s="193"/>
      <c r="K14" s="193"/>
      <c r="L14" s="193"/>
      <c r="M14" s="193"/>
      <c r="N14" s="193"/>
      <c r="O14" s="193"/>
      <c r="P14" s="193"/>
      <c r="Q14" s="193"/>
      <c r="R14" s="193"/>
      <c r="S14" s="193"/>
      <c r="AC14" s="176"/>
      <c r="AR14" s="489"/>
      <c r="AS14" s="489"/>
      <c r="AT14" s="489"/>
      <c r="AU14" s="546"/>
      <c r="AV14" s="546"/>
      <c r="AX14" s="0"/>
      <c r="AY14" s="0"/>
      <c r="AZ14" s="0"/>
      <c r="BA14" s="0"/>
      <c r="BB14" s="0"/>
      <c r="BC14" s="0"/>
      <c r="BD14" s="0"/>
      <c r="BE14" s="0"/>
      <c r="BF14" s="0"/>
      <c r="BG14" s="0"/>
      <c r="BH14" s="0"/>
      <c r="BI14" s="0"/>
    </row>
    <row s="1548" customFormat="1" customHeight="1" ht="11.25" hidden="1">
      <c r="A15" s="371"/>
      <c r="E15" s="180"/>
      <c r="G15" s="193"/>
      <c r="H15" s="193"/>
      <c r="I15" s="193"/>
      <c r="J15" s="193"/>
      <c r="K15" s="193"/>
      <c r="L15" s="193"/>
      <c r="M15" s="193"/>
      <c r="N15" s="193"/>
      <c r="O15" s="193"/>
      <c r="P15" s="193"/>
      <c r="Q15" s="193"/>
      <c r="R15" s="193"/>
      <c r="S15" s="193"/>
      <c r="AC15" s="176"/>
      <c r="AR15" s="489"/>
      <c r="AS15" s="489"/>
      <c r="AT15" s="489"/>
      <c r="AU15" s="546"/>
      <c r="AV15" s="546"/>
      <c r="AX15" s="0"/>
      <c r="AY15" s="0"/>
      <c r="AZ15" s="0"/>
      <c r="BA15" s="0"/>
      <c r="BB15" s="0"/>
      <c r="BC15" s="0"/>
      <c r="BD15" s="0"/>
      <c r="BE15" s="0"/>
      <c r="BF15" s="0"/>
      <c r="BG15" s="0"/>
      <c r="BH15" s="0"/>
      <c r="BI15" s="0"/>
    </row>
    <row s="1548" customFormat="1" customHeight="1" ht="11.25" hidden="1">
      <c r="A16" s="371"/>
      <c r="E16" s="180"/>
      <c r="G16" s="193"/>
      <c r="H16" s="193"/>
      <c r="I16" s="193"/>
      <c r="J16" s="193"/>
      <c r="K16" s="193"/>
      <c r="L16" s="193"/>
      <c r="M16" s="193"/>
      <c r="N16" s="193"/>
      <c r="O16" s="193"/>
      <c r="P16" s="193"/>
      <c r="Q16" s="193"/>
      <c r="R16" s="193"/>
      <c r="S16" s="193"/>
      <c r="AC16" s="176"/>
      <c r="AR16" s="489"/>
      <c r="AS16" s="489"/>
      <c r="AT16" s="489"/>
      <c r="AU16" s="546"/>
      <c r="AV16" s="546"/>
      <c r="AX16" s="0"/>
      <c r="AY16" s="0"/>
      <c r="AZ16" s="0"/>
      <c r="BA16" s="0"/>
      <c r="BB16" s="0"/>
      <c r="BC16" s="0"/>
      <c r="BD16" s="0"/>
      <c r="BE16" s="0"/>
      <c r="BF16" s="0"/>
      <c r="BG16" s="0"/>
      <c r="BH16" s="0"/>
      <c r="BI16" s="0"/>
    </row>
    <row s="1548" customFormat="1" customHeight="1" ht="11.25" hidden="1">
      <c r="A17" s="371"/>
      <c r="E17" s="180"/>
      <c r="G17" s="193"/>
      <c r="H17" s="193"/>
      <c r="I17" s="193"/>
      <c r="J17" s="193"/>
      <c r="K17" s="193"/>
      <c r="L17" s="193"/>
      <c r="M17" s="193"/>
      <c r="N17" s="193"/>
      <c r="O17" s="193"/>
      <c r="P17" s="193"/>
      <c r="Q17" s="193"/>
      <c r="R17" s="193"/>
      <c r="S17" s="193"/>
      <c r="AC17" s="176"/>
      <c r="AR17" s="489"/>
      <c r="AS17" s="489"/>
      <c r="AT17" s="489"/>
      <c r="AU17" s="546"/>
      <c r="AV17" s="546"/>
      <c r="AX17" s="0"/>
      <c r="AY17" s="0"/>
      <c r="AZ17" s="0"/>
      <c r="BA17" s="0"/>
      <c r="BB17" s="0"/>
      <c r="BC17" s="0"/>
      <c r="BD17" s="0"/>
      <c r="BE17" s="0"/>
      <c r="BF17" s="0"/>
      <c r="BG17" s="0"/>
      <c r="BH17" s="0"/>
      <c r="BI17" s="0"/>
    </row>
    <row s="1548" customFormat="1" customHeight="1" ht="11.25" hidden="1">
      <c r="A18" s="978" t="s">
        <v>492</v>
      </c>
      <c r="E18" s="180"/>
      <c r="G18" s="193"/>
      <c r="H18" s="193"/>
      <c r="I18" s="193"/>
      <c r="J18" s="193"/>
      <c r="K18" s="193"/>
      <c r="L18" s="193"/>
      <c r="M18" s="193"/>
      <c r="N18" s="193"/>
      <c r="O18" s="193"/>
      <c r="P18" s="193"/>
      <c r="Q18" s="193"/>
      <c r="R18" s="193"/>
      <c r="S18" s="193"/>
      <c r="AC18" s="1088" t="s">
        <v>412</v>
      </c>
      <c r="AR18" s="489"/>
      <c r="AS18" s="489"/>
      <c r="AT18" s="489"/>
      <c r="AU18" s="546"/>
      <c r="AV18" s="546"/>
      <c r="AX18" s="0"/>
      <c r="AY18" s="0"/>
      <c r="AZ18" s="0"/>
      <c r="BA18" s="0"/>
      <c r="BB18" s="0"/>
      <c r="BC18" s="0"/>
      <c r="BD18" s="0"/>
      <c r="BE18" s="0"/>
      <c r="BF18" s="0"/>
      <c r="BG18" s="0"/>
      <c r="BH18" s="0"/>
      <c r="BI18" s="0"/>
    </row>
    <row s="1548" customFormat="1" customHeight="1" ht="11.25" hidden="1">
      <c r="A19" s="371"/>
      <c r="E19" s="180"/>
      <c r="G19" s="193"/>
      <c r="H19" s="193"/>
      <c r="I19" s="193"/>
      <c r="J19" s="193"/>
      <c r="K19" s="193"/>
      <c r="L19" s="193"/>
      <c r="M19" s="193"/>
      <c r="N19" s="193"/>
      <c r="O19" s="193"/>
      <c r="P19" s="193"/>
      <c r="Q19" s="193"/>
      <c r="R19" s="193"/>
      <c r="S19" s="193"/>
      <c r="AC19" s="176"/>
      <c r="AR19" s="489"/>
      <c r="AS19" s="489"/>
      <c r="AT19" s="489"/>
      <c r="AU19" s="546"/>
      <c r="AV19" s="546"/>
      <c r="AX19" s="0"/>
      <c r="AY19" s="0"/>
      <c r="AZ19" s="0"/>
      <c r="BA19" s="0"/>
      <c r="BB19" s="0"/>
      <c r="BC19" s="0"/>
      <c r="BD19" s="0"/>
      <c r="BE19" s="0"/>
      <c r="BF19" s="0"/>
      <c r="BG19" s="0"/>
      <c r="BH19" s="0"/>
      <c r="BI19" s="0"/>
    </row>
    <row s="1548" customFormat="1" customHeight="1" ht="10.725000000000001" hidden="1">
      <c r="A20" s="371"/>
      <c r="E20" s="180">
        <v>11</v>
      </c>
      <c r="G20" s="193"/>
      <c r="H20" s="193"/>
      <c r="I20" s="193"/>
      <c r="J20" s="193"/>
      <c r="K20" s="193"/>
      <c r="L20" s="193"/>
      <c r="M20" s="193"/>
      <c r="N20" s="193"/>
      <c r="O20" s="193"/>
      <c r="P20" s="193"/>
      <c r="Q20" s="193"/>
      <c r="R20" s="193"/>
      <c r="S20" s="193"/>
      <c r="AC20" s="176"/>
      <c r="AR20" s="489"/>
      <c r="AS20" s="489"/>
      <c r="AT20" s="489"/>
      <c r="AU20" s="546"/>
      <c r="AV20" s="546"/>
      <c r="AX20" s="0"/>
      <c r="AY20" s="0"/>
      <c r="AZ20" s="0"/>
      <c r="BA20" s="0"/>
      <c r="BB20" s="0"/>
      <c r="BC20" s="0"/>
      <c r="BD20" s="0"/>
      <c r="BE20" s="0"/>
      <c r="BF20" s="0"/>
      <c r="BG20" s="0"/>
      <c r="BH20" s="0"/>
      <c r="BI20" s="0"/>
    </row>
    <row customHeight="1" ht="14.625">
      <c r="E21" s="180">
        <v>15</v>
      </c>
      <c r="AA21" s="182"/>
      <c r="AB21" s="679"/>
      <c r="AC21" s="278" cm="1" t="str">
        <f t="array" ref="AC21:AC21">tpl_title</f>
        <v>Кемеровская область / 2027 / ООО "КК-ИНВЕСТ" (ИНН:1901133713, КПП:190101001) / ДПР: 2025-2027</v>
      </c>
      <c r="AD21" s="679"/>
      <c r="AE21" s="679"/>
      <c r="AF21" s="679"/>
      <c r="AG21" s="679"/>
      <c r="AH21" s="679"/>
      <c r="AI21" s="679"/>
      <c r="AJ21" s="679"/>
      <c r="AK21" s="679"/>
      <c r="AL21" s="679"/>
      <c r="AM21" s="679"/>
      <c r="AN21" s="679"/>
      <c r="AO21" s="679"/>
      <c r="AP21" s="679"/>
    </row>
    <row s="1659" customFormat="1" customHeight="1" ht="19.5">
      <c r="A22" s="371"/>
      <c r="B22" s="175"/>
      <c r="C22" s="175"/>
      <c r="D22" s="175"/>
      <c r="E22" s="180">
        <v>20</v>
      </c>
      <c r="F22" s="175"/>
      <c r="T22" s="175"/>
      <c r="U22" s="175"/>
      <c r="V22" s="175"/>
      <c r="W22" s="175"/>
      <c r="X22" s="175"/>
      <c r="Y22" s="175"/>
      <c r="Z22" s="175"/>
      <c r="AA22" s="200"/>
      <c r="AB22" s="547" t="s">
        <v>56</v>
      </c>
      <c r="AC22" s="682"/>
      <c r="AD22" s="682"/>
      <c r="AE22" s="682"/>
      <c r="AF22" s="682"/>
      <c r="AG22" s="682"/>
      <c r="AH22" s="682"/>
      <c r="AI22" s="682"/>
      <c r="AJ22" s="682"/>
      <c r="AK22" s="682"/>
      <c r="AL22" s="682"/>
      <c r="AM22" s="682"/>
      <c r="AN22" s="682"/>
      <c r="AO22" s="682"/>
      <c r="AP22" s="200"/>
      <c r="AR22" s="489"/>
      <c r="AS22" s="489"/>
      <c r="AT22" s="489"/>
      <c r="AU22" s="546"/>
      <c r="AV22" s="546"/>
      <c r="AX22" s="0"/>
      <c r="AY22" s="0"/>
      <c r="AZ22" s="0"/>
      <c r="BA22" s="0"/>
      <c r="BB22" s="0"/>
      <c r="BC22" s="0"/>
      <c r="BD22" s="0"/>
      <c r="BE22" s="0"/>
      <c r="BF22" s="0"/>
      <c r="BG22" s="0"/>
      <c r="BH22" s="0"/>
      <c r="BI22" s="0"/>
    </row>
    <row s="1659" customFormat="1" customHeight="1" ht="9.75">
      <c r="A23" s="371"/>
      <c r="B23" s="175"/>
      <c r="C23" s="175"/>
      <c r="D23" s="175"/>
      <c r="E23" s="180">
        <v>10</v>
      </c>
      <c r="F23" s="175"/>
      <c r="T23" s="175"/>
      <c r="U23" s="175"/>
      <c r="V23" s="175"/>
      <c r="W23" s="175"/>
      <c r="X23" s="175"/>
      <c r="Y23" s="175"/>
      <c r="Z23" s="175"/>
      <c r="AA23" s="200"/>
      <c r="AB23" s="683"/>
      <c r="AC23" s="683"/>
      <c r="AD23" s="683"/>
      <c r="AE23" s="683"/>
      <c r="AF23" s="683"/>
      <c r="AG23" s="683"/>
      <c r="AH23" s="683"/>
      <c r="AI23" s="683"/>
      <c r="AJ23" s="683"/>
      <c r="AK23" s="683"/>
      <c r="AL23" s="683"/>
      <c r="AM23" s="683"/>
      <c r="AN23" s="683"/>
      <c r="AO23" s="683"/>
      <c r="AP23" s="200"/>
      <c r="AR23" s="489"/>
      <c r="AS23" s="489"/>
      <c r="AT23" s="489"/>
      <c r="AU23" s="546"/>
      <c r="AV23" s="546"/>
      <c r="AX23" s="0"/>
      <c r="AY23" s="0"/>
      <c r="AZ23" s="0"/>
      <c r="BA23" s="0"/>
      <c r="BB23" s="0"/>
      <c r="BC23" s="0"/>
      <c r="BD23" s="0"/>
      <c r="BE23" s="0"/>
      <c r="BF23" s="0"/>
      <c r="BG23" s="0"/>
      <c r="BH23" s="0"/>
      <c r="BI23" s="0"/>
    </row>
    <row s="308" customFormat="1" customHeight="1" ht="24.375">
      <c r="A24" s="371"/>
      <c r="B24" s="176"/>
      <c r="C24" s="176"/>
      <c r="D24" s="176"/>
      <c r="E24" s="284">
        <v>25</v>
      </c>
      <c r="F24" s="176"/>
      <c r="T24" s="176"/>
      <c r="U24" s="176"/>
      <c r="V24" s="176"/>
      <c r="W24" s="176"/>
      <c r="X24" s="176"/>
      <c r="Y24" s="176"/>
      <c r="Z24" s="176"/>
      <c r="AA24" s="681"/>
      <c r="AB24" s="1679" t="s">
        <v>355</v>
      </c>
      <c r="AC24" s="1679" t="s">
        <v>412</v>
      </c>
      <c r="AD24" s="1679" t="s">
        <v>413</v>
      </c>
      <c r="AE24" s="684" t="str">
        <f>god-2&amp;" год"</f>
        <v>2025 год</v>
      </c>
      <c r="AF24" s="685" t="str">
        <f>god-2&amp;" год"</f>
        <v>2025 год</v>
      </c>
      <c r="AG24" s="684" t="str">
        <f>god-2&amp;" год"</f>
        <v>2025 год</v>
      </c>
      <c r="AH24" s="684" t="str">
        <f>god-2&amp;" год"</f>
        <v>2025 год</v>
      </c>
      <c r="AI24" s="384" t="str">
        <f>god-1&amp;" год"</f>
        <v>2026 год</v>
      </c>
      <c r="AJ24" s="329" t="str">
        <f>god&amp;" год"</f>
        <v>2027 год</v>
      </c>
      <c r="AK24" s="328" t="str">
        <f>god&amp;" год"</f>
        <v>2027 год</v>
      </c>
      <c r="AL24" s="328" t="str">
        <f>god&amp;" год"</f>
        <v>2027 год</v>
      </c>
      <c r="AM24" s="1678" t="s">
        <v>1546</v>
      </c>
      <c r="AN24" s="1678" t="s">
        <v>625</v>
      </c>
      <c r="AO24" s="1678" t="s">
        <v>1547</v>
      </c>
      <c r="AP24" s="681"/>
      <c r="AR24" s="489"/>
      <c r="AS24" s="984"/>
      <c r="AT24" s="984"/>
      <c r="AU24" s="985"/>
      <c r="AV24" s="985"/>
      <c r="AX24" s="0"/>
      <c r="AY24" s="0"/>
      <c r="AZ24" s="0"/>
      <c r="BA24" s="0"/>
      <c r="BB24" s="0"/>
      <c r="BC24" s="0"/>
      <c r="BD24" s="0"/>
      <c r="BE24" s="0"/>
      <c r="BF24" s="0"/>
      <c r="BG24" s="0"/>
      <c r="BH24" s="0"/>
      <c r="BI24" s="0"/>
    </row>
    <row s="308" customFormat="1" customHeight="1" ht="44.85">
      <c r="A25" s="371"/>
      <c r="B25" s="176"/>
      <c r="C25" s="176"/>
      <c r="D25" s="176"/>
      <c r="E25" s="284">
        <v>46</v>
      </c>
      <c r="F25" s="176"/>
      <c r="T25" s="176"/>
      <c r="U25" s="176"/>
      <c r="V25" s="176"/>
      <c r="W25" s="176"/>
      <c r="X25" s="176"/>
      <c r="Y25" s="176"/>
      <c r="Z25" s="176"/>
      <c r="AA25" s="681"/>
      <c r="AB25" s="1679"/>
      <c r="AC25" s="1679"/>
      <c r="AD25" s="1679"/>
      <c r="AE25" s="384" t="s">
        <v>415</v>
      </c>
      <c r="AF25" s="382" t="s">
        <v>626</v>
      </c>
      <c r="AG25" s="384" t="s">
        <v>627</v>
      </c>
      <c r="AH25" s="684" t="s">
        <v>1134</v>
      </c>
      <c r="AI25" s="384" t="s">
        <v>415</v>
      </c>
      <c r="AJ25" s="331" t="s">
        <v>416</v>
      </c>
      <c r="AK25" s="424" t="s">
        <v>415</v>
      </c>
      <c r="AL25" s="684" t="s">
        <v>1548</v>
      </c>
      <c r="AM25" s="1678"/>
      <c r="AN25" s="1678"/>
      <c r="AO25" s="1678"/>
      <c r="AP25" s="681"/>
      <c r="AR25" s="489"/>
      <c r="AS25" s="984"/>
      <c r="AT25" s="984"/>
      <c r="AU25" s="985"/>
      <c r="AV25" s="985"/>
      <c r="AX25" s="0"/>
      <c r="AY25" s="0"/>
      <c r="AZ25" s="0"/>
      <c r="BA25" s="0"/>
      <c r="BB25" s="0"/>
      <c r="BC25" s="0"/>
      <c r="BD25" s="0"/>
      <c r="BE25" s="0"/>
      <c r="BF25" s="0"/>
      <c r="BG25" s="0"/>
      <c r="BH25" s="0"/>
      <c r="BI25" s="0"/>
    </row>
    <row s="308" customFormat="1" customHeight="1" ht="45.75" hidden="1">
      <c r="A26" s="371"/>
      <c r="B26" s="176"/>
      <c r="C26" s="176"/>
      <c r="D26" s="176"/>
      <c r="E26" s="966">
        <v>0</v>
      </c>
      <c r="F26" s="176"/>
      <c r="T26" s="176"/>
      <c r="U26" s="176"/>
      <c r="V26" s="176"/>
      <c r="W26" s="176"/>
      <c r="X26" s="176"/>
      <c r="Y26" s="176"/>
      <c r="Z26" s="176"/>
      <c r="AA26" s="681"/>
      <c r="AB26" s="686"/>
      <c r="AC26" s="687"/>
      <c r="AD26" s="687"/>
      <c r="AE26" s="279"/>
      <c r="AF26" s="279"/>
      <c r="AG26" s="279"/>
      <c r="AH26" s="680"/>
      <c r="AI26" s="279"/>
      <c r="AJ26" s="279"/>
      <c r="AK26" s="279"/>
      <c r="AL26" s="680"/>
      <c r="AM26" s="680"/>
      <c r="AN26" s="680"/>
      <c r="AO26" s="680"/>
      <c r="AP26" s="681"/>
      <c r="AR26" s="489"/>
      <c r="AS26" s="984"/>
      <c r="AT26" s="984"/>
      <c r="AU26" s="985"/>
      <c r="AV26" s="985"/>
      <c r="AX26" s="0"/>
      <c r="AY26" s="0"/>
      <c r="AZ26" s="0"/>
      <c r="BA26" s="0"/>
      <c r="BB26" s="0"/>
      <c r="BC26" s="0"/>
      <c r="BD26" s="0"/>
      <c r="BE26" s="0"/>
      <c r="BF26" s="0"/>
      <c r="BG26" s="0"/>
      <c r="BH26" s="0"/>
      <c r="BI26" s="0"/>
    </row>
    <row s="969" customFormat="1" customHeight="1" ht="13.649999999999999" hidden="1">
      <c r="E27" s="180">
        <v>14</v>
      </c>
      <c r="F27" s="175" cm="1" t="str">
        <f t="array" ref="F27:F27">X27</f>
        <v>0</v>
      </c>
      <c r="G27" s="193" cm="1" t="str">
        <f t="array" ref="G27:G27">INDEX('Общие сведения'!$AK$169:$AK$202,MATCH($F27,'Общие сведения'!$Y$169:$Y$202,0))</f>
        <v>0</v>
      </c>
      <c r="I27" s="193" cm="1" t="str">
        <f t="array" ref="I27:I27">INDEX('Общие сведения'!$AE$169:$AE$202,MATCH($F27,'Общие сведения'!$Y$169:$Y$202,0))</f>
        <v>Теплоснабжение</v>
      </c>
      <c r="T27" s="753">
        <f>X27&gt;0</f>
        <v>0</v>
      </c>
      <c r="V27" s="175" t="s">
        <v>266</v>
      </c>
      <c r="X27" s="175">
        <v>0</v>
      </c>
      <c r="AB27" s="688" cm="1" t="str">
        <f t="array" ref="AB27:AB27">INDEX('Общие сведения'!$AG$169:$AG$202,MATCH($F27,'Общие сведения'!$Y$169:$Y$202,0))</f>
        <v>Тариф 0 (Теплоснабжение) - </v>
      </c>
      <c r="AC27" s="334"/>
      <c r="AD27" s="334"/>
      <c r="AE27" s="334"/>
      <c r="AF27" s="334"/>
      <c r="AG27" s="334"/>
      <c r="AH27" s="334"/>
      <c r="AI27" s="334"/>
      <c r="AJ27" s="334"/>
      <c r="AK27" s="334"/>
      <c r="AL27" s="334"/>
      <c r="AM27" s="334"/>
      <c r="AN27" s="334"/>
      <c r="AO27" s="334"/>
      <c r="AR27" s="489"/>
      <c r="AS27" s="489"/>
      <c r="AT27" s="489"/>
      <c r="AU27" s="546"/>
      <c r="AV27" s="546"/>
    </row>
    <row s="989" customFormat="1" customHeight="1" ht="13.649999999999999" hidden="1">
      <c r="E28" s="284">
        <v>14</v>
      </c>
      <c r="F28" s="175" cm="1" t="str">
        <f t="array" ref="F28:F28">OFFSET(G28,-1,-1)</f>
        <v>0</v>
      </c>
      <c r="G28" s="308" t="s">
        <v>1549</v>
      </c>
      <c r="T28" s="753" cm="1" t="str">
        <f t="array" ref="T28:T28">T27</f>
        <v>false</v>
      </c>
      <c r="AB28" s="1680" t="s">
        <v>1550</v>
      </c>
      <c r="AC28" s="1681"/>
      <c r="AD28" s="663" t="s">
        <v>917</v>
      </c>
      <c r="AE28" s="120">
        <f>SUM(AE29:AE33)+SUM(AE39:AE43)+AE47</f>
        <v>0</v>
      </c>
      <c r="AF28" s="120">
        <f>SUM(AF29:AF33)+SUM(AF39:AF43)+AF47</f>
        <v>0</v>
      </c>
      <c r="AG28" s="120">
        <f>SUM(AG29:AG33)+SUM(AG39:AG43)+AG47</f>
        <v>0</v>
      </c>
      <c r="AH28" s="120">
        <f>AG28-AF28</f>
        <v>0</v>
      </c>
      <c r="AI28" s="120">
        <f>SUM(AI29:AI33)+SUM(AI39:AI43)+AI47</f>
        <v>0</v>
      </c>
      <c r="AJ28" s="120">
        <f>SUM(AJ29:AJ33)+SUM(AJ39:AJ43)+AJ47</f>
        <v>0</v>
      </c>
      <c r="AK28" s="120">
        <f>SUM(AK29:AK33)+SUM(AK39:AK43)+AK47</f>
        <v>0</v>
      </c>
      <c r="AL28" s="692">
        <f>IF(AI28=0,0,(AK28-AI28)/AI28*100)</f>
        <v>0</v>
      </c>
      <c r="AM28" s="83"/>
      <c r="AN28" s="83"/>
      <c r="AO28" s="83"/>
      <c r="AR28" s="489" t="s">
        <v>1551</v>
      </c>
      <c r="AS28" s="990"/>
      <c r="AT28" s="990"/>
      <c r="AU28" s="991"/>
      <c r="AV28" s="991"/>
      <c r="AX28" s="0" cm="1" t="str">
        <f t="array" ref="AX28:AX28">INDEX('Общие сведения'!$N$170:$N$202,MATCH($F28,'Общие сведения'!$Y$170:$Y$202,0)+1)</f>
        <v>0</v>
      </c>
      <c r="BE28" s="0" t="s">
        <v>219</v>
      </c>
      <c r="BG28" s="0" t="s">
        <v>303</v>
      </c>
      <c r="BH28" s="0" t="s">
        <v>1552</v>
      </c>
      <c r="BI28" s="0" t="s">
        <v>1553</v>
      </c>
    </row>
    <row customHeight="1" ht="29.25" hidden="1">
      <c r="E29" s="180">
        <v>30</v>
      </c>
      <c r="F29" s="175" cm="1" t="str">
        <f t="array" ref="F29:F29">OFFSET(G29,-1,-1)</f>
        <v>0</v>
      </c>
      <c r="T29" s="753" cm="1" t="str">
        <f t="array" ref="T29:T29">T28</f>
        <v>false</v>
      </c>
      <c r="AB29" s="491">
        <v>1</v>
      </c>
      <c r="AC29" s="496" t="s">
        <v>1554</v>
      </c>
      <c r="AD29" s="369" t="s">
        <v>1178</v>
      </c>
      <c r="AE29" s="121"/>
      <c r="AF29" s="121"/>
      <c r="AG29" s="121"/>
      <c r="AH29" s="694">
        <f>AG29-AF29</f>
        <v>0</v>
      </c>
      <c r="AI29" s="121"/>
      <c r="AJ29" s="121"/>
      <c r="AK29" s="121"/>
      <c r="AL29" s="695">
        <f>IF(AI29=0,0,(AK29-AI29)/AI29*100)</f>
        <v>0</v>
      </c>
      <c r="AM29" s="83"/>
      <c r="AN29" s="83"/>
      <c r="AO29" s="83"/>
      <c r="AR29" s="489" t="s">
        <v>1555</v>
      </c>
      <c r="AX29" s="0" cm="1" t="str">
        <f t="array" ref="AX29:AX29">AX28</f>
        <v>0</v>
      </c>
      <c r="AY29" s="0" t="s">
        <v>1556</v>
      </c>
      <c r="BG29" s="0" t="s">
        <v>303</v>
      </c>
      <c r="BH29" s="0" t="s">
        <v>1044</v>
      </c>
      <c r="BI29" s="0" t="s">
        <v>1045</v>
      </c>
    </row>
    <row s="1046" customFormat="1" customHeight="1" ht="14.625" hidden="1">
      <c r="E30" s="284">
        <v>15</v>
      </c>
      <c r="F30" s="175" cm="1" t="str">
        <f t="array" ref="F30:F30">OFFSET(G30,-1,-1)</f>
        <v>0</v>
      </c>
      <c r="T30" s="753" cm="1" t="str">
        <f t="array" ref="T30:T30">T29</f>
        <v>false</v>
      </c>
      <c r="AB30" s="491">
        <v>2</v>
      </c>
      <c r="AC30" s="496" t="s">
        <v>1557</v>
      </c>
      <c r="AD30" s="369" t="s">
        <v>1178</v>
      </c>
      <c r="AE30" s="121"/>
      <c r="AF30" s="121"/>
      <c r="AG30" s="121"/>
      <c r="AH30" s="695">
        <f>AG30-AF30</f>
        <v>0</v>
      </c>
      <c r="AI30" s="121"/>
      <c r="AJ30" s="121"/>
      <c r="AK30" s="121"/>
      <c r="AL30" s="695">
        <f>IF(AI30=0,0,(AK30-AI30)/AI30*100)</f>
        <v>0</v>
      </c>
      <c r="AM30" s="83"/>
      <c r="AN30" s="83"/>
      <c r="AO30" s="83"/>
      <c r="AR30" s="489" t="s">
        <v>1558</v>
      </c>
      <c r="AS30" s="990"/>
      <c r="AT30" s="990"/>
      <c r="AU30" s="991"/>
      <c r="AV30" s="991"/>
      <c r="AX30" s="0" cm="1" t="str">
        <f t="array" ref="AX30:AX30">AX29</f>
        <v>0</v>
      </c>
      <c r="BA30" s="0" t="s">
        <v>1559</v>
      </c>
      <c r="BG30" s="0" t="s">
        <v>303</v>
      </c>
      <c r="BH30" s="0" t="s">
        <v>1044</v>
      </c>
      <c r="BI30" s="0" t="s">
        <v>1045</v>
      </c>
    </row>
    <row customHeight="1" ht="14.625" hidden="1">
      <c r="E31" s="180">
        <v>15</v>
      </c>
      <c r="F31" s="175" cm="1" t="str">
        <f t="array" ref="F31:F31">OFFSET(G31,-1,-1)</f>
        <v>0</v>
      </c>
      <c r="G31" s="193" t="s">
        <v>49</v>
      </c>
      <c r="T31" s="753" cm="1" t="str">
        <f t="array" ref="T31:T31">T30</f>
        <v>false</v>
      </c>
      <c r="AB31" s="491">
        <v>3</v>
      </c>
      <c r="AC31" s="505" t="s">
        <v>50</v>
      </c>
      <c r="AD31" s="467" t="s">
        <v>1178</v>
      </c>
      <c r="AE31" s="100">
        <f>_xlfn.SUMIFS(ФОТ!AE$26:AE$80,ФОТ!$F$26:$F$80,$F31,ФОТ!$G$26:$G$80,$G31)</f>
        <v>0</v>
      </c>
      <c r="AF31" s="100">
        <f>_xlfn.SUMIFS(ФОТ!AF$26:AF$80,ФОТ!$F$26:$F$80,$F31,ФОТ!$G$26:$G$80,$G31)</f>
        <v>0</v>
      </c>
      <c r="AG31" s="100">
        <f>_xlfn.SUMIFS(ФОТ!AG$26:AG$80,ФОТ!$F$26:$F$80,$F31,ФОТ!$G$26:$G$80,$G31)</f>
        <v>0</v>
      </c>
      <c r="AH31" s="695">
        <f>AG31-AF31</f>
        <v>0</v>
      </c>
      <c r="AI31" s="100">
        <f>_xlfn.SUMIFS(ФОТ!AH$26:AH$80,ФОТ!$F$26:$F$80,$F31,ФОТ!$G$26:$G$80,$G31)</f>
        <v>0</v>
      </c>
      <c r="AJ31" s="695">
        <f>_xlfn.SUMIFS(ФОТ!AI$26:AI$80,ФОТ!$F$26:$F$80,$F31,ФОТ!$G$26:$G$80,$G31)</f>
        <v>0</v>
      </c>
      <c r="AK31" s="695">
        <f>_xlfn.SUMIFS(ФОТ!AJ$26:AJ$80,ФОТ!$F$26:$F$80,$F31,ФОТ!$G$26:$G$80,$G31)</f>
        <v>0</v>
      </c>
      <c r="AL31" s="695">
        <f>IF(AI31=0,0,(AK31-AI31)/AI31*100)</f>
        <v>0</v>
      </c>
      <c r="AM31" s="83"/>
      <c r="AN31" s="83"/>
      <c r="AO31" s="83"/>
      <c r="AR31" s="489" t="s">
        <v>1560</v>
      </c>
      <c r="AX31" s="0" cm="1" t="str">
        <f t="array" ref="AX31:AX31">AX30</f>
        <v>0</v>
      </c>
      <c r="AY31" s="0" t="s">
        <v>1561</v>
      </c>
      <c r="BG31" s="0" t="s">
        <v>303</v>
      </c>
      <c r="BH31" s="0" t="s">
        <v>1044</v>
      </c>
      <c r="BI31" s="0" t="s">
        <v>1045</v>
      </c>
    </row>
    <row customHeight="1" ht="52.650000000000006" hidden="1">
      <c r="E32" s="180">
        <v>54</v>
      </c>
      <c r="F32" s="175" cm="1" t="str">
        <f t="array" ref="F32:F32">OFFSET(G32,-1,-1)</f>
        <v>0</v>
      </c>
      <c r="T32" s="753" cm="1" t="str">
        <f t="array" ref="T32:T32">T31</f>
        <v>false</v>
      </c>
      <c r="AB32" s="491">
        <v>4</v>
      </c>
      <c r="AC32" s="496" t="s">
        <v>1562</v>
      </c>
      <c r="AD32" s="467" t="s">
        <v>1178</v>
      </c>
      <c r="AE32" s="100"/>
      <c r="AF32" s="100"/>
      <c r="AG32" s="100"/>
      <c r="AH32" s="695">
        <f>AG32-AF32</f>
        <v>0</v>
      </c>
      <c r="AI32" s="100"/>
      <c r="AJ32" s="100"/>
      <c r="AK32" s="100"/>
      <c r="AL32" s="695">
        <f>IF(AI32=0,0,(AK32-AI32)/AI32*100)</f>
        <v>0</v>
      </c>
      <c r="AM32" s="83"/>
      <c r="AN32" s="83"/>
      <c r="AO32" s="83"/>
      <c r="AR32" s="489" t="s">
        <v>1563</v>
      </c>
      <c r="AX32" s="0" cm="1" t="str">
        <f t="array" ref="AX32:AX32">AX31</f>
        <v>0</v>
      </c>
      <c r="AY32" s="0" t="s">
        <v>1564</v>
      </c>
      <c r="BD32" s="0" t="s">
        <v>1565</v>
      </c>
      <c r="BG32" s="0" t="s">
        <v>303</v>
      </c>
      <c r="BH32" s="0" t="s">
        <v>1044</v>
      </c>
      <c r="BI32" s="0" t="s">
        <v>1045</v>
      </c>
    </row>
    <row customHeight="1" ht="31.200000000000003" hidden="1">
      <c r="E33" s="180">
        <v>32</v>
      </c>
      <c r="F33" s="175" cm="1" t="str">
        <f t="array" ref="F33:F33">OFFSET(G33,-1,-1)</f>
        <v>0</v>
      </c>
      <c r="T33" s="753" cm="1" t="str">
        <f t="array" ref="T33:T33">T32</f>
        <v>false</v>
      </c>
      <c r="AB33" s="491">
        <v>5</v>
      </c>
      <c r="AC33" s="496" t="s">
        <v>1566</v>
      </c>
      <c r="AD33" s="467" t="s">
        <v>1178</v>
      </c>
      <c r="AE33" s="695">
        <f>SUM(AE34:AE38)</f>
        <v>0</v>
      </c>
      <c r="AF33" s="695">
        <f>SUM(AF34:AF38)</f>
        <v>0</v>
      </c>
      <c r="AG33" s="100">
        <f>SUM(AG34:AG38)</f>
        <v>0</v>
      </c>
      <c r="AH33" s="695">
        <f>AG33-AF33</f>
        <v>0</v>
      </c>
      <c r="AI33" s="695">
        <f>SUM(AI34:AI38)</f>
        <v>0</v>
      </c>
      <c r="AJ33" s="695">
        <f>SUM(AJ34:AJ38)</f>
        <v>0</v>
      </c>
      <c r="AK33" s="695">
        <f>SUM(AK34:AK38)</f>
        <v>0</v>
      </c>
      <c r="AL33" s="695">
        <f>IF(AI33=0,0,(AK33-AI33)/AI33*100)</f>
        <v>0</v>
      </c>
      <c r="AM33" s="83"/>
      <c r="AN33" s="83"/>
      <c r="AO33" s="83"/>
      <c r="AR33" s="489" t="s">
        <v>1567</v>
      </c>
      <c r="AX33" s="0" cm="1" t="str">
        <f t="array" ref="AX33:AX33">AX32</f>
        <v>0</v>
      </c>
      <c r="AY33" s="0" t="s">
        <v>1564</v>
      </c>
      <c r="BG33" s="0" t="s">
        <v>303</v>
      </c>
      <c r="BH33" s="0" t="s">
        <v>1044</v>
      </c>
      <c r="BI33" s="0" t="s">
        <v>1045</v>
      </c>
    </row>
    <row customHeight="1" ht="14.625" hidden="1">
      <c r="E34" s="180">
        <v>15</v>
      </c>
      <c r="F34" s="175" cm="1" t="str">
        <f t="array" ref="F34:F34">OFFSET(G34,-1,-1)</f>
        <v>0</v>
      </c>
      <c r="T34" s="753" cm="1" t="str">
        <f t="array" ref="T34:T34">T33</f>
        <v>false</v>
      </c>
      <c r="AB34" s="491">
        <v>5.1</v>
      </c>
      <c r="AC34" s="496" t="s">
        <v>1568</v>
      </c>
      <c r="AD34" s="467" t="s">
        <v>1178</v>
      </c>
      <c r="AE34" s="100"/>
      <c r="AF34" s="100"/>
      <c r="AG34" s="100"/>
      <c r="AH34" s="695">
        <f>AG34-AF34</f>
        <v>0</v>
      </c>
      <c r="AI34" s="100"/>
      <c r="AJ34" s="100"/>
      <c r="AK34" s="100"/>
      <c r="AL34" s="695">
        <f>IF(AI34=0,0,(AK34-AI34)/AI34*100)</f>
        <v>0</v>
      </c>
      <c r="AM34" s="83"/>
      <c r="AN34" s="83"/>
      <c r="AO34" s="83"/>
      <c r="AR34" s="489" t="s">
        <v>1569</v>
      </c>
      <c r="AX34" s="0" cm="1" t="str">
        <f t="array" ref="AX34:AX34">AX33</f>
        <v>0</v>
      </c>
      <c r="AZ34" s="0" t="s">
        <v>1570</v>
      </c>
      <c r="BG34" s="0" t="s">
        <v>303</v>
      </c>
      <c r="BH34" s="0" t="s">
        <v>1044</v>
      </c>
      <c r="BI34" s="0" t="s">
        <v>1045</v>
      </c>
    </row>
    <row customHeight="1" ht="14.625" hidden="1">
      <c r="E35" s="180">
        <v>15</v>
      </c>
      <c r="F35" s="175" cm="1" t="str">
        <f t="array" ref="F35:F35">OFFSET(G35,-1,-1)</f>
        <v>0</v>
      </c>
      <c r="T35" s="753" cm="1" t="str">
        <f t="array" ref="T35:T35">T34</f>
        <v>false</v>
      </c>
      <c r="AB35" s="491">
        <v>5.2</v>
      </c>
      <c r="AC35" s="496" t="s">
        <v>1571</v>
      </c>
      <c r="AD35" s="467" t="s">
        <v>1178</v>
      </c>
      <c r="AE35" s="100"/>
      <c r="AF35" s="100"/>
      <c r="AG35" s="100"/>
      <c r="AH35" s="695">
        <f>AG35-AF35</f>
        <v>0</v>
      </c>
      <c r="AI35" s="100"/>
      <c r="AJ35" s="100"/>
      <c r="AK35" s="100"/>
      <c r="AL35" s="695">
        <f>IF(AI35=0,0,(AK35-AI35)/AI35*100)</f>
        <v>0</v>
      </c>
      <c r="AM35" s="83"/>
      <c r="AN35" s="83"/>
      <c r="AO35" s="83"/>
      <c r="AR35" s="489" t="s">
        <v>1572</v>
      </c>
      <c r="AX35" s="0" cm="1" t="str">
        <f t="array" ref="AX35:AX35">AX34</f>
        <v>0</v>
      </c>
      <c r="AZ35" s="0" t="s">
        <v>1573</v>
      </c>
      <c r="BG35" s="0" t="s">
        <v>303</v>
      </c>
      <c r="BH35" s="0" t="s">
        <v>1044</v>
      </c>
      <c r="BI35" s="0" t="s">
        <v>1045</v>
      </c>
    </row>
    <row customHeight="1" ht="14.625" hidden="1">
      <c r="E36" s="180">
        <v>15</v>
      </c>
      <c r="F36" s="175" cm="1" t="str">
        <f t="array" ref="F36:F36">OFFSET(G36,-1,-1)</f>
        <v>0</v>
      </c>
      <c r="T36" s="753" cm="1" t="str">
        <f t="array" ref="T36:T36">T35</f>
        <v>false</v>
      </c>
      <c r="AB36" s="491">
        <v>5.3</v>
      </c>
      <c r="AC36" s="496" t="s">
        <v>1574</v>
      </c>
      <c r="AD36" s="467" t="s">
        <v>1178</v>
      </c>
      <c r="AE36" s="100"/>
      <c r="AF36" s="100"/>
      <c r="AG36" s="100"/>
      <c r="AH36" s="695">
        <f>AG36-AF36</f>
        <v>0</v>
      </c>
      <c r="AI36" s="100"/>
      <c r="AJ36" s="100"/>
      <c r="AK36" s="100"/>
      <c r="AL36" s="695">
        <f>IF(AI36=0,0,(AK36-AI36)/AI36*100)</f>
        <v>0</v>
      </c>
      <c r="AM36" s="83"/>
      <c r="AN36" s="83"/>
      <c r="AO36" s="83"/>
      <c r="AR36" s="489" t="s">
        <v>1575</v>
      </c>
      <c r="AX36" s="0" cm="1" t="str">
        <f t="array" ref="AX36:AX36">AX35</f>
        <v>0</v>
      </c>
      <c r="AZ36" s="0" t="s">
        <v>1576</v>
      </c>
      <c r="BG36" s="0" t="s">
        <v>303</v>
      </c>
      <c r="BH36" s="0" t="s">
        <v>1044</v>
      </c>
      <c r="BI36" s="0" t="s">
        <v>1045</v>
      </c>
    </row>
    <row customHeight="1" ht="23.400000000000002" hidden="1">
      <c r="E37" s="180">
        <v>24</v>
      </c>
      <c r="F37" s="175" cm="1" t="str">
        <f t="array" ref="F37:F37">OFFSET(G37,-1,-1)</f>
        <v>0</v>
      </c>
      <c r="T37" s="753" cm="1" t="str">
        <f t="array" ref="T37:T37">T36</f>
        <v>false</v>
      </c>
      <c r="AB37" s="491">
        <v>5.4</v>
      </c>
      <c r="AC37" s="496" t="s">
        <v>1577</v>
      </c>
      <c r="AD37" s="467" t="s">
        <v>1178</v>
      </c>
      <c r="AE37" s="100"/>
      <c r="AF37" s="100"/>
      <c r="AG37" s="100"/>
      <c r="AH37" s="695">
        <f>AG37-AF37</f>
        <v>0</v>
      </c>
      <c r="AI37" s="100"/>
      <c r="AJ37" s="100"/>
      <c r="AK37" s="100"/>
      <c r="AL37" s="695">
        <f>IF(AI37=0,0,(AK37-AI37)/AI37*100)</f>
        <v>0</v>
      </c>
      <c r="AM37" s="83"/>
      <c r="AN37" s="83"/>
      <c r="AO37" s="83"/>
      <c r="AR37" s="489" t="s">
        <v>1578</v>
      </c>
      <c r="AX37" s="0" cm="1" t="str">
        <f t="array" ref="AX37:AX37">AX36</f>
        <v>0</v>
      </c>
      <c r="AZ37" s="0" t="s">
        <v>1579</v>
      </c>
      <c r="BG37" s="0" t="s">
        <v>303</v>
      </c>
      <c r="BH37" s="0" t="s">
        <v>1044</v>
      </c>
      <c r="BI37" s="0" t="s">
        <v>1045</v>
      </c>
    </row>
    <row customHeight="1" ht="14.625" hidden="1">
      <c r="E38" s="180">
        <v>15</v>
      </c>
      <c r="F38" s="175" cm="1" t="str">
        <f t="array" ref="F38:F38">OFFSET(G38,-1,-1)</f>
        <v>0</v>
      </c>
      <c r="T38" s="753" cm="1" t="str">
        <f t="array" ref="T38:T38">T37</f>
        <v>false</v>
      </c>
      <c r="AB38" s="491">
        <v>5.5</v>
      </c>
      <c r="AC38" s="496" t="s">
        <v>1580</v>
      </c>
      <c r="AD38" s="467" t="s">
        <v>1178</v>
      </c>
      <c r="AE38" s="100"/>
      <c r="AF38" s="100"/>
      <c r="AG38" s="100"/>
      <c r="AH38" s="695">
        <f>AG38-AF38</f>
        <v>0</v>
      </c>
      <c r="AI38" s="100"/>
      <c r="AJ38" s="100"/>
      <c r="AK38" s="100"/>
      <c r="AL38" s="695">
        <f>IF(AI38=0,0,(AK38-AI38)/AI38*100)</f>
        <v>0</v>
      </c>
      <c r="AM38" s="83"/>
      <c r="AN38" s="83"/>
      <c r="AO38" s="83"/>
      <c r="AR38" s="489" t="s">
        <v>1581</v>
      </c>
      <c r="AX38" s="0" cm="1" t="str">
        <f t="array" ref="AX38:AX38">AX37</f>
        <v>0</v>
      </c>
      <c r="AZ38" s="0" t="s">
        <v>1582</v>
      </c>
      <c r="BG38" s="0" t="s">
        <v>303</v>
      </c>
      <c r="BH38" s="0" t="s">
        <v>1044</v>
      </c>
      <c r="BI38" s="0" t="s">
        <v>1045</v>
      </c>
    </row>
    <row s="972" customFormat="1" customHeight="1" ht="14.625" hidden="1">
      <c r="E39" s="180">
        <v>15</v>
      </c>
      <c r="F39" s="175" cm="1" t="str">
        <f t="array" ref="F39:F39">OFFSET(G39,-1,-1)</f>
        <v>0</v>
      </c>
      <c r="T39" s="753" cm="1" t="str">
        <f t="array" ref="T39:T39">T38</f>
        <v>false</v>
      </c>
      <c r="AB39" s="491">
        <v>6</v>
      </c>
      <c r="AC39" s="496" t="s">
        <v>1583</v>
      </c>
      <c r="AD39" s="467" t="s">
        <v>1178</v>
      </c>
      <c r="AE39" s="100"/>
      <c r="AF39" s="100"/>
      <c r="AG39" s="100"/>
      <c r="AH39" s="695">
        <f>AG39-AF39</f>
        <v>0</v>
      </c>
      <c r="AI39" s="100"/>
      <c r="AJ39" s="100"/>
      <c r="AK39" s="100"/>
      <c r="AL39" s="695">
        <f>IF(AI39=0,0,(AK39-AI39)/AI39*100)</f>
        <v>0</v>
      </c>
      <c r="AM39" s="83"/>
      <c r="AN39" s="83"/>
      <c r="AO39" s="83"/>
      <c r="AR39" s="489" t="s">
        <v>1584</v>
      </c>
      <c r="AS39" s="992"/>
      <c r="AT39" s="992"/>
      <c r="AU39" s="993"/>
      <c r="AV39" s="993"/>
      <c r="AX39" s="0" cm="1" t="str">
        <f t="array" ref="AX39:AX39">AX38</f>
        <v>0</v>
      </c>
      <c r="BB39" s="0" t="s">
        <v>1585</v>
      </c>
      <c r="BG39" s="0" t="s">
        <v>303</v>
      </c>
      <c r="BH39" s="0" t="s">
        <v>1044</v>
      </c>
      <c r="BI39" s="0" t="s">
        <v>1045</v>
      </c>
    </row>
    <row customHeight="1" ht="14.625" hidden="1">
      <c r="E40" s="180">
        <v>15</v>
      </c>
      <c r="F40" s="175" cm="1" t="str">
        <f t="array" ref="F40:F40">OFFSET(G40,-1,-1)</f>
        <v>0</v>
      </c>
      <c r="T40" s="753" cm="1" t="str">
        <f t="array" ref="T40:T40">T39</f>
        <v>false</v>
      </c>
      <c r="AB40" s="491">
        <v>7</v>
      </c>
      <c r="AC40" s="496" t="s">
        <v>1586</v>
      </c>
      <c r="AD40" s="467" t="s">
        <v>1178</v>
      </c>
      <c r="AE40" s="100"/>
      <c r="AF40" s="100"/>
      <c r="AG40" s="100"/>
      <c r="AH40" s="695">
        <f>AG40-AF40</f>
        <v>0</v>
      </c>
      <c r="AI40" s="100"/>
      <c r="AJ40" s="100"/>
      <c r="AK40" s="100"/>
      <c r="AL40" s="695">
        <f>IF(AI40=0,0,(AK40-AI40)/AI40*100)</f>
        <v>0</v>
      </c>
      <c r="AM40" s="83"/>
      <c r="AN40" s="83"/>
      <c r="AO40" s="83"/>
      <c r="AR40" s="489" t="s">
        <v>1587</v>
      </c>
      <c r="AX40" s="0" cm="1" t="str">
        <f t="array" ref="AX40:AX40">AX39</f>
        <v>0</v>
      </c>
      <c r="BB40" s="0" t="s">
        <v>1588</v>
      </c>
      <c r="BG40" s="0" t="s">
        <v>303</v>
      </c>
      <c r="BH40" s="0" t="s">
        <v>1044</v>
      </c>
      <c r="BI40" s="0" t="s">
        <v>1045</v>
      </c>
    </row>
    <row customHeight="1" ht="14.625" hidden="1">
      <c r="E41" s="180">
        <v>15</v>
      </c>
      <c r="F41" s="175" cm="1" t="str">
        <f t="array" ref="F41:F41">OFFSET(G41,-1,-1)</f>
        <v>0</v>
      </c>
      <c r="G41" s="193" t="s">
        <v>1359</v>
      </c>
      <c r="T41" s="753" cm="1" t="str">
        <f t="array" ref="T41:T41">T40</f>
        <v>false</v>
      </c>
      <c r="AB41" s="491">
        <v>8</v>
      </c>
      <c r="AC41" s="505" t="s">
        <v>1589</v>
      </c>
      <c r="AD41" s="467" t="s">
        <v>1178</v>
      </c>
      <c r="AE41" s="695">
        <f>_xlfn.SUMIFS(Аренда!AE$26:AE$51,Аренда!$F$26:$F$51,$F41,Аренда!$G$26:$G$51,$G41)</f>
        <v>0</v>
      </c>
      <c r="AF41" s="695">
        <f>_xlfn.SUMIFS(Аренда!AF$26:AF$51,Аренда!$F$26:$F$51,$F41,Аренда!$G$26:$G$51,$G41)</f>
        <v>0</v>
      </c>
      <c r="AG41" s="100">
        <f>_xlfn.SUMIFS(Аренда!AG$26:AG$51,Аренда!$F$26:$F$51,$F41,Аренда!$G$26:$G$51,$G41)</f>
        <v>0</v>
      </c>
      <c r="AH41" s="695">
        <f>AG41-AF41</f>
        <v>0</v>
      </c>
      <c r="AI41" s="695">
        <f>_xlfn.SUMIFS(Аренда!AH$26:AH$51,Аренда!$F$26:$F$51,$F41,Аренда!$G$26:$G$51,$G41)</f>
        <v>0</v>
      </c>
      <c r="AJ41" s="695">
        <f>_xlfn.SUMIFS(Аренда!AI$26:AI$51,Аренда!$F$26:$F$51,$F41,Аренда!$G$26:$G$51,$G41)</f>
        <v>0</v>
      </c>
      <c r="AK41" s="695">
        <f>_xlfn.SUMIFS(Аренда!BC$26:BC$51,Аренда!$F$26:$F$51,$F41,Аренда!$G$26:$G$51,$G41)</f>
        <v>0</v>
      </c>
      <c r="AL41" s="695">
        <f>IF(AI41=0,0,(AK41-AI41)/AI41*100)</f>
        <v>0</v>
      </c>
      <c r="AM41" s="83"/>
      <c r="AN41" s="83"/>
      <c r="AO41" s="83"/>
      <c r="AR41" s="489" t="s">
        <v>1590</v>
      </c>
      <c r="AX41" s="0" cm="1" t="str">
        <f t="array" ref="AX41:AX41">AX40</f>
        <v>0</v>
      </c>
      <c r="BC41" s="0" t="s">
        <v>1356</v>
      </c>
      <c r="BG41" s="0" t="s">
        <v>303</v>
      </c>
      <c r="BH41" s="0" t="s">
        <v>1357</v>
      </c>
      <c r="BI41" s="0" t="s">
        <v>1358</v>
      </c>
    </row>
    <row s="972" customFormat="1" customHeight="1" ht="14.625" hidden="1">
      <c r="E42" s="180">
        <v>15</v>
      </c>
      <c r="F42" s="175" cm="1" t="str">
        <f t="array" ref="F42:F42">OFFSET(G42,-1,-1)</f>
        <v>0</v>
      </c>
      <c r="G42" s="193" t="s">
        <v>1338</v>
      </c>
      <c r="T42" s="753" cm="1" t="str">
        <f t="array" ref="T42:T42">T41</f>
        <v>false</v>
      </c>
      <c r="AB42" s="491">
        <v>9</v>
      </c>
      <c r="AC42" s="505" t="s">
        <v>1591</v>
      </c>
      <c r="AD42" s="467" t="s">
        <v>1178</v>
      </c>
      <c r="AE42" s="695">
        <f>_xlfn.SUMIFS(Аренда!AE$26:AE$51,Аренда!$F$26:$F$51,$F42,Аренда!$G$26:$G$51,$G42)</f>
        <v>0</v>
      </c>
      <c r="AF42" s="695">
        <f>_xlfn.SUMIFS(Аренда!AF$26:AF$51,Аренда!$F$26:$F$51,$F42,Аренда!$G$26:$G$51,$G42)</f>
        <v>0</v>
      </c>
      <c r="AG42" s="100">
        <f>_xlfn.SUMIFS(Аренда!AG$26:AG$51,Аренда!$F$26:$F$51,$F42,Аренда!$G$26:$G$51,$G42)</f>
        <v>0</v>
      </c>
      <c r="AH42" s="695">
        <f>AG42-AF42</f>
        <v>0</v>
      </c>
      <c r="AI42" s="695">
        <f>_xlfn.SUMIFS(Аренда!AH$26:AH$51,Аренда!$F$26:$F$51,$F42,Аренда!$G$26:$G$51,$G42)</f>
        <v>0</v>
      </c>
      <c r="AJ42" s="695">
        <f>_xlfn.SUMIFS(Аренда!AI$26:AI$51,Аренда!$F$26:$F$51,$F42,Аренда!$G$26:$G$51,$G42)</f>
        <v>0</v>
      </c>
      <c r="AK42" s="695">
        <f>_xlfn.SUMIFS(Аренда!BC$26:BC$51,Аренда!$F$26:$F$51,$F42,Аренда!$G$26:$G$51,$G42)</f>
        <v>0</v>
      </c>
      <c r="AL42" s="695">
        <f>IF(AI42=0,0,(AK42-AI42)/AI42*100)</f>
        <v>0</v>
      </c>
      <c r="AM42" s="83"/>
      <c r="AN42" s="83"/>
      <c r="AO42" s="83"/>
      <c r="AR42" s="489" t="s">
        <v>1341</v>
      </c>
      <c r="AS42" s="992"/>
      <c r="AT42" s="992"/>
      <c r="AU42" s="993"/>
      <c r="AV42" s="993"/>
      <c r="AX42" s="0" cm="1" t="str">
        <f t="array" ref="AX42:AX42">AX41</f>
        <v>0</v>
      </c>
      <c r="BC42" s="0" t="s">
        <v>1592</v>
      </c>
      <c r="BG42" s="0" t="s">
        <v>303</v>
      </c>
      <c r="BH42" s="0" t="s">
        <v>1377</v>
      </c>
      <c r="BI42" s="0" t="s">
        <v>1593</v>
      </c>
    </row>
    <row customHeight="1" ht="29.25" hidden="1">
      <c r="E43" s="180">
        <v>30</v>
      </c>
      <c r="F43" s="175" cm="1" t="str">
        <f t="array" ref="F43:F43">OFFSET(G43,-1,-1)</f>
        <v>0</v>
      </c>
      <c r="T43" s="753" cm="1" t="str">
        <f t="array" ref="T43:T43">T42</f>
        <v>false</v>
      </c>
      <c r="AB43" s="491">
        <v>10</v>
      </c>
      <c r="AC43" s="496" t="s">
        <v>1594</v>
      </c>
      <c r="AD43" s="467" t="s">
        <v>1178</v>
      </c>
      <c r="AE43" s="695">
        <f>SUM(AE44:AE46)</f>
        <v>0</v>
      </c>
      <c r="AF43" s="695">
        <f>SUM(AF44:AF46)</f>
        <v>0</v>
      </c>
      <c r="AG43" s="100">
        <f>SUM(AG44:AG46)</f>
        <v>0</v>
      </c>
      <c r="AH43" s="695">
        <f>AG43-AF43</f>
        <v>0</v>
      </c>
      <c r="AI43" s="695">
        <f>SUM(AI44:AI46)</f>
        <v>0</v>
      </c>
      <c r="AJ43" s="695">
        <f>SUM(AJ44:AJ46)</f>
        <v>0</v>
      </c>
      <c r="AK43" s="695">
        <f>SUM(AK44:AK46)</f>
        <v>0</v>
      </c>
      <c r="AL43" s="695">
        <f>IF(AI43=0,0,(AK43-AI43)/AI43*100)</f>
        <v>0</v>
      </c>
      <c r="AM43" s="83"/>
      <c r="AN43" s="83"/>
      <c r="AO43" s="83"/>
      <c r="AR43" s="489" t="s">
        <v>1509</v>
      </c>
      <c r="AX43" s="0" cm="1" t="str">
        <f t="array" ref="AX43:AX43">AX42</f>
        <v>0</v>
      </c>
      <c r="AY43" s="0" t="s">
        <v>1404</v>
      </c>
      <c r="BG43" s="0" t="s">
        <v>303</v>
      </c>
      <c r="BH43" s="0" t="s">
        <v>1044</v>
      </c>
      <c r="BI43" s="0" t="s">
        <v>1045</v>
      </c>
    </row>
    <row customHeight="1" ht="11.25" hidden="1">
      <c r="E44" s="965">
        <v>0</v>
      </c>
      <c r="F44" s="175" cm="1" t="str">
        <f t="array" ref="F44:F44">OFFSET(G44,-1,-1)</f>
        <v>0</v>
      </c>
      <c r="T44" s="753" cm="1" t="str">
        <f t="array" ref="T44:T44">T43</f>
        <v>false</v>
      </c>
      <c r="AB44" s="491"/>
      <c r="AC44" s="501"/>
      <c r="AD44" s="467"/>
      <c r="AE44" s="467"/>
      <c r="AF44" s="467"/>
      <c r="AG44" s="467"/>
      <c r="AH44" s="467"/>
      <c r="AI44" s="467"/>
      <c r="AJ44" s="467"/>
      <c r="AK44" s="467"/>
      <c r="AL44" s="467"/>
      <c r="AM44" s="380"/>
      <c r="AN44" s="380"/>
      <c r="AO44" s="380"/>
      <c r="AR44" s="489" t="str">
        <f>IF(AND(ISNUMBER(VALUE(TRIM(SUBSTITUTE(AB44,".","")))),TRIM(SUBSTITUTE(AB44,".",""))&lt;&gt;""),"P"&amp;SUBSTITUTE(AB44,".",""),"")</f>
        <v/>
      </c>
      <c r="AX44" s="0" cm="1" t="str">
        <f t="array" ref="AX44:AX44">AX43</f>
        <v>0</v>
      </c>
    </row>
    <row customHeight="1" ht="14.625" hidden="1">
      <c r="E45" s="180">
        <v>15</v>
      </c>
      <c r="F45" s="175" cm="1" t="str">
        <f t="array" ref="F45:F45">OFFSET(G45,-1,-1)</f>
        <v>0</v>
      </c>
      <c r="T45" s="753">
        <f>AND(F45&gt;0,Y45&gt;0)</f>
        <v>0</v>
      </c>
      <c r="W45" s="175" t="s">
        <v>189</v>
      </c>
      <c r="Y45" s="175">
        <v>0</v>
      </c>
      <c r="AA45" s="957" t="s">
        <v>171</v>
      </c>
      <c r="AB45" s="697" t="str">
        <f>"10."&amp;Y45</f>
        <v>10.0</v>
      </c>
      <c r="AC45" s="122"/>
      <c r="AD45" s="344" t="s">
        <v>1178</v>
      </c>
      <c r="AE45" s="123"/>
      <c r="AF45" s="123"/>
      <c r="AG45" s="123"/>
      <c r="AH45" s="700">
        <f>AG45-AF45</f>
        <v>0</v>
      </c>
      <c r="AI45" s="123"/>
      <c r="AJ45" s="123"/>
      <c r="AK45" s="123"/>
      <c r="AL45" s="700">
        <f>IF(AI45=0,0,(AK45-AI45)/AI45*100)</f>
        <v>0</v>
      </c>
      <c r="AM45" s="84"/>
      <c r="AN45" s="84"/>
      <c r="AO45" s="84"/>
      <c r="AR45" s="489" t="s">
        <v>1509</v>
      </c>
      <c r="AS45" s="489" t="s">
        <v>1406</v>
      </c>
      <c r="AT45" s="489" cm="1" t="str">
        <f t="array" ref="AT45:AT45">AC45</f>
        <v>0</v>
      </c>
      <c r="AV45" s="546" t="b">
        <v>1</v>
      </c>
      <c r="AX45" s="0" cm="1" t="str">
        <f t="array" ref="AX45:AX45">OFFSET(AY45,-1,-1)</f>
        <v>0</v>
      </c>
      <c r="AY45" s="0" t="s">
        <v>1404</v>
      </c>
      <c r="BF45" s="0" cm="1" t="str">
        <f t="array" ref="BF45:BF45">$AC45</f>
        <v>0</v>
      </c>
      <c r="BG45" s="0" t="s">
        <v>303</v>
      </c>
      <c r="BH45" s="0" t="s">
        <v>1044</v>
      </c>
      <c r="BI45" s="0" t="s">
        <v>1045</v>
      </c>
    </row>
    <row customHeight="1" ht="13.649999999999999" hidden="1">
      <c r="E46" s="180">
        <v>14</v>
      </c>
      <c r="F46" s="175" cm="1" t="str">
        <f t="array" ref="F46:F46">OFFSET(G46,-1,-1)</f>
        <v>0</v>
      </c>
      <c r="T46" s="753">
        <f>F46&gt;0</f>
        <v>0</v>
      </c>
      <c r="W46" s="176" t="s">
        <v>510</v>
      </c>
      <c r="AB46" s="701"/>
      <c r="AC46" s="406" t="s">
        <v>191</v>
      </c>
      <c r="AD46" s="702"/>
      <c r="AE46" s="703"/>
      <c r="AF46" s="703"/>
      <c r="AG46" s="703"/>
      <c r="AH46" s="703"/>
      <c r="AI46" s="703"/>
      <c r="AJ46" s="703"/>
      <c r="AK46" s="703"/>
      <c r="AL46" s="703"/>
      <c r="AM46" s="704"/>
      <c r="AN46" s="704"/>
      <c r="AO46" s="705"/>
      <c r="AR46" s="489" t="str">
        <f>IF(AND(ISNUMBER(VALUE(TRIM(SUBSTITUTE(AB46,".","")))),TRIM(SUBSTITUTE(AB46,".",""))&lt;&gt;""),"P"&amp;SUBSTITUTE(AB46,".",""),"")</f>
        <v/>
      </c>
      <c r="AU46" s="546" t="s">
        <v>1406</v>
      </c>
      <c r="AX46" s="0" cm="1" t="str">
        <f t="array" ref="AX46:AX46">OFFSET(AY46,-1,-1)</f>
        <v>0</v>
      </c>
    </row>
    <row customHeight="1" ht="13.649999999999999" hidden="1">
      <c r="E47" s="180">
        <v>14</v>
      </c>
      <c r="F47" s="175" cm="1" t="str">
        <f t="array" ref="F47:F47">OFFSET(G47,-1,-1)</f>
        <v>0</v>
      </c>
      <c r="T47" s="753">
        <f>F47&gt;0</f>
        <v>0</v>
      </c>
      <c r="AB47" s="512">
        <v>11</v>
      </c>
      <c r="AC47" s="706" t="s">
        <v>1595</v>
      </c>
      <c r="AD47" s="369" t="s">
        <v>1178</v>
      </c>
      <c r="AE47" s="707">
        <f>SUM(AE48:AE50)</f>
        <v>0</v>
      </c>
      <c r="AF47" s="707">
        <f>SUM(AF48:AF50)</f>
        <v>0</v>
      </c>
      <c r="AG47" s="124">
        <f>SUM(AG48:AG50)</f>
        <v>0</v>
      </c>
      <c r="AH47" s="707">
        <f>AG47-AF47</f>
        <v>0</v>
      </c>
      <c r="AI47" s="707">
        <f>SUM(AI48:AI50)</f>
        <v>0</v>
      </c>
      <c r="AJ47" s="707">
        <f>SUM(AJ48:AJ50)</f>
        <v>0</v>
      </c>
      <c r="AK47" s="707">
        <f>SUM(AK48:AK50)</f>
        <v>0</v>
      </c>
      <c r="AL47" s="707">
        <f>IF(AI47=0,0,(AK47-AI47)/AI47*100)</f>
        <v>0</v>
      </c>
      <c r="AM47" s="86"/>
      <c r="AN47" s="86"/>
      <c r="AO47" s="86"/>
      <c r="AR47" s="489" t="s">
        <v>1596</v>
      </c>
      <c r="AX47" s="0" cm="1" t="str">
        <f t="array" ref="AX47:AX47">AX46</f>
        <v>0</v>
      </c>
      <c r="BE47" s="0" t="s">
        <v>255</v>
      </c>
      <c r="BG47" s="0" t="s">
        <v>303</v>
      </c>
      <c r="BH47" s="0" t="s">
        <v>1044</v>
      </c>
      <c r="BI47" s="0" t="s">
        <v>1045</v>
      </c>
    </row>
    <row customHeight="1" ht="11.25" hidden="1">
      <c r="E48" s="965">
        <v>0</v>
      </c>
      <c r="F48" s="175" cm="1" t="str">
        <f t="array" ref="F48:F48">OFFSET(G48,-1,-1)</f>
        <v>0</v>
      </c>
      <c r="T48" s="753">
        <f>F48&gt;0</f>
        <v>0</v>
      </c>
      <c r="AB48" s="697"/>
      <c r="AC48" s="709"/>
      <c r="AD48" s="356"/>
      <c r="AE48" s="467"/>
      <c r="AF48" s="467"/>
      <c r="AG48" s="467"/>
      <c r="AI48" s="467"/>
      <c r="AJ48" s="467"/>
      <c r="AK48" s="467"/>
      <c r="AR48" s="489" t="str">
        <f>IF(AND(ISNUMBER(VALUE(TRIM(SUBSTITUTE(AB48,".","")))),TRIM(SUBSTITUTE(AB48,".",""))&lt;&gt;""),"P"&amp;SUBSTITUTE(AB48,".",""),"")</f>
        <v/>
      </c>
      <c r="AX48" s="0" cm="1" t="str">
        <f t="array" ref="AX48:AX48">AX47</f>
        <v>0</v>
      </c>
    </row>
    <row customHeight="1" ht="13.649999999999999" hidden="1">
      <c r="E49" s="180">
        <v>14</v>
      </c>
      <c r="F49" s="175" cm="1" t="str">
        <f t="array" ref="F49:F49">OFFSET(G49,-1,-1)</f>
        <v>0</v>
      </c>
      <c r="T49" s="753">
        <f>AND(F49&gt;0,Y49&gt;0)</f>
        <v>0</v>
      </c>
      <c r="W49" s="175" t="s">
        <v>189</v>
      </c>
      <c r="Y49" s="175">
        <v>0</v>
      </c>
      <c r="AA49" s="957" t="s">
        <v>171</v>
      </c>
      <c r="AB49" s="697" t="str">
        <f>"11."&amp;Y49</f>
        <v>11.0</v>
      </c>
      <c r="AC49" s="115"/>
      <c r="AD49" s="327" t="s">
        <v>1178</v>
      </c>
      <c r="AE49" s="100"/>
      <c r="AF49" s="100"/>
      <c r="AG49" s="100"/>
      <c r="AH49" s="695">
        <f>AG49-AF49</f>
        <v>0</v>
      </c>
      <c r="AI49" s="100"/>
      <c r="AJ49" s="100"/>
      <c r="AK49" s="100"/>
      <c r="AL49" s="695">
        <f>IF(AI49=0,0,(AK49-AI49)/AI49*100)</f>
        <v>0</v>
      </c>
      <c r="AM49" s="83"/>
      <c r="AN49" s="83"/>
      <c r="AO49" s="83"/>
      <c r="AR49" s="489" t="s">
        <v>1596</v>
      </c>
      <c r="AS49" s="489" t="s">
        <v>1597</v>
      </c>
      <c r="AT49" s="489" cm="1" t="str">
        <f t="array" ref="AT49:AT49">AC49</f>
        <v>0</v>
      </c>
      <c r="AV49" s="546" t="b">
        <v>1</v>
      </c>
      <c r="AX49" s="0" cm="1" t="str">
        <f t="array" ref="AX49:AX49">OFFSET(AY49,-1,-1)</f>
        <v>0</v>
      </c>
      <c r="BC49" s="0" t="s">
        <v>1592</v>
      </c>
      <c r="BF49" s="0" cm="1" t="str">
        <f t="array" ref="BF49:BF49">$AC49</f>
        <v>0</v>
      </c>
      <c r="BG49" s="0" t="s">
        <v>303</v>
      </c>
      <c r="BH49" s="0" t="s">
        <v>1044</v>
      </c>
      <c r="BI49" s="0" t="s">
        <v>1045</v>
      </c>
    </row>
    <row customHeight="1" ht="13.649999999999999" hidden="1">
      <c r="E50" s="180">
        <v>14</v>
      </c>
      <c r="F50" s="175" cm="1" t="str">
        <f t="array" ref="F50:F50">OFFSET(G50,-1,-1)</f>
        <v>0</v>
      </c>
      <c r="T50" s="753">
        <f>F50&gt;0</f>
        <v>0</v>
      </c>
      <c r="W50" s="176" t="s">
        <v>1598</v>
      </c>
      <c r="AB50" s="701"/>
      <c r="AC50" s="406" t="s">
        <v>191</v>
      </c>
      <c r="AD50" s="702"/>
      <c r="AE50" s="712"/>
      <c r="AF50" s="712"/>
      <c r="AG50" s="712"/>
      <c r="AH50" s="712"/>
      <c r="AI50" s="712"/>
      <c r="AJ50" s="712"/>
      <c r="AK50" s="712"/>
      <c r="AL50" s="712"/>
      <c r="AM50" s="712"/>
      <c r="AN50" s="712"/>
      <c r="AO50" s="712"/>
      <c r="AU50" s="546" t="s">
        <v>1597</v>
      </c>
    </row>
    <row s="969" customFormat="1" customHeight="1" ht="13.5">
      <c r="A51" s="969"/>
      <c r="B51" s="969"/>
      <c r="C51" s="969"/>
      <c r="D51" s="969"/>
      <c r="E51" s="180">
        <v>14</v>
      </c>
      <c r="F51" s="175" cm="1" t="str">
        <f t="array" ref="F51:F51">X51</f>
        <v>1</v>
      </c>
      <c r="G51" s="193" cm="1" t="str">
        <f t="array" ref="G51:G51">INDEX('Общие сведения'!$AK$169:$AK$202,MATCH($F51,'Общие сведения'!$Y$169:$Y$202,0))</f>
        <v>одноставочный</v>
      </c>
      <c r="H51" s="969"/>
      <c r="I51" s="193" cm="1" t="str">
        <f t="array" ref="I51:I51">INDEX('Общие сведения'!$AE$169:$AE$202,MATCH($F51,'Общие сведения'!$Y$169:$Y$202,0))</f>
        <v>Теплоснабжение</v>
      </c>
      <c r="J51" s="969"/>
      <c r="K51" s="969"/>
      <c r="L51" s="969"/>
      <c r="M51" s="969"/>
      <c r="N51" s="969"/>
      <c r="O51" s="969"/>
      <c r="P51" s="969"/>
      <c r="Q51" s="969"/>
      <c r="R51" s="969"/>
      <c r="S51" s="969"/>
      <c r="T51" s="753">
        <f>X51&gt;0</f>
        <v>1</v>
      </c>
      <c r="U51" s="969"/>
      <c r="V51" s="175" cm="1" t="str">
        <f t="array" ref="V51:V51">Экономия_корр!$AB$35</f>
        <v>Тариф 1 (Теплоснабжение) - Тариф на тепловую энергию (мощность), поставляемую потребителям (Доп. признак не требуется)</v>
      </c>
      <c r="W51" s="969"/>
      <c r="X51" s="175" t="s">
        <v>308</v>
      </c>
      <c r="Y51" s="969"/>
      <c r="Z51" s="969"/>
      <c r="AA51" s="969"/>
      <c r="AB51" s="688" cm="1" t="str">
        <f t="array" ref="AB51:AB51">IF(ISBLANK(Экономия_корр!$AB$35),"",Экономия_корр!$AB$35)</f>
        <v>Тариф 1 (Теплоснабжение) - Тариф на тепловую энергию (мощность), поставляемую потребителям (Доп. признак не требуется)</v>
      </c>
      <c r="AC51" s="334"/>
      <c r="AD51" s="334"/>
      <c r="AE51" s="334"/>
      <c r="AF51" s="334"/>
      <c r="AG51" s="334"/>
      <c r="AH51" s="334"/>
      <c r="AI51" s="334"/>
      <c r="AJ51" s="334"/>
      <c r="AK51" s="334"/>
      <c r="AL51" s="334"/>
      <c r="AM51" s="334"/>
      <c r="AN51" s="334"/>
      <c r="AO51" s="334"/>
      <c r="AP51" s="969"/>
      <c r="AQ51" s="969"/>
      <c r="AR51" s="489"/>
      <c r="AS51" s="489"/>
      <c r="AT51" s="489"/>
      <c r="AU51" s="546"/>
      <c r="AV51" s="546"/>
      <c r="AW51" s="969"/>
      <c r="AX51" s="969"/>
      <c r="AY51" s="969"/>
      <c r="AZ51" s="969"/>
      <c r="BA51" s="969"/>
      <c r="BB51" s="969"/>
      <c r="BC51" s="969"/>
      <c r="BD51" s="969"/>
      <c r="BE51" s="969"/>
      <c r="BF51" s="969"/>
      <c r="BG51" s="969"/>
      <c r="BH51" s="969"/>
      <c r="BI51" s="969"/>
    </row>
    <row s="989" customFormat="1" customHeight="1" ht="13.5">
      <c r="A52" s="989"/>
      <c r="B52" s="989"/>
      <c r="C52" s="989"/>
      <c r="D52" s="989"/>
      <c r="E52" s="284">
        <v>14</v>
      </c>
      <c r="F52" s="175" cm="1" t="str">
        <f t="array" ref="F52:F52">OFFSET(G52,-1,-1)</f>
        <v>1</v>
      </c>
      <c r="G52" s="308" t="s">
        <v>1549</v>
      </c>
      <c r="H52" s="989"/>
      <c r="I52" s="989"/>
      <c r="J52" s="989"/>
      <c r="K52" s="989"/>
      <c r="L52" s="989"/>
      <c r="M52" s="989"/>
      <c r="N52" s="989"/>
      <c r="O52" s="989"/>
      <c r="P52" s="989"/>
      <c r="Q52" s="989"/>
      <c r="R52" s="989"/>
      <c r="S52" s="989"/>
      <c r="T52" s="753" cm="1" t="str">
        <f t="array" ref="T52:T52">T51</f>
        <v>true</v>
      </c>
      <c r="U52" s="989"/>
      <c r="V52" s="989"/>
      <c r="W52" s="989"/>
      <c r="X52" s="989"/>
      <c r="Y52" s="989"/>
      <c r="Z52" s="989"/>
      <c r="AA52" s="989"/>
      <c r="AB52" s="1680" t="s">
        <v>1550</v>
      </c>
      <c r="AC52" s="1681"/>
      <c r="AD52" s="663" t="s">
        <v>917</v>
      </c>
      <c r="AE52" s="2336">
        <f>SUM(AE53:AE57)+SUM(AE63:AE67)+AE71</f>
        <v>3670</v>
      </c>
      <c r="AF52" s="2336">
        <f>SUM(AF53:AF57)+SUM(AF63:AF67)+AF71</f>
        <v>4818</v>
      </c>
      <c r="AG52" s="2336">
        <f>SUM(AG53:AG57)+SUM(AG63:AG67)+AG71</f>
        <v>3670</v>
      </c>
      <c r="AH52" s="2336">
        <f>AG52-AF52</f>
        <v>-1148</v>
      </c>
      <c r="AI52" s="2336">
        <f>SUM(AI53:AI57)+SUM(AI63:AI67)+AI71</f>
        <v>3790</v>
      </c>
      <c r="AJ52" s="2336">
        <f>SUM(AJ53:AJ57)+SUM(AJ63:AJ67)+AJ71</f>
        <v>5223</v>
      </c>
      <c r="AK52" s="2336">
        <f>SUM(AK53:AK57)+SUM(AK63:AK67)+AK71</f>
        <v>3940</v>
      </c>
      <c r="AL52" s="692">
        <f>IF(AI52=0,0,(AK52-AI52)/AI52*100)</f>
        <v>3.95778364116095</v>
      </c>
      <c r="AM52" s="1897"/>
      <c r="AN52" s="1897"/>
      <c r="AO52" s="1897"/>
      <c r="AP52" s="989"/>
      <c r="AQ52" s="989"/>
      <c r="AR52" s="489" t="s">
        <v>1551</v>
      </c>
      <c r="AS52" s="990"/>
      <c r="AT52" s="990"/>
      <c r="AU52" s="991"/>
      <c r="AV52" s="991"/>
      <c r="AW52" s="989"/>
      <c r="AX52" s="0" cm="1" t="str">
        <f t="array" ref="AX52:AX52">INDEX('Общие сведения'!$N$170:$N$202,MATCH($F52,'Общие сведения'!$Y$170:$Y$202,0)+1)</f>
        <v>ТЭ.42.31656254.0001</v>
      </c>
      <c r="AY52" s="989"/>
      <c r="AZ52" s="989"/>
      <c r="BA52" s="989"/>
      <c r="BB52" s="989"/>
      <c r="BC52" s="989"/>
      <c r="BD52" s="989"/>
      <c r="BE52" s="0" t="s">
        <v>219</v>
      </c>
      <c r="BF52" s="989"/>
      <c r="BG52" s="0" t="s">
        <v>303</v>
      </c>
      <c r="BH52" s="0" t="s">
        <v>1552</v>
      </c>
      <c r="BI52" s="0" t="s">
        <v>1553</v>
      </c>
    </row>
    <row s="1751" customFormat="1" customHeight="1" ht="29.25">
      <c r="A53" s="371"/>
      <c r="B53" s="1548"/>
      <c r="C53" s="1548"/>
      <c r="D53" s="1548"/>
      <c r="E53" s="180">
        <v>30</v>
      </c>
      <c r="F53" s="175" cm="1" t="str">
        <f t="array" ref="F53:F53">OFFSET(G53,-1,-1)</f>
        <v>1</v>
      </c>
      <c r="G53" s="1659"/>
      <c r="H53" s="1659"/>
      <c r="I53" s="1659"/>
      <c r="J53" s="1659"/>
      <c r="K53" s="1659"/>
      <c r="L53" s="1659"/>
      <c r="M53" s="1659"/>
      <c r="N53" s="1659"/>
      <c r="O53" s="1659"/>
      <c r="P53" s="1659"/>
      <c r="Q53" s="1659"/>
      <c r="R53" s="1659"/>
      <c r="S53" s="1659"/>
      <c r="T53" s="753" cm="1" t="str">
        <f t="array" ref="T53:T53">T52</f>
        <v>true</v>
      </c>
      <c r="U53" s="1548"/>
      <c r="V53" s="1548"/>
      <c r="W53" s="1548"/>
      <c r="X53" s="1548"/>
      <c r="Y53" s="1548"/>
      <c r="Z53" s="1548"/>
      <c r="AA53" s="286"/>
      <c r="AB53" s="491">
        <v>1</v>
      </c>
      <c r="AC53" s="496" t="s">
        <v>1554</v>
      </c>
      <c r="AD53" s="369" t="s">
        <v>1178</v>
      </c>
      <c r="AE53" s="2337"/>
      <c r="AF53" s="2337"/>
      <c r="AG53" s="2337"/>
      <c r="AH53" s="694">
        <f>AG53-AF53</f>
        <v>0</v>
      </c>
      <c r="AI53" s="2337"/>
      <c r="AJ53" s="2337"/>
      <c r="AK53" s="2337"/>
      <c r="AL53" s="695">
        <f>IF(AI53=0,0,(AK53-AI53)/AI53*100)</f>
        <v>0</v>
      </c>
      <c r="AM53" s="1897"/>
      <c r="AN53" s="1897"/>
      <c r="AO53" s="1897"/>
      <c r="AP53" s="286"/>
      <c r="AQ53" s="1659"/>
      <c r="AR53" s="489" t="s">
        <v>1555</v>
      </c>
      <c r="AS53" s="1125"/>
      <c r="AT53" s="1125"/>
      <c r="AU53" s="1126"/>
      <c r="AV53" s="1126"/>
      <c r="AW53" s="1506"/>
      <c r="AX53" s="0" cm="1" t="str">
        <f t="array" ref="AX53:AX53">AX52</f>
        <v>ТЭ.42.31656254.0001</v>
      </c>
      <c r="AY53" s="0" t="s">
        <v>1556</v>
      </c>
      <c r="AZ53" s="1751"/>
      <c r="BA53" s="1751"/>
      <c r="BB53" s="1751"/>
      <c r="BC53" s="1751"/>
      <c r="BD53" s="1751"/>
      <c r="BE53" s="1751"/>
      <c r="BF53" s="1751"/>
      <c r="BG53" s="0" t="s">
        <v>303</v>
      </c>
      <c r="BH53" s="0" t="s">
        <v>1044</v>
      </c>
      <c r="BI53" s="0" t="s">
        <v>1045</v>
      </c>
    </row>
    <row s="1046" customFormat="1" customHeight="1" ht="14.25">
      <c r="A54" s="1046"/>
      <c r="B54" s="1046"/>
      <c r="C54" s="1046"/>
      <c r="D54" s="1046"/>
      <c r="E54" s="284">
        <v>15</v>
      </c>
      <c r="F54" s="175" cm="1" t="str">
        <f t="array" ref="F54:F54">OFFSET(G54,-1,-1)</f>
        <v>1</v>
      </c>
      <c r="G54" s="1046"/>
      <c r="H54" s="1046"/>
      <c r="I54" s="1046"/>
      <c r="J54" s="1046"/>
      <c r="K54" s="1046"/>
      <c r="L54" s="1046"/>
      <c r="M54" s="1046"/>
      <c r="N54" s="1046"/>
      <c r="O54" s="1046"/>
      <c r="P54" s="1046"/>
      <c r="Q54" s="1046"/>
      <c r="R54" s="1046"/>
      <c r="S54" s="1046"/>
      <c r="T54" s="753" cm="1" t="str">
        <f t="array" ref="T54:T54">T53</f>
        <v>true</v>
      </c>
      <c r="U54" s="1046"/>
      <c r="V54" s="1046"/>
      <c r="W54" s="1046"/>
      <c r="X54" s="1046"/>
      <c r="Y54" s="1046"/>
      <c r="Z54" s="1046"/>
      <c r="AA54" s="1046"/>
      <c r="AB54" s="491">
        <v>2</v>
      </c>
      <c r="AC54" s="496" t="s">
        <v>1557</v>
      </c>
      <c r="AD54" s="369" t="s">
        <v>1178</v>
      </c>
      <c r="AE54" s="2337"/>
      <c r="AF54" s="2337"/>
      <c r="AG54" s="2337"/>
      <c r="AH54" s="695">
        <f>AG54-AF54</f>
        <v>0</v>
      </c>
      <c r="AI54" s="2337"/>
      <c r="AJ54" s="2337"/>
      <c r="AK54" s="2337"/>
      <c r="AL54" s="695">
        <f>IF(AI54=0,0,(AK54-AI54)/AI54*100)</f>
        <v>0</v>
      </c>
      <c r="AM54" s="1897"/>
      <c r="AN54" s="1897"/>
      <c r="AO54" s="1897"/>
      <c r="AP54" s="1046"/>
      <c r="AQ54" s="1046"/>
      <c r="AR54" s="489" t="s">
        <v>1558</v>
      </c>
      <c r="AS54" s="990"/>
      <c r="AT54" s="990"/>
      <c r="AU54" s="991"/>
      <c r="AV54" s="991"/>
      <c r="AW54" s="1046"/>
      <c r="AX54" s="0" cm="1" t="str">
        <f t="array" ref="AX54:AX54">AX53</f>
        <v>ТЭ.42.31656254.0001</v>
      </c>
      <c r="AY54" s="1046"/>
      <c r="AZ54" s="1046"/>
      <c r="BA54" s="0" t="s">
        <v>1559</v>
      </c>
      <c r="BB54" s="1046"/>
      <c r="BC54" s="1046"/>
      <c r="BD54" s="1046"/>
      <c r="BE54" s="1046"/>
      <c r="BF54" s="1046"/>
      <c r="BG54" s="0" t="s">
        <v>303</v>
      </c>
      <c r="BH54" s="0" t="s">
        <v>1044</v>
      </c>
      <c r="BI54" s="0" t="s">
        <v>1045</v>
      </c>
    </row>
    <row s="1751" customFormat="1" customHeight="1" ht="14.25">
      <c r="A55" s="371"/>
      <c r="B55" s="1548"/>
      <c r="C55" s="1548"/>
      <c r="D55" s="1548"/>
      <c r="E55" s="180">
        <v>15</v>
      </c>
      <c r="F55" s="175" cm="1" t="str">
        <f t="array" ref="F55:F55">OFFSET(G55,-1,-1)</f>
        <v>1</v>
      </c>
      <c r="G55" s="193" t="s">
        <v>49</v>
      </c>
      <c r="H55" s="1659"/>
      <c r="I55" s="1659"/>
      <c r="J55" s="1659"/>
      <c r="K55" s="1659"/>
      <c r="L55" s="1659"/>
      <c r="M55" s="1659"/>
      <c r="N55" s="1659"/>
      <c r="O55" s="1659"/>
      <c r="P55" s="1659"/>
      <c r="Q55" s="1659"/>
      <c r="R55" s="1659"/>
      <c r="S55" s="1659"/>
      <c r="T55" s="753" cm="1" t="str">
        <f t="array" ref="T55:T55">T54</f>
        <v>true</v>
      </c>
      <c r="U55" s="1548"/>
      <c r="V55" s="1548"/>
      <c r="W55" s="1548"/>
      <c r="X55" s="1548"/>
      <c r="Y55" s="1548"/>
      <c r="Z55" s="1548"/>
      <c r="AA55" s="286"/>
      <c r="AB55" s="491">
        <v>3</v>
      </c>
      <c r="AC55" s="505" t="s">
        <v>50</v>
      </c>
      <c r="AD55" s="467" t="s">
        <v>1178</v>
      </c>
      <c r="AE55" s="2280">
        <f>_xlfn.SUMIFS(ФОТ!AE$26:AE$80,ФОТ!$F$26:$F$80,$F55,ФОТ!$G$26:$G$80,$G55)</f>
        <v>3628</v>
      </c>
      <c r="AF55" s="2280">
        <f>_xlfn.SUMIFS(ФОТ!AF$26:AF$80,ФОТ!$F$26:$F$80,$F55,ФОТ!$G$26:$G$80,$G55)</f>
        <v>4760</v>
      </c>
      <c r="AG55" s="2280">
        <f>_xlfn.SUMIFS(ФОТ!AG$26:AG$80,ФОТ!$F$26:$F$80,$F55,ФОТ!$G$26:$G$80,$G55)</f>
        <v>3628</v>
      </c>
      <c r="AH55" s="695">
        <f>AG55-AF55</f>
        <v>-1132</v>
      </c>
      <c r="AI55" s="2280">
        <f>_xlfn.SUMIFS(ФОТ!AH$26:AH$80,ФОТ!$F$26:$F$80,$F55,ФОТ!$G$26:$G$80,$G55)</f>
        <v>3747</v>
      </c>
      <c r="AJ55" s="695">
        <f>_xlfn.SUMIFS(ФОТ!AI$26:AI$80,ФОТ!$F$26:$F$80,$F55,ФОТ!$G$26:$G$80,$G55)</f>
        <v>5148</v>
      </c>
      <c r="AK55" s="695">
        <f>_xlfn.SUMIFS(ФОТ!AJ$26:AJ$80,ФОТ!$F$26:$F$80,$F55,ФОТ!$G$26:$G$80,$G55)</f>
        <v>3895</v>
      </c>
      <c r="AL55" s="695">
        <f>IF(AI55=0,0,(AK55-AI55)/AI55*100)</f>
        <v>3.94982652788898</v>
      </c>
      <c r="AM55" s="1897"/>
      <c r="AN55" s="1897"/>
      <c r="AO55" s="1897"/>
      <c r="AP55" s="286"/>
      <c r="AQ55" s="1659"/>
      <c r="AR55" s="489" t="s">
        <v>1560</v>
      </c>
      <c r="AS55" s="1125"/>
      <c r="AT55" s="1125"/>
      <c r="AU55" s="1126"/>
      <c r="AV55" s="1126"/>
      <c r="AW55" s="1506"/>
      <c r="AX55" s="0" cm="1" t="str">
        <f t="array" ref="AX55:AX55">AX54</f>
        <v>ТЭ.42.31656254.0001</v>
      </c>
      <c r="AY55" s="0" t="s">
        <v>1561</v>
      </c>
      <c r="AZ55" s="1751"/>
      <c r="BA55" s="1751"/>
      <c r="BB55" s="1751"/>
      <c r="BC55" s="1751"/>
      <c r="BD55" s="1751"/>
      <c r="BE55" s="1751"/>
      <c r="BF55" s="1751"/>
      <c r="BG55" s="0" t="s">
        <v>303</v>
      </c>
      <c r="BH55" s="0" t="s">
        <v>1044</v>
      </c>
      <c r="BI55" s="0" t="s">
        <v>1045</v>
      </c>
    </row>
    <row s="1751" customFormat="1" customHeight="1" ht="52.5">
      <c r="A56" s="371"/>
      <c r="B56" s="1548"/>
      <c r="C56" s="1548"/>
      <c r="D56" s="1548"/>
      <c r="E56" s="180">
        <v>54</v>
      </c>
      <c r="F56" s="175" cm="1" t="str">
        <f t="array" ref="F56:F56">OFFSET(G56,-1,-1)</f>
        <v>1</v>
      </c>
      <c r="G56" s="1659"/>
      <c r="H56" s="1659"/>
      <c r="I56" s="1659"/>
      <c r="J56" s="1659"/>
      <c r="K56" s="1659"/>
      <c r="L56" s="1659"/>
      <c r="M56" s="1659"/>
      <c r="N56" s="1659"/>
      <c r="O56" s="1659"/>
      <c r="P56" s="1659"/>
      <c r="Q56" s="1659"/>
      <c r="R56" s="1659"/>
      <c r="S56" s="1659"/>
      <c r="T56" s="753" cm="1" t="str">
        <f t="array" ref="T56:T56">T55</f>
        <v>true</v>
      </c>
      <c r="U56" s="1548"/>
      <c r="V56" s="1548"/>
      <c r="W56" s="1548"/>
      <c r="X56" s="1548"/>
      <c r="Y56" s="1548"/>
      <c r="Z56" s="1548"/>
      <c r="AA56" s="286"/>
      <c r="AB56" s="491">
        <v>4</v>
      </c>
      <c r="AC56" s="496" t="s">
        <v>1562</v>
      </c>
      <c r="AD56" s="467" t="s">
        <v>1178</v>
      </c>
      <c r="AE56" s="2280"/>
      <c r="AF56" s="2280"/>
      <c r="AG56" s="2280"/>
      <c r="AH56" s="695">
        <f>AG56-AF56</f>
        <v>0</v>
      </c>
      <c r="AI56" s="2280"/>
      <c r="AJ56" s="2280"/>
      <c r="AK56" s="2280"/>
      <c r="AL56" s="695">
        <f>IF(AI56=0,0,(AK56-AI56)/AI56*100)</f>
        <v>0</v>
      </c>
      <c r="AM56" s="1897"/>
      <c r="AN56" s="1897"/>
      <c r="AO56" s="1897"/>
      <c r="AP56" s="286"/>
      <c r="AQ56" s="1659"/>
      <c r="AR56" s="489" t="s">
        <v>1563</v>
      </c>
      <c r="AS56" s="1125"/>
      <c r="AT56" s="1125"/>
      <c r="AU56" s="1126"/>
      <c r="AV56" s="1126"/>
      <c r="AW56" s="1506"/>
      <c r="AX56" s="0" cm="1" t="str">
        <f t="array" ref="AX56:AX56">AX55</f>
        <v>ТЭ.42.31656254.0001</v>
      </c>
      <c r="AY56" s="0" t="s">
        <v>1564</v>
      </c>
      <c r="AZ56" s="1751"/>
      <c r="BA56" s="1751"/>
      <c r="BB56" s="1751"/>
      <c r="BC56" s="1751"/>
      <c r="BD56" s="0" t="s">
        <v>1565</v>
      </c>
      <c r="BE56" s="1751"/>
      <c r="BF56" s="1751"/>
      <c r="BG56" s="0" t="s">
        <v>303</v>
      </c>
      <c r="BH56" s="0" t="s">
        <v>1044</v>
      </c>
      <c r="BI56" s="0" t="s">
        <v>1045</v>
      </c>
    </row>
    <row s="1751" customFormat="1" customHeight="1" ht="30.75">
      <c r="A57" s="371"/>
      <c r="B57" s="1548"/>
      <c r="C57" s="1548"/>
      <c r="D57" s="1548"/>
      <c r="E57" s="180">
        <v>32</v>
      </c>
      <c r="F57" s="175" cm="1" t="str">
        <f t="array" ref="F57:F57">OFFSET(G57,-1,-1)</f>
        <v>1</v>
      </c>
      <c r="G57" s="1659"/>
      <c r="H57" s="1659"/>
      <c r="I57" s="1659"/>
      <c r="J57" s="1659"/>
      <c r="K57" s="1659"/>
      <c r="L57" s="1659"/>
      <c r="M57" s="1659"/>
      <c r="N57" s="1659"/>
      <c r="O57" s="1659"/>
      <c r="P57" s="1659"/>
      <c r="Q57" s="1659"/>
      <c r="R57" s="1659"/>
      <c r="S57" s="1659"/>
      <c r="T57" s="753" cm="1" t="str">
        <f t="array" ref="T57:T57">T56</f>
        <v>true</v>
      </c>
      <c r="U57" s="1548"/>
      <c r="V57" s="1548"/>
      <c r="W57" s="1548"/>
      <c r="X57" s="1548"/>
      <c r="Y57" s="1548"/>
      <c r="Z57" s="1548"/>
      <c r="AA57" s="286"/>
      <c r="AB57" s="491">
        <v>5</v>
      </c>
      <c r="AC57" s="496" t="s">
        <v>1566</v>
      </c>
      <c r="AD57" s="467" t="s">
        <v>1178</v>
      </c>
      <c r="AE57" s="695">
        <f>SUM(AE58:AE62)</f>
        <v>0</v>
      </c>
      <c r="AF57" s="695">
        <f>SUM(AF58:AF62)</f>
        <v>29</v>
      </c>
      <c r="AG57" s="2280">
        <f>SUM(AG58:AG62)</f>
        <v>0</v>
      </c>
      <c r="AH57" s="695">
        <f>AG57-AF57</f>
        <v>-29</v>
      </c>
      <c r="AI57" s="695">
        <f>SUM(AI58:AI62)</f>
        <v>0</v>
      </c>
      <c r="AJ57" s="695">
        <f>SUM(AJ58:AJ62)</f>
        <v>29</v>
      </c>
      <c r="AK57" s="695">
        <f>SUM(AK58:AK62)</f>
        <v>0</v>
      </c>
      <c r="AL57" s="695">
        <f>IF(AI57=0,0,(AK57-AI57)/AI57*100)</f>
        <v>0</v>
      </c>
      <c r="AM57" s="1897"/>
      <c r="AN57" s="1897"/>
      <c r="AO57" s="1897"/>
      <c r="AP57" s="286"/>
      <c r="AQ57" s="1659"/>
      <c r="AR57" s="489" t="s">
        <v>1567</v>
      </c>
      <c r="AS57" s="1125"/>
      <c r="AT57" s="1125"/>
      <c r="AU57" s="1126"/>
      <c r="AV57" s="1126"/>
      <c r="AW57" s="1506"/>
      <c r="AX57" s="0" cm="1" t="str">
        <f t="array" ref="AX57:AX57">AX56</f>
        <v>ТЭ.42.31656254.0001</v>
      </c>
      <c r="AY57" s="0" t="s">
        <v>1564</v>
      </c>
      <c r="AZ57" s="1751"/>
      <c r="BA57" s="1751"/>
      <c r="BB57" s="1751"/>
      <c r="BC57" s="1751"/>
      <c r="BD57" s="1751"/>
      <c r="BE57" s="1751"/>
      <c r="BF57" s="1751"/>
      <c r="BG57" s="0" t="s">
        <v>303</v>
      </c>
      <c r="BH57" s="0" t="s">
        <v>1044</v>
      </c>
      <c r="BI57" s="0" t="s">
        <v>1045</v>
      </c>
    </row>
    <row s="1751" customFormat="1" customHeight="1" ht="14.25">
      <c r="A58" s="371"/>
      <c r="B58" s="1548"/>
      <c r="C58" s="1548"/>
      <c r="D58" s="1548"/>
      <c r="E58" s="180">
        <v>15</v>
      </c>
      <c r="F58" s="175" cm="1" t="str">
        <f t="array" ref="F58:F58">OFFSET(G58,-1,-1)</f>
        <v>1</v>
      </c>
      <c r="G58" s="1659"/>
      <c r="H58" s="1659"/>
      <c r="I58" s="1659"/>
      <c r="J58" s="1659"/>
      <c r="K58" s="1659"/>
      <c r="L58" s="1659"/>
      <c r="M58" s="1659"/>
      <c r="N58" s="1659"/>
      <c r="O58" s="1659"/>
      <c r="P58" s="1659"/>
      <c r="Q58" s="1659"/>
      <c r="R58" s="1659"/>
      <c r="S58" s="1659"/>
      <c r="T58" s="753" cm="1" t="str">
        <f t="array" ref="T58:T58">T57</f>
        <v>true</v>
      </c>
      <c r="U58" s="1548"/>
      <c r="V58" s="1548"/>
      <c r="W58" s="1548"/>
      <c r="X58" s="1548"/>
      <c r="Y58" s="1548"/>
      <c r="Z58" s="1548"/>
      <c r="AA58" s="286"/>
      <c r="AB58" s="491">
        <v>5.1</v>
      </c>
      <c r="AC58" s="496" t="s">
        <v>1568</v>
      </c>
      <c r="AD58" s="467" t="s">
        <v>1178</v>
      </c>
      <c r="AE58" s="2280"/>
      <c r="AF58" s="2280"/>
      <c r="AG58" s="2280"/>
      <c r="AH58" s="695">
        <f>AG58-AF58</f>
        <v>0</v>
      </c>
      <c r="AI58" s="2280"/>
      <c r="AJ58" s="2280"/>
      <c r="AK58" s="2280"/>
      <c r="AL58" s="695">
        <f>IF(AI58=0,0,(AK58-AI58)/AI58*100)</f>
        <v>0</v>
      </c>
      <c r="AM58" s="1897"/>
      <c r="AN58" s="1897"/>
      <c r="AO58" s="1897"/>
      <c r="AP58" s="286"/>
      <c r="AQ58" s="1659"/>
      <c r="AR58" s="489" t="s">
        <v>1569</v>
      </c>
      <c r="AS58" s="1125"/>
      <c r="AT58" s="1125"/>
      <c r="AU58" s="1126"/>
      <c r="AV58" s="1126"/>
      <c r="AW58" s="1506"/>
      <c r="AX58" s="0" cm="1" t="str">
        <f t="array" ref="AX58:AX58">AX57</f>
        <v>ТЭ.42.31656254.0001</v>
      </c>
      <c r="AY58" s="1751"/>
      <c r="AZ58" s="0" t="s">
        <v>1570</v>
      </c>
      <c r="BA58" s="1751"/>
      <c r="BB58" s="1751"/>
      <c r="BC58" s="1751"/>
      <c r="BD58" s="1751"/>
      <c r="BE58" s="1751"/>
      <c r="BF58" s="1751"/>
      <c r="BG58" s="0" t="s">
        <v>303</v>
      </c>
      <c r="BH58" s="0" t="s">
        <v>1044</v>
      </c>
      <c r="BI58" s="0" t="s">
        <v>1045</v>
      </c>
    </row>
    <row s="1751" customFormat="1" customHeight="1" ht="14.25">
      <c r="A59" s="371"/>
      <c r="B59" s="1548"/>
      <c r="C59" s="1548"/>
      <c r="D59" s="1548"/>
      <c r="E59" s="180">
        <v>15</v>
      </c>
      <c r="F59" s="175" cm="1" t="str">
        <f t="array" ref="F59:F59">OFFSET(G59,-1,-1)</f>
        <v>1</v>
      </c>
      <c r="G59" s="1659"/>
      <c r="H59" s="1659"/>
      <c r="I59" s="1659"/>
      <c r="J59" s="1659"/>
      <c r="K59" s="1659"/>
      <c r="L59" s="1659"/>
      <c r="M59" s="1659"/>
      <c r="N59" s="1659"/>
      <c r="O59" s="1659"/>
      <c r="P59" s="1659"/>
      <c r="Q59" s="1659"/>
      <c r="R59" s="1659"/>
      <c r="S59" s="1659"/>
      <c r="T59" s="753" cm="1" t="str">
        <f t="array" ref="T59:T59">T58</f>
        <v>true</v>
      </c>
      <c r="U59" s="1548"/>
      <c r="V59" s="1548"/>
      <c r="W59" s="1548"/>
      <c r="X59" s="1548"/>
      <c r="Y59" s="1548"/>
      <c r="Z59" s="1548"/>
      <c r="AA59" s="286"/>
      <c r="AB59" s="491">
        <v>5.2</v>
      </c>
      <c r="AC59" s="496" t="s">
        <v>1571</v>
      </c>
      <c r="AD59" s="467" t="s">
        <v>1178</v>
      </c>
      <c r="AE59" s="2280"/>
      <c r="AF59" s="2280"/>
      <c r="AG59" s="2280"/>
      <c r="AH59" s="695">
        <f>AG59-AF59</f>
        <v>0</v>
      </c>
      <c r="AI59" s="2280"/>
      <c r="AJ59" s="2280"/>
      <c r="AK59" s="2280"/>
      <c r="AL59" s="695">
        <f>IF(AI59=0,0,(AK59-AI59)/AI59*100)</f>
        <v>0</v>
      </c>
      <c r="AM59" s="1897"/>
      <c r="AN59" s="1897"/>
      <c r="AO59" s="1897"/>
      <c r="AP59" s="286"/>
      <c r="AQ59" s="1659"/>
      <c r="AR59" s="489" t="s">
        <v>1572</v>
      </c>
      <c r="AS59" s="1125"/>
      <c r="AT59" s="1125"/>
      <c r="AU59" s="1126"/>
      <c r="AV59" s="1126"/>
      <c r="AW59" s="1506"/>
      <c r="AX59" s="0" cm="1" t="str">
        <f t="array" ref="AX59:AX59">AX58</f>
        <v>ТЭ.42.31656254.0001</v>
      </c>
      <c r="AY59" s="1751"/>
      <c r="AZ59" s="0" t="s">
        <v>1573</v>
      </c>
      <c r="BA59" s="1751"/>
      <c r="BB59" s="1751"/>
      <c r="BC59" s="1751"/>
      <c r="BD59" s="1751"/>
      <c r="BE59" s="1751"/>
      <c r="BF59" s="1751"/>
      <c r="BG59" s="0" t="s">
        <v>303</v>
      </c>
      <c r="BH59" s="0" t="s">
        <v>1044</v>
      </c>
      <c r="BI59" s="0" t="s">
        <v>1045</v>
      </c>
    </row>
    <row s="1751" customFormat="1" customHeight="1" ht="14.25">
      <c r="A60" s="371"/>
      <c r="B60" s="1548"/>
      <c r="C60" s="1548"/>
      <c r="D60" s="1548"/>
      <c r="E60" s="180">
        <v>15</v>
      </c>
      <c r="F60" s="175" cm="1" t="str">
        <f t="array" ref="F60:F60">OFFSET(G60,-1,-1)</f>
        <v>1</v>
      </c>
      <c r="G60" s="1659"/>
      <c r="H60" s="1659"/>
      <c r="I60" s="1659"/>
      <c r="J60" s="1659"/>
      <c r="K60" s="1659"/>
      <c r="L60" s="1659"/>
      <c r="M60" s="1659"/>
      <c r="N60" s="1659"/>
      <c r="O60" s="1659"/>
      <c r="P60" s="1659"/>
      <c r="Q60" s="1659"/>
      <c r="R60" s="1659"/>
      <c r="S60" s="1659"/>
      <c r="T60" s="753" cm="1" t="str">
        <f t="array" ref="T60:T60">T59</f>
        <v>true</v>
      </c>
      <c r="U60" s="1548"/>
      <c r="V60" s="1548"/>
      <c r="W60" s="1548"/>
      <c r="X60" s="1548"/>
      <c r="Y60" s="1548"/>
      <c r="Z60" s="1548"/>
      <c r="AA60" s="286"/>
      <c r="AB60" s="491">
        <v>5.3</v>
      </c>
      <c r="AC60" s="496" t="s">
        <v>1574</v>
      </c>
      <c r="AD60" s="467" t="s">
        <v>1178</v>
      </c>
      <c r="AE60" s="2280"/>
      <c r="AF60" s="2280"/>
      <c r="AG60" s="2280"/>
      <c r="AH60" s="695">
        <f>AG60-AF60</f>
        <v>0</v>
      </c>
      <c r="AI60" s="2280"/>
      <c r="AJ60" s="2280"/>
      <c r="AK60" s="2280"/>
      <c r="AL60" s="695">
        <f>IF(AI60=0,0,(AK60-AI60)/AI60*100)</f>
        <v>0</v>
      </c>
      <c r="AM60" s="1897"/>
      <c r="AN60" s="1897"/>
      <c r="AO60" s="1897"/>
      <c r="AP60" s="286"/>
      <c r="AQ60" s="1659"/>
      <c r="AR60" s="489" t="s">
        <v>1575</v>
      </c>
      <c r="AS60" s="1125"/>
      <c r="AT60" s="1125"/>
      <c r="AU60" s="1126"/>
      <c r="AV60" s="1126"/>
      <c r="AW60" s="1506"/>
      <c r="AX60" s="0" cm="1" t="str">
        <f t="array" ref="AX60:AX60">AX59</f>
        <v>ТЭ.42.31656254.0001</v>
      </c>
      <c r="AY60" s="1751"/>
      <c r="AZ60" s="0" t="s">
        <v>1576</v>
      </c>
      <c r="BA60" s="1751"/>
      <c r="BB60" s="1751"/>
      <c r="BC60" s="1751"/>
      <c r="BD60" s="1751"/>
      <c r="BE60" s="1751"/>
      <c r="BF60" s="1751"/>
      <c r="BG60" s="0" t="s">
        <v>303</v>
      </c>
      <c r="BH60" s="0" t="s">
        <v>1044</v>
      </c>
      <c r="BI60" s="0" t="s">
        <v>1045</v>
      </c>
    </row>
    <row s="1751" customFormat="1" customHeight="1" ht="23.25">
      <c r="A61" s="371"/>
      <c r="B61" s="1548"/>
      <c r="C61" s="1548"/>
      <c r="D61" s="1548"/>
      <c r="E61" s="180">
        <v>24</v>
      </c>
      <c r="F61" s="175" cm="1" t="str">
        <f t="array" ref="F61:F61">OFFSET(G61,-1,-1)</f>
        <v>1</v>
      </c>
      <c r="G61" s="1659"/>
      <c r="H61" s="1659"/>
      <c r="I61" s="1659"/>
      <c r="J61" s="1659"/>
      <c r="K61" s="1659"/>
      <c r="L61" s="1659"/>
      <c r="M61" s="1659"/>
      <c r="N61" s="1659"/>
      <c r="O61" s="1659"/>
      <c r="P61" s="1659"/>
      <c r="Q61" s="1659"/>
      <c r="R61" s="1659"/>
      <c r="S61" s="1659"/>
      <c r="T61" s="753" cm="1" t="str">
        <f t="array" ref="T61:T61">T60</f>
        <v>true</v>
      </c>
      <c r="U61" s="1548"/>
      <c r="V61" s="1548"/>
      <c r="W61" s="1548"/>
      <c r="X61" s="1548"/>
      <c r="Y61" s="1548"/>
      <c r="Z61" s="1548"/>
      <c r="AA61" s="286"/>
      <c r="AB61" s="491">
        <v>5.4</v>
      </c>
      <c r="AC61" s="496" t="s">
        <v>1577</v>
      </c>
      <c r="AD61" s="467" t="s">
        <v>1178</v>
      </c>
      <c r="AE61" s="2280"/>
      <c r="AF61" s="2280"/>
      <c r="AG61" s="2280"/>
      <c r="AH61" s="695">
        <f>AG61-AF61</f>
        <v>0</v>
      </c>
      <c r="AI61" s="2280"/>
      <c r="AJ61" s="2280"/>
      <c r="AK61" s="2280"/>
      <c r="AL61" s="695">
        <f>IF(AI61=0,0,(AK61-AI61)/AI61*100)</f>
        <v>0</v>
      </c>
      <c r="AM61" s="1897"/>
      <c r="AN61" s="1897"/>
      <c r="AO61" s="1897"/>
      <c r="AP61" s="286"/>
      <c r="AQ61" s="1659"/>
      <c r="AR61" s="489" t="s">
        <v>1578</v>
      </c>
      <c r="AS61" s="1125"/>
      <c r="AT61" s="1125"/>
      <c r="AU61" s="1126"/>
      <c r="AV61" s="1126"/>
      <c r="AW61" s="1506"/>
      <c r="AX61" s="0" cm="1" t="str">
        <f t="array" ref="AX61:AX61">AX60</f>
        <v>ТЭ.42.31656254.0001</v>
      </c>
      <c r="AY61" s="1751"/>
      <c r="AZ61" s="0" t="s">
        <v>1579</v>
      </c>
      <c r="BA61" s="1751"/>
      <c r="BB61" s="1751"/>
      <c r="BC61" s="1751"/>
      <c r="BD61" s="1751"/>
      <c r="BE61" s="1751"/>
      <c r="BF61" s="1751"/>
      <c r="BG61" s="0" t="s">
        <v>303</v>
      </c>
      <c r="BH61" s="0" t="s">
        <v>1044</v>
      </c>
      <c r="BI61" s="0" t="s">
        <v>1045</v>
      </c>
    </row>
    <row s="1751" customFormat="1" customHeight="1" ht="14.25">
      <c r="A62" s="371"/>
      <c r="B62" s="1548"/>
      <c r="C62" s="1548"/>
      <c r="D62" s="1548"/>
      <c r="E62" s="180">
        <v>15</v>
      </c>
      <c r="F62" s="175" cm="1" t="str">
        <f t="array" ref="F62:F62">OFFSET(G62,-1,-1)</f>
        <v>1</v>
      </c>
      <c r="G62" s="1659"/>
      <c r="H62" s="1659"/>
      <c r="I62" s="1659"/>
      <c r="J62" s="1659"/>
      <c r="K62" s="1659"/>
      <c r="L62" s="1659"/>
      <c r="M62" s="1659"/>
      <c r="N62" s="1659"/>
      <c r="O62" s="1659"/>
      <c r="P62" s="1659"/>
      <c r="Q62" s="1659"/>
      <c r="R62" s="1659"/>
      <c r="S62" s="1659"/>
      <c r="T62" s="753" cm="1" t="str">
        <f t="array" ref="T62:T62">T61</f>
        <v>true</v>
      </c>
      <c r="U62" s="1548"/>
      <c r="V62" s="1548"/>
      <c r="W62" s="1548"/>
      <c r="X62" s="1548"/>
      <c r="Y62" s="1548"/>
      <c r="Z62" s="1548"/>
      <c r="AA62" s="286"/>
      <c r="AB62" s="491">
        <v>5.5</v>
      </c>
      <c r="AC62" s="496" t="s">
        <v>1580</v>
      </c>
      <c r="AD62" s="467" t="s">
        <v>1178</v>
      </c>
      <c r="AE62" s="2280"/>
      <c r="AF62" s="2280">
        <v>29</v>
      </c>
      <c r="AG62" s="2280"/>
      <c r="AH62" s="695">
        <f>AG62-AF62</f>
        <v>-29</v>
      </c>
      <c r="AI62" s="2280"/>
      <c r="AJ62" s="2280">
        <v>29</v>
      </c>
      <c r="AK62" s="2280"/>
      <c r="AL62" s="695">
        <f>IF(AI62=0,0,(AK62-AI62)/AI62*100)</f>
        <v>0</v>
      </c>
      <c r="AM62" s="1897"/>
      <c r="AN62" s="1897"/>
      <c r="AO62" s="1897"/>
      <c r="AP62" s="286"/>
      <c r="AQ62" s="1659"/>
      <c r="AR62" s="489" t="s">
        <v>1581</v>
      </c>
      <c r="AS62" s="1125"/>
      <c r="AT62" s="1125"/>
      <c r="AU62" s="1126"/>
      <c r="AV62" s="1126"/>
      <c r="AW62" s="1506"/>
      <c r="AX62" s="0" cm="1" t="str">
        <f t="array" ref="AX62:AX62">AX61</f>
        <v>ТЭ.42.31656254.0001</v>
      </c>
      <c r="AY62" s="1751"/>
      <c r="AZ62" s="0" t="s">
        <v>1582</v>
      </c>
      <c r="BA62" s="1751"/>
      <c r="BB62" s="1751"/>
      <c r="BC62" s="1751"/>
      <c r="BD62" s="1751"/>
      <c r="BE62" s="1751"/>
      <c r="BF62" s="1751"/>
      <c r="BG62" s="0" t="s">
        <v>303</v>
      </c>
      <c r="BH62" s="0" t="s">
        <v>1044</v>
      </c>
      <c r="BI62" s="0" t="s">
        <v>1045</v>
      </c>
    </row>
    <row s="972" customFormat="1" customHeight="1" ht="14.25">
      <c r="A63" s="972"/>
      <c r="B63" s="972"/>
      <c r="C63" s="972"/>
      <c r="D63" s="972"/>
      <c r="E63" s="180">
        <v>15</v>
      </c>
      <c r="F63" s="175" cm="1" t="str">
        <f t="array" ref="F63:F63">OFFSET(G63,-1,-1)</f>
        <v>1</v>
      </c>
      <c r="G63" s="972"/>
      <c r="H63" s="972"/>
      <c r="I63" s="972"/>
      <c r="J63" s="972"/>
      <c r="K63" s="972"/>
      <c r="L63" s="972"/>
      <c r="M63" s="972"/>
      <c r="N63" s="972"/>
      <c r="O63" s="972"/>
      <c r="P63" s="972"/>
      <c r="Q63" s="972"/>
      <c r="R63" s="972"/>
      <c r="S63" s="972"/>
      <c r="T63" s="753" cm="1" t="str">
        <f t="array" ref="T63:T63">T62</f>
        <v>true</v>
      </c>
      <c r="U63" s="972"/>
      <c r="V63" s="972"/>
      <c r="W63" s="972"/>
      <c r="X63" s="972"/>
      <c r="Y63" s="972"/>
      <c r="Z63" s="972"/>
      <c r="AA63" s="972"/>
      <c r="AB63" s="491">
        <v>6</v>
      </c>
      <c r="AC63" s="496" t="s">
        <v>1583</v>
      </c>
      <c r="AD63" s="467" t="s">
        <v>1178</v>
      </c>
      <c r="AE63" s="2280"/>
      <c r="AF63" s="2280"/>
      <c r="AG63" s="2280"/>
      <c r="AH63" s="695">
        <f>AG63-AF63</f>
        <v>0</v>
      </c>
      <c r="AI63" s="2280"/>
      <c r="AJ63" s="2280"/>
      <c r="AK63" s="2280"/>
      <c r="AL63" s="695">
        <f>IF(AI63=0,0,(AK63-AI63)/AI63*100)</f>
        <v>0</v>
      </c>
      <c r="AM63" s="1897"/>
      <c r="AN63" s="1897"/>
      <c r="AO63" s="1897"/>
      <c r="AP63" s="972"/>
      <c r="AQ63" s="972"/>
      <c r="AR63" s="489" t="s">
        <v>1584</v>
      </c>
      <c r="AS63" s="992"/>
      <c r="AT63" s="992"/>
      <c r="AU63" s="993"/>
      <c r="AV63" s="993"/>
      <c r="AW63" s="972"/>
      <c r="AX63" s="0" cm="1" t="str">
        <f t="array" ref="AX63:AX63">AX62</f>
        <v>ТЭ.42.31656254.0001</v>
      </c>
      <c r="AY63" s="972"/>
      <c r="AZ63" s="972"/>
      <c r="BA63" s="972"/>
      <c r="BB63" s="0" t="s">
        <v>1585</v>
      </c>
      <c r="BC63" s="972"/>
      <c r="BD63" s="972"/>
      <c r="BE63" s="972"/>
      <c r="BF63" s="972"/>
      <c r="BG63" s="0" t="s">
        <v>303</v>
      </c>
      <c r="BH63" s="0" t="s">
        <v>1044</v>
      </c>
      <c r="BI63" s="0" t="s">
        <v>1045</v>
      </c>
    </row>
    <row s="1751" customFormat="1" customHeight="1" ht="14.25">
      <c r="A64" s="371"/>
      <c r="B64" s="1548"/>
      <c r="C64" s="1548"/>
      <c r="D64" s="1548"/>
      <c r="E64" s="180">
        <v>15</v>
      </c>
      <c r="F64" s="175" cm="1" t="str">
        <f t="array" ref="F64:F64">OFFSET(G64,-1,-1)</f>
        <v>1</v>
      </c>
      <c r="G64" s="1659"/>
      <c r="H64" s="1659"/>
      <c r="I64" s="1659"/>
      <c r="J64" s="1659"/>
      <c r="K64" s="1659"/>
      <c r="L64" s="1659"/>
      <c r="M64" s="1659"/>
      <c r="N64" s="1659"/>
      <c r="O64" s="1659"/>
      <c r="P64" s="1659"/>
      <c r="Q64" s="1659"/>
      <c r="R64" s="1659"/>
      <c r="S64" s="1659"/>
      <c r="T64" s="753" cm="1" t="str">
        <f t="array" ref="T64:T64">T63</f>
        <v>true</v>
      </c>
      <c r="U64" s="1548"/>
      <c r="V64" s="1548"/>
      <c r="W64" s="1548"/>
      <c r="X64" s="1548"/>
      <c r="Y64" s="1548"/>
      <c r="Z64" s="1548"/>
      <c r="AA64" s="286"/>
      <c r="AB64" s="491">
        <v>7</v>
      </c>
      <c r="AC64" s="496" t="s">
        <v>1586</v>
      </c>
      <c r="AD64" s="467" t="s">
        <v>1178</v>
      </c>
      <c r="AE64" s="2280">
        <v>42</v>
      </c>
      <c r="AF64" s="2280">
        <v>29</v>
      </c>
      <c r="AG64" s="2280">
        <v>42</v>
      </c>
      <c r="AH64" s="695">
        <f>AG64-AF64</f>
        <v>13</v>
      </c>
      <c r="AI64" s="2280">
        <v>43</v>
      </c>
      <c r="AJ64" s="2280">
        <v>46</v>
      </c>
      <c r="AK64" s="2280">
        <v>45</v>
      </c>
      <c r="AL64" s="695">
        <f>IF(AI64=0,0,(AK64-AI64)/AI64*100)</f>
        <v>4.65116279069767</v>
      </c>
      <c r="AM64" s="1897"/>
      <c r="AN64" s="1897"/>
      <c r="AO64" s="1897"/>
      <c r="AP64" s="286"/>
      <c r="AQ64" s="1659"/>
      <c r="AR64" s="489" t="s">
        <v>1587</v>
      </c>
      <c r="AS64" s="1125"/>
      <c r="AT64" s="1125"/>
      <c r="AU64" s="1126"/>
      <c r="AV64" s="1126"/>
      <c r="AW64" s="1506"/>
      <c r="AX64" s="0" cm="1" t="str">
        <f t="array" ref="AX64:AX64">AX63</f>
        <v>ТЭ.42.31656254.0001</v>
      </c>
      <c r="AY64" s="1751"/>
      <c r="AZ64" s="1751"/>
      <c r="BA64" s="1751"/>
      <c r="BB64" s="0" t="s">
        <v>1588</v>
      </c>
      <c r="BC64" s="1751"/>
      <c r="BD64" s="1751"/>
      <c r="BE64" s="1751"/>
      <c r="BF64" s="1751"/>
      <c r="BG64" s="0" t="s">
        <v>303</v>
      </c>
      <c r="BH64" s="0" t="s">
        <v>1044</v>
      </c>
      <c r="BI64" s="0" t="s">
        <v>1045</v>
      </c>
    </row>
    <row s="1751" customFormat="1" customHeight="1" ht="14.25">
      <c r="A65" s="371"/>
      <c r="B65" s="1548"/>
      <c r="C65" s="1548"/>
      <c r="D65" s="1548"/>
      <c r="E65" s="180">
        <v>15</v>
      </c>
      <c r="F65" s="175" cm="1" t="str">
        <f t="array" ref="F65:F65">OFFSET(G65,-1,-1)</f>
        <v>1</v>
      </c>
      <c r="G65" s="193" t="s">
        <v>1359</v>
      </c>
      <c r="H65" s="1659"/>
      <c r="I65" s="1659"/>
      <c r="J65" s="1659"/>
      <c r="K65" s="1659"/>
      <c r="L65" s="1659"/>
      <c r="M65" s="1659"/>
      <c r="N65" s="1659"/>
      <c r="O65" s="1659"/>
      <c r="P65" s="1659"/>
      <c r="Q65" s="1659"/>
      <c r="R65" s="1659"/>
      <c r="S65" s="1659"/>
      <c r="T65" s="753" cm="1" t="str">
        <f t="array" ref="T65:T65">T64</f>
        <v>true</v>
      </c>
      <c r="U65" s="1548"/>
      <c r="V65" s="1548"/>
      <c r="W65" s="1548"/>
      <c r="X65" s="1548"/>
      <c r="Y65" s="1548"/>
      <c r="Z65" s="1548"/>
      <c r="AA65" s="286"/>
      <c r="AB65" s="491">
        <v>8</v>
      </c>
      <c r="AC65" s="505" t="s">
        <v>1589</v>
      </c>
      <c r="AD65" s="467" t="s">
        <v>1178</v>
      </c>
      <c r="AE65" s="695">
        <f>_xlfn.SUMIFS(Аренда!AE$26:AE$51,Аренда!$F$26:$F$51,$F65,Аренда!$G$26:$G$51,$G65)</f>
        <v>0</v>
      </c>
      <c r="AF65" s="695">
        <f>_xlfn.SUMIFS(Аренда!AF$26:AF$51,Аренда!$F$26:$F$51,$F65,Аренда!$G$26:$G$51,$G65)</f>
        <v>0</v>
      </c>
      <c r="AG65" s="2280">
        <f>_xlfn.SUMIFS(Аренда!AG$26:AG$51,Аренда!$F$26:$F$51,$F65,Аренда!$G$26:$G$51,$G65)</f>
        <v>0</v>
      </c>
      <c r="AH65" s="695">
        <f>AG65-AF65</f>
        <v>0</v>
      </c>
      <c r="AI65" s="695">
        <f>_xlfn.SUMIFS(Аренда!AH$26:AH$51,Аренда!$F$26:$F$51,$F65,Аренда!$G$26:$G$51,$G65)</f>
        <v>0</v>
      </c>
      <c r="AJ65" s="695">
        <f>_xlfn.SUMIFS(Аренда!AI$26:AI$51,Аренда!$F$26:$F$51,$F65,Аренда!$G$26:$G$51,$G65)</f>
        <v>0</v>
      </c>
      <c r="AK65" s="695">
        <f>_xlfn.SUMIFS(Аренда!BC$26:BC$51,Аренда!$F$26:$F$51,$F65,Аренда!$G$26:$G$51,$G65)</f>
        <v>0</v>
      </c>
      <c r="AL65" s="695">
        <f>IF(AI65=0,0,(AK65-AI65)/AI65*100)</f>
        <v>0</v>
      </c>
      <c r="AM65" s="1897"/>
      <c r="AN65" s="1897"/>
      <c r="AO65" s="1897"/>
      <c r="AP65" s="286"/>
      <c r="AQ65" s="1659"/>
      <c r="AR65" s="489" t="s">
        <v>1590</v>
      </c>
      <c r="AS65" s="1125"/>
      <c r="AT65" s="1125"/>
      <c r="AU65" s="1126"/>
      <c r="AV65" s="1126"/>
      <c r="AW65" s="1506"/>
      <c r="AX65" s="0" cm="1" t="str">
        <f t="array" ref="AX65:AX65">AX64</f>
        <v>ТЭ.42.31656254.0001</v>
      </c>
      <c r="AY65" s="1751"/>
      <c r="AZ65" s="1751"/>
      <c r="BA65" s="1751"/>
      <c r="BB65" s="1751"/>
      <c r="BC65" s="0" t="s">
        <v>1356</v>
      </c>
      <c r="BD65" s="1751"/>
      <c r="BE65" s="1751"/>
      <c r="BF65" s="1751"/>
      <c r="BG65" s="0" t="s">
        <v>303</v>
      </c>
      <c r="BH65" s="0" t="s">
        <v>1357</v>
      </c>
      <c r="BI65" s="0" t="s">
        <v>1358</v>
      </c>
    </row>
    <row s="972" customFormat="1" customHeight="1" ht="14.25">
      <c r="A66" s="972"/>
      <c r="B66" s="972"/>
      <c r="C66" s="972"/>
      <c r="D66" s="972"/>
      <c r="E66" s="180">
        <v>15</v>
      </c>
      <c r="F66" s="175" cm="1" t="str">
        <f t="array" ref="F66:F66">OFFSET(G66,-1,-1)</f>
        <v>1</v>
      </c>
      <c r="G66" s="193" t="s">
        <v>1338</v>
      </c>
      <c r="H66" s="972"/>
      <c r="I66" s="972"/>
      <c r="J66" s="972"/>
      <c r="K66" s="972"/>
      <c r="L66" s="972"/>
      <c r="M66" s="972"/>
      <c r="N66" s="972"/>
      <c r="O66" s="972"/>
      <c r="P66" s="972"/>
      <c r="Q66" s="972"/>
      <c r="R66" s="972"/>
      <c r="S66" s="972"/>
      <c r="T66" s="753" cm="1" t="str">
        <f t="array" ref="T66:T66">T65</f>
        <v>true</v>
      </c>
      <c r="U66" s="972"/>
      <c r="V66" s="972"/>
      <c r="W66" s="972"/>
      <c r="X66" s="972"/>
      <c r="Y66" s="972"/>
      <c r="Z66" s="972"/>
      <c r="AA66" s="972"/>
      <c r="AB66" s="491">
        <v>9</v>
      </c>
      <c r="AC66" s="505" t="s">
        <v>1591</v>
      </c>
      <c r="AD66" s="467" t="s">
        <v>1178</v>
      </c>
      <c r="AE66" s="695">
        <f>_xlfn.SUMIFS(Аренда!AE$26:AE$51,Аренда!$F$26:$F$51,$F66,Аренда!$G$26:$G$51,$G66)</f>
        <v>0</v>
      </c>
      <c r="AF66" s="695">
        <f>_xlfn.SUMIFS(Аренда!AF$26:AF$51,Аренда!$F$26:$F$51,$F66,Аренда!$G$26:$G$51,$G66)</f>
        <v>0</v>
      </c>
      <c r="AG66" s="2280">
        <f>_xlfn.SUMIFS(Аренда!AG$26:AG$51,Аренда!$F$26:$F$51,$F66,Аренда!$G$26:$G$51,$G66)</f>
        <v>0</v>
      </c>
      <c r="AH66" s="695">
        <f>AG66-AF66</f>
        <v>0</v>
      </c>
      <c r="AI66" s="695">
        <f>_xlfn.SUMIFS(Аренда!AH$26:AH$51,Аренда!$F$26:$F$51,$F66,Аренда!$G$26:$G$51,$G66)</f>
        <v>0</v>
      </c>
      <c r="AJ66" s="695">
        <f>_xlfn.SUMIFS(Аренда!AI$26:AI$51,Аренда!$F$26:$F$51,$F66,Аренда!$G$26:$G$51,$G66)</f>
        <v>0</v>
      </c>
      <c r="AK66" s="695">
        <f>_xlfn.SUMIFS(Аренда!BC$26:BC$51,Аренда!$F$26:$F$51,$F66,Аренда!$G$26:$G$51,$G66)</f>
        <v>0</v>
      </c>
      <c r="AL66" s="695">
        <f>IF(AI66=0,0,(AK66-AI66)/AI66*100)</f>
        <v>0</v>
      </c>
      <c r="AM66" s="1897"/>
      <c r="AN66" s="1897"/>
      <c r="AO66" s="1897"/>
      <c r="AP66" s="972"/>
      <c r="AQ66" s="972"/>
      <c r="AR66" s="489" t="s">
        <v>1341</v>
      </c>
      <c r="AS66" s="992"/>
      <c r="AT66" s="992"/>
      <c r="AU66" s="993"/>
      <c r="AV66" s="993"/>
      <c r="AW66" s="972"/>
      <c r="AX66" s="0" cm="1" t="str">
        <f t="array" ref="AX66:AX66">AX65</f>
        <v>ТЭ.42.31656254.0001</v>
      </c>
      <c r="AY66" s="972"/>
      <c r="AZ66" s="972"/>
      <c r="BA66" s="972"/>
      <c r="BB66" s="972"/>
      <c r="BC66" s="0" t="s">
        <v>1592</v>
      </c>
      <c r="BD66" s="972"/>
      <c r="BE66" s="972"/>
      <c r="BF66" s="972"/>
      <c r="BG66" s="0" t="s">
        <v>303</v>
      </c>
      <c r="BH66" s="0" t="s">
        <v>1377</v>
      </c>
      <c r="BI66" s="0" t="s">
        <v>1593</v>
      </c>
    </row>
    <row s="1751" customFormat="1" customHeight="1" ht="29.25">
      <c r="A67" s="371"/>
      <c r="B67" s="1548"/>
      <c r="C67" s="1548"/>
      <c r="D67" s="1548"/>
      <c r="E67" s="180">
        <v>30</v>
      </c>
      <c r="F67" s="175" cm="1" t="str">
        <f t="array" ref="F67:F67">OFFSET(G67,-1,-1)</f>
        <v>1</v>
      </c>
      <c r="G67" s="1659"/>
      <c r="H67" s="1659"/>
      <c r="I67" s="1659"/>
      <c r="J67" s="1659"/>
      <c r="K67" s="1659"/>
      <c r="L67" s="1659"/>
      <c r="M67" s="1659"/>
      <c r="N67" s="1659"/>
      <c r="O67" s="1659"/>
      <c r="P67" s="1659"/>
      <c r="Q67" s="1659"/>
      <c r="R67" s="1659"/>
      <c r="S67" s="1659"/>
      <c r="T67" s="753" cm="1" t="str">
        <f t="array" ref="T67:T67">T66</f>
        <v>true</v>
      </c>
      <c r="U67" s="1548"/>
      <c r="V67" s="1548"/>
      <c r="W67" s="1548"/>
      <c r="X67" s="1548"/>
      <c r="Y67" s="1548"/>
      <c r="Z67" s="1548"/>
      <c r="AA67" s="286"/>
      <c r="AB67" s="491">
        <v>10</v>
      </c>
      <c r="AC67" s="496" t="s">
        <v>1594</v>
      </c>
      <c r="AD67" s="467" t="s">
        <v>1178</v>
      </c>
      <c r="AE67" s="695">
        <f>SUM(AE68:AE70)</f>
        <v>0</v>
      </c>
      <c r="AF67" s="695">
        <f>SUM(AF68:AF70)</f>
        <v>0</v>
      </c>
      <c r="AG67" s="2280">
        <f>SUM(AG68:AG70)</f>
        <v>0</v>
      </c>
      <c r="AH67" s="695">
        <f>AG67-AF67</f>
        <v>0</v>
      </c>
      <c r="AI67" s="695">
        <f>SUM(AI68:AI70)</f>
        <v>0</v>
      </c>
      <c r="AJ67" s="695">
        <f>SUM(AJ68:AJ70)</f>
        <v>0</v>
      </c>
      <c r="AK67" s="695">
        <f>SUM(AK68:AK70)</f>
        <v>0</v>
      </c>
      <c r="AL67" s="695">
        <f>IF(AI67=0,0,(AK67-AI67)/AI67*100)</f>
        <v>0</v>
      </c>
      <c r="AM67" s="1897"/>
      <c r="AN67" s="1897"/>
      <c r="AO67" s="1897"/>
      <c r="AP67" s="286"/>
      <c r="AQ67" s="1659"/>
      <c r="AR67" s="489" t="s">
        <v>1509</v>
      </c>
      <c r="AS67" s="1125"/>
      <c r="AT67" s="1125"/>
      <c r="AU67" s="1126"/>
      <c r="AV67" s="1126"/>
      <c r="AW67" s="1506"/>
      <c r="AX67" s="0" cm="1" t="str">
        <f t="array" ref="AX67:AX67">AX66</f>
        <v>ТЭ.42.31656254.0001</v>
      </c>
      <c r="AY67" s="0" t="s">
        <v>1404</v>
      </c>
      <c r="AZ67" s="1751"/>
      <c r="BA67" s="1751"/>
      <c r="BB67" s="1751"/>
      <c r="BC67" s="1751"/>
      <c r="BD67" s="1751"/>
      <c r="BE67" s="1751"/>
      <c r="BF67" s="1751"/>
      <c r="BG67" s="0" t="s">
        <v>303</v>
      </c>
      <c r="BH67" s="0" t="s">
        <v>1044</v>
      </c>
      <c r="BI67" s="0" t="s">
        <v>1045</v>
      </c>
    </row>
    <row s="1751" customFormat="1" customHeight="1" ht="11.25" hidden="1">
      <c r="A68" s="371"/>
      <c r="B68" s="1548"/>
      <c r="C68" s="1548"/>
      <c r="D68" s="1548"/>
      <c r="E68" s="965">
        <v>0</v>
      </c>
      <c r="F68" s="175" cm="1" t="str">
        <f t="array" ref="F68:F68">OFFSET(G68,-1,-1)</f>
        <v>1</v>
      </c>
      <c r="G68" s="1659"/>
      <c r="H68" s="1659"/>
      <c r="I68" s="1659"/>
      <c r="J68" s="1659"/>
      <c r="K68" s="1659"/>
      <c r="L68" s="1659"/>
      <c r="M68" s="1659"/>
      <c r="N68" s="1659"/>
      <c r="O68" s="1659"/>
      <c r="P68" s="1659"/>
      <c r="Q68" s="1659"/>
      <c r="R68" s="1659"/>
      <c r="S68" s="1659"/>
      <c r="T68" s="753" cm="1" t="str">
        <f t="array" ref="T68:T68">T67</f>
        <v>true</v>
      </c>
      <c r="U68" s="1548"/>
      <c r="V68" s="1548"/>
      <c r="W68" s="1548"/>
      <c r="X68" s="1548"/>
      <c r="Y68" s="1548"/>
      <c r="Z68" s="1548"/>
      <c r="AA68" s="286"/>
      <c r="AB68" s="491"/>
      <c r="AC68" s="501"/>
      <c r="AD68" s="467"/>
      <c r="AE68" s="467"/>
      <c r="AF68" s="467"/>
      <c r="AG68" s="467"/>
      <c r="AH68" s="467"/>
      <c r="AI68" s="467"/>
      <c r="AJ68" s="467"/>
      <c r="AK68" s="467"/>
      <c r="AL68" s="467"/>
      <c r="AM68" s="380"/>
      <c r="AN68" s="380"/>
      <c r="AO68" s="380"/>
      <c r="AP68" s="286"/>
      <c r="AQ68" s="1659"/>
      <c r="AR68" s="489" t="str">
        <f>IF(AND(ISNUMBER(VALUE(TRIM(SUBSTITUTE(AB68,".","")))),TRIM(SUBSTITUTE(AB68,".",""))&lt;&gt;""),"P"&amp;SUBSTITUTE(AB68,".",""),"")</f>
        <v/>
      </c>
      <c r="AS68" s="1125"/>
      <c r="AT68" s="1125"/>
      <c r="AU68" s="1126"/>
      <c r="AV68" s="1126"/>
      <c r="AW68" s="1506"/>
      <c r="AX68" s="0" cm="1" t="str">
        <f t="array" ref="AX68:AX68">AX67</f>
        <v>ТЭ.42.31656254.0001</v>
      </c>
      <c r="AY68" s="1751"/>
      <c r="AZ68" s="1751"/>
      <c r="BA68" s="1751"/>
      <c r="BB68" s="1751"/>
      <c r="BC68" s="1751"/>
      <c r="BD68" s="1751"/>
      <c r="BE68" s="1751"/>
      <c r="BF68" s="1751"/>
      <c r="BG68" s="1751"/>
      <c r="BH68" s="1751"/>
      <c r="BI68" s="1751"/>
    </row>
    <row s="1751" customFormat="1" customHeight="1" ht="14.25" hidden="1">
      <c r="A69" s="371"/>
      <c r="B69" s="1548"/>
      <c r="C69" s="1548"/>
      <c r="D69" s="1548"/>
      <c r="E69" s="180">
        <v>15</v>
      </c>
      <c r="F69" s="175" cm="1" t="str">
        <f t="array" ref="F69:F69">OFFSET(G69,-1,-1)</f>
        <v>1</v>
      </c>
      <c r="G69" s="1659"/>
      <c r="H69" s="1659"/>
      <c r="I69" s="1659"/>
      <c r="J69" s="1659"/>
      <c r="K69" s="1659"/>
      <c r="L69" s="1659"/>
      <c r="M69" s="1659"/>
      <c r="N69" s="1659"/>
      <c r="O69" s="1659"/>
      <c r="P69" s="1659"/>
      <c r="Q69" s="1659"/>
      <c r="R69" s="1659"/>
      <c r="S69" s="1659"/>
      <c r="T69" s="753">
        <f>AND(F69&gt;0,Y69&gt;0)</f>
        <v>0</v>
      </c>
      <c r="U69" s="1548"/>
      <c r="V69" s="1548"/>
      <c r="W69" s="175" t="s">
        <v>189</v>
      </c>
      <c r="X69" s="1548"/>
      <c r="Y69" s="175">
        <v>0</v>
      </c>
      <c r="Z69" s="1548"/>
      <c r="AA69" s="957" t="s">
        <v>171</v>
      </c>
      <c r="AB69" s="697" t="str">
        <f>"10."&amp;Y69</f>
        <v>10.0</v>
      </c>
      <c r="AC69" s="122"/>
      <c r="AD69" s="344" t="s">
        <v>1178</v>
      </c>
      <c r="AE69" s="123"/>
      <c r="AF69" s="123"/>
      <c r="AG69" s="123"/>
      <c r="AH69" s="700">
        <f>AG69-AF69</f>
        <v>0</v>
      </c>
      <c r="AI69" s="123"/>
      <c r="AJ69" s="123"/>
      <c r="AK69" s="123"/>
      <c r="AL69" s="700">
        <f>IF(AI69=0,0,(AK69-AI69)/AI69*100)</f>
        <v>0</v>
      </c>
      <c r="AM69" s="84"/>
      <c r="AN69" s="84"/>
      <c r="AO69" s="84"/>
      <c r="AP69" s="286"/>
      <c r="AQ69" s="1659"/>
      <c r="AR69" s="489" t="s">
        <v>1509</v>
      </c>
      <c r="AS69" s="489" t="s">
        <v>1406</v>
      </c>
      <c r="AT69" s="489" cm="1" t="str">
        <f t="array" ref="AT69:AT69">AC69</f>
        <v>0</v>
      </c>
      <c r="AU69" s="1126"/>
      <c r="AV69" s="546" t="b">
        <v>1</v>
      </c>
      <c r="AW69" s="1506"/>
      <c r="AX69" s="0" cm="1" t="str">
        <f t="array" ref="AX69:AX69">OFFSET(AY69,-1,-1)</f>
        <v>ТЭ.42.31656254.0001</v>
      </c>
      <c r="AY69" s="0" t="s">
        <v>1404</v>
      </c>
      <c r="AZ69" s="1751"/>
      <c r="BA69" s="1751"/>
      <c r="BB69" s="1751"/>
      <c r="BC69" s="1751"/>
      <c r="BD69" s="1751"/>
      <c r="BE69" s="1751"/>
      <c r="BF69" s="0" cm="1" t="str">
        <f t="array" ref="BF69:BF69">$AC69</f>
        <v>0</v>
      </c>
      <c r="BG69" s="0" t="s">
        <v>303</v>
      </c>
      <c r="BH69" s="0" t="s">
        <v>1044</v>
      </c>
      <c r="BI69" s="0" t="s">
        <v>1045</v>
      </c>
    </row>
    <row s="1751" customFormat="1" customHeight="1" ht="13.5">
      <c r="A70" s="371"/>
      <c r="B70" s="1548"/>
      <c r="C70" s="1548"/>
      <c r="D70" s="1548"/>
      <c r="E70" s="180">
        <v>14</v>
      </c>
      <c r="F70" s="175" cm="1" t="str">
        <f t="array" ref="F70:F70">OFFSET(G70,-1,-1)</f>
        <v>1</v>
      </c>
      <c r="G70" s="1659"/>
      <c r="H70" s="1659"/>
      <c r="I70" s="1659"/>
      <c r="J70" s="1659"/>
      <c r="K70" s="1659"/>
      <c r="L70" s="1659"/>
      <c r="M70" s="1659"/>
      <c r="N70" s="1659"/>
      <c r="O70" s="1659"/>
      <c r="P70" s="1659"/>
      <c r="Q70" s="1659"/>
      <c r="R70" s="1659"/>
      <c r="S70" s="1659"/>
      <c r="T70" s="753">
        <f>F70&gt;0</f>
        <v>1</v>
      </c>
      <c r="U70" s="1548"/>
      <c r="V70" s="1548"/>
      <c r="W70" s="176" t="s">
        <v>510</v>
      </c>
      <c r="X70" s="1548"/>
      <c r="Y70" s="1548"/>
      <c r="Z70" s="1548"/>
      <c r="AA70" s="286"/>
      <c r="AB70" s="701"/>
      <c r="AC70" s="406" t="s">
        <v>191</v>
      </c>
      <c r="AD70" s="702"/>
      <c r="AE70" s="703"/>
      <c r="AF70" s="703"/>
      <c r="AG70" s="703"/>
      <c r="AH70" s="703"/>
      <c r="AI70" s="703"/>
      <c r="AJ70" s="703"/>
      <c r="AK70" s="703"/>
      <c r="AL70" s="703"/>
      <c r="AM70" s="704"/>
      <c r="AN70" s="704"/>
      <c r="AO70" s="705"/>
      <c r="AP70" s="286"/>
      <c r="AQ70" s="1659"/>
      <c r="AR70" s="489" t="str">
        <f>IF(AND(ISNUMBER(VALUE(TRIM(SUBSTITUTE(AB70,".","")))),TRIM(SUBSTITUTE(AB70,".",""))&lt;&gt;""),"P"&amp;SUBSTITUTE(AB70,".",""),"")</f>
        <v/>
      </c>
      <c r="AS70" s="1125"/>
      <c r="AT70" s="1125"/>
      <c r="AU70" s="546" t="s">
        <v>1406</v>
      </c>
      <c r="AV70" s="1126"/>
      <c r="AW70" s="1506"/>
      <c r="AX70" s="0" cm="1" t="str">
        <f t="array" ref="AX70:AX70">OFFSET(AY70,-1,-1)</f>
        <v>ТЭ.42.31656254.0001</v>
      </c>
      <c r="AY70" s="1751"/>
      <c r="AZ70" s="1751"/>
      <c r="BA70" s="1751"/>
      <c r="BB70" s="1751"/>
      <c r="BC70" s="1751"/>
      <c r="BD70" s="1751"/>
      <c r="BE70" s="1751"/>
      <c r="BF70" s="1751"/>
      <c r="BG70" s="1751"/>
      <c r="BH70" s="1751"/>
      <c r="BI70" s="1751"/>
    </row>
    <row s="1751" customFormat="1" customHeight="1" ht="13.5">
      <c r="A71" s="371"/>
      <c r="B71" s="1548"/>
      <c r="C71" s="1548"/>
      <c r="D71" s="1548"/>
      <c r="E71" s="180">
        <v>14</v>
      </c>
      <c r="F71" s="175" cm="1" t="str">
        <f t="array" ref="F71:F71">OFFSET(G71,-1,-1)</f>
        <v>1</v>
      </c>
      <c r="G71" s="1659"/>
      <c r="H71" s="1659"/>
      <c r="I71" s="1659"/>
      <c r="J71" s="1659"/>
      <c r="K71" s="1659"/>
      <c r="L71" s="1659"/>
      <c r="M71" s="1659"/>
      <c r="N71" s="1659"/>
      <c r="O71" s="1659"/>
      <c r="P71" s="1659"/>
      <c r="Q71" s="1659"/>
      <c r="R71" s="1659"/>
      <c r="S71" s="1659"/>
      <c r="T71" s="753">
        <f>F71&gt;0</f>
        <v>1</v>
      </c>
      <c r="U71" s="1548"/>
      <c r="V71" s="1548"/>
      <c r="W71" s="1548"/>
      <c r="X71" s="1548"/>
      <c r="Y71" s="1548"/>
      <c r="Z71" s="1548"/>
      <c r="AA71" s="286"/>
      <c r="AB71" s="512">
        <v>11</v>
      </c>
      <c r="AC71" s="706" t="s">
        <v>1595</v>
      </c>
      <c r="AD71" s="369" t="s">
        <v>1178</v>
      </c>
      <c r="AE71" s="707">
        <f>SUM(AE72:AE74)</f>
        <v>0</v>
      </c>
      <c r="AF71" s="707">
        <f>SUM(AF72:AF74)</f>
        <v>0</v>
      </c>
      <c r="AG71" s="2338">
        <f>SUM(AG72:AG74)</f>
        <v>0</v>
      </c>
      <c r="AH71" s="707">
        <f>AG71-AF71</f>
        <v>0</v>
      </c>
      <c r="AI71" s="707">
        <f>SUM(AI72:AI74)</f>
        <v>0</v>
      </c>
      <c r="AJ71" s="707">
        <f>SUM(AJ72:AJ74)</f>
        <v>0</v>
      </c>
      <c r="AK71" s="707">
        <f>SUM(AK72:AK74)</f>
        <v>0</v>
      </c>
      <c r="AL71" s="707">
        <f>IF(AI71=0,0,(AK71-AI71)/AI71*100)</f>
        <v>0</v>
      </c>
      <c r="AM71" s="1908"/>
      <c r="AN71" s="1908"/>
      <c r="AO71" s="1908"/>
      <c r="AP71" s="286"/>
      <c r="AQ71" s="1659"/>
      <c r="AR71" s="489" t="s">
        <v>1596</v>
      </c>
      <c r="AS71" s="1125"/>
      <c r="AT71" s="1125"/>
      <c r="AU71" s="1126"/>
      <c r="AV71" s="1126"/>
      <c r="AW71" s="1506"/>
      <c r="AX71" s="0" cm="1" t="str">
        <f t="array" ref="AX71:AX71">AX70</f>
        <v>ТЭ.42.31656254.0001</v>
      </c>
      <c r="AY71" s="1751"/>
      <c r="AZ71" s="1751"/>
      <c r="BA71" s="1751"/>
      <c r="BB71" s="1751"/>
      <c r="BC71" s="1751"/>
      <c r="BD71" s="1751"/>
      <c r="BE71" s="0" t="s">
        <v>255</v>
      </c>
      <c r="BF71" s="1751"/>
      <c r="BG71" s="0" t="s">
        <v>303</v>
      </c>
      <c r="BH71" s="0" t="s">
        <v>1044</v>
      </c>
      <c r="BI71" s="0" t="s">
        <v>1045</v>
      </c>
    </row>
    <row s="1751" customFormat="1" customHeight="1" ht="11.25" hidden="1">
      <c r="A72" s="371"/>
      <c r="B72" s="1548"/>
      <c r="C72" s="1548"/>
      <c r="D72" s="1548"/>
      <c r="E72" s="965">
        <v>0</v>
      </c>
      <c r="F72" s="175" cm="1" t="str">
        <f t="array" ref="F72:F72">OFFSET(G72,-1,-1)</f>
        <v>1</v>
      </c>
      <c r="G72" s="1659"/>
      <c r="H72" s="1659"/>
      <c r="I72" s="1659"/>
      <c r="J72" s="1659"/>
      <c r="K72" s="1659"/>
      <c r="L72" s="1659"/>
      <c r="M72" s="1659"/>
      <c r="N72" s="1659"/>
      <c r="O72" s="1659"/>
      <c r="P72" s="1659"/>
      <c r="Q72" s="1659"/>
      <c r="R72" s="1659"/>
      <c r="S72" s="1659"/>
      <c r="T72" s="753">
        <f>F72&gt;0</f>
        <v>1</v>
      </c>
      <c r="U72" s="1548"/>
      <c r="V72" s="1548"/>
      <c r="W72" s="1548"/>
      <c r="X72" s="1548"/>
      <c r="Y72" s="1548"/>
      <c r="Z72" s="1548"/>
      <c r="AA72" s="286"/>
      <c r="AB72" s="697"/>
      <c r="AC72" s="709"/>
      <c r="AD72" s="356"/>
      <c r="AE72" s="467"/>
      <c r="AF72" s="467"/>
      <c r="AG72" s="467"/>
      <c r="AH72" s="286"/>
      <c r="AI72" s="467"/>
      <c r="AJ72" s="467"/>
      <c r="AK72" s="467"/>
      <c r="AL72" s="286"/>
      <c r="AM72" s="286"/>
      <c r="AN72" s="286"/>
      <c r="AO72" s="286"/>
      <c r="AP72" s="286"/>
      <c r="AQ72" s="1659"/>
      <c r="AR72" s="489" t="str">
        <f>IF(AND(ISNUMBER(VALUE(TRIM(SUBSTITUTE(AB72,".","")))),TRIM(SUBSTITUTE(AB72,".",""))&lt;&gt;""),"P"&amp;SUBSTITUTE(AB72,".",""),"")</f>
        <v/>
      </c>
      <c r="AS72" s="1125"/>
      <c r="AT72" s="1125"/>
      <c r="AU72" s="1126"/>
      <c r="AV72" s="1126"/>
      <c r="AW72" s="1506"/>
      <c r="AX72" s="0" cm="1" t="str">
        <f t="array" ref="AX72:AX72">AX71</f>
        <v>ТЭ.42.31656254.0001</v>
      </c>
      <c r="AY72" s="1751"/>
      <c r="AZ72" s="1751"/>
      <c r="BA72" s="1751"/>
      <c r="BB72" s="1751"/>
      <c r="BC72" s="1751"/>
      <c r="BD72" s="1751"/>
      <c r="BE72" s="1751"/>
      <c r="BF72" s="1751"/>
      <c r="BG72" s="1751"/>
      <c r="BH72" s="1751"/>
      <c r="BI72" s="1751"/>
    </row>
    <row s="1751" customFormat="1" customHeight="1" ht="13.5" hidden="1">
      <c r="A73" s="371"/>
      <c r="B73" s="1548"/>
      <c r="C73" s="1548"/>
      <c r="D73" s="1548"/>
      <c r="E73" s="180">
        <v>14</v>
      </c>
      <c r="F73" s="175" cm="1" t="str">
        <f t="array" ref="F73:F73">OFFSET(G73,-1,-1)</f>
        <v>1</v>
      </c>
      <c r="G73" s="1659"/>
      <c r="H73" s="1659"/>
      <c r="I73" s="1659"/>
      <c r="J73" s="1659"/>
      <c r="K73" s="1659"/>
      <c r="L73" s="1659"/>
      <c r="M73" s="1659"/>
      <c r="N73" s="1659"/>
      <c r="O73" s="1659"/>
      <c r="P73" s="1659"/>
      <c r="Q73" s="1659"/>
      <c r="R73" s="1659"/>
      <c r="S73" s="1659"/>
      <c r="T73" s="753">
        <f>AND(F73&gt;0,Y73&gt;0)</f>
        <v>0</v>
      </c>
      <c r="U73" s="1548"/>
      <c r="V73" s="1548"/>
      <c r="W73" s="175" t="s">
        <v>189</v>
      </c>
      <c r="X73" s="1548"/>
      <c r="Y73" s="175">
        <v>0</v>
      </c>
      <c r="Z73" s="1548"/>
      <c r="AA73" s="957" t="s">
        <v>171</v>
      </c>
      <c r="AB73" s="697" t="str">
        <f>"11."&amp;Y73</f>
        <v>11.0</v>
      </c>
      <c r="AC73" s="115"/>
      <c r="AD73" s="327" t="s">
        <v>1178</v>
      </c>
      <c r="AE73" s="100"/>
      <c r="AF73" s="100"/>
      <c r="AG73" s="100"/>
      <c r="AH73" s="695">
        <f>AG73-AF73</f>
        <v>0</v>
      </c>
      <c r="AI73" s="100"/>
      <c r="AJ73" s="100"/>
      <c r="AK73" s="100"/>
      <c r="AL73" s="695">
        <f>IF(AI73=0,0,(AK73-AI73)/AI73*100)</f>
        <v>0</v>
      </c>
      <c r="AM73" s="83"/>
      <c r="AN73" s="83"/>
      <c r="AO73" s="83"/>
      <c r="AP73" s="286"/>
      <c r="AQ73" s="1659"/>
      <c r="AR73" s="489" t="s">
        <v>1596</v>
      </c>
      <c r="AS73" s="489" t="s">
        <v>1597</v>
      </c>
      <c r="AT73" s="489" cm="1" t="str">
        <f t="array" ref="AT73:AT73">AC73</f>
        <v>0</v>
      </c>
      <c r="AU73" s="1126"/>
      <c r="AV73" s="546" t="b">
        <v>1</v>
      </c>
      <c r="AW73" s="1506"/>
      <c r="AX73" s="0" cm="1" t="str">
        <f t="array" ref="AX73:AX73">OFFSET(AY73,-1,-1)</f>
        <v>ТЭ.42.31656254.0001</v>
      </c>
      <c r="AY73" s="1751"/>
      <c r="AZ73" s="1751"/>
      <c r="BA73" s="1751"/>
      <c r="BB73" s="1751"/>
      <c r="BC73" s="0" t="s">
        <v>1592</v>
      </c>
      <c r="BD73" s="1751"/>
      <c r="BE73" s="1751"/>
      <c r="BF73" s="0" cm="1" t="str">
        <f t="array" ref="BF73:BF73">$AC73</f>
        <v>0</v>
      </c>
      <c r="BG73" s="0" t="s">
        <v>303</v>
      </c>
      <c r="BH73" s="0" t="s">
        <v>1044</v>
      </c>
      <c r="BI73" s="0" t="s">
        <v>1045</v>
      </c>
    </row>
    <row s="1751" customFormat="1" customHeight="1" ht="13.5">
      <c r="A74" s="371"/>
      <c r="B74" s="1548"/>
      <c r="C74" s="1548"/>
      <c r="D74" s="1548"/>
      <c r="E74" s="180">
        <v>14</v>
      </c>
      <c r="F74" s="175" cm="1" t="str">
        <f t="array" ref="F74:F74">OFFSET(G74,-1,-1)</f>
        <v>1</v>
      </c>
      <c r="G74" s="1659"/>
      <c r="H74" s="1659"/>
      <c r="I74" s="1659"/>
      <c r="J74" s="1659"/>
      <c r="K74" s="1659"/>
      <c r="L74" s="1659"/>
      <c r="M74" s="1659"/>
      <c r="N74" s="1659"/>
      <c r="O74" s="1659"/>
      <c r="P74" s="1659"/>
      <c r="Q74" s="1659"/>
      <c r="R74" s="1659"/>
      <c r="S74" s="1659"/>
      <c r="T74" s="753">
        <f>F74&gt;0</f>
        <v>1</v>
      </c>
      <c r="U74" s="1548"/>
      <c r="V74" s="1548"/>
      <c r="W74" s="176" t="s">
        <v>1598</v>
      </c>
      <c r="X74" s="1548"/>
      <c r="Y74" s="1548"/>
      <c r="Z74" s="1548"/>
      <c r="AA74" s="286"/>
      <c r="AB74" s="701"/>
      <c r="AC74" s="406" t="s">
        <v>191</v>
      </c>
      <c r="AD74" s="702"/>
      <c r="AE74" s="712"/>
      <c r="AF74" s="712"/>
      <c r="AG74" s="712"/>
      <c r="AH74" s="712"/>
      <c r="AI74" s="712"/>
      <c r="AJ74" s="712"/>
      <c r="AK74" s="712"/>
      <c r="AL74" s="712"/>
      <c r="AM74" s="712"/>
      <c r="AN74" s="712"/>
      <c r="AO74" s="712"/>
      <c r="AP74" s="286"/>
      <c r="AQ74" s="1659"/>
      <c r="AR74" s="1125"/>
      <c r="AS74" s="1125"/>
      <c r="AT74" s="1125"/>
      <c r="AU74" s="546" t="s">
        <v>1597</v>
      </c>
      <c r="AV74" s="1126"/>
      <c r="AW74" s="1506"/>
      <c r="AX74" s="1751"/>
      <c r="AY74" s="1751"/>
      <c r="AZ74" s="1751"/>
      <c r="BA74" s="1751"/>
      <c r="BB74" s="1751"/>
      <c r="BC74" s="1751"/>
      <c r="BD74" s="1751"/>
      <c r="BE74" s="1751"/>
      <c r="BF74" s="1751"/>
      <c r="BG74" s="1751"/>
      <c r="BH74" s="1751"/>
      <c r="BI74" s="1751"/>
    </row>
    <row customHeight="1" ht="9.75">
      <c r="E75" s="180">
        <v>10</v>
      </c>
      <c r="U75" s="175" t="s">
        <v>191</v>
      </c>
      <c r="V75" s="176" t="s">
        <v>1599</v>
      </c>
      <c r="AA75" s="679"/>
      <c r="AB75" s="678"/>
      <c r="AC75" s="681"/>
      <c r="AD75" s="678"/>
      <c r="AE75" s="679"/>
      <c r="AF75" s="679"/>
      <c r="AG75" s="679"/>
      <c r="AH75" s="679"/>
      <c r="AI75" s="679"/>
      <c r="AJ75" s="679"/>
      <c r="AK75" s="679"/>
      <c r="AL75" s="679"/>
      <c r="AM75" s="679"/>
      <c r="AN75" s="679"/>
      <c r="AO75" s="679"/>
      <c r="AP75" s="679"/>
    </row>
    <row customHeight="1" ht="11.25" hidden="1">
      <c r="E76" s="965">
        <v>0</v>
      </c>
      <c r="AA76" s="679"/>
      <c r="AB76" s="678"/>
      <c r="AC76" s="681"/>
      <c r="AD76" s="678"/>
      <c r="AE76" s="679"/>
      <c r="AF76" s="679"/>
      <c r="AG76" s="679"/>
      <c r="AH76" s="679"/>
      <c r="AI76" s="679"/>
      <c r="AJ76" s="679"/>
      <c r="AK76" s="679"/>
      <c r="AL76" s="679"/>
      <c r="AM76" s="679"/>
      <c r="AN76" s="679"/>
      <c r="AO76" s="679"/>
      <c r="AP76" s="679"/>
    </row>
    <row customHeight="1" ht="14.625">
      <c r="E77" s="180">
        <v>15</v>
      </c>
      <c r="AA77" s="679"/>
      <c r="AB77" s="1653" t="s">
        <v>765</v>
      </c>
      <c r="AC77" s="1653"/>
      <c r="AD77" s="1653"/>
      <c r="AE77" s="1653"/>
      <c r="AF77" s="1653"/>
      <c r="AG77" s="1653"/>
      <c r="AH77" s="1653"/>
      <c r="AI77" s="1653"/>
      <c r="AJ77" s="1653"/>
      <c r="AK77" s="1653"/>
      <c r="AL77" s="1653"/>
      <c r="AM77" s="1653"/>
      <c r="AN77" s="1653"/>
      <c r="AO77" s="1653"/>
      <c r="AP77" s="679"/>
    </row>
    <row customHeight="1" ht="14.625">
      <c r="E78" s="180">
        <v>15</v>
      </c>
      <c r="AA78" s="477"/>
      <c r="AB78" s="1675"/>
      <c r="AC78" s="1676"/>
      <c r="AD78" s="1676"/>
      <c r="AE78" s="1676"/>
      <c r="AF78" s="1676"/>
      <c r="AG78" s="1676"/>
      <c r="AH78" s="1676"/>
      <c r="AI78" s="1676"/>
      <c r="AJ78" s="1676"/>
      <c r="AK78" s="1676"/>
      <c r="AL78" s="1676"/>
      <c r="AM78" s="1676"/>
      <c r="AN78" s="1676"/>
      <c r="AO78" s="1676"/>
      <c r="AP78" s="679"/>
    </row>
    <row customHeight="1" ht="14.625" hidden="1">
      <c r="A79" s="371"/>
      <c r="B79" s="1548"/>
      <c r="C79" s="1548"/>
      <c r="D79" s="1548"/>
      <c r="E79" s="180">
        <v>15</v>
      </c>
      <c r="F79" s="1548"/>
      <c r="G79" s="1659"/>
      <c r="H79" s="1659"/>
      <c r="I79" s="1659"/>
      <c r="J79" s="1659"/>
      <c r="K79" s="1659"/>
      <c r="L79" s="1659"/>
      <c r="M79" s="1659"/>
      <c r="N79" s="1659"/>
      <c r="O79" s="1659"/>
      <c r="P79" s="1659"/>
      <c r="Q79" s="1659"/>
      <c r="R79" s="1659"/>
      <c r="S79" s="1659"/>
      <c r="T79" s="753">
        <f>ROW(W79)&gt;ROW(W$79)</f>
        <v>0</v>
      </c>
      <c r="U79" s="1548"/>
      <c r="V79" s="1548"/>
      <c r="W79" s="175" t="s">
        <v>189</v>
      </c>
      <c r="X79" s="1548"/>
      <c r="Y79" s="1548"/>
      <c r="Z79" s="1548"/>
      <c r="AA79" s="477" t="s">
        <v>171</v>
      </c>
      <c r="AB79" s="2334"/>
      <c r="AC79" s="1676"/>
      <c r="AD79" s="1676"/>
      <c r="AE79" s="1676"/>
      <c r="AF79" s="1676"/>
      <c r="AG79" s="1676"/>
      <c r="AH79" s="1676"/>
      <c r="AI79" s="1676"/>
      <c r="AJ79" s="1676"/>
      <c r="AK79" s="1676"/>
      <c r="AL79" s="1676"/>
      <c r="AM79" s="1676"/>
      <c r="AN79" s="1676"/>
      <c r="AO79" s="1676"/>
      <c r="AP79" s="679"/>
      <c r="AQ79" s="1659"/>
      <c r="AR79" s="1125"/>
      <c r="AS79" s="1125"/>
      <c r="AT79" s="1125"/>
      <c r="AU79" s="1126"/>
      <c r="AV79" s="1126"/>
      <c r="AW79" s="1506"/>
      <c r="AX79" s="1752"/>
      <c r="AY79" s="1752"/>
      <c r="AZ79" s="1752"/>
      <c r="BA79" s="1752"/>
      <c r="BB79" s="1752"/>
      <c r="BC79" s="1752"/>
      <c r="BD79" s="1752"/>
      <c r="BE79" s="1752"/>
      <c r="BF79" s="1752"/>
      <c r="BG79" s="1752"/>
      <c r="BH79" s="1752"/>
      <c r="BI79" s="1752"/>
    </row>
    <row customHeight="1" ht="14.625">
      <c r="E80" s="180">
        <v>15</v>
      </c>
      <c r="W80" s="176" t="s">
        <v>190</v>
      </c>
      <c r="AB80" s="1599" t="s">
        <v>766</v>
      </c>
      <c r="AC80" s="1600"/>
      <c r="AD80" s="480"/>
      <c r="AE80" s="480"/>
      <c r="AF80" s="480"/>
      <c r="AG80" s="480"/>
      <c r="AH80" s="480"/>
      <c r="AI80" s="480"/>
      <c r="AJ80" s="480"/>
      <c r="AK80" s="480"/>
      <c r="AL80" s="480"/>
      <c r="AM80" s="480"/>
      <c r="AN80" s="480"/>
      <c r="AO80" s="482"/>
      <c r="AP80" s="679"/>
    </row>
    <row customHeight="1" ht="11.25">
      <c r="AA81" s="679"/>
      <c r="AB81" s="678"/>
      <c r="AC81" s="681"/>
      <c r="AD81" s="678"/>
      <c r="AE81" s="679"/>
      <c r="AF81" s="679"/>
      <c r="AG81" s="679"/>
      <c r="AH81" s="679"/>
      <c r="AI81" s="679"/>
      <c r="AJ81" s="679"/>
      <c r="AK81" s="679"/>
      <c r="AL81" s="679"/>
      <c r="AM81" s="679"/>
      <c r="AN81" s="679"/>
      <c r="AO81" s="679"/>
      <c r="AP81" s="679"/>
    </row>
    <row customHeight="1" ht="11.25" hidden="1"/>
    <row customHeight="1" ht="11.25" hidden="1">
      <c r="A83" s="371" t="s">
        <v>109</v>
      </c>
      <c r="AE83" s="286" t="str">
        <f>"389.0."&amp;AE$9-2010&amp;"."</f>
        <v>389.0.15.</v>
      </c>
      <c r="AF83" s="286" t="str">
        <f>"389.0."&amp;AF$9-2010&amp;"."</f>
        <v>389.0.15.</v>
      </c>
      <c r="AG83" s="286" t="str">
        <f>"389.0."&amp;AG$9-2010&amp;"."</f>
        <v>389.0.15.</v>
      </c>
      <c r="AH83" s="286" t="str">
        <f>"389.0."&amp;AH$9-2010&amp;"."</f>
        <v>389.0.15.</v>
      </c>
      <c r="AI83" s="286" t="str">
        <f>"389.0."&amp;AI$9-2010&amp;"."</f>
        <v>389.0.16.</v>
      </c>
      <c r="AJ83" s="286" t="str">
        <f>"389.0."&amp;AJ$9-2010&amp;"."</f>
        <v>389.0.17.</v>
      </c>
      <c r="AK83" s="286" t="str">
        <f>"389.0."&amp;AK$9-2010&amp;"."</f>
        <v>389.0.17.</v>
      </c>
      <c r="AL83" s="286" t="str">
        <f>"389.0."&amp;AL$9-2010&amp;"."</f>
        <v>389.0.17.</v>
      </c>
    </row>
    <row customHeight="1" ht="11.25" hidden="1">
      <c r="A84" s="371" t="s">
        <v>406</v>
      </c>
      <c r="AE84" s="286" cm="1" t="str">
        <f t="array" ref="AE84:AE84">IF($A84="uni_org_reg_NAME",INDEX(org_reg_values,MATCH(AE$10,org_reg_codes,0),1),IF($A84="uni_pf_NAME",INDEX(pf_codes_values,MATCH(AE$10,pf_codes,0),1),""))</f>
        <v>328.0.2.</v>
      </c>
      <c r="AF84" s="286" cm="1" t="str">
        <f t="array" ref="AF84:AF84">IF($A84="uni_org_reg_NAME",INDEX(org_reg_values,MATCH(AF$10,org_reg_codes,0),1),IF($A84="uni_pf_NAME",INDEX(pf_codes_values,MATCH(AF$10,pf_codes,0),1),""))</f>
        <v>328.0.1.</v>
      </c>
      <c r="AG84" s="286" cm="1" t="str">
        <f t="array" ref="AG84:AG84">IF($A84="uni_org_reg_NAME",INDEX(org_reg_values,MATCH(AG$10,org_reg_codes,0),1),IF($A84="uni_pf_NAME",INDEX(pf_codes_values,MATCH(AG$10,pf_codes,0),1),""))</f>
        <v>328.0.2.</v>
      </c>
      <c r="AH84" s="286" cm="1" t="str">
        <f t="array" ref="AH84:AH84">IF($A84="uni_org_reg_NAME",INDEX(org_reg_values,MATCH(AH$10,org_reg_codes,0),1),IF($A84="uni_pf_NAME",INDEX(pf_codes_values,MATCH(AH$10,pf_codes,0),1),""))</f>
        <v>328.0.1.</v>
      </c>
      <c r="AI84" s="286" cm="1" t="str">
        <f t="array" ref="AI84:AI84">IF($A84="uni_org_reg_NAME",INDEX(org_reg_values,MATCH(AI$10,org_reg_codes,0),1),IF($A84="uni_pf_NAME",INDEX(pf_codes_values,MATCH(AI$10,pf_codes,0),1),""))</f>
        <v>328.0.2.</v>
      </c>
      <c r="AJ84" s="286" cm="1" t="str">
        <f t="array" ref="AJ84:AJ84">IF($A84="uni_org_reg_NAME",INDEX(org_reg_values,MATCH(AJ$10,org_reg_codes,0),1),IF($A84="uni_pf_NAME",INDEX(pf_codes_values,MATCH(AJ$10,pf_codes,0),1),""))</f>
        <v>328.0.1.</v>
      </c>
      <c r="AK84" s="286" cm="1" t="str">
        <f t="array" ref="AK84:AK84">IF($A84="uni_org_reg_NAME",INDEX(org_reg_values,MATCH(AK$10,org_reg_codes,0),1),IF($A84="uni_pf_NAME",INDEX(pf_codes_values,MATCH(AK$10,pf_codes,0),1),""))</f>
        <v>328.0.2.</v>
      </c>
      <c r="AL84" s="286" t="s">
        <v>407</v>
      </c>
    </row>
    <row customHeight="1" ht="11.25" hidden="1">
      <c r="A85" s="371" t="s">
        <v>409</v>
      </c>
      <c r="AE85" s="286" cm="1" t="str">
        <f t="array" ref="AE85:AE85">IF($A85="uni_org_reg_NAME",INDEX(org_reg_values,MATCH(AE$10,org_reg_codes,0),1),IF($A85="uni_pf_NAME",INDEX(pf_codes_values,MATCH(AE$10,pf_codes,0),1),""))</f>
        <v>36.0.7.</v>
      </c>
      <c r="AF85" s="286" cm="1" t="str">
        <f t="array" ref="AF85:AF85">IF($A85="uni_org_reg_NAME",INDEX(org_reg_values,MATCH(AF$10,org_reg_codes,0),1),IF($A85="uni_pf_NAME",INDEX(pf_codes_values,MATCH(AF$10,pf_codes,0),1),""))</f>
        <v>36.0.1.</v>
      </c>
      <c r="AG85" s="286" cm="1" t="str">
        <f t="array" ref="AG85:AG85">IF($A85="uni_org_reg_NAME",INDEX(org_reg_values,MATCH(AG$10,org_reg_codes,0),1),IF($A85="uni_pf_NAME",INDEX(pf_codes_values,MATCH(AG$10,pf_codes,0),1),""))</f>
        <v>36.0.1.</v>
      </c>
      <c r="AI85" s="286" cm="1" t="str">
        <f t="array" ref="AI85:AI85">IF($A85="uni_org_reg_NAME",INDEX(org_reg_values,MATCH(AI$10,org_reg_codes,0),1),IF($A85="uni_pf_NAME",INDEX(pf_codes_values,MATCH(AI$10,pf_codes,0),1),""))</f>
        <v>36.0.7.</v>
      </c>
      <c r="AJ85" s="286" cm="1" t="str">
        <f t="array" ref="AJ85:AJ85">IF($A85="uni_org_reg_NAME",INDEX(org_reg_values,MATCH(AJ$10,org_reg_codes,0),1),IF($A85="uni_pf_NAME",INDEX(pf_codes_values,MATCH(AJ$10,pf_codes,0),1),""))</f>
        <v>36.0.3.</v>
      </c>
      <c r="AK85" s="286" cm="1" t="str">
        <f t="array" ref="AK85:AK85">IF($A85="uni_org_reg_NAME",INDEX(org_reg_values,MATCH(AK$10,org_reg_codes,0),1),IF($A85="uni_pf_NAME",INDEX(pf_codes_values,MATCH(AK$10,pf_codes,0),1),""))</f>
        <v>36.0.7.</v>
      </c>
    </row>
    <row customHeight="1" ht="11.25" hidden="1">
      <c r="A86" s="371" t="s">
        <v>1600</v>
      </c>
    </row>
    <row customHeight="1" ht="11.25" hidden="1">
      <c r="A87" s="371" t="s">
        <v>351</v>
      </c>
      <c r="AM87" s="286" t="s">
        <v>178</v>
      </c>
      <c r="AN87" s="286" t="s">
        <v>178</v>
      </c>
      <c r="AO87" s="286" t="s">
        <v>178</v>
      </c>
    </row>
    <row customHeight="1" ht="11.25" hidden="1">
      <c r="A88" s="371" t="s">
        <v>352</v>
      </c>
      <c r="AM88" s="286" t="s">
        <v>798</v>
      </c>
      <c r="AN88" s="286" t="s">
        <v>622</v>
      </c>
      <c r="AO88" s="286" t="s">
        <v>1601</v>
      </c>
    </row>
    <row customHeight="1" ht="11.25" hidden="1">
      <c r="A89" s="371" t="s">
        <v>379</v>
      </c>
      <c r="AM89" s="286" t="s">
        <v>799</v>
      </c>
      <c r="AN89" s="286" t="s">
        <v>623</v>
      </c>
      <c r="AO89" s="286" t="s">
        <v>1602</v>
      </c>
    </row>
  </sheetData>
  <sheetProtection formatColumns="0" formatRows="0" insertRows="0" deleteColumns="0" deleteRows="0" sort="0" autoFilter="0" insertColumns="1"/>
  <mergeCells count="16">
    <mergeCell ref="X27:X50"/>
    <mergeCell ref="Z27:Z50"/>
    <mergeCell ref="AB77:AO77"/>
    <mergeCell ref="AB78:AO78"/>
    <mergeCell ref="AB80:AC80"/>
    <mergeCell ref="AB28:AC28"/>
    <mergeCell ref="AO24:AO25"/>
    <mergeCell ref="AB79:AO79"/>
    <mergeCell ref="AB24:AB25"/>
    <mergeCell ref="AC24:AC25"/>
    <mergeCell ref="AD24:AD25"/>
    <mergeCell ref="AM24:AM25"/>
    <mergeCell ref="AN24:AN25"/>
    <mergeCell ref="X51:X74"/>
    <mergeCell ref="Z51:Z74"/>
    <mergeCell ref="AB52:AC52"/>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3D430D-4278-876C-96AB-BB2F9E050E28}" mc:Ignorable="x14ac xr xr2 xr3">
  <sheetPr>
    <tabColor rgb="FF92D050"/>
    <outlinePr summaryRight="0" summaryBelow="0"/>
    <pageSetUpPr fitToPage="1"/>
  </sheetPr>
  <dimension ref="A1:DG60"/>
  <sheetViews>
    <sheetView showGridLines="0" workbookViewId="0">
      <pane xSplit="34" ySplit="25" topLeftCell="AI36" activePane="bottomRight" state="frozen"/>
      <selection pane="bottomLeft" activeCell="A26" sqref="A26"/>
      <selection pane="topRight" activeCell="AI1" sqref="AI1"/>
      <selection pane="bottomRight" activeCell="AJ44" sqref="AJ44"/>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8.281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77" width="8.00390625" customWidth="1"/>
    <col min="29" max="29" style="285" width="70.00390625" customWidth="1"/>
    <col min="30" max="30" style="277" width="14.00390625" customWidth="1"/>
    <col min="31" max="33" style="286" width="13.28125" hidden="1" customWidth="1"/>
    <col min="34" max="34" style="286" width="26.28125" hidden="1" customWidth="1"/>
    <col min="35" max="36" style="286" width="13.00390625" customWidth="1"/>
    <col min="37" max="55" style="286" width="13.00390625" hidden="1" customWidth="1"/>
    <col min="56" max="56" style="286" width="13.00390625" customWidth="1"/>
    <col min="57" max="75" style="286" width="13.00390625" hidden="1" customWidth="1"/>
    <col min="76" max="76" style="286" width="13.00390625" customWidth="1"/>
    <col min="77" max="95" style="286" width="13.00390625" hidden="1" customWidth="1"/>
    <col min="96" max="96" style="286" width="19.00390625" customWidth="1"/>
    <col min="97" max="97" style="286" width="17.00390625" customWidth="1"/>
    <col min="98" max="98" style="286" width="31.00390625" customWidth="1"/>
    <col min="99" max="99" style="286" width="3.00390625" customWidth="1"/>
    <col min="100" max="100" style="1659" width="9.140625" hidden="1"/>
    <col min="101" max="101" style="1142" width="9.140625" hidden="1"/>
    <col min="102" max="103" style="1506" width="9.140625" hidden="1"/>
    <col min="104" max="111" width="9.140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W1" s="1548"/>
      <c r="BX1" s="1548"/>
      <c r="BY1" s="1548"/>
      <c r="BZ1" s="1548"/>
      <c r="CA1" s="1548"/>
      <c r="CB1" s="1548"/>
      <c r="CC1" s="1548"/>
      <c r="CD1" s="1548"/>
      <c r="CE1" s="1548"/>
      <c r="CF1" s="1548"/>
      <c r="CG1" s="1548"/>
      <c r="CH1" s="1548"/>
      <c r="CI1" s="1548"/>
      <c r="CJ1" s="1548"/>
      <c r="CK1" s="1548"/>
      <c r="CL1" s="1548"/>
      <c r="CM1" s="1548"/>
      <c r="CN1" s="1548"/>
      <c r="CO1" s="1548"/>
      <c r="CP1" s="1548"/>
      <c r="CQ1" s="1548"/>
      <c r="CW1" s="309" t="s">
        <v>336</v>
      </c>
      <c r="CZ1" s="0" t="s">
        <v>94</v>
      </c>
      <c r="DA1" s="0" t="s">
        <v>97</v>
      </c>
      <c r="DB1" s="0" t="s">
        <v>1515</v>
      </c>
      <c r="DC1" s="0" t="s">
        <v>789</v>
      </c>
      <c r="DD1" s="0" t="s">
        <v>110</v>
      </c>
      <c r="DE1" s="0" t="s">
        <v>112</v>
      </c>
      <c r="DF1" s="0" t="s">
        <v>113</v>
      </c>
      <c r="DG1" s="0" t="s">
        <v>114</v>
      </c>
    </row>
    <row s="1548" customFormat="1" customHeight="1" ht="11.25" hidden="1">
      <c r="A2" s="371"/>
      <c r="B2" s="179" t="s">
        <v>16</v>
      </c>
      <c r="G2" s="193"/>
      <c r="H2" s="193"/>
      <c r="I2" s="193"/>
      <c r="J2" s="193"/>
      <c r="K2" s="193"/>
      <c r="L2" s="193"/>
      <c r="M2" s="193"/>
      <c r="N2" s="193"/>
      <c r="O2" s="193"/>
      <c r="P2" s="193"/>
      <c r="Q2" s="193"/>
      <c r="R2" s="193"/>
      <c r="S2" s="193"/>
      <c r="AC2" s="176"/>
      <c r="AJ2" s="179">
        <f>AND(AJ9&lt;=last_year_vis,isOrgDeclare)</f>
        <v>1</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AND(BC9&lt;=last_year_vis,isOrgDeclare)</f>
        <v>0</v>
      </c>
      <c r="BD2" s="179">
        <f>BD9&lt;=last_year_vis</f>
        <v>1</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W2" s="179">
        <f>BW9&lt;=last_year_vis</f>
        <v>0</v>
      </c>
      <c r="BX2" s="179">
        <f>BX9&lt;=last_year_vis</f>
        <v>1</v>
      </c>
      <c r="BY2" s="179">
        <f>BY9&lt;=last_year_vis</f>
        <v>0</v>
      </c>
      <c r="BZ2" s="179">
        <f>BZ9&lt;=last_year_vis</f>
        <v>0</v>
      </c>
      <c r="CA2" s="179">
        <f>CA9&lt;=last_year_vis</f>
        <v>0</v>
      </c>
      <c r="CB2" s="179">
        <f>CB9&lt;=last_year_vis</f>
        <v>0</v>
      </c>
      <c r="CC2" s="179">
        <f>CC9&lt;=last_year_vis</f>
        <v>0</v>
      </c>
      <c r="CD2" s="179">
        <f>CD9&lt;=last_year_vis</f>
        <v>0</v>
      </c>
      <c r="CE2" s="179">
        <f>CE9&lt;=last_year_vis</f>
        <v>0</v>
      </c>
      <c r="CF2" s="179">
        <f>CF9&lt;=last_year_vis</f>
        <v>0</v>
      </c>
      <c r="CG2" s="179">
        <f>CG9&lt;=last_year_vis</f>
        <v>0</v>
      </c>
      <c r="CH2" s="179">
        <f>CH9&lt;=last_year_vis</f>
        <v>0</v>
      </c>
      <c r="CI2" s="179">
        <f>CI9&lt;=last_year_vis</f>
        <v>0</v>
      </c>
      <c r="CJ2" s="179">
        <f>CJ9&lt;=last_year_vis</f>
        <v>0</v>
      </c>
      <c r="CK2" s="179">
        <f>CK9&lt;=last_year_vis</f>
        <v>0</v>
      </c>
      <c r="CL2" s="179">
        <f>CL9&lt;=last_year_vis</f>
        <v>0</v>
      </c>
      <c r="CM2" s="179">
        <f>CM9&lt;=last_year_vis</f>
        <v>0</v>
      </c>
      <c r="CN2" s="179">
        <f>CN9&lt;=last_year_vis</f>
        <v>0</v>
      </c>
      <c r="CO2" s="179">
        <f>CO9&lt;=last_year_vis</f>
        <v>0</v>
      </c>
      <c r="CP2" s="179">
        <f>CP9&lt;=last_year_vis</f>
        <v>0</v>
      </c>
      <c r="CQ2" s="179">
        <f>CQ9&lt;=last_year_vis</f>
        <v>0</v>
      </c>
      <c r="CW2" s="309"/>
      <c r="CZ2" s="0"/>
      <c r="DA2" s="0"/>
      <c r="DB2" s="0"/>
      <c r="DC2" s="0"/>
      <c r="DD2" s="0"/>
      <c r="DE2" s="0"/>
      <c r="DF2" s="0"/>
      <c r="DG2" s="0"/>
    </row>
    <row s="1548" customFormat="1" customHeight="1" ht="11.25" hidden="1">
      <c r="A3" s="371"/>
      <c r="G3" s="193"/>
      <c r="H3" s="193"/>
      <c r="I3" s="193"/>
      <c r="J3" s="193"/>
      <c r="K3" s="193"/>
      <c r="L3" s="193"/>
      <c r="M3" s="193"/>
      <c r="N3" s="193"/>
      <c r="O3" s="193"/>
      <c r="P3" s="193"/>
      <c r="Q3" s="193"/>
      <c r="R3" s="193"/>
      <c r="S3" s="193"/>
      <c r="AC3" s="176"/>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W3" s="1548"/>
      <c r="BX3" s="1548"/>
      <c r="BY3" s="1548"/>
      <c r="BZ3" s="1548"/>
      <c r="CA3" s="1548"/>
      <c r="CB3" s="1548"/>
      <c r="CC3" s="1548"/>
      <c r="CD3" s="1548"/>
      <c r="CE3" s="1548"/>
      <c r="CF3" s="1548"/>
      <c r="CG3" s="1548"/>
      <c r="CH3" s="1548"/>
      <c r="CI3" s="1548"/>
      <c r="CJ3" s="1548"/>
      <c r="CK3" s="1548"/>
      <c r="CL3" s="1548"/>
      <c r="CM3" s="1548"/>
      <c r="CN3" s="1548"/>
      <c r="CO3" s="1548"/>
      <c r="CP3" s="1548"/>
      <c r="CQ3" s="1548"/>
      <c r="CW3" s="309"/>
      <c r="CZ3" s="0"/>
      <c r="DA3" s="0"/>
      <c r="DB3" s="0"/>
      <c r="DC3" s="0"/>
      <c r="DD3" s="0"/>
      <c r="DE3" s="0"/>
      <c r="DF3" s="0"/>
      <c r="DG3" s="0"/>
    </row>
    <row s="1548" customFormat="1" customHeight="1" ht="11.25" hidden="1">
      <c r="A4" s="371"/>
      <c r="G4" s="193"/>
      <c r="H4" s="193"/>
      <c r="I4" s="193"/>
      <c r="J4" s="193"/>
      <c r="K4" s="193"/>
      <c r="L4" s="193"/>
      <c r="M4" s="193"/>
      <c r="N4" s="193"/>
      <c r="O4" s="193"/>
      <c r="P4" s="193"/>
      <c r="Q4" s="193"/>
      <c r="R4" s="193"/>
      <c r="S4" s="193"/>
      <c r="AC4" s="176"/>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W4" s="1548"/>
      <c r="BX4" s="1548"/>
      <c r="BY4" s="1548"/>
      <c r="BZ4" s="1548"/>
      <c r="CA4" s="1548"/>
      <c r="CB4" s="1548"/>
      <c r="CC4" s="1548"/>
      <c r="CD4" s="1548"/>
      <c r="CE4" s="1548"/>
      <c r="CF4" s="1548"/>
      <c r="CG4" s="1548"/>
      <c r="CH4" s="1548"/>
      <c r="CI4" s="1548"/>
      <c r="CJ4" s="1548"/>
      <c r="CK4" s="1548"/>
      <c r="CL4" s="1548"/>
      <c r="CM4" s="1548"/>
      <c r="CN4" s="1548"/>
      <c r="CO4" s="1548"/>
      <c r="CP4" s="1548"/>
      <c r="CQ4" s="1548"/>
      <c r="CW4" s="309"/>
      <c r="CZ4" s="0"/>
      <c r="DA4" s="0"/>
      <c r="DB4" s="0"/>
      <c r="DC4" s="0"/>
      <c r="DD4" s="0"/>
      <c r="DE4" s="0"/>
      <c r="DF4" s="0"/>
      <c r="DG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8</v>
      </c>
      <c r="AC5" s="284">
        <v>70</v>
      </c>
      <c r="AD5" s="180">
        <v>14</v>
      </c>
      <c r="AE5" s="965">
        <v>0</v>
      </c>
      <c r="AF5" s="965">
        <v>0</v>
      </c>
      <c r="AG5" s="965">
        <v>0</v>
      </c>
      <c r="AH5" s="965">
        <v>0</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180">
        <v>13</v>
      </c>
      <c r="BX5" s="180">
        <v>13</v>
      </c>
      <c r="BY5" s="180">
        <v>13</v>
      </c>
      <c r="BZ5" s="180">
        <v>13</v>
      </c>
      <c r="CA5" s="180">
        <v>13</v>
      </c>
      <c r="CB5" s="180">
        <v>13</v>
      </c>
      <c r="CC5" s="180">
        <v>13</v>
      </c>
      <c r="CD5" s="180">
        <v>13</v>
      </c>
      <c r="CE5" s="180">
        <v>13</v>
      </c>
      <c r="CF5" s="180">
        <v>13</v>
      </c>
      <c r="CG5" s="180">
        <v>13</v>
      </c>
      <c r="CH5" s="180">
        <v>13</v>
      </c>
      <c r="CI5" s="180">
        <v>13</v>
      </c>
      <c r="CJ5" s="180">
        <v>13</v>
      </c>
      <c r="CK5" s="180">
        <v>13</v>
      </c>
      <c r="CL5" s="180">
        <v>13</v>
      </c>
      <c r="CM5" s="180">
        <v>13</v>
      </c>
      <c r="CN5" s="180">
        <v>13</v>
      </c>
      <c r="CO5" s="180">
        <v>13</v>
      </c>
      <c r="CP5" s="180">
        <v>13</v>
      </c>
      <c r="CQ5" s="180">
        <v>13</v>
      </c>
      <c r="CR5" s="180">
        <v>19</v>
      </c>
      <c r="CS5" s="180">
        <v>17</v>
      </c>
      <c r="CT5" s="180">
        <v>31</v>
      </c>
      <c r="CU5" s="180">
        <v>3</v>
      </c>
      <c r="CW5" s="309"/>
      <c r="CZ5" s="1729"/>
      <c r="DA5" s="1729"/>
      <c r="DB5" s="1729"/>
      <c r="DC5" s="1729"/>
      <c r="DD5" s="1729"/>
      <c r="DE5" s="1729"/>
      <c r="DF5" s="1729"/>
      <c r="DG5" s="1729"/>
    </row>
    <row s="1548" customFormat="1" customHeight="1" ht="11.25" hidden="1">
      <c r="A6" s="371"/>
      <c r="E6" s="180"/>
      <c r="G6" s="193"/>
      <c r="H6" s="193"/>
      <c r="I6" s="193"/>
      <c r="J6" s="193"/>
      <c r="K6" s="193"/>
      <c r="L6" s="193"/>
      <c r="M6" s="193"/>
      <c r="N6" s="193"/>
      <c r="O6" s="193"/>
      <c r="P6" s="193"/>
      <c r="Q6" s="193"/>
      <c r="R6" s="193"/>
      <c r="S6" s="193"/>
      <c r="AC6" s="176"/>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W6" s="1548"/>
      <c r="BX6" s="1548"/>
      <c r="BY6" s="1548"/>
      <c r="BZ6" s="1548"/>
      <c r="CA6" s="1548"/>
      <c r="CB6" s="1548"/>
      <c r="CC6" s="1548"/>
      <c r="CD6" s="1548"/>
      <c r="CE6" s="1548"/>
      <c r="CF6" s="1548"/>
      <c r="CG6" s="1548"/>
      <c r="CH6" s="1548"/>
      <c r="CI6" s="1548"/>
      <c r="CJ6" s="1548"/>
      <c r="CK6" s="1548"/>
      <c r="CL6" s="1548"/>
      <c r="CM6" s="1548"/>
      <c r="CN6" s="1548"/>
      <c r="CO6" s="1548"/>
      <c r="CP6" s="1548"/>
      <c r="CQ6" s="1548"/>
      <c r="CW6" s="309"/>
      <c r="CZ6" s="0"/>
      <c r="DA6" s="0"/>
      <c r="DB6" s="0"/>
      <c r="DC6" s="0"/>
      <c r="DD6" s="0"/>
      <c r="DE6" s="0"/>
      <c r="DF6" s="0"/>
      <c r="DG6" s="0"/>
    </row>
    <row customHeight="1" ht="11.25" hidden="1">
      <c r="F7" s="193"/>
      <c r="T7" s="193"/>
      <c r="U7" s="193"/>
      <c r="V7" s="193"/>
      <c r="W7" s="193"/>
      <c r="X7" s="193"/>
      <c r="Y7" s="193"/>
      <c r="Z7" s="193"/>
      <c r="AA7" s="193"/>
      <c r="AB7" s="193"/>
      <c r="AC7" s="308"/>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193"/>
      <c r="BX7" s="193"/>
      <c r="BY7" s="193"/>
      <c r="BZ7" s="193"/>
      <c r="CA7" s="193"/>
      <c r="CB7" s="193"/>
      <c r="CC7" s="193"/>
      <c r="CD7" s="193"/>
      <c r="CE7" s="193"/>
      <c r="CF7" s="193"/>
      <c r="CG7" s="193"/>
      <c r="CH7" s="193"/>
      <c r="CI7" s="193"/>
      <c r="CJ7" s="193"/>
      <c r="CK7" s="193"/>
      <c r="CL7" s="193"/>
      <c r="CM7" s="193"/>
      <c r="CN7" s="193"/>
      <c r="CO7" s="193"/>
      <c r="CP7" s="193"/>
      <c r="CQ7" s="193"/>
      <c r="CR7" s="193"/>
      <c r="CS7" s="193"/>
      <c r="CT7" s="193"/>
      <c r="CU7" s="193"/>
    </row>
    <row customHeight="1" ht="11.25" hidden="1">
      <c r="F8" s="193"/>
      <c r="T8" s="193"/>
      <c r="U8" s="193"/>
      <c r="V8" s="193"/>
      <c r="W8" s="193"/>
      <c r="X8" s="193"/>
      <c r="Y8" s="193"/>
      <c r="Z8" s="193"/>
      <c r="AA8" s="193"/>
      <c r="AB8" s="193"/>
      <c r="AC8" s="308"/>
      <c r="AD8" s="193"/>
      <c r="AE8" s="193"/>
      <c r="AF8" s="193"/>
      <c r="AG8" s="193"/>
      <c r="AH8" s="193"/>
      <c r="AI8" s="193" t="str">
        <f>AI9&amp;AI10</f>
        <v>2026Принято органом регулирования</v>
      </c>
      <c r="AJ8" s="193" t="str">
        <f>AJ9&amp;AJ10</f>
        <v>2027Предложение организации</v>
      </c>
      <c r="AK8" s="193" t="str">
        <f>AK9&amp;AK10</f>
        <v>2028Предложение организации</v>
      </c>
      <c r="AL8" s="193" t="str">
        <f>AL9&amp;AL10</f>
        <v>2029Предложение организации</v>
      </c>
      <c r="AM8" s="193" t="str">
        <f>AM9&amp;AM10</f>
        <v>2030Предложение организации</v>
      </c>
      <c r="AN8" s="193" t="str">
        <f>AN9&amp;AN10</f>
        <v>2031Предложение организации</v>
      </c>
      <c r="AO8" s="193" t="str">
        <f>AO9&amp;AO10</f>
        <v>2032Предложение организации</v>
      </c>
      <c r="AP8" s="193" t="str">
        <f>AP9&amp;AP10</f>
        <v>2033Предложение организации</v>
      </c>
      <c r="AQ8" s="193" t="str">
        <f>AQ9&amp;AQ10</f>
        <v>2034Предложение организации</v>
      </c>
      <c r="AR8" s="193" t="str">
        <f>AR9&amp;AR10</f>
        <v>2035Предложение организации</v>
      </c>
      <c r="AS8" s="193" t="str">
        <f>AS9&amp;AS10</f>
        <v>2036Предложение организации</v>
      </c>
      <c r="AT8" s="193" t="str">
        <f>AT9&amp;AT10</f>
        <v>2037Предложение организации</v>
      </c>
      <c r="AU8" s="193" t="str">
        <f>AU9&amp;AU10</f>
        <v>2038Предложение организации</v>
      </c>
      <c r="AV8" s="193" t="str">
        <f>AV9&amp;AV10</f>
        <v>2039Предложение организации</v>
      </c>
      <c r="AW8" s="193" t="str">
        <f>AW9&amp;AW10</f>
        <v>2040Предложение организации</v>
      </c>
      <c r="AX8" s="193" t="str">
        <f>AX9&amp;AX10</f>
        <v>2041Предложение организации</v>
      </c>
      <c r="AY8" s="193" t="str">
        <f>AY9&amp;AY10</f>
        <v>2042Предложение организации</v>
      </c>
      <c r="AZ8" s="193" t="str">
        <f>AZ9&amp;AZ10</f>
        <v>2043Предложение организации</v>
      </c>
      <c r="BA8" s="193" t="str">
        <f>BA9&amp;BA10</f>
        <v>2044Предложение организации</v>
      </c>
      <c r="BB8" s="193" t="str">
        <f>BB9&amp;BB10</f>
        <v>2045Предложение организации</v>
      </c>
      <c r="BC8" s="193" t="str">
        <f>BC9&amp;BC10</f>
        <v>2046Предложение организации</v>
      </c>
      <c r="BD8" s="193" t="str">
        <f>BD9&amp;BD10</f>
        <v>2027Принято органом регулирования</v>
      </c>
      <c r="BE8" s="193" t="str">
        <f>BE9&amp;BE10</f>
        <v>2028Принято органом регулирования</v>
      </c>
      <c r="BF8" s="193" t="str">
        <f>BF9&amp;BF10</f>
        <v>2029Принято органом регулирования</v>
      </c>
      <c r="BG8" s="193" t="str">
        <f>BG9&amp;BG10</f>
        <v>2030Принято органом регулирования</v>
      </c>
      <c r="BH8" s="193" t="str">
        <f>BH9&amp;BH10</f>
        <v>2031Принято органом регулирования</v>
      </c>
      <c r="BI8" s="193" t="str">
        <f>BI9&amp;BI10</f>
        <v>2032Принято органом регулирования</v>
      </c>
      <c r="BJ8" s="193" t="str">
        <f>BJ9&amp;BJ10</f>
        <v>2033Принято органом регулирования</v>
      </c>
      <c r="BK8" s="193" t="str">
        <f>BK9&amp;BK10</f>
        <v>2034Принято органом регулирования</v>
      </c>
      <c r="BL8" s="193" t="str">
        <f>BL9&amp;BL10</f>
        <v>2035Принято органом регулирования</v>
      </c>
      <c r="BM8" s="193" t="str">
        <f>BM9&amp;BM10</f>
        <v>2036Принято органом регулирования</v>
      </c>
      <c r="BN8" s="193" t="str">
        <f>BN9&amp;BN10</f>
        <v>2037Принято органом регулирования</v>
      </c>
      <c r="BO8" s="193" t="str">
        <f>BO9&amp;BO10</f>
        <v>2038Принято органом регулирования</v>
      </c>
      <c r="BP8" s="193" t="str">
        <f>BP9&amp;BP10</f>
        <v>2039Принято органом регулирования</v>
      </c>
      <c r="BQ8" s="193" t="str">
        <f>BQ9&amp;BQ10</f>
        <v>2040Принято органом регулирования</v>
      </c>
      <c r="BR8" s="193" t="str">
        <f>BR9&amp;BR10</f>
        <v>2041Принято органом регулирования</v>
      </c>
      <c r="BS8" s="193" t="str">
        <f>BS9&amp;BS10</f>
        <v>2042Принято органом регулирования</v>
      </c>
      <c r="BT8" s="193" t="str">
        <f>BT9&amp;BT10</f>
        <v>2043Принято органом регулирования</v>
      </c>
      <c r="BU8" s="193" t="str">
        <f>BU9&amp;BU10</f>
        <v>2044Принято органом регулирования</v>
      </c>
      <c r="BV8" s="193" t="str">
        <f>BV9&amp;BV10</f>
        <v>2045Принято органом регулирования</v>
      </c>
      <c r="BW8" s="193" t="str">
        <f>BW9&amp;BW10</f>
        <v>2046Принято органом регулирования</v>
      </c>
      <c r="BX8" s="193"/>
      <c r="BY8" s="193"/>
      <c r="BZ8" s="193"/>
      <c r="CA8" s="193"/>
      <c r="CB8" s="193"/>
      <c r="CC8" s="193"/>
      <c r="CD8" s="193"/>
      <c r="CE8" s="193"/>
      <c r="CF8" s="193"/>
      <c r="CG8" s="193"/>
      <c r="CH8" s="193"/>
      <c r="CI8" s="193"/>
      <c r="CJ8" s="193"/>
      <c r="CK8" s="193"/>
      <c r="CL8" s="193"/>
      <c r="CM8" s="193"/>
      <c r="CN8" s="193"/>
      <c r="CO8" s="193"/>
      <c r="CP8" s="193"/>
      <c r="CQ8" s="193"/>
      <c r="CR8" s="193"/>
      <c r="CS8" s="193"/>
      <c r="CT8" s="193"/>
      <c r="CU8" s="193"/>
    </row>
    <row s="1143" customFormat="1" customHeight="1" ht="11.25" hidden="1">
      <c r="A9" s="309" t="s">
        <v>403</v>
      </c>
      <c r="AI9" s="312">
        <f>god-1</f>
        <v>2026</v>
      </c>
      <c r="AJ9" s="312" cm="1" t="str">
        <f t="array" ref="AJ9:AJ9">god</f>
        <v>2027</v>
      </c>
      <c r="AK9" s="312">
        <f>god+1</f>
        <v>2028</v>
      </c>
      <c r="AL9" s="312">
        <f>god+2</f>
        <v>2029</v>
      </c>
      <c r="AM9" s="312">
        <f>god+3</f>
        <v>2030</v>
      </c>
      <c r="AN9" s="312">
        <f>god+4</f>
        <v>2031</v>
      </c>
      <c r="AO9" s="312">
        <f>god+5</f>
        <v>2032</v>
      </c>
      <c r="AP9" s="312">
        <f>god+6</f>
        <v>2033</v>
      </c>
      <c r="AQ9" s="312">
        <f>god+7</f>
        <v>2034</v>
      </c>
      <c r="AR9" s="312">
        <f>god+8</f>
        <v>2035</v>
      </c>
      <c r="AS9" s="312">
        <f>god+9</f>
        <v>2036</v>
      </c>
      <c r="AT9" s="312">
        <f>god+10</f>
        <v>2037</v>
      </c>
      <c r="AU9" s="312">
        <f>god+11</f>
        <v>2038</v>
      </c>
      <c r="AV9" s="312">
        <f>god+12</f>
        <v>2039</v>
      </c>
      <c r="AW9" s="312">
        <f>god+13</f>
        <v>2040</v>
      </c>
      <c r="AX9" s="312">
        <f>god+14</f>
        <v>2041</v>
      </c>
      <c r="AY9" s="312">
        <f>god+15</f>
        <v>2042</v>
      </c>
      <c r="AZ9" s="312">
        <f>god+16</f>
        <v>2043</v>
      </c>
      <c r="BA9" s="312">
        <f>god+17</f>
        <v>2044</v>
      </c>
      <c r="BB9" s="312">
        <f>god+18</f>
        <v>2045</v>
      </c>
      <c r="BC9" s="312">
        <f>god+19</f>
        <v>2046</v>
      </c>
      <c r="BD9" s="312" cm="1" t="str">
        <f t="array" ref="BD9:BD9">god</f>
        <v>2027</v>
      </c>
      <c r="BE9" s="312">
        <f>god+1</f>
        <v>2028</v>
      </c>
      <c r="BF9" s="312">
        <f>god+2</f>
        <v>2029</v>
      </c>
      <c r="BG9" s="312">
        <f>god+3</f>
        <v>2030</v>
      </c>
      <c r="BH9" s="312">
        <f>god+4</f>
        <v>2031</v>
      </c>
      <c r="BI9" s="312">
        <f>god+5</f>
        <v>2032</v>
      </c>
      <c r="BJ9" s="312">
        <f>god+6</f>
        <v>2033</v>
      </c>
      <c r="BK9" s="312">
        <f>god+7</f>
        <v>2034</v>
      </c>
      <c r="BL9" s="312">
        <f>god+8</f>
        <v>2035</v>
      </c>
      <c r="BM9" s="312">
        <f>god+9</f>
        <v>2036</v>
      </c>
      <c r="BN9" s="312">
        <f>god+10</f>
        <v>2037</v>
      </c>
      <c r="BO9" s="312">
        <f>god+11</f>
        <v>2038</v>
      </c>
      <c r="BP9" s="312">
        <f>god+12</f>
        <v>2039</v>
      </c>
      <c r="BQ9" s="312">
        <f>god+13</f>
        <v>2040</v>
      </c>
      <c r="BR9" s="312">
        <f>god+14</f>
        <v>2041</v>
      </c>
      <c r="BS9" s="312">
        <f>god+15</f>
        <v>2042</v>
      </c>
      <c r="BT9" s="312">
        <f>god+16</f>
        <v>2043</v>
      </c>
      <c r="BU9" s="312">
        <f>god+17</f>
        <v>2044</v>
      </c>
      <c r="BV9" s="312">
        <f>god+18</f>
        <v>2045</v>
      </c>
      <c r="BW9" s="312">
        <f>god+19</f>
        <v>2046</v>
      </c>
      <c r="BX9" s="312" cm="1" t="str">
        <f t="array" ref="BX9:BX9">god</f>
        <v>2027</v>
      </c>
      <c r="BY9" s="312">
        <f>god+1</f>
        <v>2028</v>
      </c>
      <c r="BZ9" s="312">
        <f>god+2</f>
        <v>2029</v>
      </c>
      <c r="CA9" s="312">
        <f>god+3</f>
        <v>2030</v>
      </c>
      <c r="CB9" s="312">
        <f>god+4</f>
        <v>2031</v>
      </c>
      <c r="CC9" s="312">
        <f>god+5</f>
        <v>2032</v>
      </c>
      <c r="CD9" s="312">
        <f>god+6</f>
        <v>2033</v>
      </c>
      <c r="CE9" s="312">
        <f>god+7</f>
        <v>2034</v>
      </c>
      <c r="CF9" s="312">
        <f>god+8</f>
        <v>2035</v>
      </c>
      <c r="CG9" s="312">
        <f>god+9</f>
        <v>2036</v>
      </c>
      <c r="CH9" s="312">
        <f>god+10</f>
        <v>2037</v>
      </c>
      <c r="CI9" s="312">
        <f>god+11</f>
        <v>2038</v>
      </c>
      <c r="CJ9" s="312">
        <f>god+12</f>
        <v>2039</v>
      </c>
      <c r="CK9" s="312">
        <f>god+13</f>
        <v>2040</v>
      </c>
      <c r="CL9" s="312">
        <f>god+14</f>
        <v>2041</v>
      </c>
      <c r="CM9" s="312">
        <f>god+15</f>
        <v>2042</v>
      </c>
      <c r="CN9" s="312">
        <f>god+16</f>
        <v>2043</v>
      </c>
      <c r="CO9" s="312">
        <f>god+17</f>
        <v>2044</v>
      </c>
      <c r="CP9" s="312">
        <f>god+18</f>
        <v>2045</v>
      </c>
      <c r="CQ9" s="312">
        <f>god+19</f>
        <v>2046</v>
      </c>
      <c r="CW9" s="309"/>
      <c r="CZ9" s="1730"/>
      <c r="DA9" s="1730"/>
      <c r="DB9" s="1730"/>
      <c r="DC9" s="1730"/>
      <c r="DD9" s="1730"/>
      <c r="DE9" s="1730"/>
      <c r="DF9" s="1730"/>
      <c r="DG9" s="1730"/>
    </row>
    <row s="1143" customFormat="1" customHeight="1" ht="11.25" hidden="1">
      <c r="A10" s="309" t="s">
        <v>404</v>
      </c>
      <c r="AI10" s="312" cm="1" t="str">
        <f t="array" ref="AI10:AI10">AI25</f>
        <v>Принято органом регулирования</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Предложение организации</v>
      </c>
      <c r="AZ10" s="312" cm="1" t="str">
        <f t="array" ref="AZ10:AZ10">AZ25</f>
        <v>Предложение организации</v>
      </c>
      <c r="BA10" s="312" cm="1" t="str">
        <f t="array" ref="BA10:BA10">BA25</f>
        <v>Предложение организации</v>
      </c>
      <c r="BB10" s="312" cm="1" t="str">
        <f t="array" ref="BB10:BB10">BB25</f>
        <v>Предложение организации</v>
      </c>
      <c r="BC10" s="312" cm="1" t="str">
        <f t="array" ref="BC10:BC10">BC25</f>
        <v>Предложение организации</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S10" s="312" cm="1" t="str">
        <f t="array" ref="BS10:BS10">BS25</f>
        <v>Принято органом регулирования</v>
      </c>
      <c r="BT10" s="312" cm="1" t="str">
        <f t="array" ref="BT10:BT10">BT25</f>
        <v>Принято органом регулирования</v>
      </c>
      <c r="BU10" s="312" cm="1" t="str">
        <f t="array" ref="BU10:BU10">BU25</f>
        <v>Принято органом регулирования</v>
      </c>
      <c r="BV10" s="312" cm="1" t="str">
        <f t="array" ref="BV10:BV10">BV25</f>
        <v>Принято органом регулирования</v>
      </c>
      <c r="BW10" s="312" cm="1" t="str">
        <f t="array" ref="BW10:BW10">BW25</f>
        <v>Принято органом регулирования</v>
      </c>
      <c r="BX10" s="1143"/>
      <c r="BY10" s="1143"/>
      <c r="BZ10" s="1143"/>
      <c r="CA10" s="1143"/>
      <c r="CB10" s="1143"/>
      <c r="CC10" s="1143"/>
      <c r="CD10" s="1143"/>
      <c r="CE10" s="1143"/>
      <c r="CF10" s="1143"/>
      <c r="CG10" s="1143"/>
      <c r="CH10" s="1143"/>
      <c r="CI10" s="1143"/>
      <c r="CJ10" s="1143"/>
      <c r="CK10" s="1143"/>
      <c r="CL10" s="1143"/>
      <c r="CM10" s="1143"/>
      <c r="CN10" s="1143"/>
      <c r="CO10" s="1143"/>
      <c r="CP10" s="1143"/>
      <c r="CQ10" s="1143"/>
      <c r="CW10" s="309"/>
      <c r="CZ10" s="1730"/>
      <c r="DA10" s="1730"/>
      <c r="DB10" s="1730"/>
      <c r="DC10" s="1730"/>
      <c r="DD10" s="1730"/>
      <c r="DE10" s="1730"/>
      <c r="DF10" s="1730"/>
      <c r="DG10" s="1730"/>
    </row>
    <row s="1143" customFormat="1" customHeight="1" ht="11.25" hidden="1">
      <c r="A11" s="309" t="s">
        <v>405</v>
      </c>
      <c r="G11" s="483"/>
      <c r="H11" s="483"/>
      <c r="I11" s="483"/>
      <c r="J11" s="483"/>
      <c r="K11" s="483"/>
      <c r="L11" s="483"/>
      <c r="M11" s="483"/>
      <c r="N11" s="483"/>
      <c r="O11" s="483"/>
      <c r="P11" s="483"/>
      <c r="Q11" s="483"/>
      <c r="R11" s="483"/>
      <c r="S11" s="483"/>
      <c r="AC11" s="326"/>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1143"/>
      <c r="BX11" s="1143"/>
      <c r="BY11" s="1143"/>
      <c r="BZ11" s="1143"/>
      <c r="CA11" s="1143"/>
      <c r="CB11" s="1143"/>
      <c r="CC11" s="1143"/>
      <c r="CD11" s="1143"/>
      <c r="CE11" s="1143"/>
      <c r="CF11" s="1143"/>
      <c r="CG11" s="1143"/>
      <c r="CH11" s="1143"/>
      <c r="CI11" s="1143"/>
      <c r="CJ11" s="1143"/>
      <c r="CK11" s="1143"/>
      <c r="CL11" s="1143"/>
      <c r="CM11" s="1143"/>
      <c r="CN11" s="1143"/>
      <c r="CO11" s="1143"/>
      <c r="CP11" s="1143"/>
      <c r="CQ11" s="1143"/>
      <c r="CR11" s="312" cm="1" t="str">
        <f t="array" ref="CR11:CR11">CR24</f>
        <v>Указание на подтверждающие документы / URL-ссылка на копии подтверждающих документов</v>
      </c>
      <c r="CS11" s="312" cm="1" t="str">
        <f t="array" ref="CS11:CS11">CS24</f>
        <v>Ссылка на правовую норму (основание для принятия показателя в расчет тарифа)</v>
      </c>
      <c r="CT11" s="312" cm="1" t="str">
        <f t="array" ref="CT11:CT11">CT24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CW11" s="309"/>
      <c r="CZ11" s="1730"/>
      <c r="DA11" s="1730"/>
      <c r="DB11" s="1730"/>
      <c r="DC11" s="1730"/>
      <c r="DD11" s="1730"/>
      <c r="DE11" s="1730"/>
      <c r="DF11" s="1730"/>
      <c r="DG11" s="1730"/>
    </row>
    <row s="1548" customFormat="1" customHeight="1" ht="11.25" hidden="1">
      <c r="A12" s="371"/>
      <c r="E12" s="180"/>
      <c r="G12" s="193"/>
      <c r="H12" s="193"/>
      <c r="I12" s="193"/>
      <c r="J12" s="193"/>
      <c r="K12" s="193"/>
      <c r="L12" s="193"/>
      <c r="M12" s="193"/>
      <c r="N12" s="193"/>
      <c r="O12" s="193"/>
      <c r="P12" s="193"/>
      <c r="Q12" s="193"/>
      <c r="R12" s="193"/>
      <c r="S12" s="193"/>
      <c r="AC12" s="176"/>
      <c r="AE12" s="175">
        <f>god-2</f>
        <v>2025</v>
      </c>
      <c r="AF12" s="175">
        <f>god-2</f>
        <v>2025</v>
      </c>
      <c r="AG12" s="175">
        <f>god-2</f>
        <v>2025</v>
      </c>
      <c r="AH12" s="175">
        <f>god-2</f>
        <v>2025</v>
      </c>
      <c r="AJ12" s="1548"/>
      <c r="AK12" s="1548"/>
      <c r="AL12" s="1548"/>
      <c r="AM12" s="1548"/>
      <c r="AN12" s="1548"/>
      <c r="AO12" s="1548"/>
      <c r="AP12" s="1548"/>
      <c r="AQ12" s="1548"/>
      <c r="AR12" s="1548"/>
      <c r="AS12" s="1548"/>
      <c r="AT12" s="1548"/>
      <c r="AU12" s="1548"/>
      <c r="AV12" s="1548"/>
      <c r="AW12" s="1548"/>
      <c r="AX12" s="1548"/>
      <c r="AY12" s="1548"/>
      <c r="AZ12" s="1548"/>
      <c r="BA12" s="1548"/>
      <c r="BB12" s="1548"/>
      <c r="BC12" s="1548"/>
      <c r="BD12" s="1548"/>
      <c r="BE12" s="1548"/>
      <c r="BF12" s="1548"/>
      <c r="BG12" s="1548"/>
      <c r="BH12" s="1548"/>
      <c r="BI12" s="1548"/>
      <c r="BJ12" s="1548"/>
      <c r="BK12" s="1548"/>
      <c r="BL12" s="1548"/>
      <c r="BM12" s="1548"/>
      <c r="BN12" s="1548"/>
      <c r="BO12" s="1548"/>
      <c r="BP12" s="1548"/>
      <c r="BQ12" s="1548"/>
      <c r="BR12" s="1548"/>
      <c r="BS12" s="1548"/>
      <c r="BT12" s="1548"/>
      <c r="BU12" s="1548"/>
      <c r="BV12" s="1548"/>
      <c r="BW12" s="1548"/>
      <c r="BX12" s="1548"/>
      <c r="BY12" s="1548"/>
      <c r="BZ12" s="1548"/>
      <c r="CA12" s="1548"/>
      <c r="CB12" s="1548"/>
      <c r="CC12" s="1548"/>
      <c r="CD12" s="1548"/>
      <c r="CE12" s="1548"/>
      <c r="CF12" s="1548"/>
      <c r="CG12" s="1548"/>
      <c r="CH12" s="1548"/>
      <c r="CI12" s="1548"/>
      <c r="CJ12" s="1548"/>
      <c r="CK12" s="1548"/>
      <c r="CL12" s="1548"/>
      <c r="CM12" s="1548"/>
      <c r="CN12" s="1548"/>
      <c r="CO12" s="1548"/>
      <c r="CP12" s="1548"/>
      <c r="CQ12" s="1548"/>
      <c r="CW12" s="309"/>
      <c r="CZ12" s="0"/>
      <c r="DA12" s="0"/>
      <c r="DB12" s="0"/>
      <c r="DC12" s="0"/>
      <c r="DD12" s="0"/>
      <c r="DE12" s="0"/>
      <c r="DF12" s="0"/>
      <c r="DG12" s="0"/>
    </row>
    <row s="1548" customFormat="1" customHeight="1" ht="11.25" hidden="1">
      <c r="A13" s="371"/>
      <c r="E13" s="180"/>
      <c r="G13" s="193"/>
      <c r="H13" s="193"/>
      <c r="I13" s="193"/>
      <c r="J13" s="193"/>
      <c r="K13" s="193"/>
      <c r="L13" s="193"/>
      <c r="M13" s="193"/>
      <c r="N13" s="193"/>
      <c r="O13" s="193"/>
      <c r="P13" s="193"/>
      <c r="Q13" s="193"/>
      <c r="R13" s="193"/>
      <c r="S13" s="193"/>
      <c r="AC13" s="176"/>
      <c r="AE13" s="175" cm="1" t="str">
        <f t="array" ref="AE13:AE13">AE25</f>
        <v>Принято органом регулирования</v>
      </c>
      <c r="AF13" s="175" cm="1" t="str">
        <f t="array" ref="AF13:AF13">AF25</f>
        <v>Факт по данным организации</v>
      </c>
      <c r="AG13" s="175" cm="1" t="str">
        <f t="array" ref="AG13:AG13">AG25</f>
        <v>Факт, принятый органом регулирования</v>
      </c>
      <c r="AH13" s="175" cm="1" t="str">
        <f t="array" ref="AH13:AH13">AH25</f>
        <v>отклонение факта по данным организации к факту принятому органом регулирования</v>
      </c>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S13" s="1548"/>
      <c r="BT13" s="1548"/>
      <c r="BU13" s="1548"/>
      <c r="BV13" s="1548"/>
      <c r="BW13" s="1548"/>
      <c r="BX13" s="1548"/>
      <c r="BY13" s="1548"/>
      <c r="BZ13" s="1548"/>
      <c r="CA13" s="1548"/>
      <c r="CB13" s="1548"/>
      <c r="CC13" s="1548"/>
      <c r="CD13" s="1548"/>
      <c r="CE13" s="1548"/>
      <c r="CF13" s="1548"/>
      <c r="CG13" s="1548"/>
      <c r="CH13" s="1548"/>
      <c r="CI13" s="1548"/>
      <c r="CJ13" s="1548"/>
      <c r="CK13" s="1548"/>
      <c r="CL13" s="1548"/>
      <c r="CM13" s="1548"/>
      <c r="CN13" s="1548"/>
      <c r="CO13" s="1548"/>
      <c r="CP13" s="1548"/>
      <c r="CQ13" s="1548"/>
      <c r="CW13" s="309"/>
      <c r="CZ13" s="0"/>
      <c r="DA13" s="0"/>
      <c r="DB13" s="0"/>
      <c r="DC13" s="0"/>
      <c r="DD13" s="0"/>
      <c r="DE13" s="0"/>
      <c r="DF13" s="0"/>
      <c r="DG13" s="0"/>
    </row>
    <row s="1548" customFormat="1" customHeight="1" ht="11.25" hidden="1">
      <c r="A14" s="371"/>
      <c r="E14" s="180"/>
      <c r="G14" s="193"/>
      <c r="H14" s="193"/>
      <c r="I14" s="193"/>
      <c r="J14" s="193"/>
      <c r="K14" s="193"/>
      <c r="L14" s="193"/>
      <c r="M14" s="193"/>
      <c r="N14" s="193"/>
      <c r="O14" s="193"/>
      <c r="P14" s="193"/>
      <c r="Q14" s="193"/>
      <c r="R14" s="193"/>
      <c r="S14" s="193"/>
      <c r="AC14" s="176"/>
      <c r="AE14" s="175" t="str">
        <f>AE12&amp;AE13</f>
        <v>2025Принято органом регулирования</v>
      </c>
      <c r="AF14" s="175" t="str">
        <f>AF12&amp;AF13</f>
        <v>2025Факт по данным организации</v>
      </c>
      <c r="AG14" s="175" t="str">
        <f>AG12&amp;AG13</f>
        <v>2025Факт, принятый органом регулирования</v>
      </c>
      <c r="AH14" s="175" t="str">
        <f>AH12&amp;AH13</f>
        <v>2025отклонение факта по данным организации к факту принятому органом регулирования</v>
      </c>
      <c r="AJ14" s="1548"/>
      <c r="AK14" s="1548"/>
      <c r="AL14" s="1548"/>
      <c r="AM14" s="1548"/>
      <c r="AN14" s="1548"/>
      <c r="AO14" s="1548"/>
      <c r="AP14" s="1548"/>
      <c r="AQ14" s="1548"/>
      <c r="AR14" s="1548"/>
      <c r="AS14" s="1548"/>
      <c r="AT14" s="1548"/>
      <c r="AU14" s="1548"/>
      <c r="AV14" s="1548"/>
      <c r="AW14" s="1548"/>
      <c r="AX14" s="1548"/>
      <c r="AY14" s="1548"/>
      <c r="AZ14" s="1548"/>
      <c r="BA14" s="1548"/>
      <c r="BB14" s="1548"/>
      <c r="BC14" s="1548"/>
      <c r="BD14" s="1548"/>
      <c r="BE14" s="1548"/>
      <c r="BF14" s="1548"/>
      <c r="BG14" s="1548"/>
      <c r="BH14" s="1548"/>
      <c r="BI14" s="1548"/>
      <c r="BJ14" s="1548"/>
      <c r="BK14" s="1548"/>
      <c r="BL14" s="1548"/>
      <c r="BM14" s="1548"/>
      <c r="BN14" s="1548"/>
      <c r="BO14" s="1548"/>
      <c r="BP14" s="1548"/>
      <c r="BQ14" s="1548"/>
      <c r="BR14" s="1548"/>
      <c r="BS14" s="1548"/>
      <c r="BT14" s="1548"/>
      <c r="BU14" s="1548"/>
      <c r="BV14" s="1548"/>
      <c r="BW14" s="1548"/>
      <c r="BX14" s="1548"/>
      <c r="BY14" s="1548"/>
      <c r="BZ14" s="1548"/>
      <c r="CA14" s="1548"/>
      <c r="CB14" s="1548"/>
      <c r="CC14" s="1548"/>
      <c r="CD14" s="1548"/>
      <c r="CE14" s="1548"/>
      <c r="CF14" s="1548"/>
      <c r="CG14" s="1548"/>
      <c r="CH14" s="1548"/>
      <c r="CI14" s="1548"/>
      <c r="CJ14" s="1548"/>
      <c r="CK14" s="1548"/>
      <c r="CL14" s="1548"/>
      <c r="CM14" s="1548"/>
      <c r="CN14" s="1548"/>
      <c r="CO14" s="1548"/>
      <c r="CP14" s="1548"/>
      <c r="CQ14" s="1548"/>
      <c r="CW14" s="309"/>
      <c r="CZ14" s="0"/>
      <c r="DA14" s="0"/>
      <c r="DB14" s="0"/>
      <c r="DC14" s="0"/>
      <c r="DD14" s="0"/>
      <c r="DE14" s="0"/>
      <c r="DF14" s="0"/>
      <c r="DG14" s="0"/>
    </row>
    <row s="1548" customFormat="1" customHeight="1" ht="11.25" hidden="1">
      <c r="A15" s="371"/>
      <c r="E15" s="180"/>
      <c r="G15" s="193"/>
      <c r="H15" s="193"/>
      <c r="I15" s="193"/>
      <c r="J15" s="193"/>
      <c r="K15" s="193"/>
      <c r="L15" s="193"/>
      <c r="M15" s="193"/>
      <c r="N15" s="193"/>
      <c r="O15" s="193"/>
      <c r="P15" s="193"/>
      <c r="Q15" s="193"/>
      <c r="R15" s="193"/>
      <c r="S15" s="193"/>
      <c r="AC15" s="176"/>
      <c r="AJ15" s="1548"/>
      <c r="AK15" s="1548"/>
      <c r="AL15" s="1548"/>
      <c r="AM15" s="1548"/>
      <c r="AN15" s="1548"/>
      <c r="AO15" s="1548"/>
      <c r="AP15" s="1548"/>
      <c r="AQ15" s="1548"/>
      <c r="AR15" s="1548"/>
      <c r="AS15" s="1548"/>
      <c r="AT15" s="1548"/>
      <c r="AU15" s="1548"/>
      <c r="AV15" s="1548"/>
      <c r="AW15" s="1548"/>
      <c r="AX15" s="1548"/>
      <c r="AY15" s="1548"/>
      <c r="AZ15" s="1548"/>
      <c r="BA15" s="1548"/>
      <c r="BB15" s="1548"/>
      <c r="BC15" s="1548"/>
      <c r="BD15" s="1548"/>
      <c r="BE15" s="1548"/>
      <c r="BF15" s="1548"/>
      <c r="BG15" s="1548"/>
      <c r="BH15" s="1548"/>
      <c r="BI15" s="1548"/>
      <c r="BJ15" s="1548"/>
      <c r="BK15" s="1548"/>
      <c r="BL15" s="1548"/>
      <c r="BM15" s="1548"/>
      <c r="BN15" s="1548"/>
      <c r="BO15" s="1548"/>
      <c r="BP15" s="1548"/>
      <c r="BQ15" s="1548"/>
      <c r="BR15" s="1548"/>
      <c r="BS15" s="1548"/>
      <c r="BT15" s="1548"/>
      <c r="BU15" s="1548"/>
      <c r="BV15" s="1548"/>
      <c r="BW15" s="1548"/>
      <c r="BX15" s="1548"/>
      <c r="BY15" s="1548"/>
      <c r="BZ15" s="1548"/>
      <c r="CA15" s="1548"/>
      <c r="CB15" s="1548"/>
      <c r="CC15" s="1548"/>
      <c r="CD15" s="1548"/>
      <c r="CE15" s="1548"/>
      <c r="CF15" s="1548"/>
      <c r="CG15" s="1548"/>
      <c r="CH15" s="1548"/>
      <c r="CI15" s="1548"/>
      <c r="CJ15" s="1548"/>
      <c r="CK15" s="1548"/>
      <c r="CL15" s="1548"/>
      <c r="CM15" s="1548"/>
      <c r="CN15" s="1548"/>
      <c r="CO15" s="1548"/>
      <c r="CP15" s="1548"/>
      <c r="CQ15" s="1548"/>
      <c r="CW15" s="309"/>
      <c r="CZ15" s="0"/>
      <c r="DA15" s="0"/>
      <c r="DB15" s="0"/>
      <c r="DC15" s="0"/>
      <c r="DD15" s="0"/>
      <c r="DE15" s="0"/>
      <c r="DF15" s="0"/>
      <c r="DG15" s="0"/>
    </row>
    <row s="1548" customFormat="1" customHeight="1" ht="11.25" hidden="1">
      <c r="A16" s="371"/>
      <c r="E16" s="180"/>
      <c r="G16" s="193"/>
      <c r="H16" s="193"/>
      <c r="I16" s="193"/>
      <c r="J16" s="193"/>
      <c r="K16" s="193"/>
      <c r="L16" s="193"/>
      <c r="M16" s="193"/>
      <c r="N16" s="193"/>
      <c r="O16" s="193"/>
      <c r="P16" s="193"/>
      <c r="Q16" s="193"/>
      <c r="R16" s="193"/>
      <c r="S16" s="193"/>
      <c r="AC16" s="176"/>
      <c r="AJ16" s="1548"/>
      <c r="AK16" s="1548"/>
      <c r="AL16" s="1548"/>
      <c r="AM16" s="1548"/>
      <c r="AN16" s="1548"/>
      <c r="AO16" s="1548"/>
      <c r="AP16" s="1548"/>
      <c r="AQ16" s="1548"/>
      <c r="AR16" s="1548"/>
      <c r="AS16" s="1548"/>
      <c r="AT16" s="1548"/>
      <c r="AU16" s="1548"/>
      <c r="AV16" s="1548"/>
      <c r="AW16" s="1548"/>
      <c r="AX16" s="1548"/>
      <c r="AY16" s="1548"/>
      <c r="AZ16" s="1548"/>
      <c r="BA16" s="1548"/>
      <c r="BB16" s="1548"/>
      <c r="BC16" s="1548"/>
      <c r="BD16" s="1548"/>
      <c r="BE16" s="1548"/>
      <c r="BF16" s="1548"/>
      <c r="BG16" s="1548"/>
      <c r="BH16" s="1548"/>
      <c r="BI16" s="1548"/>
      <c r="BJ16" s="1548"/>
      <c r="BK16" s="1548"/>
      <c r="BL16" s="1548"/>
      <c r="BM16" s="1548"/>
      <c r="BN16" s="1548"/>
      <c r="BO16" s="1548"/>
      <c r="BP16" s="1548"/>
      <c r="BQ16" s="1548"/>
      <c r="BR16" s="1548"/>
      <c r="BS16" s="1548"/>
      <c r="BT16" s="1548"/>
      <c r="BU16" s="1548"/>
      <c r="BV16" s="1548"/>
      <c r="BW16" s="1548"/>
      <c r="BX16" s="1548"/>
      <c r="BY16" s="1548"/>
      <c r="BZ16" s="1548"/>
      <c r="CA16" s="1548"/>
      <c r="CB16" s="1548"/>
      <c r="CC16" s="1548"/>
      <c r="CD16" s="1548"/>
      <c r="CE16" s="1548"/>
      <c r="CF16" s="1548"/>
      <c r="CG16" s="1548"/>
      <c r="CH16" s="1548"/>
      <c r="CI16" s="1548"/>
      <c r="CJ16" s="1548"/>
      <c r="CK16" s="1548"/>
      <c r="CL16" s="1548"/>
      <c r="CM16" s="1548"/>
      <c r="CN16" s="1548"/>
      <c r="CO16" s="1548"/>
      <c r="CP16" s="1548"/>
      <c r="CQ16" s="1548"/>
      <c r="CW16" s="309"/>
      <c r="CZ16" s="0"/>
      <c r="DA16" s="0"/>
      <c r="DB16" s="0"/>
      <c r="DC16" s="0"/>
      <c r="DD16" s="0"/>
      <c r="DE16" s="0"/>
      <c r="DF16" s="0"/>
      <c r="DG16" s="0"/>
    </row>
    <row s="1548" customFormat="1" customHeight="1" ht="11.25" hidden="1">
      <c r="A17" s="371"/>
      <c r="E17" s="180"/>
      <c r="G17" s="193"/>
      <c r="H17" s="193"/>
      <c r="I17" s="193"/>
      <c r="J17" s="193"/>
      <c r="K17" s="193"/>
      <c r="L17" s="193"/>
      <c r="M17" s="193"/>
      <c r="N17" s="193"/>
      <c r="O17" s="193"/>
      <c r="P17" s="193"/>
      <c r="Q17" s="193"/>
      <c r="R17" s="193"/>
      <c r="S17" s="193"/>
      <c r="AC17" s="176"/>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S17" s="1548"/>
      <c r="BT17" s="1548"/>
      <c r="BU17" s="1548"/>
      <c r="BV17" s="1548"/>
      <c r="BW17" s="1548"/>
      <c r="BX17" s="1548"/>
      <c r="BY17" s="1548"/>
      <c r="BZ17" s="1548"/>
      <c r="CA17" s="1548"/>
      <c r="CB17" s="1548"/>
      <c r="CC17" s="1548"/>
      <c r="CD17" s="1548"/>
      <c r="CE17" s="1548"/>
      <c r="CF17" s="1548"/>
      <c r="CG17" s="1548"/>
      <c r="CH17" s="1548"/>
      <c r="CI17" s="1548"/>
      <c r="CJ17" s="1548"/>
      <c r="CK17" s="1548"/>
      <c r="CL17" s="1548"/>
      <c r="CM17" s="1548"/>
      <c r="CN17" s="1548"/>
      <c r="CO17" s="1548"/>
      <c r="CP17" s="1548"/>
      <c r="CQ17" s="1548"/>
      <c r="CW17" s="309"/>
      <c r="CZ17" s="0"/>
      <c r="DA17" s="0"/>
      <c r="DB17" s="0"/>
      <c r="DC17" s="0"/>
      <c r="DD17" s="0"/>
      <c r="DE17" s="0"/>
      <c r="DF17" s="0"/>
      <c r="DG17" s="0"/>
    </row>
    <row s="1548" customFormat="1" customHeight="1" ht="11.25" hidden="1">
      <c r="A18" s="371"/>
      <c r="E18" s="180"/>
      <c r="G18" s="193"/>
      <c r="H18" s="193"/>
      <c r="I18" s="193"/>
      <c r="J18" s="193"/>
      <c r="K18" s="193"/>
      <c r="L18" s="193"/>
      <c r="M18" s="193"/>
      <c r="N18" s="193"/>
      <c r="O18" s="193"/>
      <c r="P18" s="193"/>
      <c r="Q18" s="193"/>
      <c r="R18" s="193"/>
      <c r="S18" s="193"/>
      <c r="AC18" s="176"/>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S18" s="1548"/>
      <c r="BT18" s="1548"/>
      <c r="BU18" s="1548"/>
      <c r="BV18" s="1548"/>
      <c r="BW18" s="1548"/>
      <c r="BX18" s="1548"/>
      <c r="BY18" s="1548"/>
      <c r="BZ18" s="1548"/>
      <c r="CA18" s="1548"/>
      <c r="CB18" s="1548"/>
      <c r="CC18" s="1548"/>
      <c r="CD18" s="1548"/>
      <c r="CE18" s="1548"/>
      <c r="CF18" s="1548"/>
      <c r="CG18" s="1548"/>
      <c r="CH18" s="1548"/>
      <c r="CI18" s="1548"/>
      <c r="CJ18" s="1548"/>
      <c r="CK18" s="1548"/>
      <c r="CL18" s="1548"/>
      <c r="CM18" s="1548"/>
      <c r="CN18" s="1548"/>
      <c r="CO18" s="1548"/>
      <c r="CP18" s="1548"/>
      <c r="CQ18" s="1548"/>
      <c r="CW18" s="309"/>
      <c r="CZ18" s="0"/>
      <c r="DA18" s="0"/>
      <c r="DB18" s="0"/>
      <c r="DC18" s="0"/>
      <c r="DD18" s="0"/>
      <c r="DE18" s="0"/>
      <c r="DF18" s="0"/>
      <c r="DG18" s="0"/>
    </row>
    <row s="1548" customFormat="1" customHeight="1" ht="11.25" hidden="1">
      <c r="A19" s="371"/>
      <c r="E19" s="180"/>
      <c r="G19" s="193"/>
      <c r="H19" s="193"/>
      <c r="I19" s="193"/>
      <c r="J19" s="193"/>
      <c r="K19" s="193"/>
      <c r="L19" s="193"/>
      <c r="M19" s="193"/>
      <c r="N19" s="193"/>
      <c r="O19" s="193"/>
      <c r="P19" s="193"/>
      <c r="Q19" s="193"/>
      <c r="R19" s="193"/>
      <c r="S19" s="193"/>
      <c r="AC19" s="176"/>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T19" s="1548"/>
      <c r="BU19" s="1548"/>
      <c r="BV19" s="1548"/>
      <c r="BW19" s="1548"/>
      <c r="BX19" s="1548"/>
      <c r="BY19" s="1548"/>
      <c r="BZ19" s="1548"/>
      <c r="CA19" s="1548"/>
      <c r="CB19" s="1548"/>
      <c r="CC19" s="1548"/>
      <c r="CD19" s="1548"/>
      <c r="CE19" s="1548"/>
      <c r="CF19" s="1548"/>
      <c r="CG19" s="1548"/>
      <c r="CH19" s="1548"/>
      <c r="CI19" s="1548"/>
      <c r="CJ19" s="1548"/>
      <c r="CK19" s="1548"/>
      <c r="CL19" s="1548"/>
      <c r="CM19" s="1548"/>
      <c r="CN19" s="1548"/>
      <c r="CO19" s="1548"/>
      <c r="CP19" s="1548"/>
      <c r="CQ19" s="1548"/>
      <c r="CW19" s="309"/>
      <c r="CZ19" s="0"/>
      <c r="DA19" s="0"/>
      <c r="DB19" s="0"/>
      <c r="DC19" s="0"/>
      <c r="DD19" s="0"/>
      <c r="DE19" s="0"/>
      <c r="DF19" s="0"/>
      <c r="DG19" s="0"/>
    </row>
    <row s="1548" customFormat="1" customHeight="1" ht="10.725000000000001" hidden="1">
      <c r="A20" s="371"/>
      <c r="E20" s="180">
        <v>11</v>
      </c>
      <c r="G20" s="193"/>
      <c r="H20" s="193"/>
      <c r="I20" s="193"/>
      <c r="J20" s="193"/>
      <c r="K20" s="193"/>
      <c r="L20" s="193"/>
      <c r="M20" s="193"/>
      <c r="N20" s="193"/>
      <c r="O20" s="193"/>
      <c r="P20" s="193"/>
      <c r="Q20" s="193"/>
      <c r="R20" s="193"/>
      <c r="S20" s="193"/>
      <c r="AC20" s="176"/>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W20" s="1548"/>
      <c r="BX20" s="1548"/>
      <c r="BY20" s="1548"/>
      <c r="BZ20" s="1548"/>
      <c r="CA20" s="1548"/>
      <c r="CB20" s="1548"/>
      <c r="CC20" s="1548"/>
      <c r="CD20" s="1548"/>
      <c r="CE20" s="1548"/>
      <c r="CF20" s="1548"/>
      <c r="CG20" s="1548"/>
      <c r="CH20" s="1548"/>
      <c r="CI20" s="1548"/>
      <c r="CJ20" s="1548"/>
      <c r="CK20" s="1548"/>
      <c r="CL20" s="1548"/>
      <c r="CM20" s="1548"/>
      <c r="CN20" s="1548"/>
      <c r="CO20" s="1548"/>
      <c r="CP20" s="1548"/>
      <c r="CQ20" s="1548"/>
      <c r="CW20" s="309"/>
      <c r="CZ20" s="0"/>
      <c r="DA20" s="0"/>
      <c r="DB20" s="0"/>
      <c r="DC20" s="0"/>
      <c r="DD20" s="0"/>
      <c r="DE20" s="0"/>
      <c r="DF20" s="0"/>
      <c r="DG20" s="0"/>
    </row>
    <row customHeight="1" ht="14.625">
      <c r="E21" s="180">
        <v>15</v>
      </c>
      <c r="AA21" s="182"/>
      <c r="AB21" s="679"/>
      <c r="AC21" s="278" cm="1" t="str">
        <f t="array" ref="AC21:AC21">tpl_title</f>
        <v>Кемеровская область / 2027 / ООО "КК-ИНВЕСТ" (ИНН:1901133713, КПП:190101001) / ДПР: 2025-2027</v>
      </c>
      <c r="AD21" s="679"/>
      <c r="AE21" s="679"/>
      <c r="AF21" s="679"/>
      <c r="AG21" s="679"/>
      <c r="AH21" s="679"/>
      <c r="AI21" s="679"/>
      <c r="AJ21" s="679"/>
      <c r="AK21" s="679"/>
      <c r="AL21" s="679"/>
      <c r="AM21" s="679"/>
      <c r="AN21" s="679"/>
      <c r="AO21" s="679"/>
      <c r="AP21" s="679"/>
      <c r="AQ21" s="679"/>
      <c r="AR21" s="679"/>
      <c r="AS21" s="679"/>
      <c r="AT21" s="679"/>
      <c r="AU21" s="679"/>
      <c r="AV21" s="679"/>
      <c r="AW21" s="679"/>
      <c r="AX21" s="679"/>
      <c r="AY21" s="679"/>
      <c r="AZ21" s="679"/>
      <c r="BA21" s="679"/>
      <c r="BB21" s="679"/>
      <c r="BC21" s="679"/>
      <c r="BD21" s="679"/>
      <c r="BE21" s="679"/>
      <c r="BF21" s="679"/>
      <c r="BG21" s="679"/>
      <c r="BH21" s="679"/>
      <c r="BI21" s="679"/>
      <c r="BJ21" s="679"/>
      <c r="BK21" s="679"/>
      <c r="BL21" s="679"/>
      <c r="BM21" s="679"/>
      <c r="BN21" s="679"/>
      <c r="BO21" s="679"/>
      <c r="BP21" s="679"/>
      <c r="BQ21" s="679"/>
      <c r="BR21" s="679"/>
      <c r="BS21" s="679"/>
      <c r="BT21" s="679"/>
      <c r="BU21" s="679"/>
      <c r="BV21" s="679"/>
      <c r="BW21" s="679"/>
      <c r="BX21" s="679"/>
      <c r="BY21" s="679"/>
      <c r="BZ21" s="679"/>
      <c r="CA21" s="679"/>
      <c r="CB21" s="679"/>
      <c r="CC21" s="679"/>
      <c r="CD21" s="679"/>
      <c r="CE21" s="679"/>
      <c r="CF21" s="679"/>
      <c r="CG21" s="679"/>
      <c r="CH21" s="679"/>
      <c r="CI21" s="679"/>
      <c r="CJ21" s="679"/>
      <c r="CK21" s="679"/>
      <c r="CL21" s="679"/>
      <c r="CM21" s="679"/>
      <c r="CN21" s="679"/>
      <c r="CO21" s="679"/>
      <c r="CP21" s="679"/>
      <c r="CQ21" s="679"/>
      <c r="CR21" s="679"/>
      <c r="CS21" s="679"/>
      <c r="CT21" s="679"/>
      <c r="CU21" s="679"/>
    </row>
    <row s="1659" customFormat="1" customHeight="1" ht="19.5">
      <c r="A22" s="371"/>
      <c r="B22" s="175"/>
      <c r="C22" s="175"/>
      <c r="D22" s="175"/>
      <c r="E22" s="180">
        <v>20</v>
      </c>
      <c r="F22" s="175"/>
      <c r="T22" s="175"/>
      <c r="U22" s="175"/>
      <c r="V22" s="175"/>
      <c r="W22" s="175"/>
      <c r="X22" s="175"/>
      <c r="Y22" s="175"/>
      <c r="Z22" s="175"/>
      <c r="AA22" s="200"/>
      <c r="AB22" s="547" t="s">
        <v>58</v>
      </c>
      <c r="AC22" s="682"/>
      <c r="AD22" s="682"/>
      <c r="AE22" s="682"/>
      <c r="AF22" s="682"/>
      <c r="AG22" s="682"/>
      <c r="AH22" s="682"/>
      <c r="AI22" s="682"/>
      <c r="AJ22" s="682"/>
      <c r="AK22" s="682"/>
      <c r="AL22" s="682"/>
      <c r="AM22" s="682"/>
      <c r="AN22" s="682"/>
      <c r="AO22" s="682"/>
      <c r="AP22" s="682"/>
      <c r="AQ22" s="682"/>
      <c r="AR22" s="682"/>
      <c r="AS22" s="682"/>
      <c r="AT22" s="682"/>
      <c r="AU22" s="682"/>
      <c r="AV22" s="682"/>
      <c r="AW22" s="682"/>
      <c r="AX22" s="682"/>
      <c r="AY22" s="682"/>
      <c r="AZ22" s="682"/>
      <c r="BA22" s="682"/>
      <c r="BB22" s="682"/>
      <c r="BC22" s="682"/>
      <c r="BD22" s="682"/>
      <c r="BE22" s="682"/>
      <c r="BF22" s="682"/>
      <c r="BG22" s="682"/>
      <c r="BH22" s="682"/>
      <c r="BI22" s="682"/>
      <c r="BJ22" s="682"/>
      <c r="BK22" s="682"/>
      <c r="BL22" s="682"/>
      <c r="BM22" s="682"/>
      <c r="BN22" s="682"/>
      <c r="BO22" s="682"/>
      <c r="BP22" s="682"/>
      <c r="BQ22" s="682"/>
      <c r="BR22" s="682"/>
      <c r="BS22" s="682"/>
      <c r="BT22" s="682"/>
      <c r="BU22" s="682"/>
      <c r="BV22" s="682"/>
      <c r="BW22" s="682"/>
      <c r="BX22" s="682"/>
      <c r="BY22" s="682"/>
      <c r="BZ22" s="682"/>
      <c r="CA22" s="682"/>
      <c r="CB22" s="682"/>
      <c r="CC22" s="682"/>
      <c r="CD22" s="682"/>
      <c r="CE22" s="682"/>
      <c r="CF22" s="682"/>
      <c r="CG22" s="682"/>
      <c r="CH22" s="682"/>
      <c r="CI22" s="682"/>
      <c r="CJ22" s="682"/>
      <c r="CK22" s="682"/>
      <c r="CL22" s="682"/>
      <c r="CM22" s="682"/>
      <c r="CN22" s="682"/>
      <c r="CO22" s="682"/>
      <c r="CP22" s="682"/>
      <c r="CQ22" s="682"/>
      <c r="CR22" s="682"/>
      <c r="CS22" s="682"/>
      <c r="CT22" s="682"/>
      <c r="CU22" s="200"/>
      <c r="CW22" s="309"/>
      <c r="CZ22" s="0"/>
      <c r="DA22" s="0"/>
      <c r="DB22" s="0"/>
      <c r="DC22" s="0"/>
      <c r="DD22" s="0"/>
      <c r="DE22" s="0"/>
      <c r="DF22" s="0"/>
      <c r="DG22" s="0"/>
    </row>
    <row s="1659" customFormat="1" customHeight="1" ht="9.75">
      <c r="A23" s="371"/>
      <c r="B23" s="175"/>
      <c r="C23" s="175"/>
      <c r="D23" s="175"/>
      <c r="E23" s="180">
        <v>10</v>
      </c>
      <c r="F23" s="175"/>
      <c r="T23" s="175"/>
      <c r="U23" s="175"/>
      <c r="V23" s="175"/>
      <c r="W23" s="175"/>
      <c r="X23" s="175"/>
      <c r="Y23" s="175"/>
      <c r="Z23" s="175"/>
      <c r="AA23" s="200"/>
      <c r="AB23" s="683"/>
      <c r="AC23" s="683"/>
      <c r="AD23" s="683"/>
      <c r="AE23" s="683"/>
      <c r="AF23" s="683"/>
      <c r="AG23" s="683"/>
      <c r="AH23" s="683"/>
      <c r="AI23" s="683"/>
      <c r="AJ23" s="683"/>
      <c r="AK23" s="683"/>
      <c r="AL23" s="683"/>
      <c r="AM23" s="683"/>
      <c r="AN23" s="683"/>
      <c r="AO23" s="683"/>
      <c r="AP23" s="683"/>
      <c r="AQ23" s="683"/>
      <c r="AR23" s="683"/>
      <c r="AS23" s="683"/>
      <c r="AT23" s="683"/>
      <c r="AU23" s="683"/>
      <c r="AV23" s="683"/>
      <c r="AW23" s="683"/>
      <c r="AX23" s="683"/>
      <c r="AY23" s="683"/>
      <c r="AZ23" s="683"/>
      <c r="BA23" s="683"/>
      <c r="BB23" s="683"/>
      <c r="BC23" s="683"/>
      <c r="BD23" s="683"/>
      <c r="BE23" s="683"/>
      <c r="BF23" s="683"/>
      <c r="BG23" s="683"/>
      <c r="BH23" s="683"/>
      <c r="BI23" s="683"/>
      <c r="BJ23" s="683"/>
      <c r="BK23" s="683"/>
      <c r="BL23" s="683"/>
      <c r="BM23" s="683"/>
      <c r="BN23" s="683"/>
      <c r="BO23" s="683"/>
      <c r="BP23" s="683"/>
      <c r="BQ23" s="683"/>
      <c r="BR23" s="683"/>
      <c r="BS23" s="683"/>
      <c r="BT23" s="683"/>
      <c r="BU23" s="683"/>
      <c r="BV23" s="683"/>
      <c r="BW23" s="683"/>
      <c r="BX23" s="683"/>
      <c r="BY23" s="683"/>
      <c r="BZ23" s="683"/>
      <c r="CA23" s="683"/>
      <c r="CB23" s="683"/>
      <c r="CC23" s="683"/>
      <c r="CD23" s="683"/>
      <c r="CE23" s="683"/>
      <c r="CF23" s="683"/>
      <c r="CG23" s="683"/>
      <c r="CH23" s="683"/>
      <c r="CI23" s="683"/>
      <c r="CJ23" s="683"/>
      <c r="CK23" s="683"/>
      <c r="CL23" s="683"/>
      <c r="CM23" s="683"/>
      <c r="CN23" s="683"/>
      <c r="CO23" s="683"/>
      <c r="CP23" s="683"/>
      <c r="CQ23" s="683"/>
      <c r="CR23" s="683"/>
      <c r="CS23" s="683"/>
      <c r="CT23" s="683"/>
      <c r="CU23" s="200"/>
      <c r="CW23" s="309"/>
      <c r="CZ23" s="0"/>
      <c r="DA23" s="0"/>
      <c r="DB23" s="0"/>
      <c r="DC23" s="0"/>
      <c r="DD23" s="0"/>
      <c r="DE23" s="0"/>
      <c r="DF23" s="0"/>
      <c r="DG23" s="0"/>
    </row>
    <row s="308" customFormat="1" customHeight="1" ht="24.375">
      <c r="A24" s="371"/>
      <c r="B24" s="176"/>
      <c r="C24" s="176"/>
      <c r="D24" s="176"/>
      <c r="E24" s="284">
        <v>25</v>
      </c>
      <c r="F24" s="176"/>
      <c r="T24" s="176"/>
      <c r="U24" s="176"/>
      <c r="V24" s="176"/>
      <c r="W24" s="176"/>
      <c r="X24" s="176"/>
      <c r="Y24" s="176"/>
      <c r="Z24" s="176"/>
      <c r="AA24" s="681"/>
      <c r="AB24" s="1682" t="s">
        <v>355</v>
      </c>
      <c r="AC24" s="1682" t="s">
        <v>412</v>
      </c>
      <c r="AD24" s="1682" t="s">
        <v>413</v>
      </c>
      <c r="AE24" s="384" t="str">
        <f>god-2&amp;" год"</f>
        <v>2025 год</v>
      </c>
      <c r="AF24" s="384" t="str">
        <f>god-2&amp;" год"</f>
        <v>2025 год</v>
      </c>
      <c r="AG24" s="384" t="str">
        <f>god-2&amp;" год"</f>
        <v>2025 год</v>
      </c>
      <c r="AH24" s="384" t="str">
        <f>god-2&amp;" год"</f>
        <v>2025 год</v>
      </c>
      <c r="AI24" s="384" t="str">
        <f>god-1&amp;" год"</f>
        <v>2026 год</v>
      </c>
      <c r="AJ24" s="329" t="str">
        <f>god&amp;" год"</f>
        <v>2027 год</v>
      </c>
      <c r="AK24" s="329" t="str">
        <f>god+1&amp;" год"</f>
        <v>2028 год</v>
      </c>
      <c r="AL24" s="329" t="str">
        <f>god+2&amp;" год"</f>
        <v>2029 год</v>
      </c>
      <c r="AM24" s="329" t="str">
        <f>god+3&amp;" год"</f>
        <v>2030 год</v>
      </c>
      <c r="AN24" s="329" t="str">
        <f>god+4&amp;" год"</f>
        <v>2031 год</v>
      </c>
      <c r="AO24" s="329" t="str">
        <f>god+5&amp;" год"</f>
        <v>2032 год</v>
      </c>
      <c r="AP24" s="329" t="str">
        <f>god+6&amp;" год"</f>
        <v>2033 год</v>
      </c>
      <c r="AQ24" s="329" t="str">
        <f>god+7&amp;" год"</f>
        <v>2034 год</v>
      </c>
      <c r="AR24" s="329" t="str">
        <f>god+8&amp;" год"</f>
        <v>2035 год</v>
      </c>
      <c r="AS24" s="329" t="str">
        <f>god+9&amp;" год"</f>
        <v>2036 год</v>
      </c>
      <c r="AT24" s="329" t="str">
        <f>god+10&amp;" год"</f>
        <v>2037 год</v>
      </c>
      <c r="AU24" s="329" t="str">
        <f>god+11&amp;" год"</f>
        <v>2038 год</v>
      </c>
      <c r="AV24" s="329" t="str">
        <f>god+12&amp;" год"</f>
        <v>2039 год</v>
      </c>
      <c r="AW24" s="329" t="str">
        <f>god+13&amp;" год"</f>
        <v>2040 год</v>
      </c>
      <c r="AX24" s="329" t="str">
        <f>god+14&amp;" год"</f>
        <v>2041 год</v>
      </c>
      <c r="AY24" s="329" t="str">
        <f>god+15&amp;" год"</f>
        <v>2042 год</v>
      </c>
      <c r="AZ24" s="329" t="str">
        <f>god+16&amp;" год"</f>
        <v>2043 год</v>
      </c>
      <c r="BA24" s="329" t="str">
        <f>god+17&amp;" год"</f>
        <v>2044 год</v>
      </c>
      <c r="BB24" s="329" t="str">
        <f>god+18&amp;" год"</f>
        <v>2045 год</v>
      </c>
      <c r="BC24" s="329" t="str">
        <f>god+19&amp;" год"</f>
        <v>2046 год</v>
      </c>
      <c r="BD24" s="328" t="str">
        <f>god&amp;" год"</f>
        <v>2027 год</v>
      </c>
      <c r="BE24" s="328" t="str">
        <f>god+1&amp;" год"</f>
        <v>2028 год</v>
      </c>
      <c r="BF24" s="328" t="str">
        <f>god+2&amp;" год"</f>
        <v>2029 год</v>
      </c>
      <c r="BG24" s="328" t="str">
        <f>god+3&amp;" год"</f>
        <v>2030 год</v>
      </c>
      <c r="BH24" s="328" t="str">
        <f>god+4&amp;" год"</f>
        <v>2031 год</v>
      </c>
      <c r="BI24" s="328" t="str">
        <f>god+5&amp;" год"</f>
        <v>2032 год</v>
      </c>
      <c r="BJ24" s="328" t="str">
        <f>god+6&amp;" год"</f>
        <v>2033 год</v>
      </c>
      <c r="BK24" s="328" t="str">
        <f>god+7&amp;" год"</f>
        <v>2034 год</v>
      </c>
      <c r="BL24" s="328" t="str">
        <f>god+8&amp;" год"</f>
        <v>2035 год</v>
      </c>
      <c r="BM24" s="328" t="str">
        <f>god+9&amp;" год"</f>
        <v>2036 год</v>
      </c>
      <c r="BN24" s="328" t="str">
        <f>god+10&amp;" год"</f>
        <v>2037 год</v>
      </c>
      <c r="BO24" s="328" t="str">
        <f>god+11&amp;" год"</f>
        <v>2038 год</v>
      </c>
      <c r="BP24" s="328" t="str">
        <f>god+12&amp;" год"</f>
        <v>2039 год</v>
      </c>
      <c r="BQ24" s="328" t="str">
        <f>god+13&amp;" год"</f>
        <v>2040 год</v>
      </c>
      <c r="BR24" s="328" t="str">
        <f>god+14&amp;" год"</f>
        <v>2041 год</v>
      </c>
      <c r="BS24" s="328" t="str">
        <f>god+15&amp;" год"</f>
        <v>2042 год</v>
      </c>
      <c r="BT24" s="328" t="str">
        <f>god+16&amp;" год"</f>
        <v>2043 год</v>
      </c>
      <c r="BU24" s="328" t="str">
        <f>god+17&amp;" год"</f>
        <v>2044 год</v>
      </c>
      <c r="BV24" s="328" t="str">
        <f>god+18&amp;" год"</f>
        <v>2045 год</v>
      </c>
      <c r="BW24" s="328" t="str">
        <f>god+19&amp;" год"</f>
        <v>2046 год</v>
      </c>
      <c r="BX24" s="328" t="str">
        <f>god&amp;" год"</f>
        <v>2027 год</v>
      </c>
      <c r="BY24" s="328" t="str">
        <f>god+1&amp;" год"</f>
        <v>2028 год</v>
      </c>
      <c r="BZ24" s="328" t="str">
        <f>god+2&amp;" год"</f>
        <v>2029 год</v>
      </c>
      <c r="CA24" s="328" t="str">
        <f>god+3&amp;" год"</f>
        <v>2030 год</v>
      </c>
      <c r="CB24" s="328" t="str">
        <f>god+4&amp;" год"</f>
        <v>2031 год</v>
      </c>
      <c r="CC24" s="328" t="str">
        <f>god+5&amp;" год"</f>
        <v>2032 год</v>
      </c>
      <c r="CD24" s="328" t="str">
        <f>god+6&amp;" год"</f>
        <v>2033 год</v>
      </c>
      <c r="CE24" s="328" t="str">
        <f>god+7&amp;" год"</f>
        <v>2034 год</v>
      </c>
      <c r="CF24" s="328" t="str">
        <f>god+8&amp;" год"</f>
        <v>2035 год</v>
      </c>
      <c r="CG24" s="328" t="str">
        <f>god+9&amp;" год"</f>
        <v>2036 год</v>
      </c>
      <c r="CH24" s="328" t="str">
        <f>god+10&amp;" год"</f>
        <v>2037 год</v>
      </c>
      <c r="CI24" s="328" t="str">
        <f>god+11&amp;" год"</f>
        <v>2038 год</v>
      </c>
      <c r="CJ24" s="328" t="str">
        <f>god+12&amp;" год"</f>
        <v>2039 год</v>
      </c>
      <c r="CK24" s="328" t="str">
        <f>god+13&amp;" год"</f>
        <v>2040 год</v>
      </c>
      <c r="CL24" s="328" t="str">
        <f>god+14&amp;" год"</f>
        <v>2041 год</v>
      </c>
      <c r="CM24" s="328" t="str">
        <f>god+15&amp;" год"</f>
        <v>2042 год</v>
      </c>
      <c r="CN24" s="328" t="str">
        <f>god+16&amp;" год"</f>
        <v>2043 год</v>
      </c>
      <c r="CO24" s="328" t="str">
        <f>god+17&amp;" год"</f>
        <v>2044 год</v>
      </c>
      <c r="CP24" s="328" t="str">
        <f>god+18&amp;" год"</f>
        <v>2045 год</v>
      </c>
      <c r="CQ24" s="328" t="str">
        <f>god+19&amp;" год"</f>
        <v>2046 год</v>
      </c>
      <c r="CR24" s="1678" t="s">
        <v>1546</v>
      </c>
      <c r="CS24" s="1678" t="s">
        <v>625</v>
      </c>
      <c r="CT24" s="1678" t="s">
        <v>1547</v>
      </c>
      <c r="CU24" s="680"/>
      <c r="CW24" s="309"/>
      <c r="CZ24" s="0"/>
      <c r="DA24" s="0"/>
      <c r="DB24" s="0"/>
      <c r="DC24" s="0"/>
      <c r="DD24" s="0"/>
      <c r="DE24" s="0"/>
      <c r="DF24" s="0"/>
      <c r="DG24" s="0"/>
    </row>
    <row s="308" customFormat="1" customHeight="1" ht="44.85">
      <c r="A25" s="371"/>
      <c r="B25" s="176"/>
      <c r="C25" s="176"/>
      <c r="D25" s="176"/>
      <c r="E25" s="284">
        <v>46</v>
      </c>
      <c r="F25" s="176"/>
      <c r="T25" s="176"/>
      <c r="U25" s="176"/>
      <c r="V25" s="176"/>
      <c r="W25" s="176"/>
      <c r="X25" s="176"/>
      <c r="Y25" s="176"/>
      <c r="Z25" s="176"/>
      <c r="AA25" s="681"/>
      <c r="AB25" s="1682"/>
      <c r="AC25" s="1682"/>
      <c r="AD25" s="1682"/>
      <c r="AE25" s="384" t="s">
        <v>415</v>
      </c>
      <c r="AF25" s="384" t="s">
        <v>626</v>
      </c>
      <c r="AG25" s="384" t="s">
        <v>627</v>
      </c>
      <c r="AH25" s="384" t="s">
        <v>1134</v>
      </c>
      <c r="AI25" s="384" t="s">
        <v>415</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331" t="s">
        <v>416</v>
      </c>
      <c r="AZ25" s="331" t="s">
        <v>416</v>
      </c>
      <c r="BA25" s="331" t="s">
        <v>416</v>
      </c>
      <c r="BB25" s="331" t="s">
        <v>416</v>
      </c>
      <c r="BC25" s="331" t="s">
        <v>416</v>
      </c>
      <c r="BD25" s="424" t="s">
        <v>415</v>
      </c>
      <c r="BE25" s="424" t="s">
        <v>415</v>
      </c>
      <c r="BF25" s="424" t="s">
        <v>415</v>
      </c>
      <c r="BG25" s="424" t="s">
        <v>415</v>
      </c>
      <c r="BH25" s="424" t="s">
        <v>415</v>
      </c>
      <c r="BI25" s="424" t="s">
        <v>415</v>
      </c>
      <c r="BJ25" s="424" t="s">
        <v>415</v>
      </c>
      <c r="BK25" s="424" t="s">
        <v>415</v>
      </c>
      <c r="BL25" s="424" t="s">
        <v>415</v>
      </c>
      <c r="BM25" s="424" t="s">
        <v>415</v>
      </c>
      <c r="BN25" s="424" t="s">
        <v>415</v>
      </c>
      <c r="BO25" s="424" t="s">
        <v>415</v>
      </c>
      <c r="BP25" s="424" t="s">
        <v>415</v>
      </c>
      <c r="BQ25" s="424" t="s">
        <v>415</v>
      </c>
      <c r="BR25" s="424" t="s">
        <v>415</v>
      </c>
      <c r="BS25" s="424" t="s">
        <v>415</v>
      </c>
      <c r="BT25" s="424" t="s">
        <v>415</v>
      </c>
      <c r="BU25" s="424" t="s">
        <v>415</v>
      </c>
      <c r="BV25" s="424" t="s">
        <v>415</v>
      </c>
      <c r="BW25" s="424" t="s">
        <v>415</v>
      </c>
      <c r="BX25" s="1678" t="s">
        <v>1548</v>
      </c>
      <c r="BY25" s="1678"/>
      <c r="BZ25" s="1678"/>
      <c r="CA25" s="1678"/>
      <c r="CB25" s="1678"/>
      <c r="CC25" s="1678"/>
      <c r="CD25" s="1678"/>
      <c r="CE25" s="1678"/>
      <c r="CF25" s="1678"/>
      <c r="CG25" s="1678"/>
      <c r="CH25" s="1678"/>
      <c r="CI25" s="1678"/>
      <c r="CJ25" s="1678"/>
      <c r="CK25" s="1678"/>
      <c r="CL25" s="1678"/>
      <c r="CM25" s="1678"/>
      <c r="CN25" s="1678"/>
      <c r="CO25" s="1678"/>
      <c r="CP25" s="1678"/>
      <c r="CQ25" s="1678"/>
      <c r="CR25" s="1678"/>
      <c r="CS25" s="1678"/>
      <c r="CT25" s="1678"/>
      <c r="CU25" s="680"/>
      <c r="CW25" s="309"/>
      <c r="CZ25" s="0"/>
      <c r="DA25" s="0"/>
      <c r="DB25" s="0"/>
      <c r="DC25" s="0"/>
      <c r="DD25" s="0"/>
      <c r="DE25" s="0"/>
      <c r="DF25" s="0"/>
      <c r="DG25" s="0"/>
    </row>
    <row s="308" customFormat="1" customHeight="1" ht="16.5" hidden="1">
      <c r="A26" s="371"/>
      <c r="B26" s="176"/>
      <c r="C26" s="176"/>
      <c r="D26" s="176"/>
      <c r="E26" s="966">
        <v>0</v>
      </c>
      <c r="F26" s="176"/>
      <c r="T26" s="176"/>
      <c r="U26" s="176"/>
      <c r="V26" s="176"/>
      <c r="W26" s="176"/>
      <c r="X26" s="176"/>
      <c r="Y26" s="176"/>
      <c r="Z26" s="176"/>
      <c r="AA26" s="681"/>
      <c r="AB26" s="296"/>
      <c r="AC26" s="296"/>
      <c r="AD26" s="296"/>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680"/>
      <c r="BY26" s="680"/>
      <c r="BZ26" s="680"/>
      <c r="CA26" s="680"/>
      <c r="CB26" s="680"/>
      <c r="CC26" s="680"/>
      <c r="CD26" s="680"/>
      <c r="CE26" s="680"/>
      <c r="CF26" s="680"/>
      <c r="CG26" s="680"/>
      <c r="CH26" s="680"/>
      <c r="CI26" s="680"/>
      <c r="CJ26" s="680"/>
      <c r="CK26" s="680"/>
      <c r="CL26" s="680"/>
      <c r="CM26" s="680"/>
      <c r="CN26" s="680"/>
      <c r="CO26" s="680"/>
      <c r="CP26" s="680"/>
      <c r="CQ26" s="680"/>
      <c r="CR26" s="680"/>
      <c r="CS26" s="680"/>
      <c r="CT26" s="680"/>
      <c r="CU26" s="680"/>
      <c r="CW26" s="309"/>
      <c r="CZ26" s="0"/>
      <c r="DA26" s="0"/>
      <c r="DB26" s="0"/>
      <c r="DC26" s="0"/>
      <c r="DD26" s="0"/>
      <c r="DE26" s="0"/>
      <c r="DF26" s="0"/>
      <c r="DG26" s="0"/>
    </row>
    <row s="969" customFormat="1" customHeight="1" ht="16.575" hidden="1">
      <c r="E27" s="180">
        <v>17</v>
      </c>
      <c r="F27" s="175" cm="1" t="str">
        <f t="array" ref="F27:F27">X27</f>
        <v>0</v>
      </c>
      <c r="G27" s="193" cm="1" t="str">
        <f t="array" ref="G27:G27">INDEX('Общие сведения'!$AK$169:$AK$202,MATCH($F27,'Общие сведения'!$Y$169:$Y$202,0))</f>
        <v>0</v>
      </c>
      <c r="I27" s="193" cm="1" t="str">
        <f t="array" ref="I27:I27">INDEX('Общие сведения'!$AE$169:$AE$202,MATCH($F27,'Общие сведения'!$Y$169:$Y$202,0))</f>
        <v>Теплоснабжение</v>
      </c>
      <c r="T27" s="753">
        <f>X27&gt;0</f>
        <v>0</v>
      </c>
      <c r="V27" s="175" t="s">
        <v>266</v>
      </c>
      <c r="X27" s="175">
        <v>0</v>
      </c>
      <c r="AB27" s="688" cm="1" t="str">
        <f t="array" ref="AB27:AB27">INDEX('Общие сведения'!$AG$169:$AG$202,MATCH($F27,'Общие сведения'!$Y$169:$Y$202,0))</f>
        <v>Тариф 0 (Теплоснабжение) - </v>
      </c>
      <c r="AC27" s="334"/>
      <c r="AD27" s="334"/>
      <c r="AE27" s="334"/>
      <c r="AF27" s="334"/>
      <c r="AG27" s="334"/>
      <c r="AH27" s="334"/>
      <c r="AI27" s="334"/>
      <c r="AJ27" s="334"/>
      <c r="AK27" s="334"/>
      <c r="AL27" s="334"/>
      <c r="AM27" s="334"/>
      <c r="AN27" s="334"/>
      <c r="AO27" s="334"/>
      <c r="AP27" s="334"/>
      <c r="AQ27" s="334"/>
      <c r="AR27" s="334"/>
      <c r="AS27" s="334"/>
      <c r="AT27" s="334"/>
      <c r="AU27" s="334"/>
      <c r="AV27" s="334"/>
      <c r="AW27" s="334"/>
      <c r="AX27" s="334"/>
      <c r="AY27" s="334"/>
      <c r="AZ27" s="334"/>
      <c r="BA27" s="334"/>
      <c r="BB27" s="334"/>
      <c r="BC27" s="334"/>
      <c r="BD27" s="334"/>
      <c r="BE27" s="334"/>
      <c r="BF27" s="334"/>
      <c r="BG27" s="334"/>
      <c r="BH27" s="334"/>
      <c r="BI27" s="334"/>
      <c r="BJ27" s="334"/>
      <c r="BK27" s="334"/>
      <c r="BL27" s="334"/>
      <c r="BM27" s="334"/>
      <c r="BN27" s="334"/>
      <c r="BO27" s="334"/>
      <c r="BP27" s="334"/>
      <c r="BQ27" s="334"/>
      <c r="BR27" s="334"/>
      <c r="BS27" s="334"/>
      <c r="BT27" s="334"/>
      <c r="BU27" s="334"/>
      <c r="BV27" s="334"/>
      <c r="BW27" s="334"/>
      <c r="BX27" s="334"/>
      <c r="BY27" s="334"/>
      <c r="BZ27" s="334"/>
      <c r="CA27" s="334"/>
      <c r="CB27" s="334"/>
      <c r="CC27" s="334"/>
      <c r="CD27" s="334"/>
      <c r="CE27" s="334"/>
      <c r="CF27" s="334"/>
      <c r="CG27" s="334"/>
      <c r="CH27" s="334"/>
      <c r="CI27" s="334"/>
      <c r="CJ27" s="334"/>
      <c r="CK27" s="334"/>
      <c r="CL27" s="334"/>
      <c r="CM27" s="334"/>
      <c r="CN27" s="334"/>
      <c r="CO27" s="334"/>
      <c r="CP27" s="334"/>
      <c r="CQ27" s="334"/>
      <c r="CR27" s="334"/>
      <c r="CS27" s="334"/>
      <c r="CT27" s="334"/>
      <c r="CW27" s="975"/>
    </row>
    <row customHeight="1" ht="16.575" hidden="1">
      <c r="E28" s="180">
        <v>17</v>
      </c>
      <c r="F28" s="175" cm="1" t="str">
        <f t="array" ref="F28:F28">OFFSET(G28,-1,-1)</f>
        <v>0</v>
      </c>
      <c r="G28" s="193" t="s">
        <v>511</v>
      </c>
      <c r="T28" s="753" cm="1" t="str">
        <f t="array" ref="T28:T28">T27</f>
        <v>false</v>
      </c>
      <c r="AB28" s="491">
        <v>1</v>
      </c>
      <c r="AC28" s="713" t="s">
        <v>1603</v>
      </c>
      <c r="AD28" s="491" t="s">
        <v>495</v>
      </c>
      <c r="AE28" s="714"/>
      <c r="AF28" s="715"/>
      <c r="AG28" s="715"/>
      <c r="AH28" s="715"/>
      <c r="AI28" s="125"/>
      <c r="AJ28" s="717">
        <f>_xlfn.SUMIFS(Сценарии!AE$27:AE$86,Сценарии!$F$27:$F$86,$F28,Сценарии!$G$27:$G$86,$G28)</f>
        <v>0</v>
      </c>
      <c r="AK28" s="717">
        <f>_xlfn.SUMIFS(Сценарии!AF$27:AF$86,Сценарии!$F$27:$F$86,$F28,Сценарии!$G$27:$G$86,$G28)</f>
        <v>0</v>
      </c>
      <c r="AL28" s="717">
        <f>_xlfn.SUMIFS(Сценарии!AG$27:AG$86,Сценарии!$F$27:$F$86,$F28,Сценарии!$G$27:$G$86,$G28)</f>
        <v>0</v>
      </c>
      <c r="AM28" s="717">
        <f>_xlfn.SUMIFS(Сценарии!AH$27:AH$86,Сценарии!$F$27:$F$86,$F28,Сценарии!$G$27:$G$86,$G28)</f>
        <v>0</v>
      </c>
      <c r="AN28" s="717">
        <f>_xlfn.SUMIFS(Сценарии!AI$27:AI$86,Сценарии!$F$27:$F$86,$F28,Сценарии!$G$27:$G$86,$G28)</f>
        <v>0</v>
      </c>
      <c r="AO28" s="717">
        <f>_xlfn.SUMIFS(Сценарии!AJ$27:AJ$86,Сценарии!$F$27:$F$86,$F28,Сценарии!$G$27:$G$86,$G28)</f>
        <v>0</v>
      </c>
      <c r="AP28" s="717">
        <f>_xlfn.SUMIFS(Сценарии!AK$27:AK$86,Сценарии!$F$27:$F$86,$F28,Сценарии!$G$27:$G$86,$G28)</f>
        <v>0</v>
      </c>
      <c r="AQ28" s="717">
        <f>_xlfn.SUMIFS(Сценарии!AL$27:AL$86,Сценарии!$F$27:$F$86,$F28,Сценарии!$G$27:$G$86,$G28)</f>
        <v>0</v>
      </c>
      <c r="AR28" s="717">
        <f>_xlfn.SUMIFS(Сценарии!AM$27:AM$86,Сценарии!$F$27:$F$86,$F28,Сценарии!$G$27:$G$86,$G28)</f>
        <v>0</v>
      </c>
      <c r="AS28" s="717">
        <f>_xlfn.SUMIFS(Сценарии!AN$27:AN$86,Сценарии!$F$27:$F$86,$F28,Сценарии!$G$27:$G$86,$G28)</f>
        <v>0</v>
      </c>
      <c r="AT28" s="717">
        <f>_xlfn.SUMIFS(Сценарии!AO$27:AO$86,Сценарии!$F$27:$F$86,$F28,Сценарии!$G$27:$G$86,$G28)</f>
        <v>0</v>
      </c>
      <c r="AU28" s="717">
        <f>_xlfn.SUMIFS(Сценарии!AP$27:AP$86,Сценарии!$F$27:$F$86,$F28,Сценарии!$G$27:$G$86,$G28)</f>
        <v>0</v>
      </c>
      <c r="AV28" s="717">
        <f>_xlfn.SUMIFS(Сценарии!AQ$27:AQ$86,Сценарии!$F$27:$F$86,$F28,Сценарии!$G$27:$G$86,$G28)</f>
        <v>0</v>
      </c>
      <c r="AW28" s="717">
        <f>_xlfn.SUMIFS(Сценарии!AR$27:AR$86,Сценарии!$F$27:$F$86,$F28,Сценарии!$G$27:$G$86,$G28)</f>
        <v>0</v>
      </c>
      <c r="AX28" s="717">
        <f>_xlfn.SUMIFS(Сценарии!AS$27:AS$86,Сценарии!$F$27:$F$86,$F28,Сценарии!$G$27:$G$86,$G28)</f>
        <v>0</v>
      </c>
      <c r="AY28" s="717">
        <f>_xlfn.SUMIFS(Сценарии!AT$27:AT$86,Сценарии!$F$27:$F$86,$F28,Сценарии!$G$27:$G$86,$G28)</f>
        <v>0</v>
      </c>
      <c r="AZ28" s="717">
        <f>_xlfn.SUMIFS(Сценарии!AU$27:AU$86,Сценарии!$F$27:$F$86,$F28,Сценарии!$G$27:$G$86,$G28)</f>
        <v>0</v>
      </c>
      <c r="BA28" s="717">
        <f>_xlfn.SUMIFS(Сценарии!AV$27:AV$86,Сценарии!$F$27:$F$86,$F28,Сценарии!$G$27:$G$86,$G28)</f>
        <v>0</v>
      </c>
      <c r="BB28" s="717">
        <f>_xlfn.SUMIFS(Сценарии!AW$27:AW$86,Сценарии!$F$27:$F$86,$F28,Сценарии!$G$27:$G$86,$G28)</f>
        <v>0</v>
      </c>
      <c r="BC28" s="717">
        <f>_xlfn.SUMIFS(Сценарии!AX$27:AX$86,Сценарии!$F$27:$F$86,$F28,Сценарии!$G$27:$G$86,$G28)</f>
        <v>0</v>
      </c>
      <c r="BD28" s="717">
        <f>_xlfn.SUMIFS(Сценарии!AY$27:AY$86,Сценарии!$F$27:$F$86,$F28,Сценарии!$G$27:$G$86,$G28)</f>
        <v>0</v>
      </c>
      <c r="BE28" s="717">
        <f>_xlfn.SUMIFS(Сценарии!AZ$27:AZ$86,Сценарии!$F$27:$F$86,$F28,Сценарии!$G$27:$G$86,$G28)</f>
        <v>0</v>
      </c>
      <c r="BF28" s="717">
        <f>_xlfn.SUMIFS(Сценарии!BA$27:BA$86,Сценарии!$F$27:$F$86,$F28,Сценарии!$G$27:$G$86,$G28)</f>
        <v>0</v>
      </c>
      <c r="BG28" s="717">
        <f>_xlfn.SUMIFS(Сценарии!BB$27:BB$86,Сценарии!$F$27:$F$86,$F28,Сценарии!$G$27:$G$86,$G28)</f>
        <v>0</v>
      </c>
      <c r="BH28" s="717">
        <f>_xlfn.SUMIFS(Сценарии!BC$27:BC$86,Сценарии!$F$27:$F$86,$F28,Сценарии!$G$27:$G$86,$G28)</f>
        <v>0</v>
      </c>
      <c r="BI28" s="717">
        <f>_xlfn.SUMIFS(Сценарии!BD$27:BD$86,Сценарии!$F$27:$F$86,$F28,Сценарии!$G$27:$G$86,$G28)</f>
        <v>0</v>
      </c>
      <c r="BJ28" s="717">
        <f>_xlfn.SUMIFS(Сценарии!BE$27:BE$86,Сценарии!$F$27:$F$86,$F28,Сценарии!$G$27:$G$86,$G28)</f>
        <v>0</v>
      </c>
      <c r="BK28" s="717">
        <f>_xlfn.SUMIFS(Сценарии!BF$27:BF$86,Сценарии!$F$27:$F$86,$F28,Сценарии!$G$27:$G$86,$G28)</f>
        <v>0</v>
      </c>
      <c r="BL28" s="717">
        <f>_xlfn.SUMIFS(Сценарии!BG$27:BG$86,Сценарии!$F$27:$F$86,$F28,Сценарии!$G$27:$G$86,$G28)</f>
        <v>0</v>
      </c>
      <c r="BM28" s="717">
        <f>_xlfn.SUMIFS(Сценарии!BH$27:BH$86,Сценарии!$F$27:$F$86,$F28,Сценарии!$G$27:$G$86,$G28)</f>
        <v>0</v>
      </c>
      <c r="BN28" s="717">
        <f>_xlfn.SUMIFS(Сценарии!BI$27:BI$86,Сценарии!$F$27:$F$86,$F28,Сценарии!$G$27:$G$86,$G28)</f>
        <v>0</v>
      </c>
      <c r="BO28" s="717">
        <f>_xlfn.SUMIFS(Сценарии!BJ$27:BJ$86,Сценарии!$F$27:$F$86,$F28,Сценарии!$G$27:$G$86,$G28)</f>
        <v>0</v>
      </c>
      <c r="BP28" s="717">
        <f>_xlfn.SUMIFS(Сценарии!BK$27:BK$86,Сценарии!$F$27:$F$86,$F28,Сценарии!$G$27:$G$86,$G28)</f>
        <v>0</v>
      </c>
      <c r="BQ28" s="717">
        <f>_xlfn.SUMIFS(Сценарии!BL$27:BL$86,Сценарии!$F$27:$F$86,$F28,Сценарии!$G$27:$G$86,$G28)</f>
        <v>0</v>
      </c>
      <c r="BR28" s="717">
        <f>_xlfn.SUMIFS(Сценарии!BM$27:BM$86,Сценарии!$F$27:$F$86,$F28,Сценарии!$G$27:$G$86,$G28)</f>
        <v>0</v>
      </c>
      <c r="BS28" s="717">
        <f>_xlfn.SUMIFS(Сценарии!BN$27:BN$86,Сценарии!$F$27:$F$86,$F28,Сценарии!$G$27:$G$86,$G28)</f>
        <v>0</v>
      </c>
      <c r="BT28" s="717">
        <f>_xlfn.SUMIFS(Сценарии!BO$27:BO$86,Сценарии!$F$27:$F$86,$F28,Сценарии!$G$27:$G$86,$G28)</f>
        <v>0</v>
      </c>
      <c r="BU28" s="717">
        <f>_xlfn.SUMIFS(Сценарии!BP$27:BP$86,Сценарии!$F$27:$F$86,$F28,Сценарии!$G$27:$G$86,$G28)</f>
        <v>0</v>
      </c>
      <c r="BV28" s="717">
        <f>_xlfn.SUMIFS(Сценарии!BQ$27:BQ$86,Сценарии!$F$27:$F$86,$F28,Сценарии!$G$27:$G$86,$G28)</f>
        <v>0</v>
      </c>
      <c r="BW28" s="717">
        <f>_xlfn.SUMIFS(Сценарии!BR$27:BR$86,Сценарии!$F$27:$F$86,$F28,Сценарии!$G$27:$G$86,$G28)</f>
        <v>0</v>
      </c>
      <c r="BX28" s="718"/>
      <c r="BY28" s="718"/>
      <c r="BZ28" s="718"/>
      <c r="CA28" s="718"/>
      <c r="CB28" s="718"/>
      <c r="CC28" s="718"/>
      <c r="CD28" s="718"/>
      <c r="CE28" s="718"/>
      <c r="CF28" s="718"/>
      <c r="CG28" s="718"/>
      <c r="CH28" s="718"/>
      <c r="CI28" s="718"/>
      <c r="CJ28" s="718"/>
      <c r="CK28" s="718"/>
      <c r="CL28" s="718"/>
      <c r="CM28" s="718"/>
      <c r="CN28" s="718"/>
      <c r="CO28" s="718"/>
      <c r="CP28" s="718"/>
      <c r="CQ28" s="718"/>
      <c r="CR28" s="83"/>
      <c r="CS28" s="83"/>
      <c r="CT28" s="83"/>
      <c r="CW28" s="309" t="s">
        <v>1604</v>
      </c>
      <c r="CZ28" s="0" cm="1" t="str">
        <f t="array" ref="CZ28:CZ28">INDEX('Общие сведения'!$N$170:$N$202,MATCH($F28,'Общие сведения'!$Y$170:$Y$202,0)+1)</f>
        <v>0</v>
      </c>
      <c r="DA28" s="0" t="s">
        <v>1605</v>
      </c>
      <c r="DE28" s="0" t="s">
        <v>303</v>
      </c>
      <c r="DF28" s="0" t="s">
        <v>514</v>
      </c>
      <c r="DG28" s="0" t="s">
        <v>515</v>
      </c>
    </row>
    <row s="1046" customFormat="1" customHeight="1" ht="16.575" hidden="1">
      <c r="E29" s="180">
        <v>17</v>
      </c>
      <c r="F29" s="175" cm="1" t="str">
        <f t="array" ref="F29:F29">OFFSET(G29,-1,-1)</f>
        <v>0</v>
      </c>
      <c r="G29" s="308" t="s">
        <v>500</v>
      </c>
      <c r="T29" s="753" cm="1" t="str">
        <f t="array" ref="T29:T29">T28</f>
        <v>false</v>
      </c>
      <c r="AB29" s="491">
        <v>2</v>
      </c>
      <c r="AC29" s="496" t="s">
        <v>1606</v>
      </c>
      <c r="AD29" s="491" t="s">
        <v>495</v>
      </c>
      <c r="AE29" s="714"/>
      <c r="AF29" s="715"/>
      <c r="AG29" s="715"/>
      <c r="AH29" s="715"/>
      <c r="AI29" s="125"/>
      <c r="AJ29" s="717">
        <f>_xlfn.SUMIFS(Сценарии!AE$27:AE$86,Сценарии!$F$27:$F$86,$F29,Сценарии!$G$27:$G$86,$G29)</f>
        <v>1</v>
      </c>
      <c r="AK29" s="717">
        <f>_xlfn.SUMIFS(Сценарии!AF$27:AF$86,Сценарии!$F$27:$F$86,$F29,Сценарии!$G$27:$G$86,$G29)</f>
        <v>1</v>
      </c>
      <c r="AL29" s="717">
        <f>_xlfn.SUMIFS(Сценарии!AG$27:AG$86,Сценарии!$F$27:$F$86,$F29,Сценарии!$G$27:$G$86,$G29)</f>
        <v>1</v>
      </c>
      <c r="AM29" s="717">
        <f>_xlfn.SUMIFS(Сценарии!AH$27:AH$86,Сценарии!$F$27:$F$86,$F29,Сценарии!$G$27:$G$86,$G29)</f>
        <v>1</v>
      </c>
      <c r="AN29" s="717">
        <f>_xlfn.SUMIFS(Сценарии!AI$27:AI$86,Сценарии!$F$27:$F$86,$F29,Сценарии!$G$27:$G$86,$G29)</f>
        <v>1</v>
      </c>
      <c r="AO29" s="717">
        <f>_xlfn.SUMIFS(Сценарии!AJ$27:AJ$86,Сценарии!$F$27:$F$86,$F29,Сценарии!$G$27:$G$86,$G29)</f>
        <v>1</v>
      </c>
      <c r="AP29" s="717">
        <f>_xlfn.SUMIFS(Сценарии!AK$27:AK$86,Сценарии!$F$27:$F$86,$F29,Сценарии!$G$27:$G$86,$G29)</f>
        <v>1</v>
      </c>
      <c r="AQ29" s="717">
        <f>_xlfn.SUMIFS(Сценарии!AL$27:AL$86,Сценарии!$F$27:$F$86,$F29,Сценарии!$G$27:$G$86,$G29)</f>
        <v>1</v>
      </c>
      <c r="AR29" s="717">
        <f>_xlfn.SUMIFS(Сценарии!AM$27:AM$86,Сценарии!$F$27:$F$86,$F29,Сценарии!$G$27:$G$86,$G29)</f>
        <v>1</v>
      </c>
      <c r="AS29" s="717">
        <f>_xlfn.SUMIFS(Сценарии!AN$27:AN$86,Сценарии!$F$27:$F$86,$F29,Сценарии!$G$27:$G$86,$G29)</f>
        <v>1</v>
      </c>
      <c r="AT29" s="717">
        <f>_xlfn.SUMIFS(Сценарии!AO$27:AO$86,Сценарии!$F$27:$F$86,$F29,Сценарии!$G$27:$G$86,$G29)</f>
        <v>1</v>
      </c>
      <c r="AU29" s="717">
        <f>_xlfn.SUMIFS(Сценарии!AP$27:AP$86,Сценарии!$F$27:$F$86,$F29,Сценарии!$G$27:$G$86,$G29)</f>
        <v>1</v>
      </c>
      <c r="AV29" s="717">
        <f>_xlfn.SUMIFS(Сценарии!AQ$27:AQ$86,Сценарии!$F$27:$F$86,$F29,Сценарии!$G$27:$G$86,$G29)</f>
        <v>1</v>
      </c>
      <c r="AW29" s="717">
        <f>_xlfn.SUMIFS(Сценарии!AR$27:AR$86,Сценарии!$F$27:$F$86,$F29,Сценарии!$G$27:$G$86,$G29)</f>
        <v>1</v>
      </c>
      <c r="AX29" s="717">
        <f>_xlfn.SUMIFS(Сценарии!AS$27:AS$86,Сценарии!$F$27:$F$86,$F29,Сценарии!$G$27:$G$86,$G29)</f>
        <v>1</v>
      </c>
      <c r="AY29" s="717">
        <f>_xlfn.SUMIFS(Сценарии!AT$27:AT$86,Сценарии!$F$27:$F$86,$F29,Сценарии!$G$27:$G$86,$G29)</f>
        <v>1</v>
      </c>
      <c r="AZ29" s="717">
        <f>_xlfn.SUMIFS(Сценарии!AU$27:AU$86,Сценарии!$F$27:$F$86,$F29,Сценарии!$G$27:$G$86,$G29)</f>
        <v>1</v>
      </c>
      <c r="BA29" s="717">
        <f>_xlfn.SUMIFS(Сценарии!AV$27:AV$86,Сценарии!$F$27:$F$86,$F29,Сценарии!$G$27:$G$86,$G29)</f>
        <v>1</v>
      </c>
      <c r="BB29" s="717">
        <f>_xlfn.SUMIFS(Сценарии!AW$27:AW$86,Сценарии!$F$27:$F$86,$F29,Сценарии!$G$27:$G$86,$G29)</f>
        <v>1</v>
      </c>
      <c r="BC29" s="717">
        <f>_xlfn.SUMIFS(Сценарии!AX$27:AX$86,Сценарии!$F$27:$F$86,$F29,Сценарии!$G$27:$G$86,$G29)</f>
        <v>1</v>
      </c>
      <c r="BD29" s="716">
        <v>1</v>
      </c>
      <c r="BE29" s="125">
        <v>1</v>
      </c>
      <c r="BF29" s="125">
        <v>1</v>
      </c>
      <c r="BG29" s="125">
        <v>1</v>
      </c>
      <c r="BH29" s="125">
        <v>1</v>
      </c>
      <c r="BI29" s="125">
        <v>1</v>
      </c>
      <c r="BJ29" s="125">
        <v>1</v>
      </c>
      <c r="BK29" s="125">
        <v>1</v>
      </c>
      <c r="BL29" s="125">
        <v>1</v>
      </c>
      <c r="BM29" s="125">
        <v>1</v>
      </c>
      <c r="BN29" s="125">
        <v>1</v>
      </c>
      <c r="BO29" s="125">
        <v>1</v>
      </c>
      <c r="BP29" s="125">
        <v>1</v>
      </c>
      <c r="BQ29" s="125">
        <v>1</v>
      </c>
      <c r="BR29" s="125">
        <v>1</v>
      </c>
      <c r="BS29" s="125">
        <v>1</v>
      </c>
      <c r="BT29" s="125">
        <v>1</v>
      </c>
      <c r="BU29" s="125">
        <v>1</v>
      </c>
      <c r="BV29" s="125">
        <v>1</v>
      </c>
      <c r="BW29" s="125">
        <v>1</v>
      </c>
      <c r="BX29" s="718"/>
      <c r="BY29" s="718"/>
      <c r="BZ29" s="718"/>
      <c r="CA29" s="718"/>
      <c r="CB29" s="718"/>
      <c r="CC29" s="718"/>
      <c r="CD29" s="718"/>
      <c r="CE29" s="718"/>
      <c r="CF29" s="718"/>
      <c r="CG29" s="718"/>
      <c r="CH29" s="718"/>
      <c r="CI29" s="718"/>
      <c r="CJ29" s="718"/>
      <c r="CK29" s="718"/>
      <c r="CL29" s="718"/>
      <c r="CM29" s="718"/>
      <c r="CN29" s="718"/>
      <c r="CO29" s="718"/>
      <c r="CP29" s="718"/>
      <c r="CQ29" s="718"/>
      <c r="CR29" s="83"/>
      <c r="CS29" s="83"/>
      <c r="CT29" s="83"/>
      <c r="CW29" s="309" t="s">
        <v>1607</v>
      </c>
      <c r="CZ29" s="0" cm="1" t="str">
        <f t="array" ref="CZ29:CZ29">CZ28</f>
        <v>0</v>
      </c>
      <c r="DB29" s="0" t="s">
        <v>503</v>
      </c>
      <c r="DE29" s="0" t="s">
        <v>303</v>
      </c>
      <c r="DF29" s="0" t="s">
        <v>611</v>
      </c>
      <c r="DG29" s="0" t="s">
        <v>612</v>
      </c>
    </row>
    <row customHeight="1" ht="16.575" hidden="1">
      <c r="E30" s="180">
        <v>17</v>
      </c>
      <c r="F30" s="175" cm="1" t="str">
        <f t="array" ref="F30:F30">OFFSET(G30,-1,-1)</f>
        <v>0</v>
      </c>
      <c r="G30" s="193" t="s">
        <v>562</v>
      </c>
      <c r="T30" s="753" cm="1" t="str">
        <f t="array" ref="T30:T30">T29</f>
        <v>false</v>
      </c>
      <c r="AB30" s="491">
        <v>3</v>
      </c>
      <c r="AC30" s="496" t="s">
        <v>1608</v>
      </c>
      <c r="AD30" s="491"/>
      <c r="AE30" s="714"/>
      <c r="AF30" s="715"/>
      <c r="AG30" s="715"/>
      <c r="AH30" s="715"/>
      <c r="AI30" s="125"/>
      <c r="AJ30" s="717">
        <f>_xlfn.SUMIFS(Сценарии!AE$27:AE$86,Сценарии!$F$27:$F$86,$F30,Сценарии!$G$27:$G$86,$G30)</f>
        <v>0</v>
      </c>
      <c r="AK30" s="717">
        <f>_xlfn.SUMIFS(Сценарии!AF$27:AF$86,Сценарии!$F$27:$F$86,$F30,Сценарии!$G$27:$G$86,$G30)</f>
        <v>0</v>
      </c>
      <c r="AL30" s="717">
        <f>_xlfn.SUMIFS(Сценарии!AG$27:AG$86,Сценарии!$F$27:$F$86,$F30,Сценарии!$G$27:$G$86,$G30)</f>
        <v>0</v>
      </c>
      <c r="AM30" s="717">
        <f>_xlfn.SUMIFS(Сценарии!AH$27:AH$86,Сценарии!$F$27:$F$86,$F30,Сценарии!$G$27:$G$86,$G30)</f>
        <v>0</v>
      </c>
      <c r="AN30" s="717">
        <f>_xlfn.SUMIFS(Сценарии!AI$27:AI$86,Сценарии!$F$27:$F$86,$F30,Сценарии!$G$27:$G$86,$G30)</f>
        <v>0</v>
      </c>
      <c r="AO30" s="717">
        <f>_xlfn.SUMIFS(Сценарии!AJ$27:AJ$86,Сценарии!$F$27:$F$86,$F30,Сценарии!$G$27:$G$86,$G30)</f>
        <v>0</v>
      </c>
      <c r="AP30" s="717">
        <f>_xlfn.SUMIFS(Сценарии!AK$27:AK$86,Сценарии!$F$27:$F$86,$F30,Сценарии!$G$27:$G$86,$G30)</f>
        <v>0</v>
      </c>
      <c r="AQ30" s="717">
        <f>_xlfn.SUMIFS(Сценарии!AL$27:AL$86,Сценарии!$F$27:$F$86,$F30,Сценарии!$G$27:$G$86,$G30)</f>
        <v>0</v>
      </c>
      <c r="AR30" s="717">
        <f>_xlfn.SUMIFS(Сценарии!AM$27:AM$86,Сценарии!$F$27:$F$86,$F30,Сценарии!$G$27:$G$86,$G30)</f>
        <v>0</v>
      </c>
      <c r="AS30" s="717">
        <f>_xlfn.SUMIFS(Сценарии!AN$27:AN$86,Сценарии!$F$27:$F$86,$F30,Сценарии!$G$27:$G$86,$G30)</f>
        <v>0</v>
      </c>
      <c r="AT30" s="717">
        <f>_xlfn.SUMIFS(Сценарии!AO$27:AO$86,Сценарии!$F$27:$F$86,$F30,Сценарии!$G$27:$G$86,$G30)</f>
        <v>0</v>
      </c>
      <c r="AU30" s="717">
        <f>_xlfn.SUMIFS(Сценарии!AP$27:AP$86,Сценарии!$F$27:$F$86,$F30,Сценарии!$G$27:$G$86,$G30)</f>
        <v>0</v>
      </c>
      <c r="AV30" s="717">
        <f>_xlfn.SUMIFS(Сценарии!AQ$27:AQ$86,Сценарии!$F$27:$F$86,$F30,Сценарии!$G$27:$G$86,$G30)</f>
        <v>0</v>
      </c>
      <c r="AW30" s="717">
        <f>_xlfn.SUMIFS(Сценарии!AR$27:AR$86,Сценарии!$F$27:$F$86,$F30,Сценарии!$G$27:$G$86,$G30)</f>
        <v>0</v>
      </c>
      <c r="AX30" s="717">
        <f>_xlfn.SUMIFS(Сценарии!AS$27:AS$86,Сценарии!$F$27:$F$86,$F30,Сценарии!$G$27:$G$86,$G30)</f>
        <v>0</v>
      </c>
      <c r="AY30" s="717">
        <f>_xlfn.SUMIFS(Сценарии!AT$27:AT$86,Сценарии!$F$27:$F$86,$F30,Сценарии!$G$27:$G$86,$G30)</f>
        <v>0</v>
      </c>
      <c r="AZ30" s="717">
        <f>_xlfn.SUMIFS(Сценарии!AU$27:AU$86,Сценарии!$F$27:$F$86,$F30,Сценарии!$G$27:$G$86,$G30)</f>
        <v>0</v>
      </c>
      <c r="BA30" s="717">
        <f>_xlfn.SUMIFS(Сценарии!AV$27:AV$86,Сценарии!$F$27:$F$86,$F30,Сценарии!$G$27:$G$86,$G30)</f>
        <v>0</v>
      </c>
      <c r="BB30" s="717">
        <f>_xlfn.SUMIFS(Сценарии!AW$27:AW$86,Сценарии!$F$27:$F$86,$F30,Сценарии!$G$27:$G$86,$G30)</f>
        <v>0</v>
      </c>
      <c r="BC30" s="717">
        <f>_xlfn.SUMIFS(Сценарии!AX$27:AX$86,Сценарии!$F$27:$F$86,$F30,Сценарии!$G$27:$G$86,$G30)</f>
        <v>0</v>
      </c>
      <c r="BD30" s="717">
        <f>_xlfn.SUMIFS(Сценарии!AY$27:AY$86,Сценарии!$F$27:$F$86,$F30,Сценарии!$G$27:$G$86,$G30)</f>
        <v>0</v>
      </c>
      <c r="BE30" s="717">
        <f>_xlfn.SUMIFS(Сценарии!AZ$27:AZ$86,Сценарии!$F$27:$F$86,$F30,Сценарии!$G$27:$G$86,$G30)</f>
        <v>0</v>
      </c>
      <c r="BF30" s="717">
        <f>_xlfn.SUMIFS(Сценарии!BA$27:BA$86,Сценарии!$F$27:$F$86,$F30,Сценарии!$G$27:$G$86,$G30)</f>
        <v>0</v>
      </c>
      <c r="BG30" s="717">
        <f>_xlfn.SUMIFS(Сценарии!BB$27:BB$86,Сценарии!$F$27:$F$86,$F30,Сценарии!$G$27:$G$86,$G30)</f>
        <v>0</v>
      </c>
      <c r="BH30" s="717">
        <f>_xlfn.SUMIFS(Сценарии!BC$27:BC$86,Сценарии!$F$27:$F$86,$F30,Сценарии!$G$27:$G$86,$G30)</f>
        <v>0</v>
      </c>
      <c r="BI30" s="717">
        <f>_xlfn.SUMIFS(Сценарии!BD$27:BD$86,Сценарии!$F$27:$F$86,$F30,Сценарии!$G$27:$G$86,$G30)</f>
        <v>0</v>
      </c>
      <c r="BJ30" s="717">
        <f>_xlfn.SUMIFS(Сценарии!BE$27:BE$86,Сценарии!$F$27:$F$86,$F30,Сценарии!$G$27:$G$86,$G30)</f>
        <v>0</v>
      </c>
      <c r="BK30" s="717">
        <f>_xlfn.SUMIFS(Сценарии!BF$27:BF$86,Сценарии!$F$27:$F$86,$F30,Сценарии!$G$27:$G$86,$G30)</f>
        <v>0</v>
      </c>
      <c r="BL30" s="717">
        <f>_xlfn.SUMIFS(Сценарии!BG$27:BG$86,Сценарии!$F$27:$F$86,$F30,Сценарии!$G$27:$G$86,$G30)</f>
        <v>0</v>
      </c>
      <c r="BM30" s="717">
        <f>_xlfn.SUMIFS(Сценарии!BH$27:BH$86,Сценарии!$F$27:$F$86,$F30,Сценарии!$G$27:$G$86,$G30)</f>
        <v>0</v>
      </c>
      <c r="BN30" s="717">
        <f>_xlfn.SUMIFS(Сценарии!BI$27:BI$86,Сценарии!$F$27:$F$86,$F30,Сценарии!$G$27:$G$86,$G30)</f>
        <v>0</v>
      </c>
      <c r="BO30" s="717">
        <f>_xlfn.SUMIFS(Сценарии!BJ$27:BJ$86,Сценарии!$F$27:$F$86,$F30,Сценарии!$G$27:$G$86,$G30)</f>
        <v>0</v>
      </c>
      <c r="BP30" s="717">
        <f>_xlfn.SUMIFS(Сценарии!BK$27:BK$86,Сценарии!$F$27:$F$86,$F30,Сценарии!$G$27:$G$86,$G30)</f>
        <v>0</v>
      </c>
      <c r="BQ30" s="717">
        <f>_xlfn.SUMIFS(Сценарии!BL$27:BL$86,Сценарии!$F$27:$F$86,$F30,Сценарии!$G$27:$G$86,$G30)</f>
        <v>0</v>
      </c>
      <c r="BR30" s="717">
        <f>_xlfn.SUMIFS(Сценарии!BM$27:BM$86,Сценарии!$F$27:$F$86,$F30,Сценарии!$G$27:$G$86,$G30)</f>
        <v>0</v>
      </c>
      <c r="BS30" s="717">
        <f>_xlfn.SUMIFS(Сценарии!BN$27:BN$86,Сценарии!$F$27:$F$86,$F30,Сценарии!$G$27:$G$86,$G30)</f>
        <v>0</v>
      </c>
      <c r="BT30" s="717">
        <f>_xlfn.SUMIFS(Сценарии!BO$27:BO$86,Сценарии!$F$27:$F$86,$F30,Сценарии!$G$27:$G$86,$G30)</f>
        <v>0</v>
      </c>
      <c r="BU30" s="717">
        <f>_xlfn.SUMIFS(Сценарии!BP$27:BP$86,Сценарии!$F$27:$F$86,$F30,Сценарии!$G$27:$G$86,$G30)</f>
        <v>0</v>
      </c>
      <c r="BV30" s="717">
        <f>_xlfn.SUMIFS(Сценарии!BQ$27:BQ$86,Сценарии!$F$27:$F$86,$F30,Сценарии!$G$27:$G$86,$G30)</f>
        <v>0</v>
      </c>
      <c r="BW30" s="717">
        <f>_xlfn.SUMIFS(Сценарии!BR$27:BR$86,Сценарии!$F$27:$F$86,$F30,Сценарии!$G$27:$G$86,$G30)</f>
        <v>0</v>
      </c>
      <c r="BX30" s="718"/>
      <c r="BY30" s="718"/>
      <c r="BZ30" s="718"/>
      <c r="CA30" s="718"/>
      <c r="CB30" s="718"/>
      <c r="CC30" s="718"/>
      <c r="CD30" s="718"/>
      <c r="CE30" s="718"/>
      <c r="CF30" s="718"/>
      <c r="CG30" s="718"/>
      <c r="CH30" s="718"/>
      <c r="CI30" s="718"/>
      <c r="CJ30" s="718"/>
      <c r="CK30" s="718"/>
      <c r="CL30" s="718"/>
      <c r="CM30" s="718"/>
      <c r="CN30" s="718"/>
      <c r="CO30" s="718"/>
      <c r="CP30" s="718"/>
      <c r="CQ30" s="718"/>
      <c r="CR30" s="83"/>
      <c r="CS30" s="83"/>
      <c r="CT30" s="83"/>
      <c r="CW30" s="309" t="s">
        <v>1609</v>
      </c>
      <c r="CZ30" s="0" cm="1" t="str">
        <f t="array" ref="CZ30:CZ30">CZ29</f>
        <v>0</v>
      </c>
      <c r="DD30" s="0" t="s">
        <v>255</v>
      </c>
      <c r="DE30" s="0" t="s">
        <v>303</v>
      </c>
      <c r="DF30" s="0" t="s">
        <v>565</v>
      </c>
      <c r="DG30" s="0" t="s">
        <v>566</v>
      </c>
    </row>
    <row customHeight="1" ht="29.25" hidden="1">
      <c r="E31" s="180">
        <v>30</v>
      </c>
      <c r="F31" s="175" cm="1" t="str">
        <f t="array" ref="F31:F31">OFFSET(G31,-1,-1)</f>
        <v>0</v>
      </c>
      <c r="G31" s="193" t="s">
        <v>430</v>
      </c>
      <c r="T31" s="753" cm="1" t="str">
        <f t="array" ref="T31:T31">T30</f>
        <v>false</v>
      </c>
      <c r="AB31" s="491">
        <v>3.1</v>
      </c>
      <c r="AC31" s="501" t="s">
        <v>1610</v>
      </c>
      <c r="AD31" s="491" t="s">
        <v>1611</v>
      </c>
      <c r="AE31" s="714"/>
      <c r="AF31" s="715"/>
      <c r="AG31" s="715"/>
      <c r="AH31" s="715"/>
      <c r="AI31" s="126">
        <f>_xlfn.SUMIFS('Расчет УЕ'!AE$26:AE$68,'Расчет УЕ'!$F$26:$F$68,$F31,'Расчет УЕ'!$G$26:$G$68,$G31)</f>
        <v>0</v>
      </c>
      <c r="AJ31" s="719">
        <f>_xlfn.SUMIFS('Расчет УЕ'!AF$26:AF$68,'Расчет УЕ'!$F$26:$F$68,$F31,'Расчет УЕ'!$G$26:$G$68,$G31)</f>
        <v>0</v>
      </c>
      <c r="AK31" s="126">
        <f>_xlfn.SUMIFS('Расчет УЕ'!AG$26:AG$68,'Расчет УЕ'!$F$26:$F$68,$F31,'Расчет УЕ'!$G$26:$G$68,$G31)</f>
        <v>0</v>
      </c>
      <c r="AL31" s="125">
        <f>_xlfn.SUMIFS('Расчет УЕ'!AH$26:AH$68,'Расчет УЕ'!$F$26:$F$68,$F31,'Расчет УЕ'!$G$26:$G$68,$G31)</f>
        <v>0</v>
      </c>
      <c r="AM31" s="125">
        <f>_xlfn.SUMIFS('Расчет УЕ'!AI$26:AI$68,'Расчет УЕ'!$F$26:$F$68,$F31,'Расчет УЕ'!$G$26:$G$68,$G31)</f>
        <v>0</v>
      </c>
      <c r="AN31" s="125">
        <f>_xlfn.SUMIFS('Расчет УЕ'!AJ$26:AJ$68,'Расчет УЕ'!$F$26:$F$68,$F31,'Расчет УЕ'!$G$26:$G$68,$G31)</f>
        <v>0</v>
      </c>
      <c r="AO31" s="125">
        <f>_xlfn.SUMIFS('Расчет УЕ'!AK$26:AK$68,'Расчет УЕ'!$F$26:$F$68,$F31,'Расчет УЕ'!$G$26:$G$68,$G31)</f>
        <v>0</v>
      </c>
      <c r="AP31" s="125">
        <f>_xlfn.SUMIFS('Расчет УЕ'!AL$26:AL$68,'Расчет УЕ'!$F$26:$F$68,$F31,'Расчет УЕ'!$G$26:$G$68,$G31)</f>
        <v>0</v>
      </c>
      <c r="AQ31" s="125">
        <f>_xlfn.SUMIFS('Расчет УЕ'!AM$26:AM$68,'Расчет УЕ'!$F$26:$F$68,$F31,'Расчет УЕ'!$G$26:$G$68,$G31)</f>
        <v>0</v>
      </c>
      <c r="AR31" s="125">
        <f>_xlfn.SUMIFS('Расчет УЕ'!AN$26:AN$68,'Расчет УЕ'!$F$26:$F$68,$F31,'Расчет УЕ'!$G$26:$G$68,$G31)</f>
        <v>0</v>
      </c>
      <c r="AS31" s="125">
        <f>_xlfn.SUMIFS('Расчет УЕ'!AO$26:AO$68,'Расчет УЕ'!$F$26:$F$68,$F31,'Расчет УЕ'!$G$26:$G$68,$G31)</f>
        <v>0</v>
      </c>
      <c r="AT31" s="125">
        <f>_xlfn.SUMIFS('Расчет УЕ'!AP$26:AP$68,'Расчет УЕ'!$F$26:$F$68,$F31,'Расчет УЕ'!$G$26:$G$68,$G31)</f>
        <v>0</v>
      </c>
      <c r="AU31" s="125">
        <f>_xlfn.SUMIFS('Расчет УЕ'!AQ$26:AQ$68,'Расчет УЕ'!$F$26:$F$68,$F31,'Расчет УЕ'!$G$26:$G$68,$G31)</f>
        <v>0</v>
      </c>
      <c r="AV31" s="125">
        <f>_xlfn.SUMIFS('Расчет УЕ'!AR$26:AR$68,'Расчет УЕ'!$F$26:$F$68,$F31,'Расчет УЕ'!$G$26:$G$68,$G31)</f>
        <v>0</v>
      </c>
      <c r="AW31" s="125">
        <f>_xlfn.SUMIFS('Расчет УЕ'!AS$26:AS$68,'Расчет УЕ'!$F$26:$F$68,$F31,'Расчет УЕ'!$G$26:$G$68,$G31)</f>
        <v>0</v>
      </c>
      <c r="AX31" s="125">
        <f>_xlfn.SUMIFS('Расчет УЕ'!AT$26:AT$68,'Расчет УЕ'!$F$26:$F$68,$F31,'Расчет УЕ'!$G$26:$G$68,$G31)</f>
        <v>0</v>
      </c>
      <c r="AY31" s="125">
        <f>_xlfn.SUMIFS('Расчет УЕ'!AU$26:AU$68,'Расчет УЕ'!$F$26:$F$68,$F31,'Расчет УЕ'!$G$26:$G$68,$G31)</f>
        <v>0</v>
      </c>
      <c r="AZ31" s="125">
        <f>_xlfn.SUMIFS('Расчет УЕ'!AV$26:AV$68,'Расчет УЕ'!$F$26:$F$68,$F31,'Расчет УЕ'!$G$26:$G$68,$G31)</f>
        <v>0</v>
      </c>
      <c r="BA31" s="125">
        <f>_xlfn.SUMIFS('Расчет УЕ'!AW$26:AW$68,'Расчет УЕ'!$F$26:$F$68,$F31,'Расчет УЕ'!$G$26:$G$68,$G31)</f>
        <v>0</v>
      </c>
      <c r="BB31" s="125">
        <f>_xlfn.SUMIFS('Расчет УЕ'!AX$26:AX$68,'Расчет УЕ'!$F$26:$F$68,$F31,'Расчет УЕ'!$G$26:$G$68,$G31)</f>
        <v>0</v>
      </c>
      <c r="BC31" s="125">
        <f>_xlfn.SUMIFS('Расчет УЕ'!AY$26:AY$68,'Расчет УЕ'!$F$26:$F$68,$F31,'Расчет УЕ'!$G$26:$G$68,$G31)</f>
        <v>0</v>
      </c>
      <c r="BD31" s="716">
        <f>_xlfn.SUMIFS('Расчет УЕ'!AZ$26:AZ$68,'Расчет УЕ'!$F$26:$F$68,$F31,'Расчет УЕ'!$G$26:$G$68,$G31)</f>
        <v>0</v>
      </c>
      <c r="BE31" s="125">
        <f>_xlfn.SUMIFS('Расчет УЕ'!BA$26:BA$68,'Расчет УЕ'!$F$26:$F$68,$F31,'Расчет УЕ'!$G$26:$G$68,$G31)</f>
        <v>0</v>
      </c>
      <c r="BF31" s="125">
        <f>_xlfn.SUMIFS('Расчет УЕ'!BB$26:BB$68,'Расчет УЕ'!$F$26:$F$68,$F31,'Расчет УЕ'!$G$26:$G$68,$G31)</f>
        <v>0</v>
      </c>
      <c r="BG31" s="125">
        <f>_xlfn.SUMIFS('Расчет УЕ'!BC$26:BC$68,'Расчет УЕ'!$F$26:$F$68,$F31,'Расчет УЕ'!$G$26:$G$68,$G31)</f>
        <v>0</v>
      </c>
      <c r="BH31" s="125">
        <f>_xlfn.SUMIFS('Расчет УЕ'!BD$26:BD$68,'Расчет УЕ'!$F$26:$F$68,$F31,'Расчет УЕ'!$G$26:$G$68,$G31)</f>
        <v>0</v>
      </c>
      <c r="BI31" s="125">
        <f>_xlfn.SUMIFS('Расчет УЕ'!BE$26:BE$68,'Расчет УЕ'!$F$26:$F$68,$F31,'Расчет УЕ'!$G$26:$G$68,$G31)</f>
        <v>0</v>
      </c>
      <c r="BJ31" s="125">
        <f>_xlfn.SUMIFS('Расчет УЕ'!BF$26:BF$68,'Расчет УЕ'!$F$26:$F$68,$F31,'Расчет УЕ'!$G$26:$G$68,$G31)</f>
        <v>0</v>
      </c>
      <c r="BK31" s="125">
        <f>_xlfn.SUMIFS('Расчет УЕ'!BG$26:BG$68,'Расчет УЕ'!$F$26:$F$68,$F31,'Расчет УЕ'!$G$26:$G$68,$G31)</f>
        <v>0</v>
      </c>
      <c r="BL31" s="125">
        <f>_xlfn.SUMIFS('Расчет УЕ'!BH$26:BH$68,'Расчет УЕ'!$F$26:$F$68,$F31,'Расчет УЕ'!$G$26:$G$68,$G31)</f>
        <v>0</v>
      </c>
      <c r="BM31" s="125">
        <f>_xlfn.SUMIFS('Расчет УЕ'!BI$26:BI$68,'Расчет УЕ'!$F$26:$F$68,$F31,'Расчет УЕ'!$G$26:$G$68,$G31)</f>
        <v>0</v>
      </c>
      <c r="BN31" s="125">
        <f>_xlfn.SUMIFS('Расчет УЕ'!BJ$26:BJ$68,'Расчет УЕ'!$F$26:$F$68,$F31,'Расчет УЕ'!$G$26:$G$68,$G31)</f>
        <v>0</v>
      </c>
      <c r="BO31" s="125">
        <f>_xlfn.SUMIFS('Расчет УЕ'!BK$26:BK$68,'Расчет УЕ'!$F$26:$F$68,$F31,'Расчет УЕ'!$G$26:$G$68,$G31)</f>
        <v>0</v>
      </c>
      <c r="BP31" s="125">
        <f>_xlfn.SUMIFS('Расчет УЕ'!BL$26:BL$68,'Расчет УЕ'!$F$26:$F$68,$F31,'Расчет УЕ'!$G$26:$G$68,$G31)</f>
        <v>0</v>
      </c>
      <c r="BQ31" s="125">
        <f>_xlfn.SUMIFS('Расчет УЕ'!BM$26:BM$68,'Расчет УЕ'!$F$26:$F$68,$F31,'Расчет УЕ'!$G$26:$G$68,$G31)</f>
        <v>0</v>
      </c>
      <c r="BR31" s="125">
        <f>_xlfn.SUMIFS('Расчет УЕ'!BN$26:BN$68,'Расчет УЕ'!$F$26:$F$68,$F31,'Расчет УЕ'!$G$26:$G$68,$G31)</f>
        <v>0</v>
      </c>
      <c r="BS31" s="125">
        <f>_xlfn.SUMIFS('Расчет УЕ'!BO$26:BO$68,'Расчет УЕ'!$F$26:$F$68,$F31,'Расчет УЕ'!$G$26:$G$68,$G31)</f>
        <v>0</v>
      </c>
      <c r="BT31" s="125">
        <f>_xlfn.SUMIFS('Расчет УЕ'!BP$26:BP$68,'Расчет УЕ'!$F$26:$F$68,$F31,'Расчет УЕ'!$G$26:$G$68,$G31)</f>
        <v>0</v>
      </c>
      <c r="BU31" s="125">
        <f>_xlfn.SUMIFS('Расчет УЕ'!BQ$26:BQ$68,'Расчет УЕ'!$F$26:$F$68,$F31,'Расчет УЕ'!$G$26:$G$68,$G31)</f>
        <v>0</v>
      </c>
      <c r="BV31" s="125">
        <f>_xlfn.SUMIFS('Расчет УЕ'!BR$26:BR$68,'Расчет УЕ'!$F$26:$F$68,$F31,'Расчет УЕ'!$G$26:$G$68,$G31)</f>
        <v>0</v>
      </c>
      <c r="BW31" s="125">
        <f>_xlfn.SUMIFS('Расчет УЕ'!BS$26:BS$68,'Расчет УЕ'!$F$26:$F$68,$F31,'Расчет УЕ'!$G$26:$G$68,$G31)</f>
        <v>0</v>
      </c>
      <c r="BX31" s="718"/>
      <c r="BY31" s="718"/>
      <c r="BZ31" s="718"/>
      <c r="CA31" s="718"/>
      <c r="CB31" s="718"/>
      <c r="CC31" s="718"/>
      <c r="CD31" s="718"/>
      <c r="CE31" s="718"/>
      <c r="CF31" s="718"/>
      <c r="CG31" s="718"/>
      <c r="CH31" s="718"/>
      <c r="CI31" s="718"/>
      <c r="CJ31" s="718"/>
      <c r="CK31" s="718"/>
      <c r="CL31" s="718"/>
      <c r="CM31" s="718"/>
      <c r="CN31" s="718"/>
      <c r="CO31" s="718"/>
      <c r="CP31" s="718"/>
      <c r="CQ31" s="718"/>
      <c r="CR31" s="83"/>
      <c r="CS31" s="83"/>
      <c r="CT31" s="83"/>
      <c r="CW31" s="309" t="s">
        <v>1612</v>
      </c>
      <c r="CZ31" s="0" cm="1" t="str">
        <f t="array" ref="CZ31:CZ31">CZ30</f>
        <v>0</v>
      </c>
      <c r="DD31" s="0" t="s">
        <v>449</v>
      </c>
      <c r="DE31" s="0" t="s">
        <v>303</v>
      </c>
      <c r="DF31" s="0" t="s">
        <v>331</v>
      </c>
      <c r="DG31" s="0" t="s">
        <v>423</v>
      </c>
    </row>
    <row customHeight="1" ht="16.575" hidden="1">
      <c r="E32" s="180">
        <v>17</v>
      </c>
      <c r="F32" s="175" cm="1" t="str">
        <f t="array" ref="F32:F32">OFFSET(G32,-1,-1)</f>
        <v>0</v>
      </c>
      <c r="G32" s="193" t="s">
        <v>424</v>
      </c>
      <c r="T32" s="753" cm="1" t="str">
        <f t="array" ref="T32:T32">T31</f>
        <v>false</v>
      </c>
      <c r="AB32" s="491">
        <v>3.2</v>
      </c>
      <c r="AC32" s="501" t="s">
        <v>1613</v>
      </c>
      <c r="AD32" s="491" t="s">
        <v>752</v>
      </c>
      <c r="AE32" s="714"/>
      <c r="AF32" s="715"/>
      <c r="AG32" s="715"/>
      <c r="AH32" s="720"/>
      <c r="AI32" s="718"/>
      <c r="AJ32" s="717">
        <f>_xlfn.SUMIFS('Расчет УЕ'!AF$26:AF$68,'Расчет УЕ'!$F$26:$F$68,$F32,'Расчет УЕ'!$G$26:$G$68,$G32)</f>
        <v>0</v>
      </c>
      <c r="AK32" s="717">
        <f>_xlfn.SUMIFS('Расчет УЕ'!AG$26:AG$68,'Расчет УЕ'!$F$26:$F$68,$F32,'Расчет УЕ'!$G$26:$G$68,$G32)</f>
        <v>0</v>
      </c>
      <c r="AL32" s="721">
        <f>_xlfn.SUMIFS('Расчет УЕ'!AH$26:AH$68,'Расчет УЕ'!$F$26:$F$68,$F32,'Расчет УЕ'!$G$26:$G$68,$G32)</f>
        <v>0</v>
      </c>
      <c r="AM32" s="717">
        <f>_xlfn.SUMIFS('Расчет УЕ'!AI$26:AI$68,'Расчет УЕ'!$F$26:$F$68,$F32,'Расчет УЕ'!$G$26:$G$68,$G32)</f>
        <v>0</v>
      </c>
      <c r="AN32" s="717">
        <f>_xlfn.SUMIFS('Расчет УЕ'!AJ$26:AJ$68,'Расчет УЕ'!$F$26:$F$68,$F32,'Расчет УЕ'!$G$26:$G$68,$G32)</f>
        <v>0</v>
      </c>
      <c r="AO32" s="717">
        <f>_xlfn.SUMIFS('Расчет УЕ'!AK$26:AK$68,'Расчет УЕ'!$F$26:$F$68,$F32,'Расчет УЕ'!$G$26:$G$68,$G32)</f>
        <v>0</v>
      </c>
      <c r="AP32" s="717">
        <f>_xlfn.SUMIFS('Расчет УЕ'!AL$26:AL$68,'Расчет УЕ'!$F$26:$F$68,$F32,'Расчет УЕ'!$G$26:$G$68,$G32)</f>
        <v>0</v>
      </c>
      <c r="AQ32" s="717">
        <f>_xlfn.SUMIFS('Расчет УЕ'!AM$26:AM$68,'Расчет УЕ'!$F$26:$F$68,$F32,'Расчет УЕ'!$G$26:$G$68,$G32)</f>
        <v>0</v>
      </c>
      <c r="AR32" s="717">
        <f>_xlfn.SUMIFS('Расчет УЕ'!AN$26:AN$68,'Расчет УЕ'!$F$26:$F$68,$F32,'Расчет УЕ'!$G$26:$G$68,$G32)</f>
        <v>0</v>
      </c>
      <c r="AS32" s="717">
        <f>_xlfn.SUMIFS('Расчет УЕ'!AO$26:AO$68,'Расчет УЕ'!$F$26:$F$68,$F32,'Расчет УЕ'!$G$26:$G$68,$G32)</f>
        <v>0</v>
      </c>
      <c r="AT32" s="717">
        <f>_xlfn.SUMIFS('Расчет УЕ'!AP$26:AP$68,'Расчет УЕ'!$F$26:$F$68,$F32,'Расчет УЕ'!$G$26:$G$68,$G32)</f>
        <v>0</v>
      </c>
      <c r="AU32" s="717">
        <f>_xlfn.SUMIFS('Расчет УЕ'!AQ$26:AQ$68,'Расчет УЕ'!$F$26:$F$68,$F32,'Расчет УЕ'!$G$26:$G$68,$G32)</f>
        <v>0</v>
      </c>
      <c r="AV32" s="717">
        <f>_xlfn.SUMIFS('Расчет УЕ'!AR$26:AR$68,'Расчет УЕ'!$F$26:$F$68,$F32,'Расчет УЕ'!$G$26:$G$68,$G32)</f>
        <v>0</v>
      </c>
      <c r="AW32" s="717">
        <f>_xlfn.SUMIFS('Расчет УЕ'!AS$26:AS$68,'Расчет УЕ'!$F$26:$F$68,$F32,'Расчет УЕ'!$G$26:$G$68,$G32)</f>
        <v>0</v>
      </c>
      <c r="AX32" s="717">
        <f>_xlfn.SUMIFS('Расчет УЕ'!AT$26:AT$68,'Расчет УЕ'!$F$26:$F$68,$F32,'Расчет УЕ'!$G$26:$G$68,$G32)</f>
        <v>0</v>
      </c>
      <c r="AY32" s="717">
        <f>_xlfn.SUMIFS('Расчет УЕ'!AU$26:AU$68,'Расчет УЕ'!$F$26:$F$68,$F32,'Расчет УЕ'!$G$26:$G$68,$G32)</f>
        <v>0</v>
      </c>
      <c r="AZ32" s="717">
        <f>_xlfn.SUMIFS('Расчет УЕ'!AV$26:AV$68,'Расчет УЕ'!$F$26:$F$68,$F32,'Расчет УЕ'!$G$26:$G$68,$G32)</f>
        <v>0</v>
      </c>
      <c r="BA32" s="717">
        <f>_xlfn.SUMIFS('Расчет УЕ'!AW$26:AW$68,'Расчет УЕ'!$F$26:$F$68,$F32,'Расчет УЕ'!$G$26:$G$68,$G32)</f>
        <v>0</v>
      </c>
      <c r="BB32" s="717">
        <f>_xlfn.SUMIFS('Расчет УЕ'!AX$26:AX$68,'Расчет УЕ'!$F$26:$F$68,$F32,'Расчет УЕ'!$G$26:$G$68,$G32)</f>
        <v>0</v>
      </c>
      <c r="BC32" s="717">
        <f>_xlfn.SUMIFS('Расчет УЕ'!AY$26:AY$68,'Расчет УЕ'!$F$26:$F$68,$F32,'Расчет УЕ'!$G$26:$G$68,$G32)</f>
        <v>0</v>
      </c>
      <c r="BD32" s="717">
        <f>_xlfn.SUMIFS('Расчет УЕ'!AZ$26:AZ$68,'Расчет УЕ'!$F$26:$F$68,$F32,'Расчет УЕ'!$G$26:$G$68,$G32)</f>
        <v>0</v>
      </c>
      <c r="BE32" s="717">
        <f>_xlfn.SUMIFS('Расчет УЕ'!BA$26:BA$68,'Расчет УЕ'!$F$26:$F$68,$F32,'Расчет УЕ'!$G$26:$G$68,$G32)</f>
        <v>0</v>
      </c>
      <c r="BF32" s="717">
        <f>_xlfn.SUMIFS('Расчет УЕ'!BB$26:BB$68,'Расчет УЕ'!$F$26:$F$68,$F32,'Расчет УЕ'!$G$26:$G$68,$G32)</f>
        <v>0</v>
      </c>
      <c r="BG32" s="717">
        <f>_xlfn.SUMIFS('Расчет УЕ'!BC$26:BC$68,'Расчет УЕ'!$F$26:$F$68,$F32,'Расчет УЕ'!$G$26:$G$68,$G32)</f>
        <v>0</v>
      </c>
      <c r="BH32" s="717">
        <f>_xlfn.SUMIFS('Расчет УЕ'!BD$26:BD$68,'Расчет УЕ'!$F$26:$F$68,$F32,'Расчет УЕ'!$G$26:$G$68,$G32)</f>
        <v>0</v>
      </c>
      <c r="BI32" s="717">
        <f>_xlfn.SUMIFS('Расчет УЕ'!BE$26:BE$68,'Расчет УЕ'!$F$26:$F$68,$F32,'Расчет УЕ'!$G$26:$G$68,$G32)</f>
        <v>0</v>
      </c>
      <c r="BJ32" s="717">
        <f>_xlfn.SUMIFS('Расчет УЕ'!BF$26:BF$68,'Расчет УЕ'!$F$26:$F$68,$F32,'Расчет УЕ'!$G$26:$G$68,$G32)</f>
        <v>0</v>
      </c>
      <c r="BK32" s="717">
        <f>_xlfn.SUMIFS('Расчет УЕ'!BG$26:BG$68,'Расчет УЕ'!$F$26:$F$68,$F32,'Расчет УЕ'!$G$26:$G$68,$G32)</f>
        <v>0</v>
      </c>
      <c r="BL32" s="717">
        <f>_xlfn.SUMIFS('Расчет УЕ'!BH$26:BH$68,'Расчет УЕ'!$F$26:$F$68,$F32,'Расчет УЕ'!$G$26:$G$68,$G32)</f>
        <v>0</v>
      </c>
      <c r="BM32" s="717">
        <f>_xlfn.SUMIFS('Расчет УЕ'!BI$26:BI$68,'Расчет УЕ'!$F$26:$F$68,$F32,'Расчет УЕ'!$G$26:$G$68,$G32)</f>
        <v>0</v>
      </c>
      <c r="BN32" s="717">
        <f>_xlfn.SUMIFS('Расчет УЕ'!BJ$26:BJ$68,'Расчет УЕ'!$F$26:$F$68,$F32,'Расчет УЕ'!$G$26:$G$68,$G32)</f>
        <v>0</v>
      </c>
      <c r="BO32" s="717">
        <f>_xlfn.SUMIFS('Расчет УЕ'!BK$26:BK$68,'Расчет УЕ'!$F$26:$F$68,$F32,'Расчет УЕ'!$G$26:$G$68,$G32)</f>
        <v>0</v>
      </c>
      <c r="BP32" s="717">
        <f>_xlfn.SUMIFS('Расчет УЕ'!BL$26:BL$68,'Расчет УЕ'!$F$26:$F$68,$F32,'Расчет УЕ'!$G$26:$G$68,$G32)</f>
        <v>0</v>
      </c>
      <c r="BQ32" s="717">
        <f>_xlfn.SUMIFS('Расчет УЕ'!BM$26:BM$68,'Расчет УЕ'!$F$26:$F$68,$F32,'Расчет УЕ'!$G$26:$G$68,$G32)</f>
        <v>0</v>
      </c>
      <c r="BR32" s="717">
        <f>_xlfn.SUMIFS('Расчет УЕ'!BN$26:BN$68,'Расчет УЕ'!$F$26:$F$68,$F32,'Расчет УЕ'!$G$26:$G$68,$G32)</f>
        <v>0</v>
      </c>
      <c r="BS32" s="717">
        <f>_xlfn.SUMIFS('Расчет УЕ'!BO$26:BO$68,'Расчет УЕ'!$F$26:$F$68,$F32,'Расчет УЕ'!$G$26:$G$68,$G32)</f>
        <v>0</v>
      </c>
      <c r="BT32" s="717">
        <f>_xlfn.SUMIFS('Расчет УЕ'!BP$26:BP$68,'Расчет УЕ'!$F$26:$F$68,$F32,'Расчет УЕ'!$G$26:$G$68,$G32)</f>
        <v>0</v>
      </c>
      <c r="BU32" s="717">
        <f>_xlfn.SUMIFS('Расчет УЕ'!BQ$26:BQ$68,'Расчет УЕ'!$F$26:$F$68,$F32,'Расчет УЕ'!$G$26:$G$68,$G32)</f>
        <v>0</v>
      </c>
      <c r="BV32" s="717">
        <f>_xlfn.SUMIFS('Расчет УЕ'!BR$26:BR$68,'Расчет УЕ'!$F$26:$F$68,$F32,'Расчет УЕ'!$G$26:$G$68,$G32)</f>
        <v>0</v>
      </c>
      <c r="BW32" s="717">
        <f>_xlfn.SUMIFS('Расчет УЕ'!BS$26:BS$68,'Расчет УЕ'!$F$26:$F$68,$F32,'Расчет УЕ'!$G$26:$G$68,$G32)</f>
        <v>0</v>
      </c>
      <c r="BX32" s="718"/>
      <c r="BY32" s="718"/>
      <c r="BZ32" s="718"/>
      <c r="CA32" s="718"/>
      <c r="CB32" s="718"/>
      <c r="CC32" s="718"/>
      <c r="CD32" s="718"/>
      <c r="CE32" s="718"/>
      <c r="CF32" s="718"/>
      <c r="CG32" s="718"/>
      <c r="CH32" s="718"/>
      <c r="CI32" s="718"/>
      <c r="CJ32" s="718"/>
      <c r="CK32" s="718"/>
      <c r="CL32" s="718"/>
      <c r="CM32" s="718"/>
      <c r="CN32" s="718"/>
      <c r="CO32" s="718"/>
      <c r="CP32" s="718"/>
      <c r="CQ32" s="718"/>
      <c r="CR32" s="83"/>
      <c r="CS32" s="83"/>
      <c r="CT32" s="83"/>
      <c r="CW32" s="309" t="s">
        <v>1614</v>
      </c>
      <c r="CZ32" s="0" cm="1" t="str">
        <f t="array" ref="CZ32:CZ32">CZ31</f>
        <v>0</v>
      </c>
      <c r="DC32" s="0" t="s">
        <v>1615</v>
      </c>
      <c r="DE32" s="0" t="s">
        <v>303</v>
      </c>
      <c r="DF32" s="0" t="s">
        <v>428</v>
      </c>
      <c r="DG32" s="0" t="s">
        <v>429</v>
      </c>
    </row>
    <row customHeight="1" ht="16.575" hidden="1">
      <c r="E33" s="180">
        <v>17</v>
      </c>
      <c r="F33" s="175" cm="1" t="str">
        <f t="array" ref="F33:F33">OFFSET(G33,-1,-1)</f>
        <v>0</v>
      </c>
      <c r="G33" s="193" t="s">
        <v>567</v>
      </c>
      <c r="T33" s="753" cm="1" t="str">
        <f t="array" ref="T33:T33">T32</f>
        <v>false</v>
      </c>
      <c r="AB33" s="491">
        <v>4</v>
      </c>
      <c r="AC33" s="496" t="s">
        <v>1616</v>
      </c>
      <c r="AD33" s="491"/>
      <c r="AE33" s="722"/>
      <c r="AF33" s="723"/>
      <c r="AG33" s="723"/>
      <c r="AH33" s="724"/>
      <c r="AI33" s="718"/>
      <c r="AJ33" s="717">
        <f>_xlfn.SUMIFS(Сценарии!AE$27:AE$86,Сценарии!$F$27:$F$86,$F33,Сценарии!$G$27:$G$86,$G33)</f>
        <v>0.75</v>
      </c>
      <c r="AK33" s="717">
        <f>_xlfn.SUMIFS(Сценарии!AF$27:AF$86,Сценарии!$F$27:$F$86,$F33,Сценарии!$G$27:$G$86,$G33)</f>
        <v>0.75</v>
      </c>
      <c r="AL33" s="717">
        <f>_xlfn.SUMIFS(Сценарии!AG$27:AG$86,Сценарии!$F$27:$F$86,$F33,Сценарии!$G$27:$G$86,$G33)</f>
        <v>0.75</v>
      </c>
      <c r="AM33" s="717">
        <f>_xlfn.SUMIFS(Сценарии!AH$27:AH$86,Сценарии!$F$27:$F$86,$F33,Сценарии!$G$27:$G$86,$G33)</f>
        <v>0.75</v>
      </c>
      <c r="AN33" s="717">
        <f>_xlfn.SUMIFS(Сценарии!AI$27:AI$86,Сценарии!$F$27:$F$86,$F33,Сценарии!$G$27:$G$86,$G33)</f>
        <v>0.75</v>
      </c>
      <c r="AO33" s="717">
        <f>_xlfn.SUMIFS(Сценарии!AJ$27:AJ$86,Сценарии!$F$27:$F$86,$F33,Сценарии!$G$27:$G$86,$G33)</f>
        <v>0.75</v>
      </c>
      <c r="AP33" s="717">
        <f>_xlfn.SUMIFS(Сценарии!AK$27:AK$86,Сценарии!$F$27:$F$86,$F33,Сценарии!$G$27:$G$86,$G33)</f>
        <v>0.75</v>
      </c>
      <c r="AQ33" s="717">
        <f>_xlfn.SUMIFS(Сценарии!AL$27:AL$86,Сценарии!$F$27:$F$86,$F33,Сценарии!$G$27:$G$86,$G33)</f>
        <v>0.75</v>
      </c>
      <c r="AR33" s="717">
        <f>_xlfn.SUMIFS(Сценарии!AM$27:AM$86,Сценарии!$F$27:$F$86,$F33,Сценарии!$G$27:$G$86,$G33)</f>
        <v>0.75</v>
      </c>
      <c r="AS33" s="717">
        <f>_xlfn.SUMIFS(Сценарии!AN$27:AN$86,Сценарии!$F$27:$F$86,$F33,Сценарии!$G$27:$G$86,$G33)</f>
        <v>0.75</v>
      </c>
      <c r="AT33" s="717">
        <f>_xlfn.SUMIFS(Сценарии!AO$27:AO$86,Сценарии!$F$27:$F$86,$F33,Сценарии!$G$27:$G$86,$G33)</f>
        <v>0.75</v>
      </c>
      <c r="AU33" s="717">
        <f>_xlfn.SUMIFS(Сценарии!AP$27:AP$86,Сценарии!$F$27:$F$86,$F33,Сценарии!$G$27:$G$86,$G33)</f>
        <v>0.75</v>
      </c>
      <c r="AV33" s="717">
        <f>_xlfn.SUMIFS(Сценарии!AQ$27:AQ$86,Сценарии!$F$27:$F$86,$F33,Сценарии!$G$27:$G$86,$G33)</f>
        <v>0.75</v>
      </c>
      <c r="AW33" s="717">
        <f>_xlfn.SUMIFS(Сценарии!AR$27:AR$86,Сценарии!$F$27:$F$86,$F33,Сценарии!$G$27:$G$86,$G33)</f>
        <v>0.75</v>
      </c>
      <c r="AX33" s="717">
        <f>_xlfn.SUMIFS(Сценарии!AS$27:AS$86,Сценарии!$F$27:$F$86,$F33,Сценарии!$G$27:$G$86,$G33)</f>
        <v>0.75</v>
      </c>
      <c r="AY33" s="717">
        <f>_xlfn.SUMIFS(Сценарии!AT$27:AT$86,Сценарии!$F$27:$F$86,$F33,Сценарии!$G$27:$G$86,$G33)</f>
        <v>0.75</v>
      </c>
      <c r="AZ33" s="717">
        <f>_xlfn.SUMIFS(Сценарии!AU$27:AU$86,Сценарии!$F$27:$F$86,$F33,Сценарии!$G$27:$G$86,$G33)</f>
        <v>0.75</v>
      </c>
      <c r="BA33" s="717">
        <f>_xlfn.SUMIFS(Сценарии!AV$27:AV$86,Сценарии!$F$27:$F$86,$F33,Сценарии!$G$27:$G$86,$G33)</f>
        <v>0.75</v>
      </c>
      <c r="BB33" s="717">
        <f>_xlfn.SUMIFS(Сценарии!AW$27:AW$86,Сценарии!$F$27:$F$86,$F33,Сценарии!$G$27:$G$86,$G33)</f>
        <v>0.75</v>
      </c>
      <c r="BC33" s="717">
        <f>_xlfn.SUMIFS(Сценарии!AX$27:AX$86,Сценарии!$F$27:$F$86,$F33,Сценарии!$G$27:$G$86,$G33)</f>
        <v>0.75</v>
      </c>
      <c r="BD33" s="717">
        <f>_xlfn.SUMIFS(Сценарии!AY$27:AY$86,Сценарии!$F$27:$F$86,$F33,Сценарии!$G$27:$G$86,$G33)</f>
        <v>0.75</v>
      </c>
      <c r="BE33" s="717">
        <f>_xlfn.SUMIFS(Сценарии!AZ$27:AZ$86,Сценарии!$F$27:$F$86,$F33,Сценарии!$G$27:$G$86,$G33)</f>
        <v>0.75</v>
      </c>
      <c r="BF33" s="717">
        <f>_xlfn.SUMIFS(Сценарии!BA$27:BA$86,Сценарии!$F$27:$F$86,$F33,Сценарии!$G$27:$G$86,$G33)</f>
        <v>0.75</v>
      </c>
      <c r="BG33" s="717">
        <f>_xlfn.SUMIFS(Сценарии!BB$27:BB$86,Сценарии!$F$27:$F$86,$F33,Сценарии!$G$27:$G$86,$G33)</f>
        <v>0.75</v>
      </c>
      <c r="BH33" s="717">
        <f>_xlfn.SUMIFS(Сценарии!BC$27:BC$86,Сценарии!$F$27:$F$86,$F33,Сценарии!$G$27:$G$86,$G33)</f>
        <v>0.75</v>
      </c>
      <c r="BI33" s="717">
        <f>_xlfn.SUMIFS(Сценарии!BD$27:BD$86,Сценарии!$F$27:$F$86,$F33,Сценарии!$G$27:$G$86,$G33)</f>
        <v>0.75</v>
      </c>
      <c r="BJ33" s="717">
        <f>_xlfn.SUMIFS(Сценарии!BE$27:BE$86,Сценарии!$F$27:$F$86,$F33,Сценарии!$G$27:$G$86,$G33)</f>
        <v>0.75</v>
      </c>
      <c r="BK33" s="717">
        <f>_xlfn.SUMIFS(Сценарии!BF$27:BF$86,Сценарии!$F$27:$F$86,$F33,Сценарии!$G$27:$G$86,$G33)</f>
        <v>0.75</v>
      </c>
      <c r="BL33" s="717">
        <f>_xlfn.SUMIFS(Сценарии!BG$27:BG$86,Сценарии!$F$27:$F$86,$F33,Сценарии!$G$27:$G$86,$G33)</f>
        <v>0.75</v>
      </c>
      <c r="BM33" s="717">
        <f>_xlfn.SUMIFS(Сценарии!BH$27:BH$86,Сценарии!$F$27:$F$86,$F33,Сценарии!$G$27:$G$86,$G33)</f>
        <v>0.75</v>
      </c>
      <c r="BN33" s="717">
        <f>_xlfn.SUMIFS(Сценарии!BI$27:BI$86,Сценарии!$F$27:$F$86,$F33,Сценарии!$G$27:$G$86,$G33)</f>
        <v>0.75</v>
      </c>
      <c r="BO33" s="717">
        <f>_xlfn.SUMIFS(Сценарии!BJ$27:BJ$86,Сценарии!$F$27:$F$86,$F33,Сценарии!$G$27:$G$86,$G33)</f>
        <v>0.75</v>
      </c>
      <c r="BP33" s="717">
        <f>_xlfn.SUMIFS(Сценарии!BK$27:BK$86,Сценарии!$F$27:$F$86,$F33,Сценарии!$G$27:$G$86,$G33)</f>
        <v>0.75</v>
      </c>
      <c r="BQ33" s="717">
        <f>_xlfn.SUMIFS(Сценарии!BL$27:BL$86,Сценарии!$F$27:$F$86,$F33,Сценарии!$G$27:$G$86,$G33)</f>
        <v>0.75</v>
      </c>
      <c r="BR33" s="717">
        <f>_xlfn.SUMIFS(Сценарии!BM$27:BM$86,Сценарии!$F$27:$F$86,$F33,Сценарии!$G$27:$G$86,$G33)</f>
        <v>0.75</v>
      </c>
      <c r="BS33" s="717">
        <f>_xlfn.SUMIFS(Сценарии!BN$27:BN$86,Сценарии!$F$27:$F$86,$F33,Сценарии!$G$27:$G$86,$G33)</f>
        <v>0.75</v>
      </c>
      <c r="BT33" s="717">
        <f>_xlfn.SUMIFS(Сценарии!BO$27:BO$86,Сценарии!$F$27:$F$86,$F33,Сценарии!$G$27:$G$86,$G33)</f>
        <v>0.75</v>
      </c>
      <c r="BU33" s="717">
        <f>_xlfn.SUMIFS(Сценарии!BP$27:BP$86,Сценарии!$F$27:$F$86,$F33,Сценарии!$G$27:$G$86,$G33)</f>
        <v>0.75</v>
      </c>
      <c r="BV33" s="717">
        <f>_xlfn.SUMIFS(Сценарии!BQ$27:BQ$86,Сценарии!$F$27:$F$86,$F33,Сценарии!$G$27:$G$86,$G33)</f>
        <v>0.75</v>
      </c>
      <c r="BW33" s="717">
        <f>_xlfn.SUMIFS(Сценарии!BR$27:BR$86,Сценарии!$F$27:$F$86,$F33,Сценарии!$G$27:$G$86,$G33)</f>
        <v>0.75</v>
      </c>
      <c r="BX33" s="725"/>
      <c r="BY33" s="725"/>
      <c r="BZ33" s="725"/>
      <c r="CA33" s="725"/>
      <c r="CB33" s="725"/>
      <c r="CC33" s="718"/>
      <c r="CD33" s="718"/>
      <c r="CE33" s="718"/>
      <c r="CF33" s="718"/>
      <c r="CG33" s="718"/>
      <c r="CH33" s="718"/>
      <c r="CI33" s="718"/>
      <c r="CJ33" s="718"/>
      <c r="CK33" s="718"/>
      <c r="CL33" s="718"/>
      <c r="CM33" s="718"/>
      <c r="CN33" s="718"/>
      <c r="CO33" s="718"/>
      <c r="CP33" s="718"/>
      <c r="CQ33" s="718"/>
      <c r="CR33" s="83"/>
      <c r="CS33" s="83"/>
      <c r="CT33" s="83"/>
      <c r="CW33" s="309" t="s">
        <v>1617</v>
      </c>
      <c r="CZ33" s="0" cm="1" t="str">
        <f t="array" ref="CZ33:CZ33">CZ32</f>
        <v>0</v>
      </c>
      <c r="DD33" s="0" t="s">
        <v>883</v>
      </c>
      <c r="DE33" s="0" t="s">
        <v>303</v>
      </c>
      <c r="DF33" s="0" t="s">
        <v>899</v>
      </c>
      <c r="DG33" s="0" t="s">
        <v>900</v>
      </c>
    </row>
    <row customHeight="1" ht="16.575" hidden="1">
      <c r="E34" s="180">
        <v>17</v>
      </c>
      <c r="F34" s="175" cm="1" t="str">
        <f t="array" ref="F34:F34">OFFSET(G34,-1,-1)</f>
        <v>0</v>
      </c>
      <c r="G34" s="193" t="s">
        <v>1549</v>
      </c>
      <c r="K34" s="193" t="str">
        <f>F34&amp;"komm"</f>
        <v>0komm</v>
      </c>
      <c r="L34" s="308" cm="1" t="str">
        <f t="array" ref="L34:L34">CS34</f>
        <v>0</v>
      </c>
      <c r="T34" s="753" cm="1" t="str">
        <f t="array" ref="T34:T34">T33</f>
        <v>false</v>
      </c>
      <c r="AB34" s="726">
        <v>5</v>
      </c>
      <c r="AC34" s="727" t="s">
        <v>1618</v>
      </c>
      <c r="AD34" s="728" t="s">
        <v>917</v>
      </c>
      <c r="AE34" s="729" cm="1" t="str">
        <f t="array" ref="AE34:AE34">'Операционные (5.1)'!AE28</f>
        <v>0</v>
      </c>
      <c r="AF34" s="729" cm="1" t="str">
        <f t="array" ref="AF34:AF34">'Операционные (5.1)'!AF28</f>
        <v>0</v>
      </c>
      <c r="AG34" s="729" cm="1" t="str">
        <f t="array" ref="AG34:AG34">'Операционные (5.1)'!AG28</f>
        <v>0</v>
      </c>
      <c r="AH34" s="730" cm="1" t="str">
        <f t="array" ref="AH34:AH34">'Операционные (5.1)'!AH28</f>
        <v>0</v>
      </c>
      <c r="AI34" s="127">
        <f>_xlfn.SUMIFS('Операционные (5.1)'!AI$26:AI$75,'Операционные (5.1)'!$F$26:$F$75,$F34,'Операционные (5.1)'!$G$26:$G$75,$G34)</f>
        <v>0</v>
      </c>
      <c r="AJ34" s="731">
        <f>IF(god=first_year,_xlfn.SUMIFS('Операционные (5.1)'!AJ$26:AJ$75,'Операционные (5.1)'!$F$26:$F$75,$F34,'Операционные (5.1)'!$G$26:$G$75,$G34),AI34*AJ35)</f>
        <v>0</v>
      </c>
      <c r="AK34" s="120">
        <f>AJ34*AK35</f>
        <v>0</v>
      </c>
      <c r="AL34" s="128">
        <f>AK34*AL35</f>
        <v>0</v>
      </c>
      <c r="AM34" s="120">
        <f>AL34*AM35</f>
        <v>0</v>
      </c>
      <c r="AN34" s="120">
        <f>AM34*AN35</f>
        <v>0</v>
      </c>
      <c r="AO34" s="120">
        <f>AN34*AO35</f>
        <v>0</v>
      </c>
      <c r="AP34" s="120">
        <f>AO34*AP35</f>
        <v>0</v>
      </c>
      <c r="AQ34" s="120">
        <f>AP34*AQ35</f>
        <v>0</v>
      </c>
      <c r="AR34" s="120">
        <f>AQ34*AR35</f>
        <v>0</v>
      </c>
      <c r="AS34" s="120">
        <f>AR34*AS35</f>
        <v>0</v>
      </c>
      <c r="AT34" s="120">
        <f>AS34*AT35</f>
        <v>0</v>
      </c>
      <c r="AU34" s="120">
        <f>AT34*AU35</f>
        <v>0</v>
      </c>
      <c r="AV34" s="120">
        <f>AU34*AV35</f>
        <v>0</v>
      </c>
      <c r="AW34" s="120">
        <f>AV34*AW35</f>
        <v>0</v>
      </c>
      <c r="AX34" s="120">
        <f>AW34*AX35</f>
        <v>0</v>
      </c>
      <c r="AY34" s="120">
        <f>AX34*AY35</f>
        <v>0</v>
      </c>
      <c r="AZ34" s="120">
        <f>AY34*AZ35</f>
        <v>0</v>
      </c>
      <c r="BA34" s="120">
        <f>AZ34*BA35</f>
        <v>0</v>
      </c>
      <c r="BB34" s="120">
        <f>BA34*BB35</f>
        <v>0</v>
      </c>
      <c r="BC34" s="120">
        <f>BB34*BC35</f>
        <v>0</v>
      </c>
      <c r="BD34" s="733">
        <f>IF(god=first_year,_xlfn.SUMIFS('Операционные (5.1)'!AK$26:AK$75,'Операционные (5.1)'!$F$26:$F$75,$F34,'Операционные (5.1)'!$G$26:$G$75,$G34),AI34*BD35)</f>
        <v>0</v>
      </c>
      <c r="BE34" s="120">
        <f>BD34*BE35</f>
        <v>0</v>
      </c>
      <c r="BF34" s="120">
        <f>BE34*BF35</f>
        <v>0</v>
      </c>
      <c r="BG34" s="120">
        <f>BF34*BG35</f>
        <v>0</v>
      </c>
      <c r="BH34" s="120">
        <f>BG34*BH35</f>
        <v>0</v>
      </c>
      <c r="BI34" s="120">
        <f>BH34*BI35</f>
        <v>0</v>
      </c>
      <c r="BJ34" s="120">
        <f>BI34*BJ35</f>
        <v>0</v>
      </c>
      <c r="BK34" s="120">
        <f>BJ34*BK35</f>
        <v>0</v>
      </c>
      <c r="BL34" s="120">
        <f>BK34*BL35</f>
        <v>0</v>
      </c>
      <c r="BM34" s="120">
        <f>BL34*BM35</f>
        <v>0</v>
      </c>
      <c r="BN34" s="120">
        <f>BM34*BN35</f>
        <v>0</v>
      </c>
      <c r="BO34" s="120">
        <f>BN34*BO35</f>
        <v>0</v>
      </c>
      <c r="BP34" s="120">
        <f>BO34*BP35</f>
        <v>0</v>
      </c>
      <c r="BQ34" s="120">
        <f>BP34*BQ35</f>
        <v>0</v>
      </c>
      <c r="BR34" s="120">
        <f>BQ34*BR35</f>
        <v>0</v>
      </c>
      <c r="BS34" s="120">
        <f>BR34*BS35</f>
        <v>0</v>
      </c>
      <c r="BT34" s="120">
        <f>BS34*BT35</f>
        <v>0</v>
      </c>
      <c r="BU34" s="120">
        <f>BT34*BU35</f>
        <v>0</v>
      </c>
      <c r="BV34" s="120">
        <f>BU34*BV35</f>
        <v>0</v>
      </c>
      <c r="BW34" s="120">
        <f>BV34*BW35</f>
        <v>0</v>
      </c>
      <c r="BX34" s="734"/>
      <c r="BY34" s="129">
        <f>IF(BD34=0,0,(BE34-BD34)/BD34*100)</f>
        <v>0</v>
      </c>
      <c r="BZ34" s="129">
        <f>IF(BE34=0,0,(BF34-BE34)/BE34*100)</f>
        <v>0</v>
      </c>
      <c r="CA34" s="129">
        <f>IF(BF34=0,0,(BG34-BF34)/BF34*100)</f>
        <v>0</v>
      </c>
      <c r="CB34" s="129">
        <f>IF(BG34=0,0,(BH34-BG34)/BG34*100)</f>
        <v>0</v>
      </c>
      <c r="CC34" s="129">
        <f>IF(BH34=0,0,(BI34-BH34)/BH34*100)</f>
        <v>0</v>
      </c>
      <c r="CD34" s="129">
        <f>IF(BI34=0,0,(BJ34-BI34)/BI34*100)</f>
        <v>0</v>
      </c>
      <c r="CE34" s="129">
        <f>IF(BJ34=0,0,(BK34-BJ34)/BJ34*100)</f>
        <v>0</v>
      </c>
      <c r="CF34" s="129">
        <f>IF(BK34=0,0,(BL34-BK34)/BK34*100)</f>
        <v>0</v>
      </c>
      <c r="CG34" s="129">
        <f>IF(BL34=0,0,(BM34-BL34)/BL34*100)</f>
        <v>0</v>
      </c>
      <c r="CH34" s="129">
        <f>IF(BM34=0,0,(BN34-BM34)/BM34*100)</f>
        <v>0</v>
      </c>
      <c r="CI34" s="129">
        <f>IF(BN34=0,0,(BO34-BN34)/BN34*100)</f>
        <v>0</v>
      </c>
      <c r="CJ34" s="129">
        <f>IF(BO34=0,0,(BP34-BO34)/BO34*100)</f>
        <v>0</v>
      </c>
      <c r="CK34" s="129">
        <f>IF(BP34=0,0,(BQ34-BP34)/BP34*100)</f>
        <v>0</v>
      </c>
      <c r="CL34" s="129">
        <f>IF(BQ34=0,0,(BR34-BQ34)/BQ34*100)</f>
        <v>0</v>
      </c>
      <c r="CM34" s="129">
        <f>IF(BR34=0,0,(BS34-BR34)/BR34*100)</f>
        <v>0</v>
      </c>
      <c r="CN34" s="129">
        <f>IF(BS34=0,0,(BT34-BS34)/BS34*100)</f>
        <v>0</v>
      </c>
      <c r="CO34" s="129">
        <f>IF(BT34=0,0,(BU34-BT34)/BT34*100)</f>
        <v>0</v>
      </c>
      <c r="CP34" s="129">
        <f>IF(BU34=0,0,(BV34-BU34)/BU34*100)</f>
        <v>0</v>
      </c>
      <c r="CQ34" s="129">
        <f>IF(BV34=0,0,(BW34-BV34)/BV34*100)</f>
        <v>0</v>
      </c>
      <c r="CR34" s="83"/>
      <c r="CS34" s="83"/>
      <c r="CT34" s="83"/>
      <c r="CW34" s="309" t="s">
        <v>1619</v>
      </c>
      <c r="CZ34" s="0" cm="1" t="str">
        <f t="array" ref="CZ34:CZ34">CZ33</f>
        <v>0</v>
      </c>
      <c r="DB34" s="0" t="s">
        <v>503</v>
      </c>
      <c r="DD34" s="0" t="s">
        <v>219</v>
      </c>
      <c r="DE34" s="0" t="s">
        <v>303</v>
      </c>
      <c r="DF34" s="0" t="s">
        <v>1552</v>
      </c>
      <c r="DG34" s="0" t="s">
        <v>1553</v>
      </c>
    </row>
    <row s="994" customFormat="1" customHeight="1" ht="16.575" hidden="1">
      <c r="A35" s="1106"/>
      <c r="B35" s="736"/>
      <c r="C35" s="736"/>
      <c r="D35" s="736"/>
      <c r="E35" s="180">
        <v>17</v>
      </c>
      <c r="F35" s="175" cm="1" t="str">
        <f t="array" ref="F35:F35">OFFSET(G35,-1,-1)</f>
        <v>0</v>
      </c>
      <c r="T35" s="753" cm="1" t="str">
        <f t="array" ref="T35:T35">T34</f>
        <v>false</v>
      </c>
      <c r="U35" s="736"/>
      <c r="V35" s="736"/>
      <c r="W35" s="736"/>
      <c r="Y35" s="736"/>
      <c r="AA35" s="737"/>
      <c r="AB35" s="738">
        <v>5.1</v>
      </c>
      <c r="AC35" s="739" t="s">
        <v>1620</v>
      </c>
      <c r="AD35" s="740"/>
      <c r="AE35" s="130"/>
      <c r="AF35" s="130"/>
      <c r="AG35" s="130"/>
      <c r="AH35" s="742"/>
      <c r="AI35" s="745"/>
      <c r="AJ35" s="744">
        <f>(1+AJ28%)*(1-AJ29%)*(1+AJ30*AJ33)</f>
        <v>0.99</v>
      </c>
      <c r="AK35" s="131">
        <f>(1+AK28%)*(1-AK29%)*(1+AK30*AK33)</f>
        <v>0.99</v>
      </c>
      <c r="AL35" s="131">
        <f>(1+AL28%)*(1-AL29%)*(1+AL30*AL33)</f>
        <v>0.99</v>
      </c>
      <c r="AM35" s="131">
        <f>(1+AM28%)*(1-AM29%)*(1+AM30*AM33)</f>
        <v>0.99</v>
      </c>
      <c r="AN35" s="131">
        <f>(1+AN28%)*(1-AN29%)*(1+AN30*AN33)</f>
        <v>0.99</v>
      </c>
      <c r="AO35" s="131">
        <f>(1+AO28%)*(1-AO29%)*(1+AO30*AO33)</f>
        <v>0.99</v>
      </c>
      <c r="AP35" s="131">
        <f>(1+AP28%)*(1-AP29%)*(1+AP30*AP33)</f>
        <v>0.99</v>
      </c>
      <c r="AQ35" s="131">
        <f>(1+AQ28%)*(1-AQ29%)*(1+AQ30*AQ33)</f>
        <v>0.99</v>
      </c>
      <c r="AR35" s="131">
        <f>(1+AR28%)*(1-AR29%)*(1+AR30*AR33)</f>
        <v>0.99</v>
      </c>
      <c r="AS35" s="131">
        <f>(1+AS28%)*(1-AS29%)*(1+AS30*AS33)</f>
        <v>0.99</v>
      </c>
      <c r="AT35" s="131">
        <f>(1+AT28%)*(1-AT29%)*(1+AT30*AT33)</f>
        <v>0.99</v>
      </c>
      <c r="AU35" s="131">
        <f>(1+AU28%)*(1-AU29%)*(1+AU30*AU33)</f>
        <v>0.99</v>
      </c>
      <c r="AV35" s="131">
        <f>(1+AV28%)*(1-AV29%)*(1+AV30*AV33)</f>
        <v>0.99</v>
      </c>
      <c r="AW35" s="131">
        <f>(1+AW28%)*(1-AW29%)*(1+AW30*AW33)</f>
        <v>0.99</v>
      </c>
      <c r="AX35" s="131">
        <f>(1+AX28%)*(1-AX29%)*(1+AX30*AX33)</f>
        <v>0.99</v>
      </c>
      <c r="AY35" s="131">
        <f>(1+AY28%)*(1-AY29%)*(1+AY30*AY33)</f>
        <v>0.99</v>
      </c>
      <c r="AZ35" s="131">
        <f>(1+AZ28%)*(1-AZ29%)*(1+AZ30*AZ33)</f>
        <v>0.99</v>
      </c>
      <c r="BA35" s="131">
        <f>(1+BA28%)*(1-BA29%)*(1+BA30*BA33)</f>
        <v>0.99</v>
      </c>
      <c r="BB35" s="131">
        <f>(1+BB28%)*(1-BB29%)*(1+BB30*BB33)</f>
        <v>0.99</v>
      </c>
      <c r="BC35" s="131">
        <f>(1+BC28%)*(1-BC29%)*(1+BC30*BC33)</f>
        <v>0.99</v>
      </c>
      <c r="BD35" s="744">
        <f>(1+BD28%)*(1-BD29%)*(1+BD30*BD33)</f>
        <v>0.99</v>
      </c>
      <c r="BE35" s="131">
        <f>(1+BE28%)*(1-BE29%)*(1+BE30*BE33)</f>
        <v>0.99</v>
      </c>
      <c r="BF35" s="131">
        <f>(1+BF28%)*(1-BF29%)*(1+BF30*BF33)</f>
        <v>0.99</v>
      </c>
      <c r="BG35" s="131">
        <f>(1+BG28%)*(1-BG29%)*(1+BG30*BG33)</f>
        <v>0.99</v>
      </c>
      <c r="BH35" s="131">
        <f>(1+BH28%)*(1-BH29%)*(1+BH30*BH33)</f>
        <v>0.99</v>
      </c>
      <c r="BI35" s="131">
        <f>(1+BI28%)*(1-BI29%)*(1+BI30*BI33)</f>
        <v>0.99</v>
      </c>
      <c r="BJ35" s="131">
        <f>(1+BJ28%)*(1-BJ29%)*(1+BJ30*BJ33)</f>
        <v>0.99</v>
      </c>
      <c r="BK35" s="131">
        <f>(1+BK28%)*(1-BK29%)*(1+BK30*BK33)</f>
        <v>0.99</v>
      </c>
      <c r="BL35" s="131">
        <f>(1+BL28%)*(1-BL29%)*(1+BL30*BL33)</f>
        <v>0.99</v>
      </c>
      <c r="BM35" s="131">
        <f>(1+BM28%)*(1-BM29%)*(1+BM30*BM33)</f>
        <v>0.99</v>
      </c>
      <c r="BN35" s="131">
        <f>(1+BN28%)*(1-BN29%)*(1+BN30*BN33)</f>
        <v>0.99</v>
      </c>
      <c r="BO35" s="131">
        <f>(1+BO28%)*(1-BO29%)*(1+BO30*BO33)</f>
        <v>0.99</v>
      </c>
      <c r="BP35" s="131">
        <f>(1+BP28%)*(1-BP29%)*(1+BP30*BP33)</f>
        <v>0.99</v>
      </c>
      <c r="BQ35" s="131">
        <f>(1+BQ28%)*(1-BQ29%)*(1+BQ30*BQ33)</f>
        <v>0.99</v>
      </c>
      <c r="BR35" s="131">
        <f>(1+BR28%)*(1-BR29%)*(1+BR30*BR33)</f>
        <v>0.99</v>
      </c>
      <c r="BS35" s="131">
        <f>(1+BS28%)*(1-BS29%)*(1+BS30*BS33)</f>
        <v>0.99</v>
      </c>
      <c r="BT35" s="131">
        <f>(1+BT28%)*(1-BT29%)*(1+BT30*BT33)</f>
        <v>0.99</v>
      </c>
      <c r="BU35" s="131">
        <f>(1+BU28%)*(1-BU29%)*(1+BU30*BU33)</f>
        <v>0.99</v>
      </c>
      <c r="BV35" s="131">
        <f>(1+BV28%)*(1-BV29%)*(1+BV30*BV33)</f>
        <v>0.99</v>
      </c>
      <c r="BW35" s="131">
        <f>(1+BW28%)*(1-BW29%)*(1+BW30*BW33)</f>
        <v>0.99</v>
      </c>
      <c r="BX35" s="745"/>
      <c r="BY35" s="745"/>
      <c r="BZ35" s="745"/>
      <c r="CA35" s="745"/>
      <c r="CB35" s="745"/>
      <c r="CC35" s="745"/>
      <c r="CD35" s="745"/>
      <c r="CE35" s="745"/>
      <c r="CF35" s="745"/>
      <c r="CG35" s="745"/>
      <c r="CH35" s="745"/>
      <c r="CI35" s="745"/>
      <c r="CJ35" s="745"/>
      <c r="CK35" s="745"/>
      <c r="CL35" s="745"/>
      <c r="CM35" s="745"/>
      <c r="CN35" s="745"/>
      <c r="CO35" s="745"/>
      <c r="CP35" s="745"/>
      <c r="CQ35" s="745"/>
      <c r="CR35" s="83"/>
      <c r="CS35" s="83"/>
      <c r="CT35" s="83"/>
      <c r="CU35" s="737"/>
      <c r="CW35" s="309" t="s">
        <v>1621</v>
      </c>
      <c r="CZ35" s="1731" cm="1" t="str">
        <f t="array" ref="CZ35:CZ35">CZ34</f>
        <v>0</v>
      </c>
      <c r="DA35" s="1731"/>
      <c r="DB35" s="1731" t="s">
        <v>503</v>
      </c>
      <c r="DC35" s="1731"/>
      <c r="DD35" s="1731" t="s">
        <v>255</v>
      </c>
      <c r="DE35" s="1731" t="s">
        <v>303</v>
      </c>
      <c r="DF35" s="1731" t="s">
        <v>899</v>
      </c>
      <c r="DG35" s="1731" t="s">
        <v>900</v>
      </c>
    </row>
    <row s="969" customFormat="1" customHeight="1" ht="16.5">
      <c r="A36" s="969"/>
      <c r="B36" s="969"/>
      <c r="C36" s="969"/>
      <c r="D36" s="969"/>
      <c r="E36" s="180">
        <v>17</v>
      </c>
      <c r="F36" s="175" cm="1" t="str">
        <f t="array" ref="F36:F36">X36</f>
        <v>1</v>
      </c>
      <c r="G36" s="193" cm="1" t="str">
        <f t="array" ref="G36:G36">INDEX('Общие сведения'!$AK$169:$AK$202,MATCH($F36,'Общие сведения'!$Y$169:$Y$202,0))</f>
        <v>одноставочный</v>
      </c>
      <c r="H36" s="969"/>
      <c r="I36" s="193" cm="1" t="str">
        <f t="array" ref="I36:I36">INDEX('Общие сведения'!$AE$169:$AE$202,MATCH($F36,'Общие сведения'!$Y$169:$Y$202,0))</f>
        <v>Теплоснабжение</v>
      </c>
      <c r="J36" s="969"/>
      <c r="K36" s="969"/>
      <c r="L36" s="969"/>
      <c r="M36" s="969"/>
      <c r="N36" s="969"/>
      <c r="O36" s="969"/>
      <c r="P36" s="969"/>
      <c r="Q36" s="969"/>
      <c r="R36" s="969"/>
      <c r="S36" s="969"/>
      <c r="T36" s="753">
        <f>X36&gt;0</f>
        <v>1</v>
      </c>
      <c r="U36" s="969"/>
      <c r="V36" s="175" cm="1" t="str">
        <f t="array" ref="V36:V36">'Операционные (5.1)'!$AB$51</f>
        <v>Тариф 1 (Теплоснабжение) - Тариф на тепловую энергию (мощность), поставляемую потребителям (Доп. признак не требуется)</v>
      </c>
      <c r="W36" s="969"/>
      <c r="X36" s="175" t="s">
        <v>308</v>
      </c>
      <c r="Y36" s="969"/>
      <c r="Z36" s="969"/>
      <c r="AA36" s="969"/>
      <c r="AB36" s="688" cm="1" t="str">
        <f t="array" ref="AB36:AB36">IF(ISBLANK('Операционные (5.1)'!$AB$51),"",'Операционные (5.1)'!$AB$51)</f>
        <v>Тариф 1 (Теплоснабжение) - Тариф на тепловую энергию (мощность), поставляемую потребителям (Доп. признак не требуется)</v>
      </c>
      <c r="AC36" s="334"/>
      <c r="AD36" s="334"/>
      <c r="AE36" s="334"/>
      <c r="AF36" s="334"/>
      <c r="AG36" s="334"/>
      <c r="AH36" s="334"/>
      <c r="AI36" s="334"/>
      <c r="AJ36" s="334"/>
      <c r="AK36" s="334"/>
      <c r="AL36" s="334"/>
      <c r="AM36" s="334"/>
      <c r="AN36" s="334"/>
      <c r="AO36" s="334"/>
      <c r="AP36" s="334"/>
      <c r="AQ36" s="334"/>
      <c r="AR36" s="334"/>
      <c r="AS36" s="334"/>
      <c r="AT36" s="334"/>
      <c r="AU36" s="334"/>
      <c r="AV36" s="334"/>
      <c r="AW36" s="334"/>
      <c r="AX36" s="334"/>
      <c r="AY36" s="334"/>
      <c r="AZ36" s="334"/>
      <c r="BA36" s="334"/>
      <c r="BB36" s="334"/>
      <c r="BC36" s="334"/>
      <c r="BD36" s="334"/>
      <c r="BE36" s="334"/>
      <c r="BF36" s="334"/>
      <c r="BG36" s="334"/>
      <c r="BH36" s="334"/>
      <c r="BI36" s="334"/>
      <c r="BJ36" s="334"/>
      <c r="BK36" s="334"/>
      <c r="BL36" s="334"/>
      <c r="BM36" s="334"/>
      <c r="BN36" s="334"/>
      <c r="BO36" s="334"/>
      <c r="BP36" s="334"/>
      <c r="BQ36" s="334"/>
      <c r="BR36" s="334"/>
      <c r="BS36" s="334"/>
      <c r="BT36" s="334"/>
      <c r="BU36" s="334"/>
      <c r="BV36" s="334"/>
      <c r="BW36" s="334"/>
      <c r="BX36" s="334"/>
      <c r="BY36" s="334"/>
      <c r="BZ36" s="334"/>
      <c r="CA36" s="334"/>
      <c r="CB36" s="334"/>
      <c r="CC36" s="334"/>
      <c r="CD36" s="334"/>
      <c r="CE36" s="334"/>
      <c r="CF36" s="334"/>
      <c r="CG36" s="334"/>
      <c r="CH36" s="334"/>
      <c r="CI36" s="334"/>
      <c r="CJ36" s="334"/>
      <c r="CK36" s="334"/>
      <c r="CL36" s="334"/>
      <c r="CM36" s="334"/>
      <c r="CN36" s="334"/>
      <c r="CO36" s="334"/>
      <c r="CP36" s="334"/>
      <c r="CQ36" s="334"/>
      <c r="CR36" s="334"/>
      <c r="CS36" s="334"/>
      <c r="CT36" s="334"/>
      <c r="CU36" s="969"/>
      <c r="CV36" s="969"/>
      <c r="CW36" s="975"/>
      <c r="CX36" s="969"/>
      <c r="CY36" s="969"/>
      <c r="CZ36" s="969"/>
      <c r="DA36" s="969"/>
      <c r="DB36" s="969"/>
      <c r="DC36" s="969"/>
      <c r="DD36" s="969"/>
      <c r="DE36" s="969"/>
      <c r="DF36" s="969"/>
      <c r="DG36" s="969"/>
    </row>
    <row s="1751" customFormat="1" customHeight="1" ht="16.5">
      <c r="A37" s="371"/>
      <c r="B37" s="1548"/>
      <c r="C37" s="1548"/>
      <c r="D37" s="1548"/>
      <c r="E37" s="180">
        <v>17</v>
      </c>
      <c r="F37" s="175" cm="1" t="str">
        <f t="array" ref="F37:F37">OFFSET(G37,-1,-1)</f>
        <v>1</v>
      </c>
      <c r="G37" s="193" t="s">
        <v>511</v>
      </c>
      <c r="H37" s="1659"/>
      <c r="I37" s="1659"/>
      <c r="J37" s="1659"/>
      <c r="K37" s="1659"/>
      <c r="L37" s="1659"/>
      <c r="M37" s="1659"/>
      <c r="N37" s="1659"/>
      <c r="O37" s="1659"/>
      <c r="P37" s="1659"/>
      <c r="Q37" s="1659"/>
      <c r="R37" s="1659"/>
      <c r="S37" s="1659"/>
      <c r="T37" s="753" cm="1" t="str">
        <f t="array" ref="T37:T37">T36</f>
        <v>true</v>
      </c>
      <c r="U37" s="1548"/>
      <c r="V37" s="1548"/>
      <c r="W37" s="1548"/>
      <c r="X37" s="1548"/>
      <c r="Y37" s="1548"/>
      <c r="Z37" s="1548"/>
      <c r="AA37" s="286"/>
      <c r="AB37" s="491">
        <v>1</v>
      </c>
      <c r="AC37" s="713" t="s">
        <v>1603</v>
      </c>
      <c r="AD37" s="491" t="s">
        <v>495</v>
      </c>
      <c r="AE37" s="714"/>
      <c r="AF37" s="715"/>
      <c r="AG37" s="715"/>
      <c r="AH37" s="715"/>
      <c r="AI37" s="2344"/>
      <c r="AJ37" s="717">
        <f>_xlfn.SUMIFS(Сценарии!AE$27:AE$86,Сценарии!$F$27:$F$86,$F37,Сценарии!$G$27:$G$86,$G37)</f>
        <v>5</v>
      </c>
      <c r="AK37" s="717">
        <f>_xlfn.SUMIFS(Сценарии!AF$27:AF$86,Сценарии!$F$27:$F$86,$F37,Сценарии!$G$27:$G$86,$G37)</f>
        <v>0</v>
      </c>
      <c r="AL37" s="717">
        <f>_xlfn.SUMIFS(Сценарии!AG$27:AG$86,Сценарии!$F$27:$F$86,$F37,Сценарии!$G$27:$G$86,$G37)</f>
        <v>0</v>
      </c>
      <c r="AM37" s="717">
        <f>_xlfn.SUMIFS(Сценарии!AH$27:AH$86,Сценарии!$F$27:$F$86,$F37,Сценарии!$G$27:$G$86,$G37)</f>
        <v>0</v>
      </c>
      <c r="AN37" s="717">
        <f>_xlfn.SUMIFS(Сценарии!AI$27:AI$86,Сценарии!$F$27:$F$86,$F37,Сценарии!$G$27:$G$86,$G37)</f>
        <v>0</v>
      </c>
      <c r="AO37" s="717">
        <f>_xlfn.SUMIFS(Сценарии!AJ$27:AJ$86,Сценарии!$F$27:$F$86,$F37,Сценарии!$G$27:$G$86,$G37)</f>
        <v>0</v>
      </c>
      <c r="AP37" s="717">
        <f>_xlfn.SUMIFS(Сценарии!AK$27:AK$86,Сценарии!$F$27:$F$86,$F37,Сценарии!$G$27:$G$86,$G37)</f>
        <v>0</v>
      </c>
      <c r="AQ37" s="717">
        <f>_xlfn.SUMIFS(Сценарии!AL$27:AL$86,Сценарии!$F$27:$F$86,$F37,Сценарии!$G$27:$G$86,$G37)</f>
        <v>0</v>
      </c>
      <c r="AR37" s="717">
        <f>_xlfn.SUMIFS(Сценарии!AM$27:AM$86,Сценарии!$F$27:$F$86,$F37,Сценарии!$G$27:$G$86,$G37)</f>
        <v>0</v>
      </c>
      <c r="AS37" s="717">
        <f>_xlfn.SUMIFS(Сценарии!AN$27:AN$86,Сценарии!$F$27:$F$86,$F37,Сценарии!$G$27:$G$86,$G37)</f>
        <v>0</v>
      </c>
      <c r="AT37" s="717">
        <f>_xlfn.SUMIFS(Сценарии!AO$27:AO$86,Сценарии!$F$27:$F$86,$F37,Сценарии!$G$27:$G$86,$G37)</f>
        <v>0</v>
      </c>
      <c r="AU37" s="717">
        <f>_xlfn.SUMIFS(Сценарии!AP$27:AP$86,Сценарии!$F$27:$F$86,$F37,Сценарии!$G$27:$G$86,$G37)</f>
        <v>0</v>
      </c>
      <c r="AV37" s="717">
        <f>_xlfn.SUMIFS(Сценарии!AQ$27:AQ$86,Сценарии!$F$27:$F$86,$F37,Сценарии!$G$27:$G$86,$G37)</f>
        <v>0</v>
      </c>
      <c r="AW37" s="717">
        <f>_xlfn.SUMIFS(Сценарии!AR$27:AR$86,Сценарии!$F$27:$F$86,$F37,Сценарии!$G$27:$G$86,$G37)</f>
        <v>0</v>
      </c>
      <c r="AX37" s="717">
        <f>_xlfn.SUMIFS(Сценарии!AS$27:AS$86,Сценарии!$F$27:$F$86,$F37,Сценарии!$G$27:$G$86,$G37)</f>
        <v>0</v>
      </c>
      <c r="AY37" s="717">
        <f>_xlfn.SUMIFS(Сценарии!AT$27:AT$86,Сценарии!$F$27:$F$86,$F37,Сценарии!$G$27:$G$86,$G37)</f>
        <v>0</v>
      </c>
      <c r="AZ37" s="717">
        <f>_xlfn.SUMIFS(Сценарии!AU$27:AU$86,Сценарии!$F$27:$F$86,$F37,Сценарии!$G$27:$G$86,$G37)</f>
        <v>0</v>
      </c>
      <c r="BA37" s="717">
        <f>_xlfn.SUMIFS(Сценарии!AV$27:AV$86,Сценарии!$F$27:$F$86,$F37,Сценарии!$G$27:$G$86,$G37)</f>
        <v>0</v>
      </c>
      <c r="BB37" s="717">
        <f>_xlfn.SUMIFS(Сценарии!AW$27:AW$86,Сценарии!$F$27:$F$86,$F37,Сценарии!$G$27:$G$86,$G37)</f>
        <v>0</v>
      </c>
      <c r="BC37" s="717">
        <f>_xlfn.SUMIFS(Сценарии!AX$27:AX$86,Сценарии!$F$27:$F$86,$F37,Сценарии!$G$27:$G$86,$G37)</f>
        <v>0</v>
      </c>
      <c r="BD37" s="717">
        <f>_xlfn.SUMIFS(Сценарии!AY$27:AY$86,Сценарии!$F$27:$F$86,$F37,Сценарии!$G$27:$G$86,$G37)</f>
        <v>5</v>
      </c>
      <c r="BE37" s="717">
        <f>_xlfn.SUMIFS(Сценарии!AZ$27:AZ$86,Сценарии!$F$27:$F$86,$F37,Сценарии!$G$27:$G$86,$G37)</f>
        <v>0</v>
      </c>
      <c r="BF37" s="717">
        <f>_xlfn.SUMIFS(Сценарии!BA$27:BA$86,Сценарии!$F$27:$F$86,$F37,Сценарии!$G$27:$G$86,$G37)</f>
        <v>0</v>
      </c>
      <c r="BG37" s="717">
        <f>_xlfn.SUMIFS(Сценарии!BB$27:BB$86,Сценарии!$F$27:$F$86,$F37,Сценарии!$G$27:$G$86,$G37)</f>
        <v>0</v>
      </c>
      <c r="BH37" s="717">
        <f>_xlfn.SUMIFS(Сценарии!BC$27:BC$86,Сценарии!$F$27:$F$86,$F37,Сценарии!$G$27:$G$86,$G37)</f>
        <v>0</v>
      </c>
      <c r="BI37" s="717">
        <f>_xlfn.SUMIFS(Сценарии!BD$27:BD$86,Сценарии!$F$27:$F$86,$F37,Сценарии!$G$27:$G$86,$G37)</f>
        <v>0</v>
      </c>
      <c r="BJ37" s="717">
        <f>_xlfn.SUMIFS(Сценарии!BE$27:BE$86,Сценарии!$F$27:$F$86,$F37,Сценарии!$G$27:$G$86,$G37)</f>
        <v>0</v>
      </c>
      <c r="BK37" s="717">
        <f>_xlfn.SUMIFS(Сценарии!BF$27:BF$86,Сценарии!$F$27:$F$86,$F37,Сценарии!$G$27:$G$86,$G37)</f>
        <v>0</v>
      </c>
      <c r="BL37" s="717">
        <f>_xlfn.SUMIFS(Сценарии!BG$27:BG$86,Сценарии!$F$27:$F$86,$F37,Сценарии!$G$27:$G$86,$G37)</f>
        <v>0</v>
      </c>
      <c r="BM37" s="717">
        <f>_xlfn.SUMIFS(Сценарии!BH$27:BH$86,Сценарии!$F$27:$F$86,$F37,Сценарии!$G$27:$G$86,$G37)</f>
        <v>0</v>
      </c>
      <c r="BN37" s="717">
        <f>_xlfn.SUMIFS(Сценарии!BI$27:BI$86,Сценарии!$F$27:$F$86,$F37,Сценарии!$G$27:$G$86,$G37)</f>
        <v>0</v>
      </c>
      <c r="BO37" s="717">
        <f>_xlfn.SUMIFS(Сценарии!BJ$27:BJ$86,Сценарии!$F$27:$F$86,$F37,Сценарии!$G$27:$G$86,$G37)</f>
        <v>0</v>
      </c>
      <c r="BP37" s="717">
        <f>_xlfn.SUMIFS(Сценарии!BK$27:BK$86,Сценарии!$F$27:$F$86,$F37,Сценарии!$G$27:$G$86,$G37)</f>
        <v>0</v>
      </c>
      <c r="BQ37" s="717">
        <f>_xlfn.SUMIFS(Сценарии!BL$27:BL$86,Сценарии!$F$27:$F$86,$F37,Сценарии!$G$27:$G$86,$G37)</f>
        <v>0</v>
      </c>
      <c r="BR37" s="717">
        <f>_xlfn.SUMIFS(Сценарии!BM$27:BM$86,Сценарии!$F$27:$F$86,$F37,Сценарии!$G$27:$G$86,$G37)</f>
        <v>0</v>
      </c>
      <c r="BS37" s="717">
        <f>_xlfn.SUMIFS(Сценарии!BN$27:BN$86,Сценарии!$F$27:$F$86,$F37,Сценарии!$G$27:$G$86,$G37)</f>
        <v>0</v>
      </c>
      <c r="BT37" s="717">
        <f>_xlfn.SUMIFS(Сценарии!BO$27:BO$86,Сценарии!$F$27:$F$86,$F37,Сценарии!$G$27:$G$86,$G37)</f>
        <v>0</v>
      </c>
      <c r="BU37" s="717">
        <f>_xlfn.SUMIFS(Сценарии!BP$27:BP$86,Сценарии!$F$27:$F$86,$F37,Сценарии!$G$27:$G$86,$G37)</f>
        <v>0</v>
      </c>
      <c r="BV37" s="717">
        <f>_xlfn.SUMIFS(Сценарии!BQ$27:BQ$86,Сценарии!$F$27:$F$86,$F37,Сценарии!$G$27:$G$86,$G37)</f>
        <v>0</v>
      </c>
      <c r="BW37" s="717">
        <f>_xlfn.SUMIFS(Сценарии!BR$27:BR$86,Сценарии!$F$27:$F$86,$F37,Сценарии!$G$27:$G$86,$G37)</f>
        <v>0</v>
      </c>
      <c r="BX37" s="718"/>
      <c r="BY37" s="718"/>
      <c r="BZ37" s="718"/>
      <c r="CA37" s="718"/>
      <c r="CB37" s="718"/>
      <c r="CC37" s="718"/>
      <c r="CD37" s="718"/>
      <c r="CE37" s="718"/>
      <c r="CF37" s="718"/>
      <c r="CG37" s="718"/>
      <c r="CH37" s="718"/>
      <c r="CI37" s="718"/>
      <c r="CJ37" s="718"/>
      <c r="CK37" s="718"/>
      <c r="CL37" s="718"/>
      <c r="CM37" s="718"/>
      <c r="CN37" s="718"/>
      <c r="CO37" s="718"/>
      <c r="CP37" s="718"/>
      <c r="CQ37" s="718"/>
      <c r="CR37" s="1897"/>
      <c r="CS37" s="1897"/>
      <c r="CT37" s="1897"/>
      <c r="CU37" s="286"/>
      <c r="CV37" s="1659"/>
      <c r="CW37" s="309" t="s">
        <v>1604</v>
      </c>
      <c r="CX37" s="1506"/>
      <c r="CY37" s="1506"/>
      <c r="CZ37" s="0" cm="1" t="str">
        <f t="array" ref="CZ37:CZ37">INDEX('Общие сведения'!$N$170:$N$202,MATCH($F37,'Общие сведения'!$Y$170:$Y$202,0)+1)</f>
        <v>ТЭ.42.31656254.0001</v>
      </c>
      <c r="DA37" s="0" t="s">
        <v>1605</v>
      </c>
      <c r="DB37" s="1751"/>
      <c r="DC37" s="1751"/>
      <c r="DD37" s="1751"/>
      <c r="DE37" s="0" t="s">
        <v>303</v>
      </c>
      <c r="DF37" s="0" t="s">
        <v>514</v>
      </c>
      <c r="DG37" s="0" t="s">
        <v>515</v>
      </c>
    </row>
    <row s="1046" customFormat="1" customHeight="1" ht="16.5">
      <c r="A38" s="1046"/>
      <c r="B38" s="1046"/>
      <c r="C38" s="1046"/>
      <c r="D38" s="1046"/>
      <c r="E38" s="180">
        <v>17</v>
      </c>
      <c r="F38" s="175" cm="1" t="str">
        <f t="array" ref="F38:F38">OFFSET(G38,-1,-1)</f>
        <v>1</v>
      </c>
      <c r="G38" s="308" t="s">
        <v>500</v>
      </c>
      <c r="H38" s="1046"/>
      <c r="I38" s="1046"/>
      <c r="J38" s="1046"/>
      <c r="K38" s="1046"/>
      <c r="L38" s="1046"/>
      <c r="M38" s="1046"/>
      <c r="N38" s="1046"/>
      <c r="O38" s="1046"/>
      <c r="P38" s="1046"/>
      <c r="Q38" s="1046"/>
      <c r="R38" s="1046"/>
      <c r="S38" s="1046"/>
      <c r="T38" s="753" cm="1" t="str">
        <f t="array" ref="T38:T38">T37</f>
        <v>true</v>
      </c>
      <c r="U38" s="1046"/>
      <c r="V38" s="1046"/>
      <c r="W38" s="1046"/>
      <c r="X38" s="1046"/>
      <c r="Y38" s="1046"/>
      <c r="Z38" s="1046"/>
      <c r="AA38" s="1046"/>
      <c r="AB38" s="491">
        <v>2</v>
      </c>
      <c r="AC38" s="496" t="s">
        <v>1606</v>
      </c>
      <c r="AD38" s="491" t="s">
        <v>495</v>
      </c>
      <c r="AE38" s="714"/>
      <c r="AF38" s="715"/>
      <c r="AG38" s="715"/>
      <c r="AH38" s="715"/>
      <c r="AI38" s="2344"/>
      <c r="AJ38" s="717">
        <f>_xlfn.SUMIFS(Сценарии!AE$27:AE$86,Сценарии!$F$27:$F$86,$F38,Сценарии!$G$27:$G$86,$G38)</f>
        <v>1</v>
      </c>
      <c r="AK38" s="717">
        <f>_xlfn.SUMIFS(Сценарии!AF$27:AF$86,Сценарии!$F$27:$F$86,$F38,Сценарии!$G$27:$G$86,$G38)</f>
        <v>1</v>
      </c>
      <c r="AL38" s="717">
        <f>_xlfn.SUMIFS(Сценарии!AG$27:AG$86,Сценарии!$F$27:$F$86,$F38,Сценарии!$G$27:$G$86,$G38)</f>
        <v>1</v>
      </c>
      <c r="AM38" s="717">
        <f>_xlfn.SUMIFS(Сценарии!AH$27:AH$86,Сценарии!$F$27:$F$86,$F38,Сценарии!$G$27:$G$86,$G38)</f>
        <v>1</v>
      </c>
      <c r="AN38" s="717">
        <f>_xlfn.SUMIFS(Сценарии!AI$27:AI$86,Сценарии!$F$27:$F$86,$F38,Сценарии!$G$27:$G$86,$G38)</f>
        <v>1</v>
      </c>
      <c r="AO38" s="717">
        <f>_xlfn.SUMIFS(Сценарии!AJ$27:AJ$86,Сценарии!$F$27:$F$86,$F38,Сценарии!$G$27:$G$86,$G38)</f>
        <v>1</v>
      </c>
      <c r="AP38" s="717">
        <f>_xlfn.SUMIFS(Сценарии!AK$27:AK$86,Сценарии!$F$27:$F$86,$F38,Сценарии!$G$27:$G$86,$G38)</f>
        <v>1</v>
      </c>
      <c r="AQ38" s="717">
        <f>_xlfn.SUMIFS(Сценарии!AL$27:AL$86,Сценарии!$F$27:$F$86,$F38,Сценарии!$G$27:$G$86,$G38)</f>
        <v>1</v>
      </c>
      <c r="AR38" s="717">
        <f>_xlfn.SUMIFS(Сценарии!AM$27:AM$86,Сценарии!$F$27:$F$86,$F38,Сценарии!$G$27:$G$86,$G38)</f>
        <v>1</v>
      </c>
      <c r="AS38" s="717">
        <f>_xlfn.SUMIFS(Сценарии!AN$27:AN$86,Сценарии!$F$27:$F$86,$F38,Сценарии!$G$27:$G$86,$G38)</f>
        <v>1</v>
      </c>
      <c r="AT38" s="717">
        <f>_xlfn.SUMIFS(Сценарии!AO$27:AO$86,Сценарии!$F$27:$F$86,$F38,Сценарии!$G$27:$G$86,$G38)</f>
        <v>1</v>
      </c>
      <c r="AU38" s="717">
        <f>_xlfn.SUMIFS(Сценарии!AP$27:AP$86,Сценарии!$F$27:$F$86,$F38,Сценарии!$G$27:$G$86,$G38)</f>
        <v>1</v>
      </c>
      <c r="AV38" s="717">
        <f>_xlfn.SUMIFS(Сценарии!AQ$27:AQ$86,Сценарии!$F$27:$F$86,$F38,Сценарии!$G$27:$G$86,$G38)</f>
        <v>1</v>
      </c>
      <c r="AW38" s="717">
        <f>_xlfn.SUMIFS(Сценарии!AR$27:AR$86,Сценарии!$F$27:$F$86,$F38,Сценарии!$G$27:$G$86,$G38)</f>
        <v>1</v>
      </c>
      <c r="AX38" s="717">
        <f>_xlfn.SUMIFS(Сценарии!AS$27:AS$86,Сценарии!$F$27:$F$86,$F38,Сценарии!$G$27:$G$86,$G38)</f>
        <v>1</v>
      </c>
      <c r="AY38" s="717">
        <f>_xlfn.SUMIFS(Сценарии!AT$27:AT$86,Сценарии!$F$27:$F$86,$F38,Сценарии!$G$27:$G$86,$G38)</f>
        <v>1</v>
      </c>
      <c r="AZ38" s="717">
        <f>_xlfn.SUMIFS(Сценарии!AU$27:AU$86,Сценарии!$F$27:$F$86,$F38,Сценарии!$G$27:$G$86,$G38)</f>
        <v>1</v>
      </c>
      <c r="BA38" s="717">
        <f>_xlfn.SUMIFS(Сценарии!AV$27:AV$86,Сценарии!$F$27:$F$86,$F38,Сценарии!$G$27:$G$86,$G38)</f>
        <v>1</v>
      </c>
      <c r="BB38" s="717">
        <f>_xlfn.SUMIFS(Сценарии!AW$27:AW$86,Сценарии!$F$27:$F$86,$F38,Сценарии!$G$27:$G$86,$G38)</f>
        <v>1</v>
      </c>
      <c r="BC38" s="717">
        <f>_xlfn.SUMIFS(Сценарии!AX$27:AX$86,Сценарии!$F$27:$F$86,$F38,Сценарии!$G$27:$G$86,$G38)</f>
        <v>1</v>
      </c>
      <c r="BD38" s="716">
        <v>1</v>
      </c>
      <c r="BE38" s="2344">
        <v>1</v>
      </c>
      <c r="BF38" s="2344">
        <v>1</v>
      </c>
      <c r="BG38" s="2344">
        <v>1</v>
      </c>
      <c r="BH38" s="2344">
        <v>1</v>
      </c>
      <c r="BI38" s="2344">
        <v>1</v>
      </c>
      <c r="BJ38" s="2344">
        <v>1</v>
      </c>
      <c r="BK38" s="2344">
        <v>1</v>
      </c>
      <c r="BL38" s="2344">
        <v>1</v>
      </c>
      <c r="BM38" s="2344">
        <v>1</v>
      </c>
      <c r="BN38" s="2344">
        <v>1</v>
      </c>
      <c r="BO38" s="2344">
        <v>1</v>
      </c>
      <c r="BP38" s="2344">
        <v>1</v>
      </c>
      <c r="BQ38" s="2344">
        <v>1</v>
      </c>
      <c r="BR38" s="2344">
        <v>1</v>
      </c>
      <c r="BS38" s="2344">
        <v>1</v>
      </c>
      <c r="BT38" s="2344">
        <v>1</v>
      </c>
      <c r="BU38" s="2344">
        <v>1</v>
      </c>
      <c r="BV38" s="2344">
        <v>1</v>
      </c>
      <c r="BW38" s="2344">
        <v>1</v>
      </c>
      <c r="BX38" s="718"/>
      <c r="BY38" s="718"/>
      <c r="BZ38" s="718"/>
      <c r="CA38" s="718"/>
      <c r="CB38" s="718"/>
      <c r="CC38" s="718"/>
      <c r="CD38" s="718"/>
      <c r="CE38" s="718"/>
      <c r="CF38" s="718"/>
      <c r="CG38" s="718"/>
      <c r="CH38" s="718"/>
      <c r="CI38" s="718"/>
      <c r="CJ38" s="718"/>
      <c r="CK38" s="718"/>
      <c r="CL38" s="718"/>
      <c r="CM38" s="718"/>
      <c r="CN38" s="718"/>
      <c r="CO38" s="718"/>
      <c r="CP38" s="718"/>
      <c r="CQ38" s="718"/>
      <c r="CR38" s="1897"/>
      <c r="CS38" s="1897"/>
      <c r="CT38" s="1897"/>
      <c r="CU38" s="1046"/>
      <c r="CV38" s="1046"/>
      <c r="CW38" s="309" t="s">
        <v>1607</v>
      </c>
      <c r="CX38" s="1046"/>
      <c r="CY38" s="1046"/>
      <c r="CZ38" s="0" cm="1" t="str">
        <f t="array" ref="CZ38:CZ38">CZ37</f>
        <v>ТЭ.42.31656254.0001</v>
      </c>
      <c r="DA38" s="1046"/>
      <c r="DB38" s="0" t="s">
        <v>503</v>
      </c>
      <c r="DC38" s="1046"/>
      <c r="DD38" s="1046"/>
      <c r="DE38" s="0" t="s">
        <v>303</v>
      </c>
      <c r="DF38" s="0" t="s">
        <v>611</v>
      </c>
      <c r="DG38" s="0" t="s">
        <v>612</v>
      </c>
    </row>
    <row s="1751" customFormat="1" customHeight="1" ht="16.5">
      <c r="A39" s="371"/>
      <c r="B39" s="1548"/>
      <c r="C39" s="1548"/>
      <c r="D39" s="1548"/>
      <c r="E39" s="180">
        <v>17</v>
      </c>
      <c r="F39" s="175" cm="1" t="str">
        <f t="array" ref="F39:F39">OFFSET(G39,-1,-1)</f>
        <v>1</v>
      </c>
      <c r="G39" s="193" t="s">
        <v>562</v>
      </c>
      <c r="H39" s="1659"/>
      <c r="I39" s="1659"/>
      <c r="J39" s="1659"/>
      <c r="K39" s="1659"/>
      <c r="L39" s="1659"/>
      <c r="M39" s="1659"/>
      <c r="N39" s="1659"/>
      <c r="O39" s="1659"/>
      <c r="P39" s="1659"/>
      <c r="Q39" s="1659"/>
      <c r="R39" s="1659"/>
      <c r="S39" s="1659"/>
      <c r="T39" s="753" cm="1" t="str">
        <f t="array" ref="T39:T39">T38</f>
        <v>true</v>
      </c>
      <c r="U39" s="1548"/>
      <c r="V39" s="1548"/>
      <c r="W39" s="1548"/>
      <c r="X39" s="1548"/>
      <c r="Y39" s="1548"/>
      <c r="Z39" s="1548"/>
      <c r="AA39" s="286"/>
      <c r="AB39" s="491">
        <v>3</v>
      </c>
      <c r="AC39" s="496" t="s">
        <v>1608</v>
      </c>
      <c r="AD39" s="491"/>
      <c r="AE39" s="714"/>
      <c r="AF39" s="715"/>
      <c r="AG39" s="715"/>
      <c r="AH39" s="715"/>
      <c r="AI39" s="2344"/>
      <c r="AJ39" s="717">
        <f>_xlfn.SUMIFS(Сценарии!AE$27:AE$86,Сценарии!$F$27:$F$86,$F39,Сценарии!$G$27:$G$86,$G39)</f>
        <v>0</v>
      </c>
      <c r="AK39" s="717">
        <f>_xlfn.SUMIFS(Сценарии!AF$27:AF$86,Сценарии!$F$27:$F$86,$F39,Сценарии!$G$27:$G$86,$G39)</f>
        <v>0</v>
      </c>
      <c r="AL39" s="717">
        <f>_xlfn.SUMIFS(Сценарии!AG$27:AG$86,Сценарии!$F$27:$F$86,$F39,Сценарии!$G$27:$G$86,$G39)</f>
        <v>0</v>
      </c>
      <c r="AM39" s="717">
        <f>_xlfn.SUMIFS(Сценарии!AH$27:AH$86,Сценарии!$F$27:$F$86,$F39,Сценарии!$G$27:$G$86,$G39)</f>
        <v>0</v>
      </c>
      <c r="AN39" s="717">
        <f>_xlfn.SUMIFS(Сценарии!AI$27:AI$86,Сценарии!$F$27:$F$86,$F39,Сценарии!$G$27:$G$86,$G39)</f>
        <v>0</v>
      </c>
      <c r="AO39" s="717">
        <f>_xlfn.SUMIFS(Сценарии!AJ$27:AJ$86,Сценарии!$F$27:$F$86,$F39,Сценарии!$G$27:$G$86,$G39)</f>
        <v>0</v>
      </c>
      <c r="AP39" s="717">
        <f>_xlfn.SUMIFS(Сценарии!AK$27:AK$86,Сценарии!$F$27:$F$86,$F39,Сценарии!$G$27:$G$86,$G39)</f>
        <v>0</v>
      </c>
      <c r="AQ39" s="717">
        <f>_xlfn.SUMIFS(Сценарии!AL$27:AL$86,Сценарии!$F$27:$F$86,$F39,Сценарии!$G$27:$G$86,$G39)</f>
        <v>0</v>
      </c>
      <c r="AR39" s="717">
        <f>_xlfn.SUMIFS(Сценарии!AM$27:AM$86,Сценарии!$F$27:$F$86,$F39,Сценарии!$G$27:$G$86,$G39)</f>
        <v>0</v>
      </c>
      <c r="AS39" s="717">
        <f>_xlfn.SUMIFS(Сценарии!AN$27:AN$86,Сценарии!$F$27:$F$86,$F39,Сценарии!$G$27:$G$86,$G39)</f>
        <v>0</v>
      </c>
      <c r="AT39" s="717">
        <f>_xlfn.SUMIFS(Сценарии!AO$27:AO$86,Сценарии!$F$27:$F$86,$F39,Сценарии!$G$27:$G$86,$G39)</f>
        <v>0</v>
      </c>
      <c r="AU39" s="717">
        <f>_xlfn.SUMIFS(Сценарии!AP$27:AP$86,Сценарии!$F$27:$F$86,$F39,Сценарии!$G$27:$G$86,$G39)</f>
        <v>0</v>
      </c>
      <c r="AV39" s="717">
        <f>_xlfn.SUMIFS(Сценарии!AQ$27:AQ$86,Сценарии!$F$27:$F$86,$F39,Сценарии!$G$27:$G$86,$G39)</f>
        <v>0</v>
      </c>
      <c r="AW39" s="717">
        <f>_xlfn.SUMIFS(Сценарии!AR$27:AR$86,Сценарии!$F$27:$F$86,$F39,Сценарии!$G$27:$G$86,$G39)</f>
        <v>0</v>
      </c>
      <c r="AX39" s="717">
        <f>_xlfn.SUMIFS(Сценарии!AS$27:AS$86,Сценарии!$F$27:$F$86,$F39,Сценарии!$G$27:$G$86,$G39)</f>
        <v>0</v>
      </c>
      <c r="AY39" s="717">
        <f>_xlfn.SUMIFS(Сценарии!AT$27:AT$86,Сценарии!$F$27:$F$86,$F39,Сценарии!$G$27:$G$86,$G39)</f>
        <v>0</v>
      </c>
      <c r="AZ39" s="717">
        <f>_xlfn.SUMIFS(Сценарии!AU$27:AU$86,Сценарии!$F$27:$F$86,$F39,Сценарии!$G$27:$G$86,$G39)</f>
        <v>0</v>
      </c>
      <c r="BA39" s="717">
        <f>_xlfn.SUMIFS(Сценарии!AV$27:AV$86,Сценарии!$F$27:$F$86,$F39,Сценарии!$G$27:$G$86,$G39)</f>
        <v>0</v>
      </c>
      <c r="BB39" s="717">
        <f>_xlfn.SUMIFS(Сценарии!AW$27:AW$86,Сценарии!$F$27:$F$86,$F39,Сценарии!$G$27:$G$86,$G39)</f>
        <v>0</v>
      </c>
      <c r="BC39" s="717">
        <f>_xlfn.SUMIFS(Сценарии!AX$27:AX$86,Сценарии!$F$27:$F$86,$F39,Сценарии!$G$27:$G$86,$G39)</f>
        <v>0</v>
      </c>
      <c r="BD39" s="717">
        <f>_xlfn.SUMIFS(Сценарии!AY$27:AY$86,Сценарии!$F$27:$F$86,$F39,Сценарии!$G$27:$G$86,$G39)</f>
        <v>0</v>
      </c>
      <c r="BE39" s="717">
        <f>_xlfn.SUMIFS(Сценарии!AZ$27:AZ$86,Сценарии!$F$27:$F$86,$F39,Сценарии!$G$27:$G$86,$G39)</f>
        <v>0</v>
      </c>
      <c r="BF39" s="717">
        <f>_xlfn.SUMIFS(Сценарии!BA$27:BA$86,Сценарии!$F$27:$F$86,$F39,Сценарии!$G$27:$G$86,$G39)</f>
        <v>0</v>
      </c>
      <c r="BG39" s="717">
        <f>_xlfn.SUMIFS(Сценарии!BB$27:BB$86,Сценарии!$F$27:$F$86,$F39,Сценарии!$G$27:$G$86,$G39)</f>
        <v>0</v>
      </c>
      <c r="BH39" s="717">
        <f>_xlfn.SUMIFS(Сценарии!BC$27:BC$86,Сценарии!$F$27:$F$86,$F39,Сценарии!$G$27:$G$86,$G39)</f>
        <v>0</v>
      </c>
      <c r="BI39" s="717">
        <f>_xlfn.SUMIFS(Сценарии!BD$27:BD$86,Сценарии!$F$27:$F$86,$F39,Сценарии!$G$27:$G$86,$G39)</f>
        <v>0</v>
      </c>
      <c r="BJ39" s="717">
        <f>_xlfn.SUMIFS(Сценарии!BE$27:BE$86,Сценарии!$F$27:$F$86,$F39,Сценарии!$G$27:$G$86,$G39)</f>
        <v>0</v>
      </c>
      <c r="BK39" s="717">
        <f>_xlfn.SUMIFS(Сценарии!BF$27:BF$86,Сценарии!$F$27:$F$86,$F39,Сценарии!$G$27:$G$86,$G39)</f>
        <v>0</v>
      </c>
      <c r="BL39" s="717">
        <f>_xlfn.SUMIFS(Сценарии!BG$27:BG$86,Сценарии!$F$27:$F$86,$F39,Сценарии!$G$27:$G$86,$G39)</f>
        <v>0</v>
      </c>
      <c r="BM39" s="717">
        <f>_xlfn.SUMIFS(Сценарии!BH$27:BH$86,Сценарии!$F$27:$F$86,$F39,Сценарии!$G$27:$G$86,$G39)</f>
        <v>0</v>
      </c>
      <c r="BN39" s="717">
        <f>_xlfn.SUMIFS(Сценарии!BI$27:BI$86,Сценарии!$F$27:$F$86,$F39,Сценарии!$G$27:$G$86,$G39)</f>
        <v>0</v>
      </c>
      <c r="BO39" s="717">
        <f>_xlfn.SUMIFS(Сценарии!BJ$27:BJ$86,Сценарии!$F$27:$F$86,$F39,Сценарии!$G$27:$G$86,$G39)</f>
        <v>0</v>
      </c>
      <c r="BP39" s="717">
        <f>_xlfn.SUMIFS(Сценарии!BK$27:BK$86,Сценарии!$F$27:$F$86,$F39,Сценарии!$G$27:$G$86,$G39)</f>
        <v>0</v>
      </c>
      <c r="BQ39" s="717">
        <f>_xlfn.SUMIFS(Сценарии!BL$27:BL$86,Сценарии!$F$27:$F$86,$F39,Сценарии!$G$27:$G$86,$G39)</f>
        <v>0</v>
      </c>
      <c r="BR39" s="717">
        <f>_xlfn.SUMIFS(Сценарии!BM$27:BM$86,Сценарии!$F$27:$F$86,$F39,Сценарии!$G$27:$G$86,$G39)</f>
        <v>0</v>
      </c>
      <c r="BS39" s="717">
        <f>_xlfn.SUMIFS(Сценарии!BN$27:BN$86,Сценарии!$F$27:$F$86,$F39,Сценарии!$G$27:$G$86,$G39)</f>
        <v>0</v>
      </c>
      <c r="BT39" s="717">
        <f>_xlfn.SUMIFS(Сценарии!BO$27:BO$86,Сценарии!$F$27:$F$86,$F39,Сценарии!$G$27:$G$86,$G39)</f>
        <v>0</v>
      </c>
      <c r="BU39" s="717">
        <f>_xlfn.SUMIFS(Сценарии!BP$27:BP$86,Сценарии!$F$27:$F$86,$F39,Сценарии!$G$27:$G$86,$G39)</f>
        <v>0</v>
      </c>
      <c r="BV39" s="717">
        <f>_xlfn.SUMIFS(Сценарии!BQ$27:BQ$86,Сценарии!$F$27:$F$86,$F39,Сценарии!$G$27:$G$86,$G39)</f>
        <v>0</v>
      </c>
      <c r="BW39" s="717">
        <f>_xlfn.SUMIFS(Сценарии!BR$27:BR$86,Сценарии!$F$27:$F$86,$F39,Сценарии!$G$27:$G$86,$G39)</f>
        <v>0</v>
      </c>
      <c r="BX39" s="718"/>
      <c r="BY39" s="718"/>
      <c r="BZ39" s="718"/>
      <c r="CA39" s="718"/>
      <c r="CB39" s="718"/>
      <c r="CC39" s="718"/>
      <c r="CD39" s="718"/>
      <c r="CE39" s="718"/>
      <c r="CF39" s="718"/>
      <c r="CG39" s="718"/>
      <c r="CH39" s="718"/>
      <c r="CI39" s="718"/>
      <c r="CJ39" s="718"/>
      <c r="CK39" s="718"/>
      <c r="CL39" s="718"/>
      <c r="CM39" s="718"/>
      <c r="CN39" s="718"/>
      <c r="CO39" s="718"/>
      <c r="CP39" s="718"/>
      <c r="CQ39" s="718"/>
      <c r="CR39" s="1897"/>
      <c r="CS39" s="1897"/>
      <c r="CT39" s="1897"/>
      <c r="CU39" s="286"/>
      <c r="CV39" s="1659"/>
      <c r="CW39" s="309" t="s">
        <v>1609</v>
      </c>
      <c r="CX39" s="1506"/>
      <c r="CY39" s="1506"/>
      <c r="CZ39" s="0" cm="1" t="str">
        <f t="array" ref="CZ39:CZ39">CZ38</f>
        <v>ТЭ.42.31656254.0001</v>
      </c>
      <c r="DA39" s="1751"/>
      <c r="DB39" s="1751"/>
      <c r="DC39" s="1751"/>
      <c r="DD39" s="0" t="s">
        <v>255</v>
      </c>
      <c r="DE39" s="0" t="s">
        <v>303</v>
      </c>
      <c r="DF39" s="0" t="s">
        <v>565</v>
      </c>
      <c r="DG39" s="0" t="s">
        <v>566</v>
      </c>
    </row>
    <row s="1751" customFormat="1" customHeight="1" ht="29.25">
      <c r="A40" s="371"/>
      <c r="B40" s="1548"/>
      <c r="C40" s="1548"/>
      <c r="D40" s="1548"/>
      <c r="E40" s="180">
        <v>30</v>
      </c>
      <c r="F40" s="175" cm="1" t="str">
        <f t="array" ref="F40:F40">OFFSET(G40,-1,-1)</f>
        <v>1</v>
      </c>
      <c r="G40" s="193" t="s">
        <v>430</v>
      </c>
      <c r="H40" s="1659"/>
      <c r="I40" s="1659"/>
      <c r="J40" s="1659"/>
      <c r="K40" s="1659"/>
      <c r="L40" s="1659"/>
      <c r="M40" s="1659"/>
      <c r="N40" s="1659"/>
      <c r="O40" s="1659"/>
      <c r="P40" s="1659"/>
      <c r="Q40" s="1659"/>
      <c r="R40" s="1659"/>
      <c r="S40" s="1659"/>
      <c r="T40" s="753" cm="1" t="str">
        <f t="array" ref="T40:T40">T39</f>
        <v>true</v>
      </c>
      <c r="U40" s="1548"/>
      <c r="V40" s="1548"/>
      <c r="W40" s="1548"/>
      <c r="X40" s="1548"/>
      <c r="Y40" s="1548"/>
      <c r="Z40" s="1548"/>
      <c r="AA40" s="286"/>
      <c r="AB40" s="491">
        <v>3.1</v>
      </c>
      <c r="AC40" s="501" t="s">
        <v>1610</v>
      </c>
      <c r="AD40" s="491" t="s">
        <v>1611</v>
      </c>
      <c r="AE40" s="714"/>
      <c r="AF40" s="715"/>
      <c r="AG40" s="715"/>
      <c r="AH40" s="715"/>
      <c r="AI40" s="2346">
        <f>_xlfn.SUMIFS('Расчет УЕ'!AE$26:AE$68,'Расчет УЕ'!$F$26:$F$68,$F40,'Расчет УЕ'!$G$26:$G$68,$G40)</f>
        <v>7.6</v>
      </c>
      <c r="AJ40" s="719">
        <f>_xlfn.SUMIFS('Расчет УЕ'!AF$26:AF$68,'Расчет УЕ'!$F$26:$F$68,$F40,'Расчет УЕ'!$G$26:$G$68,$G40)</f>
        <v>7.6</v>
      </c>
      <c r="AK40" s="2346">
        <f>_xlfn.SUMIFS('Расчет УЕ'!AG$26:AG$68,'Расчет УЕ'!$F$26:$F$68,$F40,'Расчет УЕ'!$G$26:$G$68,$G40)</f>
        <v>0</v>
      </c>
      <c r="AL40" s="2344">
        <f>_xlfn.SUMIFS('Расчет УЕ'!AH$26:AH$68,'Расчет УЕ'!$F$26:$F$68,$F40,'Расчет УЕ'!$G$26:$G$68,$G40)</f>
        <v>0</v>
      </c>
      <c r="AM40" s="2344">
        <f>_xlfn.SUMIFS('Расчет УЕ'!AI$26:AI$68,'Расчет УЕ'!$F$26:$F$68,$F40,'Расчет УЕ'!$G$26:$G$68,$G40)</f>
        <v>0</v>
      </c>
      <c r="AN40" s="2344">
        <f>_xlfn.SUMIFS('Расчет УЕ'!AJ$26:AJ$68,'Расчет УЕ'!$F$26:$F$68,$F40,'Расчет УЕ'!$G$26:$G$68,$G40)</f>
        <v>0</v>
      </c>
      <c r="AO40" s="2344">
        <f>_xlfn.SUMIFS('Расчет УЕ'!AK$26:AK$68,'Расчет УЕ'!$F$26:$F$68,$F40,'Расчет УЕ'!$G$26:$G$68,$G40)</f>
        <v>0</v>
      </c>
      <c r="AP40" s="2344">
        <f>_xlfn.SUMIFS('Расчет УЕ'!AL$26:AL$68,'Расчет УЕ'!$F$26:$F$68,$F40,'Расчет УЕ'!$G$26:$G$68,$G40)</f>
        <v>0</v>
      </c>
      <c r="AQ40" s="2344">
        <f>_xlfn.SUMIFS('Расчет УЕ'!AM$26:AM$68,'Расчет УЕ'!$F$26:$F$68,$F40,'Расчет УЕ'!$G$26:$G$68,$G40)</f>
        <v>0</v>
      </c>
      <c r="AR40" s="2344">
        <f>_xlfn.SUMIFS('Расчет УЕ'!AN$26:AN$68,'Расчет УЕ'!$F$26:$F$68,$F40,'Расчет УЕ'!$G$26:$G$68,$G40)</f>
        <v>0</v>
      </c>
      <c r="AS40" s="2344">
        <f>_xlfn.SUMIFS('Расчет УЕ'!AO$26:AO$68,'Расчет УЕ'!$F$26:$F$68,$F40,'Расчет УЕ'!$G$26:$G$68,$G40)</f>
        <v>0</v>
      </c>
      <c r="AT40" s="2344">
        <f>_xlfn.SUMIFS('Расчет УЕ'!AP$26:AP$68,'Расчет УЕ'!$F$26:$F$68,$F40,'Расчет УЕ'!$G$26:$G$68,$G40)</f>
        <v>0</v>
      </c>
      <c r="AU40" s="2344">
        <f>_xlfn.SUMIFS('Расчет УЕ'!AQ$26:AQ$68,'Расчет УЕ'!$F$26:$F$68,$F40,'Расчет УЕ'!$G$26:$G$68,$G40)</f>
        <v>0</v>
      </c>
      <c r="AV40" s="2344">
        <f>_xlfn.SUMIFS('Расчет УЕ'!AR$26:AR$68,'Расчет УЕ'!$F$26:$F$68,$F40,'Расчет УЕ'!$G$26:$G$68,$G40)</f>
        <v>0</v>
      </c>
      <c r="AW40" s="2344">
        <f>_xlfn.SUMIFS('Расчет УЕ'!AS$26:AS$68,'Расчет УЕ'!$F$26:$F$68,$F40,'Расчет УЕ'!$G$26:$G$68,$G40)</f>
        <v>0</v>
      </c>
      <c r="AX40" s="2344">
        <f>_xlfn.SUMIFS('Расчет УЕ'!AT$26:AT$68,'Расчет УЕ'!$F$26:$F$68,$F40,'Расчет УЕ'!$G$26:$G$68,$G40)</f>
        <v>0</v>
      </c>
      <c r="AY40" s="2344">
        <f>_xlfn.SUMIFS('Расчет УЕ'!AU$26:AU$68,'Расчет УЕ'!$F$26:$F$68,$F40,'Расчет УЕ'!$G$26:$G$68,$G40)</f>
        <v>0</v>
      </c>
      <c r="AZ40" s="2344">
        <f>_xlfn.SUMIFS('Расчет УЕ'!AV$26:AV$68,'Расчет УЕ'!$F$26:$F$68,$F40,'Расчет УЕ'!$G$26:$G$68,$G40)</f>
        <v>0</v>
      </c>
      <c r="BA40" s="2344">
        <f>_xlfn.SUMIFS('Расчет УЕ'!AW$26:AW$68,'Расчет УЕ'!$F$26:$F$68,$F40,'Расчет УЕ'!$G$26:$G$68,$G40)</f>
        <v>0</v>
      </c>
      <c r="BB40" s="2344">
        <f>_xlfn.SUMIFS('Расчет УЕ'!AX$26:AX$68,'Расчет УЕ'!$F$26:$F$68,$F40,'Расчет УЕ'!$G$26:$G$68,$G40)</f>
        <v>0</v>
      </c>
      <c r="BC40" s="2344">
        <f>_xlfn.SUMIFS('Расчет УЕ'!AY$26:AY$68,'Расчет УЕ'!$F$26:$F$68,$F40,'Расчет УЕ'!$G$26:$G$68,$G40)</f>
        <v>0</v>
      </c>
      <c r="BD40" s="716">
        <f>_xlfn.SUMIFS('Расчет УЕ'!AZ$26:AZ$68,'Расчет УЕ'!$F$26:$F$68,$F40,'Расчет УЕ'!$G$26:$G$68,$G40)</f>
        <v>7.6</v>
      </c>
      <c r="BE40" s="2344">
        <f>_xlfn.SUMIFS('Расчет УЕ'!BA$26:BA$68,'Расчет УЕ'!$F$26:$F$68,$F40,'Расчет УЕ'!$G$26:$G$68,$G40)</f>
        <v>0</v>
      </c>
      <c r="BF40" s="2344">
        <f>_xlfn.SUMIFS('Расчет УЕ'!BB$26:BB$68,'Расчет УЕ'!$F$26:$F$68,$F40,'Расчет УЕ'!$G$26:$G$68,$G40)</f>
        <v>0</v>
      </c>
      <c r="BG40" s="2344">
        <f>_xlfn.SUMIFS('Расчет УЕ'!BC$26:BC$68,'Расчет УЕ'!$F$26:$F$68,$F40,'Расчет УЕ'!$G$26:$G$68,$G40)</f>
        <v>0</v>
      </c>
      <c r="BH40" s="2344">
        <f>_xlfn.SUMIFS('Расчет УЕ'!BD$26:BD$68,'Расчет УЕ'!$F$26:$F$68,$F40,'Расчет УЕ'!$G$26:$G$68,$G40)</f>
        <v>0</v>
      </c>
      <c r="BI40" s="2344">
        <f>_xlfn.SUMIFS('Расчет УЕ'!BE$26:BE$68,'Расчет УЕ'!$F$26:$F$68,$F40,'Расчет УЕ'!$G$26:$G$68,$G40)</f>
        <v>0</v>
      </c>
      <c r="BJ40" s="2344">
        <f>_xlfn.SUMIFS('Расчет УЕ'!BF$26:BF$68,'Расчет УЕ'!$F$26:$F$68,$F40,'Расчет УЕ'!$G$26:$G$68,$G40)</f>
        <v>0</v>
      </c>
      <c r="BK40" s="2344">
        <f>_xlfn.SUMIFS('Расчет УЕ'!BG$26:BG$68,'Расчет УЕ'!$F$26:$F$68,$F40,'Расчет УЕ'!$G$26:$G$68,$G40)</f>
        <v>0</v>
      </c>
      <c r="BL40" s="2344">
        <f>_xlfn.SUMIFS('Расчет УЕ'!BH$26:BH$68,'Расчет УЕ'!$F$26:$F$68,$F40,'Расчет УЕ'!$G$26:$G$68,$G40)</f>
        <v>0</v>
      </c>
      <c r="BM40" s="2344">
        <f>_xlfn.SUMIFS('Расчет УЕ'!BI$26:BI$68,'Расчет УЕ'!$F$26:$F$68,$F40,'Расчет УЕ'!$G$26:$G$68,$G40)</f>
        <v>0</v>
      </c>
      <c r="BN40" s="2344">
        <f>_xlfn.SUMIFS('Расчет УЕ'!BJ$26:BJ$68,'Расчет УЕ'!$F$26:$F$68,$F40,'Расчет УЕ'!$G$26:$G$68,$G40)</f>
        <v>0</v>
      </c>
      <c r="BO40" s="2344">
        <f>_xlfn.SUMIFS('Расчет УЕ'!BK$26:BK$68,'Расчет УЕ'!$F$26:$F$68,$F40,'Расчет УЕ'!$G$26:$G$68,$G40)</f>
        <v>0</v>
      </c>
      <c r="BP40" s="2344">
        <f>_xlfn.SUMIFS('Расчет УЕ'!BL$26:BL$68,'Расчет УЕ'!$F$26:$F$68,$F40,'Расчет УЕ'!$G$26:$G$68,$G40)</f>
        <v>0</v>
      </c>
      <c r="BQ40" s="2344">
        <f>_xlfn.SUMIFS('Расчет УЕ'!BM$26:BM$68,'Расчет УЕ'!$F$26:$F$68,$F40,'Расчет УЕ'!$G$26:$G$68,$G40)</f>
        <v>0</v>
      </c>
      <c r="BR40" s="2344">
        <f>_xlfn.SUMIFS('Расчет УЕ'!BN$26:BN$68,'Расчет УЕ'!$F$26:$F$68,$F40,'Расчет УЕ'!$G$26:$G$68,$G40)</f>
        <v>0</v>
      </c>
      <c r="BS40" s="2344">
        <f>_xlfn.SUMIFS('Расчет УЕ'!BO$26:BO$68,'Расчет УЕ'!$F$26:$F$68,$F40,'Расчет УЕ'!$G$26:$G$68,$G40)</f>
        <v>0</v>
      </c>
      <c r="BT40" s="2344">
        <f>_xlfn.SUMIFS('Расчет УЕ'!BP$26:BP$68,'Расчет УЕ'!$F$26:$F$68,$F40,'Расчет УЕ'!$G$26:$G$68,$G40)</f>
        <v>0</v>
      </c>
      <c r="BU40" s="2344">
        <f>_xlfn.SUMIFS('Расчет УЕ'!BQ$26:BQ$68,'Расчет УЕ'!$F$26:$F$68,$F40,'Расчет УЕ'!$G$26:$G$68,$G40)</f>
        <v>0</v>
      </c>
      <c r="BV40" s="2344">
        <f>_xlfn.SUMIFS('Расчет УЕ'!BR$26:BR$68,'Расчет УЕ'!$F$26:$F$68,$F40,'Расчет УЕ'!$G$26:$G$68,$G40)</f>
        <v>0</v>
      </c>
      <c r="BW40" s="2344">
        <f>_xlfn.SUMIFS('Расчет УЕ'!BS$26:BS$68,'Расчет УЕ'!$F$26:$F$68,$F40,'Расчет УЕ'!$G$26:$G$68,$G40)</f>
        <v>0</v>
      </c>
      <c r="BX40" s="718"/>
      <c r="BY40" s="718"/>
      <c r="BZ40" s="718"/>
      <c r="CA40" s="718"/>
      <c r="CB40" s="718"/>
      <c r="CC40" s="718"/>
      <c r="CD40" s="718"/>
      <c r="CE40" s="718"/>
      <c r="CF40" s="718"/>
      <c r="CG40" s="718"/>
      <c r="CH40" s="718"/>
      <c r="CI40" s="718"/>
      <c r="CJ40" s="718"/>
      <c r="CK40" s="718"/>
      <c r="CL40" s="718"/>
      <c r="CM40" s="718"/>
      <c r="CN40" s="718"/>
      <c r="CO40" s="718"/>
      <c r="CP40" s="718"/>
      <c r="CQ40" s="718"/>
      <c r="CR40" s="1897"/>
      <c r="CS40" s="1897"/>
      <c r="CT40" s="1897"/>
      <c r="CU40" s="286"/>
      <c r="CV40" s="1659"/>
      <c r="CW40" s="309" t="s">
        <v>1612</v>
      </c>
      <c r="CX40" s="1506"/>
      <c r="CY40" s="1506"/>
      <c r="CZ40" s="0" cm="1" t="str">
        <f t="array" ref="CZ40:CZ40">CZ39</f>
        <v>ТЭ.42.31656254.0001</v>
      </c>
      <c r="DA40" s="1751"/>
      <c r="DB40" s="1751"/>
      <c r="DC40" s="1751"/>
      <c r="DD40" s="0" t="s">
        <v>449</v>
      </c>
      <c r="DE40" s="0" t="s">
        <v>303</v>
      </c>
      <c r="DF40" s="0" t="s">
        <v>331</v>
      </c>
      <c r="DG40" s="0" t="s">
        <v>423</v>
      </c>
    </row>
    <row s="1751" customFormat="1" customHeight="1" ht="16.5">
      <c r="A41" s="371"/>
      <c r="B41" s="1548"/>
      <c r="C41" s="1548"/>
      <c r="D41" s="1548"/>
      <c r="E41" s="180">
        <v>17</v>
      </c>
      <c r="F41" s="175" cm="1" t="str">
        <f t="array" ref="F41:F41">OFFSET(G41,-1,-1)</f>
        <v>1</v>
      </c>
      <c r="G41" s="193" t="s">
        <v>424</v>
      </c>
      <c r="H41" s="1659"/>
      <c r="I41" s="1659"/>
      <c r="J41" s="1659"/>
      <c r="K41" s="1659"/>
      <c r="L41" s="1659"/>
      <c r="M41" s="1659"/>
      <c r="N41" s="1659"/>
      <c r="O41" s="1659"/>
      <c r="P41" s="1659"/>
      <c r="Q41" s="1659"/>
      <c r="R41" s="1659"/>
      <c r="S41" s="1659"/>
      <c r="T41" s="753" cm="1" t="str">
        <f t="array" ref="T41:T41">T40</f>
        <v>true</v>
      </c>
      <c r="U41" s="1548"/>
      <c r="V41" s="1548"/>
      <c r="W41" s="1548"/>
      <c r="X41" s="1548"/>
      <c r="Y41" s="1548"/>
      <c r="Z41" s="1548"/>
      <c r="AA41" s="286"/>
      <c r="AB41" s="491">
        <v>3.2</v>
      </c>
      <c r="AC41" s="501" t="s">
        <v>1613</v>
      </c>
      <c r="AD41" s="491" t="s">
        <v>752</v>
      </c>
      <c r="AE41" s="714"/>
      <c r="AF41" s="715"/>
      <c r="AG41" s="715"/>
      <c r="AH41" s="720"/>
      <c r="AI41" s="718"/>
      <c r="AJ41" s="717">
        <f>_xlfn.SUMIFS('Расчет УЕ'!AF$26:AF$68,'Расчет УЕ'!$F$26:$F$68,$F41,'Расчет УЕ'!$G$26:$G$68,$G41)</f>
        <v>4.32</v>
      </c>
      <c r="AK41" s="717">
        <f>_xlfn.SUMIFS('Расчет УЕ'!AG$26:AG$68,'Расчет УЕ'!$F$26:$F$68,$F41,'Расчет УЕ'!$G$26:$G$68,$G41)</f>
        <v>0</v>
      </c>
      <c r="AL41" s="721">
        <f>_xlfn.SUMIFS('Расчет УЕ'!AH$26:AH$68,'Расчет УЕ'!$F$26:$F$68,$F41,'Расчет УЕ'!$G$26:$G$68,$G41)</f>
        <v>0</v>
      </c>
      <c r="AM41" s="717">
        <f>_xlfn.SUMIFS('Расчет УЕ'!AI$26:AI$68,'Расчет УЕ'!$F$26:$F$68,$F41,'Расчет УЕ'!$G$26:$G$68,$G41)</f>
        <v>0</v>
      </c>
      <c r="AN41" s="717">
        <f>_xlfn.SUMIFS('Расчет УЕ'!AJ$26:AJ$68,'Расчет УЕ'!$F$26:$F$68,$F41,'Расчет УЕ'!$G$26:$G$68,$G41)</f>
        <v>0</v>
      </c>
      <c r="AO41" s="717">
        <f>_xlfn.SUMIFS('Расчет УЕ'!AK$26:AK$68,'Расчет УЕ'!$F$26:$F$68,$F41,'Расчет УЕ'!$G$26:$G$68,$G41)</f>
        <v>0</v>
      </c>
      <c r="AP41" s="717">
        <f>_xlfn.SUMIFS('Расчет УЕ'!AL$26:AL$68,'Расчет УЕ'!$F$26:$F$68,$F41,'Расчет УЕ'!$G$26:$G$68,$G41)</f>
        <v>0</v>
      </c>
      <c r="AQ41" s="717">
        <f>_xlfn.SUMIFS('Расчет УЕ'!AM$26:AM$68,'Расчет УЕ'!$F$26:$F$68,$F41,'Расчет УЕ'!$G$26:$G$68,$G41)</f>
        <v>0</v>
      </c>
      <c r="AR41" s="717">
        <f>_xlfn.SUMIFS('Расчет УЕ'!AN$26:AN$68,'Расчет УЕ'!$F$26:$F$68,$F41,'Расчет УЕ'!$G$26:$G$68,$G41)</f>
        <v>0</v>
      </c>
      <c r="AS41" s="717">
        <f>_xlfn.SUMIFS('Расчет УЕ'!AO$26:AO$68,'Расчет УЕ'!$F$26:$F$68,$F41,'Расчет УЕ'!$G$26:$G$68,$G41)</f>
        <v>0</v>
      </c>
      <c r="AT41" s="717">
        <f>_xlfn.SUMIFS('Расчет УЕ'!AP$26:AP$68,'Расчет УЕ'!$F$26:$F$68,$F41,'Расчет УЕ'!$G$26:$G$68,$G41)</f>
        <v>0</v>
      </c>
      <c r="AU41" s="717">
        <f>_xlfn.SUMIFS('Расчет УЕ'!AQ$26:AQ$68,'Расчет УЕ'!$F$26:$F$68,$F41,'Расчет УЕ'!$G$26:$G$68,$G41)</f>
        <v>0</v>
      </c>
      <c r="AV41" s="717">
        <f>_xlfn.SUMIFS('Расчет УЕ'!AR$26:AR$68,'Расчет УЕ'!$F$26:$F$68,$F41,'Расчет УЕ'!$G$26:$G$68,$G41)</f>
        <v>0</v>
      </c>
      <c r="AW41" s="717">
        <f>_xlfn.SUMIFS('Расчет УЕ'!AS$26:AS$68,'Расчет УЕ'!$F$26:$F$68,$F41,'Расчет УЕ'!$G$26:$G$68,$G41)</f>
        <v>0</v>
      </c>
      <c r="AX41" s="717">
        <f>_xlfn.SUMIFS('Расчет УЕ'!AT$26:AT$68,'Расчет УЕ'!$F$26:$F$68,$F41,'Расчет УЕ'!$G$26:$G$68,$G41)</f>
        <v>0</v>
      </c>
      <c r="AY41" s="717">
        <f>_xlfn.SUMIFS('Расчет УЕ'!AU$26:AU$68,'Расчет УЕ'!$F$26:$F$68,$F41,'Расчет УЕ'!$G$26:$G$68,$G41)</f>
        <v>0</v>
      </c>
      <c r="AZ41" s="717">
        <f>_xlfn.SUMIFS('Расчет УЕ'!AV$26:AV$68,'Расчет УЕ'!$F$26:$F$68,$F41,'Расчет УЕ'!$G$26:$G$68,$G41)</f>
        <v>0</v>
      </c>
      <c r="BA41" s="717">
        <f>_xlfn.SUMIFS('Расчет УЕ'!AW$26:AW$68,'Расчет УЕ'!$F$26:$F$68,$F41,'Расчет УЕ'!$G$26:$G$68,$G41)</f>
        <v>0</v>
      </c>
      <c r="BB41" s="717">
        <f>_xlfn.SUMIFS('Расчет УЕ'!AX$26:AX$68,'Расчет УЕ'!$F$26:$F$68,$F41,'Расчет УЕ'!$G$26:$G$68,$G41)</f>
        <v>0</v>
      </c>
      <c r="BC41" s="717">
        <f>_xlfn.SUMIFS('Расчет УЕ'!AY$26:AY$68,'Расчет УЕ'!$F$26:$F$68,$F41,'Расчет УЕ'!$G$26:$G$68,$G41)</f>
        <v>0</v>
      </c>
      <c r="BD41" s="717">
        <f>_xlfn.SUMIFS('Расчет УЕ'!AZ$26:AZ$68,'Расчет УЕ'!$F$26:$F$68,$F41,'Расчет УЕ'!$G$26:$G$68,$G41)</f>
        <v>4.32</v>
      </c>
      <c r="BE41" s="717">
        <f>_xlfn.SUMIFS('Расчет УЕ'!BA$26:BA$68,'Расчет УЕ'!$F$26:$F$68,$F41,'Расчет УЕ'!$G$26:$G$68,$G41)</f>
        <v>0</v>
      </c>
      <c r="BF41" s="717">
        <f>_xlfn.SUMIFS('Расчет УЕ'!BB$26:BB$68,'Расчет УЕ'!$F$26:$F$68,$F41,'Расчет УЕ'!$G$26:$G$68,$G41)</f>
        <v>0</v>
      </c>
      <c r="BG41" s="717">
        <f>_xlfn.SUMIFS('Расчет УЕ'!BC$26:BC$68,'Расчет УЕ'!$F$26:$F$68,$F41,'Расчет УЕ'!$G$26:$G$68,$G41)</f>
        <v>0</v>
      </c>
      <c r="BH41" s="717">
        <f>_xlfn.SUMIFS('Расчет УЕ'!BD$26:BD$68,'Расчет УЕ'!$F$26:$F$68,$F41,'Расчет УЕ'!$G$26:$G$68,$G41)</f>
        <v>0</v>
      </c>
      <c r="BI41" s="717">
        <f>_xlfn.SUMIFS('Расчет УЕ'!BE$26:BE$68,'Расчет УЕ'!$F$26:$F$68,$F41,'Расчет УЕ'!$G$26:$G$68,$G41)</f>
        <v>0</v>
      </c>
      <c r="BJ41" s="717">
        <f>_xlfn.SUMIFS('Расчет УЕ'!BF$26:BF$68,'Расчет УЕ'!$F$26:$F$68,$F41,'Расчет УЕ'!$G$26:$G$68,$G41)</f>
        <v>0</v>
      </c>
      <c r="BK41" s="717">
        <f>_xlfn.SUMIFS('Расчет УЕ'!BG$26:BG$68,'Расчет УЕ'!$F$26:$F$68,$F41,'Расчет УЕ'!$G$26:$G$68,$G41)</f>
        <v>0</v>
      </c>
      <c r="BL41" s="717">
        <f>_xlfn.SUMIFS('Расчет УЕ'!BH$26:BH$68,'Расчет УЕ'!$F$26:$F$68,$F41,'Расчет УЕ'!$G$26:$G$68,$G41)</f>
        <v>0</v>
      </c>
      <c r="BM41" s="717">
        <f>_xlfn.SUMIFS('Расчет УЕ'!BI$26:BI$68,'Расчет УЕ'!$F$26:$F$68,$F41,'Расчет УЕ'!$G$26:$G$68,$G41)</f>
        <v>0</v>
      </c>
      <c r="BN41" s="717">
        <f>_xlfn.SUMIFS('Расчет УЕ'!BJ$26:BJ$68,'Расчет УЕ'!$F$26:$F$68,$F41,'Расчет УЕ'!$G$26:$G$68,$G41)</f>
        <v>0</v>
      </c>
      <c r="BO41" s="717">
        <f>_xlfn.SUMIFS('Расчет УЕ'!BK$26:BK$68,'Расчет УЕ'!$F$26:$F$68,$F41,'Расчет УЕ'!$G$26:$G$68,$G41)</f>
        <v>0</v>
      </c>
      <c r="BP41" s="717">
        <f>_xlfn.SUMIFS('Расчет УЕ'!BL$26:BL$68,'Расчет УЕ'!$F$26:$F$68,$F41,'Расчет УЕ'!$G$26:$G$68,$G41)</f>
        <v>0</v>
      </c>
      <c r="BQ41" s="717">
        <f>_xlfn.SUMIFS('Расчет УЕ'!BM$26:BM$68,'Расчет УЕ'!$F$26:$F$68,$F41,'Расчет УЕ'!$G$26:$G$68,$G41)</f>
        <v>0</v>
      </c>
      <c r="BR41" s="717">
        <f>_xlfn.SUMIFS('Расчет УЕ'!BN$26:BN$68,'Расчет УЕ'!$F$26:$F$68,$F41,'Расчет УЕ'!$G$26:$G$68,$G41)</f>
        <v>0</v>
      </c>
      <c r="BS41" s="717">
        <f>_xlfn.SUMIFS('Расчет УЕ'!BO$26:BO$68,'Расчет УЕ'!$F$26:$F$68,$F41,'Расчет УЕ'!$G$26:$G$68,$G41)</f>
        <v>0</v>
      </c>
      <c r="BT41" s="717">
        <f>_xlfn.SUMIFS('Расчет УЕ'!BP$26:BP$68,'Расчет УЕ'!$F$26:$F$68,$F41,'Расчет УЕ'!$G$26:$G$68,$G41)</f>
        <v>0</v>
      </c>
      <c r="BU41" s="717">
        <f>_xlfn.SUMIFS('Расчет УЕ'!BQ$26:BQ$68,'Расчет УЕ'!$F$26:$F$68,$F41,'Расчет УЕ'!$G$26:$G$68,$G41)</f>
        <v>0</v>
      </c>
      <c r="BV41" s="717">
        <f>_xlfn.SUMIFS('Расчет УЕ'!BR$26:BR$68,'Расчет УЕ'!$F$26:$F$68,$F41,'Расчет УЕ'!$G$26:$G$68,$G41)</f>
        <v>0</v>
      </c>
      <c r="BW41" s="717">
        <f>_xlfn.SUMIFS('Расчет УЕ'!BS$26:BS$68,'Расчет УЕ'!$F$26:$F$68,$F41,'Расчет УЕ'!$G$26:$G$68,$G41)</f>
        <v>0</v>
      </c>
      <c r="BX41" s="718"/>
      <c r="BY41" s="718"/>
      <c r="BZ41" s="718"/>
      <c r="CA41" s="718"/>
      <c r="CB41" s="718"/>
      <c r="CC41" s="718"/>
      <c r="CD41" s="718"/>
      <c r="CE41" s="718"/>
      <c r="CF41" s="718"/>
      <c r="CG41" s="718"/>
      <c r="CH41" s="718"/>
      <c r="CI41" s="718"/>
      <c r="CJ41" s="718"/>
      <c r="CK41" s="718"/>
      <c r="CL41" s="718"/>
      <c r="CM41" s="718"/>
      <c r="CN41" s="718"/>
      <c r="CO41" s="718"/>
      <c r="CP41" s="718"/>
      <c r="CQ41" s="718"/>
      <c r="CR41" s="1897"/>
      <c r="CS41" s="1897"/>
      <c r="CT41" s="1897"/>
      <c r="CU41" s="286"/>
      <c r="CV41" s="1659"/>
      <c r="CW41" s="309" t="s">
        <v>1614</v>
      </c>
      <c r="CX41" s="1506"/>
      <c r="CY41" s="1506"/>
      <c r="CZ41" s="0" cm="1" t="str">
        <f t="array" ref="CZ41:CZ41">CZ40</f>
        <v>ТЭ.42.31656254.0001</v>
      </c>
      <c r="DA41" s="1751"/>
      <c r="DB41" s="1751"/>
      <c r="DC41" s="0" t="s">
        <v>1615</v>
      </c>
      <c r="DD41" s="1751"/>
      <c r="DE41" s="0" t="s">
        <v>303</v>
      </c>
      <c r="DF41" s="0" t="s">
        <v>428</v>
      </c>
      <c r="DG41" s="0" t="s">
        <v>429</v>
      </c>
    </row>
    <row s="1751" customFormat="1" customHeight="1" ht="16.5">
      <c r="A42" s="371"/>
      <c r="B42" s="1548"/>
      <c r="C42" s="1548"/>
      <c r="D42" s="1548"/>
      <c r="E42" s="180">
        <v>17</v>
      </c>
      <c r="F42" s="175" cm="1" t="str">
        <f t="array" ref="F42:F42">OFFSET(G42,-1,-1)</f>
        <v>1</v>
      </c>
      <c r="G42" s="193" t="s">
        <v>567</v>
      </c>
      <c r="H42" s="1659"/>
      <c r="I42" s="1659"/>
      <c r="J42" s="1659"/>
      <c r="K42" s="1659"/>
      <c r="L42" s="1659"/>
      <c r="M42" s="1659"/>
      <c r="N42" s="1659"/>
      <c r="O42" s="1659"/>
      <c r="P42" s="1659"/>
      <c r="Q42" s="1659"/>
      <c r="R42" s="1659"/>
      <c r="S42" s="1659"/>
      <c r="T42" s="753" cm="1" t="str">
        <f t="array" ref="T42:T42">T41</f>
        <v>true</v>
      </c>
      <c r="U42" s="1548"/>
      <c r="V42" s="1548"/>
      <c r="W42" s="1548"/>
      <c r="X42" s="1548"/>
      <c r="Y42" s="1548"/>
      <c r="Z42" s="1548"/>
      <c r="AA42" s="286"/>
      <c r="AB42" s="491">
        <v>4</v>
      </c>
      <c r="AC42" s="496" t="s">
        <v>1622</v>
      </c>
      <c r="AD42" s="491"/>
      <c r="AE42" s="722"/>
      <c r="AF42" s="723"/>
      <c r="AG42" s="723"/>
      <c r="AH42" s="724"/>
      <c r="AI42" s="718"/>
      <c r="AJ42" s="717">
        <f>_xlfn.SUMIFS(Сценарии!AE$27:AE$86,Сценарии!$F$27:$F$86,$F42,Сценарии!$G$27:$G$86,$G42)</f>
        <v>0.75</v>
      </c>
      <c r="AK42" s="717">
        <f>_xlfn.SUMIFS(Сценарии!AF$27:AF$86,Сценарии!$F$27:$F$86,$F42,Сценарии!$G$27:$G$86,$G42)</f>
        <v>0.75</v>
      </c>
      <c r="AL42" s="717">
        <f>_xlfn.SUMIFS(Сценарии!AG$27:AG$86,Сценарии!$F$27:$F$86,$F42,Сценарии!$G$27:$G$86,$G42)</f>
        <v>0.75</v>
      </c>
      <c r="AM42" s="717">
        <f>_xlfn.SUMIFS(Сценарии!AH$27:AH$86,Сценарии!$F$27:$F$86,$F42,Сценарии!$G$27:$G$86,$G42)</f>
        <v>0.75</v>
      </c>
      <c r="AN42" s="717">
        <f>_xlfn.SUMIFS(Сценарии!AI$27:AI$86,Сценарии!$F$27:$F$86,$F42,Сценарии!$G$27:$G$86,$G42)</f>
        <v>0.75</v>
      </c>
      <c r="AO42" s="717">
        <f>_xlfn.SUMIFS(Сценарии!AJ$27:AJ$86,Сценарии!$F$27:$F$86,$F42,Сценарии!$G$27:$G$86,$G42)</f>
        <v>0.75</v>
      </c>
      <c r="AP42" s="717">
        <f>_xlfn.SUMIFS(Сценарии!AK$27:AK$86,Сценарии!$F$27:$F$86,$F42,Сценарии!$G$27:$G$86,$G42)</f>
        <v>0.75</v>
      </c>
      <c r="AQ42" s="717">
        <f>_xlfn.SUMIFS(Сценарии!AL$27:AL$86,Сценарии!$F$27:$F$86,$F42,Сценарии!$G$27:$G$86,$G42)</f>
        <v>0.75</v>
      </c>
      <c r="AR42" s="717">
        <f>_xlfn.SUMIFS(Сценарии!AM$27:AM$86,Сценарии!$F$27:$F$86,$F42,Сценарии!$G$27:$G$86,$G42)</f>
        <v>0.75</v>
      </c>
      <c r="AS42" s="717">
        <f>_xlfn.SUMIFS(Сценарии!AN$27:AN$86,Сценарии!$F$27:$F$86,$F42,Сценарии!$G$27:$G$86,$G42)</f>
        <v>0.75</v>
      </c>
      <c r="AT42" s="717">
        <f>_xlfn.SUMIFS(Сценарии!AO$27:AO$86,Сценарии!$F$27:$F$86,$F42,Сценарии!$G$27:$G$86,$G42)</f>
        <v>0.75</v>
      </c>
      <c r="AU42" s="717">
        <f>_xlfn.SUMIFS(Сценарии!AP$27:AP$86,Сценарии!$F$27:$F$86,$F42,Сценарии!$G$27:$G$86,$G42)</f>
        <v>0.75</v>
      </c>
      <c r="AV42" s="717">
        <f>_xlfn.SUMIFS(Сценарии!AQ$27:AQ$86,Сценарии!$F$27:$F$86,$F42,Сценарии!$G$27:$G$86,$G42)</f>
        <v>0.75</v>
      </c>
      <c r="AW42" s="717">
        <f>_xlfn.SUMIFS(Сценарии!AR$27:AR$86,Сценарии!$F$27:$F$86,$F42,Сценарии!$G$27:$G$86,$G42)</f>
        <v>0.75</v>
      </c>
      <c r="AX42" s="717">
        <f>_xlfn.SUMIFS(Сценарии!AS$27:AS$86,Сценарии!$F$27:$F$86,$F42,Сценарии!$G$27:$G$86,$G42)</f>
        <v>0.75</v>
      </c>
      <c r="AY42" s="717">
        <f>_xlfn.SUMIFS(Сценарии!AT$27:AT$86,Сценарии!$F$27:$F$86,$F42,Сценарии!$G$27:$G$86,$G42)</f>
        <v>0.75</v>
      </c>
      <c r="AZ42" s="717">
        <f>_xlfn.SUMIFS(Сценарии!AU$27:AU$86,Сценарии!$F$27:$F$86,$F42,Сценарии!$G$27:$G$86,$G42)</f>
        <v>0.75</v>
      </c>
      <c r="BA42" s="717">
        <f>_xlfn.SUMIFS(Сценарии!AV$27:AV$86,Сценарии!$F$27:$F$86,$F42,Сценарии!$G$27:$G$86,$G42)</f>
        <v>0.75</v>
      </c>
      <c r="BB42" s="717">
        <f>_xlfn.SUMIFS(Сценарии!AW$27:AW$86,Сценарии!$F$27:$F$86,$F42,Сценарии!$G$27:$G$86,$G42)</f>
        <v>0.75</v>
      </c>
      <c r="BC42" s="717">
        <f>_xlfn.SUMIFS(Сценарии!AX$27:AX$86,Сценарии!$F$27:$F$86,$F42,Сценарии!$G$27:$G$86,$G42)</f>
        <v>0.75</v>
      </c>
      <c r="BD42" s="717">
        <f>_xlfn.SUMIFS(Сценарии!AY$27:AY$86,Сценарии!$F$27:$F$86,$F42,Сценарии!$G$27:$G$86,$G42)</f>
        <v>0.75</v>
      </c>
      <c r="BE42" s="717">
        <f>_xlfn.SUMIFS(Сценарии!AZ$27:AZ$86,Сценарии!$F$27:$F$86,$F42,Сценарии!$G$27:$G$86,$G42)</f>
        <v>0.75</v>
      </c>
      <c r="BF42" s="717">
        <f>_xlfn.SUMIFS(Сценарии!BA$27:BA$86,Сценарии!$F$27:$F$86,$F42,Сценарии!$G$27:$G$86,$G42)</f>
        <v>0.75</v>
      </c>
      <c r="BG42" s="717">
        <f>_xlfn.SUMIFS(Сценарии!BB$27:BB$86,Сценарии!$F$27:$F$86,$F42,Сценарии!$G$27:$G$86,$G42)</f>
        <v>0.75</v>
      </c>
      <c r="BH42" s="717">
        <f>_xlfn.SUMIFS(Сценарии!BC$27:BC$86,Сценарии!$F$27:$F$86,$F42,Сценарии!$G$27:$G$86,$G42)</f>
        <v>0.75</v>
      </c>
      <c r="BI42" s="717">
        <f>_xlfn.SUMIFS(Сценарии!BD$27:BD$86,Сценарии!$F$27:$F$86,$F42,Сценарии!$G$27:$G$86,$G42)</f>
        <v>0.75</v>
      </c>
      <c r="BJ42" s="717">
        <f>_xlfn.SUMIFS(Сценарии!BE$27:BE$86,Сценарии!$F$27:$F$86,$F42,Сценарии!$G$27:$G$86,$G42)</f>
        <v>0.75</v>
      </c>
      <c r="BK42" s="717">
        <f>_xlfn.SUMIFS(Сценарии!BF$27:BF$86,Сценарии!$F$27:$F$86,$F42,Сценарии!$G$27:$G$86,$G42)</f>
        <v>0.75</v>
      </c>
      <c r="BL42" s="717">
        <f>_xlfn.SUMIFS(Сценарии!BG$27:BG$86,Сценарии!$F$27:$F$86,$F42,Сценарии!$G$27:$G$86,$G42)</f>
        <v>0.75</v>
      </c>
      <c r="BM42" s="717">
        <f>_xlfn.SUMIFS(Сценарии!BH$27:BH$86,Сценарии!$F$27:$F$86,$F42,Сценарии!$G$27:$G$86,$G42)</f>
        <v>0.75</v>
      </c>
      <c r="BN42" s="717">
        <f>_xlfn.SUMIFS(Сценарии!BI$27:BI$86,Сценарии!$F$27:$F$86,$F42,Сценарии!$G$27:$G$86,$G42)</f>
        <v>0.75</v>
      </c>
      <c r="BO42" s="717">
        <f>_xlfn.SUMIFS(Сценарии!BJ$27:BJ$86,Сценарии!$F$27:$F$86,$F42,Сценарии!$G$27:$G$86,$G42)</f>
        <v>0.75</v>
      </c>
      <c r="BP42" s="717">
        <f>_xlfn.SUMIFS(Сценарии!BK$27:BK$86,Сценарии!$F$27:$F$86,$F42,Сценарии!$G$27:$G$86,$G42)</f>
        <v>0.75</v>
      </c>
      <c r="BQ42" s="717">
        <f>_xlfn.SUMIFS(Сценарии!BL$27:BL$86,Сценарии!$F$27:$F$86,$F42,Сценарии!$G$27:$G$86,$G42)</f>
        <v>0.75</v>
      </c>
      <c r="BR42" s="717">
        <f>_xlfn.SUMIFS(Сценарии!BM$27:BM$86,Сценарии!$F$27:$F$86,$F42,Сценарии!$G$27:$G$86,$G42)</f>
        <v>0.75</v>
      </c>
      <c r="BS42" s="717">
        <f>_xlfn.SUMIFS(Сценарии!BN$27:BN$86,Сценарии!$F$27:$F$86,$F42,Сценарии!$G$27:$G$86,$G42)</f>
        <v>0.75</v>
      </c>
      <c r="BT42" s="717">
        <f>_xlfn.SUMIFS(Сценарии!BO$27:BO$86,Сценарии!$F$27:$F$86,$F42,Сценарии!$G$27:$G$86,$G42)</f>
        <v>0.75</v>
      </c>
      <c r="BU42" s="717">
        <f>_xlfn.SUMIFS(Сценарии!BP$27:BP$86,Сценарии!$F$27:$F$86,$F42,Сценарии!$G$27:$G$86,$G42)</f>
        <v>0.75</v>
      </c>
      <c r="BV42" s="717">
        <f>_xlfn.SUMIFS(Сценарии!BQ$27:BQ$86,Сценарии!$F$27:$F$86,$F42,Сценарии!$G$27:$G$86,$G42)</f>
        <v>0.75</v>
      </c>
      <c r="BW42" s="717">
        <f>_xlfn.SUMIFS(Сценарии!BR$27:BR$86,Сценарии!$F$27:$F$86,$F42,Сценарии!$G$27:$G$86,$G42)</f>
        <v>0.75</v>
      </c>
      <c r="BX42" s="725"/>
      <c r="BY42" s="725"/>
      <c r="BZ42" s="725"/>
      <c r="CA42" s="725"/>
      <c r="CB42" s="725"/>
      <c r="CC42" s="718"/>
      <c r="CD42" s="718"/>
      <c r="CE42" s="718"/>
      <c r="CF42" s="718"/>
      <c r="CG42" s="718"/>
      <c r="CH42" s="718"/>
      <c r="CI42" s="718"/>
      <c r="CJ42" s="718"/>
      <c r="CK42" s="718"/>
      <c r="CL42" s="718"/>
      <c r="CM42" s="718"/>
      <c r="CN42" s="718"/>
      <c r="CO42" s="718"/>
      <c r="CP42" s="718"/>
      <c r="CQ42" s="718"/>
      <c r="CR42" s="1897"/>
      <c r="CS42" s="1897"/>
      <c r="CT42" s="1897"/>
      <c r="CU42" s="286"/>
      <c r="CV42" s="1659"/>
      <c r="CW42" s="309" t="s">
        <v>1617</v>
      </c>
      <c r="CX42" s="1506"/>
      <c r="CY42" s="1506"/>
      <c r="CZ42" s="0" cm="1" t="str">
        <f t="array" ref="CZ42:CZ42">CZ41</f>
        <v>ТЭ.42.31656254.0001</v>
      </c>
      <c r="DA42" s="1751"/>
      <c r="DB42" s="1751"/>
      <c r="DC42" s="1751"/>
      <c r="DD42" s="0" t="s">
        <v>883</v>
      </c>
      <c r="DE42" s="0" t="s">
        <v>303</v>
      </c>
      <c r="DF42" s="0" t="s">
        <v>899</v>
      </c>
      <c r="DG42" s="0" t="s">
        <v>900</v>
      </c>
    </row>
    <row s="1751" customFormat="1" customHeight="1" ht="16.5">
      <c r="A43" s="371"/>
      <c r="B43" s="1548"/>
      <c r="C43" s="1548"/>
      <c r="D43" s="1548"/>
      <c r="E43" s="180">
        <v>17</v>
      </c>
      <c r="F43" s="175" cm="1" t="str">
        <f t="array" ref="F43:F43">OFFSET(G43,-1,-1)</f>
        <v>1</v>
      </c>
      <c r="G43" s="193" t="s">
        <v>1549</v>
      </c>
      <c r="H43" s="1659"/>
      <c r="I43" s="1659"/>
      <c r="J43" s="1659"/>
      <c r="K43" s="193" t="str">
        <f>F43&amp;"komm"</f>
        <v>1komm</v>
      </c>
      <c r="L43" s="308" cm="1" t="str">
        <f t="array" ref="L43:L43">CS43</f>
        <v>0</v>
      </c>
      <c r="M43" s="1659"/>
      <c r="N43" s="1659"/>
      <c r="O43" s="1659"/>
      <c r="P43" s="1659"/>
      <c r="Q43" s="1659"/>
      <c r="R43" s="1659"/>
      <c r="S43" s="1659"/>
      <c r="T43" s="753" cm="1" t="str">
        <f t="array" ref="T43:T43">T42</f>
        <v>true</v>
      </c>
      <c r="U43" s="1548"/>
      <c r="V43" s="1548"/>
      <c r="W43" s="1548"/>
      <c r="X43" s="1548"/>
      <c r="Y43" s="1548"/>
      <c r="Z43" s="1548"/>
      <c r="AA43" s="286"/>
      <c r="AB43" s="726">
        <v>5</v>
      </c>
      <c r="AC43" s="727" t="s">
        <v>1618</v>
      </c>
      <c r="AD43" s="728" t="s">
        <v>917</v>
      </c>
      <c r="AE43" s="729" cm="1" t="str">
        <f t="array" ref="AE43:AE43">'Операционные (5.1)'!AE37</f>
        <v>0</v>
      </c>
      <c r="AF43" s="729" cm="1" t="str">
        <f t="array" ref="AF43:AF43">'Операционные (5.1)'!AF37</f>
        <v>0</v>
      </c>
      <c r="AG43" s="729" cm="1" t="str">
        <f t="array" ref="AG43:AG43">'Операционные (5.1)'!AG37</f>
        <v>0</v>
      </c>
      <c r="AH43" s="730" cm="1" t="str">
        <f t="array" ref="AH43:AH43">'Операционные (5.1)'!AH37</f>
        <v>0</v>
      </c>
      <c r="AI43" s="2348">
        <f>_xlfn.SUMIFS('Операционные (5.1)'!AI$26:AI$75,'Операционные (5.1)'!$F$26:$F$75,$F43,'Операционные (5.1)'!$G$26:$G$75,$G43)</f>
        <v>3790</v>
      </c>
      <c r="AJ43" s="731">
        <f>IF(god=first_year,_xlfn.SUMIFS('Операционные (5.1)'!AJ$26:AJ$75,'Операционные (5.1)'!$F$26:$F$75,$F43,'Операционные (5.1)'!$G$26:$G$75,$G43),AI43*AJ44)+0.294</f>
        <v>3939.999</v>
      </c>
      <c r="AK43" s="2336">
        <f>AJ43*AK44</f>
        <v>3900.59901</v>
      </c>
      <c r="AL43" s="2350">
        <f>AK43*AL44</f>
        <v>3861.5930199</v>
      </c>
      <c r="AM43" s="2336">
        <f>AL43*AM44</f>
        <v>3822.977089701</v>
      </c>
      <c r="AN43" s="2336">
        <f>AM43*AN44</f>
        <v>3784.74731880399</v>
      </c>
      <c r="AO43" s="2336">
        <f>AN43*AO44</f>
        <v>3746.89984561595</v>
      </c>
      <c r="AP43" s="2336">
        <f>AO43*AP44</f>
        <v>3709.43084715979</v>
      </c>
      <c r="AQ43" s="2336">
        <f>AP43*AQ44</f>
        <v>3672.33653868819</v>
      </c>
      <c r="AR43" s="2336">
        <f>AQ43*AR44</f>
        <v>3635.61317330131</v>
      </c>
      <c r="AS43" s="2336">
        <f>AR43*AS44</f>
        <v>3599.2570415683</v>
      </c>
      <c r="AT43" s="2336">
        <f>AS43*AT44</f>
        <v>3563.26447115262</v>
      </c>
      <c r="AU43" s="2336">
        <f>AT43*AU44</f>
        <v>3527.63182644109</v>
      </c>
      <c r="AV43" s="2336">
        <f>AU43*AV44</f>
        <v>3492.35550817668</v>
      </c>
      <c r="AW43" s="2336">
        <f>AV43*AW44</f>
        <v>3457.43195309491</v>
      </c>
      <c r="AX43" s="2336">
        <f>AW43*AX44</f>
        <v>3422.85763356396</v>
      </c>
      <c r="AY43" s="2336">
        <f>AX43*AY44</f>
        <v>3388.62905722832</v>
      </c>
      <c r="AZ43" s="2336">
        <f>AY43*AZ44</f>
        <v>3354.74276665604</v>
      </c>
      <c r="BA43" s="2336">
        <f>AZ43*BA44</f>
        <v>3321.19533898948</v>
      </c>
      <c r="BB43" s="2336">
        <f>BA43*BB44</f>
        <v>3287.98338559959</v>
      </c>
      <c r="BC43" s="2336">
        <f>BB43*BC44</f>
        <v>3255.10355174359</v>
      </c>
      <c r="BD43" s="733">
        <f>IF(god=first_year,_xlfn.SUMIFS('Операционные (5.1)'!AK$26:AK$75,'Операционные (5.1)'!$F$26:$F$75,$F43,'Операционные (5.1)'!$G$26:$G$75,$G43),AI43*BD44)+0.294</f>
        <v>3939.999</v>
      </c>
      <c r="BE43" s="2336">
        <f>BD43*BE44</f>
        <v>3900.59901</v>
      </c>
      <c r="BF43" s="2336">
        <f>BE43*BF44</f>
        <v>3861.5930199</v>
      </c>
      <c r="BG43" s="2336">
        <f>BF43*BG44</f>
        <v>3822.977089701</v>
      </c>
      <c r="BH43" s="2336">
        <f>BG43*BH44</f>
        <v>3784.74731880399</v>
      </c>
      <c r="BI43" s="2336">
        <f>BH43*BI44</f>
        <v>3746.89984561595</v>
      </c>
      <c r="BJ43" s="2336">
        <f>BI43*BJ44</f>
        <v>3709.43084715979</v>
      </c>
      <c r="BK43" s="2336">
        <f>BJ43*BK44</f>
        <v>3672.33653868819</v>
      </c>
      <c r="BL43" s="2336">
        <f>BK43*BL44</f>
        <v>3635.61317330131</v>
      </c>
      <c r="BM43" s="2336">
        <f>BL43*BM44</f>
        <v>3599.2570415683</v>
      </c>
      <c r="BN43" s="2336">
        <f>BM43*BN44</f>
        <v>3563.26447115262</v>
      </c>
      <c r="BO43" s="2336">
        <f>BN43*BO44</f>
        <v>3527.63182644109</v>
      </c>
      <c r="BP43" s="2336">
        <f>BO43*BP44</f>
        <v>3492.35550817668</v>
      </c>
      <c r="BQ43" s="2336">
        <f>BP43*BQ44</f>
        <v>3457.43195309491</v>
      </c>
      <c r="BR43" s="2336">
        <f>BQ43*BR44</f>
        <v>3422.85763356396</v>
      </c>
      <c r="BS43" s="2336">
        <f>BR43*BS44</f>
        <v>3388.62905722832</v>
      </c>
      <c r="BT43" s="2336">
        <f>BS43*BT44</f>
        <v>3354.74276665604</v>
      </c>
      <c r="BU43" s="2336">
        <f>BT43*BU44</f>
        <v>3321.19533898948</v>
      </c>
      <c r="BV43" s="2336">
        <f>BU43*BV44</f>
        <v>3287.98338559959</v>
      </c>
      <c r="BW43" s="2336">
        <f>BV43*BW44</f>
        <v>3255.10355174359</v>
      </c>
      <c r="BX43" s="734"/>
      <c r="BY43" s="2352">
        <f>IF(BD43=0,0,(BE43-BD43)/BD43*100)</f>
        <v>-1</v>
      </c>
      <c r="BZ43" s="2352">
        <f>IF(BE43=0,0,(BF43-BE43)/BE43*100)</f>
        <v>-1</v>
      </c>
      <c r="CA43" s="2352">
        <f>IF(BF43=0,0,(BG43-BF43)/BF43*100)</f>
        <v>-1</v>
      </c>
      <c r="CB43" s="2352">
        <f>IF(BG43=0,0,(BH43-BG43)/BG43*100)</f>
        <v>-1</v>
      </c>
      <c r="CC43" s="2352">
        <f>IF(BH43=0,0,(BI43-BH43)/BH43*100)</f>
        <v>-0.99999999999999</v>
      </c>
      <c r="CD43" s="2352">
        <f>IF(BI43=0,0,(BJ43-BI43)/BI43*100)</f>
        <v>-1</v>
      </c>
      <c r="CE43" s="2352">
        <f>IF(BJ43=0,0,(BK43-BJ43)/BJ43*100)</f>
        <v>-1.0000000000001</v>
      </c>
      <c r="CF43" s="2352">
        <f>IF(BK43=0,0,(BL43-BK43)/BK43*100)</f>
        <v>-0.99999999999996</v>
      </c>
      <c r="CG43" s="2352">
        <f>IF(BL43=0,0,(BM43-BL43)/BL43*100)</f>
        <v>-0.99999999999991</v>
      </c>
      <c r="CH43" s="2352">
        <f>IF(BM43=0,0,(BN43-BM43)/BM43*100)</f>
        <v>-0.99999999999991</v>
      </c>
      <c r="CI43" s="2352">
        <f>IF(BN43=0,0,(BO43-BN43)/BN43*100)</f>
        <v>-1.0000000000001</v>
      </c>
      <c r="CJ43" s="2352">
        <f>IF(BO43=0,0,(BP43-BO43)/BO43*100)</f>
        <v>-0.99999999999998</v>
      </c>
      <c r="CK43" s="2352">
        <f>IF(BP43=0,0,(BQ43-BP43)/BP43*100)</f>
        <v>-1.0000000000001</v>
      </c>
      <c r="CL43" s="2352">
        <f>IF(BQ43=0,0,(BR43-BQ43)/BQ43*100)</f>
        <v>-1</v>
      </c>
      <c r="CM43" s="2352">
        <f>IF(BR43=0,0,(BS43-BR43)/BR43*100)</f>
        <v>-1</v>
      </c>
      <c r="CN43" s="2352">
        <f>IF(BS43=0,0,(BT43-BS43)/BS43*100)</f>
        <v>-0.9999999999999</v>
      </c>
      <c r="CO43" s="2352">
        <f>IF(BT43=0,0,(BU43-BT43)/BT43*100)</f>
        <v>-0.99999999999999</v>
      </c>
      <c r="CP43" s="2352">
        <f>IF(BU43=0,0,(BV43-BU43)/BU43*100)</f>
        <v>-0.99999999999987</v>
      </c>
      <c r="CQ43" s="2352">
        <f>IF(BV43=0,0,(BW43-BV43)/BV43*100)</f>
        <v>-1.0000000000001</v>
      </c>
      <c r="CR43" s="1897"/>
      <c r="CS43" s="1897"/>
      <c r="CT43" s="1897"/>
      <c r="CU43" s="286"/>
      <c r="CV43" s="1659"/>
      <c r="CW43" s="309" t="s">
        <v>1619</v>
      </c>
      <c r="CX43" s="1506"/>
      <c r="CY43" s="1506"/>
      <c r="CZ43" s="0" cm="1" t="str">
        <f t="array" ref="CZ43:CZ43">CZ42</f>
        <v>ТЭ.42.31656254.0001</v>
      </c>
      <c r="DA43" s="1751"/>
      <c r="DB43" s="0" t="s">
        <v>503</v>
      </c>
      <c r="DC43" s="1751"/>
      <c r="DD43" s="0" t="s">
        <v>219</v>
      </c>
      <c r="DE43" s="0" t="s">
        <v>303</v>
      </c>
      <c r="DF43" s="0" t="s">
        <v>1552</v>
      </c>
      <c r="DG43" s="0" t="s">
        <v>1553</v>
      </c>
    </row>
    <row s="2353" customFormat="1" customHeight="1" ht="16.5">
      <c r="A44" s="1106"/>
      <c r="B44" s="736"/>
      <c r="C44" s="736"/>
      <c r="D44" s="736"/>
      <c r="E44" s="180">
        <v>17</v>
      </c>
      <c r="F44" s="175" cm="1" t="str">
        <f t="array" ref="F44:F44">OFFSET(G44,-1,-1)</f>
        <v>1</v>
      </c>
      <c r="G44" s="994"/>
      <c r="H44" s="994"/>
      <c r="I44" s="994"/>
      <c r="J44" s="994"/>
      <c r="K44" s="994"/>
      <c r="L44" s="994"/>
      <c r="M44" s="994"/>
      <c r="N44" s="994"/>
      <c r="O44" s="994"/>
      <c r="P44" s="994"/>
      <c r="Q44" s="994"/>
      <c r="R44" s="994"/>
      <c r="S44" s="994"/>
      <c r="T44" s="753" cm="1" t="str">
        <f t="array" ref="T44:T44">T43</f>
        <v>true</v>
      </c>
      <c r="U44" s="736"/>
      <c r="V44" s="736"/>
      <c r="W44" s="736"/>
      <c r="X44" s="994"/>
      <c r="Y44" s="736"/>
      <c r="Z44" s="994"/>
      <c r="AA44" s="737"/>
      <c r="AB44" s="738">
        <v>5.1</v>
      </c>
      <c r="AC44" s="739" t="s">
        <v>1620</v>
      </c>
      <c r="AD44" s="740"/>
      <c r="AE44" s="130"/>
      <c r="AF44" s="130"/>
      <c r="AG44" s="130"/>
      <c r="AH44" s="742"/>
      <c r="AI44" s="745"/>
      <c r="AJ44" s="744">
        <f>(1+AJ37%)*(1-AJ38%)*(1+AJ39*AJ42)</f>
        <v>1.0395</v>
      </c>
      <c r="AK44" s="2355">
        <f>(1+AK37%)*(1-AK38%)*(1+AK39*AK42)</f>
        <v>0.99</v>
      </c>
      <c r="AL44" s="2355">
        <f>(1+AL37%)*(1-AL38%)*(1+AL39*AL42)</f>
        <v>0.99</v>
      </c>
      <c r="AM44" s="2355">
        <f>(1+AM37%)*(1-AM38%)*(1+AM39*AM42)</f>
        <v>0.99</v>
      </c>
      <c r="AN44" s="2355">
        <f>(1+AN37%)*(1-AN38%)*(1+AN39*AN42)</f>
        <v>0.99</v>
      </c>
      <c r="AO44" s="2355">
        <f>(1+AO37%)*(1-AO38%)*(1+AO39*AO42)</f>
        <v>0.99</v>
      </c>
      <c r="AP44" s="2355">
        <f>(1+AP37%)*(1-AP38%)*(1+AP39*AP42)</f>
        <v>0.99</v>
      </c>
      <c r="AQ44" s="2355">
        <f>(1+AQ37%)*(1-AQ38%)*(1+AQ39*AQ42)</f>
        <v>0.99</v>
      </c>
      <c r="AR44" s="2355">
        <f>(1+AR37%)*(1-AR38%)*(1+AR39*AR42)</f>
        <v>0.99</v>
      </c>
      <c r="AS44" s="2355">
        <f>(1+AS37%)*(1-AS38%)*(1+AS39*AS42)</f>
        <v>0.99</v>
      </c>
      <c r="AT44" s="2355">
        <f>(1+AT37%)*(1-AT38%)*(1+AT39*AT42)</f>
        <v>0.99</v>
      </c>
      <c r="AU44" s="2355">
        <f>(1+AU37%)*(1-AU38%)*(1+AU39*AU42)</f>
        <v>0.99</v>
      </c>
      <c r="AV44" s="2355">
        <f>(1+AV37%)*(1-AV38%)*(1+AV39*AV42)</f>
        <v>0.99</v>
      </c>
      <c r="AW44" s="2355">
        <f>(1+AW37%)*(1-AW38%)*(1+AW39*AW42)</f>
        <v>0.99</v>
      </c>
      <c r="AX44" s="2355">
        <f>(1+AX37%)*(1-AX38%)*(1+AX39*AX42)</f>
        <v>0.99</v>
      </c>
      <c r="AY44" s="2355">
        <f>(1+AY37%)*(1-AY38%)*(1+AY39*AY42)</f>
        <v>0.99</v>
      </c>
      <c r="AZ44" s="2355">
        <f>(1+AZ37%)*(1-AZ38%)*(1+AZ39*AZ42)</f>
        <v>0.99</v>
      </c>
      <c r="BA44" s="2355">
        <f>(1+BA37%)*(1-BA38%)*(1+BA39*BA42)</f>
        <v>0.99</v>
      </c>
      <c r="BB44" s="2355">
        <f>(1+BB37%)*(1-BB38%)*(1+BB39*BB42)</f>
        <v>0.99</v>
      </c>
      <c r="BC44" s="2355">
        <f>(1+BC37%)*(1-BC38%)*(1+BC39*BC42)</f>
        <v>0.99</v>
      </c>
      <c r="BD44" s="744">
        <f>(1+BD37%)*(1-BD38%)*(1+BD39*BD42)</f>
        <v>1.0395</v>
      </c>
      <c r="BE44" s="2355">
        <f>(1+BE37%)*(1-BE38%)*(1+BE39*BE42)</f>
        <v>0.99</v>
      </c>
      <c r="BF44" s="2355">
        <f>(1+BF37%)*(1-BF38%)*(1+BF39*BF42)</f>
        <v>0.99</v>
      </c>
      <c r="BG44" s="2355">
        <f>(1+BG37%)*(1-BG38%)*(1+BG39*BG42)</f>
        <v>0.99</v>
      </c>
      <c r="BH44" s="2355">
        <f>(1+BH37%)*(1-BH38%)*(1+BH39*BH42)</f>
        <v>0.99</v>
      </c>
      <c r="BI44" s="2355">
        <f>(1+BI37%)*(1-BI38%)*(1+BI39*BI42)</f>
        <v>0.99</v>
      </c>
      <c r="BJ44" s="2355">
        <f>(1+BJ37%)*(1-BJ38%)*(1+BJ39*BJ42)</f>
        <v>0.99</v>
      </c>
      <c r="BK44" s="2355">
        <f>(1+BK37%)*(1-BK38%)*(1+BK39*BK42)</f>
        <v>0.99</v>
      </c>
      <c r="BL44" s="2355">
        <f>(1+BL37%)*(1-BL38%)*(1+BL39*BL42)</f>
        <v>0.99</v>
      </c>
      <c r="BM44" s="2355">
        <f>(1+BM37%)*(1-BM38%)*(1+BM39*BM42)</f>
        <v>0.99</v>
      </c>
      <c r="BN44" s="2355">
        <f>(1+BN37%)*(1-BN38%)*(1+BN39*BN42)</f>
        <v>0.99</v>
      </c>
      <c r="BO44" s="2355">
        <f>(1+BO37%)*(1-BO38%)*(1+BO39*BO42)</f>
        <v>0.99</v>
      </c>
      <c r="BP44" s="2355">
        <f>(1+BP37%)*(1-BP38%)*(1+BP39*BP42)</f>
        <v>0.99</v>
      </c>
      <c r="BQ44" s="2355">
        <f>(1+BQ37%)*(1-BQ38%)*(1+BQ39*BQ42)</f>
        <v>0.99</v>
      </c>
      <c r="BR44" s="2355">
        <f>(1+BR37%)*(1-BR38%)*(1+BR39*BR42)</f>
        <v>0.99</v>
      </c>
      <c r="BS44" s="2355">
        <f>(1+BS37%)*(1-BS38%)*(1+BS39*BS42)</f>
        <v>0.99</v>
      </c>
      <c r="BT44" s="2355">
        <f>(1+BT37%)*(1-BT38%)*(1+BT39*BT42)</f>
        <v>0.99</v>
      </c>
      <c r="BU44" s="2355">
        <f>(1+BU37%)*(1-BU38%)*(1+BU39*BU42)</f>
        <v>0.99</v>
      </c>
      <c r="BV44" s="2355">
        <f>(1+BV37%)*(1-BV38%)*(1+BV39*BV42)</f>
        <v>0.99</v>
      </c>
      <c r="BW44" s="2355">
        <f>(1+BW37%)*(1-BW38%)*(1+BW39*BW42)</f>
        <v>0.99</v>
      </c>
      <c r="BX44" s="745"/>
      <c r="BY44" s="745"/>
      <c r="BZ44" s="745"/>
      <c r="CA44" s="745"/>
      <c r="CB44" s="745"/>
      <c r="CC44" s="745"/>
      <c r="CD44" s="745"/>
      <c r="CE44" s="745"/>
      <c r="CF44" s="745"/>
      <c r="CG44" s="745"/>
      <c r="CH44" s="745"/>
      <c r="CI44" s="745"/>
      <c r="CJ44" s="745"/>
      <c r="CK44" s="745"/>
      <c r="CL44" s="745"/>
      <c r="CM44" s="745"/>
      <c r="CN44" s="745"/>
      <c r="CO44" s="745"/>
      <c r="CP44" s="745"/>
      <c r="CQ44" s="745"/>
      <c r="CR44" s="1897"/>
      <c r="CS44" s="1897"/>
      <c r="CT44" s="1897"/>
      <c r="CU44" s="737"/>
      <c r="CV44" s="994"/>
      <c r="CW44" s="309" t="s">
        <v>1621</v>
      </c>
      <c r="CX44" s="994"/>
      <c r="CY44" s="994"/>
      <c r="CZ44" s="1731" cm="1" t="str">
        <f t="array" ref="CZ44:CZ44">CZ43</f>
        <v>ТЭ.42.31656254.0001</v>
      </c>
      <c r="DA44" s="1731"/>
      <c r="DB44" s="1731" t="s">
        <v>503</v>
      </c>
      <c r="DC44" s="1731"/>
      <c r="DD44" s="1731" t="s">
        <v>255</v>
      </c>
      <c r="DE44" s="1731" t="s">
        <v>303</v>
      </c>
      <c r="DF44" s="1731" t="s">
        <v>899</v>
      </c>
      <c r="DG44" s="1731" t="s">
        <v>900</v>
      </c>
    </row>
    <row customHeight="1" ht="9.75">
      <c r="E45" s="180">
        <v>10</v>
      </c>
      <c r="U45" s="175" t="s">
        <v>191</v>
      </c>
      <c r="V45" s="176" t="s">
        <v>1623</v>
      </c>
      <c r="AA45" s="679"/>
      <c r="AB45" s="678"/>
      <c r="AC45" s="681"/>
      <c r="AD45" s="678"/>
      <c r="AE45" s="679"/>
      <c r="AF45" s="679"/>
      <c r="AG45" s="679"/>
      <c r="AH45" s="679"/>
      <c r="AI45" s="679"/>
      <c r="AJ45" s="679"/>
      <c r="AK45" s="679"/>
      <c r="AL45" s="679"/>
      <c r="AM45" s="679"/>
      <c r="AN45" s="679"/>
      <c r="AO45" s="679"/>
      <c r="AP45" s="679"/>
      <c r="AQ45" s="679"/>
      <c r="AR45" s="679"/>
      <c r="AS45" s="679"/>
      <c r="AT45" s="679"/>
      <c r="AU45" s="679"/>
      <c r="AV45" s="679"/>
      <c r="AW45" s="679"/>
      <c r="AX45" s="679"/>
      <c r="AY45" s="679"/>
      <c r="AZ45" s="679"/>
      <c r="BA45" s="679"/>
      <c r="BB45" s="679"/>
      <c r="BC45" s="679"/>
      <c r="BD45" s="679"/>
      <c r="BE45" s="679"/>
      <c r="BF45" s="679"/>
      <c r="BG45" s="679"/>
      <c r="BH45" s="679"/>
      <c r="BI45" s="679"/>
      <c r="BJ45" s="679"/>
      <c r="BK45" s="679"/>
      <c r="BL45" s="679"/>
      <c r="BM45" s="679"/>
      <c r="BN45" s="679"/>
      <c r="BO45" s="679"/>
      <c r="BP45" s="679"/>
      <c r="BQ45" s="679"/>
      <c r="BR45" s="679"/>
      <c r="BS45" s="679"/>
      <c r="BT45" s="679"/>
      <c r="BU45" s="679"/>
      <c r="BV45" s="679"/>
      <c r="BW45" s="679"/>
      <c r="BX45" s="679"/>
      <c r="BY45" s="679"/>
      <c r="BZ45" s="679"/>
      <c r="CA45" s="679"/>
      <c r="CB45" s="679"/>
      <c r="CC45" s="679"/>
      <c r="CD45" s="679"/>
      <c r="CE45" s="679"/>
      <c r="CF45" s="679"/>
      <c r="CG45" s="679"/>
      <c r="CH45" s="679"/>
      <c r="CI45" s="679"/>
      <c r="CJ45" s="679"/>
      <c r="CK45" s="679"/>
      <c r="CL45" s="679"/>
      <c r="CM45" s="679"/>
      <c r="CN45" s="679"/>
      <c r="CO45" s="679"/>
      <c r="CP45" s="679"/>
      <c r="CQ45" s="679"/>
      <c r="CR45" s="679"/>
      <c r="CS45" s="679"/>
      <c r="CT45" s="679"/>
      <c r="CU45" s="679"/>
    </row>
    <row customHeight="1" ht="11.25" hidden="1">
      <c r="E46" s="965">
        <v>0</v>
      </c>
      <c r="AA46" s="679"/>
      <c r="AB46" s="678"/>
      <c r="AC46" s="681"/>
      <c r="AD46" s="678"/>
      <c r="AE46" s="679"/>
      <c r="AF46" s="679"/>
      <c r="AG46" s="679"/>
      <c r="AH46" s="679"/>
      <c r="AI46" s="679"/>
      <c r="AJ46" s="679"/>
      <c r="AK46" s="679"/>
      <c r="AL46" s="679"/>
      <c r="AM46" s="679"/>
      <c r="AN46" s="679"/>
      <c r="AO46" s="679"/>
      <c r="AP46" s="679"/>
      <c r="AQ46" s="679"/>
      <c r="AR46" s="679"/>
      <c r="AS46" s="679"/>
      <c r="AT46" s="679"/>
      <c r="AU46" s="679"/>
      <c r="AV46" s="679"/>
      <c r="AW46" s="679"/>
      <c r="AX46" s="679"/>
      <c r="AY46" s="679"/>
      <c r="AZ46" s="679"/>
      <c r="BA46" s="679"/>
      <c r="BB46" s="679"/>
      <c r="BC46" s="679"/>
      <c r="BD46" s="679"/>
      <c r="BE46" s="679"/>
      <c r="BF46" s="679"/>
      <c r="BG46" s="679"/>
      <c r="BH46" s="679"/>
      <c r="BI46" s="679"/>
      <c r="BJ46" s="679"/>
      <c r="BK46" s="679"/>
      <c r="BL46" s="679"/>
      <c r="BM46" s="679"/>
      <c r="BN46" s="679"/>
      <c r="BO46" s="679"/>
      <c r="BP46" s="679"/>
      <c r="BQ46" s="679"/>
      <c r="BR46" s="679"/>
      <c r="BS46" s="679"/>
      <c r="BT46" s="679"/>
      <c r="BU46" s="679"/>
      <c r="BV46" s="679"/>
      <c r="BW46" s="679"/>
      <c r="BX46" s="679"/>
      <c r="BY46" s="679"/>
      <c r="BZ46" s="679"/>
      <c r="CA46" s="679"/>
      <c r="CB46" s="679"/>
      <c r="CC46" s="679"/>
      <c r="CD46" s="679"/>
      <c r="CE46" s="679"/>
      <c r="CF46" s="679"/>
      <c r="CG46" s="679"/>
      <c r="CH46" s="679"/>
      <c r="CI46" s="679"/>
      <c r="CJ46" s="679"/>
      <c r="CK46" s="679"/>
      <c r="CL46" s="679"/>
      <c r="CM46" s="679"/>
      <c r="CN46" s="679"/>
      <c r="CO46" s="679"/>
      <c r="CP46" s="679"/>
      <c r="CQ46" s="679"/>
      <c r="CR46" s="679"/>
      <c r="CS46" s="679"/>
      <c r="CT46" s="679"/>
      <c r="CU46" s="679"/>
    </row>
    <row customHeight="1" ht="14.625">
      <c r="E47" s="180">
        <v>15</v>
      </c>
      <c r="AA47" s="679"/>
      <c r="AB47" s="1653" t="s">
        <v>765</v>
      </c>
      <c r="AC47" s="1653"/>
      <c r="AD47" s="1653"/>
      <c r="AE47" s="1653"/>
      <c r="AF47" s="1653"/>
      <c r="AG47" s="1653"/>
      <c r="AH47" s="1653"/>
      <c r="AI47" s="1653"/>
      <c r="AJ47" s="1653"/>
      <c r="AK47" s="1653"/>
      <c r="AL47" s="1653"/>
      <c r="AM47" s="1653"/>
      <c r="AN47" s="1653"/>
      <c r="AO47" s="1653"/>
      <c r="AP47" s="1653"/>
      <c r="AQ47" s="1653"/>
      <c r="AR47" s="1653"/>
      <c r="AS47" s="1653"/>
      <c r="AT47" s="1653"/>
      <c r="AU47" s="1653"/>
      <c r="AV47" s="1653"/>
      <c r="AW47" s="1653"/>
      <c r="AX47" s="1653"/>
      <c r="AY47" s="1653"/>
      <c r="AZ47" s="1653"/>
      <c r="BA47" s="1653"/>
      <c r="BB47" s="1653"/>
      <c r="BC47" s="1653"/>
      <c r="BD47" s="1653"/>
      <c r="BE47" s="1653"/>
      <c r="BF47" s="1653"/>
      <c r="BG47" s="1653"/>
      <c r="BH47" s="1653"/>
      <c r="BI47" s="1653"/>
      <c r="BJ47" s="1653"/>
      <c r="BK47" s="1653"/>
      <c r="BL47" s="1653"/>
      <c r="BM47" s="1653"/>
      <c r="BN47" s="1653"/>
      <c r="BO47" s="1653"/>
      <c r="BP47" s="1653"/>
      <c r="BQ47" s="1653"/>
      <c r="BR47" s="1653"/>
      <c r="BS47" s="1653"/>
      <c r="BT47" s="1653"/>
      <c r="BU47" s="1653"/>
      <c r="BV47" s="1653"/>
      <c r="BW47" s="1653"/>
      <c r="BX47" s="1653"/>
      <c r="BY47" s="1653"/>
      <c r="BZ47" s="1653"/>
      <c r="CA47" s="1653"/>
      <c r="CB47" s="1653"/>
      <c r="CC47" s="1653"/>
      <c r="CD47" s="1653"/>
      <c r="CE47" s="1653"/>
      <c r="CF47" s="1653"/>
      <c r="CG47" s="1653"/>
      <c r="CH47" s="1653"/>
      <c r="CI47" s="1653"/>
      <c r="CJ47" s="1653"/>
      <c r="CK47" s="1653"/>
      <c r="CL47" s="1653"/>
      <c r="CM47" s="1653"/>
      <c r="CN47" s="1653"/>
      <c r="CO47" s="1653"/>
      <c r="CP47" s="1653"/>
      <c r="CQ47" s="1653"/>
      <c r="CR47" s="1653"/>
      <c r="CS47" s="1653"/>
      <c r="CT47" s="1653"/>
      <c r="CU47" s="679"/>
    </row>
    <row customHeight="1" ht="14.625">
      <c r="E48" s="180">
        <v>15</v>
      </c>
      <c r="AA48" s="477"/>
      <c r="AB48" s="1675"/>
      <c r="AC48" s="1676"/>
      <c r="AD48" s="1676"/>
      <c r="AE48" s="1676"/>
      <c r="AF48" s="1676"/>
      <c r="AG48" s="1676"/>
      <c r="AH48" s="1676"/>
      <c r="AI48" s="1676"/>
      <c r="AJ48" s="1676"/>
      <c r="AK48" s="1676"/>
      <c r="AL48" s="1676"/>
      <c r="AM48" s="1676"/>
      <c r="AN48" s="1676"/>
      <c r="AO48" s="1676"/>
      <c r="AP48" s="1676"/>
      <c r="AQ48" s="1676"/>
      <c r="AR48" s="1676"/>
      <c r="AS48" s="1676"/>
      <c r="AT48" s="1676"/>
      <c r="AU48" s="1676"/>
      <c r="AV48" s="1676"/>
      <c r="AW48" s="1676"/>
      <c r="AX48" s="1676"/>
      <c r="AY48" s="1676"/>
      <c r="AZ48" s="1676"/>
      <c r="BA48" s="1676"/>
      <c r="BB48" s="1676"/>
      <c r="BC48" s="1676"/>
      <c r="BD48" s="1676"/>
      <c r="BE48" s="1676"/>
      <c r="BF48" s="1676"/>
      <c r="BG48" s="1676"/>
      <c r="BH48" s="1676"/>
      <c r="BI48" s="1676"/>
      <c r="BJ48" s="1676"/>
      <c r="BK48" s="1676"/>
      <c r="BL48" s="1676"/>
      <c r="BM48" s="1676"/>
      <c r="BN48" s="1676"/>
      <c r="BO48" s="1676"/>
      <c r="BP48" s="1676"/>
      <c r="BQ48" s="1676"/>
      <c r="BR48" s="1676"/>
      <c r="BS48" s="1676"/>
      <c r="BT48" s="1676"/>
      <c r="BU48" s="1676"/>
      <c r="BV48" s="1676"/>
      <c r="BW48" s="1676"/>
      <c r="BX48" s="1676"/>
      <c r="BY48" s="1676"/>
      <c r="BZ48" s="1676"/>
      <c r="CA48" s="1676"/>
      <c r="CB48" s="1676"/>
      <c r="CC48" s="1676"/>
      <c r="CD48" s="1676"/>
      <c r="CE48" s="1676"/>
      <c r="CF48" s="1676"/>
      <c r="CG48" s="1676"/>
      <c r="CH48" s="1676"/>
      <c r="CI48" s="1676"/>
      <c r="CJ48" s="1676"/>
      <c r="CK48" s="1676"/>
      <c r="CL48" s="1676"/>
      <c r="CM48" s="1676"/>
      <c r="CN48" s="1676"/>
      <c r="CO48" s="1676"/>
      <c r="CP48" s="1676"/>
      <c r="CQ48" s="1676"/>
      <c r="CR48" s="1676"/>
      <c r="CS48" s="1676"/>
      <c r="CT48" s="1676"/>
      <c r="CU48" s="679"/>
    </row>
    <row customHeight="1" ht="14.625" hidden="1">
      <c r="A49" s="371"/>
      <c r="B49" s="1548"/>
      <c r="C49" s="1548"/>
      <c r="D49" s="1548"/>
      <c r="E49" s="180">
        <v>15</v>
      </c>
      <c r="F49" s="1548"/>
      <c r="G49" s="1659"/>
      <c r="H49" s="1659"/>
      <c r="I49" s="1659"/>
      <c r="J49" s="1659"/>
      <c r="K49" s="1659"/>
      <c r="L49" s="1659"/>
      <c r="M49" s="1659"/>
      <c r="N49" s="1659"/>
      <c r="O49" s="1659"/>
      <c r="P49" s="1659"/>
      <c r="Q49" s="1659"/>
      <c r="R49" s="1659"/>
      <c r="S49" s="1659"/>
      <c r="T49" s="753">
        <f>ROW(W49)&gt;ROW(W$49)</f>
        <v>0</v>
      </c>
      <c r="U49" s="1548"/>
      <c r="V49" s="1548"/>
      <c r="W49" s="175" t="s">
        <v>189</v>
      </c>
      <c r="X49" s="1548"/>
      <c r="Y49" s="1548"/>
      <c r="Z49" s="1548"/>
      <c r="AA49" s="477" t="s">
        <v>171</v>
      </c>
      <c r="AB49" s="2334"/>
      <c r="AC49" s="1676"/>
      <c r="AD49" s="1676"/>
      <c r="AE49" s="1676"/>
      <c r="AF49" s="1676"/>
      <c r="AG49" s="1676"/>
      <c r="AH49" s="1676"/>
      <c r="AI49" s="1676"/>
      <c r="AJ49" s="1676"/>
      <c r="AK49" s="1676"/>
      <c r="AL49" s="1676"/>
      <c r="AM49" s="1676"/>
      <c r="AN49" s="1676"/>
      <c r="AO49" s="1676"/>
      <c r="AP49" s="1676"/>
      <c r="AQ49" s="1676"/>
      <c r="AR49" s="1676"/>
      <c r="AS49" s="1676"/>
      <c r="AT49" s="1676"/>
      <c r="AU49" s="1676"/>
      <c r="AV49" s="1676"/>
      <c r="AW49" s="1676"/>
      <c r="AX49" s="1676"/>
      <c r="AY49" s="1676"/>
      <c r="AZ49" s="1676"/>
      <c r="BA49" s="1676"/>
      <c r="BB49" s="1676"/>
      <c r="BC49" s="1676"/>
      <c r="BD49" s="1676"/>
      <c r="BE49" s="1676"/>
      <c r="BF49" s="1676"/>
      <c r="BG49" s="1676"/>
      <c r="BH49" s="1676"/>
      <c r="BI49" s="1676"/>
      <c r="BJ49" s="1676"/>
      <c r="BK49" s="1676"/>
      <c r="BL49" s="1676"/>
      <c r="BM49" s="1676"/>
      <c r="BN49" s="1676"/>
      <c r="BO49" s="1676"/>
      <c r="BP49" s="1676"/>
      <c r="BQ49" s="1676"/>
      <c r="BR49" s="1676"/>
      <c r="BS49" s="1676"/>
      <c r="BT49" s="1676"/>
      <c r="BU49" s="1676"/>
      <c r="BV49" s="1676"/>
      <c r="BW49" s="1676"/>
      <c r="BX49" s="1676"/>
      <c r="BY49" s="1676"/>
      <c r="BZ49" s="1676"/>
      <c r="CA49" s="1676"/>
      <c r="CB49" s="1676"/>
      <c r="CC49" s="1676"/>
      <c r="CD49" s="1676"/>
      <c r="CE49" s="1676"/>
      <c r="CF49" s="1676"/>
      <c r="CG49" s="1676"/>
      <c r="CH49" s="1676"/>
      <c r="CI49" s="1676"/>
      <c r="CJ49" s="1676"/>
      <c r="CK49" s="1676"/>
      <c r="CL49" s="1676"/>
      <c r="CM49" s="1676"/>
      <c r="CN49" s="1676"/>
      <c r="CO49" s="1676"/>
      <c r="CP49" s="1676"/>
      <c r="CQ49" s="1676"/>
      <c r="CR49" s="1676"/>
      <c r="CS49" s="1676"/>
      <c r="CT49" s="1676"/>
      <c r="CU49" s="679"/>
      <c r="CV49" s="1659"/>
      <c r="CW49" s="1142"/>
      <c r="CX49" s="1506"/>
      <c r="CY49" s="1506"/>
      <c r="CZ49" s="1752"/>
      <c r="DA49" s="1752"/>
      <c r="DB49" s="1752"/>
      <c r="DC49" s="1752"/>
      <c r="DD49" s="1752"/>
      <c r="DE49" s="1752"/>
      <c r="DF49" s="1752"/>
      <c r="DG49" s="1752"/>
    </row>
    <row customHeight="1" ht="14.625">
      <c r="E50" s="180">
        <v>15</v>
      </c>
      <c r="W50" s="176" t="s">
        <v>190</v>
      </c>
      <c r="AB50" s="1599" t="s">
        <v>766</v>
      </c>
      <c r="AC50" s="1600"/>
      <c r="AD50" s="480"/>
      <c r="AE50" s="480"/>
      <c r="AF50" s="480"/>
      <c r="AG50" s="480"/>
      <c r="AH50" s="480"/>
      <c r="AI50" s="480"/>
      <c r="AJ50" s="480"/>
      <c r="AK50" s="480"/>
      <c r="AL50" s="480"/>
      <c r="AM50" s="480"/>
      <c r="AN50" s="480"/>
      <c r="AO50" s="480"/>
      <c r="AP50" s="480"/>
      <c r="AQ50" s="480"/>
      <c r="AR50" s="480"/>
      <c r="AS50" s="480"/>
      <c r="AT50" s="480"/>
      <c r="AU50" s="480"/>
      <c r="AV50" s="480"/>
      <c r="AW50" s="480"/>
      <c r="AX50" s="480"/>
      <c r="AY50" s="480"/>
      <c r="AZ50" s="480"/>
      <c r="BA50" s="480"/>
      <c r="BB50" s="480"/>
      <c r="BC50" s="480"/>
      <c r="BD50" s="480"/>
      <c r="BE50" s="480"/>
      <c r="BF50" s="480"/>
      <c r="BG50" s="480"/>
      <c r="BH50" s="480"/>
      <c r="BI50" s="480"/>
      <c r="BJ50" s="480"/>
      <c r="BK50" s="480"/>
      <c r="BL50" s="480"/>
      <c r="BM50" s="480"/>
      <c r="BN50" s="480"/>
      <c r="BO50" s="480"/>
      <c r="BP50" s="480"/>
      <c r="BQ50" s="480"/>
      <c r="BR50" s="480"/>
      <c r="BS50" s="480"/>
      <c r="BT50" s="480"/>
      <c r="BU50" s="480"/>
      <c r="BV50" s="480"/>
      <c r="BW50" s="480"/>
      <c r="BX50" s="480"/>
      <c r="BY50" s="480"/>
      <c r="BZ50" s="480"/>
      <c r="CA50" s="480"/>
      <c r="CB50" s="480"/>
      <c r="CC50" s="480"/>
      <c r="CD50" s="480"/>
      <c r="CE50" s="480"/>
      <c r="CF50" s="480"/>
      <c r="CG50" s="480"/>
      <c r="CH50" s="480"/>
      <c r="CI50" s="480"/>
      <c r="CJ50" s="480"/>
      <c r="CK50" s="480"/>
      <c r="CL50" s="480"/>
      <c r="CM50" s="480"/>
      <c r="CN50" s="480"/>
      <c r="CO50" s="480"/>
      <c r="CP50" s="480"/>
      <c r="CQ50" s="480"/>
      <c r="CR50" s="480"/>
      <c r="CS50" s="480"/>
      <c r="CT50" s="482"/>
      <c r="CU50" s="679"/>
    </row>
    <row customHeight="1" ht="11.25">
      <c r="AA51" s="679"/>
      <c r="AB51" s="678"/>
      <c r="AC51" s="681"/>
      <c r="AD51" s="678"/>
      <c r="AE51" s="679"/>
      <c r="AF51" s="679"/>
      <c r="AG51" s="679"/>
      <c r="AH51" s="679"/>
      <c r="AI51" s="679"/>
      <c r="AJ51" s="679"/>
      <c r="AK51" s="679"/>
      <c r="AL51" s="679"/>
      <c r="AM51" s="679"/>
      <c r="AN51" s="679"/>
      <c r="AO51" s="679"/>
      <c r="AP51" s="679"/>
      <c r="AQ51" s="679"/>
      <c r="AR51" s="679"/>
      <c r="AS51" s="679"/>
      <c r="AT51" s="679"/>
      <c r="AU51" s="679"/>
      <c r="AV51" s="679"/>
      <c r="AW51" s="679"/>
      <c r="AX51" s="679"/>
      <c r="AY51" s="679"/>
      <c r="AZ51" s="679"/>
      <c r="BA51" s="679"/>
      <c r="BB51" s="679"/>
      <c r="BC51" s="679"/>
      <c r="BD51" s="679"/>
      <c r="BE51" s="679"/>
      <c r="BF51" s="679"/>
      <c r="BG51" s="679"/>
      <c r="BH51" s="679"/>
      <c r="BI51" s="679"/>
      <c r="BJ51" s="679"/>
      <c r="BK51" s="679"/>
      <c r="BL51" s="679"/>
      <c r="BM51" s="679"/>
      <c r="BN51" s="679"/>
      <c r="BO51" s="679"/>
      <c r="BP51" s="679"/>
      <c r="BQ51" s="679"/>
      <c r="BR51" s="679"/>
      <c r="BS51" s="679"/>
      <c r="BT51" s="679"/>
      <c r="BU51" s="679"/>
      <c r="BV51" s="679"/>
      <c r="BW51" s="679"/>
      <c r="BX51" s="679"/>
      <c r="BY51" s="679"/>
      <c r="BZ51" s="679"/>
      <c r="CA51" s="679"/>
      <c r="CB51" s="679"/>
      <c r="CC51" s="679"/>
      <c r="CD51" s="679"/>
      <c r="CE51" s="679"/>
      <c r="CF51" s="679"/>
      <c r="CG51" s="679"/>
      <c r="CH51" s="679"/>
      <c r="CI51" s="679"/>
      <c r="CJ51" s="679"/>
      <c r="CK51" s="679"/>
      <c r="CL51" s="679"/>
      <c r="CM51" s="679"/>
      <c r="CN51" s="679"/>
      <c r="CO51" s="679"/>
      <c r="CP51" s="679"/>
      <c r="CQ51" s="679"/>
      <c r="CR51" s="679"/>
      <c r="CS51" s="679"/>
      <c r="CT51" s="679"/>
      <c r="CU51" s="679"/>
    </row>
    <row customHeight="1" ht="11.25" hidden="1">
      <c r="AJ52" s="286"/>
      <c r="AK52" s="286"/>
      <c r="AL52" s="286"/>
      <c r="AM52" s="286"/>
      <c r="AN52" s="286"/>
      <c r="AO52" s="286"/>
      <c r="AP52" s="286"/>
      <c r="AQ52" s="286"/>
      <c r="AR52" s="286"/>
      <c r="AS52" s="286"/>
      <c r="AT52" s="286"/>
      <c r="AU52" s="286"/>
      <c r="AV52" s="286"/>
      <c r="AW52" s="286"/>
      <c r="AX52" s="286"/>
      <c r="AY52" s="286"/>
      <c r="AZ52" s="286"/>
      <c r="BA52" s="286"/>
      <c r="BB52" s="286"/>
      <c r="BC52" s="286"/>
      <c r="BD52" s="286"/>
      <c r="BE52" s="286"/>
      <c r="BF52" s="286"/>
      <c r="BG52" s="286"/>
      <c r="BH52" s="286"/>
      <c r="BI52" s="286"/>
      <c r="BJ52" s="286"/>
      <c r="BK52" s="286"/>
      <c r="BL52" s="286"/>
      <c r="BM52" s="286"/>
      <c r="BN52" s="286"/>
      <c r="BO52" s="286"/>
      <c r="BP52" s="286"/>
      <c r="BQ52" s="286"/>
      <c r="BR52" s="286"/>
      <c r="BS52" s="286"/>
      <c r="BT52" s="286"/>
      <c r="BU52" s="286"/>
      <c r="BV52" s="286"/>
      <c r="BW52" s="286"/>
      <c r="BX52" s="286"/>
      <c r="BY52" s="286"/>
      <c r="BZ52" s="286"/>
      <c r="CA52" s="286"/>
      <c r="CB52" s="286"/>
      <c r="CC52" s="286"/>
      <c r="CD52" s="286"/>
      <c r="CE52" s="286"/>
      <c r="CF52" s="286"/>
      <c r="CG52" s="286"/>
      <c r="CH52" s="286"/>
      <c r="CI52" s="286"/>
      <c r="CJ52" s="286"/>
      <c r="CK52" s="286"/>
      <c r="CL52" s="286"/>
      <c r="CM52" s="286"/>
      <c r="CN52" s="286"/>
      <c r="CO52" s="286"/>
      <c r="CP52" s="286"/>
      <c r="CQ52" s="286"/>
    </row>
    <row customHeight="1" ht="11.25" hidden="1">
      <c r="A53" s="0" t="s">
        <v>109</v>
      </c>
      <c r="AI53" s="0" t="str">
        <f>"389.0."&amp;AI$9-2010&amp;"."</f>
        <v>389.0.16.</v>
      </c>
      <c r="AJ53" s="0" t="str">
        <f>"389.0."&amp;AJ$9-2010&amp;"."</f>
        <v>389.0.17.</v>
      </c>
      <c r="AK53" s="0" t="str">
        <f>"389.0."&amp;AK$9-2010&amp;"."</f>
        <v>389.0.18.</v>
      </c>
      <c r="AL53" s="0" t="str">
        <f>"389.0."&amp;AL$9-2010&amp;"."</f>
        <v>389.0.19.</v>
      </c>
      <c r="AM53" s="0" t="str">
        <f>"389.0."&amp;AM$9-2010&amp;"."</f>
        <v>389.0.20.</v>
      </c>
      <c r="AN53" s="0" t="str">
        <f>"389.0."&amp;AN$9-2010&amp;"."</f>
        <v>389.0.21.</v>
      </c>
      <c r="AO53" s="0" t="str">
        <f>"389.0."&amp;AO$9-2010&amp;"."</f>
        <v>389.0.22.</v>
      </c>
      <c r="AP53" s="0" t="str">
        <f>"389.0."&amp;AP$9-2010&amp;"."</f>
        <v>389.0.23.</v>
      </c>
      <c r="AQ53" s="0" t="str">
        <f>"389.0."&amp;AQ$9-2010&amp;"."</f>
        <v>389.0.24.</v>
      </c>
      <c r="AR53" s="0" t="str">
        <f>"389.0."&amp;AR$9-2010&amp;"."</f>
        <v>389.0.25.</v>
      </c>
      <c r="AS53" s="0" t="str">
        <f>"389.0."&amp;AS$9-2010&amp;"."</f>
        <v>389.0.26.</v>
      </c>
      <c r="AT53" s="0" t="str">
        <f>"389.0."&amp;AT$9-2010&amp;"."</f>
        <v>389.0.27.</v>
      </c>
      <c r="AU53" s="0" t="str">
        <f>"389.0."&amp;AU$9-2010&amp;"."</f>
        <v>389.0.28.</v>
      </c>
      <c r="AV53" s="0" t="str">
        <f>"389.0."&amp;AV$9-2010&amp;"."</f>
        <v>389.0.29.</v>
      </c>
      <c r="AW53" s="0" t="str">
        <f>"389.0."&amp;AW$9-2010&amp;"."</f>
        <v>389.0.30.</v>
      </c>
      <c r="AX53" s="0" t="str">
        <f>"389.0."&amp;AX$9-2010&amp;"."</f>
        <v>389.0.31.</v>
      </c>
      <c r="AY53" s="0" t="str">
        <f>"389.0."&amp;AY$9-2010&amp;"."</f>
        <v>389.0.32.</v>
      </c>
      <c r="AZ53" s="0" t="str">
        <f>"389.0."&amp;AZ$9-2010&amp;"."</f>
        <v>389.0.33.</v>
      </c>
      <c r="BA53" s="0" t="str">
        <f>"389.0."&amp;BA$9-2010&amp;"."</f>
        <v>389.0.34.</v>
      </c>
      <c r="BB53" s="0" t="str">
        <f>"389.0."&amp;BB$9-2010&amp;"."</f>
        <v>389.0.35.</v>
      </c>
      <c r="BC53" s="0" t="str">
        <f>"389.0."&amp;BC$9-2010&amp;"."</f>
        <v>389.0.36.</v>
      </c>
      <c r="BD53" s="0" t="str">
        <f>"389.0."&amp;BD$9-2010&amp;"."</f>
        <v>389.0.17.</v>
      </c>
      <c r="BE53" s="0" t="str">
        <f>"389.0."&amp;BE$9-2010&amp;"."</f>
        <v>389.0.18.</v>
      </c>
      <c r="BF53" s="0" t="str">
        <f>"389.0."&amp;BF$9-2010&amp;"."</f>
        <v>389.0.19.</v>
      </c>
      <c r="BG53" s="0" t="str">
        <f>"389.0."&amp;BG$9-2010&amp;"."</f>
        <v>389.0.20.</v>
      </c>
      <c r="BH53" s="0" t="str">
        <f>"389.0."&amp;BH$9-2010&amp;"."</f>
        <v>389.0.21.</v>
      </c>
      <c r="BI53" s="0" t="str">
        <f>"389.0."&amp;BI$9-2010&amp;"."</f>
        <v>389.0.22.</v>
      </c>
      <c r="BJ53" s="0" t="str">
        <f>"389.0."&amp;BJ$9-2010&amp;"."</f>
        <v>389.0.23.</v>
      </c>
      <c r="BK53" s="0" t="str">
        <f>"389.0."&amp;BK$9-2010&amp;"."</f>
        <v>389.0.24.</v>
      </c>
      <c r="BL53" s="0" t="str">
        <f>"389.0."&amp;BL$9-2010&amp;"."</f>
        <v>389.0.25.</v>
      </c>
      <c r="BM53" s="0" t="str">
        <f>"389.0."&amp;BM$9-2010&amp;"."</f>
        <v>389.0.26.</v>
      </c>
      <c r="BN53" s="0" t="str">
        <f>"389.0."&amp;BN$9-2010&amp;"."</f>
        <v>389.0.27.</v>
      </c>
      <c r="BO53" s="0" t="str">
        <f>"389.0."&amp;BO$9-2010&amp;"."</f>
        <v>389.0.28.</v>
      </c>
      <c r="BP53" s="0" t="str">
        <f>"389.0."&amp;BP$9-2010&amp;"."</f>
        <v>389.0.29.</v>
      </c>
      <c r="BQ53" s="0" t="str">
        <f>"389.0."&amp;BQ$9-2010&amp;"."</f>
        <v>389.0.30.</v>
      </c>
      <c r="BR53" s="0" t="str">
        <f>"389.0."&amp;BR$9-2010&amp;"."</f>
        <v>389.0.31.</v>
      </c>
      <c r="BS53" s="0" t="str">
        <f>"389.0."&amp;BS$9-2010&amp;"."</f>
        <v>389.0.32.</v>
      </c>
      <c r="BT53" s="0" t="str">
        <f>"389.0."&amp;BT$9-2010&amp;"."</f>
        <v>389.0.33.</v>
      </c>
      <c r="BU53" s="0" t="str">
        <f>"389.0."&amp;BU$9-2010&amp;"."</f>
        <v>389.0.34.</v>
      </c>
      <c r="BV53" s="0" t="str">
        <f>"389.0."&amp;BV$9-2010&amp;"."</f>
        <v>389.0.35.</v>
      </c>
      <c r="BW53" s="0" t="str">
        <f>"389.0."&amp;BW$9-2010&amp;"."</f>
        <v>389.0.36.</v>
      </c>
      <c r="BX53" s="0" t="str">
        <f>"389.0."&amp;BX$9-2010&amp;"."</f>
        <v>389.0.17.</v>
      </c>
      <c r="BY53" s="0" t="str">
        <f>"389.0."&amp;BY$9-2010&amp;"."</f>
        <v>389.0.18.</v>
      </c>
      <c r="BZ53" s="0" t="str">
        <f>"389.0."&amp;BZ$9-2010&amp;"."</f>
        <v>389.0.19.</v>
      </c>
      <c r="CA53" s="0" t="str">
        <f>"389.0."&amp;CA$9-2010&amp;"."</f>
        <v>389.0.20.</v>
      </c>
      <c r="CB53" s="0" t="str">
        <f>"389.0."&amp;CB$9-2010&amp;"."</f>
        <v>389.0.21.</v>
      </c>
      <c r="CC53" s="0" t="str">
        <f>"389.0."&amp;CC$9-2010&amp;"."</f>
        <v>389.0.22.</v>
      </c>
      <c r="CD53" s="0" t="str">
        <f>"389.0."&amp;CD$9-2010&amp;"."</f>
        <v>389.0.23.</v>
      </c>
      <c r="CE53" s="0" t="str">
        <f>"389.0."&amp;CE$9-2010&amp;"."</f>
        <v>389.0.24.</v>
      </c>
      <c r="CF53" s="0" t="str">
        <f>"389.0."&amp;CF$9-2010&amp;"."</f>
        <v>389.0.25.</v>
      </c>
      <c r="CG53" s="0" t="str">
        <f>"389.0."&amp;CG$9-2010&amp;"."</f>
        <v>389.0.26.</v>
      </c>
      <c r="CH53" s="0" t="str">
        <f>"389.0."&amp;CH$9-2010&amp;"."</f>
        <v>389.0.27.</v>
      </c>
      <c r="CI53" s="0" t="str">
        <f>"389.0."&amp;CI$9-2010&amp;"."</f>
        <v>389.0.28.</v>
      </c>
      <c r="CJ53" s="0" t="str">
        <f>"389.0."&amp;CJ$9-2010&amp;"."</f>
        <v>389.0.29.</v>
      </c>
      <c r="CK53" s="0" t="str">
        <f>"389.0."&amp;CK$9-2010&amp;"."</f>
        <v>389.0.30.</v>
      </c>
      <c r="CL53" s="0" t="str">
        <f>"389.0."&amp;CL$9-2010&amp;"."</f>
        <v>389.0.31.</v>
      </c>
      <c r="CM53" s="0" t="str">
        <f>"389.0."&amp;CM$9-2010&amp;"."</f>
        <v>389.0.32.</v>
      </c>
      <c r="CN53" s="0" t="str">
        <f>"389.0."&amp;CN$9-2010&amp;"."</f>
        <v>389.0.33.</v>
      </c>
      <c r="CO53" s="0" t="str">
        <f>"389.0."&amp;CO$9-2010&amp;"."</f>
        <v>389.0.34.</v>
      </c>
      <c r="CP53" s="0" t="str">
        <f>"389.0."&amp;CP$9-2010&amp;"."</f>
        <v>389.0.35.</v>
      </c>
      <c r="CQ53" s="0" t="str">
        <f>"389.0."&amp;CQ$9-2010&amp;"."</f>
        <v>389.0.36.</v>
      </c>
    </row>
    <row customHeight="1" ht="11.25" hidden="1">
      <c r="A54" s="0" t="s">
        <v>406</v>
      </c>
      <c r="AI54" s="0" cm="1" t="str">
        <f t="array" ref="AI54:AI54">IF($A54="uni_org_reg_NAME",INDEX(org_reg_values,MATCH(AI$10,org_reg_codes,0),1),IF($A54="uni_pf_NAME",INDEX(pf_codes_values,MATCH(AI$10,pf_codes,0),1),""))</f>
        <v>328.0.2.</v>
      </c>
      <c r="AJ54" s="0" cm="1" t="str">
        <f t="array" ref="AJ54:AJ54">IF($A54="uni_org_reg_NAME",INDEX(org_reg_values,MATCH(AJ$10,org_reg_codes,0),1),IF($A54="uni_pf_NAME",INDEX(pf_codes_values,MATCH(AJ$10,pf_codes,0),1),""))</f>
        <v>328.0.1.</v>
      </c>
      <c r="AK54" s="0" cm="1" t="str">
        <f t="array" ref="AK54:AK54">IF($A54="uni_org_reg_NAME",INDEX(org_reg_values,MATCH(AK$10,org_reg_codes,0),1),IF($A54="uni_pf_NAME",INDEX(pf_codes_values,MATCH(AK$10,pf_codes,0),1),""))</f>
        <v>328.0.1.</v>
      </c>
      <c r="AL54" s="0" cm="1" t="str">
        <f t="array" ref="AL54:AL54">IF($A54="uni_org_reg_NAME",INDEX(org_reg_values,MATCH(AL$10,org_reg_codes,0),1),IF($A54="uni_pf_NAME",INDEX(pf_codes_values,MATCH(AL$10,pf_codes,0),1),""))</f>
        <v>328.0.1.</v>
      </c>
      <c r="AM54" s="0" cm="1" t="str">
        <f t="array" ref="AM54:AM54">IF($A54="uni_org_reg_NAME",INDEX(org_reg_values,MATCH(AM$10,org_reg_codes,0),1),IF($A54="uni_pf_NAME",INDEX(pf_codes_values,MATCH(AM$10,pf_codes,0),1),""))</f>
        <v>328.0.1.</v>
      </c>
      <c r="AN54" s="0" cm="1" t="str">
        <f t="array" ref="AN54:AN54">IF($A54="uni_org_reg_NAME",INDEX(org_reg_values,MATCH(AN$10,org_reg_codes,0),1),IF($A54="uni_pf_NAME",INDEX(pf_codes_values,MATCH(AN$10,pf_codes,0),1),""))</f>
        <v>328.0.1.</v>
      </c>
      <c r="AO54" s="0" cm="1" t="str">
        <f t="array" ref="AO54:AO54">IF($A54="uni_org_reg_NAME",INDEX(org_reg_values,MATCH(AO$10,org_reg_codes,0),1),IF($A54="uni_pf_NAME",INDEX(pf_codes_values,MATCH(AO$10,pf_codes,0),1),""))</f>
        <v>328.0.1.</v>
      </c>
      <c r="AP54" s="0" cm="1" t="str">
        <f t="array" ref="AP54:AP54">IF($A54="uni_org_reg_NAME",INDEX(org_reg_values,MATCH(AP$10,org_reg_codes,0),1),IF($A54="uni_pf_NAME",INDEX(pf_codes_values,MATCH(AP$10,pf_codes,0),1),""))</f>
        <v>328.0.1.</v>
      </c>
      <c r="AQ54" s="0" cm="1" t="str">
        <f t="array" ref="AQ54:AQ54">IF($A54="uni_org_reg_NAME",INDEX(org_reg_values,MATCH(AQ$10,org_reg_codes,0),1),IF($A54="uni_pf_NAME",INDEX(pf_codes_values,MATCH(AQ$10,pf_codes,0),1),""))</f>
        <v>328.0.1.</v>
      </c>
      <c r="AR54" s="0" cm="1" t="str">
        <f t="array" ref="AR54:AR54">IF($A54="uni_org_reg_NAME",INDEX(org_reg_values,MATCH(AR$10,org_reg_codes,0),1),IF($A54="uni_pf_NAME",INDEX(pf_codes_values,MATCH(AR$10,pf_codes,0),1),""))</f>
        <v>328.0.1.</v>
      </c>
      <c r="AS54" s="0" cm="1" t="str">
        <f t="array" ref="AS54:AS54">IF($A54="uni_org_reg_NAME",INDEX(org_reg_values,MATCH(AS$10,org_reg_codes,0),1),IF($A54="uni_pf_NAME",INDEX(pf_codes_values,MATCH(AS$10,pf_codes,0),1),""))</f>
        <v>328.0.1.</v>
      </c>
      <c r="AT54" s="0" cm="1" t="str">
        <f t="array" ref="AT54:AT54">IF($A54="uni_org_reg_NAME",INDEX(org_reg_values,MATCH(AT$10,org_reg_codes,0),1),IF($A54="uni_pf_NAME",INDEX(pf_codes_values,MATCH(AT$10,pf_codes,0),1),""))</f>
        <v>328.0.1.</v>
      </c>
      <c r="AU54" s="0" cm="1" t="str">
        <f t="array" ref="AU54:AU54">IF($A54="uni_org_reg_NAME",INDEX(org_reg_values,MATCH(AU$10,org_reg_codes,0),1),IF($A54="uni_pf_NAME",INDEX(pf_codes_values,MATCH(AU$10,pf_codes,0),1),""))</f>
        <v>328.0.1.</v>
      </c>
      <c r="AV54" s="0" cm="1" t="str">
        <f t="array" ref="AV54:AV54">IF($A54="uni_org_reg_NAME",INDEX(org_reg_values,MATCH(AV$10,org_reg_codes,0),1),IF($A54="uni_pf_NAME",INDEX(pf_codes_values,MATCH(AV$10,pf_codes,0),1),""))</f>
        <v>328.0.1.</v>
      </c>
      <c r="AW54" s="0" cm="1" t="str">
        <f t="array" ref="AW54:AW54">IF($A54="uni_org_reg_NAME",INDEX(org_reg_values,MATCH(AW$10,org_reg_codes,0),1),IF($A54="uni_pf_NAME",INDEX(pf_codes_values,MATCH(AW$10,pf_codes,0),1),""))</f>
        <v>328.0.1.</v>
      </c>
      <c r="AX54" s="0" cm="1" t="str">
        <f t="array" ref="AX54:AX54">IF($A54="uni_org_reg_NAME",INDEX(org_reg_values,MATCH(AX$10,org_reg_codes,0),1),IF($A54="uni_pf_NAME",INDEX(pf_codes_values,MATCH(AX$10,pf_codes,0),1),""))</f>
        <v>328.0.1.</v>
      </c>
      <c r="AY54" s="0" cm="1" t="str">
        <f t="array" ref="AY54:AY54">IF($A54="uni_org_reg_NAME",INDEX(org_reg_values,MATCH(AY$10,org_reg_codes,0),1),IF($A54="uni_pf_NAME",INDEX(pf_codes_values,MATCH(AY$10,pf_codes,0),1),""))</f>
        <v>328.0.1.</v>
      </c>
      <c r="AZ54" s="0" cm="1" t="str">
        <f t="array" ref="AZ54:AZ54">IF($A54="uni_org_reg_NAME",INDEX(org_reg_values,MATCH(AZ$10,org_reg_codes,0),1),IF($A54="uni_pf_NAME",INDEX(pf_codes_values,MATCH(AZ$10,pf_codes,0),1),""))</f>
        <v>328.0.1.</v>
      </c>
      <c r="BA54" s="0" cm="1" t="str">
        <f t="array" ref="BA54:BA54">IF($A54="uni_org_reg_NAME",INDEX(org_reg_values,MATCH(BA$10,org_reg_codes,0),1),IF($A54="uni_pf_NAME",INDEX(pf_codes_values,MATCH(BA$10,pf_codes,0),1),""))</f>
        <v>328.0.1.</v>
      </c>
      <c r="BB54" s="0" cm="1" t="str">
        <f t="array" ref="BB54:BB54">IF($A54="uni_org_reg_NAME",INDEX(org_reg_values,MATCH(BB$10,org_reg_codes,0),1),IF($A54="uni_pf_NAME",INDEX(pf_codes_values,MATCH(BB$10,pf_codes,0),1),""))</f>
        <v>328.0.1.</v>
      </c>
      <c r="BC54" s="0" cm="1" t="str">
        <f t="array" ref="BC54:BC54">IF($A54="uni_org_reg_NAME",INDEX(org_reg_values,MATCH(BC$10,org_reg_codes,0),1),IF($A54="uni_pf_NAME",INDEX(pf_codes_values,MATCH(BC$10,pf_codes,0),1),""))</f>
        <v>328.0.1.</v>
      </c>
      <c r="BD54" s="0" cm="1" t="str">
        <f t="array" ref="BD54:BD54">IF($A54="uni_org_reg_NAME",INDEX(org_reg_values,MATCH(BD$10,org_reg_codes,0),1),IF($A54="uni_pf_NAME",INDEX(pf_codes_values,MATCH(BD$10,pf_codes,0),1),""))</f>
        <v>328.0.2.</v>
      </c>
      <c r="BE54" s="0" cm="1" t="str">
        <f t="array" ref="BE54:BE54">IF($A54="uni_org_reg_NAME",INDEX(org_reg_values,MATCH(BE$10,org_reg_codes,0),1),IF($A54="uni_pf_NAME",INDEX(pf_codes_values,MATCH(BE$10,pf_codes,0),1),""))</f>
        <v>328.0.2.</v>
      </c>
      <c r="BF54" s="0" cm="1" t="str">
        <f t="array" ref="BF54:BF54">IF($A54="uni_org_reg_NAME",INDEX(org_reg_values,MATCH(BF$10,org_reg_codes,0),1),IF($A54="uni_pf_NAME",INDEX(pf_codes_values,MATCH(BF$10,pf_codes,0),1),""))</f>
        <v>328.0.2.</v>
      </c>
      <c r="BG54" s="0" cm="1" t="str">
        <f t="array" ref="BG54:BG54">IF($A54="uni_org_reg_NAME",INDEX(org_reg_values,MATCH(BG$10,org_reg_codes,0),1),IF($A54="uni_pf_NAME",INDEX(pf_codes_values,MATCH(BG$10,pf_codes,0),1),""))</f>
        <v>328.0.2.</v>
      </c>
      <c r="BH54" s="0" cm="1" t="str">
        <f t="array" ref="BH54:BH54">IF($A54="uni_org_reg_NAME",INDEX(org_reg_values,MATCH(BH$10,org_reg_codes,0),1),IF($A54="uni_pf_NAME",INDEX(pf_codes_values,MATCH(BH$10,pf_codes,0),1),""))</f>
        <v>328.0.2.</v>
      </c>
      <c r="BI54" s="0" cm="1" t="str">
        <f t="array" ref="BI54:BI54">IF($A54="uni_org_reg_NAME",INDEX(org_reg_values,MATCH(BI$10,org_reg_codes,0),1),IF($A54="uni_pf_NAME",INDEX(pf_codes_values,MATCH(BI$10,pf_codes,0),1),""))</f>
        <v>328.0.2.</v>
      </c>
      <c r="BJ54" s="0" cm="1" t="str">
        <f t="array" ref="BJ54:BJ54">IF($A54="uni_org_reg_NAME",INDEX(org_reg_values,MATCH(BJ$10,org_reg_codes,0),1),IF($A54="uni_pf_NAME",INDEX(pf_codes_values,MATCH(BJ$10,pf_codes,0),1),""))</f>
        <v>328.0.2.</v>
      </c>
      <c r="BK54" s="0" cm="1" t="str">
        <f t="array" ref="BK54:BK54">IF($A54="uni_org_reg_NAME",INDEX(org_reg_values,MATCH(BK$10,org_reg_codes,0),1),IF($A54="uni_pf_NAME",INDEX(pf_codes_values,MATCH(BK$10,pf_codes,0),1),""))</f>
        <v>328.0.2.</v>
      </c>
      <c r="BL54" s="0" cm="1" t="str">
        <f t="array" ref="BL54:BL54">IF($A54="uni_org_reg_NAME",INDEX(org_reg_values,MATCH(BL$10,org_reg_codes,0),1),IF($A54="uni_pf_NAME",INDEX(pf_codes_values,MATCH(BL$10,pf_codes,0),1),""))</f>
        <v>328.0.2.</v>
      </c>
      <c r="BM54" s="0" cm="1" t="str">
        <f t="array" ref="BM54:BM54">IF($A54="uni_org_reg_NAME",INDEX(org_reg_values,MATCH(BM$10,org_reg_codes,0),1),IF($A54="uni_pf_NAME",INDEX(pf_codes_values,MATCH(BM$10,pf_codes,0),1),""))</f>
        <v>328.0.2.</v>
      </c>
      <c r="BN54" s="0" cm="1" t="str">
        <f t="array" ref="BN54:BN54">IF($A54="uni_org_reg_NAME",INDEX(org_reg_values,MATCH(BN$10,org_reg_codes,0),1),IF($A54="uni_pf_NAME",INDEX(pf_codes_values,MATCH(BN$10,pf_codes,0),1),""))</f>
        <v>328.0.2.</v>
      </c>
      <c r="BO54" s="0" cm="1" t="str">
        <f t="array" ref="BO54:BO54">IF($A54="uni_org_reg_NAME",INDEX(org_reg_values,MATCH(BO$10,org_reg_codes,0),1),IF($A54="uni_pf_NAME",INDEX(pf_codes_values,MATCH(BO$10,pf_codes,0),1),""))</f>
        <v>328.0.2.</v>
      </c>
      <c r="BP54" s="0" cm="1" t="str">
        <f t="array" ref="BP54:BP54">IF($A54="uni_org_reg_NAME",INDEX(org_reg_values,MATCH(BP$10,org_reg_codes,0),1),IF($A54="uni_pf_NAME",INDEX(pf_codes_values,MATCH(BP$10,pf_codes,0),1),""))</f>
        <v>328.0.2.</v>
      </c>
      <c r="BQ54" s="0" cm="1" t="str">
        <f t="array" ref="BQ54:BQ54">IF($A54="uni_org_reg_NAME",INDEX(org_reg_values,MATCH(BQ$10,org_reg_codes,0),1),IF($A54="uni_pf_NAME",INDEX(pf_codes_values,MATCH(BQ$10,pf_codes,0),1),""))</f>
        <v>328.0.2.</v>
      </c>
      <c r="BR54" s="0" cm="1" t="str">
        <f t="array" ref="BR54:BR54">IF($A54="uni_org_reg_NAME",INDEX(org_reg_values,MATCH(BR$10,org_reg_codes,0),1),IF($A54="uni_pf_NAME",INDEX(pf_codes_values,MATCH(BR$10,pf_codes,0),1),""))</f>
        <v>328.0.2.</v>
      </c>
      <c r="BS54" s="0" cm="1" t="str">
        <f t="array" ref="BS54:BS54">IF($A54="uni_org_reg_NAME",INDEX(org_reg_values,MATCH(BS$10,org_reg_codes,0),1),IF($A54="uni_pf_NAME",INDEX(pf_codes_values,MATCH(BS$10,pf_codes,0),1),""))</f>
        <v>328.0.2.</v>
      </c>
      <c r="BT54" s="0" cm="1" t="str">
        <f t="array" ref="BT54:BT54">IF($A54="uni_org_reg_NAME",INDEX(org_reg_values,MATCH(BT$10,org_reg_codes,0),1),IF($A54="uni_pf_NAME",INDEX(pf_codes_values,MATCH(BT$10,pf_codes,0),1),""))</f>
        <v>328.0.2.</v>
      </c>
      <c r="BU54" s="0" cm="1" t="str">
        <f t="array" ref="BU54:BU54">IF($A54="uni_org_reg_NAME",INDEX(org_reg_values,MATCH(BU$10,org_reg_codes,0),1),IF($A54="uni_pf_NAME",INDEX(pf_codes_values,MATCH(BU$10,pf_codes,0),1),""))</f>
        <v>328.0.2.</v>
      </c>
      <c r="BV54" s="0" cm="1" t="str">
        <f t="array" ref="BV54:BV54">IF($A54="uni_org_reg_NAME",INDEX(org_reg_values,MATCH(BV$10,org_reg_codes,0),1),IF($A54="uni_pf_NAME",INDEX(pf_codes_values,MATCH(BV$10,pf_codes,0),1),""))</f>
        <v>328.0.2.</v>
      </c>
      <c r="BW54" s="0" cm="1" t="str">
        <f t="array" ref="BW54:BW54">IF($A54="uni_org_reg_NAME",INDEX(org_reg_values,MATCH(BW$10,org_reg_codes,0),1),IF($A54="uni_pf_NAME",INDEX(pf_codes_values,MATCH(BW$10,pf_codes,0),1),""))</f>
        <v>328.0.2.</v>
      </c>
      <c r="BX54" s="286"/>
      <c r="BY54" s="286"/>
      <c r="BZ54" s="286"/>
      <c r="CA54" s="286"/>
      <c r="CB54" s="286"/>
      <c r="CC54" s="286"/>
      <c r="CD54" s="286"/>
      <c r="CE54" s="286"/>
      <c r="CF54" s="286"/>
      <c r="CG54" s="286"/>
      <c r="CH54" s="286"/>
      <c r="CI54" s="286"/>
      <c r="CJ54" s="286"/>
      <c r="CK54" s="286"/>
      <c r="CL54" s="286"/>
      <c r="CM54" s="286"/>
      <c r="CN54" s="286"/>
      <c r="CO54" s="286"/>
      <c r="CP54" s="286"/>
      <c r="CQ54" s="286"/>
    </row>
    <row customHeight="1" ht="11.25" hidden="1">
      <c r="A55" s="0" t="s">
        <v>409</v>
      </c>
      <c r="AI55" s="0" cm="1" t="str">
        <f t="array" ref="AI55:AI55">IF($A55="uni_org_reg_NAME",INDEX(org_reg_values,MATCH(AI$10,org_reg_codes,0),1),IF($A55="uni_pf_NAME",INDEX(pf_codes_values,MATCH(AI$10,pf_codes,0),1),""))</f>
        <v>36.0.7.</v>
      </c>
      <c r="AJ55" s="0" cm="1" t="str">
        <f t="array" ref="AJ55:AJ55">IF($A55="uni_org_reg_NAME",INDEX(org_reg_values,MATCH(AJ$10,org_reg_codes,0),1),IF($A55="uni_pf_NAME",INDEX(pf_codes_values,MATCH(AJ$10,pf_codes,0),1),""))</f>
        <v>36.0.3.</v>
      </c>
      <c r="AK55" s="0" cm="1" t="str">
        <f t="array" ref="AK55:AK55">IF($A55="uni_org_reg_NAME",INDEX(org_reg_values,MATCH(AK$10,org_reg_codes,0),1),IF($A55="uni_pf_NAME",INDEX(pf_codes_values,MATCH(AK$10,pf_codes,0),1),""))</f>
        <v>36.0.3.</v>
      </c>
      <c r="AL55" s="0" cm="1" t="str">
        <f t="array" ref="AL55:AL55">IF($A55="uni_org_reg_NAME",INDEX(org_reg_values,MATCH(AL$10,org_reg_codes,0),1),IF($A55="uni_pf_NAME",INDEX(pf_codes_values,MATCH(AL$10,pf_codes,0),1),""))</f>
        <v>36.0.3.</v>
      </c>
      <c r="AM55" s="0" cm="1" t="str">
        <f t="array" ref="AM55:AM55">IF($A55="uni_org_reg_NAME",INDEX(org_reg_values,MATCH(AM$10,org_reg_codes,0),1),IF($A55="uni_pf_NAME",INDEX(pf_codes_values,MATCH(AM$10,pf_codes,0),1),""))</f>
        <v>36.0.3.</v>
      </c>
      <c r="AN55" s="0" cm="1" t="str">
        <f t="array" ref="AN55:AN55">IF($A55="uni_org_reg_NAME",INDEX(org_reg_values,MATCH(AN$10,org_reg_codes,0),1),IF($A55="uni_pf_NAME",INDEX(pf_codes_values,MATCH(AN$10,pf_codes,0),1),""))</f>
        <v>36.0.3.</v>
      </c>
      <c r="AO55" s="0" cm="1" t="str">
        <f t="array" ref="AO55:AO55">IF($A55="uni_org_reg_NAME",INDEX(org_reg_values,MATCH(AO$10,org_reg_codes,0),1),IF($A55="uni_pf_NAME",INDEX(pf_codes_values,MATCH(AO$10,pf_codes,0),1),""))</f>
        <v>36.0.3.</v>
      </c>
      <c r="AP55" s="0" cm="1" t="str">
        <f t="array" ref="AP55:AP55">IF($A55="uni_org_reg_NAME",INDEX(org_reg_values,MATCH(AP$10,org_reg_codes,0),1),IF($A55="uni_pf_NAME",INDEX(pf_codes_values,MATCH(AP$10,pf_codes,0),1),""))</f>
        <v>36.0.3.</v>
      </c>
      <c r="AQ55" s="0" cm="1" t="str">
        <f t="array" ref="AQ55:AQ55">IF($A55="uni_org_reg_NAME",INDEX(org_reg_values,MATCH(AQ$10,org_reg_codes,0),1),IF($A55="uni_pf_NAME",INDEX(pf_codes_values,MATCH(AQ$10,pf_codes,0),1),""))</f>
        <v>36.0.3.</v>
      </c>
      <c r="AR55" s="0" cm="1" t="str">
        <f t="array" ref="AR55:AR55">IF($A55="uni_org_reg_NAME",INDEX(org_reg_values,MATCH(AR$10,org_reg_codes,0),1),IF($A55="uni_pf_NAME",INDEX(pf_codes_values,MATCH(AR$10,pf_codes,0),1),""))</f>
        <v>36.0.3.</v>
      </c>
      <c r="AS55" s="0" cm="1" t="str">
        <f t="array" ref="AS55:AS55">IF($A55="uni_org_reg_NAME",INDEX(org_reg_values,MATCH(AS$10,org_reg_codes,0),1),IF($A55="uni_pf_NAME",INDEX(pf_codes_values,MATCH(AS$10,pf_codes,0),1),""))</f>
        <v>36.0.3.</v>
      </c>
      <c r="AT55" s="0" cm="1" t="str">
        <f t="array" ref="AT55:AT55">IF($A55="uni_org_reg_NAME",INDEX(org_reg_values,MATCH(AT$10,org_reg_codes,0),1),IF($A55="uni_pf_NAME",INDEX(pf_codes_values,MATCH(AT$10,pf_codes,0),1),""))</f>
        <v>36.0.3.</v>
      </c>
      <c r="AU55" s="0" cm="1" t="str">
        <f t="array" ref="AU55:AU55">IF($A55="uni_org_reg_NAME",INDEX(org_reg_values,MATCH(AU$10,org_reg_codes,0),1),IF($A55="uni_pf_NAME",INDEX(pf_codes_values,MATCH(AU$10,pf_codes,0),1),""))</f>
        <v>36.0.3.</v>
      </c>
      <c r="AV55" s="0" cm="1" t="str">
        <f t="array" ref="AV55:AV55">IF($A55="uni_org_reg_NAME",INDEX(org_reg_values,MATCH(AV$10,org_reg_codes,0),1),IF($A55="uni_pf_NAME",INDEX(pf_codes_values,MATCH(AV$10,pf_codes,0),1),""))</f>
        <v>36.0.3.</v>
      </c>
      <c r="AW55" s="0" cm="1" t="str">
        <f t="array" ref="AW55:AW55">IF($A55="uni_org_reg_NAME",INDEX(org_reg_values,MATCH(AW$10,org_reg_codes,0),1),IF($A55="uni_pf_NAME",INDEX(pf_codes_values,MATCH(AW$10,pf_codes,0),1),""))</f>
        <v>36.0.3.</v>
      </c>
      <c r="AX55" s="0" cm="1" t="str">
        <f t="array" ref="AX55:AX55">IF($A55="uni_org_reg_NAME",INDEX(org_reg_values,MATCH(AX$10,org_reg_codes,0),1),IF($A55="uni_pf_NAME",INDEX(pf_codes_values,MATCH(AX$10,pf_codes,0),1),""))</f>
        <v>36.0.3.</v>
      </c>
      <c r="AY55" s="0" cm="1" t="str">
        <f t="array" ref="AY55:AY55">IF($A55="uni_org_reg_NAME",INDEX(org_reg_values,MATCH(AY$10,org_reg_codes,0),1),IF($A55="uni_pf_NAME",INDEX(pf_codes_values,MATCH(AY$10,pf_codes,0),1),""))</f>
        <v>36.0.3.</v>
      </c>
      <c r="AZ55" s="0" cm="1" t="str">
        <f t="array" ref="AZ55:AZ55">IF($A55="uni_org_reg_NAME",INDEX(org_reg_values,MATCH(AZ$10,org_reg_codes,0),1),IF($A55="uni_pf_NAME",INDEX(pf_codes_values,MATCH(AZ$10,pf_codes,0),1),""))</f>
        <v>36.0.3.</v>
      </c>
      <c r="BA55" s="0" cm="1" t="str">
        <f t="array" ref="BA55:BA55">IF($A55="uni_org_reg_NAME",INDEX(org_reg_values,MATCH(BA$10,org_reg_codes,0),1),IF($A55="uni_pf_NAME",INDEX(pf_codes_values,MATCH(BA$10,pf_codes,0),1),""))</f>
        <v>36.0.3.</v>
      </c>
      <c r="BB55" s="0" cm="1" t="str">
        <f t="array" ref="BB55:BB55">IF($A55="uni_org_reg_NAME",INDEX(org_reg_values,MATCH(BB$10,org_reg_codes,0),1),IF($A55="uni_pf_NAME",INDEX(pf_codes_values,MATCH(BB$10,pf_codes,0),1),""))</f>
        <v>36.0.3.</v>
      </c>
      <c r="BC55" s="0" cm="1" t="str">
        <f t="array" ref="BC55:BC55">IF($A55="uni_org_reg_NAME",INDEX(org_reg_values,MATCH(BC$10,org_reg_codes,0),1),IF($A55="uni_pf_NAME",INDEX(pf_codes_values,MATCH(BC$10,pf_codes,0),1),""))</f>
        <v>36.0.3.</v>
      </c>
      <c r="BD55" s="0" cm="1" t="str">
        <f t="array" ref="BD55:BD55">IF($A55="uni_org_reg_NAME",INDEX(org_reg_values,MATCH(BD$10,org_reg_codes,0),1),IF($A55="uni_pf_NAME",INDEX(pf_codes_values,MATCH(BD$10,pf_codes,0),1),""))</f>
        <v>36.0.7.</v>
      </c>
      <c r="BE55" s="0" cm="1" t="str">
        <f t="array" ref="BE55:BE55">IF($A55="uni_org_reg_NAME",INDEX(org_reg_values,MATCH(BE$10,org_reg_codes,0),1),IF($A55="uni_pf_NAME",INDEX(pf_codes_values,MATCH(BE$10,pf_codes,0),1),""))</f>
        <v>36.0.7.</v>
      </c>
      <c r="BF55" s="0" cm="1" t="str">
        <f t="array" ref="BF55:BF55">IF($A55="uni_org_reg_NAME",INDEX(org_reg_values,MATCH(BF$10,org_reg_codes,0),1),IF($A55="uni_pf_NAME",INDEX(pf_codes_values,MATCH(BF$10,pf_codes,0),1),""))</f>
        <v>36.0.7.</v>
      </c>
      <c r="BG55" s="0" cm="1" t="str">
        <f t="array" ref="BG55:BG55">IF($A55="uni_org_reg_NAME",INDEX(org_reg_values,MATCH(BG$10,org_reg_codes,0),1),IF($A55="uni_pf_NAME",INDEX(pf_codes_values,MATCH(BG$10,pf_codes,0),1),""))</f>
        <v>36.0.7.</v>
      </c>
      <c r="BH55" s="0" cm="1" t="str">
        <f t="array" ref="BH55:BH55">IF($A55="uni_org_reg_NAME",INDEX(org_reg_values,MATCH(BH$10,org_reg_codes,0),1),IF($A55="uni_pf_NAME",INDEX(pf_codes_values,MATCH(BH$10,pf_codes,0),1),""))</f>
        <v>36.0.7.</v>
      </c>
      <c r="BI55" s="0" cm="1" t="str">
        <f t="array" ref="BI55:BI55">IF($A55="uni_org_reg_NAME",INDEX(org_reg_values,MATCH(BI$10,org_reg_codes,0),1),IF($A55="uni_pf_NAME",INDEX(pf_codes_values,MATCH(BI$10,pf_codes,0),1),""))</f>
        <v>36.0.7.</v>
      </c>
      <c r="BJ55" s="0" cm="1" t="str">
        <f t="array" ref="BJ55:BJ55">IF($A55="uni_org_reg_NAME",INDEX(org_reg_values,MATCH(BJ$10,org_reg_codes,0),1),IF($A55="uni_pf_NAME",INDEX(pf_codes_values,MATCH(BJ$10,pf_codes,0),1),""))</f>
        <v>36.0.7.</v>
      </c>
      <c r="BK55" s="0" cm="1" t="str">
        <f t="array" ref="BK55:BK55">IF($A55="uni_org_reg_NAME",INDEX(org_reg_values,MATCH(BK$10,org_reg_codes,0),1),IF($A55="uni_pf_NAME",INDEX(pf_codes_values,MATCH(BK$10,pf_codes,0),1),""))</f>
        <v>36.0.7.</v>
      </c>
      <c r="BL55" s="0" cm="1" t="str">
        <f t="array" ref="BL55:BL55">IF($A55="uni_org_reg_NAME",INDEX(org_reg_values,MATCH(BL$10,org_reg_codes,0),1),IF($A55="uni_pf_NAME",INDEX(pf_codes_values,MATCH(BL$10,pf_codes,0),1),""))</f>
        <v>36.0.7.</v>
      </c>
      <c r="BM55" s="0" cm="1" t="str">
        <f t="array" ref="BM55:BM55">IF($A55="uni_org_reg_NAME",INDEX(org_reg_values,MATCH(BM$10,org_reg_codes,0),1),IF($A55="uni_pf_NAME",INDEX(pf_codes_values,MATCH(BM$10,pf_codes,0),1),""))</f>
        <v>36.0.7.</v>
      </c>
      <c r="BN55" s="0" cm="1" t="str">
        <f t="array" ref="BN55:BN55">IF($A55="uni_org_reg_NAME",INDEX(org_reg_values,MATCH(BN$10,org_reg_codes,0),1),IF($A55="uni_pf_NAME",INDEX(pf_codes_values,MATCH(BN$10,pf_codes,0),1),""))</f>
        <v>36.0.7.</v>
      </c>
      <c r="BO55" s="0" cm="1" t="str">
        <f t="array" ref="BO55:BO55">IF($A55="uni_org_reg_NAME",INDEX(org_reg_values,MATCH(BO$10,org_reg_codes,0),1),IF($A55="uni_pf_NAME",INDEX(pf_codes_values,MATCH(BO$10,pf_codes,0),1),""))</f>
        <v>36.0.7.</v>
      </c>
      <c r="BP55" s="0" cm="1" t="str">
        <f t="array" ref="BP55:BP55">IF($A55="uni_org_reg_NAME",INDEX(org_reg_values,MATCH(BP$10,org_reg_codes,0),1),IF($A55="uni_pf_NAME",INDEX(pf_codes_values,MATCH(BP$10,pf_codes,0),1),""))</f>
        <v>36.0.7.</v>
      </c>
      <c r="BQ55" s="0" cm="1" t="str">
        <f t="array" ref="BQ55:BQ55">IF($A55="uni_org_reg_NAME",INDEX(org_reg_values,MATCH(BQ$10,org_reg_codes,0),1),IF($A55="uni_pf_NAME",INDEX(pf_codes_values,MATCH(BQ$10,pf_codes,0),1),""))</f>
        <v>36.0.7.</v>
      </c>
      <c r="BR55" s="0" cm="1" t="str">
        <f t="array" ref="BR55:BR55">IF($A55="uni_org_reg_NAME",INDEX(org_reg_values,MATCH(BR$10,org_reg_codes,0),1),IF($A55="uni_pf_NAME",INDEX(pf_codes_values,MATCH(BR$10,pf_codes,0),1),""))</f>
        <v>36.0.7.</v>
      </c>
      <c r="BS55" s="0" cm="1" t="str">
        <f t="array" ref="BS55:BS55">IF($A55="uni_org_reg_NAME",INDEX(org_reg_values,MATCH(BS$10,org_reg_codes,0),1),IF($A55="uni_pf_NAME",INDEX(pf_codes_values,MATCH(BS$10,pf_codes,0),1),""))</f>
        <v>36.0.7.</v>
      </c>
      <c r="BT55" s="0" cm="1" t="str">
        <f t="array" ref="BT55:BT55">IF($A55="uni_org_reg_NAME",INDEX(org_reg_values,MATCH(BT$10,org_reg_codes,0),1),IF($A55="uni_pf_NAME",INDEX(pf_codes_values,MATCH(BT$10,pf_codes,0),1),""))</f>
        <v>36.0.7.</v>
      </c>
      <c r="BU55" s="0" cm="1" t="str">
        <f t="array" ref="BU55:BU55">IF($A55="uni_org_reg_NAME",INDEX(org_reg_values,MATCH(BU$10,org_reg_codes,0),1),IF($A55="uni_pf_NAME",INDEX(pf_codes_values,MATCH(BU$10,pf_codes,0),1),""))</f>
        <v>36.0.7.</v>
      </c>
      <c r="BV55" s="0" cm="1" t="str">
        <f t="array" ref="BV55:BV55">IF($A55="uni_org_reg_NAME",INDEX(org_reg_values,MATCH(BV$10,org_reg_codes,0),1),IF($A55="uni_pf_NAME",INDEX(pf_codes_values,MATCH(BV$10,pf_codes,0),1),""))</f>
        <v>36.0.7.</v>
      </c>
      <c r="BW55" s="0" cm="1" t="str">
        <f t="array" ref="BW55:BW55">IF($A55="uni_org_reg_NAME",INDEX(org_reg_values,MATCH(BW$10,org_reg_codes,0),1),IF($A55="uni_pf_NAME",INDEX(pf_codes_values,MATCH(BW$10,pf_codes,0),1),""))</f>
        <v>36.0.7.</v>
      </c>
      <c r="BX55" s="286"/>
      <c r="BY55" s="286"/>
      <c r="BZ55" s="286"/>
      <c r="CA55" s="286"/>
      <c r="CB55" s="286"/>
      <c r="CC55" s="286"/>
      <c r="CD55" s="286"/>
      <c r="CE55" s="286"/>
      <c r="CF55" s="286"/>
      <c r="CG55" s="286"/>
      <c r="CH55" s="286"/>
      <c r="CI55" s="286"/>
      <c r="CJ55" s="286"/>
      <c r="CK55" s="286"/>
      <c r="CL55" s="286"/>
      <c r="CM55" s="286"/>
      <c r="CN55" s="286"/>
      <c r="CO55" s="286"/>
      <c r="CP55" s="286"/>
      <c r="CQ55" s="286"/>
    </row>
    <row customHeight="1" ht="11.25" hidden="1">
      <c r="A56" s="0" t="s">
        <v>1600</v>
      </c>
      <c r="AJ56" s="286"/>
      <c r="AK56" s="286"/>
      <c r="AL56" s="286"/>
      <c r="AM56" s="286"/>
      <c r="AN56" s="286"/>
      <c r="AO56" s="286"/>
      <c r="AP56" s="286"/>
      <c r="AQ56" s="286"/>
      <c r="AR56" s="286"/>
      <c r="AS56" s="286"/>
      <c r="AT56" s="286"/>
      <c r="AU56" s="286"/>
      <c r="AV56" s="286"/>
      <c r="AW56" s="286"/>
      <c r="AX56" s="286"/>
      <c r="AY56" s="286"/>
      <c r="AZ56" s="286"/>
      <c r="BA56" s="286"/>
      <c r="BB56" s="286"/>
      <c r="BC56" s="286"/>
      <c r="BD56" s="286"/>
      <c r="BE56" s="286"/>
      <c r="BF56" s="286"/>
      <c r="BG56" s="286"/>
      <c r="BH56" s="286"/>
      <c r="BI56" s="286"/>
      <c r="BJ56" s="286"/>
      <c r="BK56" s="286"/>
      <c r="BL56" s="286"/>
      <c r="BM56" s="286"/>
      <c r="BN56" s="286"/>
      <c r="BO56" s="286"/>
      <c r="BP56" s="286"/>
      <c r="BQ56" s="286"/>
      <c r="BR56" s="286"/>
      <c r="BS56" s="286"/>
      <c r="BT56" s="286"/>
      <c r="BU56" s="286"/>
      <c r="BV56" s="286"/>
      <c r="BW56" s="286"/>
      <c r="BX56" s="0" t="s">
        <v>1624</v>
      </c>
      <c r="BY56" s="0" t="s">
        <v>1624</v>
      </c>
      <c r="BZ56" s="0" t="s">
        <v>1624</v>
      </c>
      <c r="CA56" s="0" t="s">
        <v>1624</v>
      </c>
      <c r="CB56" s="0" t="s">
        <v>1624</v>
      </c>
      <c r="CC56" s="0" t="s">
        <v>1624</v>
      </c>
      <c r="CD56" s="0" t="s">
        <v>1624</v>
      </c>
      <c r="CE56" s="0" t="s">
        <v>1624</v>
      </c>
      <c r="CF56" s="0" t="s">
        <v>1624</v>
      </c>
      <c r="CG56" s="0" t="s">
        <v>1624</v>
      </c>
      <c r="CH56" s="0" t="s">
        <v>1624</v>
      </c>
      <c r="CI56" s="0" t="s">
        <v>1624</v>
      </c>
      <c r="CJ56" s="0" t="s">
        <v>1624</v>
      </c>
      <c r="CK56" s="0" t="s">
        <v>1624</v>
      </c>
      <c r="CL56" s="0" t="s">
        <v>1624</v>
      </c>
      <c r="CM56" s="0" t="s">
        <v>1624</v>
      </c>
      <c r="CN56" s="0" t="s">
        <v>1624</v>
      </c>
      <c r="CO56" s="0" t="s">
        <v>1624</v>
      </c>
      <c r="CP56" s="0" t="s">
        <v>1624</v>
      </c>
      <c r="CQ56" s="0" t="s">
        <v>1624</v>
      </c>
    </row>
    <row customHeight="1" ht="11.25" hidden="1">
      <c r="A57" s="0" t="s">
        <v>351</v>
      </c>
      <c r="AJ57" s="286"/>
      <c r="AK57" s="286"/>
      <c r="AL57" s="286"/>
      <c r="AM57" s="286"/>
      <c r="AN57" s="286"/>
      <c r="AO57" s="286"/>
      <c r="AP57" s="286"/>
      <c r="AQ57" s="286"/>
      <c r="AR57" s="286"/>
      <c r="AS57" s="286"/>
      <c r="AT57" s="286"/>
      <c r="AU57" s="286"/>
      <c r="AV57" s="286"/>
      <c r="AW57" s="286"/>
      <c r="AX57" s="286"/>
      <c r="AY57" s="286"/>
      <c r="AZ57" s="286"/>
      <c r="BA57" s="286"/>
      <c r="BB57" s="286"/>
      <c r="BC57" s="286"/>
      <c r="BD57" s="286"/>
      <c r="BE57" s="286"/>
      <c r="BF57" s="286"/>
      <c r="BG57" s="286"/>
      <c r="BH57" s="286"/>
      <c r="BI57" s="286"/>
      <c r="BJ57" s="286"/>
      <c r="BK57" s="286"/>
      <c r="BL57" s="286"/>
      <c r="BM57" s="286"/>
      <c r="BN57" s="286"/>
      <c r="BO57" s="286"/>
      <c r="BP57" s="286"/>
      <c r="BQ57" s="286"/>
      <c r="BR57" s="286"/>
      <c r="BS57" s="286"/>
      <c r="BT57" s="286"/>
      <c r="BU57" s="286"/>
      <c r="BV57" s="286"/>
      <c r="BW57" s="286"/>
      <c r="BX57" s="286"/>
      <c r="BY57" s="286"/>
      <c r="BZ57" s="286"/>
      <c r="CA57" s="286"/>
      <c r="CB57" s="286"/>
      <c r="CC57" s="286"/>
      <c r="CD57" s="286"/>
      <c r="CE57" s="286"/>
      <c r="CF57" s="286"/>
      <c r="CG57" s="286"/>
      <c r="CH57" s="286"/>
      <c r="CI57" s="286"/>
      <c r="CJ57" s="286"/>
      <c r="CK57" s="286"/>
      <c r="CL57" s="286"/>
      <c r="CM57" s="286"/>
      <c r="CN57" s="286"/>
      <c r="CO57" s="286"/>
      <c r="CP57" s="286"/>
      <c r="CQ57" s="286"/>
      <c r="CR57" s="0" t="s">
        <v>178</v>
      </c>
      <c r="CS57" s="0" t="s">
        <v>178</v>
      </c>
      <c r="CT57" s="0" t="s">
        <v>178</v>
      </c>
    </row>
    <row customHeight="1" ht="11.25" hidden="1">
      <c r="A58" s="0" t="s">
        <v>352</v>
      </c>
      <c r="AJ58" s="286"/>
      <c r="AK58" s="286"/>
      <c r="AL58" s="286"/>
      <c r="AM58" s="286"/>
      <c r="AN58" s="286"/>
      <c r="AO58" s="286"/>
      <c r="AP58" s="286"/>
      <c r="AQ58" s="286"/>
      <c r="AR58" s="286"/>
      <c r="AS58" s="286"/>
      <c r="AT58" s="286"/>
      <c r="AU58" s="286"/>
      <c r="AV58" s="286"/>
      <c r="AW58" s="286"/>
      <c r="AX58" s="286"/>
      <c r="AY58" s="286"/>
      <c r="AZ58" s="286"/>
      <c r="BA58" s="286"/>
      <c r="BB58" s="286"/>
      <c r="BC58" s="286"/>
      <c r="BD58" s="286"/>
      <c r="BE58" s="286"/>
      <c r="BF58" s="286"/>
      <c r="BG58" s="286"/>
      <c r="BH58" s="286"/>
      <c r="BI58" s="286"/>
      <c r="BJ58" s="286"/>
      <c r="BK58" s="286"/>
      <c r="BL58" s="286"/>
      <c r="BM58" s="286"/>
      <c r="BN58" s="286"/>
      <c r="BO58" s="286"/>
      <c r="BP58" s="286"/>
      <c r="BQ58" s="286"/>
      <c r="BR58" s="286"/>
      <c r="BS58" s="286"/>
      <c r="BT58" s="286"/>
      <c r="BU58" s="286"/>
      <c r="BV58" s="286"/>
      <c r="BW58" s="286"/>
      <c r="BX58" s="286"/>
      <c r="BY58" s="286"/>
      <c r="BZ58" s="286"/>
      <c r="CA58" s="286"/>
      <c r="CB58" s="286"/>
      <c r="CC58" s="286"/>
      <c r="CD58" s="286"/>
      <c r="CE58" s="286"/>
      <c r="CF58" s="286"/>
      <c r="CG58" s="286"/>
      <c r="CH58" s="286"/>
      <c r="CI58" s="286"/>
      <c r="CJ58" s="286"/>
      <c r="CK58" s="286"/>
      <c r="CL58" s="286"/>
      <c r="CM58" s="286"/>
      <c r="CN58" s="286"/>
      <c r="CO58" s="286"/>
      <c r="CP58" s="286"/>
      <c r="CQ58" s="286"/>
      <c r="CR58" s="0" t="s">
        <v>798</v>
      </c>
      <c r="CS58" s="0" t="s">
        <v>622</v>
      </c>
      <c r="CT58" s="0" t="s">
        <v>1601</v>
      </c>
    </row>
    <row customHeight="1" ht="11.25" hidden="1">
      <c r="A59" s="0" t="s">
        <v>379</v>
      </c>
      <c r="AJ59" s="286"/>
      <c r="AK59" s="286"/>
      <c r="AL59" s="286"/>
      <c r="AM59" s="286"/>
      <c r="AN59" s="286"/>
      <c r="AO59" s="286"/>
      <c r="AP59" s="286"/>
      <c r="AQ59" s="286"/>
      <c r="AR59" s="286"/>
      <c r="AS59" s="286"/>
      <c r="AT59" s="286"/>
      <c r="AU59" s="286"/>
      <c r="AV59" s="286"/>
      <c r="AW59" s="286"/>
      <c r="AX59" s="286"/>
      <c r="AY59" s="286"/>
      <c r="AZ59" s="286"/>
      <c r="BA59" s="286"/>
      <c r="BB59" s="286"/>
      <c r="BC59" s="286"/>
      <c r="BD59" s="286"/>
      <c r="BE59" s="286"/>
      <c r="BF59" s="286"/>
      <c r="BG59" s="286"/>
      <c r="BH59" s="286"/>
      <c r="BI59" s="286"/>
      <c r="BJ59" s="286"/>
      <c r="BK59" s="286"/>
      <c r="BL59" s="286"/>
      <c r="BM59" s="286"/>
      <c r="BN59" s="286"/>
      <c r="BO59" s="286"/>
      <c r="BP59" s="286"/>
      <c r="BQ59" s="286"/>
      <c r="BR59" s="286"/>
      <c r="BS59" s="286"/>
      <c r="BT59" s="286"/>
      <c r="BU59" s="286"/>
      <c r="BV59" s="286"/>
      <c r="BW59" s="286"/>
      <c r="BX59" s="286"/>
      <c r="BY59" s="286"/>
      <c r="BZ59" s="286"/>
      <c r="CA59" s="286"/>
      <c r="CB59" s="286"/>
      <c r="CC59" s="286"/>
      <c r="CD59" s="286"/>
      <c r="CE59" s="286"/>
      <c r="CF59" s="286"/>
      <c r="CG59" s="286"/>
      <c r="CH59" s="286"/>
      <c r="CI59" s="286"/>
      <c r="CJ59" s="286"/>
      <c r="CK59" s="286"/>
      <c r="CL59" s="286"/>
      <c r="CM59" s="286"/>
      <c r="CN59" s="286"/>
      <c r="CO59" s="286"/>
      <c r="CP59" s="286"/>
      <c r="CQ59" s="286"/>
      <c r="CR59" s="0" t="s">
        <v>799</v>
      </c>
      <c r="CS59" s="0" t="s">
        <v>623</v>
      </c>
      <c r="CT59" s="0" t="s">
        <v>1602</v>
      </c>
    </row>
    <row customHeight="1" ht="11.25" hidden="1">
      <c r="AJ60" s="286"/>
      <c r="AK60" s="286"/>
      <c r="AL60" s="286"/>
      <c r="AM60" s="286"/>
      <c r="AN60" s="286"/>
      <c r="AO60" s="286"/>
      <c r="AP60" s="286"/>
      <c r="AQ60" s="286"/>
      <c r="AR60" s="286"/>
      <c r="AS60" s="286"/>
      <c r="AT60" s="286"/>
      <c r="AU60" s="286"/>
      <c r="AV60" s="286"/>
      <c r="AW60" s="286"/>
      <c r="AX60" s="286"/>
      <c r="AY60" s="286"/>
      <c r="AZ60" s="286"/>
      <c r="BA60" s="286"/>
      <c r="BB60" s="286"/>
      <c r="BC60" s="286"/>
      <c r="BD60" s="286"/>
      <c r="BE60" s="286"/>
      <c r="BF60" s="286"/>
      <c r="BG60" s="286"/>
      <c r="BH60" s="286"/>
      <c r="BI60" s="286"/>
      <c r="BJ60" s="286"/>
      <c r="BK60" s="286"/>
      <c r="BL60" s="286"/>
      <c r="BM60" s="286"/>
      <c r="BN60" s="286"/>
      <c r="BO60" s="286"/>
      <c r="BP60" s="286"/>
      <c r="BQ60" s="286"/>
      <c r="BR60" s="286"/>
      <c r="BS60" s="286"/>
      <c r="BT60" s="286"/>
      <c r="BU60" s="286"/>
      <c r="BV60" s="286"/>
      <c r="BW60" s="286"/>
      <c r="BX60" s="286"/>
      <c r="BY60" s="286"/>
      <c r="BZ60" s="286"/>
      <c r="CA60" s="286"/>
      <c r="CB60" s="286"/>
      <c r="CC60" s="286"/>
      <c r="CD60" s="286"/>
      <c r="CE60" s="286"/>
      <c r="CF60" s="286"/>
      <c r="CG60" s="286"/>
      <c r="CH60" s="286"/>
      <c r="CI60" s="286"/>
      <c r="CJ60" s="286"/>
      <c r="CK60" s="286"/>
      <c r="CL60" s="286"/>
      <c r="CM60" s="286"/>
      <c r="CN60" s="286"/>
      <c r="CO60" s="286"/>
      <c r="CP60" s="286"/>
      <c r="CQ60" s="286"/>
    </row>
  </sheetData>
  <sheetProtection formatColumns="0" formatRows="0" insertRows="0" deleteColumns="0" deleteRows="0" sort="0" autoFilter="0" insertColumns="1"/>
  <mergeCells count="15">
    <mergeCell ref="X27:X35"/>
    <mergeCell ref="Z27:Z35"/>
    <mergeCell ref="AB47:CT47"/>
    <mergeCell ref="AB48:CT48"/>
    <mergeCell ref="AB50:AC50"/>
    <mergeCell ref="CT24:CT25"/>
    <mergeCell ref="BX25:CQ25"/>
    <mergeCell ref="AB49:CT49"/>
    <mergeCell ref="AB24:AB25"/>
    <mergeCell ref="AC24:AC25"/>
    <mergeCell ref="AD24:AD25"/>
    <mergeCell ref="CR24:CR25"/>
    <mergeCell ref="CS24:CS25"/>
    <mergeCell ref="X36:X44"/>
    <mergeCell ref="Z36:Z44"/>
  </mergeCells>
  <printOptions horizontalCentered="1"/>
  <pageMargins left="0.35" right="0.35" top="0.40" bottom="0.40" header="0.08" footer="0.08"/>
  <pageSetup paperSize="9" scale="13"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E7C9C9-A698-3E78-4408-238C9442662B}" mc:Ignorable="x14ac xr xr2 xr3">
  <sheetPr>
    <tabColor rgb="FF92D050"/>
    <outlinePr summaryRight="0" summaryBelow="0"/>
    <pageSetUpPr fitToPage="1"/>
  </sheetPr>
  <dimension ref="A1:DO85"/>
  <sheetViews>
    <sheetView showGridLines="0" workbookViewId="0">
      <pane xSplit="30" ySplit="25" topLeftCell="AE49" activePane="bottomRight" state="frozen"/>
      <selection pane="bottomLeft" activeCell="A26" sqref="A26"/>
      <selection pane="topRight" activeCell="AE1" sqref="AE1"/>
      <selection pane="bottomRight" activeCell="BD67" sqref="BD67"/>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8.003906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77" width="8.00390625" customWidth="1"/>
    <col min="29" max="29" style="285" width="70.00390625" customWidth="1"/>
    <col min="30" max="30" style="277" width="14.00390625" customWidth="1"/>
    <col min="31" max="33" style="286" width="13.00390625" customWidth="1"/>
    <col min="34" max="34" style="286" width="19.00390625" customWidth="1"/>
    <col min="35" max="36" style="286" width="13.00390625" customWidth="1"/>
    <col min="37" max="55" style="286" width="13.00390625" hidden="1" customWidth="1"/>
    <col min="56" max="56" style="286" width="13.00390625" customWidth="1"/>
    <col min="57" max="75" style="286" width="13.00390625" hidden="1" customWidth="1"/>
    <col min="76" max="76" style="286" width="13.00390625" customWidth="1"/>
    <col min="77" max="95" style="286" width="13.00390625" hidden="1" customWidth="1"/>
    <col min="96" max="96" style="286" width="19.00390625" customWidth="1"/>
    <col min="97" max="97" style="286" width="17.00390625" customWidth="1"/>
    <col min="98" max="98" style="286" width="31.00390625" customWidth="1"/>
    <col min="99" max="99" style="286" width="3.00390625" customWidth="1"/>
    <col min="100" max="100" style="1659" width="9.140625" hidden="1"/>
    <col min="101" max="101" style="1125" width="9.140625" hidden="1"/>
    <col min="102" max="107" style="1506" width="9.140625" hidden="1"/>
    <col min="108" max="118" width="9.140625" hidden="1"/>
    <col min="119" max="119" style="1506" width="9.140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C1" s="753" t="s">
        <v>92</v>
      </c>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W1" s="1548"/>
      <c r="BX1" s="1548"/>
      <c r="BY1" s="1548"/>
      <c r="BZ1" s="1548"/>
      <c r="CA1" s="1548"/>
      <c r="CB1" s="1548"/>
      <c r="CC1" s="1548"/>
      <c r="CD1" s="1548"/>
      <c r="CE1" s="1548"/>
      <c r="CF1" s="1548"/>
      <c r="CG1" s="1548"/>
      <c r="CH1" s="1548"/>
      <c r="CI1" s="1548"/>
      <c r="CJ1" s="1548"/>
      <c r="CK1" s="1548"/>
      <c r="CL1" s="1548"/>
      <c r="CM1" s="1548"/>
      <c r="CN1" s="1548"/>
      <c r="CO1" s="1548"/>
      <c r="CP1" s="1548"/>
      <c r="CQ1" s="1548"/>
      <c r="CW1" s="489" t="s">
        <v>336</v>
      </c>
      <c r="CX1" s="489" t="s">
        <v>337</v>
      </c>
      <c r="CY1" s="489" t="s">
        <v>338</v>
      </c>
      <c r="CZ1" s="546" t="s">
        <v>341</v>
      </c>
      <c r="DA1" s="546" t="s">
        <v>342</v>
      </c>
      <c r="DB1" s="175" t="s">
        <v>1625</v>
      </c>
      <c r="DD1" s="0" t="s">
        <v>94</v>
      </c>
      <c r="DE1" s="0" t="s">
        <v>1515</v>
      </c>
      <c r="DF1" s="0" t="s">
        <v>1329</v>
      </c>
      <c r="DG1" s="0" t="s">
        <v>789</v>
      </c>
      <c r="DH1" s="0" t="s">
        <v>1626</v>
      </c>
      <c r="DI1" s="0" t="s">
        <v>1627</v>
      </c>
      <c r="DJ1" s="0" t="s">
        <v>1513</v>
      </c>
      <c r="DK1" s="0" t="s">
        <v>110</v>
      </c>
      <c r="DL1" s="0" t="s">
        <v>111</v>
      </c>
      <c r="DM1" s="0" t="s">
        <v>112</v>
      </c>
      <c r="DN1" s="0" t="s">
        <v>113</v>
      </c>
      <c r="DO1" s="1498" t="s">
        <v>114</v>
      </c>
    </row>
    <row s="1548" customFormat="1" customHeight="1" ht="11.25" hidden="1">
      <c r="A2" s="371"/>
      <c r="B2" s="179" t="s">
        <v>16</v>
      </c>
      <c r="G2" s="193"/>
      <c r="H2" s="193"/>
      <c r="I2" s="193"/>
      <c r="J2" s="193"/>
      <c r="K2" s="193"/>
      <c r="L2" s="193"/>
      <c r="M2" s="193"/>
      <c r="N2" s="193"/>
      <c r="O2" s="193"/>
      <c r="P2" s="193"/>
      <c r="Q2" s="193"/>
      <c r="R2" s="193"/>
      <c r="S2" s="193"/>
      <c r="AC2" s="176"/>
      <c r="AF2" s="179" cm="1" t="str">
        <f t="array" ref="AF2:AF2">isOrgDeclare</f>
        <v>true</v>
      </c>
      <c r="AH2" s="179" cm="1" t="str">
        <f t="array" ref="AH2:AH2">isOrgDeclare</f>
        <v>true</v>
      </c>
      <c r="AJ2" s="179">
        <f>AND(AJ9&lt;=last_year_vis,isOrgDeclare)</f>
        <v>1</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AND(BC9&lt;=last_year_vis,isOrgDeclare)</f>
        <v>0</v>
      </c>
      <c r="BD2" s="179">
        <f>BD9&lt;=last_year_vis</f>
        <v>1</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W2" s="179">
        <f>BW9&lt;=last_year_vis</f>
        <v>0</v>
      </c>
      <c r="BX2" s="179">
        <f>BX9&lt;=last_year_vis</f>
        <v>1</v>
      </c>
      <c r="BY2" s="179">
        <f>BY9&lt;=last_year_vis</f>
        <v>0</v>
      </c>
      <c r="BZ2" s="179">
        <f>BZ9&lt;=last_year_vis</f>
        <v>0</v>
      </c>
      <c r="CA2" s="179">
        <f>CA9&lt;=last_year_vis</f>
        <v>0</v>
      </c>
      <c r="CB2" s="179">
        <f>CB9&lt;=last_year_vis</f>
        <v>0</v>
      </c>
      <c r="CC2" s="179">
        <f>CC9&lt;=last_year_vis</f>
        <v>0</v>
      </c>
      <c r="CD2" s="179">
        <f>CD9&lt;=last_year_vis</f>
        <v>0</v>
      </c>
      <c r="CE2" s="179">
        <f>CE9&lt;=last_year_vis</f>
        <v>0</v>
      </c>
      <c r="CF2" s="179">
        <f>CF9&lt;=last_year_vis</f>
        <v>0</v>
      </c>
      <c r="CG2" s="179">
        <f>CG9&lt;=last_year_vis</f>
        <v>0</v>
      </c>
      <c r="CH2" s="179">
        <f>CH9&lt;=last_year_vis</f>
        <v>0</v>
      </c>
      <c r="CI2" s="179">
        <f>CI9&lt;=last_year_vis</f>
        <v>0</v>
      </c>
      <c r="CJ2" s="179">
        <f>CJ9&lt;=last_year_vis</f>
        <v>0</v>
      </c>
      <c r="CK2" s="179">
        <f>CK9&lt;=last_year_vis</f>
        <v>0</v>
      </c>
      <c r="CL2" s="179">
        <f>CL9&lt;=last_year_vis</f>
        <v>0</v>
      </c>
      <c r="CM2" s="179">
        <f>CM9&lt;=last_year_vis</f>
        <v>0</v>
      </c>
      <c r="CN2" s="179">
        <f>CN9&lt;=last_year_vis</f>
        <v>0</v>
      </c>
      <c r="CO2" s="179">
        <f>CO9&lt;=last_year_vis</f>
        <v>0</v>
      </c>
      <c r="CP2" s="179">
        <f>CP9&lt;=last_year_vis</f>
        <v>0</v>
      </c>
      <c r="CQ2" s="179">
        <f>CQ9&lt;=last_year_vis</f>
        <v>0</v>
      </c>
      <c r="CW2" s="489"/>
      <c r="CX2" s="489"/>
      <c r="CY2" s="489"/>
      <c r="CZ2" s="546"/>
      <c r="DA2" s="546"/>
      <c r="DD2" s="0"/>
      <c r="DE2" s="0"/>
      <c r="DF2" s="0"/>
      <c r="DG2" s="0"/>
      <c r="DH2" s="0"/>
      <c r="DI2" s="0"/>
      <c r="DJ2" s="0"/>
      <c r="DK2" s="0"/>
      <c r="DL2" s="0"/>
      <c r="DM2" s="0"/>
      <c r="DN2" s="0"/>
    </row>
    <row s="1548" customFormat="1" customHeight="1" ht="11.25" hidden="1">
      <c r="A3" s="371"/>
      <c r="G3" s="193"/>
      <c r="H3" s="193"/>
      <c r="I3" s="193"/>
      <c r="J3" s="193"/>
      <c r="K3" s="193"/>
      <c r="L3" s="193"/>
      <c r="M3" s="193"/>
      <c r="N3" s="193"/>
      <c r="O3" s="193"/>
      <c r="P3" s="193"/>
      <c r="Q3" s="193"/>
      <c r="R3" s="193"/>
      <c r="S3" s="193"/>
      <c r="AC3" s="176"/>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W3" s="1548"/>
      <c r="BX3" s="1548"/>
      <c r="BY3" s="1548"/>
      <c r="BZ3" s="1548"/>
      <c r="CA3" s="1548"/>
      <c r="CB3" s="1548"/>
      <c r="CC3" s="1548"/>
      <c r="CD3" s="1548"/>
      <c r="CE3" s="1548"/>
      <c r="CF3" s="1548"/>
      <c r="CG3" s="1548"/>
      <c r="CH3" s="1548"/>
      <c r="CI3" s="1548"/>
      <c r="CJ3" s="1548"/>
      <c r="CK3" s="1548"/>
      <c r="CL3" s="1548"/>
      <c r="CM3" s="1548"/>
      <c r="CN3" s="1548"/>
      <c r="CO3" s="1548"/>
      <c r="CP3" s="1548"/>
      <c r="CQ3" s="1548"/>
      <c r="CW3" s="489"/>
      <c r="CX3" s="489"/>
      <c r="CY3" s="489"/>
      <c r="CZ3" s="546"/>
      <c r="DA3" s="546"/>
      <c r="DD3" s="0"/>
      <c r="DE3" s="0"/>
      <c r="DF3" s="0"/>
      <c r="DG3" s="0"/>
      <c r="DH3" s="0"/>
      <c r="DI3" s="0"/>
      <c r="DJ3" s="0"/>
      <c r="DK3" s="0"/>
      <c r="DL3" s="0"/>
      <c r="DM3" s="0"/>
      <c r="DN3" s="0"/>
    </row>
    <row s="1548" customFormat="1" customHeight="1" ht="11.25" hidden="1">
      <c r="A4" s="371"/>
      <c r="G4" s="193"/>
      <c r="H4" s="193"/>
      <c r="I4" s="193"/>
      <c r="J4" s="193"/>
      <c r="K4" s="193"/>
      <c r="L4" s="193"/>
      <c r="M4" s="193"/>
      <c r="N4" s="193"/>
      <c r="O4" s="193"/>
      <c r="P4" s="193"/>
      <c r="Q4" s="193"/>
      <c r="R4" s="193"/>
      <c r="S4" s="193"/>
      <c r="AC4" s="176"/>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W4" s="1548"/>
      <c r="BX4" s="1548"/>
      <c r="BY4" s="1548"/>
      <c r="BZ4" s="1548"/>
      <c r="CA4" s="1548"/>
      <c r="CB4" s="1548"/>
      <c r="CC4" s="1548"/>
      <c r="CD4" s="1548"/>
      <c r="CE4" s="1548"/>
      <c r="CF4" s="1548"/>
      <c r="CG4" s="1548"/>
      <c r="CH4" s="1548"/>
      <c r="CI4" s="1548"/>
      <c r="CJ4" s="1548"/>
      <c r="CK4" s="1548"/>
      <c r="CL4" s="1548"/>
      <c r="CM4" s="1548"/>
      <c r="CN4" s="1548"/>
      <c r="CO4" s="1548"/>
      <c r="CP4" s="1548"/>
      <c r="CQ4" s="1548"/>
      <c r="CW4" s="489"/>
      <c r="CX4" s="489"/>
      <c r="CY4" s="489"/>
      <c r="CZ4" s="546"/>
      <c r="DA4" s="546"/>
      <c r="DD4" s="0"/>
      <c r="DE4" s="0"/>
      <c r="DF4" s="0"/>
      <c r="DG4" s="0"/>
      <c r="DH4" s="0"/>
      <c r="DI4" s="0"/>
      <c r="DJ4" s="0"/>
      <c r="DK4" s="0"/>
      <c r="DL4" s="0"/>
      <c r="DM4" s="0"/>
      <c r="DN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8</v>
      </c>
      <c r="AC5" s="284">
        <v>70</v>
      </c>
      <c r="AD5" s="180">
        <v>14</v>
      </c>
      <c r="AE5" s="180">
        <v>13</v>
      </c>
      <c r="AF5" s="180">
        <v>13</v>
      </c>
      <c r="AG5" s="180">
        <v>13</v>
      </c>
      <c r="AH5" s="180">
        <v>19</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180">
        <v>13</v>
      </c>
      <c r="BX5" s="180">
        <v>13</v>
      </c>
      <c r="BY5" s="180">
        <v>13</v>
      </c>
      <c r="BZ5" s="180">
        <v>13</v>
      </c>
      <c r="CA5" s="180">
        <v>13</v>
      </c>
      <c r="CB5" s="180">
        <v>13</v>
      </c>
      <c r="CC5" s="180">
        <v>13</v>
      </c>
      <c r="CD5" s="180">
        <v>13</v>
      </c>
      <c r="CE5" s="180">
        <v>13</v>
      </c>
      <c r="CF5" s="180">
        <v>13</v>
      </c>
      <c r="CG5" s="180">
        <v>13</v>
      </c>
      <c r="CH5" s="180">
        <v>13</v>
      </c>
      <c r="CI5" s="180">
        <v>13</v>
      </c>
      <c r="CJ5" s="180">
        <v>13</v>
      </c>
      <c r="CK5" s="180">
        <v>13</v>
      </c>
      <c r="CL5" s="180">
        <v>13</v>
      </c>
      <c r="CM5" s="180">
        <v>13</v>
      </c>
      <c r="CN5" s="180">
        <v>13</v>
      </c>
      <c r="CO5" s="180">
        <v>13</v>
      </c>
      <c r="CP5" s="180">
        <v>13</v>
      </c>
      <c r="CQ5" s="180">
        <v>13</v>
      </c>
      <c r="CR5" s="180">
        <v>19</v>
      </c>
      <c r="CS5" s="180">
        <v>17</v>
      </c>
      <c r="CT5" s="180">
        <v>31</v>
      </c>
      <c r="CU5" s="180">
        <v>3</v>
      </c>
      <c r="CW5" s="489"/>
      <c r="CX5" s="489"/>
      <c r="CY5" s="489"/>
      <c r="CZ5" s="546"/>
      <c r="DA5" s="546"/>
      <c r="DD5" s="1729"/>
      <c r="DE5" s="1729"/>
      <c r="DF5" s="1729"/>
      <c r="DG5" s="1729"/>
      <c r="DH5" s="1729"/>
      <c r="DI5" s="1729"/>
      <c r="DJ5" s="1729"/>
      <c r="DK5" s="1729"/>
      <c r="DL5" s="1729"/>
      <c r="DM5" s="1729"/>
      <c r="DN5" s="1729"/>
    </row>
    <row s="1548" customFormat="1" customHeight="1" ht="11.25" hidden="1">
      <c r="A6" s="371"/>
      <c r="E6" s="180"/>
      <c r="G6" s="193"/>
      <c r="H6" s="193"/>
      <c r="I6" s="193"/>
      <c r="J6" s="193"/>
      <c r="K6" s="193"/>
      <c r="L6" s="193"/>
      <c r="M6" s="193"/>
      <c r="N6" s="193"/>
      <c r="O6" s="193"/>
      <c r="P6" s="193"/>
      <c r="Q6" s="193"/>
      <c r="R6" s="193"/>
      <c r="S6" s="193"/>
      <c r="AC6" s="176"/>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W6" s="1548"/>
      <c r="BX6" s="1548"/>
      <c r="BY6" s="1548"/>
      <c r="BZ6" s="1548"/>
      <c r="CA6" s="1548"/>
      <c r="CB6" s="1548"/>
      <c r="CC6" s="1548"/>
      <c r="CD6" s="1548"/>
      <c r="CE6" s="1548"/>
      <c r="CF6" s="1548"/>
      <c r="CG6" s="1548"/>
      <c r="CH6" s="1548"/>
      <c r="CI6" s="1548"/>
      <c r="CJ6" s="1548"/>
      <c r="CK6" s="1548"/>
      <c r="CL6" s="1548"/>
      <c r="CM6" s="1548"/>
      <c r="CN6" s="1548"/>
      <c r="CO6" s="1548"/>
      <c r="CP6" s="1548"/>
      <c r="CQ6" s="1548"/>
      <c r="CW6" s="489"/>
      <c r="CX6" s="489"/>
      <c r="CY6" s="489"/>
      <c r="CZ6" s="546"/>
      <c r="DA6" s="546"/>
      <c r="DD6" s="0"/>
      <c r="DE6" s="0"/>
      <c r="DF6" s="0"/>
      <c r="DG6" s="0"/>
      <c r="DH6" s="0"/>
      <c r="DI6" s="0"/>
      <c r="DJ6" s="0"/>
      <c r="DK6" s="0"/>
      <c r="DL6" s="0"/>
      <c r="DM6" s="0"/>
      <c r="DN6" s="0"/>
    </row>
    <row customHeight="1" ht="11.25" hidden="1">
      <c r="F7" s="193"/>
      <c r="T7" s="193"/>
      <c r="U7" s="193"/>
      <c r="V7" s="193"/>
      <c r="W7" s="193"/>
      <c r="X7" s="193"/>
      <c r="Y7" s="193"/>
      <c r="Z7" s="193"/>
      <c r="AA7" s="193"/>
      <c r="AB7" s="193"/>
      <c r="AC7" s="308"/>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193"/>
      <c r="BX7" s="193"/>
      <c r="BY7" s="193"/>
      <c r="BZ7" s="193"/>
      <c r="CA7" s="193"/>
      <c r="CB7" s="193"/>
      <c r="CC7" s="193"/>
      <c r="CD7" s="193"/>
      <c r="CE7" s="193"/>
      <c r="CF7" s="193"/>
      <c r="CG7" s="193"/>
      <c r="CH7" s="193"/>
      <c r="CI7" s="193"/>
      <c r="CJ7" s="193"/>
      <c r="CK7" s="193"/>
      <c r="CL7" s="193"/>
      <c r="CM7" s="193"/>
      <c r="CN7" s="193"/>
      <c r="CO7" s="193"/>
      <c r="CP7" s="193"/>
      <c r="CQ7" s="193"/>
      <c r="CR7" s="193"/>
      <c r="CS7" s="193"/>
      <c r="CT7" s="193"/>
      <c r="CU7" s="193"/>
      <c r="CX7" s="489"/>
      <c r="CY7" s="489"/>
      <c r="CZ7" s="546"/>
      <c r="DA7" s="546"/>
    </row>
    <row customHeight="1" ht="11.25" hidden="1">
      <c r="F8" s="193"/>
      <c r="T8" s="193"/>
      <c r="U8" s="193"/>
      <c r="V8" s="193"/>
      <c r="W8" s="193"/>
      <c r="X8" s="193"/>
      <c r="Y8" s="193"/>
      <c r="Z8" s="193"/>
      <c r="AA8" s="193"/>
      <c r="AB8" s="193"/>
      <c r="AC8" s="308"/>
      <c r="AD8" s="193"/>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93"/>
      <c r="BQ8" s="193"/>
      <c r="BR8" s="193"/>
      <c r="BS8" s="193"/>
      <c r="BT8" s="193"/>
      <c r="BU8" s="193"/>
      <c r="BV8" s="193"/>
      <c r="BW8" s="193"/>
      <c r="BX8" s="193"/>
      <c r="BY8" s="193"/>
      <c r="BZ8" s="193"/>
      <c r="CA8" s="193"/>
      <c r="CB8" s="193"/>
      <c r="CC8" s="193"/>
      <c r="CD8" s="193"/>
      <c r="CE8" s="193"/>
      <c r="CF8" s="193"/>
      <c r="CG8" s="193"/>
      <c r="CH8" s="193"/>
      <c r="CI8" s="193"/>
      <c r="CJ8" s="193"/>
      <c r="CK8" s="193"/>
      <c r="CL8" s="193"/>
      <c r="CM8" s="193"/>
      <c r="CN8" s="193"/>
      <c r="CO8" s="193"/>
      <c r="CP8" s="193"/>
      <c r="CQ8" s="193"/>
      <c r="CR8" s="193"/>
      <c r="CS8" s="193"/>
      <c r="CT8" s="193"/>
      <c r="CU8" s="193"/>
      <c r="CX8" s="489"/>
      <c r="CY8" s="489"/>
      <c r="CZ8" s="546"/>
      <c r="DA8" s="546"/>
    </row>
    <row s="1143" customFormat="1" customHeight="1" ht="11.25" hidden="1">
      <c r="A9" s="309" t="s">
        <v>403</v>
      </c>
      <c r="AE9" s="312">
        <f>god-2</f>
        <v>2025</v>
      </c>
      <c r="AF9" s="312">
        <f>god-2</f>
        <v>2025</v>
      </c>
      <c r="AG9" s="312">
        <f>god-2</f>
        <v>2025</v>
      </c>
      <c r="AH9" s="312">
        <f>god-2</f>
        <v>2025</v>
      </c>
      <c r="AI9" s="312">
        <f>god-1</f>
        <v>2026</v>
      </c>
      <c r="AJ9" s="312" cm="1" t="str">
        <f t="array" ref="AJ9:AJ9">god</f>
        <v>2027</v>
      </c>
      <c r="AK9" s="312">
        <f>god+1</f>
        <v>2028</v>
      </c>
      <c r="AL9" s="312">
        <f>god+2</f>
        <v>2029</v>
      </c>
      <c r="AM9" s="312">
        <f>god+3</f>
        <v>2030</v>
      </c>
      <c r="AN9" s="312">
        <f>god+4</f>
        <v>2031</v>
      </c>
      <c r="AO9" s="312">
        <f>god+5</f>
        <v>2032</v>
      </c>
      <c r="AP9" s="312">
        <f>god+6</f>
        <v>2033</v>
      </c>
      <c r="AQ9" s="312">
        <f>god+7</f>
        <v>2034</v>
      </c>
      <c r="AR9" s="312">
        <f>god+8</f>
        <v>2035</v>
      </c>
      <c r="AS9" s="312">
        <f>god+9</f>
        <v>2036</v>
      </c>
      <c r="AT9" s="312">
        <f>god+10</f>
        <v>2037</v>
      </c>
      <c r="AU9" s="312">
        <f>god+11</f>
        <v>2038</v>
      </c>
      <c r="AV9" s="312">
        <f>god+12</f>
        <v>2039</v>
      </c>
      <c r="AW9" s="312">
        <f>god+13</f>
        <v>2040</v>
      </c>
      <c r="AX9" s="312">
        <f>god+14</f>
        <v>2041</v>
      </c>
      <c r="AY9" s="312">
        <f>god+15</f>
        <v>2042</v>
      </c>
      <c r="AZ9" s="312">
        <f>god+16</f>
        <v>2043</v>
      </c>
      <c r="BA9" s="312">
        <f>god+17</f>
        <v>2044</v>
      </c>
      <c r="BB9" s="312">
        <f>god+18</f>
        <v>2045</v>
      </c>
      <c r="BC9" s="312">
        <f>god+19</f>
        <v>2046</v>
      </c>
      <c r="BD9" s="312" cm="1" t="str">
        <f t="array" ref="BD9:BD9">god</f>
        <v>2027</v>
      </c>
      <c r="BE9" s="312">
        <f>god+1</f>
        <v>2028</v>
      </c>
      <c r="BF9" s="312">
        <f>god+2</f>
        <v>2029</v>
      </c>
      <c r="BG9" s="312">
        <f>god+3</f>
        <v>2030</v>
      </c>
      <c r="BH9" s="312">
        <f>god+4</f>
        <v>2031</v>
      </c>
      <c r="BI9" s="312">
        <f>god+5</f>
        <v>2032</v>
      </c>
      <c r="BJ9" s="312">
        <f>god+6</f>
        <v>2033</v>
      </c>
      <c r="BK9" s="312">
        <f>god+7</f>
        <v>2034</v>
      </c>
      <c r="BL9" s="312">
        <f>god+8</f>
        <v>2035</v>
      </c>
      <c r="BM9" s="312">
        <f>god+9</f>
        <v>2036</v>
      </c>
      <c r="BN9" s="312">
        <f>god+10</f>
        <v>2037</v>
      </c>
      <c r="BO9" s="312">
        <f>god+11</f>
        <v>2038</v>
      </c>
      <c r="BP9" s="312">
        <f>god+12</f>
        <v>2039</v>
      </c>
      <c r="BQ9" s="312">
        <f>god+13</f>
        <v>2040</v>
      </c>
      <c r="BR9" s="312">
        <f>god+14</f>
        <v>2041</v>
      </c>
      <c r="BS9" s="312">
        <f>god+15</f>
        <v>2042</v>
      </c>
      <c r="BT9" s="312">
        <f>god+16</f>
        <v>2043</v>
      </c>
      <c r="BU9" s="312">
        <f>god+17</f>
        <v>2044</v>
      </c>
      <c r="BV9" s="312">
        <f>god+18</f>
        <v>2045</v>
      </c>
      <c r="BW9" s="312">
        <f>god+19</f>
        <v>2046</v>
      </c>
      <c r="BX9" s="312" cm="1" t="str">
        <f t="array" ref="BX9:BX9">god</f>
        <v>2027</v>
      </c>
      <c r="BY9" s="312">
        <f>god+1</f>
        <v>2028</v>
      </c>
      <c r="BZ9" s="312">
        <f>god+2</f>
        <v>2029</v>
      </c>
      <c r="CA9" s="312">
        <f>god+3</f>
        <v>2030</v>
      </c>
      <c r="CB9" s="312">
        <f>god+4</f>
        <v>2031</v>
      </c>
      <c r="CC9" s="312">
        <f>god+5</f>
        <v>2032</v>
      </c>
      <c r="CD9" s="312">
        <f>god+6</f>
        <v>2033</v>
      </c>
      <c r="CE9" s="312">
        <f>god+7</f>
        <v>2034</v>
      </c>
      <c r="CF9" s="312">
        <f>god+8</f>
        <v>2035</v>
      </c>
      <c r="CG9" s="312">
        <f>god+9</f>
        <v>2036</v>
      </c>
      <c r="CH9" s="312">
        <f>god+10</f>
        <v>2037</v>
      </c>
      <c r="CI9" s="312">
        <f>god+11</f>
        <v>2038</v>
      </c>
      <c r="CJ9" s="312">
        <f>god+12</f>
        <v>2039</v>
      </c>
      <c r="CK9" s="312">
        <f>god+13</f>
        <v>2040</v>
      </c>
      <c r="CL9" s="312">
        <f>god+14</f>
        <v>2041</v>
      </c>
      <c r="CM9" s="312">
        <f>god+15</f>
        <v>2042</v>
      </c>
      <c r="CN9" s="312">
        <f>god+16</f>
        <v>2043</v>
      </c>
      <c r="CO9" s="312">
        <f>god+17</f>
        <v>2044</v>
      </c>
      <c r="CP9" s="312">
        <f>god+18</f>
        <v>2045</v>
      </c>
      <c r="CQ9" s="312">
        <f>god+19</f>
        <v>2046</v>
      </c>
      <c r="CW9" s="489"/>
      <c r="CX9" s="489"/>
      <c r="CY9" s="489"/>
      <c r="CZ9" s="546"/>
      <c r="DA9" s="546"/>
      <c r="DD9" s="1730"/>
      <c r="DE9" s="1730"/>
      <c r="DF9" s="1730"/>
      <c r="DG9" s="1730"/>
      <c r="DH9" s="1730"/>
      <c r="DI9" s="1730"/>
      <c r="DJ9" s="1730"/>
      <c r="DK9" s="1730"/>
      <c r="DL9" s="1730"/>
      <c r="DM9" s="1730"/>
      <c r="DN9" s="1730"/>
    </row>
    <row s="1143" customFormat="1" customHeight="1" ht="11.25" hidden="1">
      <c r="A10" s="309" t="s">
        <v>404</v>
      </c>
      <c r="AE10" s="312" cm="1" t="str">
        <f t="array" ref="AE10:AE10">AE25</f>
        <v>Принято органом регулирования</v>
      </c>
      <c r="AF10" s="312" cm="1" t="str">
        <f t="array" ref="AF10:AF10">AF25</f>
        <v>Факт по данным организации</v>
      </c>
      <c r="AG10" s="312" cm="1" t="str">
        <f t="array" ref="AG10:AG10">AG25</f>
        <v>Факт, принятый органом регулирования</v>
      </c>
      <c r="AH10" s="312" cm="1" t="str">
        <f t="array" ref="AH10:AH10">AH25</f>
        <v>отклонение факта по данным организации к факту принятому органом регулирования</v>
      </c>
      <c r="AI10" s="312" cm="1" t="str">
        <f t="array" ref="AI10:AI10">AI25</f>
        <v>Принято органом регулирования</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Предложение организации</v>
      </c>
      <c r="AZ10" s="312" cm="1" t="str">
        <f t="array" ref="AZ10:AZ10">AZ25</f>
        <v>Предложение организации</v>
      </c>
      <c r="BA10" s="312" cm="1" t="str">
        <f t="array" ref="BA10:BA10">BA25</f>
        <v>Предложение организации</v>
      </c>
      <c r="BB10" s="312" cm="1" t="str">
        <f t="array" ref="BB10:BB10">BB25</f>
        <v>Предложение организации</v>
      </c>
      <c r="BC10" s="312" cm="1" t="str">
        <f t="array" ref="BC10:BC10">BC25</f>
        <v>Предложение организации</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S10" s="312" cm="1" t="str">
        <f t="array" ref="BS10:BS10">BS25</f>
        <v>Принято органом регулирования</v>
      </c>
      <c r="BT10" s="312" cm="1" t="str">
        <f t="array" ref="BT10:BT10">BT25</f>
        <v>Принято органом регулирования</v>
      </c>
      <c r="BU10" s="312" cm="1" t="str">
        <f t="array" ref="BU10:BU10">BU25</f>
        <v>Принято органом регулирования</v>
      </c>
      <c r="BV10" s="312" cm="1" t="str">
        <f t="array" ref="BV10:BV10">BV25</f>
        <v>Принято органом регулирования</v>
      </c>
      <c r="BW10" s="312" cm="1" t="str">
        <f t="array" ref="BW10:BW10">BW25</f>
        <v>Принято органом регулирования</v>
      </c>
      <c r="BX10" s="312" cm="1" t="str">
        <f t="array" ref="BX10:BX10">BX25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Y10" s="312" cm="1" t="str">
        <f t="array" ref="BY10:BY10">BX10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Z10" s="312" cm="1" t="str">
        <f t="array" ref="BZ10:BZ10">BY10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A10" s="312" cm="1" t="str">
        <f t="array" ref="CA10:CA10">BZ10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B10" s="312" cm="1" t="str">
        <f t="array" ref="CB10:CB10">CA10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C10" s="312" cm="1" t="str">
        <f t="array" ref="CC10:CC10">CB10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D10" s="312" cm="1" t="str">
        <f t="array" ref="CD10:CD10">CC10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E10" s="312" cm="1" t="str">
        <f t="array" ref="CE10:CE10">CD10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F10" s="312" cm="1" t="str">
        <f t="array" ref="CF10:CF10">CE10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G10" s="312" cm="1" t="str">
        <f t="array" ref="CG10:CG10">CF10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H10" s="312" cm="1" t="str">
        <f t="array" ref="CH10:CH10">CG10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I10" s="312" cm="1" t="str">
        <f t="array" ref="CI10:CI10">CH10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J10" s="312" cm="1" t="str">
        <f t="array" ref="CJ10:CJ10">CI10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K10" s="312" cm="1" t="str">
        <f t="array" ref="CK10:CK10">CJ10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L10" s="312" cm="1" t="str">
        <f t="array" ref="CL10:CL10">CK10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M10" s="312" cm="1" t="str">
        <f t="array" ref="CM10:CM10">CL10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N10" s="312" cm="1" t="str">
        <f t="array" ref="CN10:CN10">CM10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O10" s="312" cm="1" t="str">
        <f t="array" ref="CO10:CO10">CN10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P10" s="312" cm="1" t="str">
        <f t="array" ref="CP10:CP10">CO10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Q10" s="312" cm="1" t="str">
        <f t="array" ref="CQ10:CQ10">CP10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W10" s="489"/>
      <c r="CX10" s="489"/>
      <c r="CY10" s="489"/>
      <c r="CZ10" s="546"/>
      <c r="DA10" s="546"/>
      <c r="DD10" s="1730"/>
      <c r="DE10" s="1730"/>
      <c r="DF10" s="1730"/>
      <c r="DG10" s="1730"/>
      <c r="DH10" s="1730"/>
      <c r="DI10" s="1730"/>
      <c r="DJ10" s="1730"/>
      <c r="DK10" s="1730"/>
      <c r="DL10" s="1730"/>
      <c r="DM10" s="1730"/>
      <c r="DN10" s="1730"/>
    </row>
    <row s="1143" customFormat="1" customHeight="1" ht="11.25" hidden="1">
      <c r="A11" s="309" t="s">
        <v>405</v>
      </c>
      <c r="G11" s="483"/>
      <c r="H11" s="483"/>
      <c r="I11" s="483"/>
      <c r="J11" s="483"/>
      <c r="K11" s="483"/>
      <c r="L11" s="483"/>
      <c r="M11" s="483"/>
      <c r="N11" s="483"/>
      <c r="O11" s="483"/>
      <c r="P11" s="483"/>
      <c r="Q11" s="483"/>
      <c r="R11" s="483"/>
      <c r="S11" s="483"/>
      <c r="AC11" s="326"/>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1143"/>
      <c r="BX11" s="1143"/>
      <c r="BY11" s="1143"/>
      <c r="BZ11" s="1143"/>
      <c r="CA11" s="1143"/>
      <c r="CB11" s="1143"/>
      <c r="CC11" s="1143"/>
      <c r="CD11" s="1143"/>
      <c r="CE11" s="1143"/>
      <c r="CF11" s="1143"/>
      <c r="CG11" s="1143"/>
      <c r="CH11" s="1143"/>
      <c r="CI11" s="1143"/>
      <c r="CJ11" s="1143"/>
      <c r="CK11" s="1143"/>
      <c r="CL11" s="1143"/>
      <c r="CM11" s="1143"/>
      <c r="CN11" s="1143"/>
      <c r="CO11" s="1143"/>
      <c r="CP11" s="1143"/>
      <c r="CQ11" s="1143"/>
      <c r="CR11" s="312" cm="1" t="str">
        <f t="array" ref="CR11:CR11">CR24</f>
        <v>Указание на подтверждающие документы / URL-ссылка на копии подтверждающих документов</v>
      </c>
      <c r="CS11" s="312" cm="1" t="str">
        <f t="array" ref="CS11:CS11">CS24</f>
        <v>Ссылка на правовую норму (основание для принятия показателя в расчет тарифа)</v>
      </c>
      <c r="CT11" s="312" cm="1" t="str">
        <f t="array" ref="CT11:CT11">CT24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CW11" s="489"/>
      <c r="CX11" s="489"/>
      <c r="CY11" s="489"/>
      <c r="CZ11" s="546"/>
      <c r="DA11" s="546"/>
      <c r="DD11" s="1730"/>
      <c r="DE11" s="1730"/>
      <c r="DF11" s="1730"/>
      <c r="DG11" s="1730"/>
      <c r="DH11" s="1730"/>
      <c r="DI11" s="1730"/>
      <c r="DJ11" s="1730"/>
      <c r="DK11" s="1730"/>
      <c r="DL11" s="1730"/>
      <c r="DM11" s="1730"/>
      <c r="DN11" s="1730"/>
    </row>
    <row s="895" customFormat="1" customHeight="1" ht="11.25" hidden="1">
      <c r="A12" s="309" t="s">
        <v>350</v>
      </c>
      <c r="B12" s="312"/>
      <c r="C12" s="312"/>
      <c r="D12" s="312"/>
      <c r="E12" s="312"/>
      <c r="F12" s="312"/>
      <c r="G12" s="483"/>
      <c r="H12" s="483"/>
      <c r="I12" s="483"/>
      <c r="J12" s="483"/>
      <c r="K12" s="483"/>
      <c r="L12" s="483"/>
      <c r="M12" s="483"/>
      <c r="N12" s="483"/>
      <c r="O12" s="483"/>
      <c r="P12" s="483"/>
      <c r="Q12" s="483"/>
      <c r="R12" s="483"/>
      <c r="S12" s="483"/>
      <c r="T12" s="312"/>
      <c r="U12" s="312"/>
      <c r="V12" s="312"/>
      <c r="W12" s="312"/>
      <c r="X12" s="312"/>
      <c r="Y12" s="312"/>
      <c r="Z12" s="312"/>
      <c r="AA12" s="312"/>
      <c r="AB12" s="312"/>
      <c r="AC12" s="326" t="s">
        <v>338</v>
      </c>
      <c r="AD12" s="312"/>
      <c r="AE12" s="312"/>
      <c r="AF12" s="312"/>
      <c r="AG12" s="312"/>
      <c r="AH12" s="312"/>
      <c r="AI12" s="312"/>
      <c r="AJ12" s="312"/>
      <c r="AK12" s="312"/>
      <c r="AL12" s="312"/>
      <c r="AM12" s="312"/>
      <c r="AN12" s="312"/>
      <c r="AO12" s="312"/>
      <c r="AP12" s="312"/>
      <c r="AQ12" s="312"/>
      <c r="AR12" s="312"/>
      <c r="AS12" s="312"/>
      <c r="AT12" s="312"/>
      <c r="AU12" s="312"/>
      <c r="AV12" s="312"/>
      <c r="AW12" s="312"/>
      <c r="AX12" s="312"/>
      <c r="AY12" s="312"/>
      <c r="AZ12" s="312"/>
      <c r="BA12" s="312"/>
      <c r="BB12" s="312"/>
      <c r="BC12" s="312"/>
      <c r="BD12" s="312"/>
      <c r="BE12" s="312"/>
      <c r="BF12" s="312"/>
      <c r="BG12" s="312"/>
      <c r="BH12" s="312"/>
      <c r="BI12" s="312"/>
      <c r="BJ12" s="312"/>
      <c r="BK12" s="312"/>
      <c r="BL12" s="312"/>
      <c r="BM12" s="312"/>
      <c r="BN12" s="312"/>
      <c r="BO12" s="312"/>
      <c r="BP12" s="312"/>
      <c r="BQ12" s="312"/>
      <c r="BR12" s="312"/>
      <c r="BS12" s="312"/>
      <c r="BT12" s="312"/>
      <c r="BU12" s="312"/>
      <c r="BV12" s="312"/>
      <c r="BW12" s="312"/>
      <c r="BX12" s="312"/>
      <c r="BY12" s="312"/>
      <c r="BZ12" s="312"/>
      <c r="CA12" s="312"/>
      <c r="CB12" s="312"/>
      <c r="CC12" s="312"/>
      <c r="CD12" s="312"/>
      <c r="CE12" s="312"/>
      <c r="CF12" s="312"/>
      <c r="CG12" s="312"/>
      <c r="CH12" s="312"/>
      <c r="CI12" s="312"/>
      <c r="CJ12" s="312"/>
      <c r="CK12" s="312"/>
      <c r="CL12" s="312"/>
      <c r="CM12" s="312"/>
      <c r="CN12" s="312"/>
      <c r="CO12" s="312"/>
      <c r="CP12" s="312"/>
      <c r="CQ12" s="312"/>
      <c r="CR12" s="312"/>
      <c r="CS12" s="312"/>
      <c r="CT12" s="312"/>
      <c r="CU12" s="312"/>
      <c r="CV12" s="312"/>
      <c r="CW12" s="489"/>
      <c r="CX12" s="489"/>
      <c r="CY12" s="489"/>
      <c r="CZ12" s="546"/>
      <c r="DA12" s="546"/>
      <c r="DD12" s="1732"/>
      <c r="DE12" s="1732"/>
      <c r="DF12" s="1732"/>
      <c r="DG12" s="1732"/>
      <c r="DH12" s="1732"/>
      <c r="DI12" s="1732"/>
      <c r="DJ12" s="1732"/>
      <c r="DK12" s="1732"/>
      <c r="DL12" s="1732"/>
      <c r="DM12" s="1732"/>
      <c r="DN12" s="1732"/>
    </row>
    <row s="1548" customFormat="1" customHeight="1" ht="11.25" hidden="1">
      <c r="A13" s="371"/>
      <c r="E13" s="180"/>
      <c r="G13" s="193"/>
      <c r="H13" s="193"/>
      <c r="I13" s="193"/>
      <c r="J13" s="193"/>
      <c r="K13" s="193"/>
      <c r="L13" s="193"/>
      <c r="M13" s="193"/>
      <c r="N13" s="193"/>
      <c r="O13" s="193"/>
      <c r="P13" s="193"/>
      <c r="Q13" s="193"/>
      <c r="R13" s="193"/>
      <c r="S13" s="193"/>
      <c r="AC13" s="176"/>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S13" s="1548"/>
      <c r="BT13" s="1548"/>
      <c r="BU13" s="1548"/>
      <c r="BV13" s="1548"/>
      <c r="BW13" s="1548"/>
      <c r="BX13" s="1548"/>
      <c r="BY13" s="1548"/>
      <c r="BZ13" s="1548"/>
      <c r="CA13" s="1548"/>
      <c r="CB13" s="1548"/>
      <c r="CC13" s="1548"/>
      <c r="CD13" s="1548"/>
      <c r="CE13" s="1548"/>
      <c r="CF13" s="1548"/>
      <c r="CG13" s="1548"/>
      <c r="CH13" s="1548"/>
      <c r="CI13" s="1548"/>
      <c r="CJ13" s="1548"/>
      <c r="CK13" s="1548"/>
      <c r="CL13" s="1548"/>
      <c r="CM13" s="1548"/>
      <c r="CN13" s="1548"/>
      <c r="CO13" s="1548"/>
      <c r="CP13" s="1548"/>
      <c r="CQ13" s="1548"/>
      <c r="CW13" s="489"/>
      <c r="CX13" s="489"/>
      <c r="CY13" s="489"/>
      <c r="CZ13" s="546"/>
      <c r="DA13" s="546"/>
      <c r="DD13" s="0"/>
      <c r="DE13" s="0"/>
      <c r="DF13" s="0"/>
      <c r="DG13" s="0"/>
      <c r="DH13" s="0"/>
      <c r="DI13" s="0"/>
      <c r="DJ13" s="0"/>
      <c r="DK13" s="0"/>
      <c r="DL13" s="0"/>
      <c r="DM13" s="0"/>
      <c r="DN13" s="0"/>
    </row>
    <row s="1548" customFormat="1" customHeight="1" ht="11.25" hidden="1">
      <c r="A14" s="371"/>
      <c r="E14" s="180"/>
      <c r="G14" s="193"/>
      <c r="H14" s="193"/>
      <c r="I14" s="193"/>
      <c r="J14" s="193"/>
      <c r="K14" s="193"/>
      <c r="L14" s="193"/>
      <c r="M14" s="193"/>
      <c r="N14" s="193"/>
      <c r="O14" s="193"/>
      <c r="P14" s="193"/>
      <c r="Q14" s="193"/>
      <c r="R14" s="193"/>
      <c r="S14" s="193"/>
      <c r="AC14" s="176"/>
      <c r="AJ14" s="1548"/>
      <c r="AK14" s="1548"/>
      <c r="AL14" s="1548"/>
      <c r="AM14" s="1548"/>
      <c r="AN14" s="1548"/>
      <c r="AO14" s="1548"/>
      <c r="AP14" s="1548"/>
      <c r="AQ14" s="1548"/>
      <c r="AR14" s="1548"/>
      <c r="AS14" s="1548"/>
      <c r="AT14" s="1548"/>
      <c r="AU14" s="1548"/>
      <c r="AV14" s="1548"/>
      <c r="AW14" s="1548"/>
      <c r="AX14" s="1548"/>
      <c r="AY14" s="1548"/>
      <c r="AZ14" s="1548"/>
      <c r="BA14" s="1548"/>
      <c r="BB14" s="1548"/>
      <c r="BC14" s="1548"/>
      <c r="BD14" s="1548"/>
      <c r="BE14" s="1548"/>
      <c r="BF14" s="1548"/>
      <c r="BG14" s="1548"/>
      <c r="BH14" s="1548"/>
      <c r="BI14" s="1548"/>
      <c r="BJ14" s="1548"/>
      <c r="BK14" s="1548"/>
      <c r="BL14" s="1548"/>
      <c r="BM14" s="1548"/>
      <c r="BN14" s="1548"/>
      <c r="BO14" s="1548"/>
      <c r="BP14" s="1548"/>
      <c r="BQ14" s="1548"/>
      <c r="BR14" s="1548"/>
      <c r="BS14" s="1548"/>
      <c r="BT14" s="1548"/>
      <c r="BU14" s="1548"/>
      <c r="BV14" s="1548"/>
      <c r="BW14" s="1548"/>
      <c r="BX14" s="1548"/>
      <c r="BY14" s="1548"/>
      <c r="BZ14" s="1548"/>
      <c r="CA14" s="1548"/>
      <c r="CB14" s="1548"/>
      <c r="CC14" s="1548"/>
      <c r="CD14" s="1548"/>
      <c r="CE14" s="1548"/>
      <c r="CF14" s="1548"/>
      <c r="CG14" s="1548"/>
      <c r="CH14" s="1548"/>
      <c r="CI14" s="1548"/>
      <c r="CJ14" s="1548"/>
      <c r="CK14" s="1548"/>
      <c r="CL14" s="1548"/>
      <c r="CM14" s="1548"/>
      <c r="CN14" s="1548"/>
      <c r="CO14" s="1548"/>
      <c r="CP14" s="1548"/>
      <c r="CQ14" s="1548"/>
      <c r="CW14" s="489"/>
      <c r="CX14" s="489"/>
      <c r="CY14" s="489"/>
      <c r="CZ14" s="546"/>
      <c r="DA14" s="546"/>
      <c r="DD14" s="0"/>
      <c r="DE14" s="0"/>
      <c r="DF14" s="0"/>
      <c r="DG14" s="0"/>
      <c r="DH14" s="0"/>
      <c r="DI14" s="0"/>
      <c r="DJ14" s="0"/>
      <c r="DK14" s="0"/>
      <c r="DL14" s="0"/>
      <c r="DM14" s="0"/>
      <c r="DN14" s="0"/>
    </row>
    <row s="1548" customFormat="1" customHeight="1" ht="11.25" hidden="1">
      <c r="A15" s="371"/>
      <c r="E15" s="180"/>
      <c r="G15" s="193"/>
      <c r="H15" s="193"/>
      <c r="I15" s="193"/>
      <c r="J15" s="193"/>
      <c r="K15" s="193"/>
      <c r="L15" s="193"/>
      <c r="M15" s="193"/>
      <c r="N15" s="193"/>
      <c r="O15" s="193"/>
      <c r="P15" s="193"/>
      <c r="Q15" s="193"/>
      <c r="R15" s="193"/>
      <c r="S15" s="193"/>
      <c r="AC15" s="176"/>
      <c r="AJ15" s="1548"/>
      <c r="AK15" s="1548"/>
      <c r="AL15" s="1548"/>
      <c r="AM15" s="1548"/>
      <c r="AN15" s="1548"/>
      <c r="AO15" s="1548"/>
      <c r="AP15" s="1548"/>
      <c r="AQ15" s="1548"/>
      <c r="AR15" s="1548"/>
      <c r="AS15" s="1548"/>
      <c r="AT15" s="1548"/>
      <c r="AU15" s="1548"/>
      <c r="AV15" s="1548"/>
      <c r="AW15" s="1548"/>
      <c r="AX15" s="1548"/>
      <c r="AY15" s="1548"/>
      <c r="AZ15" s="1548"/>
      <c r="BA15" s="1548"/>
      <c r="BB15" s="1548"/>
      <c r="BC15" s="1548"/>
      <c r="BD15" s="1548"/>
      <c r="BE15" s="1548"/>
      <c r="BF15" s="1548"/>
      <c r="BG15" s="1548"/>
      <c r="BH15" s="1548"/>
      <c r="BI15" s="1548"/>
      <c r="BJ15" s="1548"/>
      <c r="BK15" s="1548"/>
      <c r="BL15" s="1548"/>
      <c r="BM15" s="1548"/>
      <c r="BN15" s="1548"/>
      <c r="BO15" s="1548"/>
      <c r="BP15" s="1548"/>
      <c r="BQ15" s="1548"/>
      <c r="BR15" s="1548"/>
      <c r="BS15" s="1548"/>
      <c r="BT15" s="1548"/>
      <c r="BU15" s="1548"/>
      <c r="BV15" s="1548"/>
      <c r="BW15" s="1548"/>
      <c r="BX15" s="1548"/>
      <c r="BY15" s="1548"/>
      <c r="BZ15" s="1548"/>
      <c r="CA15" s="1548"/>
      <c r="CB15" s="1548"/>
      <c r="CC15" s="1548"/>
      <c r="CD15" s="1548"/>
      <c r="CE15" s="1548"/>
      <c r="CF15" s="1548"/>
      <c r="CG15" s="1548"/>
      <c r="CH15" s="1548"/>
      <c r="CI15" s="1548"/>
      <c r="CJ15" s="1548"/>
      <c r="CK15" s="1548"/>
      <c r="CL15" s="1548"/>
      <c r="CM15" s="1548"/>
      <c r="CN15" s="1548"/>
      <c r="CO15" s="1548"/>
      <c r="CP15" s="1548"/>
      <c r="CQ15" s="1548"/>
      <c r="CW15" s="489"/>
      <c r="CX15" s="489"/>
      <c r="CY15" s="489"/>
      <c r="CZ15" s="546"/>
      <c r="DA15" s="546"/>
      <c r="DD15" s="0"/>
      <c r="DE15" s="0"/>
      <c r="DF15" s="0"/>
      <c r="DG15" s="0"/>
      <c r="DH15" s="0"/>
      <c r="DI15" s="0"/>
      <c r="DJ15" s="0"/>
      <c r="DK15" s="0"/>
      <c r="DL15" s="0"/>
      <c r="DM15" s="0"/>
      <c r="DN15" s="0"/>
    </row>
    <row s="1548" customFormat="1" customHeight="1" ht="11.25" hidden="1">
      <c r="A16" s="371"/>
      <c r="E16" s="180"/>
      <c r="G16" s="193"/>
      <c r="H16" s="193"/>
      <c r="I16" s="193"/>
      <c r="J16" s="193"/>
      <c r="K16" s="193"/>
      <c r="L16" s="193"/>
      <c r="M16" s="193"/>
      <c r="N16" s="193"/>
      <c r="O16" s="193"/>
      <c r="P16" s="193"/>
      <c r="Q16" s="193"/>
      <c r="R16" s="193"/>
      <c r="S16" s="193"/>
      <c r="AC16" s="176"/>
      <c r="AJ16" s="1548"/>
      <c r="AK16" s="1548"/>
      <c r="AL16" s="1548"/>
      <c r="AM16" s="1548"/>
      <c r="AN16" s="1548"/>
      <c r="AO16" s="1548"/>
      <c r="AP16" s="1548"/>
      <c r="AQ16" s="1548"/>
      <c r="AR16" s="1548"/>
      <c r="AS16" s="1548"/>
      <c r="AT16" s="1548"/>
      <c r="AU16" s="1548"/>
      <c r="AV16" s="1548"/>
      <c r="AW16" s="1548"/>
      <c r="AX16" s="1548"/>
      <c r="AY16" s="1548"/>
      <c r="AZ16" s="1548"/>
      <c r="BA16" s="1548"/>
      <c r="BB16" s="1548"/>
      <c r="BC16" s="1548"/>
      <c r="BD16" s="1548"/>
      <c r="BE16" s="1548"/>
      <c r="BF16" s="1548"/>
      <c r="BG16" s="1548"/>
      <c r="BH16" s="1548"/>
      <c r="BI16" s="1548"/>
      <c r="BJ16" s="1548"/>
      <c r="BK16" s="1548"/>
      <c r="BL16" s="1548"/>
      <c r="BM16" s="1548"/>
      <c r="BN16" s="1548"/>
      <c r="BO16" s="1548"/>
      <c r="BP16" s="1548"/>
      <c r="BQ16" s="1548"/>
      <c r="BR16" s="1548"/>
      <c r="BS16" s="1548"/>
      <c r="BT16" s="1548"/>
      <c r="BU16" s="1548"/>
      <c r="BV16" s="1548"/>
      <c r="BW16" s="1548"/>
      <c r="BX16" s="1548"/>
      <c r="BY16" s="1548"/>
      <c r="BZ16" s="1548"/>
      <c r="CA16" s="1548"/>
      <c r="CB16" s="1548"/>
      <c r="CC16" s="1548"/>
      <c r="CD16" s="1548"/>
      <c r="CE16" s="1548"/>
      <c r="CF16" s="1548"/>
      <c r="CG16" s="1548"/>
      <c r="CH16" s="1548"/>
      <c r="CI16" s="1548"/>
      <c r="CJ16" s="1548"/>
      <c r="CK16" s="1548"/>
      <c r="CL16" s="1548"/>
      <c r="CM16" s="1548"/>
      <c r="CN16" s="1548"/>
      <c r="CO16" s="1548"/>
      <c r="CP16" s="1548"/>
      <c r="CQ16" s="1548"/>
      <c r="CW16" s="489"/>
      <c r="CX16" s="489"/>
      <c r="CY16" s="489"/>
      <c r="CZ16" s="546"/>
      <c r="DA16" s="546"/>
      <c r="DD16" s="0"/>
      <c r="DE16" s="0"/>
      <c r="DF16" s="0"/>
      <c r="DG16" s="0"/>
      <c r="DH16" s="0"/>
      <c r="DI16" s="0"/>
      <c r="DJ16" s="0"/>
      <c r="DK16" s="0"/>
      <c r="DL16" s="0"/>
      <c r="DM16" s="0"/>
      <c r="DN16" s="0"/>
    </row>
    <row s="1548" customFormat="1" customHeight="1" ht="11.25" hidden="1">
      <c r="A17" s="371"/>
      <c r="E17" s="180"/>
      <c r="G17" s="193"/>
      <c r="H17" s="193"/>
      <c r="I17" s="193"/>
      <c r="J17" s="193"/>
      <c r="K17" s="193"/>
      <c r="L17" s="193"/>
      <c r="M17" s="193"/>
      <c r="N17" s="193"/>
      <c r="O17" s="193"/>
      <c r="P17" s="193"/>
      <c r="Q17" s="193"/>
      <c r="R17" s="193"/>
      <c r="S17" s="193"/>
      <c r="AC17" s="176"/>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S17" s="1548"/>
      <c r="BT17" s="1548"/>
      <c r="BU17" s="1548"/>
      <c r="BV17" s="1548"/>
      <c r="BW17" s="1548"/>
      <c r="BX17" s="1548"/>
      <c r="BY17" s="1548"/>
      <c r="BZ17" s="1548"/>
      <c r="CA17" s="1548"/>
      <c r="CB17" s="1548"/>
      <c r="CC17" s="1548"/>
      <c r="CD17" s="1548"/>
      <c r="CE17" s="1548"/>
      <c r="CF17" s="1548"/>
      <c r="CG17" s="1548"/>
      <c r="CH17" s="1548"/>
      <c r="CI17" s="1548"/>
      <c r="CJ17" s="1548"/>
      <c r="CK17" s="1548"/>
      <c r="CL17" s="1548"/>
      <c r="CM17" s="1548"/>
      <c r="CN17" s="1548"/>
      <c r="CO17" s="1548"/>
      <c r="CP17" s="1548"/>
      <c r="CQ17" s="1548"/>
      <c r="CW17" s="489"/>
      <c r="CX17" s="489"/>
      <c r="CY17" s="489"/>
      <c r="CZ17" s="546"/>
      <c r="DA17" s="546"/>
      <c r="DD17" s="0"/>
      <c r="DE17" s="0"/>
      <c r="DF17" s="0"/>
      <c r="DG17" s="0"/>
      <c r="DH17" s="0"/>
      <c r="DI17" s="0"/>
      <c r="DJ17" s="0"/>
      <c r="DK17" s="0"/>
      <c r="DL17" s="0"/>
      <c r="DM17" s="0"/>
      <c r="DN17" s="0"/>
    </row>
    <row s="1548" customFormat="1" customHeight="1" ht="11.25" hidden="1">
      <c r="A18" s="371"/>
      <c r="E18" s="180"/>
      <c r="G18" s="193"/>
      <c r="H18" s="193"/>
      <c r="I18" s="193"/>
      <c r="J18" s="193"/>
      <c r="K18" s="193"/>
      <c r="L18" s="193"/>
      <c r="M18" s="193"/>
      <c r="N18" s="193"/>
      <c r="O18" s="193"/>
      <c r="P18" s="193"/>
      <c r="Q18" s="193"/>
      <c r="R18" s="193"/>
      <c r="S18" s="193"/>
      <c r="AC18" s="176"/>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S18" s="1548"/>
      <c r="BT18" s="1548"/>
      <c r="BU18" s="1548"/>
      <c r="BV18" s="1548"/>
      <c r="BW18" s="1548"/>
      <c r="BX18" s="1548"/>
      <c r="BY18" s="1548"/>
      <c r="BZ18" s="1548"/>
      <c r="CA18" s="1548"/>
      <c r="CB18" s="1548"/>
      <c r="CC18" s="1548"/>
      <c r="CD18" s="1548"/>
      <c r="CE18" s="1548"/>
      <c r="CF18" s="1548"/>
      <c r="CG18" s="1548"/>
      <c r="CH18" s="1548"/>
      <c r="CI18" s="1548"/>
      <c r="CJ18" s="1548"/>
      <c r="CK18" s="1548"/>
      <c r="CL18" s="1548"/>
      <c r="CM18" s="1548"/>
      <c r="CN18" s="1548"/>
      <c r="CO18" s="1548"/>
      <c r="CP18" s="1548"/>
      <c r="CQ18" s="1548"/>
      <c r="CW18" s="489"/>
      <c r="CX18" s="489"/>
      <c r="CY18" s="489"/>
      <c r="CZ18" s="546"/>
      <c r="DA18" s="546"/>
      <c r="DD18" s="0"/>
      <c r="DE18" s="0"/>
      <c r="DF18" s="0"/>
      <c r="DG18" s="0"/>
      <c r="DH18" s="0"/>
      <c r="DI18" s="0"/>
      <c r="DJ18" s="0"/>
      <c r="DK18" s="0"/>
      <c r="DL18" s="0"/>
      <c r="DM18" s="0"/>
      <c r="DN18" s="0"/>
    </row>
    <row s="1548" customFormat="1" customHeight="1" ht="11.25" hidden="1">
      <c r="A19" s="371"/>
      <c r="E19" s="180"/>
      <c r="G19" s="193"/>
      <c r="H19" s="193"/>
      <c r="I19" s="193"/>
      <c r="J19" s="193"/>
      <c r="K19" s="193"/>
      <c r="L19" s="193"/>
      <c r="M19" s="193"/>
      <c r="N19" s="193"/>
      <c r="O19" s="193"/>
      <c r="P19" s="193"/>
      <c r="Q19" s="193"/>
      <c r="R19" s="193"/>
      <c r="S19" s="193"/>
      <c r="AC19" s="176"/>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T19" s="1548"/>
      <c r="BU19" s="1548"/>
      <c r="BV19" s="1548"/>
      <c r="BW19" s="1548"/>
      <c r="BX19" s="1548"/>
      <c r="BY19" s="1548"/>
      <c r="BZ19" s="1548"/>
      <c r="CA19" s="1548"/>
      <c r="CB19" s="1548"/>
      <c r="CC19" s="1548"/>
      <c r="CD19" s="1548"/>
      <c r="CE19" s="1548"/>
      <c r="CF19" s="1548"/>
      <c r="CG19" s="1548"/>
      <c r="CH19" s="1548"/>
      <c r="CI19" s="1548"/>
      <c r="CJ19" s="1548"/>
      <c r="CK19" s="1548"/>
      <c r="CL19" s="1548"/>
      <c r="CM19" s="1548"/>
      <c r="CN19" s="1548"/>
      <c r="CO19" s="1548"/>
      <c r="CP19" s="1548"/>
      <c r="CQ19" s="1548"/>
      <c r="CW19" s="489"/>
      <c r="CX19" s="489"/>
      <c r="CY19" s="489"/>
      <c r="CZ19" s="546"/>
      <c r="DA19" s="546"/>
      <c r="DD19" s="0"/>
      <c r="DE19" s="0"/>
      <c r="DF19" s="0"/>
      <c r="DG19" s="0"/>
      <c r="DH19" s="0"/>
      <c r="DI19" s="0"/>
      <c r="DJ19" s="0"/>
      <c r="DK19" s="0"/>
      <c r="DL19" s="0"/>
      <c r="DM19" s="0"/>
      <c r="DN19" s="0"/>
    </row>
    <row s="1548" customFormat="1" customHeight="1" ht="11.25" hidden="1">
      <c r="A20" s="371"/>
      <c r="E20" s="180"/>
      <c r="G20" s="193"/>
      <c r="H20" s="193"/>
      <c r="I20" s="193"/>
      <c r="J20" s="193"/>
      <c r="K20" s="193"/>
      <c r="L20" s="193"/>
      <c r="M20" s="193"/>
      <c r="N20" s="193"/>
      <c r="O20" s="193"/>
      <c r="P20" s="193"/>
      <c r="Q20" s="193"/>
      <c r="R20" s="193"/>
      <c r="S20" s="193"/>
      <c r="AC20" s="176"/>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W20" s="1548"/>
      <c r="BX20" s="1548"/>
      <c r="BY20" s="1548"/>
      <c r="BZ20" s="1548"/>
      <c r="CA20" s="1548"/>
      <c r="CB20" s="1548"/>
      <c r="CC20" s="1548"/>
      <c r="CD20" s="1548"/>
      <c r="CE20" s="1548"/>
      <c r="CF20" s="1548"/>
      <c r="CG20" s="1548"/>
      <c r="CH20" s="1548"/>
      <c r="CI20" s="1548"/>
      <c r="CJ20" s="1548"/>
      <c r="CK20" s="1548"/>
      <c r="CL20" s="1548"/>
      <c r="CM20" s="1548"/>
      <c r="CN20" s="1548"/>
      <c r="CO20" s="1548"/>
      <c r="CP20" s="1548"/>
      <c r="CQ20" s="1548"/>
      <c r="CW20" s="489"/>
      <c r="CX20" s="489"/>
      <c r="CY20" s="489"/>
      <c r="CZ20" s="546"/>
      <c r="DA20" s="546"/>
      <c r="DD20" s="0"/>
      <c r="DE20" s="0"/>
      <c r="DF20" s="0"/>
      <c r="DG20" s="0"/>
      <c r="DH20" s="0"/>
      <c r="DI20" s="0"/>
      <c r="DJ20" s="0"/>
      <c r="DK20" s="0"/>
      <c r="DL20" s="0"/>
      <c r="DM20" s="0"/>
      <c r="DN20" s="0"/>
    </row>
    <row customHeight="1" ht="14.625">
      <c r="E21" s="180">
        <v>15</v>
      </c>
      <c r="AA21" s="182"/>
      <c r="AB21" s="679"/>
      <c r="AC21" s="278" cm="1" t="str">
        <f t="array" ref="AC21:AC21">tpl_title</f>
        <v>Кемеровская область / 2027 / ООО "КК-ИНВЕСТ" (ИНН:1901133713, КПП:190101001) / ДПР: 2025-2027</v>
      </c>
      <c r="AD21" s="679"/>
      <c r="AE21" s="679"/>
      <c r="AF21" s="679"/>
      <c r="AG21" s="679"/>
      <c r="AH21" s="679"/>
      <c r="AI21" s="679"/>
      <c r="AJ21" s="679"/>
      <c r="AK21" s="679"/>
      <c r="AL21" s="679"/>
      <c r="AM21" s="679"/>
      <c r="AN21" s="679"/>
      <c r="AO21" s="679"/>
      <c r="AP21" s="679"/>
      <c r="AQ21" s="679"/>
      <c r="AR21" s="679"/>
      <c r="AS21" s="679"/>
      <c r="AT21" s="679"/>
      <c r="AU21" s="679"/>
      <c r="AV21" s="679"/>
      <c r="AW21" s="679"/>
      <c r="AX21" s="679"/>
      <c r="AY21" s="679"/>
      <c r="AZ21" s="679"/>
      <c r="BA21" s="679"/>
      <c r="BB21" s="679"/>
      <c r="BC21" s="679"/>
      <c r="BD21" s="679"/>
      <c r="BE21" s="679"/>
      <c r="BF21" s="679"/>
      <c r="BG21" s="679"/>
      <c r="BH21" s="679"/>
      <c r="BI21" s="679"/>
      <c r="BJ21" s="679"/>
      <c r="BK21" s="679"/>
      <c r="BL21" s="679"/>
      <c r="BM21" s="679"/>
      <c r="BN21" s="679"/>
      <c r="BO21" s="679"/>
      <c r="BP21" s="679"/>
      <c r="BQ21" s="679"/>
      <c r="BR21" s="679"/>
      <c r="BS21" s="679"/>
      <c r="BT21" s="679"/>
      <c r="BU21" s="679"/>
      <c r="BV21" s="679"/>
      <c r="BW21" s="679"/>
      <c r="BX21" s="679"/>
      <c r="BY21" s="679"/>
      <c r="BZ21" s="679"/>
      <c r="CA21" s="679"/>
      <c r="CB21" s="679"/>
      <c r="CC21" s="679"/>
      <c r="CD21" s="679"/>
      <c r="CE21" s="679"/>
      <c r="CF21" s="679"/>
      <c r="CG21" s="679"/>
      <c r="CH21" s="679"/>
      <c r="CI21" s="679"/>
      <c r="CJ21" s="679"/>
      <c r="CK21" s="679"/>
      <c r="CL21" s="679"/>
      <c r="CM21" s="679"/>
      <c r="CN21" s="679"/>
      <c r="CO21" s="679"/>
      <c r="CP21" s="679"/>
      <c r="CQ21" s="679"/>
      <c r="CR21" s="679"/>
      <c r="CS21" s="679"/>
      <c r="CT21" s="679"/>
      <c r="CU21" s="679"/>
      <c r="CX21" s="489"/>
      <c r="CY21" s="489"/>
      <c r="CZ21" s="546"/>
      <c r="DA21" s="546"/>
    </row>
    <row s="1659" customFormat="1" customHeight="1" ht="19.5">
      <c r="A22" s="371"/>
      <c r="B22" s="175"/>
      <c r="C22" s="175"/>
      <c r="D22" s="175"/>
      <c r="E22" s="180">
        <v>20</v>
      </c>
      <c r="F22" s="175"/>
      <c r="T22" s="175"/>
      <c r="U22" s="175"/>
      <c r="V22" s="175"/>
      <c r="W22" s="175"/>
      <c r="X22" s="175"/>
      <c r="Y22" s="175"/>
      <c r="Z22" s="175"/>
      <c r="AA22" s="200"/>
      <c r="AB22" s="547" t="s">
        <v>60</v>
      </c>
      <c r="AC22" s="682"/>
      <c r="AD22" s="682"/>
      <c r="AE22" s="682"/>
      <c r="AF22" s="682"/>
      <c r="AG22" s="682"/>
      <c r="AH22" s="682"/>
      <c r="AI22" s="682"/>
      <c r="AJ22" s="682"/>
      <c r="AK22" s="682"/>
      <c r="AL22" s="682"/>
      <c r="AM22" s="682"/>
      <c r="AN22" s="682"/>
      <c r="AO22" s="682"/>
      <c r="AP22" s="682"/>
      <c r="AQ22" s="682"/>
      <c r="AR22" s="682"/>
      <c r="AS22" s="682"/>
      <c r="AT22" s="682"/>
      <c r="AU22" s="682"/>
      <c r="AV22" s="682"/>
      <c r="AW22" s="682"/>
      <c r="AX22" s="682"/>
      <c r="AY22" s="682"/>
      <c r="AZ22" s="682"/>
      <c r="BA22" s="682"/>
      <c r="BB22" s="682"/>
      <c r="BC22" s="682"/>
      <c r="BD22" s="682"/>
      <c r="BE22" s="682"/>
      <c r="BF22" s="682"/>
      <c r="BG22" s="682"/>
      <c r="BH22" s="682"/>
      <c r="BI22" s="682"/>
      <c r="BJ22" s="682"/>
      <c r="BK22" s="682"/>
      <c r="BL22" s="682"/>
      <c r="BM22" s="682"/>
      <c r="BN22" s="682"/>
      <c r="BO22" s="682"/>
      <c r="BP22" s="682"/>
      <c r="BQ22" s="682"/>
      <c r="BR22" s="682"/>
      <c r="BS22" s="682"/>
      <c r="BT22" s="682"/>
      <c r="BU22" s="682"/>
      <c r="BV22" s="682"/>
      <c r="BW22" s="682"/>
      <c r="BX22" s="682"/>
      <c r="BY22" s="682"/>
      <c r="BZ22" s="682"/>
      <c r="CA22" s="682"/>
      <c r="CB22" s="682"/>
      <c r="CC22" s="682"/>
      <c r="CD22" s="682"/>
      <c r="CE22" s="682"/>
      <c r="CF22" s="682"/>
      <c r="CG22" s="682"/>
      <c r="CH22" s="682"/>
      <c r="CI22" s="682"/>
      <c r="CJ22" s="682"/>
      <c r="CK22" s="682"/>
      <c r="CL22" s="682"/>
      <c r="CM22" s="682"/>
      <c r="CN22" s="682"/>
      <c r="CO22" s="682"/>
      <c r="CP22" s="682"/>
      <c r="CQ22" s="682"/>
      <c r="CR22" s="682"/>
      <c r="CS22" s="682"/>
      <c r="CT22" s="682"/>
      <c r="CU22" s="200"/>
      <c r="CW22" s="489"/>
      <c r="CX22" s="489"/>
      <c r="CY22" s="489"/>
      <c r="CZ22" s="546"/>
      <c r="DA22" s="546"/>
      <c r="DD22" s="0"/>
      <c r="DE22" s="0"/>
      <c r="DF22" s="0"/>
      <c r="DG22" s="0"/>
      <c r="DH22" s="0"/>
      <c r="DI22" s="0"/>
      <c r="DJ22" s="0"/>
      <c r="DK22" s="0"/>
      <c r="DL22" s="0"/>
      <c r="DM22" s="0"/>
      <c r="DN22" s="0"/>
    </row>
    <row s="1659" customFormat="1" customHeight="1" ht="9.75">
      <c r="A23" s="371"/>
      <c r="B23" s="175"/>
      <c r="C23" s="175"/>
      <c r="D23" s="175"/>
      <c r="E23" s="180">
        <v>10</v>
      </c>
      <c r="F23" s="175"/>
      <c r="T23" s="175"/>
      <c r="U23" s="175"/>
      <c r="V23" s="175"/>
      <c r="W23" s="175"/>
      <c r="X23" s="175"/>
      <c r="Y23" s="175"/>
      <c r="Z23" s="175"/>
      <c r="AA23" s="200"/>
      <c r="AB23" s="683"/>
      <c r="AC23" s="683"/>
      <c r="AD23" s="683"/>
      <c r="AE23" s="683"/>
      <c r="AF23" s="683"/>
      <c r="AG23" s="683"/>
      <c r="AH23" s="683"/>
      <c r="AI23" s="683"/>
      <c r="AJ23" s="683"/>
      <c r="AK23" s="683"/>
      <c r="AL23" s="683"/>
      <c r="AM23" s="683"/>
      <c r="AN23" s="683"/>
      <c r="AO23" s="683"/>
      <c r="AP23" s="683"/>
      <c r="AQ23" s="683"/>
      <c r="AR23" s="683"/>
      <c r="AS23" s="683"/>
      <c r="AT23" s="683"/>
      <c r="AU23" s="683"/>
      <c r="AV23" s="683"/>
      <c r="AW23" s="683"/>
      <c r="AX23" s="683"/>
      <c r="AY23" s="683"/>
      <c r="AZ23" s="683"/>
      <c r="BA23" s="683"/>
      <c r="BB23" s="683"/>
      <c r="BC23" s="683"/>
      <c r="BD23" s="683"/>
      <c r="BE23" s="683"/>
      <c r="BF23" s="683"/>
      <c r="BG23" s="683"/>
      <c r="BH23" s="683"/>
      <c r="BI23" s="683"/>
      <c r="BJ23" s="683"/>
      <c r="BK23" s="683"/>
      <c r="BL23" s="683"/>
      <c r="BM23" s="683"/>
      <c r="BN23" s="683"/>
      <c r="BO23" s="683"/>
      <c r="BP23" s="683"/>
      <c r="BQ23" s="683"/>
      <c r="BR23" s="683"/>
      <c r="BS23" s="683"/>
      <c r="BT23" s="683"/>
      <c r="BU23" s="683"/>
      <c r="BV23" s="683"/>
      <c r="BW23" s="683"/>
      <c r="BX23" s="683"/>
      <c r="BY23" s="683"/>
      <c r="BZ23" s="683"/>
      <c r="CA23" s="683"/>
      <c r="CB23" s="683"/>
      <c r="CC23" s="683"/>
      <c r="CD23" s="683"/>
      <c r="CE23" s="683"/>
      <c r="CF23" s="683"/>
      <c r="CG23" s="683"/>
      <c r="CH23" s="683"/>
      <c r="CI23" s="683"/>
      <c r="CJ23" s="683"/>
      <c r="CK23" s="683"/>
      <c r="CL23" s="683"/>
      <c r="CM23" s="683"/>
      <c r="CN23" s="683"/>
      <c r="CO23" s="683"/>
      <c r="CP23" s="683"/>
      <c r="CQ23" s="683"/>
      <c r="CR23" s="683"/>
      <c r="CS23" s="683"/>
      <c r="CT23" s="683"/>
      <c r="CU23" s="200"/>
      <c r="CW23" s="489"/>
      <c r="CX23" s="489"/>
      <c r="CY23" s="489"/>
      <c r="CZ23" s="546"/>
      <c r="DA23" s="546"/>
      <c r="DD23" s="0"/>
      <c r="DE23" s="0"/>
      <c r="DF23" s="0"/>
      <c r="DG23" s="0"/>
      <c r="DH23" s="0"/>
      <c r="DI23" s="0"/>
      <c r="DJ23" s="0"/>
      <c r="DK23" s="0"/>
      <c r="DL23" s="0"/>
      <c r="DM23" s="0"/>
      <c r="DN23" s="0"/>
    </row>
    <row s="308" customFormat="1" customHeight="1" ht="24.375">
      <c r="A24" s="371"/>
      <c r="B24" s="176"/>
      <c r="C24" s="176"/>
      <c r="D24" s="176"/>
      <c r="E24" s="284">
        <v>25</v>
      </c>
      <c r="F24" s="176"/>
      <c r="T24" s="176"/>
      <c r="U24" s="176"/>
      <c r="V24" s="176"/>
      <c r="W24" s="176"/>
      <c r="X24" s="176"/>
      <c r="Y24" s="176"/>
      <c r="Z24" s="176"/>
      <c r="AA24" s="681"/>
      <c r="AB24" s="1679" t="s">
        <v>355</v>
      </c>
      <c r="AC24" s="1679" t="s">
        <v>412</v>
      </c>
      <c r="AD24" s="1679" t="s">
        <v>413</v>
      </c>
      <c r="AE24" s="684" t="str">
        <f>god-2&amp;" год"</f>
        <v>2025 год</v>
      </c>
      <c r="AF24" s="685" t="str">
        <f>god-2&amp;" год"</f>
        <v>2025 год</v>
      </c>
      <c r="AG24" s="684" t="str">
        <f>god-2&amp;" год"</f>
        <v>2025 год</v>
      </c>
      <c r="AH24" s="684" t="str">
        <f>god-2&amp;" год"</f>
        <v>2025 год</v>
      </c>
      <c r="AI24" s="384" t="str">
        <f>god-1&amp;" год"</f>
        <v>2026 год</v>
      </c>
      <c r="AJ24" s="329" t="str">
        <f>god&amp;" год"</f>
        <v>2027 год</v>
      </c>
      <c r="AK24" s="329" t="str">
        <f>god+1&amp;" год"</f>
        <v>2028 год</v>
      </c>
      <c r="AL24" s="329" t="str">
        <f>god+2&amp;" год"</f>
        <v>2029 год</v>
      </c>
      <c r="AM24" s="329" t="str">
        <f>god+3&amp;" год"</f>
        <v>2030 год</v>
      </c>
      <c r="AN24" s="329" t="str">
        <f>god+4&amp;" год"</f>
        <v>2031 год</v>
      </c>
      <c r="AO24" s="329" t="str">
        <f>god+5&amp;" год"</f>
        <v>2032 год</v>
      </c>
      <c r="AP24" s="329" t="str">
        <f>god+6&amp;" год"</f>
        <v>2033 год</v>
      </c>
      <c r="AQ24" s="329" t="str">
        <f>god+7&amp;" год"</f>
        <v>2034 год</v>
      </c>
      <c r="AR24" s="329" t="str">
        <f>god+8&amp;" год"</f>
        <v>2035 год</v>
      </c>
      <c r="AS24" s="329" t="str">
        <f>god+9&amp;" год"</f>
        <v>2036 год</v>
      </c>
      <c r="AT24" s="329" t="str">
        <f>god+10&amp;" год"</f>
        <v>2037 год</v>
      </c>
      <c r="AU24" s="329" t="str">
        <f>god+11&amp;" год"</f>
        <v>2038 год</v>
      </c>
      <c r="AV24" s="329" t="str">
        <f>god+12&amp;" год"</f>
        <v>2039 год</v>
      </c>
      <c r="AW24" s="329" t="str">
        <f>god+13&amp;" год"</f>
        <v>2040 год</v>
      </c>
      <c r="AX24" s="329" t="str">
        <f>god+14&amp;" год"</f>
        <v>2041 год</v>
      </c>
      <c r="AY24" s="329" t="str">
        <f>god+15&amp;" год"</f>
        <v>2042 год</v>
      </c>
      <c r="AZ24" s="329" t="str">
        <f>god+16&amp;" год"</f>
        <v>2043 год</v>
      </c>
      <c r="BA24" s="329" t="str">
        <f>god+17&amp;" год"</f>
        <v>2044 год</v>
      </c>
      <c r="BB24" s="329" t="str">
        <f>god+18&amp;" год"</f>
        <v>2045 год</v>
      </c>
      <c r="BC24" s="329" t="str">
        <f>god+19&amp;" год"</f>
        <v>2046 год</v>
      </c>
      <c r="BD24" s="328" t="str">
        <f>god&amp;" год"</f>
        <v>2027 год</v>
      </c>
      <c r="BE24" s="328" t="str">
        <f>god+1&amp;" год"</f>
        <v>2028 год</v>
      </c>
      <c r="BF24" s="328" t="str">
        <f>god+2&amp;" год"</f>
        <v>2029 год</v>
      </c>
      <c r="BG24" s="328" t="str">
        <f>god+3&amp;" год"</f>
        <v>2030 год</v>
      </c>
      <c r="BH24" s="328" t="str">
        <f>god+4&amp;" год"</f>
        <v>2031 год</v>
      </c>
      <c r="BI24" s="328" t="str">
        <f>god+5&amp;" год"</f>
        <v>2032 год</v>
      </c>
      <c r="BJ24" s="328" t="str">
        <f>god+6&amp;" год"</f>
        <v>2033 год</v>
      </c>
      <c r="BK24" s="328" t="str">
        <f>god+7&amp;" год"</f>
        <v>2034 год</v>
      </c>
      <c r="BL24" s="328" t="str">
        <f>god+8&amp;" год"</f>
        <v>2035 год</v>
      </c>
      <c r="BM24" s="328" t="str">
        <f>god+9&amp;" год"</f>
        <v>2036 год</v>
      </c>
      <c r="BN24" s="328" t="str">
        <f>god+10&amp;" год"</f>
        <v>2037 год</v>
      </c>
      <c r="BO24" s="328" t="str">
        <f>god+11&amp;" год"</f>
        <v>2038 год</v>
      </c>
      <c r="BP24" s="328" t="str">
        <f>god+12&amp;" год"</f>
        <v>2039 год</v>
      </c>
      <c r="BQ24" s="328" t="str">
        <f>god+13&amp;" год"</f>
        <v>2040 год</v>
      </c>
      <c r="BR24" s="328" t="str">
        <f>god+14&amp;" год"</f>
        <v>2041 год</v>
      </c>
      <c r="BS24" s="328" t="str">
        <f>god+15&amp;" год"</f>
        <v>2042 год</v>
      </c>
      <c r="BT24" s="328" t="str">
        <f>god+16&amp;" год"</f>
        <v>2043 год</v>
      </c>
      <c r="BU24" s="328" t="str">
        <f>god+17&amp;" год"</f>
        <v>2044 год</v>
      </c>
      <c r="BV24" s="328" t="str">
        <f>god+18&amp;" год"</f>
        <v>2045 год</v>
      </c>
      <c r="BW24" s="328" t="str">
        <f>god+19&amp;" год"</f>
        <v>2046 год</v>
      </c>
      <c r="BX24" s="328" t="str">
        <f>god&amp;" год"</f>
        <v>2027 год</v>
      </c>
      <c r="BY24" s="328" t="str">
        <f>god+1&amp;" год"</f>
        <v>2028 год</v>
      </c>
      <c r="BZ24" s="328" t="str">
        <f>god+2&amp;" год"</f>
        <v>2029 год</v>
      </c>
      <c r="CA24" s="328" t="str">
        <f>god+3&amp;" год"</f>
        <v>2030 год</v>
      </c>
      <c r="CB24" s="328" t="str">
        <f>god+4&amp;" год"</f>
        <v>2031 год</v>
      </c>
      <c r="CC24" s="328" t="str">
        <f>god+5&amp;" год"</f>
        <v>2032 год</v>
      </c>
      <c r="CD24" s="328" t="str">
        <f>god+6&amp;" год"</f>
        <v>2033 год</v>
      </c>
      <c r="CE24" s="328" t="str">
        <f>god+7&amp;" год"</f>
        <v>2034 год</v>
      </c>
      <c r="CF24" s="328" t="str">
        <f>god+8&amp;" год"</f>
        <v>2035 год</v>
      </c>
      <c r="CG24" s="328" t="str">
        <f>god+9&amp;" год"</f>
        <v>2036 год</v>
      </c>
      <c r="CH24" s="328" t="str">
        <f>god+10&amp;" год"</f>
        <v>2037 год</v>
      </c>
      <c r="CI24" s="328" t="str">
        <f>god+11&amp;" год"</f>
        <v>2038 год</v>
      </c>
      <c r="CJ24" s="328" t="str">
        <f>god+12&amp;" год"</f>
        <v>2039 год</v>
      </c>
      <c r="CK24" s="328" t="str">
        <f>god+13&amp;" год"</f>
        <v>2040 год</v>
      </c>
      <c r="CL24" s="328" t="str">
        <f>god+14&amp;" год"</f>
        <v>2041 год</v>
      </c>
      <c r="CM24" s="328" t="str">
        <f>god+15&amp;" год"</f>
        <v>2042 год</v>
      </c>
      <c r="CN24" s="328" t="str">
        <f>god+16&amp;" год"</f>
        <v>2043 год</v>
      </c>
      <c r="CO24" s="328" t="str">
        <f>god+17&amp;" год"</f>
        <v>2044 год</v>
      </c>
      <c r="CP24" s="328" t="str">
        <f>god+18&amp;" год"</f>
        <v>2045 год</v>
      </c>
      <c r="CQ24" s="328" t="str">
        <f>god+19&amp;" год"</f>
        <v>2046 год</v>
      </c>
      <c r="CR24" s="1678" t="s">
        <v>1546</v>
      </c>
      <c r="CS24" s="1678" t="s">
        <v>625</v>
      </c>
      <c r="CT24" s="1678" t="s">
        <v>1547</v>
      </c>
      <c r="CU24" s="681"/>
      <c r="CW24" s="489"/>
      <c r="CX24" s="489"/>
      <c r="CY24" s="489"/>
      <c r="CZ24" s="546"/>
      <c r="DA24" s="546"/>
      <c r="DD24" s="0"/>
      <c r="DE24" s="0"/>
      <c r="DF24" s="0"/>
      <c r="DG24" s="0"/>
      <c r="DH24" s="0"/>
      <c r="DI24" s="0"/>
      <c r="DJ24" s="0"/>
      <c r="DK24" s="0"/>
      <c r="DL24" s="0"/>
      <c r="DM24" s="0"/>
      <c r="DN24" s="0"/>
    </row>
    <row s="308" customFormat="1" customHeight="1" ht="45.824999999999996">
      <c r="A25" s="371"/>
      <c r="B25" s="176"/>
      <c r="C25" s="176"/>
      <c r="D25" s="176"/>
      <c r="E25" s="284">
        <v>47</v>
      </c>
      <c r="F25" s="176"/>
      <c r="T25" s="176"/>
      <c r="U25" s="176"/>
      <c r="V25" s="176"/>
      <c r="W25" s="176"/>
      <c r="X25" s="176"/>
      <c r="Y25" s="176"/>
      <c r="Z25" s="176"/>
      <c r="AA25" s="681"/>
      <c r="AB25" s="1679"/>
      <c r="AC25" s="1679"/>
      <c r="AD25" s="1679"/>
      <c r="AE25" s="384" t="s">
        <v>415</v>
      </c>
      <c r="AF25" s="382" t="s">
        <v>626</v>
      </c>
      <c r="AG25" s="384" t="s">
        <v>627</v>
      </c>
      <c r="AH25" s="684" t="s">
        <v>1134</v>
      </c>
      <c r="AI25" s="384" t="s">
        <v>415</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331" t="s">
        <v>416</v>
      </c>
      <c r="AZ25" s="331" t="s">
        <v>416</v>
      </c>
      <c r="BA25" s="331" t="s">
        <v>416</v>
      </c>
      <c r="BB25" s="331" t="s">
        <v>416</v>
      </c>
      <c r="BC25" s="331" t="s">
        <v>416</v>
      </c>
      <c r="BD25" s="424" t="s">
        <v>415</v>
      </c>
      <c r="BE25" s="424" t="s">
        <v>415</v>
      </c>
      <c r="BF25" s="424" t="s">
        <v>415</v>
      </c>
      <c r="BG25" s="424" t="s">
        <v>415</v>
      </c>
      <c r="BH25" s="424" t="s">
        <v>415</v>
      </c>
      <c r="BI25" s="424" t="s">
        <v>415</v>
      </c>
      <c r="BJ25" s="424" t="s">
        <v>415</v>
      </c>
      <c r="BK25" s="424" t="s">
        <v>415</v>
      </c>
      <c r="BL25" s="424" t="s">
        <v>415</v>
      </c>
      <c r="BM25" s="424" t="s">
        <v>415</v>
      </c>
      <c r="BN25" s="424" t="s">
        <v>415</v>
      </c>
      <c r="BO25" s="424" t="s">
        <v>415</v>
      </c>
      <c r="BP25" s="424" t="s">
        <v>415</v>
      </c>
      <c r="BQ25" s="424" t="s">
        <v>415</v>
      </c>
      <c r="BR25" s="424" t="s">
        <v>415</v>
      </c>
      <c r="BS25" s="424" t="s">
        <v>415</v>
      </c>
      <c r="BT25" s="424" t="s">
        <v>415</v>
      </c>
      <c r="BU25" s="424" t="s">
        <v>415</v>
      </c>
      <c r="BV25" s="424" t="s">
        <v>415</v>
      </c>
      <c r="BW25" s="424" t="s">
        <v>415</v>
      </c>
      <c r="BX25" s="1678" t="s">
        <v>1548</v>
      </c>
      <c r="BY25" s="1678"/>
      <c r="BZ25" s="1678"/>
      <c r="CA25" s="1678"/>
      <c r="CB25" s="1678"/>
      <c r="CC25" s="1678"/>
      <c r="CD25" s="1678"/>
      <c r="CE25" s="1678"/>
      <c r="CF25" s="1678"/>
      <c r="CG25" s="1678"/>
      <c r="CH25" s="1678"/>
      <c r="CI25" s="1678"/>
      <c r="CJ25" s="1678"/>
      <c r="CK25" s="1678"/>
      <c r="CL25" s="1678"/>
      <c r="CM25" s="1678"/>
      <c r="CN25" s="1678"/>
      <c r="CO25" s="1678"/>
      <c r="CP25" s="1678"/>
      <c r="CQ25" s="1678"/>
      <c r="CR25" s="1678"/>
      <c r="CS25" s="1678"/>
      <c r="CT25" s="1678"/>
      <c r="CU25" s="681"/>
      <c r="CW25" s="489"/>
      <c r="CX25" s="489"/>
      <c r="CY25" s="489"/>
      <c r="CZ25" s="546"/>
      <c r="DA25" s="546"/>
      <c r="DD25" s="0"/>
      <c r="DE25" s="0"/>
      <c r="DF25" s="0"/>
      <c r="DG25" s="0"/>
      <c r="DH25" s="0"/>
      <c r="DI25" s="0"/>
      <c r="DJ25" s="0"/>
      <c r="DK25" s="0"/>
      <c r="DL25" s="0"/>
      <c r="DM25" s="0"/>
      <c r="DN25" s="0"/>
    </row>
    <row s="308" customFormat="1" customHeight="1" ht="18.75" hidden="1">
      <c r="A26" s="371"/>
      <c r="B26" s="176"/>
      <c r="C26" s="176"/>
      <c r="D26" s="176"/>
      <c r="E26" s="966">
        <v>0</v>
      </c>
      <c r="F26" s="176"/>
      <c r="T26" s="176"/>
      <c r="U26" s="176"/>
      <c r="V26" s="176"/>
      <c r="W26" s="176"/>
      <c r="X26" s="176"/>
      <c r="Y26" s="176"/>
      <c r="Z26" s="176"/>
      <c r="AA26" s="681"/>
      <c r="AB26" s="687"/>
      <c r="AC26" s="687"/>
      <c r="AD26" s="687"/>
      <c r="AE26" s="279"/>
      <c r="AF26" s="279"/>
      <c r="AG26" s="279"/>
      <c r="AH26" s="680"/>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680"/>
      <c r="BY26" s="680"/>
      <c r="BZ26" s="680"/>
      <c r="CA26" s="680"/>
      <c r="CB26" s="680"/>
      <c r="CC26" s="680"/>
      <c r="CD26" s="680"/>
      <c r="CE26" s="680"/>
      <c r="CF26" s="680"/>
      <c r="CG26" s="680"/>
      <c r="CH26" s="680"/>
      <c r="CI26" s="680"/>
      <c r="CJ26" s="680"/>
      <c r="CK26" s="680"/>
      <c r="CL26" s="680"/>
      <c r="CM26" s="680"/>
      <c r="CN26" s="680"/>
      <c r="CO26" s="680"/>
      <c r="CP26" s="680"/>
      <c r="CQ26" s="680"/>
      <c r="CR26" s="680"/>
      <c r="CS26" s="680"/>
      <c r="CT26" s="680"/>
      <c r="CU26" s="681"/>
      <c r="CW26" s="489"/>
      <c r="CX26" s="489"/>
      <c r="CY26" s="489"/>
      <c r="CZ26" s="546"/>
      <c r="DA26" s="546"/>
      <c r="DD26" s="0"/>
      <c r="DE26" s="0"/>
      <c r="DF26" s="0"/>
      <c r="DG26" s="0"/>
      <c r="DH26" s="0"/>
      <c r="DI26" s="0"/>
      <c r="DJ26" s="0"/>
      <c r="DK26" s="0"/>
      <c r="DL26" s="0"/>
      <c r="DM26" s="0"/>
      <c r="DN26" s="0"/>
    </row>
    <row s="969" customFormat="1" customHeight="1" ht="18.525" hidden="1">
      <c r="E27" s="180">
        <v>19</v>
      </c>
      <c r="F27" s="175" cm="1" t="str">
        <f t="array" ref="F27:F27">X27</f>
        <v>0</v>
      </c>
      <c r="G27" s="193" cm="1" t="str">
        <f t="array" ref="G27:G27">INDEX('Общие сведения'!$AK$169:$AK$202,MATCH($F27,'Общие сведения'!$Y$169:$Y$202,0))</f>
        <v>0</v>
      </c>
      <c r="I27" s="193" cm="1" t="str">
        <f t="array" ref="I27:I27">INDEX('Общие сведения'!$AE$169:$AE$202,MATCH($F27,'Общие сведения'!$Y$169:$Y$202,0))</f>
        <v>Теплоснабжение</v>
      </c>
      <c r="T27" s="753">
        <f>AND(F27,OR(ISBLANK(Y27),Y27))</f>
        <v>0</v>
      </c>
      <c r="V27" s="175" t="s">
        <v>266</v>
      </c>
      <c r="X27" s="175">
        <v>0</v>
      </c>
      <c r="AB27" s="688" cm="1" t="str">
        <f t="array" ref="AB27:AB27">INDEX('Общие сведения'!$AG$169:$AG$202,MATCH($F27,'Общие сведения'!$Y$169:$Y$202,0))</f>
        <v>Тариф 0 (Теплоснабжение) - </v>
      </c>
      <c r="AC27" s="334"/>
      <c r="AD27" s="334"/>
      <c r="AE27" s="334"/>
      <c r="AF27" s="334"/>
      <c r="AG27" s="334"/>
      <c r="AH27" s="334"/>
      <c r="AI27" s="334"/>
      <c r="AJ27" s="334"/>
      <c r="AK27" s="334"/>
      <c r="AL27" s="334"/>
      <c r="AM27" s="334"/>
      <c r="AN27" s="334"/>
      <c r="AO27" s="334"/>
      <c r="AP27" s="334"/>
      <c r="AQ27" s="334"/>
      <c r="AR27" s="334"/>
      <c r="AS27" s="334"/>
      <c r="AT27" s="334"/>
      <c r="AU27" s="334"/>
      <c r="AV27" s="334"/>
      <c r="AW27" s="334"/>
      <c r="AX27" s="334"/>
      <c r="AY27" s="334"/>
      <c r="AZ27" s="334"/>
      <c r="BA27" s="334"/>
      <c r="BB27" s="334"/>
      <c r="BC27" s="334"/>
      <c r="BD27" s="334"/>
      <c r="BE27" s="334"/>
      <c r="BF27" s="334"/>
      <c r="BG27" s="334"/>
      <c r="BH27" s="334"/>
      <c r="BI27" s="334"/>
      <c r="BJ27" s="334"/>
      <c r="BK27" s="334"/>
      <c r="BL27" s="334"/>
      <c r="BM27" s="334"/>
      <c r="BN27" s="334"/>
      <c r="BO27" s="334"/>
      <c r="BP27" s="334"/>
      <c r="BQ27" s="334"/>
      <c r="BR27" s="334"/>
      <c r="BS27" s="334"/>
      <c r="BT27" s="334"/>
      <c r="BU27" s="334"/>
      <c r="BV27" s="334"/>
      <c r="BW27" s="334"/>
      <c r="BX27" s="334"/>
      <c r="BY27" s="334"/>
      <c r="BZ27" s="334"/>
      <c r="CA27" s="334"/>
      <c r="CB27" s="334"/>
      <c r="CC27" s="334"/>
      <c r="CD27" s="334"/>
      <c r="CE27" s="334"/>
      <c r="CF27" s="334"/>
      <c r="CG27" s="334"/>
      <c r="CH27" s="334"/>
      <c r="CI27" s="334"/>
      <c r="CJ27" s="334"/>
      <c r="CK27" s="334"/>
      <c r="CL27" s="334"/>
      <c r="CM27" s="334"/>
      <c r="CN27" s="334"/>
      <c r="CO27" s="334"/>
      <c r="CP27" s="334"/>
      <c r="CQ27" s="334"/>
      <c r="CR27" s="334"/>
      <c r="CS27" s="334"/>
      <c r="CT27" s="334"/>
      <c r="CW27" s="489"/>
      <c r="CX27" s="489"/>
      <c r="CY27" s="489"/>
      <c r="CZ27" s="546"/>
      <c r="DA27" s="546"/>
    </row>
    <row s="969" customFormat="1" customHeight="1" ht="13.649999999999999" hidden="1">
      <c r="E28" s="180">
        <v>14</v>
      </c>
      <c r="F28" s="175" cm="1" t="str">
        <f t="array" ref="F28:F28">OFFSET(G28,-1,-1)</f>
        <v>0</v>
      </c>
      <c r="G28" s="193" t="s">
        <v>1628</v>
      </c>
      <c r="K28" s="193" t="str">
        <f>F28&amp;"komm"</f>
        <v>0komm</v>
      </c>
      <c r="L28" s="308" cm="1" t="str">
        <f t="array" ref="L28:L28">CS28</f>
        <v>0</v>
      </c>
      <c r="T28" s="753">
        <f>AND(F28,OR(ISBLANK(Y28),Y28))</f>
        <v>0</v>
      </c>
      <c r="AB28" s="1680" t="s">
        <v>1629</v>
      </c>
      <c r="AC28" s="1681"/>
      <c r="AD28" s="663" t="s">
        <v>917</v>
      </c>
      <c r="AE28" s="692" cm="1" t="str">
        <f t="array" ref="AE28:AE28">AE48</f>
        <v>0</v>
      </c>
      <c r="AF28" s="692" cm="1" t="str">
        <f t="array" ref="AF28:AF28">AF48</f>
        <v>0</v>
      </c>
      <c r="AG28" s="692" cm="1" t="str">
        <f t="array" ref="AG28:AG28">AG48</f>
        <v>0</v>
      </c>
      <c r="AH28" s="692" cm="1" t="str">
        <f t="array" ref="AH28:AH28">AH48</f>
        <v>0</v>
      </c>
      <c r="AI28" s="692" cm="1" t="str">
        <f t="array" ref="AI28:AI28">AI48</f>
        <v>0</v>
      </c>
      <c r="AJ28" s="692" cm="1" t="str">
        <f t="array" ref="AJ28:AJ28">AJ48</f>
        <v>0</v>
      </c>
      <c r="AK28" s="692" cm="1" t="str">
        <f t="array" ref="AK28:AK28">AK48</f>
        <v>0</v>
      </c>
      <c r="AL28" s="692" cm="1" t="str">
        <f t="array" ref="AL28:AL28">AL48</f>
        <v>0</v>
      </c>
      <c r="AM28" s="692" cm="1" t="str">
        <f t="array" ref="AM28:AM28">AM48</f>
        <v>0</v>
      </c>
      <c r="AN28" s="692" cm="1" t="str">
        <f t="array" ref="AN28:AN28">AN48</f>
        <v>0</v>
      </c>
      <c r="AO28" s="692" cm="1" t="str">
        <f t="array" ref="AO28:AO28">AO48</f>
        <v>0</v>
      </c>
      <c r="AP28" s="692" cm="1" t="str">
        <f t="array" ref="AP28:AP28">AP48</f>
        <v>0</v>
      </c>
      <c r="AQ28" s="692" cm="1" t="str">
        <f t="array" ref="AQ28:AQ28">AQ48</f>
        <v>0</v>
      </c>
      <c r="AR28" s="692" cm="1" t="str">
        <f t="array" ref="AR28:AR28">AR48</f>
        <v>0</v>
      </c>
      <c r="AS28" s="692" cm="1" t="str">
        <f t="array" ref="AS28:AS28">AS48</f>
        <v>0</v>
      </c>
      <c r="AT28" s="692" cm="1" t="str">
        <f t="array" ref="AT28:AT28">AT48</f>
        <v>0</v>
      </c>
      <c r="AU28" s="692" cm="1" t="str">
        <f t="array" ref="AU28:AU28">AU48</f>
        <v>0</v>
      </c>
      <c r="AV28" s="692" cm="1" t="str">
        <f t="array" ref="AV28:AV28">AV48</f>
        <v>0</v>
      </c>
      <c r="AW28" s="692" cm="1" t="str">
        <f t="array" ref="AW28:AW28">AW48</f>
        <v>0</v>
      </c>
      <c r="AX28" s="692" cm="1" t="str">
        <f t="array" ref="AX28:AX28">AX48</f>
        <v>0</v>
      </c>
      <c r="AY28" s="692" cm="1" t="str">
        <f t="array" ref="AY28:AY28">AY48</f>
        <v>0</v>
      </c>
      <c r="AZ28" s="692" cm="1" t="str">
        <f t="array" ref="AZ28:AZ28">AZ48</f>
        <v>0</v>
      </c>
      <c r="BA28" s="692" cm="1" t="str">
        <f t="array" ref="BA28:BA28">BA48</f>
        <v>0</v>
      </c>
      <c r="BB28" s="692" cm="1" t="str">
        <f t="array" ref="BB28:BB28">BB48</f>
        <v>0</v>
      </c>
      <c r="BC28" s="692" cm="1" t="str">
        <f t="array" ref="BC28:BC28">BC48</f>
        <v>0</v>
      </c>
      <c r="BD28" s="692" cm="1" t="str">
        <f t="array" ref="BD28:BD28">BD48</f>
        <v>0</v>
      </c>
      <c r="BE28" s="692" cm="1" t="str">
        <f t="array" ref="BE28:BE28">BE48</f>
        <v>0</v>
      </c>
      <c r="BF28" s="692" cm="1" t="str">
        <f t="array" ref="BF28:BF28">BF48</f>
        <v>0</v>
      </c>
      <c r="BG28" s="692" cm="1" t="str">
        <f t="array" ref="BG28:BG28">BG48</f>
        <v>0</v>
      </c>
      <c r="BH28" s="692" cm="1" t="str">
        <f t="array" ref="BH28:BH28">BH48</f>
        <v>0</v>
      </c>
      <c r="BI28" s="692" cm="1" t="str">
        <f t="array" ref="BI28:BI28">BI48</f>
        <v>0</v>
      </c>
      <c r="BJ28" s="692" cm="1" t="str">
        <f t="array" ref="BJ28:BJ28">BJ48</f>
        <v>0</v>
      </c>
      <c r="BK28" s="692" cm="1" t="str">
        <f t="array" ref="BK28:BK28">BK48</f>
        <v>0</v>
      </c>
      <c r="BL28" s="692" cm="1" t="str">
        <f t="array" ref="BL28:BL28">BL48</f>
        <v>0</v>
      </c>
      <c r="BM28" s="692" cm="1" t="str">
        <f t="array" ref="BM28:BM28">BM48</f>
        <v>0</v>
      </c>
      <c r="BN28" s="692" cm="1" t="str">
        <f t="array" ref="BN28:BN28">BN48</f>
        <v>0</v>
      </c>
      <c r="BO28" s="692" cm="1" t="str">
        <f t="array" ref="BO28:BO28">BO48</f>
        <v>0</v>
      </c>
      <c r="BP28" s="692" cm="1" t="str">
        <f t="array" ref="BP28:BP28">BP48</f>
        <v>0</v>
      </c>
      <c r="BQ28" s="692" cm="1" t="str">
        <f t="array" ref="BQ28:BQ28">BQ48</f>
        <v>0</v>
      </c>
      <c r="BR28" s="692" cm="1" t="str">
        <f t="array" ref="BR28:BR28">BR48</f>
        <v>0</v>
      </c>
      <c r="BS28" s="692" cm="1" t="str">
        <f t="array" ref="BS28:BS28">BS48</f>
        <v>0</v>
      </c>
      <c r="BT28" s="692" cm="1" t="str">
        <f t="array" ref="BT28:BT28">BT48</f>
        <v>0</v>
      </c>
      <c r="BU28" s="692" cm="1" t="str">
        <f t="array" ref="BU28:BU28">BU48</f>
        <v>0</v>
      </c>
      <c r="BV28" s="692" cm="1" t="str">
        <f t="array" ref="BV28:BV28">BV48</f>
        <v>0</v>
      </c>
      <c r="BW28" s="692" cm="1" t="str">
        <f t="array" ref="BW28:BW28">BW48</f>
        <v>0</v>
      </c>
      <c r="BX28" s="692" cm="1" t="str">
        <f t="array" ref="BX28:BX28">BX48</f>
        <v>0</v>
      </c>
      <c r="BY28" s="692" cm="1" t="str">
        <f t="array" ref="BY28:BY28">BY48</f>
        <v>0</v>
      </c>
      <c r="BZ28" s="692" cm="1" t="str">
        <f t="array" ref="BZ28:BZ28">BZ48</f>
        <v>0</v>
      </c>
      <c r="CA28" s="692" cm="1" t="str">
        <f t="array" ref="CA28:CA28">CA48</f>
        <v>0</v>
      </c>
      <c r="CB28" s="692" cm="1" t="str">
        <f t="array" ref="CB28:CB28">CB48</f>
        <v>0</v>
      </c>
      <c r="CC28" s="692" cm="1" t="str">
        <f t="array" ref="CC28:CC28">CC48</f>
        <v>0</v>
      </c>
      <c r="CD28" s="692" cm="1" t="str">
        <f t="array" ref="CD28:CD28">CD48</f>
        <v>0</v>
      </c>
      <c r="CE28" s="692" cm="1" t="str">
        <f t="array" ref="CE28:CE28">CE48</f>
        <v>0</v>
      </c>
      <c r="CF28" s="692" cm="1" t="str">
        <f t="array" ref="CF28:CF28">CF48</f>
        <v>0</v>
      </c>
      <c r="CG28" s="692" cm="1" t="str">
        <f t="array" ref="CG28:CG28">CG48</f>
        <v>0</v>
      </c>
      <c r="CH28" s="692" cm="1" t="str">
        <f t="array" ref="CH28:CH28">CH48</f>
        <v>0</v>
      </c>
      <c r="CI28" s="692" cm="1" t="str">
        <f t="array" ref="CI28:CI28">CI48</f>
        <v>0</v>
      </c>
      <c r="CJ28" s="692" cm="1" t="str">
        <f t="array" ref="CJ28:CJ28">CJ48</f>
        <v>0</v>
      </c>
      <c r="CK28" s="692" cm="1" t="str">
        <f t="array" ref="CK28:CK28">CK48</f>
        <v>0</v>
      </c>
      <c r="CL28" s="692" cm="1" t="str">
        <f t="array" ref="CL28:CL28">CL48</f>
        <v>0</v>
      </c>
      <c r="CM28" s="692" cm="1" t="str">
        <f t="array" ref="CM28:CM28">CM48</f>
        <v>0</v>
      </c>
      <c r="CN28" s="692" cm="1" t="str">
        <f t="array" ref="CN28:CN28">CN48</f>
        <v>0</v>
      </c>
      <c r="CO28" s="692" cm="1" t="str">
        <f t="array" ref="CO28:CO28">CO48</f>
        <v>0</v>
      </c>
      <c r="CP28" s="692" cm="1" t="str">
        <f t="array" ref="CP28:CP28">CP48</f>
        <v>0</v>
      </c>
      <c r="CQ28" s="692" cm="1" t="str">
        <f t="array" ref="CQ28:CQ28">CQ48</f>
        <v>0</v>
      </c>
      <c r="CR28" s="83"/>
      <c r="CS28" s="83"/>
      <c r="CT28" s="83"/>
      <c r="CW28" s="489" t="s">
        <v>1630</v>
      </c>
      <c r="CX28" s="489"/>
      <c r="CY28" s="489"/>
      <c r="CZ28" s="546"/>
      <c r="DA28" s="546"/>
      <c r="DB28" s="489" t="s">
        <v>1630</v>
      </c>
      <c r="DD28" s="1501" cm="1" t="str">
        <f t="array" ref="DD28:DD28">INDEX('Общие сведения'!$N$170:$N$202,MATCH($F28,'Общие сведения'!$Y$170:$Y$202,0)+1)</f>
        <v>0</v>
      </c>
      <c r="DE28" s="1501"/>
      <c r="DF28" s="1501"/>
      <c r="DG28" s="1501"/>
      <c r="DH28" s="1501"/>
      <c r="DI28" s="1501"/>
      <c r="DJ28" s="1501"/>
      <c r="DK28" s="1501" t="s">
        <v>219</v>
      </c>
      <c r="DL28" s="1501"/>
      <c r="DM28" s="1501" t="s">
        <v>303</v>
      </c>
      <c r="DN28" s="1501" t="s">
        <v>1631</v>
      </c>
      <c r="DO28" s="1504" t="s">
        <v>1632</v>
      </c>
    </row>
    <row customHeight="1" ht="27.299999999999997" hidden="1">
      <c r="E29" s="180">
        <v>28</v>
      </c>
      <c r="F29" s="175" cm="1" t="str">
        <f t="array" ref="F29:F29">OFFSET(G29,-1,-1)</f>
        <v>0</v>
      </c>
      <c r="G29" s="193" t="s">
        <v>1386</v>
      </c>
      <c r="T29" s="753">
        <f>AND(F29,OR(ISBLANK(Y29),Y29))</f>
        <v>0</v>
      </c>
      <c r="AB29" s="491">
        <v>1.1</v>
      </c>
      <c r="AC29" s="505" t="s">
        <v>48</v>
      </c>
      <c r="AD29" s="491" t="s">
        <v>917</v>
      </c>
      <c r="AE29" s="746">
        <f>_xlfn.SUMIFS('Покупка услуг'!AF$26:AF$65,'Покупка услуг'!$F$26:$F$65,$F29,'Покупка услуг'!$G$26:$G$65,$G29)</f>
        <v>0</v>
      </c>
      <c r="AF29" s="746">
        <f>_xlfn.SUMIFS('Покупка услуг'!AG$26:AG$65,'Покупка услуг'!$F$26:$F$65,$F29,'Покупка услуг'!$G$26:$G$65,$G29)</f>
        <v>0</v>
      </c>
      <c r="AG29" s="746">
        <f>_xlfn.SUMIFS('Покупка услуг'!AH$26:AH$65,'Покупка услуг'!$F$26:$F$65,$F29,'Покупка услуг'!$G$26:$G$65,$G29)</f>
        <v>0</v>
      </c>
      <c r="AH29" s="695">
        <f>AG29-AF29</f>
        <v>0</v>
      </c>
      <c r="AI29" s="746">
        <f>_xlfn.SUMIFS('Покупка услуг'!AI$26:AI$65,'Покупка услуг'!$F$26:$F$65,$F29,'Покупка услуг'!$G$26:$G$65,$G29)</f>
        <v>0</v>
      </c>
      <c r="AJ29" s="746">
        <f>_xlfn.SUMIFS('Покупка услуг'!AJ$26:AJ$65,'Покупка услуг'!$F$26:$F$65,$F29,'Покупка услуг'!$G$26:$G$65,$G29)</f>
        <v>0</v>
      </c>
      <c r="AK29" s="746">
        <f>_xlfn.SUMIFS('Покупка услуг'!AK$26:AK$65,'Покупка услуг'!$F$26:$F$65,$F29,'Покупка услуг'!$G$26:$G$65,$G29)</f>
        <v>0</v>
      </c>
      <c r="AL29" s="746">
        <f>_xlfn.SUMIFS('Покупка услуг'!AL$26:AL$65,'Покупка услуг'!$F$26:$F$65,$F29,'Покупка услуг'!$G$26:$G$65,$G29)</f>
        <v>0</v>
      </c>
      <c r="AM29" s="746">
        <f>_xlfn.SUMIFS('Покупка услуг'!AM$26:AM$65,'Покупка услуг'!$F$26:$F$65,$F29,'Покупка услуг'!$G$26:$G$65,$G29)</f>
        <v>0</v>
      </c>
      <c r="AN29" s="746">
        <f>_xlfn.SUMIFS('Покупка услуг'!AN$26:AN$65,'Покупка услуг'!$F$26:$F$65,$F29,'Покупка услуг'!$G$26:$G$65,$G29)</f>
        <v>0</v>
      </c>
      <c r="AO29" s="746">
        <f>_xlfn.SUMIFS('Покупка услуг'!AO$26:AO$65,'Покупка услуг'!$F$26:$F$65,$F29,'Покупка услуг'!$G$26:$G$65,$G29)</f>
        <v>0</v>
      </c>
      <c r="AP29" s="746">
        <f>_xlfn.SUMIFS('Покупка услуг'!AP$26:AP$65,'Покупка услуг'!$F$26:$F$65,$F29,'Покупка услуг'!$G$26:$G$65,$G29)</f>
        <v>0</v>
      </c>
      <c r="AQ29" s="746">
        <f>_xlfn.SUMIFS('Покупка услуг'!AQ$26:AQ$65,'Покупка услуг'!$F$26:$F$65,$F29,'Покупка услуг'!$G$26:$G$65,$G29)</f>
        <v>0</v>
      </c>
      <c r="AR29" s="746">
        <f>_xlfn.SUMIFS('Покупка услуг'!AR$26:AR$65,'Покупка услуг'!$F$26:$F$65,$F29,'Покупка услуг'!$G$26:$G$65,$G29)</f>
        <v>0</v>
      </c>
      <c r="AS29" s="746">
        <f>_xlfn.SUMIFS('Покупка услуг'!AS$26:AS$65,'Покупка услуг'!$F$26:$F$65,$F29,'Покупка услуг'!$G$26:$G$65,$G29)</f>
        <v>0</v>
      </c>
      <c r="AT29" s="746">
        <f>_xlfn.SUMIFS('Покупка услуг'!AT$26:AT$65,'Покупка услуг'!$F$26:$F$65,$F29,'Покупка услуг'!$G$26:$G$65,$G29)</f>
        <v>0</v>
      </c>
      <c r="AU29" s="746">
        <f>_xlfn.SUMIFS('Покупка услуг'!AU$26:AU$65,'Покупка услуг'!$F$26:$F$65,$F29,'Покупка услуг'!$G$26:$G$65,$G29)</f>
        <v>0</v>
      </c>
      <c r="AV29" s="746">
        <f>_xlfn.SUMIFS('Покупка услуг'!AV$26:AV$65,'Покупка услуг'!$F$26:$F$65,$F29,'Покупка услуг'!$G$26:$G$65,$G29)</f>
        <v>0</v>
      </c>
      <c r="AW29" s="746">
        <f>_xlfn.SUMIFS('Покупка услуг'!AW$26:AW$65,'Покупка услуг'!$F$26:$F$65,$F29,'Покупка услуг'!$G$26:$G$65,$G29)</f>
        <v>0</v>
      </c>
      <c r="AX29" s="746">
        <f>_xlfn.SUMIFS('Покупка услуг'!AX$26:AX$65,'Покупка услуг'!$F$26:$F$65,$F29,'Покупка услуг'!$G$26:$G$65,$G29)</f>
        <v>0</v>
      </c>
      <c r="AY29" s="746">
        <f>_xlfn.SUMIFS('Покупка услуг'!AY$26:AY$65,'Покупка услуг'!$F$26:$F$65,$F29,'Покупка услуг'!$G$26:$G$65,$G29)</f>
        <v>0</v>
      </c>
      <c r="AZ29" s="746">
        <f>_xlfn.SUMIFS('Покупка услуг'!AZ$26:AZ$65,'Покупка услуг'!$F$26:$F$65,$F29,'Покупка услуг'!$G$26:$G$65,$G29)</f>
        <v>0</v>
      </c>
      <c r="BA29" s="746">
        <f>_xlfn.SUMIFS('Покупка услуг'!BA$26:BA$65,'Покупка услуг'!$F$26:$F$65,$F29,'Покупка услуг'!$G$26:$G$65,$G29)</f>
        <v>0</v>
      </c>
      <c r="BB29" s="746">
        <f>_xlfn.SUMIFS('Покупка услуг'!BB$26:BB$65,'Покупка услуг'!$F$26:$F$65,$F29,'Покупка услуг'!$G$26:$G$65,$G29)</f>
        <v>0</v>
      </c>
      <c r="BC29" s="746">
        <f>_xlfn.SUMIFS('Покупка услуг'!BC$26:BC$65,'Покупка услуг'!$F$26:$F$65,$F29,'Покупка услуг'!$G$26:$G$65,$G29)</f>
        <v>0</v>
      </c>
      <c r="BD29" s="746">
        <f>_xlfn.SUMIFS('Покупка услуг'!BD$26:BD$65,'Покупка услуг'!$F$26:$F$65,$F29,'Покупка услуг'!$G$26:$G$65,$G29)</f>
        <v>0</v>
      </c>
      <c r="BE29" s="746">
        <f>_xlfn.SUMIFS('Покупка услуг'!BE$26:BE$65,'Покупка услуг'!$F$26:$F$65,$F29,'Покупка услуг'!$G$26:$G$65,$G29)</f>
        <v>0</v>
      </c>
      <c r="BF29" s="746">
        <f>_xlfn.SUMIFS('Покупка услуг'!BF$26:BF$65,'Покупка услуг'!$F$26:$F$65,$F29,'Покупка услуг'!$G$26:$G$65,$G29)</f>
        <v>0</v>
      </c>
      <c r="BG29" s="746">
        <f>_xlfn.SUMIFS('Покупка услуг'!BG$26:BG$65,'Покупка услуг'!$F$26:$F$65,$F29,'Покупка услуг'!$G$26:$G$65,$G29)</f>
        <v>0</v>
      </c>
      <c r="BH29" s="746">
        <f>_xlfn.SUMIFS('Покупка услуг'!BH$26:BH$65,'Покупка услуг'!$F$26:$F$65,$F29,'Покупка услуг'!$G$26:$G$65,$G29)</f>
        <v>0</v>
      </c>
      <c r="BI29" s="746">
        <f>_xlfn.SUMIFS('Покупка услуг'!BI$26:BI$65,'Покупка услуг'!$F$26:$F$65,$F29,'Покупка услуг'!$G$26:$G$65,$G29)</f>
        <v>0</v>
      </c>
      <c r="BJ29" s="746">
        <f>_xlfn.SUMIFS('Покупка услуг'!BJ$26:BJ$65,'Покупка услуг'!$F$26:$F$65,$F29,'Покупка услуг'!$G$26:$G$65,$G29)</f>
        <v>0</v>
      </c>
      <c r="BK29" s="746">
        <f>_xlfn.SUMIFS('Покупка услуг'!BK$26:BK$65,'Покупка услуг'!$F$26:$F$65,$F29,'Покупка услуг'!$G$26:$G$65,$G29)</f>
        <v>0</v>
      </c>
      <c r="BL29" s="746">
        <f>_xlfn.SUMIFS('Покупка услуг'!BL$26:BL$65,'Покупка услуг'!$F$26:$F$65,$F29,'Покупка услуг'!$G$26:$G$65,$G29)</f>
        <v>0</v>
      </c>
      <c r="BM29" s="746">
        <f>_xlfn.SUMIFS('Покупка услуг'!BM$26:BM$65,'Покупка услуг'!$F$26:$F$65,$F29,'Покупка услуг'!$G$26:$G$65,$G29)</f>
        <v>0</v>
      </c>
      <c r="BN29" s="746">
        <f>_xlfn.SUMIFS('Покупка услуг'!BN$26:BN$65,'Покупка услуг'!$F$26:$F$65,$F29,'Покупка услуг'!$G$26:$G$65,$G29)</f>
        <v>0</v>
      </c>
      <c r="BO29" s="746">
        <f>_xlfn.SUMIFS('Покупка услуг'!BO$26:BO$65,'Покупка услуг'!$F$26:$F$65,$F29,'Покупка услуг'!$G$26:$G$65,$G29)</f>
        <v>0</v>
      </c>
      <c r="BP29" s="746">
        <f>_xlfn.SUMIFS('Покупка услуг'!BP$26:BP$65,'Покупка услуг'!$F$26:$F$65,$F29,'Покупка услуг'!$G$26:$G$65,$G29)</f>
        <v>0</v>
      </c>
      <c r="BQ29" s="746">
        <f>_xlfn.SUMIFS('Покупка услуг'!BQ$26:BQ$65,'Покупка услуг'!$F$26:$F$65,$F29,'Покупка услуг'!$G$26:$G$65,$G29)</f>
        <v>0</v>
      </c>
      <c r="BR29" s="746">
        <f>_xlfn.SUMIFS('Покупка услуг'!BR$26:BR$65,'Покупка услуг'!$F$26:$F$65,$F29,'Покупка услуг'!$G$26:$G$65,$G29)</f>
        <v>0</v>
      </c>
      <c r="BS29" s="746">
        <f>_xlfn.SUMIFS('Покупка услуг'!BS$26:BS$65,'Покупка услуг'!$F$26:$F$65,$F29,'Покупка услуг'!$G$26:$G$65,$G29)</f>
        <v>0</v>
      </c>
      <c r="BT29" s="746">
        <f>_xlfn.SUMIFS('Покупка услуг'!BT$26:BT$65,'Покупка услуг'!$F$26:$F$65,$F29,'Покупка услуг'!$G$26:$G$65,$G29)</f>
        <v>0</v>
      </c>
      <c r="BU29" s="746">
        <f>_xlfn.SUMIFS('Покупка услуг'!BU$26:BU$65,'Покупка услуг'!$F$26:$F$65,$F29,'Покупка услуг'!$G$26:$G$65,$G29)</f>
        <v>0</v>
      </c>
      <c r="BV29" s="746">
        <f>_xlfn.SUMIFS('Покупка услуг'!BV$26:BV$65,'Покупка услуг'!$F$26:$F$65,$F29,'Покупка услуг'!$G$26:$G$65,$G29)</f>
        <v>0</v>
      </c>
      <c r="BW29" s="746">
        <f>_xlfn.SUMIFS('Покупка услуг'!BW$26:BW$65,'Покупка услуг'!$F$26:$F$65,$F29,'Покупка услуг'!$G$26:$G$65,$G29)</f>
        <v>0</v>
      </c>
      <c r="BX29" s="695">
        <f>IF(AI29=0,0,(BD29-AI29)/AI29*100)</f>
        <v>0</v>
      </c>
      <c r="BY29" s="695">
        <f>IF(BD29=0,0,(BE29-BD29)/BD29*100)</f>
        <v>0</v>
      </c>
      <c r="BZ29" s="695">
        <f>IF(BE29=0,0,(BF29-BE29)/BE29*100)</f>
        <v>0</v>
      </c>
      <c r="CA29" s="695">
        <f>IF(BF29=0,0,(BG29-BF29)/BF29*100)</f>
        <v>0</v>
      </c>
      <c r="CB29" s="695">
        <f>IF(BG29=0,0,(BH29-BG29)/BG29*100)</f>
        <v>0</v>
      </c>
      <c r="CC29" s="695">
        <f>IF(BH29=0,0,(BI29-BH29)/BH29*100)</f>
        <v>0</v>
      </c>
      <c r="CD29" s="695">
        <f>IF(BI29=0,0,(BJ29-BI29)/BI29*100)</f>
        <v>0</v>
      </c>
      <c r="CE29" s="695">
        <f>IF(BJ29=0,0,(BK29-BJ29)/BJ29*100)</f>
        <v>0</v>
      </c>
      <c r="CF29" s="695">
        <f>IF(BK29=0,0,(BL29-BK29)/BK29*100)</f>
        <v>0</v>
      </c>
      <c r="CG29" s="695">
        <f>IF(BL29=0,0,(BM29-BL29)/BL29*100)</f>
        <v>0</v>
      </c>
      <c r="CH29" s="695">
        <f>IF(BM29=0,0,(BN29-BM29)/BM29*100)</f>
        <v>0</v>
      </c>
      <c r="CI29" s="695">
        <f>IF(BN29=0,0,(BO29-BN29)/BN29*100)</f>
        <v>0</v>
      </c>
      <c r="CJ29" s="695">
        <f>IF(BO29=0,0,(BP29-BO29)/BO29*100)</f>
        <v>0</v>
      </c>
      <c r="CK29" s="695">
        <f>IF(BP29=0,0,(BQ29-BP29)/BP29*100)</f>
        <v>0</v>
      </c>
      <c r="CL29" s="695">
        <f>IF(BQ29=0,0,(BR29-BQ29)/BQ29*100)</f>
        <v>0</v>
      </c>
      <c r="CM29" s="695">
        <f>IF(BR29=0,0,(BS29-BR29)/BR29*100)</f>
        <v>0</v>
      </c>
      <c r="CN29" s="695">
        <f>IF(BS29=0,0,(BT29-BS29)/BS29*100)</f>
        <v>0</v>
      </c>
      <c r="CO29" s="695">
        <f>IF(BT29=0,0,(BU29-BT29)/BT29*100)</f>
        <v>0</v>
      </c>
      <c r="CP29" s="695">
        <f>IF(BU29=0,0,(BV29-BU29)/BU29*100)</f>
        <v>0</v>
      </c>
      <c r="CQ29" s="695">
        <f>IF(BV29=0,0,(BW29-BV29)/BV29*100)</f>
        <v>0</v>
      </c>
      <c r="CR29" s="83"/>
      <c r="CS29" s="83"/>
      <c r="CT29" s="83"/>
      <c r="CW29" s="489" t="s">
        <v>1633</v>
      </c>
      <c r="CX29" s="489"/>
      <c r="CY29" s="489"/>
      <c r="CZ29" s="546"/>
      <c r="DA29" s="546"/>
      <c r="DB29" s="489" t="s">
        <v>1633</v>
      </c>
      <c r="DD29" s="1501" cm="1" t="str">
        <f t="array" ref="DD29:DD29">DD28</f>
        <v>0</v>
      </c>
      <c r="DE29" s="1501" t="s">
        <v>1634</v>
      </c>
      <c r="DF29" s="1501"/>
      <c r="DG29" s="1501"/>
      <c r="DH29" s="1501"/>
      <c r="DI29" s="1501"/>
      <c r="DJ29" s="1501"/>
      <c r="DK29" s="1501"/>
      <c r="DL29" s="1501"/>
      <c r="DM29" s="1501" t="s">
        <v>303</v>
      </c>
      <c r="DN29" s="1501" t="s">
        <v>1044</v>
      </c>
      <c r="DO29" s="1504" t="s">
        <v>1045</v>
      </c>
    </row>
    <row customHeight="1" ht="14.625" hidden="1">
      <c r="E30" s="180">
        <v>15</v>
      </c>
      <c r="F30" s="175" cm="1" t="str">
        <f t="array" ref="F30:F30">OFFSET(G30,-1,-1)</f>
        <v>0</v>
      </c>
      <c r="G30" s="193" t="s">
        <v>1343</v>
      </c>
      <c r="T30" s="753">
        <f>AND(F30,OR(ISBLANK(Y30),Y30))</f>
        <v>0</v>
      </c>
      <c r="AB30" s="491">
        <v>1.2</v>
      </c>
      <c r="AC30" s="505" t="s">
        <v>1635</v>
      </c>
      <c r="AD30" s="491" t="s">
        <v>917</v>
      </c>
      <c r="AE30" s="695">
        <f>_xlfn.SUMIFS(Аренда!AE$26:AE$51,Аренда!$F$26:$F$51,$F30,Аренда!$G$26:$G$51,$G30)</f>
        <v>0</v>
      </c>
      <c r="AF30" s="695">
        <f>_xlfn.SUMIFS(Аренда!AF$26:AF$51,Аренда!$F$26:$F$51,$F30,Аренда!$G$26:$G$51,$G30)</f>
        <v>0</v>
      </c>
      <c r="AG30" s="695">
        <f>_xlfn.SUMIFS(Аренда!AG$26:AG$51,Аренда!$F$26:$F$51,$F30,Аренда!$G$26:$G$51,$G30)</f>
        <v>0</v>
      </c>
      <c r="AH30" s="695">
        <f>AG30-AF30</f>
        <v>0</v>
      </c>
      <c r="AI30" s="695">
        <f>_xlfn.SUMIFS(Аренда!AH$26:AH$51,Аренда!$F$26:$F$51,$F30,Аренда!$G$26:$G$51,$G30)</f>
        <v>0</v>
      </c>
      <c r="AJ30" s="695">
        <f>_xlfn.SUMIFS(Аренда!AI$26:AI$51,Аренда!$F$26:$F$51,$F30,Аренда!$G$26:$G$51,$G30)</f>
        <v>0</v>
      </c>
      <c r="AK30" s="695">
        <f>_xlfn.SUMIFS(Аренда!AJ$26:AJ$51,Аренда!$F$26:$F$51,$F30,Аренда!$G$26:$G$51,$G30)</f>
        <v>0</v>
      </c>
      <c r="AL30" s="695">
        <f>_xlfn.SUMIFS(Аренда!AK$26:AK$51,Аренда!$F$26:$F$51,$F30,Аренда!$G$26:$G$51,$G30)</f>
        <v>0</v>
      </c>
      <c r="AM30" s="695">
        <f>_xlfn.SUMIFS(Аренда!AL$26:AL$51,Аренда!$F$26:$F$51,$F30,Аренда!$G$26:$G$51,$G30)</f>
        <v>0</v>
      </c>
      <c r="AN30" s="695">
        <f>_xlfn.SUMIFS(Аренда!AM$26:AM$51,Аренда!$F$26:$F$51,$F30,Аренда!$G$26:$G$51,$G30)</f>
        <v>0</v>
      </c>
      <c r="AO30" s="695">
        <f>_xlfn.SUMIFS(Аренда!AN$26:AN$51,Аренда!$F$26:$F$51,$F30,Аренда!$G$26:$G$51,$G30)</f>
        <v>0</v>
      </c>
      <c r="AP30" s="695">
        <f>_xlfn.SUMIFS(Аренда!AO$26:AO$51,Аренда!$F$26:$F$51,$F30,Аренда!$G$26:$G$51,$G30)</f>
        <v>0</v>
      </c>
      <c r="AQ30" s="695">
        <f>_xlfn.SUMIFS(Аренда!AP$26:AP$51,Аренда!$F$26:$F$51,$F30,Аренда!$G$26:$G$51,$G30)</f>
        <v>0</v>
      </c>
      <c r="AR30" s="695">
        <f>_xlfn.SUMIFS(Аренда!AQ$26:AQ$51,Аренда!$F$26:$F$51,$F30,Аренда!$G$26:$G$51,$G30)</f>
        <v>0</v>
      </c>
      <c r="AS30" s="695">
        <f>_xlfn.SUMIFS(Аренда!AR$26:AR$51,Аренда!$F$26:$F$51,$F30,Аренда!$G$26:$G$51,$G30)</f>
        <v>0</v>
      </c>
      <c r="AT30" s="695">
        <f>_xlfn.SUMIFS(Аренда!AS$26:AS$51,Аренда!$F$26:$F$51,$F30,Аренда!$G$26:$G$51,$G30)</f>
        <v>0</v>
      </c>
      <c r="AU30" s="695">
        <f>_xlfn.SUMIFS(Аренда!AT$26:AT$51,Аренда!$F$26:$F$51,$F30,Аренда!$G$26:$G$51,$G30)</f>
        <v>0</v>
      </c>
      <c r="AV30" s="695">
        <f>_xlfn.SUMIFS(Аренда!AU$26:AU$51,Аренда!$F$26:$F$51,$F30,Аренда!$G$26:$G$51,$G30)</f>
        <v>0</v>
      </c>
      <c r="AW30" s="695">
        <f>_xlfn.SUMIFS(Аренда!AV$26:AV$51,Аренда!$F$26:$F$51,$F30,Аренда!$G$26:$G$51,$G30)</f>
        <v>0</v>
      </c>
      <c r="AX30" s="695">
        <f>_xlfn.SUMIFS(Аренда!AW$26:AW$51,Аренда!$F$26:$F$51,$F30,Аренда!$G$26:$G$51,$G30)</f>
        <v>0</v>
      </c>
      <c r="AY30" s="695">
        <f>_xlfn.SUMIFS(Аренда!AX$26:AX$51,Аренда!$F$26:$F$51,$F30,Аренда!$G$26:$G$51,$G30)</f>
        <v>0</v>
      </c>
      <c r="AZ30" s="695">
        <f>_xlfn.SUMIFS(Аренда!AY$26:AY$51,Аренда!$F$26:$F$51,$F30,Аренда!$G$26:$G$51,$G30)</f>
        <v>0</v>
      </c>
      <c r="BA30" s="695">
        <f>_xlfn.SUMIFS(Аренда!AZ$26:AZ$51,Аренда!$F$26:$F$51,$F30,Аренда!$G$26:$G$51,$G30)</f>
        <v>0</v>
      </c>
      <c r="BB30" s="695">
        <f>_xlfn.SUMIFS(Аренда!BA$26:BA$51,Аренда!$F$26:$F$51,$F30,Аренда!$G$26:$G$51,$G30)</f>
        <v>0</v>
      </c>
      <c r="BC30" s="695">
        <f>_xlfn.SUMIFS(Аренда!BB$26:BB$51,Аренда!$F$26:$F$51,$F30,Аренда!$G$26:$G$51,$G30)</f>
        <v>0</v>
      </c>
      <c r="BD30" s="695">
        <f>_xlfn.SUMIFS(Аренда!BC$26:BC$51,Аренда!$F$26:$F$51,$F30,Аренда!$G$26:$G$51,$G30)</f>
        <v>0</v>
      </c>
      <c r="BE30" s="695">
        <f>_xlfn.SUMIFS(Аренда!BD$26:BD$51,Аренда!$F$26:$F$51,$F30,Аренда!$G$26:$G$51,$G30)</f>
        <v>0</v>
      </c>
      <c r="BF30" s="695">
        <f>_xlfn.SUMIFS(Аренда!BE$26:BE$51,Аренда!$F$26:$F$51,$F30,Аренда!$G$26:$G$51,$G30)</f>
        <v>0</v>
      </c>
      <c r="BG30" s="695">
        <f>_xlfn.SUMIFS(Аренда!BF$26:BF$51,Аренда!$F$26:$F$51,$F30,Аренда!$G$26:$G$51,$G30)</f>
        <v>0</v>
      </c>
      <c r="BH30" s="695">
        <f>_xlfn.SUMIFS(Аренда!BG$26:BG$51,Аренда!$F$26:$F$51,$F30,Аренда!$G$26:$G$51,$G30)</f>
        <v>0</v>
      </c>
      <c r="BI30" s="695">
        <f>_xlfn.SUMIFS(Аренда!BH$26:BH$51,Аренда!$F$26:$F$51,$F30,Аренда!$G$26:$G$51,$G30)</f>
        <v>0</v>
      </c>
      <c r="BJ30" s="695">
        <f>_xlfn.SUMIFS(Аренда!BI$26:BI$51,Аренда!$F$26:$F$51,$F30,Аренда!$G$26:$G$51,$G30)</f>
        <v>0</v>
      </c>
      <c r="BK30" s="695">
        <f>_xlfn.SUMIFS(Аренда!BJ$26:BJ$51,Аренда!$F$26:$F$51,$F30,Аренда!$G$26:$G$51,$G30)</f>
        <v>0</v>
      </c>
      <c r="BL30" s="695">
        <f>_xlfn.SUMIFS(Аренда!BK$26:BK$51,Аренда!$F$26:$F$51,$F30,Аренда!$G$26:$G$51,$G30)</f>
        <v>0</v>
      </c>
      <c r="BM30" s="695">
        <f>_xlfn.SUMIFS(Аренда!BL$26:BL$51,Аренда!$F$26:$F$51,$F30,Аренда!$G$26:$G$51,$G30)</f>
        <v>0</v>
      </c>
      <c r="BN30" s="695">
        <f>_xlfn.SUMIFS(Аренда!BM$26:BM$51,Аренда!$F$26:$F$51,$F30,Аренда!$G$26:$G$51,$G30)</f>
        <v>0</v>
      </c>
      <c r="BO30" s="695">
        <f>_xlfn.SUMIFS(Аренда!BN$26:BN$51,Аренда!$F$26:$F$51,$F30,Аренда!$G$26:$G$51,$G30)</f>
        <v>0</v>
      </c>
      <c r="BP30" s="695">
        <f>_xlfn.SUMIFS(Аренда!BO$26:BO$51,Аренда!$F$26:$F$51,$F30,Аренда!$G$26:$G$51,$G30)</f>
        <v>0</v>
      </c>
      <c r="BQ30" s="695">
        <f>_xlfn.SUMIFS(Аренда!BP$26:BP$51,Аренда!$F$26:$F$51,$F30,Аренда!$G$26:$G$51,$G30)</f>
        <v>0</v>
      </c>
      <c r="BR30" s="695">
        <f>_xlfn.SUMIFS(Аренда!BQ$26:BQ$51,Аренда!$F$26:$F$51,$F30,Аренда!$G$26:$G$51,$G30)</f>
        <v>0</v>
      </c>
      <c r="BS30" s="695">
        <f>_xlfn.SUMIFS(Аренда!BR$26:BR$51,Аренда!$F$26:$F$51,$F30,Аренда!$G$26:$G$51,$G30)</f>
        <v>0</v>
      </c>
      <c r="BT30" s="695">
        <f>_xlfn.SUMIFS(Аренда!BS$26:BS$51,Аренда!$F$26:$F$51,$F30,Аренда!$G$26:$G$51,$G30)</f>
        <v>0</v>
      </c>
      <c r="BU30" s="695">
        <f>_xlfn.SUMIFS(Аренда!BT$26:BT$51,Аренда!$F$26:$F$51,$F30,Аренда!$G$26:$G$51,$G30)</f>
        <v>0</v>
      </c>
      <c r="BV30" s="695">
        <f>_xlfn.SUMIFS(Аренда!BU$26:BU$51,Аренда!$F$26:$F$51,$F30,Аренда!$G$26:$G$51,$G30)</f>
        <v>0</v>
      </c>
      <c r="BW30" s="695">
        <f>_xlfn.SUMIFS(Аренда!BV$26:BV$51,Аренда!$F$26:$F$51,$F30,Аренда!$G$26:$G$51,$G30)</f>
        <v>0</v>
      </c>
      <c r="BX30" s="695">
        <f>IF(AI30=0,0,(BD30-AI30)/AI30*100)</f>
        <v>0</v>
      </c>
      <c r="BY30" s="695">
        <f>IF(BD30=0,0,(BE30-BD30)/BD30*100)</f>
        <v>0</v>
      </c>
      <c r="BZ30" s="695">
        <f>IF(BE30=0,0,(BF30-BE30)/BE30*100)</f>
        <v>0</v>
      </c>
      <c r="CA30" s="695">
        <f>IF(BF30=0,0,(BG30-BF30)/BF30*100)</f>
        <v>0</v>
      </c>
      <c r="CB30" s="695">
        <f>IF(BG30=0,0,(BH30-BG30)/BG30*100)</f>
        <v>0</v>
      </c>
      <c r="CC30" s="695">
        <f>IF(BH30=0,0,(BI30-BH30)/BH30*100)</f>
        <v>0</v>
      </c>
      <c r="CD30" s="695">
        <f>IF(BI30=0,0,(BJ30-BI30)/BI30*100)</f>
        <v>0</v>
      </c>
      <c r="CE30" s="695">
        <f>IF(BJ30=0,0,(BK30-BJ30)/BJ30*100)</f>
        <v>0</v>
      </c>
      <c r="CF30" s="695">
        <f>IF(BK30=0,0,(BL30-BK30)/BK30*100)</f>
        <v>0</v>
      </c>
      <c r="CG30" s="695">
        <f>IF(BL30=0,0,(BM30-BL30)/BL30*100)</f>
        <v>0</v>
      </c>
      <c r="CH30" s="695">
        <f>IF(BM30=0,0,(BN30-BM30)/BM30*100)</f>
        <v>0</v>
      </c>
      <c r="CI30" s="695">
        <f>IF(BN30=0,0,(BO30-BN30)/BN30*100)</f>
        <v>0</v>
      </c>
      <c r="CJ30" s="695">
        <f>IF(BO30=0,0,(BP30-BO30)/BO30*100)</f>
        <v>0</v>
      </c>
      <c r="CK30" s="695">
        <f>IF(BP30=0,0,(BQ30-BP30)/BP30*100)</f>
        <v>0</v>
      </c>
      <c r="CL30" s="695">
        <f>IF(BQ30=0,0,(BR30-BQ30)/BQ30*100)</f>
        <v>0</v>
      </c>
      <c r="CM30" s="695">
        <f>IF(BR30=0,0,(BS30-BR30)/BR30*100)</f>
        <v>0</v>
      </c>
      <c r="CN30" s="695">
        <f>IF(BS30=0,0,(BT30-BS30)/BS30*100)</f>
        <v>0</v>
      </c>
      <c r="CO30" s="695">
        <f>IF(BT30=0,0,(BU30-BT30)/BT30*100)</f>
        <v>0</v>
      </c>
      <c r="CP30" s="695">
        <f>IF(BU30=0,0,(BV30-BU30)/BU30*100)</f>
        <v>0</v>
      </c>
      <c r="CQ30" s="695">
        <f>IF(BV30=0,0,(BW30-BV30)/BV30*100)</f>
        <v>0</v>
      </c>
      <c r="CR30" s="83"/>
      <c r="CS30" s="83"/>
      <c r="CT30" s="83"/>
      <c r="CW30" s="489" t="s">
        <v>1346</v>
      </c>
      <c r="CX30" s="489"/>
      <c r="CY30" s="489"/>
      <c r="CZ30" s="546"/>
      <c r="DA30" s="546"/>
      <c r="DB30" s="489" t="s">
        <v>1346</v>
      </c>
      <c r="DD30" s="1501" cm="1" t="str">
        <f t="array" ref="DD30:DD30">DD29</f>
        <v>0</v>
      </c>
      <c r="DE30" s="1501"/>
      <c r="DF30" s="1501" t="s">
        <v>1592</v>
      </c>
      <c r="DG30" s="1501"/>
      <c r="DH30" s="1501"/>
      <c r="DI30" s="1501"/>
      <c r="DJ30" s="1501"/>
      <c r="DK30" s="1501"/>
      <c r="DL30" s="1501"/>
      <c r="DM30" s="1501" t="s">
        <v>303</v>
      </c>
      <c r="DN30" s="1501" t="s">
        <v>1333</v>
      </c>
      <c r="DO30" s="1504" t="s">
        <v>1334</v>
      </c>
    </row>
    <row customHeight="1" ht="14.625" hidden="1">
      <c r="E31" s="180">
        <v>15</v>
      </c>
      <c r="F31" s="175" cm="1" t="str">
        <f t="array" ref="F31:F31">OFFSET(G31,-1,-1)</f>
        <v>0</v>
      </c>
      <c r="G31" s="193" t="s">
        <v>1348</v>
      </c>
      <c r="T31" s="753">
        <f>AND(F31,OR(ISBLANK(Y31),Y31))</f>
        <v>0</v>
      </c>
      <c r="AB31" s="491">
        <v>1.3</v>
      </c>
      <c r="AC31" s="505" t="s">
        <v>1349</v>
      </c>
      <c r="AD31" s="491" t="s">
        <v>917</v>
      </c>
      <c r="AE31" s="695">
        <f>_xlfn.SUMIFS(Аренда!AE$26:AE$51,Аренда!$F$26:$F$51,$F31,Аренда!$G$26:$G$51,$G31)</f>
        <v>0</v>
      </c>
      <c r="AF31" s="695">
        <f>_xlfn.SUMIFS(Аренда!AF$26:AF$51,Аренда!$F$26:$F$51,$F31,Аренда!$G$26:$G$51,$G31)</f>
        <v>0</v>
      </c>
      <c r="AG31" s="695">
        <f>_xlfn.SUMIFS(Аренда!AG$26:AG$51,Аренда!$F$26:$F$51,$F31,Аренда!$G$26:$G$51,$G31)</f>
        <v>0</v>
      </c>
      <c r="AH31" s="695">
        <f>AG31-AF31</f>
        <v>0</v>
      </c>
      <c r="AI31" s="695">
        <f>_xlfn.SUMIFS(Аренда!AH$26:AH$51,Аренда!$F$26:$F$51,$F31,Аренда!$G$26:$G$51,$G31)</f>
        <v>0</v>
      </c>
      <c r="AJ31" s="695">
        <f>_xlfn.SUMIFS(Аренда!AI$26:AI$51,Аренда!$F$26:$F$51,$F31,Аренда!$G$26:$G$51,$G31)</f>
        <v>0</v>
      </c>
      <c r="AK31" s="695">
        <f>_xlfn.SUMIFS(Аренда!AJ$26:AJ$51,Аренда!$F$26:$F$51,$F31,Аренда!$G$26:$G$51,$G31)</f>
        <v>0</v>
      </c>
      <c r="AL31" s="695">
        <f>_xlfn.SUMIFS(Аренда!AK$26:AK$51,Аренда!$F$26:$F$51,$F31,Аренда!$G$26:$G$51,$G31)</f>
        <v>0</v>
      </c>
      <c r="AM31" s="695">
        <f>_xlfn.SUMIFS(Аренда!AL$26:AL$51,Аренда!$F$26:$F$51,$F31,Аренда!$G$26:$G$51,$G31)</f>
        <v>0</v>
      </c>
      <c r="AN31" s="695">
        <f>_xlfn.SUMIFS(Аренда!AM$26:AM$51,Аренда!$F$26:$F$51,$F31,Аренда!$G$26:$G$51,$G31)</f>
        <v>0</v>
      </c>
      <c r="AO31" s="695">
        <f>_xlfn.SUMIFS(Аренда!AN$26:AN$51,Аренда!$F$26:$F$51,$F31,Аренда!$G$26:$G$51,$G31)</f>
        <v>0</v>
      </c>
      <c r="AP31" s="695">
        <f>_xlfn.SUMIFS(Аренда!AO$26:AO$51,Аренда!$F$26:$F$51,$F31,Аренда!$G$26:$G$51,$G31)</f>
        <v>0</v>
      </c>
      <c r="AQ31" s="695">
        <f>_xlfn.SUMIFS(Аренда!AP$26:AP$51,Аренда!$F$26:$F$51,$F31,Аренда!$G$26:$G$51,$G31)</f>
        <v>0</v>
      </c>
      <c r="AR31" s="695">
        <f>_xlfn.SUMIFS(Аренда!AQ$26:AQ$51,Аренда!$F$26:$F$51,$F31,Аренда!$G$26:$G$51,$G31)</f>
        <v>0</v>
      </c>
      <c r="AS31" s="695">
        <f>_xlfn.SUMIFS(Аренда!AR$26:AR$51,Аренда!$F$26:$F$51,$F31,Аренда!$G$26:$G$51,$G31)</f>
        <v>0</v>
      </c>
      <c r="AT31" s="695">
        <f>_xlfn.SUMIFS(Аренда!AS$26:AS$51,Аренда!$F$26:$F$51,$F31,Аренда!$G$26:$G$51,$G31)</f>
        <v>0</v>
      </c>
      <c r="AU31" s="695">
        <f>_xlfn.SUMIFS(Аренда!AT$26:AT$51,Аренда!$F$26:$F$51,$F31,Аренда!$G$26:$G$51,$G31)</f>
        <v>0</v>
      </c>
      <c r="AV31" s="695">
        <f>_xlfn.SUMIFS(Аренда!AU$26:AU$51,Аренда!$F$26:$F$51,$F31,Аренда!$G$26:$G$51,$G31)</f>
        <v>0</v>
      </c>
      <c r="AW31" s="695">
        <f>_xlfn.SUMIFS(Аренда!AV$26:AV$51,Аренда!$F$26:$F$51,$F31,Аренда!$G$26:$G$51,$G31)</f>
        <v>0</v>
      </c>
      <c r="AX31" s="695">
        <f>_xlfn.SUMIFS(Аренда!AW$26:AW$51,Аренда!$F$26:$F$51,$F31,Аренда!$G$26:$G$51,$G31)</f>
        <v>0</v>
      </c>
      <c r="AY31" s="695">
        <f>_xlfn.SUMIFS(Аренда!AX$26:AX$51,Аренда!$F$26:$F$51,$F31,Аренда!$G$26:$G$51,$G31)</f>
        <v>0</v>
      </c>
      <c r="AZ31" s="695">
        <f>_xlfn.SUMIFS(Аренда!AY$26:AY$51,Аренда!$F$26:$F$51,$F31,Аренда!$G$26:$G$51,$G31)</f>
        <v>0</v>
      </c>
      <c r="BA31" s="695">
        <f>_xlfn.SUMIFS(Аренда!AZ$26:AZ$51,Аренда!$F$26:$F$51,$F31,Аренда!$G$26:$G$51,$G31)</f>
        <v>0</v>
      </c>
      <c r="BB31" s="695">
        <f>_xlfn.SUMIFS(Аренда!BA$26:BA$51,Аренда!$F$26:$F$51,$F31,Аренда!$G$26:$G$51,$G31)</f>
        <v>0</v>
      </c>
      <c r="BC31" s="695">
        <f>_xlfn.SUMIFS(Аренда!BB$26:BB$51,Аренда!$F$26:$F$51,$F31,Аренда!$G$26:$G$51,$G31)</f>
        <v>0</v>
      </c>
      <c r="BD31" s="695">
        <f>_xlfn.SUMIFS(Аренда!BC$26:BC$51,Аренда!$F$26:$F$51,$F31,Аренда!$G$26:$G$51,$G31)</f>
        <v>0</v>
      </c>
      <c r="BE31" s="695">
        <f>_xlfn.SUMIFS(Аренда!BD$26:BD$51,Аренда!$F$26:$F$51,$F31,Аренда!$G$26:$G$51,$G31)</f>
        <v>0</v>
      </c>
      <c r="BF31" s="695">
        <f>_xlfn.SUMIFS(Аренда!BE$26:BE$51,Аренда!$F$26:$F$51,$F31,Аренда!$G$26:$G$51,$G31)</f>
        <v>0</v>
      </c>
      <c r="BG31" s="695">
        <f>_xlfn.SUMIFS(Аренда!BF$26:BF$51,Аренда!$F$26:$F$51,$F31,Аренда!$G$26:$G$51,$G31)</f>
        <v>0</v>
      </c>
      <c r="BH31" s="695">
        <f>_xlfn.SUMIFS(Аренда!BG$26:BG$51,Аренда!$F$26:$F$51,$F31,Аренда!$G$26:$G$51,$G31)</f>
        <v>0</v>
      </c>
      <c r="BI31" s="695">
        <f>_xlfn.SUMIFS(Аренда!BH$26:BH$51,Аренда!$F$26:$F$51,$F31,Аренда!$G$26:$G$51,$G31)</f>
        <v>0</v>
      </c>
      <c r="BJ31" s="695">
        <f>_xlfn.SUMIFS(Аренда!BI$26:BI$51,Аренда!$F$26:$F$51,$F31,Аренда!$G$26:$G$51,$G31)</f>
        <v>0</v>
      </c>
      <c r="BK31" s="695">
        <f>_xlfn.SUMIFS(Аренда!BJ$26:BJ$51,Аренда!$F$26:$F$51,$F31,Аренда!$G$26:$G$51,$G31)</f>
        <v>0</v>
      </c>
      <c r="BL31" s="695">
        <f>_xlfn.SUMIFS(Аренда!BK$26:BK$51,Аренда!$F$26:$F$51,$F31,Аренда!$G$26:$G$51,$G31)</f>
        <v>0</v>
      </c>
      <c r="BM31" s="695">
        <f>_xlfn.SUMIFS(Аренда!BL$26:BL$51,Аренда!$F$26:$F$51,$F31,Аренда!$G$26:$G$51,$G31)</f>
        <v>0</v>
      </c>
      <c r="BN31" s="695">
        <f>_xlfn.SUMIFS(Аренда!BM$26:BM$51,Аренда!$F$26:$F$51,$F31,Аренда!$G$26:$G$51,$G31)</f>
        <v>0</v>
      </c>
      <c r="BO31" s="695">
        <f>_xlfn.SUMIFS(Аренда!BN$26:BN$51,Аренда!$F$26:$F$51,$F31,Аренда!$G$26:$G$51,$G31)</f>
        <v>0</v>
      </c>
      <c r="BP31" s="695">
        <f>_xlfn.SUMIFS(Аренда!BO$26:BO$51,Аренда!$F$26:$F$51,$F31,Аренда!$G$26:$G$51,$G31)</f>
        <v>0</v>
      </c>
      <c r="BQ31" s="695">
        <f>_xlfn.SUMIFS(Аренда!BP$26:BP$51,Аренда!$F$26:$F$51,$F31,Аренда!$G$26:$G$51,$G31)</f>
        <v>0</v>
      </c>
      <c r="BR31" s="695">
        <f>_xlfn.SUMIFS(Аренда!BQ$26:BQ$51,Аренда!$F$26:$F$51,$F31,Аренда!$G$26:$G$51,$G31)</f>
        <v>0</v>
      </c>
      <c r="BS31" s="695">
        <f>_xlfn.SUMIFS(Аренда!BR$26:BR$51,Аренда!$F$26:$F$51,$F31,Аренда!$G$26:$G$51,$G31)</f>
        <v>0</v>
      </c>
      <c r="BT31" s="695">
        <f>_xlfn.SUMIFS(Аренда!BS$26:BS$51,Аренда!$F$26:$F$51,$F31,Аренда!$G$26:$G$51,$G31)</f>
        <v>0</v>
      </c>
      <c r="BU31" s="695">
        <f>_xlfn.SUMIFS(Аренда!BT$26:BT$51,Аренда!$F$26:$F$51,$F31,Аренда!$G$26:$G$51,$G31)</f>
        <v>0</v>
      </c>
      <c r="BV31" s="695">
        <f>_xlfn.SUMIFS(Аренда!BU$26:BU$51,Аренда!$F$26:$F$51,$F31,Аренда!$G$26:$G$51,$G31)</f>
        <v>0</v>
      </c>
      <c r="BW31" s="695">
        <f>_xlfn.SUMIFS(Аренда!BV$26:BV$51,Аренда!$F$26:$F$51,$F31,Аренда!$G$26:$G$51,$G31)</f>
        <v>0</v>
      </c>
      <c r="BX31" s="695">
        <f>IF(AI31=0,0,(BD31-AI31)/AI31*100)</f>
        <v>0</v>
      </c>
      <c r="BY31" s="695">
        <f>IF(BD31=0,0,(BE31-BD31)/BD31*100)</f>
        <v>0</v>
      </c>
      <c r="BZ31" s="695">
        <f>IF(BE31=0,0,(BF31-BE31)/BE31*100)</f>
        <v>0</v>
      </c>
      <c r="CA31" s="695">
        <f>IF(BF31=0,0,(BG31-BF31)/BF31*100)</f>
        <v>0</v>
      </c>
      <c r="CB31" s="695">
        <f>IF(BG31=0,0,(BH31-BG31)/BG31*100)</f>
        <v>0</v>
      </c>
      <c r="CC31" s="695">
        <f>IF(BH31=0,0,(BI31-BH31)/BH31*100)</f>
        <v>0</v>
      </c>
      <c r="CD31" s="695">
        <f>IF(BI31=0,0,(BJ31-BI31)/BI31*100)</f>
        <v>0</v>
      </c>
      <c r="CE31" s="695">
        <f>IF(BJ31=0,0,(BK31-BJ31)/BJ31*100)</f>
        <v>0</v>
      </c>
      <c r="CF31" s="695">
        <f>IF(BK31=0,0,(BL31-BK31)/BK31*100)</f>
        <v>0</v>
      </c>
      <c r="CG31" s="695">
        <f>IF(BL31=0,0,(BM31-BL31)/BL31*100)</f>
        <v>0</v>
      </c>
      <c r="CH31" s="695">
        <f>IF(BM31=0,0,(BN31-BM31)/BM31*100)</f>
        <v>0</v>
      </c>
      <c r="CI31" s="695">
        <f>IF(BN31=0,0,(BO31-BN31)/BN31*100)</f>
        <v>0</v>
      </c>
      <c r="CJ31" s="695">
        <f>IF(BO31=0,0,(BP31-BO31)/BO31*100)</f>
        <v>0</v>
      </c>
      <c r="CK31" s="695">
        <f>IF(BP31=0,0,(BQ31-BP31)/BP31*100)</f>
        <v>0</v>
      </c>
      <c r="CL31" s="695">
        <f>IF(BQ31=0,0,(BR31-BQ31)/BQ31*100)</f>
        <v>0</v>
      </c>
      <c r="CM31" s="695">
        <f>IF(BR31=0,0,(BS31-BR31)/BR31*100)</f>
        <v>0</v>
      </c>
      <c r="CN31" s="695">
        <f>IF(BS31=0,0,(BT31-BS31)/BS31*100)</f>
        <v>0</v>
      </c>
      <c r="CO31" s="695">
        <f>IF(BT31=0,0,(BU31-BT31)/BT31*100)</f>
        <v>0</v>
      </c>
      <c r="CP31" s="695">
        <f>IF(BU31=0,0,(BV31-BU31)/BU31*100)</f>
        <v>0</v>
      </c>
      <c r="CQ31" s="695">
        <f>IF(BV31=0,0,(BW31-BV31)/BV31*100)</f>
        <v>0</v>
      </c>
      <c r="CR31" s="83"/>
      <c r="CS31" s="83"/>
      <c r="CT31" s="83"/>
      <c r="CW31" s="489" t="s">
        <v>1636</v>
      </c>
      <c r="CX31" s="489"/>
      <c r="CY31" s="489"/>
      <c r="CZ31" s="546"/>
      <c r="DA31" s="546"/>
      <c r="DB31" s="489" t="s">
        <v>1636</v>
      </c>
      <c r="DD31" s="1501" cm="1" t="str">
        <f t="array" ref="DD31:DD31">DD30</f>
        <v>0</v>
      </c>
      <c r="DE31" s="1501"/>
      <c r="DF31" s="1501" t="s">
        <v>1351</v>
      </c>
      <c r="DG31" s="1501"/>
      <c r="DH31" s="1501"/>
      <c r="DI31" s="1501"/>
      <c r="DJ31" s="1501"/>
      <c r="DK31" s="1501"/>
      <c r="DL31" s="1501"/>
      <c r="DM31" s="1501" t="s">
        <v>303</v>
      </c>
      <c r="DN31" s="1501" t="s">
        <v>1352</v>
      </c>
      <c r="DO31" s="1504" t="s">
        <v>1353</v>
      </c>
    </row>
    <row customHeight="1" ht="14.625" hidden="1">
      <c r="E32" s="180">
        <v>15</v>
      </c>
      <c r="F32" s="175" cm="1" t="str">
        <f t="array" ref="F32:F32">OFFSET(G32,-1,-1)</f>
        <v>0</v>
      </c>
      <c r="T32" s="753">
        <f>AND(F32,OR(ISBLANK(Y32),Y32))</f>
        <v>0</v>
      </c>
      <c r="AB32" s="491">
        <v>1.4</v>
      </c>
      <c r="AC32" s="505" t="s">
        <v>1637</v>
      </c>
      <c r="AD32" s="491" t="s">
        <v>917</v>
      </c>
      <c r="AE32" s="746">
        <f>SUM(AE33:AE35)</f>
        <v>0</v>
      </c>
      <c r="AF32" s="746">
        <f>SUM(AF33:AF35)</f>
        <v>0</v>
      </c>
      <c r="AG32" s="746">
        <f>SUM(AG33:AG35)</f>
        <v>0</v>
      </c>
      <c r="AH32" s="695">
        <f>AG32-AF32</f>
        <v>0</v>
      </c>
      <c r="AI32" s="746">
        <f>SUM(AI33:AI35)</f>
        <v>0</v>
      </c>
      <c r="AJ32" s="746">
        <f>SUM(AJ33:AJ35)</f>
        <v>0</v>
      </c>
      <c r="AK32" s="746">
        <f>SUM(AK33:AK35)</f>
        <v>0</v>
      </c>
      <c r="AL32" s="746">
        <f>SUM(AL33:AL35)</f>
        <v>0</v>
      </c>
      <c r="AM32" s="746">
        <f>SUM(AM33:AM35)</f>
        <v>0</v>
      </c>
      <c r="AN32" s="746">
        <f>SUM(AN33:AN35)</f>
        <v>0</v>
      </c>
      <c r="AO32" s="746">
        <f>SUM(AO33:AO35)</f>
        <v>0</v>
      </c>
      <c r="AP32" s="746">
        <f>SUM(AP33:AP35)</f>
        <v>0</v>
      </c>
      <c r="AQ32" s="746">
        <f>SUM(AQ33:AQ35)</f>
        <v>0</v>
      </c>
      <c r="AR32" s="746">
        <f>SUM(AR33:AR35)</f>
        <v>0</v>
      </c>
      <c r="AS32" s="746">
        <f>SUM(AS33:AS35)</f>
        <v>0</v>
      </c>
      <c r="AT32" s="746">
        <f>SUM(AT33:AT35)</f>
        <v>0</v>
      </c>
      <c r="AU32" s="746">
        <f>SUM(AU33:AU35)</f>
        <v>0</v>
      </c>
      <c r="AV32" s="746">
        <f>SUM(AV33:AV35)</f>
        <v>0</v>
      </c>
      <c r="AW32" s="746">
        <f>SUM(AW33:AW35)</f>
        <v>0</v>
      </c>
      <c r="AX32" s="746">
        <f>SUM(AX33:AX35)</f>
        <v>0</v>
      </c>
      <c r="AY32" s="746">
        <f>SUM(AY33:AY35)</f>
        <v>0</v>
      </c>
      <c r="AZ32" s="746">
        <f>SUM(AZ33:AZ35)</f>
        <v>0</v>
      </c>
      <c r="BA32" s="746">
        <f>SUM(BA33:BA35)</f>
        <v>0</v>
      </c>
      <c r="BB32" s="746">
        <f>SUM(BB33:BB35)</f>
        <v>0</v>
      </c>
      <c r="BC32" s="746">
        <f>SUM(BC33:BC35)</f>
        <v>0</v>
      </c>
      <c r="BD32" s="746">
        <f>SUM(BD33:BD35)</f>
        <v>0</v>
      </c>
      <c r="BE32" s="746">
        <f>SUM(BE33:BE35)</f>
        <v>0</v>
      </c>
      <c r="BF32" s="746">
        <f>SUM(BF33:BF35)</f>
        <v>0</v>
      </c>
      <c r="BG32" s="746">
        <f>SUM(BG33:BG35)</f>
        <v>0</v>
      </c>
      <c r="BH32" s="746">
        <f>SUM(BH33:BH35)</f>
        <v>0</v>
      </c>
      <c r="BI32" s="746">
        <f>SUM(BI33:BI35)</f>
        <v>0</v>
      </c>
      <c r="BJ32" s="746">
        <f>SUM(BJ33:BJ35)</f>
        <v>0</v>
      </c>
      <c r="BK32" s="746">
        <f>SUM(BK33:BK35)</f>
        <v>0</v>
      </c>
      <c r="BL32" s="746">
        <f>SUM(BL33:BL35)</f>
        <v>0</v>
      </c>
      <c r="BM32" s="746">
        <f>SUM(BM33:BM35)</f>
        <v>0</v>
      </c>
      <c r="BN32" s="746">
        <f>SUM(BN33:BN35)</f>
        <v>0</v>
      </c>
      <c r="BO32" s="746">
        <f>SUM(BO33:BO35)</f>
        <v>0</v>
      </c>
      <c r="BP32" s="746">
        <f>SUM(BP33:BP35)</f>
        <v>0</v>
      </c>
      <c r="BQ32" s="746">
        <f>SUM(BQ33:BQ35)</f>
        <v>0</v>
      </c>
      <c r="BR32" s="746">
        <f>SUM(BR33:BR35)</f>
        <v>0</v>
      </c>
      <c r="BS32" s="746">
        <f>SUM(BS33:BS35)</f>
        <v>0</v>
      </c>
      <c r="BT32" s="746">
        <f>SUM(BT33:BT35)</f>
        <v>0</v>
      </c>
      <c r="BU32" s="746">
        <f>SUM(BU33:BU35)</f>
        <v>0</v>
      </c>
      <c r="BV32" s="746">
        <f>SUM(BV33:BV35)</f>
        <v>0</v>
      </c>
      <c r="BW32" s="746">
        <f>SUM(BW33:BW35)</f>
        <v>0</v>
      </c>
      <c r="BX32" s="695">
        <f>IF(AI32=0,0,(BD32-AI32)/AI32*100)</f>
        <v>0</v>
      </c>
      <c r="BY32" s="695">
        <f>IF(BD32=0,0,(BE32-BD32)/BD32*100)</f>
        <v>0</v>
      </c>
      <c r="BZ32" s="695">
        <f>IF(BE32=0,0,(BF32-BE32)/BE32*100)</f>
        <v>0</v>
      </c>
      <c r="CA32" s="695">
        <f>IF(BF32=0,0,(BG32-BF32)/BF32*100)</f>
        <v>0</v>
      </c>
      <c r="CB32" s="695">
        <f>IF(BG32=0,0,(BH32-BG32)/BG32*100)</f>
        <v>0</v>
      </c>
      <c r="CC32" s="695">
        <f>IF(BH32=0,0,(BI32-BH32)/BH32*100)</f>
        <v>0</v>
      </c>
      <c r="CD32" s="695">
        <f>IF(BI32=0,0,(BJ32-BI32)/BI32*100)</f>
        <v>0</v>
      </c>
      <c r="CE32" s="695">
        <f>IF(BJ32=0,0,(BK32-BJ32)/BJ32*100)</f>
        <v>0</v>
      </c>
      <c r="CF32" s="695">
        <f>IF(BK32=0,0,(BL32-BK32)/BK32*100)</f>
        <v>0</v>
      </c>
      <c r="CG32" s="695">
        <f>IF(BL32=0,0,(BM32-BL32)/BL32*100)</f>
        <v>0</v>
      </c>
      <c r="CH32" s="695">
        <f>IF(BM32=0,0,(BN32-BM32)/BM32*100)</f>
        <v>0</v>
      </c>
      <c r="CI32" s="695">
        <f>IF(BN32=0,0,(BO32-BN32)/BN32*100)</f>
        <v>0</v>
      </c>
      <c r="CJ32" s="695">
        <f>IF(BO32=0,0,(BP32-BO32)/BO32*100)</f>
        <v>0</v>
      </c>
      <c r="CK32" s="695">
        <f>IF(BP32=0,0,(BQ32-BP32)/BP32*100)</f>
        <v>0</v>
      </c>
      <c r="CL32" s="695">
        <f>IF(BQ32=0,0,(BR32-BQ32)/BQ32*100)</f>
        <v>0</v>
      </c>
      <c r="CM32" s="695">
        <f>IF(BR32=0,0,(BS32-BR32)/BR32*100)</f>
        <v>0</v>
      </c>
      <c r="CN32" s="695">
        <f>IF(BS32=0,0,(BT32-BS32)/BS32*100)</f>
        <v>0</v>
      </c>
      <c r="CO32" s="695">
        <f>IF(BT32=0,0,(BU32-BT32)/BT32*100)</f>
        <v>0</v>
      </c>
      <c r="CP32" s="695">
        <f>IF(BU32=0,0,(BV32-BU32)/BU32*100)</f>
        <v>0</v>
      </c>
      <c r="CQ32" s="695">
        <f>IF(BV32=0,0,(BW32-BV32)/BV32*100)</f>
        <v>0</v>
      </c>
      <c r="CR32" s="83"/>
      <c r="CS32" s="83"/>
      <c r="CT32" s="83"/>
      <c r="CW32" s="489" t="s">
        <v>1638</v>
      </c>
      <c r="CX32" s="489"/>
      <c r="CY32" s="489"/>
      <c r="CZ32" s="546"/>
      <c r="DA32" s="546"/>
      <c r="DB32" s="489" t="s">
        <v>1638</v>
      </c>
      <c r="DD32" s="1501" cm="1" t="str">
        <f t="array" ref="DD32:DD32">DD31</f>
        <v>0</v>
      </c>
      <c r="DE32" s="1501"/>
      <c r="DF32" s="1501"/>
      <c r="DG32" s="1501" t="s">
        <v>1639</v>
      </c>
      <c r="DH32" s="1501"/>
      <c r="DI32" s="1501"/>
      <c r="DJ32" s="1501"/>
      <c r="DK32" s="1501"/>
      <c r="DL32" s="1501"/>
      <c r="DM32" s="1501" t="s">
        <v>303</v>
      </c>
      <c r="DN32" s="1501" t="s">
        <v>1044</v>
      </c>
      <c r="DO32" s="1504" t="s">
        <v>1045</v>
      </c>
    </row>
    <row customHeight="1" ht="39" hidden="1">
      <c r="E33" s="180">
        <v>40</v>
      </c>
      <c r="F33" s="175" cm="1" t="str">
        <f t="array" ref="F33:F33">OFFSET(G33,-1,-1)</f>
        <v>0</v>
      </c>
      <c r="G33" s="193" t="s">
        <v>1478</v>
      </c>
      <c r="T33" s="753">
        <f>AND(F33,OR(ISBLANK(Y33),Y33))</f>
        <v>0</v>
      </c>
      <c r="AB33" s="491" t="s">
        <v>1190</v>
      </c>
      <c r="AC33" s="505" t="s">
        <v>1479</v>
      </c>
      <c r="AD33" s="491" t="s">
        <v>917</v>
      </c>
      <c r="AE33" s="746">
        <f>_xlfn.SUMIFS(Налоги!AE$26:AE$55,Налоги!$F$26:$F$55,$F33,Налоги!$G$26:$G$55,$G33)</f>
        <v>0</v>
      </c>
      <c r="AF33" s="746">
        <f>_xlfn.SUMIFS(Налоги!AF$26:AF$55,Налоги!$F$26:$F$55,$F33,Налоги!$G$26:$G$55,$G33)</f>
        <v>0</v>
      </c>
      <c r="AG33" s="746">
        <f>_xlfn.SUMIFS(Налоги!AG$26:AG$55,Налоги!$F$26:$F$55,$F33,Налоги!$G$26:$G$55,$G33)</f>
        <v>0</v>
      </c>
      <c r="AH33" s="695">
        <f>AG33-AF33</f>
        <v>0</v>
      </c>
      <c r="AI33" s="746">
        <f>_xlfn.SUMIFS(Налоги!AH$26:AH$55,Налоги!$F$26:$F$55,$F33,Налоги!$G$26:$G$55,$G33)</f>
        <v>0</v>
      </c>
      <c r="AJ33" s="746">
        <f>_xlfn.SUMIFS(Налоги!AI$26:AI$55,Налоги!$F$26:$F$55,$F33,Налоги!$G$26:$G$55,$G33)</f>
        <v>0</v>
      </c>
      <c r="AK33" s="746">
        <f>_xlfn.SUMIFS(Налоги!AJ$26:AJ$55,Налоги!$F$26:$F$55,$F33,Налоги!$G$26:$G$55,$G33)</f>
        <v>0</v>
      </c>
      <c r="AL33" s="746">
        <f>_xlfn.SUMIFS(Налоги!AK$26:AK$55,Налоги!$F$26:$F$55,$F33,Налоги!$G$26:$G$55,$G33)</f>
        <v>0</v>
      </c>
      <c r="AM33" s="746">
        <f>_xlfn.SUMIFS(Налоги!AL$26:AL$55,Налоги!$F$26:$F$55,$F33,Налоги!$G$26:$G$55,$G33)</f>
        <v>0</v>
      </c>
      <c r="AN33" s="746">
        <f>_xlfn.SUMIFS(Налоги!AM$26:AM$55,Налоги!$F$26:$F$55,$F33,Налоги!$G$26:$G$55,$G33)</f>
        <v>0</v>
      </c>
      <c r="AO33" s="746">
        <f>_xlfn.SUMIFS(Налоги!AN$26:AN$55,Налоги!$F$26:$F$55,$F33,Налоги!$G$26:$G$55,$G33)</f>
        <v>0</v>
      </c>
      <c r="AP33" s="746">
        <f>_xlfn.SUMIFS(Налоги!AO$26:AO$55,Налоги!$F$26:$F$55,$F33,Налоги!$G$26:$G$55,$G33)</f>
        <v>0</v>
      </c>
      <c r="AQ33" s="746">
        <f>_xlfn.SUMIFS(Налоги!AP$26:AP$55,Налоги!$F$26:$F$55,$F33,Налоги!$G$26:$G$55,$G33)</f>
        <v>0</v>
      </c>
      <c r="AR33" s="746">
        <f>_xlfn.SUMIFS(Налоги!AQ$26:AQ$55,Налоги!$F$26:$F$55,$F33,Налоги!$G$26:$G$55,$G33)</f>
        <v>0</v>
      </c>
      <c r="AS33" s="746">
        <f>_xlfn.SUMIFS(Налоги!AR$26:AR$55,Налоги!$F$26:$F$55,$F33,Налоги!$G$26:$G$55,$G33)</f>
        <v>0</v>
      </c>
      <c r="AT33" s="746">
        <f>_xlfn.SUMIFS(Налоги!AS$26:AS$55,Налоги!$F$26:$F$55,$F33,Налоги!$G$26:$G$55,$G33)</f>
        <v>0</v>
      </c>
      <c r="AU33" s="746">
        <f>_xlfn.SUMIFS(Налоги!AT$26:AT$55,Налоги!$F$26:$F$55,$F33,Налоги!$G$26:$G$55,$G33)</f>
        <v>0</v>
      </c>
      <c r="AV33" s="746">
        <f>_xlfn.SUMIFS(Налоги!AU$26:AU$55,Налоги!$F$26:$F$55,$F33,Налоги!$G$26:$G$55,$G33)</f>
        <v>0</v>
      </c>
      <c r="AW33" s="746">
        <f>_xlfn.SUMIFS(Налоги!AV$26:AV$55,Налоги!$F$26:$F$55,$F33,Налоги!$G$26:$G$55,$G33)</f>
        <v>0</v>
      </c>
      <c r="AX33" s="746">
        <f>_xlfn.SUMIFS(Налоги!AW$26:AW$55,Налоги!$F$26:$F$55,$F33,Налоги!$G$26:$G$55,$G33)</f>
        <v>0</v>
      </c>
      <c r="AY33" s="746">
        <f>_xlfn.SUMIFS(Налоги!AX$26:AX$55,Налоги!$F$26:$F$55,$F33,Налоги!$G$26:$G$55,$G33)</f>
        <v>0</v>
      </c>
      <c r="AZ33" s="746">
        <f>_xlfn.SUMIFS(Налоги!AY$26:AY$55,Налоги!$F$26:$F$55,$F33,Налоги!$G$26:$G$55,$G33)</f>
        <v>0</v>
      </c>
      <c r="BA33" s="746">
        <f>_xlfn.SUMIFS(Налоги!AZ$26:AZ$55,Налоги!$F$26:$F$55,$F33,Налоги!$G$26:$G$55,$G33)</f>
        <v>0</v>
      </c>
      <c r="BB33" s="746">
        <f>_xlfn.SUMIFS(Налоги!BA$26:BA$55,Налоги!$F$26:$F$55,$F33,Налоги!$G$26:$G$55,$G33)</f>
        <v>0</v>
      </c>
      <c r="BC33" s="746">
        <f>_xlfn.SUMIFS(Налоги!BB$26:BB$55,Налоги!$F$26:$F$55,$F33,Налоги!$G$26:$G$55,$G33)</f>
        <v>0</v>
      </c>
      <c r="BD33" s="746">
        <f>_xlfn.SUMIFS(Налоги!BC$26:BC$55,Налоги!$F$26:$F$55,$F33,Налоги!$G$26:$G$55,$G33)</f>
        <v>0</v>
      </c>
      <c r="BE33" s="746">
        <f>_xlfn.SUMIFS(Налоги!BD$26:BD$55,Налоги!$F$26:$F$55,$F33,Налоги!$G$26:$G$55,$G33)</f>
        <v>0</v>
      </c>
      <c r="BF33" s="746">
        <f>_xlfn.SUMIFS(Налоги!BE$26:BE$55,Налоги!$F$26:$F$55,$F33,Налоги!$G$26:$G$55,$G33)</f>
        <v>0</v>
      </c>
      <c r="BG33" s="746">
        <f>_xlfn.SUMIFS(Налоги!BF$26:BF$55,Налоги!$F$26:$F$55,$F33,Налоги!$G$26:$G$55,$G33)</f>
        <v>0</v>
      </c>
      <c r="BH33" s="746">
        <f>_xlfn.SUMIFS(Налоги!BG$26:BG$55,Налоги!$F$26:$F$55,$F33,Налоги!$G$26:$G$55,$G33)</f>
        <v>0</v>
      </c>
      <c r="BI33" s="746">
        <f>_xlfn.SUMIFS(Налоги!BH$26:BH$55,Налоги!$F$26:$F$55,$F33,Налоги!$G$26:$G$55,$G33)</f>
        <v>0</v>
      </c>
      <c r="BJ33" s="746">
        <f>_xlfn.SUMIFS(Налоги!BI$26:BI$55,Налоги!$F$26:$F$55,$F33,Налоги!$G$26:$G$55,$G33)</f>
        <v>0</v>
      </c>
      <c r="BK33" s="746">
        <f>_xlfn.SUMIFS(Налоги!BJ$26:BJ$55,Налоги!$F$26:$F$55,$F33,Налоги!$G$26:$G$55,$G33)</f>
        <v>0</v>
      </c>
      <c r="BL33" s="746">
        <f>_xlfn.SUMIFS(Налоги!BK$26:BK$55,Налоги!$F$26:$F$55,$F33,Налоги!$G$26:$G$55,$G33)</f>
        <v>0</v>
      </c>
      <c r="BM33" s="746">
        <f>_xlfn.SUMIFS(Налоги!BL$26:BL$55,Налоги!$F$26:$F$55,$F33,Налоги!$G$26:$G$55,$G33)</f>
        <v>0</v>
      </c>
      <c r="BN33" s="746">
        <f>_xlfn.SUMIFS(Налоги!BM$26:BM$55,Налоги!$F$26:$F$55,$F33,Налоги!$G$26:$G$55,$G33)</f>
        <v>0</v>
      </c>
      <c r="BO33" s="746">
        <f>_xlfn.SUMIFS(Налоги!BN$26:BN$55,Налоги!$F$26:$F$55,$F33,Налоги!$G$26:$G$55,$G33)</f>
        <v>0</v>
      </c>
      <c r="BP33" s="746">
        <f>_xlfn.SUMIFS(Налоги!BO$26:BO$55,Налоги!$F$26:$F$55,$F33,Налоги!$G$26:$G$55,$G33)</f>
        <v>0</v>
      </c>
      <c r="BQ33" s="746">
        <f>_xlfn.SUMIFS(Налоги!BP$26:BP$55,Налоги!$F$26:$F$55,$F33,Налоги!$G$26:$G$55,$G33)</f>
        <v>0</v>
      </c>
      <c r="BR33" s="746">
        <f>_xlfn.SUMIFS(Налоги!BQ$26:BQ$55,Налоги!$F$26:$F$55,$F33,Налоги!$G$26:$G$55,$G33)</f>
        <v>0</v>
      </c>
      <c r="BS33" s="746">
        <f>_xlfn.SUMIFS(Налоги!BR$26:BR$55,Налоги!$F$26:$F$55,$F33,Налоги!$G$26:$G$55,$G33)</f>
        <v>0</v>
      </c>
      <c r="BT33" s="746">
        <f>_xlfn.SUMIFS(Налоги!BS$26:BS$55,Налоги!$F$26:$F$55,$F33,Налоги!$G$26:$G$55,$G33)</f>
        <v>0</v>
      </c>
      <c r="BU33" s="746">
        <f>_xlfn.SUMIFS(Налоги!BT$26:BT$55,Налоги!$F$26:$F$55,$F33,Налоги!$G$26:$G$55,$G33)</f>
        <v>0</v>
      </c>
      <c r="BV33" s="746">
        <f>_xlfn.SUMIFS(Налоги!BU$26:BU$55,Налоги!$F$26:$F$55,$F33,Налоги!$G$26:$G$55,$G33)</f>
        <v>0</v>
      </c>
      <c r="BW33" s="746">
        <f>_xlfn.SUMIFS(Налоги!BV$26:BV$55,Налоги!$F$26:$F$55,$F33,Налоги!$G$26:$G$55,$G33)</f>
        <v>0</v>
      </c>
      <c r="BX33" s="695">
        <f>IF(AI33=0,0,(BD33-AI33)/AI33*100)</f>
        <v>0</v>
      </c>
      <c r="BY33" s="695">
        <f>IF(BD33=0,0,(BE33-BD33)/BD33*100)</f>
        <v>0</v>
      </c>
      <c r="BZ33" s="695">
        <f>IF(BE33=0,0,(BF33-BE33)/BE33*100)</f>
        <v>0</v>
      </c>
      <c r="CA33" s="695">
        <f>IF(BF33=0,0,(BG33-BF33)/BF33*100)</f>
        <v>0</v>
      </c>
      <c r="CB33" s="695">
        <f>IF(BG33=0,0,(BH33-BG33)/BG33*100)</f>
        <v>0</v>
      </c>
      <c r="CC33" s="695">
        <f>IF(BH33=0,0,(BI33-BH33)/BH33*100)</f>
        <v>0</v>
      </c>
      <c r="CD33" s="695">
        <f>IF(BI33=0,0,(BJ33-BI33)/BI33*100)</f>
        <v>0</v>
      </c>
      <c r="CE33" s="695">
        <f>IF(BJ33=0,0,(BK33-BJ33)/BJ33*100)</f>
        <v>0</v>
      </c>
      <c r="CF33" s="695">
        <f>IF(BK33=0,0,(BL33-BK33)/BK33*100)</f>
        <v>0</v>
      </c>
      <c r="CG33" s="695">
        <f>IF(BL33=0,0,(BM33-BL33)/BL33*100)</f>
        <v>0</v>
      </c>
      <c r="CH33" s="695">
        <f>IF(BM33=0,0,(BN33-BM33)/BM33*100)</f>
        <v>0</v>
      </c>
      <c r="CI33" s="695">
        <f>IF(BN33=0,0,(BO33-BN33)/BN33*100)</f>
        <v>0</v>
      </c>
      <c r="CJ33" s="695">
        <f>IF(BO33=0,0,(BP33-BO33)/BO33*100)</f>
        <v>0</v>
      </c>
      <c r="CK33" s="695">
        <f>IF(BP33=0,0,(BQ33-BP33)/BP33*100)</f>
        <v>0</v>
      </c>
      <c r="CL33" s="695">
        <f>IF(BQ33=0,0,(BR33-BQ33)/BQ33*100)</f>
        <v>0</v>
      </c>
      <c r="CM33" s="695">
        <f>IF(BR33=0,0,(BS33-BR33)/BR33*100)</f>
        <v>0</v>
      </c>
      <c r="CN33" s="695">
        <f>IF(BS33=0,0,(BT33-BS33)/BS33*100)</f>
        <v>0</v>
      </c>
      <c r="CO33" s="695">
        <f>IF(BT33=0,0,(BU33-BT33)/BT33*100)</f>
        <v>0</v>
      </c>
      <c r="CP33" s="695">
        <f>IF(BU33=0,0,(BV33-BU33)/BU33*100)</f>
        <v>0</v>
      </c>
      <c r="CQ33" s="695">
        <f>IF(BV33=0,0,(BW33-BV33)/BV33*100)</f>
        <v>0</v>
      </c>
      <c r="CR33" s="83"/>
      <c r="CS33" s="83"/>
      <c r="CT33" s="83"/>
      <c r="CW33" s="489" t="s">
        <v>1640</v>
      </c>
      <c r="CX33" s="489"/>
      <c r="CY33" s="489"/>
      <c r="CZ33" s="546"/>
      <c r="DA33" s="546"/>
      <c r="DB33" s="489" t="s">
        <v>1640</v>
      </c>
      <c r="DD33" s="1501" cm="1" t="str">
        <f t="array" ref="DD33:DD33">DD32</f>
        <v>0</v>
      </c>
      <c r="DE33" s="1501"/>
      <c r="DF33" s="1501"/>
      <c r="DG33" s="1501" t="s">
        <v>1481</v>
      </c>
      <c r="DH33" s="1501"/>
      <c r="DI33" s="1501"/>
      <c r="DJ33" s="1501"/>
      <c r="DK33" s="1501"/>
      <c r="DL33" s="1501"/>
      <c r="DM33" s="1501" t="s">
        <v>303</v>
      </c>
      <c r="DN33" s="1501" t="s">
        <v>1641</v>
      </c>
      <c r="DO33" s="1504" t="s">
        <v>1642</v>
      </c>
    </row>
    <row s="972" customFormat="1" customHeight="1" ht="14.625" hidden="1">
      <c r="E34" s="180">
        <v>15</v>
      </c>
      <c r="F34" s="175" cm="1" t="str">
        <f t="array" ref="F34:F34">OFFSET(G34,-1,-1)</f>
        <v>0</v>
      </c>
      <c r="G34" s="193" t="s">
        <v>1487</v>
      </c>
      <c r="T34" s="753">
        <f>AND(F34,OR(ISBLANK(Y34),Y34))</f>
        <v>0</v>
      </c>
      <c r="AB34" s="491" t="s">
        <v>1194</v>
      </c>
      <c r="AC34" s="505" t="s">
        <v>1643</v>
      </c>
      <c r="AD34" s="491" t="s">
        <v>917</v>
      </c>
      <c r="AE34" s="746">
        <f>_xlfn.SUMIFS(Налоги!AE$26:AE$55,Налоги!$F$26:$F$55,$F34,Налоги!$G$26:$G$55,$G34)</f>
        <v>0</v>
      </c>
      <c r="AF34" s="746">
        <f>_xlfn.SUMIFS(Налоги!AF$26:AF$55,Налоги!$F$26:$F$55,$F34,Налоги!$G$26:$G$55,$G34)</f>
        <v>0</v>
      </c>
      <c r="AG34" s="746">
        <f>_xlfn.SUMIFS(Налоги!AG$26:AG$55,Налоги!$F$26:$F$55,$F34,Налоги!$G$26:$G$55,$G34)</f>
        <v>0</v>
      </c>
      <c r="AH34" s="695">
        <f>AG34-AF34</f>
        <v>0</v>
      </c>
      <c r="AI34" s="746">
        <f>_xlfn.SUMIFS(Налоги!AH$26:AH$55,Налоги!$F$26:$F$55,$F34,Налоги!$G$26:$G$55,$G34)</f>
        <v>0</v>
      </c>
      <c r="AJ34" s="746">
        <f>_xlfn.SUMIFS(Налоги!AI$26:AI$55,Налоги!$F$26:$F$55,$F34,Налоги!$G$26:$G$55,$G34)</f>
        <v>0</v>
      </c>
      <c r="AK34" s="746">
        <f>_xlfn.SUMIFS(Налоги!AJ$26:AJ$55,Налоги!$F$26:$F$55,$F34,Налоги!$G$26:$G$55,$G34)</f>
        <v>0</v>
      </c>
      <c r="AL34" s="746">
        <f>_xlfn.SUMIFS(Налоги!AK$26:AK$55,Налоги!$F$26:$F$55,$F34,Налоги!$G$26:$G$55,$G34)</f>
        <v>0</v>
      </c>
      <c r="AM34" s="746">
        <f>_xlfn.SUMIFS(Налоги!AL$26:AL$55,Налоги!$F$26:$F$55,$F34,Налоги!$G$26:$G$55,$G34)</f>
        <v>0</v>
      </c>
      <c r="AN34" s="746">
        <f>_xlfn.SUMIFS(Налоги!AM$26:AM$55,Налоги!$F$26:$F$55,$F34,Налоги!$G$26:$G$55,$G34)</f>
        <v>0</v>
      </c>
      <c r="AO34" s="746">
        <f>_xlfn.SUMIFS(Налоги!AN$26:AN$55,Налоги!$F$26:$F$55,$F34,Налоги!$G$26:$G$55,$G34)</f>
        <v>0</v>
      </c>
      <c r="AP34" s="746">
        <f>_xlfn.SUMIFS(Налоги!AO$26:AO$55,Налоги!$F$26:$F$55,$F34,Налоги!$G$26:$G$55,$G34)</f>
        <v>0</v>
      </c>
      <c r="AQ34" s="746">
        <f>_xlfn.SUMIFS(Налоги!AP$26:AP$55,Налоги!$F$26:$F$55,$F34,Налоги!$G$26:$G$55,$G34)</f>
        <v>0</v>
      </c>
      <c r="AR34" s="746">
        <f>_xlfn.SUMIFS(Налоги!AQ$26:AQ$55,Налоги!$F$26:$F$55,$F34,Налоги!$G$26:$G$55,$G34)</f>
        <v>0</v>
      </c>
      <c r="AS34" s="746">
        <f>_xlfn.SUMIFS(Налоги!AR$26:AR$55,Налоги!$F$26:$F$55,$F34,Налоги!$G$26:$G$55,$G34)</f>
        <v>0</v>
      </c>
      <c r="AT34" s="746">
        <f>_xlfn.SUMIFS(Налоги!AS$26:AS$55,Налоги!$F$26:$F$55,$F34,Налоги!$G$26:$G$55,$G34)</f>
        <v>0</v>
      </c>
      <c r="AU34" s="746">
        <f>_xlfn.SUMIFS(Налоги!AT$26:AT$55,Налоги!$F$26:$F$55,$F34,Налоги!$G$26:$G$55,$G34)</f>
        <v>0</v>
      </c>
      <c r="AV34" s="746">
        <f>_xlfn.SUMIFS(Налоги!AU$26:AU$55,Налоги!$F$26:$F$55,$F34,Налоги!$G$26:$G$55,$G34)</f>
        <v>0</v>
      </c>
      <c r="AW34" s="746">
        <f>_xlfn.SUMIFS(Налоги!AV$26:AV$55,Налоги!$F$26:$F$55,$F34,Налоги!$G$26:$G$55,$G34)</f>
        <v>0</v>
      </c>
      <c r="AX34" s="746">
        <f>_xlfn.SUMIFS(Налоги!AW$26:AW$55,Налоги!$F$26:$F$55,$F34,Налоги!$G$26:$G$55,$G34)</f>
        <v>0</v>
      </c>
      <c r="AY34" s="746">
        <f>_xlfn.SUMIFS(Налоги!AX$26:AX$55,Налоги!$F$26:$F$55,$F34,Налоги!$G$26:$G$55,$G34)</f>
        <v>0</v>
      </c>
      <c r="AZ34" s="746">
        <f>_xlfn.SUMIFS(Налоги!AY$26:AY$55,Налоги!$F$26:$F$55,$F34,Налоги!$G$26:$G$55,$G34)</f>
        <v>0</v>
      </c>
      <c r="BA34" s="746">
        <f>_xlfn.SUMIFS(Налоги!AZ$26:AZ$55,Налоги!$F$26:$F$55,$F34,Налоги!$G$26:$G$55,$G34)</f>
        <v>0</v>
      </c>
      <c r="BB34" s="746">
        <f>_xlfn.SUMIFS(Налоги!BA$26:BA$55,Налоги!$F$26:$F$55,$F34,Налоги!$G$26:$G$55,$G34)</f>
        <v>0</v>
      </c>
      <c r="BC34" s="746">
        <f>_xlfn.SUMIFS(Налоги!BB$26:BB$55,Налоги!$F$26:$F$55,$F34,Налоги!$G$26:$G$55,$G34)</f>
        <v>0</v>
      </c>
      <c r="BD34" s="746">
        <f>_xlfn.SUMIFS(Налоги!BC$26:BC$55,Налоги!$F$26:$F$55,$F34,Налоги!$G$26:$G$55,$G34)</f>
        <v>0</v>
      </c>
      <c r="BE34" s="746">
        <f>_xlfn.SUMIFS(Налоги!BD$26:BD$55,Налоги!$F$26:$F$55,$F34,Налоги!$G$26:$G$55,$G34)</f>
        <v>0</v>
      </c>
      <c r="BF34" s="746">
        <f>_xlfn.SUMIFS(Налоги!BE$26:BE$55,Налоги!$F$26:$F$55,$F34,Налоги!$G$26:$G$55,$G34)</f>
        <v>0</v>
      </c>
      <c r="BG34" s="746">
        <f>_xlfn.SUMIFS(Налоги!BF$26:BF$55,Налоги!$F$26:$F$55,$F34,Налоги!$G$26:$G$55,$G34)</f>
        <v>0</v>
      </c>
      <c r="BH34" s="746">
        <f>_xlfn.SUMIFS(Налоги!BG$26:BG$55,Налоги!$F$26:$F$55,$F34,Налоги!$G$26:$G$55,$G34)</f>
        <v>0</v>
      </c>
      <c r="BI34" s="746">
        <f>_xlfn.SUMIFS(Налоги!BH$26:BH$55,Налоги!$F$26:$F$55,$F34,Налоги!$G$26:$G$55,$G34)</f>
        <v>0</v>
      </c>
      <c r="BJ34" s="746">
        <f>_xlfn.SUMIFS(Налоги!BI$26:BI$55,Налоги!$F$26:$F$55,$F34,Налоги!$G$26:$G$55,$G34)</f>
        <v>0</v>
      </c>
      <c r="BK34" s="746">
        <f>_xlfn.SUMIFS(Налоги!BJ$26:BJ$55,Налоги!$F$26:$F$55,$F34,Налоги!$G$26:$G$55,$G34)</f>
        <v>0</v>
      </c>
      <c r="BL34" s="746">
        <f>_xlfn.SUMIFS(Налоги!BK$26:BK$55,Налоги!$F$26:$F$55,$F34,Налоги!$G$26:$G$55,$G34)</f>
        <v>0</v>
      </c>
      <c r="BM34" s="746">
        <f>_xlfn.SUMIFS(Налоги!BL$26:BL$55,Налоги!$F$26:$F$55,$F34,Налоги!$G$26:$G$55,$G34)</f>
        <v>0</v>
      </c>
      <c r="BN34" s="746">
        <f>_xlfn.SUMIFS(Налоги!BM$26:BM$55,Налоги!$F$26:$F$55,$F34,Налоги!$G$26:$G$55,$G34)</f>
        <v>0</v>
      </c>
      <c r="BO34" s="746">
        <f>_xlfn.SUMIFS(Налоги!BN$26:BN$55,Налоги!$F$26:$F$55,$F34,Налоги!$G$26:$G$55,$G34)</f>
        <v>0</v>
      </c>
      <c r="BP34" s="746">
        <f>_xlfn.SUMIFS(Налоги!BO$26:BO$55,Налоги!$F$26:$F$55,$F34,Налоги!$G$26:$G$55,$G34)</f>
        <v>0</v>
      </c>
      <c r="BQ34" s="746">
        <f>_xlfn.SUMIFS(Налоги!BP$26:BP$55,Налоги!$F$26:$F$55,$F34,Налоги!$G$26:$G$55,$G34)</f>
        <v>0</v>
      </c>
      <c r="BR34" s="746">
        <f>_xlfn.SUMIFS(Налоги!BQ$26:BQ$55,Налоги!$F$26:$F$55,$F34,Налоги!$G$26:$G$55,$G34)</f>
        <v>0</v>
      </c>
      <c r="BS34" s="746">
        <f>_xlfn.SUMIFS(Налоги!BR$26:BR$55,Налоги!$F$26:$F$55,$F34,Налоги!$G$26:$G$55,$G34)</f>
        <v>0</v>
      </c>
      <c r="BT34" s="746">
        <f>_xlfn.SUMIFS(Налоги!BS$26:BS$55,Налоги!$F$26:$F$55,$F34,Налоги!$G$26:$G$55,$G34)</f>
        <v>0</v>
      </c>
      <c r="BU34" s="746">
        <f>_xlfn.SUMIFS(Налоги!BT$26:BT$55,Налоги!$F$26:$F$55,$F34,Налоги!$G$26:$G$55,$G34)</f>
        <v>0</v>
      </c>
      <c r="BV34" s="746">
        <f>_xlfn.SUMIFS(Налоги!BU$26:BU$55,Налоги!$F$26:$F$55,$F34,Налоги!$G$26:$G$55,$G34)</f>
        <v>0</v>
      </c>
      <c r="BW34" s="746">
        <f>_xlfn.SUMIFS(Налоги!BV$26:BV$55,Налоги!$F$26:$F$55,$F34,Налоги!$G$26:$G$55,$G34)</f>
        <v>0</v>
      </c>
      <c r="BX34" s="695">
        <f>IF(AI34=0,0,(BD34-AI34)/AI34*100)</f>
        <v>0</v>
      </c>
      <c r="BY34" s="695">
        <f>IF(BD34=0,0,(BE34-BD34)/BD34*100)</f>
        <v>0</v>
      </c>
      <c r="BZ34" s="695">
        <f>IF(BE34=0,0,(BF34-BE34)/BE34*100)</f>
        <v>0</v>
      </c>
      <c r="CA34" s="695">
        <f>IF(BF34=0,0,(BG34-BF34)/BF34*100)</f>
        <v>0</v>
      </c>
      <c r="CB34" s="695">
        <f>IF(BG34=0,0,(BH34-BG34)/BG34*100)</f>
        <v>0</v>
      </c>
      <c r="CC34" s="695">
        <f>IF(BH34=0,0,(BI34-BH34)/BH34*100)</f>
        <v>0</v>
      </c>
      <c r="CD34" s="695">
        <f>IF(BI34=0,0,(BJ34-BI34)/BI34*100)</f>
        <v>0</v>
      </c>
      <c r="CE34" s="695">
        <f>IF(BJ34=0,0,(BK34-BJ34)/BJ34*100)</f>
        <v>0</v>
      </c>
      <c r="CF34" s="695">
        <f>IF(BK34=0,0,(BL34-BK34)/BK34*100)</f>
        <v>0</v>
      </c>
      <c r="CG34" s="695">
        <f>IF(BL34=0,0,(BM34-BL34)/BL34*100)</f>
        <v>0</v>
      </c>
      <c r="CH34" s="695">
        <f>IF(BM34=0,0,(BN34-BM34)/BM34*100)</f>
        <v>0</v>
      </c>
      <c r="CI34" s="695">
        <f>IF(BN34=0,0,(BO34-BN34)/BN34*100)</f>
        <v>0</v>
      </c>
      <c r="CJ34" s="695">
        <f>IF(BO34=0,0,(BP34-BO34)/BO34*100)</f>
        <v>0</v>
      </c>
      <c r="CK34" s="695">
        <f>IF(BP34=0,0,(BQ34-BP34)/BP34*100)</f>
        <v>0</v>
      </c>
      <c r="CL34" s="695">
        <f>IF(BQ34=0,0,(BR34-BQ34)/BQ34*100)</f>
        <v>0</v>
      </c>
      <c r="CM34" s="695">
        <f>IF(BR34=0,0,(BS34-BR34)/BR34*100)</f>
        <v>0</v>
      </c>
      <c r="CN34" s="695">
        <f>IF(BS34=0,0,(BT34-BS34)/BS34*100)</f>
        <v>0</v>
      </c>
      <c r="CO34" s="695">
        <f>IF(BT34=0,0,(BU34-BT34)/BT34*100)</f>
        <v>0</v>
      </c>
      <c r="CP34" s="695">
        <f>IF(BU34=0,0,(BV34-BU34)/BU34*100)</f>
        <v>0</v>
      </c>
      <c r="CQ34" s="695">
        <f>IF(BV34=0,0,(BW34-BV34)/BV34*100)</f>
        <v>0</v>
      </c>
      <c r="CR34" s="83"/>
      <c r="CS34" s="83"/>
      <c r="CT34" s="83"/>
      <c r="CW34" s="489" t="s">
        <v>1644</v>
      </c>
      <c r="CX34" s="489"/>
      <c r="CY34" s="489"/>
      <c r="CZ34" s="546"/>
      <c r="DA34" s="546"/>
      <c r="DB34" s="489" t="s">
        <v>1644</v>
      </c>
      <c r="DD34" s="1501" cm="1" t="str">
        <f t="array" ref="DD34:DD34">DD33</f>
        <v>0</v>
      </c>
      <c r="DE34" s="1501"/>
      <c r="DF34" s="1501"/>
      <c r="DG34" s="1501" t="s">
        <v>1490</v>
      </c>
      <c r="DH34" s="1501"/>
      <c r="DI34" s="1501"/>
      <c r="DJ34" s="1501"/>
      <c r="DK34" s="1501"/>
      <c r="DL34" s="1501"/>
      <c r="DM34" s="1501" t="s">
        <v>303</v>
      </c>
      <c r="DN34" s="1501" t="s">
        <v>1645</v>
      </c>
      <c r="DO34" s="1504" t="s">
        <v>1643</v>
      </c>
    </row>
    <row s="972" customFormat="1" customHeight="1" ht="14.625" hidden="1">
      <c r="E35" s="180">
        <v>15</v>
      </c>
      <c r="F35" s="175" cm="1" t="str">
        <f t="array" ref="F35:F35">OFFSET(G35,-1,-1)</f>
        <v>0</v>
      </c>
      <c r="G35" s="193" t="s">
        <v>1482</v>
      </c>
      <c r="T35" s="753">
        <f>AND(F35,OR(ISBLANK(Y35),Y35))</f>
        <v>0</v>
      </c>
      <c r="AB35" s="491" t="s">
        <v>1198</v>
      </c>
      <c r="AC35" s="505" t="s">
        <v>1646</v>
      </c>
      <c r="AD35" s="491" t="s">
        <v>917</v>
      </c>
      <c r="AE35" s="132">
        <f>_xlfn.SUMIFS(Налоги!AE$26:AE$55,Налоги!$F$26:$F$55,$F35,Налоги!$G$26:$G$55,$G35)</f>
        <v>0</v>
      </c>
      <c r="AF35" s="132">
        <f>_xlfn.SUMIFS(Налоги!AF$26:AF$55,Налоги!$F$26:$F$55,$F35,Налоги!$G$26:$G$55,$G35)</f>
        <v>0</v>
      </c>
      <c r="AG35" s="132">
        <f>_xlfn.SUMIFS(Налоги!AG$26:AG$55,Налоги!$F$26:$F$55,$F35,Налоги!$G$26:$G$55,$G35)</f>
        <v>0</v>
      </c>
      <c r="AH35" s="695">
        <f>AG35-AF35</f>
        <v>0</v>
      </c>
      <c r="AI35" s="132">
        <f>_xlfn.SUMIFS(Налоги!AH$26:AH$55,Налоги!$F$26:$F$55,$F35,Налоги!$G$26:$G$55,$G35)</f>
        <v>0</v>
      </c>
      <c r="AJ35" s="749">
        <f>_xlfn.SUMIFS(Налоги!AI$26:AI$55,Налоги!$F$26:$F$55,$F35,Налоги!$G$26:$G$55,$G35)</f>
        <v>0</v>
      </c>
      <c r="AK35" s="132">
        <f>_xlfn.SUMIFS(Налоги!AJ$26:AJ$55,Налоги!$F$26:$F$55,$F35,Налоги!$G$26:$G$55,$G35)</f>
        <v>0</v>
      </c>
      <c r="AL35" s="132">
        <f>_xlfn.SUMIFS(Налоги!AK$26:AK$55,Налоги!$F$26:$F$55,$F35,Налоги!$G$26:$G$55,$G35)</f>
        <v>0</v>
      </c>
      <c r="AM35" s="132">
        <f>_xlfn.SUMIFS(Налоги!AL$26:AL$55,Налоги!$F$26:$F$55,$F35,Налоги!$G$26:$G$55,$G35)</f>
        <v>0</v>
      </c>
      <c r="AN35" s="132">
        <f>_xlfn.SUMIFS(Налоги!AM$26:AM$55,Налоги!$F$26:$F$55,$F35,Налоги!$G$26:$G$55,$G35)</f>
        <v>0</v>
      </c>
      <c r="AO35" s="132">
        <f>_xlfn.SUMIFS(Налоги!AN$26:AN$55,Налоги!$F$26:$F$55,$F35,Налоги!$G$26:$G$55,$G35)</f>
        <v>0</v>
      </c>
      <c r="AP35" s="132">
        <f>_xlfn.SUMIFS(Налоги!AO$26:AO$55,Налоги!$F$26:$F$55,$F35,Налоги!$G$26:$G$55,$G35)</f>
        <v>0</v>
      </c>
      <c r="AQ35" s="132">
        <f>_xlfn.SUMIFS(Налоги!AP$26:AP$55,Налоги!$F$26:$F$55,$F35,Налоги!$G$26:$G$55,$G35)</f>
        <v>0</v>
      </c>
      <c r="AR35" s="132">
        <f>_xlfn.SUMIFS(Налоги!AQ$26:AQ$55,Налоги!$F$26:$F$55,$F35,Налоги!$G$26:$G$55,$G35)</f>
        <v>0</v>
      </c>
      <c r="AS35" s="132">
        <f>_xlfn.SUMIFS(Налоги!AR$26:AR$55,Налоги!$F$26:$F$55,$F35,Налоги!$G$26:$G$55,$G35)</f>
        <v>0</v>
      </c>
      <c r="AT35" s="132">
        <f>_xlfn.SUMIFS(Налоги!AS$26:AS$55,Налоги!$F$26:$F$55,$F35,Налоги!$G$26:$G$55,$G35)</f>
        <v>0</v>
      </c>
      <c r="AU35" s="132">
        <f>_xlfn.SUMIFS(Налоги!AT$26:AT$55,Налоги!$F$26:$F$55,$F35,Налоги!$G$26:$G$55,$G35)</f>
        <v>0</v>
      </c>
      <c r="AV35" s="132">
        <f>_xlfn.SUMIFS(Налоги!AU$26:AU$55,Налоги!$F$26:$F$55,$F35,Налоги!$G$26:$G$55,$G35)</f>
        <v>0</v>
      </c>
      <c r="AW35" s="132">
        <f>_xlfn.SUMIFS(Налоги!AV$26:AV$55,Налоги!$F$26:$F$55,$F35,Налоги!$G$26:$G$55,$G35)</f>
        <v>0</v>
      </c>
      <c r="AX35" s="132">
        <f>_xlfn.SUMIFS(Налоги!AW$26:AW$55,Налоги!$F$26:$F$55,$F35,Налоги!$G$26:$G$55,$G35)</f>
        <v>0</v>
      </c>
      <c r="AY35" s="132">
        <f>_xlfn.SUMIFS(Налоги!AX$26:AX$55,Налоги!$F$26:$F$55,$F35,Налоги!$G$26:$G$55,$G35)</f>
        <v>0</v>
      </c>
      <c r="AZ35" s="132">
        <f>_xlfn.SUMIFS(Налоги!AY$26:AY$55,Налоги!$F$26:$F$55,$F35,Налоги!$G$26:$G$55,$G35)</f>
        <v>0</v>
      </c>
      <c r="BA35" s="132">
        <f>_xlfn.SUMIFS(Налоги!AZ$26:AZ$55,Налоги!$F$26:$F$55,$F35,Налоги!$G$26:$G$55,$G35)</f>
        <v>0</v>
      </c>
      <c r="BB35" s="132">
        <f>_xlfn.SUMIFS(Налоги!BA$26:BA$55,Налоги!$F$26:$F$55,$F35,Налоги!$G$26:$G$55,$G35)</f>
        <v>0</v>
      </c>
      <c r="BC35" s="132">
        <f>_xlfn.SUMIFS(Налоги!BB$26:BB$55,Налоги!$F$26:$F$55,$F35,Налоги!$G$26:$G$55,$G35)</f>
        <v>0</v>
      </c>
      <c r="BD35" s="749">
        <f>_xlfn.SUMIFS(Налоги!BC$26:BC$55,Налоги!$F$26:$F$55,$F35,Налоги!$G$26:$G$55,$G35)</f>
        <v>0</v>
      </c>
      <c r="BE35" s="132">
        <f>_xlfn.SUMIFS(Налоги!BD$26:BD$55,Налоги!$F$26:$F$55,$F35,Налоги!$G$26:$G$55,$G35)</f>
        <v>0</v>
      </c>
      <c r="BF35" s="132">
        <f>_xlfn.SUMIFS(Налоги!BE$26:BE$55,Налоги!$F$26:$F$55,$F35,Налоги!$G$26:$G$55,$G35)</f>
        <v>0</v>
      </c>
      <c r="BG35" s="132">
        <f>_xlfn.SUMIFS(Налоги!BF$26:BF$55,Налоги!$F$26:$F$55,$F35,Налоги!$G$26:$G$55,$G35)</f>
        <v>0</v>
      </c>
      <c r="BH35" s="132">
        <f>_xlfn.SUMIFS(Налоги!BG$26:BG$55,Налоги!$F$26:$F$55,$F35,Налоги!$G$26:$G$55,$G35)</f>
        <v>0</v>
      </c>
      <c r="BI35" s="132">
        <f>_xlfn.SUMIFS(Налоги!BH$26:BH$55,Налоги!$F$26:$F$55,$F35,Налоги!$G$26:$G$55,$G35)</f>
        <v>0</v>
      </c>
      <c r="BJ35" s="132">
        <f>_xlfn.SUMIFS(Налоги!BI$26:BI$55,Налоги!$F$26:$F$55,$F35,Налоги!$G$26:$G$55,$G35)</f>
        <v>0</v>
      </c>
      <c r="BK35" s="132">
        <f>_xlfn.SUMIFS(Налоги!BJ$26:BJ$55,Налоги!$F$26:$F$55,$F35,Налоги!$G$26:$G$55,$G35)</f>
        <v>0</v>
      </c>
      <c r="BL35" s="132">
        <f>_xlfn.SUMIFS(Налоги!BK$26:BK$55,Налоги!$F$26:$F$55,$F35,Налоги!$G$26:$G$55,$G35)</f>
        <v>0</v>
      </c>
      <c r="BM35" s="132">
        <f>_xlfn.SUMIFS(Налоги!BL$26:BL$55,Налоги!$F$26:$F$55,$F35,Налоги!$G$26:$G$55,$G35)</f>
        <v>0</v>
      </c>
      <c r="BN35" s="132">
        <f>_xlfn.SUMIFS(Налоги!BM$26:BM$55,Налоги!$F$26:$F$55,$F35,Налоги!$G$26:$G$55,$G35)</f>
        <v>0</v>
      </c>
      <c r="BO35" s="132">
        <f>_xlfn.SUMIFS(Налоги!BN$26:BN$55,Налоги!$F$26:$F$55,$F35,Налоги!$G$26:$G$55,$G35)</f>
        <v>0</v>
      </c>
      <c r="BP35" s="132">
        <f>_xlfn.SUMIFS(Налоги!BO$26:BO$55,Налоги!$F$26:$F$55,$F35,Налоги!$G$26:$G$55,$G35)</f>
        <v>0</v>
      </c>
      <c r="BQ35" s="132">
        <f>_xlfn.SUMIFS(Налоги!BP$26:BP$55,Налоги!$F$26:$F$55,$F35,Налоги!$G$26:$G$55,$G35)</f>
        <v>0</v>
      </c>
      <c r="BR35" s="132">
        <f>_xlfn.SUMIFS(Налоги!BQ$26:BQ$55,Налоги!$F$26:$F$55,$F35,Налоги!$G$26:$G$55,$G35)</f>
        <v>0</v>
      </c>
      <c r="BS35" s="132">
        <f>_xlfn.SUMIFS(Налоги!BR$26:BR$55,Налоги!$F$26:$F$55,$F35,Налоги!$G$26:$G$55,$G35)</f>
        <v>0</v>
      </c>
      <c r="BT35" s="132">
        <f>_xlfn.SUMIFS(Налоги!BS$26:BS$55,Налоги!$F$26:$F$55,$F35,Налоги!$G$26:$G$55,$G35)</f>
        <v>0</v>
      </c>
      <c r="BU35" s="132">
        <f>_xlfn.SUMIFS(Налоги!BT$26:BT$55,Налоги!$F$26:$F$55,$F35,Налоги!$G$26:$G$55,$G35)</f>
        <v>0</v>
      </c>
      <c r="BV35" s="132">
        <f>_xlfn.SUMIFS(Налоги!BU$26:BU$55,Налоги!$F$26:$F$55,$F35,Налоги!$G$26:$G$55,$G35)</f>
        <v>0</v>
      </c>
      <c r="BW35" s="132">
        <f>_xlfn.SUMIFS(Налоги!BV$26:BV$55,Налоги!$F$26:$F$55,$F35,Налоги!$G$26:$G$55,$G35)</f>
        <v>0</v>
      </c>
      <c r="BX35" s="695">
        <f>IF(AI35=0,0,(BD35-AI35)/AI35*100)</f>
        <v>0</v>
      </c>
      <c r="BY35" s="695">
        <f>IF(BD35=0,0,(BE35-BD35)/BD35*100)</f>
        <v>0</v>
      </c>
      <c r="BZ35" s="695">
        <f>IF(BE35=0,0,(BF35-BE35)/BE35*100)</f>
        <v>0</v>
      </c>
      <c r="CA35" s="695">
        <f>IF(BF35=0,0,(BG35-BF35)/BF35*100)</f>
        <v>0</v>
      </c>
      <c r="CB35" s="695">
        <f>IF(BG35=0,0,(BH35-BG35)/BG35*100)</f>
        <v>0</v>
      </c>
      <c r="CC35" s="695">
        <f>IF(BH35=0,0,(BI35-BH35)/BH35*100)</f>
        <v>0</v>
      </c>
      <c r="CD35" s="695">
        <f>IF(BI35=0,0,(BJ35-BI35)/BI35*100)</f>
        <v>0</v>
      </c>
      <c r="CE35" s="695">
        <f>IF(BJ35=0,0,(BK35-BJ35)/BJ35*100)</f>
        <v>0</v>
      </c>
      <c r="CF35" s="695">
        <f>IF(BK35=0,0,(BL35-BK35)/BK35*100)</f>
        <v>0</v>
      </c>
      <c r="CG35" s="695">
        <f>IF(BL35=0,0,(BM35-BL35)/BL35*100)</f>
        <v>0</v>
      </c>
      <c r="CH35" s="695">
        <f>IF(BM35=0,0,(BN35-BM35)/BM35*100)</f>
        <v>0</v>
      </c>
      <c r="CI35" s="695">
        <f>IF(BN35=0,0,(BO35-BN35)/BN35*100)</f>
        <v>0</v>
      </c>
      <c r="CJ35" s="695">
        <f>IF(BO35=0,0,(BP35-BO35)/BO35*100)</f>
        <v>0</v>
      </c>
      <c r="CK35" s="695">
        <f>IF(BP35=0,0,(BQ35-BP35)/BP35*100)</f>
        <v>0</v>
      </c>
      <c r="CL35" s="695">
        <f>IF(BQ35=0,0,(BR35-BQ35)/BQ35*100)</f>
        <v>0</v>
      </c>
      <c r="CM35" s="695">
        <f>IF(BR35=0,0,(BS35-BR35)/BR35*100)</f>
        <v>0</v>
      </c>
      <c r="CN35" s="695">
        <f>IF(BS35=0,0,(BT35-BS35)/BS35*100)</f>
        <v>0</v>
      </c>
      <c r="CO35" s="695">
        <f>IF(BT35=0,0,(BU35-BT35)/BT35*100)</f>
        <v>0</v>
      </c>
      <c r="CP35" s="695">
        <f>IF(BU35=0,0,(BV35-BU35)/BU35*100)</f>
        <v>0</v>
      </c>
      <c r="CQ35" s="695">
        <f>IF(BV35=0,0,(BW35-BV35)/BV35*100)</f>
        <v>0</v>
      </c>
      <c r="CR35" s="83"/>
      <c r="CS35" s="83"/>
      <c r="CT35" s="83"/>
      <c r="CW35" s="489" t="s">
        <v>1509</v>
      </c>
      <c r="CX35" s="489"/>
      <c r="CY35" s="489"/>
      <c r="CZ35" s="546"/>
      <c r="DA35" s="546"/>
      <c r="DB35" s="489" t="s">
        <v>1509</v>
      </c>
      <c r="DD35" s="1501" cm="1" t="str">
        <f t="array" ref="DD35:DD35">DD34</f>
        <v>0</v>
      </c>
      <c r="DE35" s="1501"/>
      <c r="DF35" s="1501"/>
      <c r="DG35" s="1501" t="s">
        <v>1404</v>
      </c>
      <c r="DH35" s="1501"/>
      <c r="DI35" s="1501"/>
      <c r="DJ35" s="1501"/>
      <c r="DK35" s="1501"/>
      <c r="DL35" s="1501"/>
      <c r="DM35" s="1501" t="s">
        <v>303</v>
      </c>
      <c r="DN35" s="1501" t="s">
        <v>1044</v>
      </c>
      <c r="DO35" s="1504" t="s">
        <v>1045</v>
      </c>
    </row>
    <row customHeight="1" ht="14.625" hidden="1">
      <c r="E36" s="180">
        <v>15</v>
      </c>
      <c r="F36" s="175" cm="1" t="str">
        <f t="array" ref="F36:F36">OFFSET(G36,-1,-1)</f>
        <v>0</v>
      </c>
      <c r="T36" s="753">
        <f>AND(F36,OR(ISBLANK(Y36),Y36))</f>
        <v>0</v>
      </c>
      <c r="AB36" s="491">
        <v>1.5</v>
      </c>
      <c r="AC36" s="505" t="s">
        <v>1647</v>
      </c>
      <c r="AD36" s="491" t="s">
        <v>917</v>
      </c>
      <c r="AE36" s="132"/>
      <c r="AF36" s="132"/>
      <c r="AG36" s="132"/>
      <c r="AH36" s="695">
        <f>AG36-AF36</f>
        <v>0</v>
      </c>
      <c r="AI36" s="132"/>
      <c r="AJ36" s="749"/>
      <c r="AK36" s="132"/>
      <c r="AL36" s="132"/>
      <c r="AM36" s="132"/>
      <c r="AN36" s="132"/>
      <c r="AO36" s="132"/>
      <c r="AP36" s="132"/>
      <c r="AQ36" s="132"/>
      <c r="AR36" s="132"/>
      <c r="AS36" s="132"/>
      <c r="AT36" s="132"/>
      <c r="AU36" s="132"/>
      <c r="AV36" s="132"/>
      <c r="AW36" s="132"/>
      <c r="AX36" s="132"/>
      <c r="AY36" s="132"/>
      <c r="AZ36" s="132"/>
      <c r="BA36" s="132"/>
      <c r="BB36" s="132"/>
      <c r="BC36" s="132"/>
      <c r="BD36" s="749"/>
      <c r="BE36" s="132"/>
      <c r="BF36" s="132"/>
      <c r="BG36" s="132"/>
      <c r="BH36" s="132"/>
      <c r="BI36" s="132"/>
      <c r="BJ36" s="132"/>
      <c r="BK36" s="132"/>
      <c r="BL36" s="132"/>
      <c r="BM36" s="132"/>
      <c r="BN36" s="132"/>
      <c r="BO36" s="132"/>
      <c r="BP36" s="132"/>
      <c r="BQ36" s="132"/>
      <c r="BR36" s="132"/>
      <c r="BS36" s="132"/>
      <c r="BT36" s="132"/>
      <c r="BU36" s="132"/>
      <c r="BV36" s="132"/>
      <c r="BW36" s="132"/>
      <c r="BX36" s="695">
        <f>IF(AI36=0,0,(BD36-AI36)/AI36*100)</f>
        <v>0</v>
      </c>
      <c r="BY36" s="695">
        <f>IF(BD36=0,0,(BE36-BD36)/BD36*100)</f>
        <v>0</v>
      </c>
      <c r="BZ36" s="695">
        <f>IF(BE36=0,0,(BF36-BE36)/BE36*100)</f>
        <v>0</v>
      </c>
      <c r="CA36" s="695">
        <f>IF(BF36=0,0,(BG36-BF36)/BF36*100)</f>
        <v>0</v>
      </c>
      <c r="CB36" s="695">
        <f>IF(BG36=0,0,(BH36-BG36)/BG36*100)</f>
        <v>0</v>
      </c>
      <c r="CC36" s="695">
        <f>IF(BH36=0,0,(BI36-BH36)/BH36*100)</f>
        <v>0</v>
      </c>
      <c r="CD36" s="695">
        <f>IF(BI36=0,0,(BJ36-BI36)/BI36*100)</f>
        <v>0</v>
      </c>
      <c r="CE36" s="695">
        <f>IF(BJ36=0,0,(BK36-BJ36)/BJ36*100)</f>
        <v>0</v>
      </c>
      <c r="CF36" s="695">
        <f>IF(BK36=0,0,(BL36-BK36)/BK36*100)</f>
        <v>0</v>
      </c>
      <c r="CG36" s="695">
        <f>IF(BL36=0,0,(BM36-BL36)/BL36*100)</f>
        <v>0</v>
      </c>
      <c r="CH36" s="695">
        <f>IF(BM36=0,0,(BN36-BM36)/BM36*100)</f>
        <v>0</v>
      </c>
      <c r="CI36" s="695">
        <f>IF(BN36=0,0,(BO36-BN36)/BN36*100)</f>
        <v>0</v>
      </c>
      <c r="CJ36" s="695">
        <f>IF(BO36=0,0,(BP36-BO36)/BO36*100)</f>
        <v>0</v>
      </c>
      <c r="CK36" s="695">
        <f>IF(BP36=0,0,(BQ36-BP36)/BP36*100)</f>
        <v>0</v>
      </c>
      <c r="CL36" s="695">
        <f>IF(BQ36=0,0,(BR36-BQ36)/BQ36*100)</f>
        <v>0</v>
      </c>
      <c r="CM36" s="695">
        <f>IF(BR36=0,0,(BS36-BR36)/BR36*100)</f>
        <v>0</v>
      </c>
      <c r="CN36" s="695">
        <f>IF(BS36=0,0,(BT36-BS36)/BS36*100)</f>
        <v>0</v>
      </c>
      <c r="CO36" s="695">
        <f>IF(BT36=0,0,(BU36-BT36)/BT36*100)</f>
        <v>0</v>
      </c>
      <c r="CP36" s="695">
        <f>IF(BU36=0,0,(BV36-BU36)/BU36*100)</f>
        <v>0</v>
      </c>
      <c r="CQ36" s="695">
        <f>IF(BV36=0,0,(BW36-BV36)/BV36*100)</f>
        <v>0</v>
      </c>
      <c r="CR36" s="83"/>
      <c r="CS36" s="83"/>
      <c r="CT36" s="83"/>
      <c r="CW36" s="489" t="s">
        <v>1648</v>
      </c>
      <c r="CX36" s="489"/>
      <c r="CY36" s="489"/>
      <c r="CZ36" s="546"/>
      <c r="DA36" s="546"/>
      <c r="DB36" s="489" t="s">
        <v>1648</v>
      </c>
      <c r="DD36" s="1501" cm="1" t="str">
        <f t="array" ref="DD36:DD36">DD35</f>
        <v>0</v>
      </c>
      <c r="DE36" s="1501"/>
      <c r="DF36" s="1501"/>
      <c r="DG36" s="1501" t="s">
        <v>1649</v>
      </c>
      <c r="DH36" s="1501"/>
      <c r="DI36" s="1501"/>
      <c r="DJ36" s="1501"/>
      <c r="DK36" s="1501" t="s">
        <v>219</v>
      </c>
      <c r="DL36" s="1501"/>
      <c r="DM36" s="1501" t="s">
        <v>303</v>
      </c>
      <c r="DN36" s="1501" t="s">
        <v>1650</v>
      </c>
      <c r="DO36" s="1504" t="s">
        <v>1651</v>
      </c>
    </row>
    <row customHeight="1" ht="14.625" hidden="1">
      <c r="E37" s="180">
        <v>15</v>
      </c>
      <c r="F37" s="175" cm="1" t="str">
        <f t="array" ref="F37:F37">OFFSET(G37,-1,-1)</f>
        <v>0</v>
      </c>
      <c r="T37" s="753">
        <f>AND(F37,OR(ISBLANK(Y37),Y37))</f>
        <v>0</v>
      </c>
      <c r="AB37" s="491" t="s">
        <v>1652</v>
      </c>
      <c r="AC37" s="519" t="s">
        <v>1653</v>
      </c>
      <c r="AD37" s="491" t="s">
        <v>495</v>
      </c>
      <c r="AE37" s="125"/>
      <c r="AF37" s="125"/>
      <c r="AG37" s="125"/>
      <c r="AH37" s="695">
        <f>AG37-AF37</f>
        <v>0</v>
      </c>
      <c r="AI37" s="125"/>
      <c r="AJ37" s="716"/>
      <c r="AK37" s="125"/>
      <c r="AL37" s="125"/>
      <c r="AM37" s="125"/>
      <c r="AN37" s="125"/>
      <c r="AO37" s="125"/>
      <c r="AP37" s="125"/>
      <c r="AQ37" s="125"/>
      <c r="AR37" s="125"/>
      <c r="AS37" s="125"/>
      <c r="AT37" s="125"/>
      <c r="AU37" s="125"/>
      <c r="AV37" s="125"/>
      <c r="AW37" s="125"/>
      <c r="AX37" s="125"/>
      <c r="AY37" s="125"/>
      <c r="AZ37" s="125"/>
      <c r="BA37" s="125"/>
      <c r="BB37" s="125"/>
      <c r="BC37" s="125"/>
      <c r="BD37" s="716"/>
      <c r="BE37" s="125"/>
      <c r="BF37" s="125"/>
      <c r="BG37" s="125"/>
      <c r="BH37" s="125"/>
      <c r="BI37" s="125"/>
      <c r="BJ37" s="125"/>
      <c r="BK37" s="125"/>
      <c r="BL37" s="125"/>
      <c r="BM37" s="125"/>
      <c r="BN37" s="125"/>
      <c r="BO37" s="125"/>
      <c r="BP37" s="125"/>
      <c r="BQ37" s="125"/>
      <c r="BR37" s="125"/>
      <c r="BS37" s="125"/>
      <c r="BT37" s="125"/>
      <c r="BU37" s="125"/>
      <c r="BV37" s="125"/>
      <c r="BW37" s="125"/>
      <c r="BX37" s="695">
        <f>IF(AI37=0,0,(BD37-AI37)/AI37*100)</f>
        <v>0</v>
      </c>
      <c r="BY37" s="695">
        <f>IF(BD37=0,0,(BE37-BD37)/BD37*100)</f>
        <v>0</v>
      </c>
      <c r="BZ37" s="695">
        <f>IF(BE37=0,0,(BF37-BE37)/BE37*100)</f>
        <v>0</v>
      </c>
      <c r="CA37" s="695">
        <f>IF(BF37=0,0,(BG37-BF37)/BF37*100)</f>
        <v>0</v>
      </c>
      <c r="CB37" s="695">
        <f>IF(BG37=0,0,(BH37-BG37)/BG37*100)</f>
        <v>0</v>
      </c>
      <c r="CC37" s="695">
        <f>IF(BH37=0,0,(BI37-BH37)/BH37*100)</f>
        <v>0</v>
      </c>
      <c r="CD37" s="695">
        <f>IF(BI37=0,0,(BJ37-BI37)/BI37*100)</f>
        <v>0</v>
      </c>
      <c r="CE37" s="695">
        <f>IF(BJ37=0,0,(BK37-BJ37)/BJ37*100)</f>
        <v>0</v>
      </c>
      <c r="CF37" s="695">
        <f>IF(BK37=0,0,(BL37-BK37)/BK37*100)</f>
        <v>0</v>
      </c>
      <c r="CG37" s="695">
        <f>IF(BL37=0,0,(BM37-BL37)/BL37*100)</f>
        <v>0</v>
      </c>
      <c r="CH37" s="695">
        <f>IF(BM37=0,0,(BN37-BM37)/BM37*100)</f>
        <v>0</v>
      </c>
      <c r="CI37" s="695">
        <f>IF(BN37=0,0,(BO37-BN37)/BN37*100)</f>
        <v>0</v>
      </c>
      <c r="CJ37" s="695">
        <f>IF(BO37=0,0,(BP37-BO37)/BO37*100)</f>
        <v>0</v>
      </c>
      <c r="CK37" s="695">
        <f>IF(BP37=0,0,(BQ37-BP37)/BP37*100)</f>
        <v>0</v>
      </c>
      <c r="CL37" s="695">
        <f>IF(BQ37=0,0,(BR37-BQ37)/BQ37*100)</f>
        <v>0</v>
      </c>
      <c r="CM37" s="695">
        <f>IF(BR37=0,0,(BS37-BR37)/BR37*100)</f>
        <v>0</v>
      </c>
      <c r="CN37" s="695">
        <f>IF(BS37=0,0,(BT37-BS37)/BS37*100)</f>
        <v>0</v>
      </c>
      <c r="CO37" s="695">
        <f>IF(BT37=0,0,(BU37-BT37)/BT37*100)</f>
        <v>0</v>
      </c>
      <c r="CP37" s="695">
        <f>IF(BU37=0,0,(BV37-BU37)/BU37*100)</f>
        <v>0</v>
      </c>
      <c r="CQ37" s="695">
        <f>IF(BV37=0,0,(BW37-BV37)/BV37*100)</f>
        <v>0</v>
      </c>
      <c r="CR37" s="83"/>
      <c r="CS37" s="83"/>
      <c r="CT37" s="83"/>
      <c r="CW37" s="489" t="s">
        <v>1654</v>
      </c>
      <c r="CX37" s="489"/>
      <c r="CY37" s="489"/>
      <c r="CZ37" s="546"/>
      <c r="DA37" s="546"/>
      <c r="DB37" s="489" t="s">
        <v>1654</v>
      </c>
      <c r="DD37" s="1501" cm="1" t="str">
        <f t="array" ref="DD37:DD37">DD36</f>
        <v>0</v>
      </c>
      <c r="DE37" s="1501"/>
      <c r="DF37" s="1501"/>
      <c r="DG37" s="1501" t="s">
        <v>1649</v>
      </c>
      <c r="DH37" s="1501"/>
      <c r="DI37" s="1501"/>
      <c r="DJ37" s="1501"/>
      <c r="DK37" s="1501" t="s">
        <v>255</v>
      </c>
      <c r="DL37" s="1501"/>
      <c r="DM37" s="1501" t="s">
        <v>303</v>
      </c>
      <c r="DN37" s="1501" t="s">
        <v>1655</v>
      </c>
      <c r="DO37" s="1504" t="s">
        <v>1656</v>
      </c>
    </row>
    <row customHeight="1" ht="14.625" hidden="1">
      <c r="E38" s="180">
        <v>15</v>
      </c>
      <c r="F38" s="175" cm="1" t="str">
        <f t="array" ref="F38:F38">OFFSET(G38,-1,-1)</f>
        <v>0</v>
      </c>
      <c r="T38" s="753">
        <f>AND(F38,OR(ISBLANK(Y38),Y38))</f>
        <v>0</v>
      </c>
      <c r="AB38" s="491">
        <v>1.6</v>
      </c>
      <c r="AC38" s="505" t="s">
        <v>1657</v>
      </c>
      <c r="AD38" s="491" t="s">
        <v>917</v>
      </c>
      <c r="AE38" s="132"/>
      <c r="AF38" s="132"/>
      <c r="AG38" s="132"/>
      <c r="AH38" s="695">
        <f>AG38-AF38</f>
        <v>0</v>
      </c>
      <c r="AI38" s="132"/>
      <c r="AJ38" s="749"/>
      <c r="AK38" s="132"/>
      <c r="AL38" s="132"/>
      <c r="AM38" s="132"/>
      <c r="AN38" s="132"/>
      <c r="AO38" s="132"/>
      <c r="AP38" s="132"/>
      <c r="AQ38" s="132"/>
      <c r="AR38" s="132"/>
      <c r="AS38" s="132"/>
      <c r="AT38" s="132"/>
      <c r="AU38" s="132"/>
      <c r="AV38" s="132"/>
      <c r="AW38" s="132"/>
      <c r="AX38" s="132"/>
      <c r="AY38" s="132"/>
      <c r="AZ38" s="132"/>
      <c r="BA38" s="132"/>
      <c r="BB38" s="132"/>
      <c r="BC38" s="132"/>
      <c r="BD38" s="749"/>
      <c r="BE38" s="132"/>
      <c r="BF38" s="132"/>
      <c r="BG38" s="132"/>
      <c r="BH38" s="132"/>
      <c r="BI38" s="132"/>
      <c r="BJ38" s="132"/>
      <c r="BK38" s="132"/>
      <c r="BL38" s="132"/>
      <c r="BM38" s="132"/>
      <c r="BN38" s="132"/>
      <c r="BO38" s="132"/>
      <c r="BP38" s="132"/>
      <c r="BQ38" s="132"/>
      <c r="BR38" s="132"/>
      <c r="BS38" s="132"/>
      <c r="BT38" s="132"/>
      <c r="BU38" s="132"/>
      <c r="BV38" s="132"/>
      <c r="BW38" s="132"/>
      <c r="BX38" s="695">
        <f>IF(AI38=0,0,(BD38-AI38)/AI38*100)</f>
        <v>0</v>
      </c>
      <c r="BY38" s="695">
        <f>IF(BD38=0,0,(BE38-BD38)/BD38*100)</f>
        <v>0</v>
      </c>
      <c r="BZ38" s="695">
        <f>IF(BE38=0,0,(BF38-BE38)/BE38*100)</f>
        <v>0</v>
      </c>
      <c r="CA38" s="695">
        <f>IF(BF38=0,0,(BG38-BF38)/BF38*100)</f>
        <v>0</v>
      </c>
      <c r="CB38" s="695">
        <f>IF(BG38=0,0,(BH38-BG38)/BG38*100)</f>
        <v>0</v>
      </c>
      <c r="CC38" s="695">
        <f>IF(BH38=0,0,(BI38-BH38)/BH38*100)</f>
        <v>0</v>
      </c>
      <c r="CD38" s="695">
        <f>IF(BI38=0,0,(BJ38-BI38)/BI38*100)</f>
        <v>0</v>
      </c>
      <c r="CE38" s="695">
        <f>IF(BJ38=0,0,(BK38-BJ38)/BJ38*100)</f>
        <v>0</v>
      </c>
      <c r="CF38" s="695">
        <f>IF(BK38=0,0,(BL38-BK38)/BK38*100)</f>
        <v>0</v>
      </c>
      <c r="CG38" s="695">
        <f>IF(BL38=0,0,(BM38-BL38)/BL38*100)</f>
        <v>0</v>
      </c>
      <c r="CH38" s="695">
        <f>IF(BM38=0,0,(BN38-BM38)/BM38*100)</f>
        <v>0</v>
      </c>
      <c r="CI38" s="695">
        <f>IF(BN38=0,0,(BO38-BN38)/BN38*100)</f>
        <v>0</v>
      </c>
      <c r="CJ38" s="695">
        <f>IF(BO38=0,0,(BP38-BO38)/BO38*100)</f>
        <v>0</v>
      </c>
      <c r="CK38" s="695">
        <f>IF(BP38=0,0,(BQ38-BP38)/BP38*100)</f>
        <v>0</v>
      </c>
      <c r="CL38" s="695">
        <f>IF(BQ38=0,0,(BR38-BQ38)/BQ38*100)</f>
        <v>0</v>
      </c>
      <c r="CM38" s="695">
        <f>IF(BR38=0,0,(BS38-BR38)/BR38*100)</f>
        <v>0</v>
      </c>
      <c r="CN38" s="695">
        <f>IF(BS38=0,0,(BT38-BS38)/BS38*100)</f>
        <v>0</v>
      </c>
      <c r="CO38" s="695">
        <f>IF(BT38=0,0,(BU38-BT38)/BT38*100)</f>
        <v>0</v>
      </c>
      <c r="CP38" s="695">
        <f>IF(BU38=0,0,(BV38-BU38)/BU38*100)</f>
        <v>0</v>
      </c>
      <c r="CQ38" s="695">
        <f>IF(BV38=0,0,(BW38-BV38)/BV38*100)</f>
        <v>0</v>
      </c>
      <c r="CR38" s="83"/>
      <c r="CS38" s="83"/>
      <c r="CT38" s="83"/>
      <c r="CW38" s="489" t="s">
        <v>1658</v>
      </c>
      <c r="CX38" s="489"/>
      <c r="CY38" s="489"/>
      <c r="CZ38" s="546"/>
      <c r="DA38" s="546"/>
      <c r="DB38" s="489" t="s">
        <v>1658</v>
      </c>
      <c r="DD38" s="1501" cm="1" t="str">
        <f t="array" ref="DD38:DD38">DD37</f>
        <v>0</v>
      </c>
      <c r="DE38" s="1501"/>
      <c r="DF38" s="1501"/>
      <c r="DG38" s="1501"/>
      <c r="DH38" s="1501" t="s">
        <v>1659</v>
      </c>
      <c r="DI38" s="1501"/>
      <c r="DJ38" s="1501"/>
      <c r="DK38" s="1501"/>
      <c r="DL38" s="1501"/>
      <c r="DM38" s="1501" t="s">
        <v>303</v>
      </c>
      <c r="DN38" s="1501" t="s">
        <v>1044</v>
      </c>
      <c r="DO38" s="1504" t="s">
        <v>1045</v>
      </c>
    </row>
    <row customHeight="1" ht="14.625" hidden="1">
      <c r="E39" s="180">
        <v>15</v>
      </c>
      <c r="F39" s="175" cm="1" t="str">
        <f t="array" ref="F39:F39">OFFSET(G39,-1,-1)</f>
        <v>0</v>
      </c>
      <c r="G39" s="193" t="s">
        <v>1309</v>
      </c>
      <c r="T39" s="753">
        <f>AND(F39,OR(ISBLANK(Y39),Y39))</f>
        <v>0</v>
      </c>
      <c r="AB39" s="491">
        <v>1.7</v>
      </c>
      <c r="AC39" s="505" t="s">
        <v>1660</v>
      </c>
      <c r="AD39" s="491" t="s">
        <v>917</v>
      </c>
      <c r="AE39" s="746">
        <f>_xlfn.SUMIFS(Амортизация!AE$26:AE$225,Амортизация!$F$26:$F$225,$F39,Амортизация!$G$26:$G$225,$G39)</f>
        <v>0</v>
      </c>
      <c r="AF39" s="746">
        <f>_xlfn.SUMIFS(Амортизация!AF$26:AF$225,Амортизация!$F$26:$F$225,$F39,Амортизация!$G$26:$G$225,$G39)</f>
        <v>0</v>
      </c>
      <c r="AG39" s="746">
        <f>_xlfn.SUMIFS(Амортизация!AG$26:AG$225,Амортизация!$F$26:$F$225,$F39,Амортизация!$G$26:$G$225,$G39)</f>
        <v>0</v>
      </c>
      <c r="AH39" s="695">
        <f>AG39-AF39</f>
        <v>0</v>
      </c>
      <c r="AI39" s="746">
        <f>_xlfn.SUMIFS(Амортизация!AH$26:AH$225,Амортизация!$F$26:$F$225,$F39,Амортизация!$G$26:$G$225,$G39)</f>
        <v>0</v>
      </c>
      <c r="AJ39" s="746">
        <f>_xlfn.SUMIFS(Амортизация!AI$26:AI$225,Амортизация!$F$26:$F$225,$F39,Амортизация!$G$26:$G$225,$G39)</f>
        <v>0</v>
      </c>
      <c r="AK39" s="746">
        <f>_xlfn.SUMIFS(Амортизация!AJ$26:AJ$225,Амортизация!$F$26:$F$225,$F39,Амортизация!$G$26:$G$225,$G39)</f>
        <v>0</v>
      </c>
      <c r="AL39" s="746">
        <f>_xlfn.SUMIFS(Амортизация!AK$26:AK$225,Амортизация!$F$26:$F$225,$F39,Амортизация!$G$26:$G$225,$G39)</f>
        <v>0</v>
      </c>
      <c r="AM39" s="746">
        <f>_xlfn.SUMIFS(Амортизация!AL$26:AL$225,Амортизация!$F$26:$F$225,$F39,Амортизация!$G$26:$G$225,$G39)</f>
        <v>0</v>
      </c>
      <c r="AN39" s="746">
        <f>_xlfn.SUMIFS(Амортизация!AM$26:AM$225,Амортизация!$F$26:$F$225,$F39,Амортизация!$G$26:$G$225,$G39)</f>
        <v>0</v>
      </c>
      <c r="AO39" s="746">
        <f>_xlfn.SUMIFS(Амортизация!AN$26:AN$225,Амортизация!$F$26:$F$225,$F39,Амортизация!$G$26:$G$225,$G39)</f>
        <v>0</v>
      </c>
      <c r="AP39" s="746">
        <f>_xlfn.SUMIFS(Амортизация!AO$26:AO$225,Амортизация!$F$26:$F$225,$F39,Амортизация!$G$26:$G$225,$G39)</f>
        <v>0</v>
      </c>
      <c r="AQ39" s="746">
        <f>_xlfn.SUMIFS(Амортизация!AP$26:AP$225,Амортизация!$F$26:$F$225,$F39,Амортизация!$G$26:$G$225,$G39)</f>
        <v>0</v>
      </c>
      <c r="AR39" s="746">
        <f>_xlfn.SUMIFS(Амортизация!AQ$26:AQ$225,Амортизация!$F$26:$F$225,$F39,Амортизация!$G$26:$G$225,$G39)</f>
        <v>0</v>
      </c>
      <c r="AS39" s="746">
        <f>_xlfn.SUMIFS(Амортизация!AR$26:AR$225,Амортизация!$F$26:$F$225,$F39,Амортизация!$G$26:$G$225,$G39)</f>
        <v>0</v>
      </c>
      <c r="AT39" s="746">
        <f>_xlfn.SUMIFS(Амортизация!AS$26:AS$225,Амортизация!$F$26:$F$225,$F39,Амортизация!$G$26:$G$225,$G39)</f>
        <v>0</v>
      </c>
      <c r="AU39" s="746">
        <f>_xlfn.SUMIFS(Амортизация!AT$26:AT$225,Амортизация!$F$26:$F$225,$F39,Амортизация!$G$26:$G$225,$G39)</f>
        <v>0</v>
      </c>
      <c r="AV39" s="746">
        <f>_xlfn.SUMIFS(Амортизация!AU$26:AU$225,Амортизация!$F$26:$F$225,$F39,Амортизация!$G$26:$G$225,$G39)</f>
        <v>0</v>
      </c>
      <c r="AW39" s="746">
        <f>_xlfn.SUMIFS(Амортизация!AV$26:AV$225,Амортизация!$F$26:$F$225,$F39,Амортизация!$G$26:$G$225,$G39)</f>
        <v>0</v>
      </c>
      <c r="AX39" s="746">
        <f>_xlfn.SUMIFS(Амортизация!AW$26:AW$225,Амортизация!$F$26:$F$225,$F39,Амортизация!$G$26:$G$225,$G39)</f>
        <v>0</v>
      </c>
      <c r="AY39" s="746">
        <f>_xlfn.SUMIFS(Амортизация!AX$26:AX$225,Амортизация!$F$26:$F$225,$F39,Амортизация!$G$26:$G$225,$G39)</f>
        <v>0</v>
      </c>
      <c r="AZ39" s="746">
        <f>_xlfn.SUMIFS(Амортизация!AY$26:AY$225,Амортизация!$F$26:$F$225,$F39,Амортизация!$G$26:$G$225,$G39)</f>
        <v>0</v>
      </c>
      <c r="BA39" s="746">
        <f>_xlfn.SUMIFS(Амортизация!AZ$26:AZ$225,Амортизация!$F$26:$F$225,$F39,Амортизация!$G$26:$G$225,$G39)</f>
        <v>0</v>
      </c>
      <c r="BB39" s="746">
        <f>_xlfn.SUMIFS(Амортизация!BA$26:BA$225,Амортизация!$F$26:$F$225,$F39,Амортизация!$G$26:$G$225,$G39)</f>
        <v>0</v>
      </c>
      <c r="BC39" s="746">
        <f>_xlfn.SUMIFS(Амортизация!BB$26:BB$225,Амортизация!$F$26:$F$225,$F39,Амортизация!$G$26:$G$225,$G39)</f>
        <v>0</v>
      </c>
      <c r="BD39" s="746">
        <f>_xlfn.SUMIFS(Амортизация!BC$26:BC$225,Амортизация!$F$26:$F$225,$F39,Амортизация!$G$26:$G$225,$G39)</f>
        <v>0</v>
      </c>
      <c r="BE39" s="746">
        <f>_xlfn.SUMIFS(Амортизация!BD$26:BD$225,Амортизация!$F$26:$F$225,$F39,Амортизация!$G$26:$G$225,$G39)</f>
        <v>0</v>
      </c>
      <c r="BF39" s="746">
        <f>_xlfn.SUMIFS(Амортизация!BE$26:BE$225,Амортизация!$F$26:$F$225,$F39,Амортизация!$G$26:$G$225,$G39)</f>
        <v>0</v>
      </c>
      <c r="BG39" s="746">
        <f>_xlfn.SUMIFS(Амортизация!BF$26:BF$225,Амортизация!$F$26:$F$225,$F39,Амортизация!$G$26:$G$225,$G39)</f>
        <v>0</v>
      </c>
      <c r="BH39" s="746">
        <f>_xlfn.SUMIFS(Амортизация!BG$26:BG$225,Амортизация!$F$26:$F$225,$F39,Амортизация!$G$26:$G$225,$G39)</f>
        <v>0</v>
      </c>
      <c r="BI39" s="746">
        <f>_xlfn.SUMIFS(Амортизация!BH$26:BH$225,Амортизация!$F$26:$F$225,$F39,Амортизация!$G$26:$G$225,$G39)</f>
        <v>0</v>
      </c>
      <c r="BJ39" s="746">
        <f>_xlfn.SUMIFS(Амортизация!BI$26:BI$225,Амортизация!$F$26:$F$225,$F39,Амортизация!$G$26:$G$225,$G39)</f>
        <v>0</v>
      </c>
      <c r="BK39" s="746">
        <f>_xlfn.SUMIFS(Амортизация!BJ$26:BJ$225,Амортизация!$F$26:$F$225,$F39,Амортизация!$G$26:$G$225,$G39)</f>
        <v>0</v>
      </c>
      <c r="BL39" s="746">
        <f>_xlfn.SUMIFS(Амортизация!BK$26:BK$225,Амортизация!$F$26:$F$225,$F39,Амортизация!$G$26:$G$225,$G39)</f>
        <v>0</v>
      </c>
      <c r="BM39" s="746">
        <f>_xlfn.SUMIFS(Амортизация!BL$26:BL$225,Амортизация!$F$26:$F$225,$F39,Амортизация!$G$26:$G$225,$G39)</f>
        <v>0</v>
      </c>
      <c r="BN39" s="746">
        <f>_xlfn.SUMIFS(Амортизация!BM$26:BM$225,Амортизация!$F$26:$F$225,$F39,Амортизация!$G$26:$G$225,$G39)</f>
        <v>0</v>
      </c>
      <c r="BO39" s="746">
        <f>_xlfn.SUMIFS(Амортизация!BN$26:BN$225,Амортизация!$F$26:$F$225,$F39,Амортизация!$G$26:$G$225,$G39)</f>
        <v>0</v>
      </c>
      <c r="BP39" s="746">
        <f>_xlfn.SUMIFS(Амортизация!BO$26:BO$225,Амортизация!$F$26:$F$225,$F39,Амортизация!$G$26:$G$225,$G39)</f>
        <v>0</v>
      </c>
      <c r="BQ39" s="746">
        <f>_xlfn.SUMIFS(Амортизация!BP$26:BP$225,Амортизация!$F$26:$F$225,$F39,Амортизация!$G$26:$G$225,$G39)</f>
        <v>0</v>
      </c>
      <c r="BR39" s="746">
        <f>_xlfn.SUMIFS(Амортизация!BQ$26:BQ$225,Амортизация!$F$26:$F$225,$F39,Амортизация!$G$26:$G$225,$G39)</f>
        <v>0</v>
      </c>
      <c r="BS39" s="746">
        <f>_xlfn.SUMIFS(Амортизация!BR$26:BR$225,Амортизация!$F$26:$F$225,$F39,Амортизация!$G$26:$G$225,$G39)</f>
        <v>0</v>
      </c>
      <c r="BT39" s="746">
        <f>_xlfn.SUMIFS(Амортизация!BS$26:BS$225,Амортизация!$F$26:$F$225,$F39,Амортизация!$G$26:$G$225,$G39)</f>
        <v>0</v>
      </c>
      <c r="BU39" s="746">
        <f>_xlfn.SUMIFS(Амортизация!BT$26:BT$225,Амортизация!$F$26:$F$225,$F39,Амортизация!$G$26:$G$225,$G39)</f>
        <v>0</v>
      </c>
      <c r="BV39" s="746">
        <f>_xlfn.SUMIFS(Амортизация!BU$26:BU$225,Амортизация!$F$26:$F$225,$F39,Амортизация!$G$26:$G$225,$G39)</f>
        <v>0</v>
      </c>
      <c r="BW39" s="746">
        <f>_xlfn.SUMIFS(Амортизация!BV$26:BV$225,Амортизация!$F$26:$F$225,$F39,Амортизация!$G$26:$G$225,$G39)</f>
        <v>0</v>
      </c>
      <c r="BX39" s="695">
        <f>IF(AI39=0,0,(BD39-AI39)/AI39*100)</f>
        <v>0</v>
      </c>
      <c r="BY39" s="695">
        <f>IF(BD39=0,0,(BE39-BD39)/BD39*100)</f>
        <v>0</v>
      </c>
      <c r="BZ39" s="695">
        <f>IF(BE39=0,0,(BF39-BE39)/BE39*100)</f>
        <v>0</v>
      </c>
      <c r="CA39" s="695">
        <f>IF(BF39=0,0,(BG39-BF39)/BF39*100)</f>
        <v>0</v>
      </c>
      <c r="CB39" s="695">
        <f>IF(BG39=0,0,(BH39-BG39)/BG39*100)</f>
        <v>0</v>
      </c>
      <c r="CC39" s="695">
        <f>IF(BH39=0,0,(BI39-BH39)/BH39*100)</f>
        <v>0</v>
      </c>
      <c r="CD39" s="695">
        <f>IF(BI39=0,0,(BJ39-BI39)/BI39*100)</f>
        <v>0</v>
      </c>
      <c r="CE39" s="695">
        <f>IF(BJ39=0,0,(BK39-BJ39)/BJ39*100)</f>
        <v>0</v>
      </c>
      <c r="CF39" s="695">
        <f>IF(BK39=0,0,(BL39-BK39)/BK39*100)</f>
        <v>0</v>
      </c>
      <c r="CG39" s="695">
        <f>IF(BL39=0,0,(BM39-BL39)/BL39*100)</f>
        <v>0</v>
      </c>
      <c r="CH39" s="695">
        <f>IF(BM39=0,0,(BN39-BM39)/BM39*100)</f>
        <v>0</v>
      </c>
      <c r="CI39" s="695">
        <f>IF(BN39=0,0,(BO39-BN39)/BN39*100)</f>
        <v>0</v>
      </c>
      <c r="CJ39" s="695">
        <f>IF(BO39=0,0,(BP39-BO39)/BO39*100)</f>
        <v>0</v>
      </c>
      <c r="CK39" s="695">
        <f>IF(BP39=0,0,(BQ39-BP39)/BP39*100)</f>
        <v>0</v>
      </c>
      <c r="CL39" s="695">
        <f>IF(BQ39=0,0,(BR39-BQ39)/BQ39*100)</f>
        <v>0</v>
      </c>
      <c r="CM39" s="695">
        <f>IF(BR39=0,0,(BS39-BR39)/BR39*100)</f>
        <v>0</v>
      </c>
      <c r="CN39" s="695">
        <f>IF(BS39=0,0,(BT39-BS39)/BS39*100)</f>
        <v>0</v>
      </c>
      <c r="CO39" s="695">
        <f>IF(BT39=0,0,(BU39-BT39)/BT39*100)</f>
        <v>0</v>
      </c>
      <c r="CP39" s="695">
        <f>IF(BU39=0,0,(BV39-BU39)/BU39*100)</f>
        <v>0</v>
      </c>
      <c r="CQ39" s="695">
        <f>IF(BV39=0,0,(BW39-BV39)/BV39*100)</f>
        <v>0</v>
      </c>
      <c r="CR39" s="83"/>
      <c r="CS39" s="83"/>
      <c r="CT39" s="83"/>
      <c r="CW39" s="489" t="s">
        <v>1661</v>
      </c>
      <c r="CX39" s="489"/>
      <c r="CY39" s="489"/>
      <c r="CZ39" s="546"/>
      <c r="DA39" s="546"/>
      <c r="DB39" s="489" t="s">
        <v>1661</v>
      </c>
      <c r="DD39" s="1501" cm="1" t="str">
        <f t="array" ref="DD39:DD39">DD38</f>
        <v>0</v>
      </c>
      <c r="DE39" s="1501"/>
      <c r="DF39" s="1501"/>
      <c r="DG39" s="1501"/>
      <c r="DH39" s="1501"/>
      <c r="DI39" s="1501" t="s">
        <v>1662</v>
      </c>
      <c r="DJ39" s="1501"/>
      <c r="DK39" s="1501"/>
      <c r="DL39" s="1501"/>
      <c r="DM39" s="1501" t="s">
        <v>303</v>
      </c>
      <c r="DN39" s="1501" t="s">
        <v>1663</v>
      </c>
      <c r="DO39" s="1504" t="s">
        <v>1660</v>
      </c>
    </row>
    <row customHeight="1" ht="25.350000000000005" hidden="1">
      <c r="E40" s="180">
        <v>26</v>
      </c>
      <c r="F40" s="175" cm="1" t="str">
        <f t="array" ref="F40:F40">OFFSET(G40,-1,-1)</f>
        <v>0</v>
      </c>
      <c r="T40" s="753">
        <f>AND(F40,OR(ISBLANK(Y40),Y40))</f>
        <v>0</v>
      </c>
      <c r="AB40" s="491">
        <v>1.8</v>
      </c>
      <c r="AC40" s="505" t="s">
        <v>1664</v>
      </c>
      <c r="AD40" s="491" t="s">
        <v>917</v>
      </c>
      <c r="AE40" s="132"/>
      <c r="AF40" s="132"/>
      <c r="AG40" s="132"/>
      <c r="AH40" s="695">
        <f>AG40-AF40</f>
        <v>0</v>
      </c>
      <c r="AI40" s="132"/>
      <c r="AJ40" s="749"/>
      <c r="AK40" s="132"/>
      <c r="AL40" s="132"/>
      <c r="AM40" s="132"/>
      <c r="AN40" s="132"/>
      <c r="AO40" s="132"/>
      <c r="AP40" s="132"/>
      <c r="AQ40" s="132"/>
      <c r="AR40" s="132"/>
      <c r="AS40" s="132"/>
      <c r="AT40" s="132"/>
      <c r="AU40" s="132"/>
      <c r="AV40" s="132"/>
      <c r="AW40" s="132"/>
      <c r="AX40" s="132"/>
      <c r="AY40" s="132"/>
      <c r="AZ40" s="132"/>
      <c r="BA40" s="132"/>
      <c r="BB40" s="132"/>
      <c r="BC40" s="132"/>
      <c r="BD40" s="749"/>
      <c r="BE40" s="132"/>
      <c r="BF40" s="132"/>
      <c r="BG40" s="132"/>
      <c r="BH40" s="132"/>
      <c r="BI40" s="132"/>
      <c r="BJ40" s="132"/>
      <c r="BK40" s="132"/>
      <c r="BL40" s="132"/>
      <c r="BM40" s="132"/>
      <c r="BN40" s="132"/>
      <c r="BO40" s="132"/>
      <c r="BP40" s="132"/>
      <c r="BQ40" s="132"/>
      <c r="BR40" s="132"/>
      <c r="BS40" s="132"/>
      <c r="BT40" s="132"/>
      <c r="BU40" s="132"/>
      <c r="BV40" s="132"/>
      <c r="BW40" s="132"/>
      <c r="BX40" s="695">
        <f>IF(AI40=0,0,(BD40-AI40)/AI40*100)</f>
        <v>0</v>
      </c>
      <c r="BY40" s="695">
        <f>IF(BD40=0,0,(BE40-BD40)/BD40*100)</f>
        <v>0</v>
      </c>
      <c r="BZ40" s="695">
        <f>IF(BE40=0,0,(BF40-BE40)/BE40*100)</f>
        <v>0</v>
      </c>
      <c r="CA40" s="695">
        <f>IF(BF40=0,0,(BG40-BF40)/BF40*100)</f>
        <v>0</v>
      </c>
      <c r="CB40" s="695">
        <f>IF(BG40=0,0,(BH40-BG40)/BG40*100)</f>
        <v>0</v>
      </c>
      <c r="CC40" s="695">
        <f>IF(BH40=0,0,(BI40-BH40)/BH40*100)</f>
        <v>0</v>
      </c>
      <c r="CD40" s="695">
        <f>IF(BI40=0,0,(BJ40-BI40)/BI40*100)</f>
        <v>0</v>
      </c>
      <c r="CE40" s="695">
        <f>IF(BJ40=0,0,(BK40-BJ40)/BJ40*100)</f>
        <v>0</v>
      </c>
      <c r="CF40" s="695">
        <f>IF(BK40=0,0,(BL40-BK40)/BK40*100)</f>
        <v>0</v>
      </c>
      <c r="CG40" s="695">
        <f>IF(BL40=0,0,(BM40-BL40)/BL40*100)</f>
        <v>0</v>
      </c>
      <c r="CH40" s="695">
        <f>IF(BM40=0,0,(BN40-BM40)/BM40*100)</f>
        <v>0</v>
      </c>
      <c r="CI40" s="695">
        <f>IF(BN40=0,0,(BO40-BN40)/BN40*100)</f>
        <v>0</v>
      </c>
      <c r="CJ40" s="695">
        <f>IF(BO40=0,0,(BP40-BO40)/BO40*100)</f>
        <v>0</v>
      </c>
      <c r="CK40" s="695">
        <f>IF(BP40=0,0,(BQ40-BP40)/BP40*100)</f>
        <v>0</v>
      </c>
      <c r="CL40" s="695">
        <f>IF(BQ40=0,0,(BR40-BQ40)/BQ40*100)</f>
        <v>0</v>
      </c>
      <c r="CM40" s="695">
        <f>IF(BR40=0,0,(BS40-BR40)/BR40*100)</f>
        <v>0</v>
      </c>
      <c r="CN40" s="695">
        <f>IF(BS40=0,0,(BT40-BS40)/BS40*100)</f>
        <v>0</v>
      </c>
      <c r="CO40" s="695">
        <f>IF(BT40=0,0,(BU40-BT40)/BT40*100)</f>
        <v>0</v>
      </c>
      <c r="CP40" s="695">
        <f>IF(BU40=0,0,(BV40-BU40)/BU40*100)</f>
        <v>0</v>
      </c>
      <c r="CQ40" s="695">
        <f>IF(BV40=0,0,(BW40-BV40)/BV40*100)</f>
        <v>0</v>
      </c>
      <c r="CR40" s="83"/>
      <c r="CS40" s="83"/>
      <c r="CT40" s="83"/>
      <c r="CW40" s="489" t="s">
        <v>1665</v>
      </c>
      <c r="CX40" s="489"/>
      <c r="CY40" s="489"/>
      <c r="CZ40" s="546"/>
      <c r="DA40" s="546"/>
      <c r="DB40" s="489" t="s">
        <v>1665</v>
      </c>
      <c r="DD40" s="1501" cm="1" t="str">
        <f t="array" ref="DD40:DD40">DD39</f>
        <v>0</v>
      </c>
      <c r="DE40" s="1501" t="s">
        <v>1666</v>
      </c>
      <c r="DF40" s="1501"/>
      <c r="DG40" s="1501"/>
      <c r="DH40" s="1501"/>
      <c r="DI40" s="1501"/>
      <c r="DJ40" s="1501"/>
      <c r="DK40" s="1501"/>
      <c r="DL40" s="1501"/>
      <c r="DM40" s="1501" t="s">
        <v>303</v>
      </c>
      <c r="DN40" s="1501" t="s">
        <v>1044</v>
      </c>
      <c r="DO40" s="1504" t="s">
        <v>1045</v>
      </c>
    </row>
    <row customHeight="1" ht="25.350000000000005" hidden="1">
      <c r="E41" s="180">
        <v>26</v>
      </c>
      <c r="F41" s="175" cm="1" t="str">
        <f t="array" ref="F41:F41">OFFSET(G41,-1,-1)</f>
        <v>0</v>
      </c>
      <c r="T41" s="753">
        <f>AND(F41,OR(ISBLANK(Y41),Y41))</f>
        <v>0</v>
      </c>
      <c r="AB41" s="491">
        <v>1.9</v>
      </c>
      <c r="AC41" s="505" t="s">
        <v>1667</v>
      </c>
      <c r="AD41" s="491" t="s">
        <v>917</v>
      </c>
      <c r="AE41" s="132"/>
      <c r="AF41" s="132"/>
      <c r="AG41" s="132"/>
      <c r="AH41" s="695">
        <f>AG41-AF41</f>
        <v>0</v>
      </c>
      <c r="AI41" s="132"/>
      <c r="AJ41" s="749"/>
      <c r="AK41" s="132"/>
      <c r="AL41" s="132"/>
      <c r="AM41" s="132"/>
      <c r="AN41" s="132"/>
      <c r="AO41" s="132"/>
      <c r="AP41" s="132"/>
      <c r="AQ41" s="132"/>
      <c r="AR41" s="132"/>
      <c r="AS41" s="132"/>
      <c r="AT41" s="132"/>
      <c r="AU41" s="132"/>
      <c r="AV41" s="132"/>
      <c r="AW41" s="132"/>
      <c r="AX41" s="132"/>
      <c r="AY41" s="132"/>
      <c r="AZ41" s="132"/>
      <c r="BA41" s="132"/>
      <c r="BB41" s="132"/>
      <c r="BC41" s="132"/>
      <c r="BD41" s="749"/>
      <c r="BE41" s="132"/>
      <c r="BF41" s="132"/>
      <c r="BG41" s="132"/>
      <c r="BH41" s="132"/>
      <c r="BI41" s="132"/>
      <c r="BJ41" s="132"/>
      <c r="BK41" s="132"/>
      <c r="BL41" s="132"/>
      <c r="BM41" s="132"/>
      <c r="BN41" s="132"/>
      <c r="BO41" s="132"/>
      <c r="BP41" s="132"/>
      <c r="BQ41" s="132"/>
      <c r="BR41" s="132"/>
      <c r="BS41" s="132"/>
      <c r="BT41" s="132"/>
      <c r="BU41" s="132"/>
      <c r="BV41" s="132"/>
      <c r="BW41" s="132"/>
      <c r="BX41" s="695">
        <f>IF(AI41=0,0,(BD41-AI41)/AI41*100)</f>
        <v>0</v>
      </c>
      <c r="BY41" s="695">
        <f>IF(BD41=0,0,(BE41-BD41)/BD41*100)</f>
        <v>0</v>
      </c>
      <c r="BZ41" s="695">
        <f>IF(BE41=0,0,(BF41-BE41)/BE41*100)</f>
        <v>0</v>
      </c>
      <c r="CA41" s="695">
        <f>IF(BF41=0,0,(BG41-BF41)/BF41*100)</f>
        <v>0</v>
      </c>
      <c r="CB41" s="695">
        <f>IF(BG41=0,0,(BH41-BG41)/BG41*100)</f>
        <v>0</v>
      </c>
      <c r="CC41" s="695">
        <f>IF(BH41=0,0,(BI41-BH41)/BH41*100)</f>
        <v>0</v>
      </c>
      <c r="CD41" s="695">
        <f>IF(BI41=0,0,(BJ41-BI41)/BI41*100)</f>
        <v>0</v>
      </c>
      <c r="CE41" s="695">
        <f>IF(BJ41=0,0,(BK41-BJ41)/BJ41*100)</f>
        <v>0</v>
      </c>
      <c r="CF41" s="695">
        <f>IF(BK41=0,0,(BL41-BK41)/BK41*100)</f>
        <v>0</v>
      </c>
      <c r="CG41" s="695">
        <f>IF(BL41=0,0,(BM41-BL41)/BL41*100)</f>
        <v>0</v>
      </c>
      <c r="CH41" s="695">
        <f>IF(BM41=0,0,(BN41-BM41)/BM41*100)</f>
        <v>0</v>
      </c>
      <c r="CI41" s="695">
        <f>IF(BN41=0,0,(BO41-BN41)/BN41*100)</f>
        <v>0</v>
      </c>
      <c r="CJ41" s="695">
        <f>IF(BO41=0,0,(BP41-BO41)/BO41*100)</f>
        <v>0</v>
      </c>
      <c r="CK41" s="695">
        <f>IF(BP41=0,0,(BQ41-BP41)/BP41*100)</f>
        <v>0</v>
      </c>
      <c r="CL41" s="695">
        <f>IF(BQ41=0,0,(BR41-BQ41)/BQ41*100)</f>
        <v>0</v>
      </c>
      <c r="CM41" s="695">
        <f>IF(BR41=0,0,(BS41-BR41)/BR41*100)</f>
        <v>0</v>
      </c>
      <c r="CN41" s="695">
        <f>IF(BS41=0,0,(BT41-BS41)/BS41*100)</f>
        <v>0</v>
      </c>
      <c r="CO41" s="695">
        <f>IF(BT41=0,0,(BU41-BT41)/BT41*100)</f>
        <v>0</v>
      </c>
      <c r="CP41" s="695">
        <f>IF(BU41=0,0,(BV41-BU41)/BU41*100)</f>
        <v>0</v>
      </c>
      <c r="CQ41" s="695">
        <f>IF(BV41=0,0,(BW41-BV41)/BV41*100)</f>
        <v>0</v>
      </c>
      <c r="CR41" s="83"/>
      <c r="CS41" s="83"/>
      <c r="CT41" s="83"/>
      <c r="CW41" s="489" t="s">
        <v>1668</v>
      </c>
      <c r="CX41" s="489"/>
      <c r="CY41" s="489"/>
      <c r="CZ41" s="546"/>
      <c r="DA41" s="546"/>
      <c r="DB41" s="489" t="s">
        <v>1668</v>
      </c>
      <c r="DD41" s="1501" cm="1" t="str">
        <f t="array" ref="DD41:DD41">DD40</f>
        <v>0</v>
      </c>
      <c r="DE41" s="1501" t="s">
        <v>1669</v>
      </c>
      <c r="DF41" s="1501"/>
      <c r="DG41" s="1501"/>
      <c r="DH41" s="1501"/>
      <c r="DI41" s="1501"/>
      <c r="DJ41" s="1501"/>
      <c r="DK41" s="1501"/>
      <c r="DL41" s="1501"/>
      <c r="DM41" s="1501" t="s">
        <v>303</v>
      </c>
      <c r="DN41" s="1501" t="s">
        <v>1044</v>
      </c>
      <c r="DO41" s="1504" t="s">
        <v>1045</v>
      </c>
    </row>
    <row customHeight="1" ht="14.625" hidden="1">
      <c r="E42" s="180">
        <v>15</v>
      </c>
      <c r="F42" s="175" cm="1" t="str">
        <f t="array" ref="F42:F42">OFFSET(G42,-1,-1)</f>
        <v>0</v>
      </c>
      <c r="T42" s="753">
        <f>AND(F42,OR(ISBLANK(Y42),Y42))</f>
        <v>0</v>
      </c>
      <c r="AB42" s="491"/>
      <c r="AC42" s="505" t="s">
        <v>1670</v>
      </c>
      <c r="AD42" s="491" t="s">
        <v>917</v>
      </c>
      <c r="AE42" s="746">
        <f>AE29+AE30+AE31+AE32+AE36+AE38+AE39+AE40+AE41</f>
        <v>0</v>
      </c>
      <c r="AF42" s="746">
        <f>AF29+AF30+AF31+AF32+AF36+AF38+AF39+AF40+AF41</f>
        <v>0</v>
      </c>
      <c r="AG42" s="746">
        <f>AG29+AG30+AG31+AG32+AG36+AG38+AG39+AG40+AG41</f>
        <v>0</v>
      </c>
      <c r="AH42" s="695">
        <f>AG42-AF42</f>
        <v>0</v>
      </c>
      <c r="AI42" s="746">
        <f>AI29+AI30+AI31+AI32+AI36+AI38+AI39+AI40+AI41</f>
        <v>0</v>
      </c>
      <c r="AJ42" s="746">
        <f>AJ29+AJ30+AJ31+AJ32+AJ36+AJ38+AJ39+AJ40+AJ41</f>
        <v>0</v>
      </c>
      <c r="AK42" s="746">
        <f>AK29+AK30+AK31+AK32+AK36+AK38+AK39+AK40+AK41</f>
        <v>0</v>
      </c>
      <c r="AL42" s="746">
        <f>AL29+AL30+AL31+AL32+AL36+AL38+AL39+AL40+AL41</f>
        <v>0</v>
      </c>
      <c r="AM42" s="746">
        <f>AM29+AM30+AM31+AM32+AM36+AM38+AM39+AM40+AM41</f>
        <v>0</v>
      </c>
      <c r="AN42" s="746">
        <f>AN29+AN30+AN31+AN32+AN36+AN38+AN39+AN40+AN41</f>
        <v>0</v>
      </c>
      <c r="AO42" s="746">
        <f>AO29+AO30+AO31+AO32+AO36+AO38+AO39+AO40+AO41</f>
        <v>0</v>
      </c>
      <c r="AP42" s="746">
        <f>AP29+AP30+AP31+AP32+AP36+AP38+AP39+AP40+AP41</f>
        <v>0</v>
      </c>
      <c r="AQ42" s="746">
        <f>AQ29+AQ30+AQ31+AQ32+AQ36+AQ38+AQ39+AQ40+AQ41</f>
        <v>0</v>
      </c>
      <c r="AR42" s="746">
        <f>AR29+AR30+AR31+AR32+AR36+AR38+AR39+AR40+AR41</f>
        <v>0</v>
      </c>
      <c r="AS42" s="746">
        <f>AS29+AS30+AS31+AS32+AS36+AS38+AS39+AS40+AS41</f>
        <v>0</v>
      </c>
      <c r="AT42" s="746">
        <f>AT29+AT30+AT31+AT32+AT36+AT38+AT39+AT40+AT41</f>
        <v>0</v>
      </c>
      <c r="AU42" s="746">
        <f>AU29+AU30+AU31+AU32+AU36+AU38+AU39+AU40+AU41</f>
        <v>0</v>
      </c>
      <c r="AV42" s="746">
        <f>AV29+AV30+AV31+AV32+AV36+AV38+AV39+AV40+AV41</f>
        <v>0</v>
      </c>
      <c r="AW42" s="746">
        <f>AW29+AW30+AW31+AW32+AW36+AW38+AW39+AW40+AW41</f>
        <v>0</v>
      </c>
      <c r="AX42" s="746">
        <f>AX29+AX30+AX31+AX32+AX36+AX38+AX39+AX40+AX41</f>
        <v>0</v>
      </c>
      <c r="AY42" s="746">
        <f>AY29+AY30+AY31+AY32+AY36+AY38+AY39+AY40+AY41</f>
        <v>0</v>
      </c>
      <c r="AZ42" s="746">
        <f>AZ29+AZ30+AZ31+AZ32+AZ36+AZ38+AZ39+AZ40+AZ41</f>
        <v>0</v>
      </c>
      <c r="BA42" s="746">
        <f>BA29+BA30+BA31+BA32+BA36+BA38+BA39+BA40+BA41</f>
        <v>0</v>
      </c>
      <c r="BB42" s="746">
        <f>BB29+BB30+BB31+BB32+BB36+BB38+BB39+BB40+BB41</f>
        <v>0</v>
      </c>
      <c r="BC42" s="746">
        <f>BC29+BC30+BC31+BC32+BC36+BC38+BC39+BC40+BC41</f>
        <v>0</v>
      </c>
      <c r="BD42" s="746">
        <f>BD29+BD30+BD31+BD32+BD36+BD38+BD39+BD40+BD41</f>
        <v>0</v>
      </c>
      <c r="BE42" s="746">
        <f>BE29+BE30+BE31+BE32+BE36+BE38+BE39+BE40+BE41</f>
        <v>0</v>
      </c>
      <c r="BF42" s="746">
        <f>BF29+BF30+BF31+BF32+BF36+BF38+BF39+BF40+BF41</f>
        <v>0</v>
      </c>
      <c r="BG42" s="746">
        <f>BG29+BG30+BG31+BG32+BG36+BG38+BG39+BG40+BG41</f>
        <v>0</v>
      </c>
      <c r="BH42" s="746">
        <f>BH29+BH30+BH31+BH32+BH36+BH38+BH39+BH40+BH41</f>
        <v>0</v>
      </c>
      <c r="BI42" s="746">
        <f>BI29+BI30+BI31+BI32+BI36+BI38+BI39+BI40+BI41</f>
        <v>0</v>
      </c>
      <c r="BJ42" s="746">
        <f>BJ29+BJ30+BJ31+BJ32+BJ36+BJ38+BJ39+BJ40+BJ41</f>
        <v>0</v>
      </c>
      <c r="BK42" s="746">
        <f>BK29+BK30+BK31+BK32+BK36+BK38+BK39+BK40+BK41</f>
        <v>0</v>
      </c>
      <c r="BL42" s="746">
        <f>BL29+BL30+BL31+BL32+BL36+BL38+BL39+BL40+BL41</f>
        <v>0</v>
      </c>
      <c r="BM42" s="746">
        <f>BM29+BM30+BM31+BM32+BM36+BM38+BM39+BM40+BM41</f>
        <v>0</v>
      </c>
      <c r="BN42" s="746">
        <f>BN29+BN30+BN31+BN32+BN36+BN38+BN39+BN40+BN41</f>
        <v>0</v>
      </c>
      <c r="BO42" s="746">
        <f>BO29+BO30+BO31+BO32+BO36+BO38+BO39+BO40+BO41</f>
        <v>0</v>
      </c>
      <c r="BP42" s="746">
        <f>BP29+BP30+BP31+BP32+BP36+BP38+BP39+BP40+BP41</f>
        <v>0</v>
      </c>
      <c r="BQ42" s="746">
        <f>BQ29+BQ30+BQ31+BQ32+BQ36+BQ38+BQ39+BQ40+BQ41</f>
        <v>0</v>
      </c>
      <c r="BR42" s="746">
        <f>BR29+BR30+BR31+BR32+BR36+BR38+BR39+BR40+BR41</f>
        <v>0</v>
      </c>
      <c r="BS42" s="746">
        <f>BS29+BS30+BS31+BS32+BS36+BS38+BS39+BS40+BS41</f>
        <v>0</v>
      </c>
      <c r="BT42" s="746">
        <f>BT29+BT30+BT31+BT32+BT36+BT38+BT39+BT40+BT41</f>
        <v>0</v>
      </c>
      <c r="BU42" s="746">
        <f>BU29+BU30+BU31+BU32+BU36+BU38+BU39+BU40+BU41</f>
        <v>0</v>
      </c>
      <c r="BV42" s="746">
        <f>BV29+BV30+BV31+BV32+BV36+BV38+BV39+BV40+BV41</f>
        <v>0</v>
      </c>
      <c r="BW42" s="746">
        <f>BW29+BW30+BW31+BW32+BW36+BW38+BW39+BW40+BW41</f>
        <v>0</v>
      </c>
      <c r="BX42" s="695">
        <f>IF(AI42=0,0,(BD42-AI42)/AI42*100)</f>
        <v>0</v>
      </c>
      <c r="BY42" s="695">
        <f>IF(BD42=0,0,(BE42-BD42)/BD42*100)</f>
        <v>0</v>
      </c>
      <c r="BZ42" s="695">
        <f>IF(BE42=0,0,(BF42-BE42)/BE42*100)</f>
        <v>0</v>
      </c>
      <c r="CA42" s="695">
        <f>IF(BF42=0,0,(BG42-BF42)/BF42*100)</f>
        <v>0</v>
      </c>
      <c r="CB42" s="695">
        <f>IF(BG42=0,0,(BH42-BG42)/BG42*100)</f>
        <v>0</v>
      </c>
      <c r="CC42" s="695">
        <f>IF(BH42=0,0,(BI42-BH42)/BH42*100)</f>
        <v>0</v>
      </c>
      <c r="CD42" s="695">
        <f>IF(BI42=0,0,(BJ42-BI42)/BI42*100)</f>
        <v>0</v>
      </c>
      <c r="CE42" s="695">
        <f>IF(BJ42=0,0,(BK42-BJ42)/BJ42*100)</f>
        <v>0</v>
      </c>
      <c r="CF42" s="695">
        <f>IF(BK42=0,0,(BL42-BK42)/BK42*100)</f>
        <v>0</v>
      </c>
      <c r="CG42" s="695">
        <f>IF(BL42=0,0,(BM42-BL42)/BL42*100)</f>
        <v>0</v>
      </c>
      <c r="CH42" s="695">
        <f>IF(BM42=0,0,(BN42-BM42)/BM42*100)</f>
        <v>0</v>
      </c>
      <c r="CI42" s="695">
        <f>IF(BN42=0,0,(BO42-BN42)/BN42*100)</f>
        <v>0</v>
      </c>
      <c r="CJ42" s="695">
        <f>IF(BO42=0,0,(BP42-BO42)/BO42*100)</f>
        <v>0</v>
      </c>
      <c r="CK42" s="695">
        <f>IF(BP42=0,0,(BQ42-BP42)/BP42*100)</f>
        <v>0</v>
      </c>
      <c r="CL42" s="695">
        <f>IF(BQ42=0,0,(BR42-BQ42)/BQ42*100)</f>
        <v>0</v>
      </c>
      <c r="CM42" s="695">
        <f>IF(BR42=0,0,(BS42-BR42)/BR42*100)</f>
        <v>0</v>
      </c>
      <c r="CN42" s="695">
        <f>IF(BS42=0,0,(BT42-BS42)/BS42*100)</f>
        <v>0</v>
      </c>
      <c r="CO42" s="695">
        <f>IF(BT42=0,0,(BU42-BT42)/BT42*100)</f>
        <v>0</v>
      </c>
      <c r="CP42" s="695">
        <f>IF(BU42=0,0,(BV42-BU42)/BU42*100)</f>
        <v>0</v>
      </c>
      <c r="CQ42" s="695">
        <f>IF(BV42=0,0,(BW42-BV42)/BV42*100)</f>
        <v>0</v>
      </c>
      <c r="CR42" s="83"/>
      <c r="CS42" s="83"/>
      <c r="CT42" s="83"/>
      <c r="CW42" s="489" t="s">
        <v>630</v>
      </c>
      <c r="CX42" s="489"/>
      <c r="CY42" s="489"/>
      <c r="CZ42" s="546"/>
      <c r="DA42" s="546"/>
      <c r="DB42" s="489" t="s">
        <v>630</v>
      </c>
      <c r="DD42" s="1501" cm="1" t="str">
        <f t="array" ref="DD42:DD42">DD41</f>
        <v>0</v>
      </c>
      <c r="DE42" s="1501"/>
      <c r="DF42" s="1501"/>
      <c r="DG42" s="1501"/>
      <c r="DH42" s="1501"/>
      <c r="DI42" s="1501"/>
      <c r="DJ42" s="1501"/>
      <c r="DK42" s="1501" t="s">
        <v>255</v>
      </c>
      <c r="DL42" s="1501"/>
      <c r="DM42" s="1501" t="s">
        <v>303</v>
      </c>
      <c r="DN42" s="1501" t="s">
        <v>1044</v>
      </c>
      <c r="DO42" s="1504" t="s">
        <v>1045</v>
      </c>
    </row>
    <row customHeight="1" ht="14.625" hidden="1">
      <c r="E43" s="180">
        <v>15</v>
      </c>
      <c r="F43" s="175" cm="1" t="str">
        <f t="array" ref="F43:F43">OFFSET(G43,-1,-1)</f>
        <v>0</v>
      </c>
      <c r="G43" s="193" t="s">
        <v>1500</v>
      </c>
      <c r="T43" s="753">
        <f>AND(F43,OR(ISBLANK(Y43),Y43))</f>
        <v>0</v>
      </c>
      <c r="AB43" s="491">
        <v>2</v>
      </c>
      <c r="AC43" s="505" t="s">
        <v>1671</v>
      </c>
      <c r="AD43" s="491" t="s">
        <v>917</v>
      </c>
      <c r="AE43" s="746">
        <f>_xlfn.SUMIFS(Налоги!AE$26:AE$55,Налоги!$F$26:$F$55,$F43,Налоги!$G$26:$G$55,$G43)</f>
        <v>0</v>
      </c>
      <c r="AF43" s="746">
        <f>_xlfn.SUMIFS(Налоги!AF$26:AF$55,Налоги!$F$26:$F$55,$F43,Налоги!$G$26:$G$55,$G43)</f>
        <v>0</v>
      </c>
      <c r="AG43" s="746">
        <f>_xlfn.SUMIFS(Налоги!AG$26:AG$55,Налоги!$F$26:$F$55,$F43,Налоги!$G$26:$G$55,$G43)</f>
        <v>0</v>
      </c>
      <c r="AH43" s="695">
        <f>AG43-AF43</f>
        <v>0</v>
      </c>
      <c r="AI43" s="746">
        <f>_xlfn.SUMIFS(Налоги!AH$26:AH$55,Налоги!$F$26:$F$55,$F43,Налоги!$G$26:$G$55,$G43)</f>
        <v>0</v>
      </c>
      <c r="AJ43" s="746">
        <f>_xlfn.SUMIFS(Налоги!AI$26:AI$55,Налоги!$F$26:$F$55,$F43,Налоги!$G$26:$G$55,$G43)</f>
        <v>0</v>
      </c>
      <c r="AK43" s="746">
        <f>_xlfn.SUMIFS(Налоги!AJ$26:AJ$55,Налоги!$F$26:$F$55,$F43,Налоги!$G$26:$G$55,$G43)</f>
        <v>0</v>
      </c>
      <c r="AL43" s="746">
        <f>_xlfn.SUMIFS(Налоги!AK$26:AK$55,Налоги!$F$26:$F$55,$F43,Налоги!$G$26:$G$55,$G43)</f>
        <v>0</v>
      </c>
      <c r="AM43" s="746">
        <f>_xlfn.SUMIFS(Налоги!AL$26:AL$55,Налоги!$F$26:$F$55,$F43,Налоги!$G$26:$G$55,$G43)</f>
        <v>0</v>
      </c>
      <c r="AN43" s="746">
        <f>_xlfn.SUMIFS(Налоги!AM$26:AM$55,Налоги!$F$26:$F$55,$F43,Налоги!$G$26:$G$55,$G43)</f>
        <v>0</v>
      </c>
      <c r="AO43" s="746">
        <f>_xlfn.SUMIFS(Налоги!AN$26:AN$55,Налоги!$F$26:$F$55,$F43,Налоги!$G$26:$G$55,$G43)</f>
        <v>0</v>
      </c>
      <c r="AP43" s="746">
        <f>_xlfn.SUMIFS(Налоги!AO$26:AO$55,Налоги!$F$26:$F$55,$F43,Налоги!$G$26:$G$55,$G43)</f>
        <v>0</v>
      </c>
      <c r="AQ43" s="746">
        <f>_xlfn.SUMIFS(Налоги!AP$26:AP$55,Налоги!$F$26:$F$55,$F43,Налоги!$G$26:$G$55,$G43)</f>
        <v>0</v>
      </c>
      <c r="AR43" s="746">
        <f>_xlfn.SUMIFS(Налоги!AQ$26:AQ$55,Налоги!$F$26:$F$55,$F43,Налоги!$G$26:$G$55,$G43)</f>
        <v>0</v>
      </c>
      <c r="AS43" s="746">
        <f>_xlfn.SUMIFS(Налоги!AR$26:AR$55,Налоги!$F$26:$F$55,$F43,Налоги!$G$26:$G$55,$G43)</f>
        <v>0</v>
      </c>
      <c r="AT43" s="746">
        <f>_xlfn.SUMIFS(Налоги!AS$26:AS$55,Налоги!$F$26:$F$55,$F43,Налоги!$G$26:$G$55,$G43)</f>
        <v>0</v>
      </c>
      <c r="AU43" s="746">
        <f>_xlfn.SUMIFS(Налоги!AT$26:AT$55,Налоги!$F$26:$F$55,$F43,Налоги!$G$26:$G$55,$G43)</f>
        <v>0</v>
      </c>
      <c r="AV43" s="746">
        <f>_xlfn.SUMIFS(Налоги!AU$26:AU$55,Налоги!$F$26:$F$55,$F43,Налоги!$G$26:$G$55,$G43)</f>
        <v>0</v>
      </c>
      <c r="AW43" s="746">
        <f>_xlfn.SUMIFS(Налоги!AV$26:AV$55,Налоги!$F$26:$F$55,$F43,Налоги!$G$26:$G$55,$G43)</f>
        <v>0</v>
      </c>
      <c r="AX43" s="746">
        <f>_xlfn.SUMIFS(Налоги!AW$26:AW$55,Налоги!$F$26:$F$55,$F43,Налоги!$G$26:$G$55,$G43)</f>
        <v>0</v>
      </c>
      <c r="AY43" s="746">
        <f>_xlfn.SUMIFS(Налоги!AX$26:AX$55,Налоги!$F$26:$F$55,$F43,Налоги!$G$26:$G$55,$G43)</f>
        <v>0</v>
      </c>
      <c r="AZ43" s="746">
        <f>_xlfn.SUMIFS(Налоги!AY$26:AY$55,Налоги!$F$26:$F$55,$F43,Налоги!$G$26:$G$55,$G43)</f>
        <v>0</v>
      </c>
      <c r="BA43" s="746">
        <f>_xlfn.SUMIFS(Налоги!AZ$26:AZ$55,Налоги!$F$26:$F$55,$F43,Налоги!$G$26:$G$55,$G43)</f>
        <v>0</v>
      </c>
      <c r="BB43" s="746">
        <f>_xlfn.SUMIFS(Налоги!BA$26:BA$55,Налоги!$F$26:$F$55,$F43,Налоги!$G$26:$G$55,$G43)</f>
        <v>0</v>
      </c>
      <c r="BC43" s="746">
        <f>_xlfn.SUMIFS(Налоги!BB$26:BB$55,Налоги!$F$26:$F$55,$F43,Налоги!$G$26:$G$55,$G43)</f>
        <v>0</v>
      </c>
      <c r="BD43" s="746">
        <f>_xlfn.SUMIFS(Налоги!BC$26:BC$55,Налоги!$F$26:$F$55,$F43,Налоги!$G$26:$G$55,$G43)</f>
        <v>0</v>
      </c>
      <c r="BE43" s="746">
        <f>_xlfn.SUMIFS(Налоги!BD$26:BD$55,Налоги!$F$26:$F$55,$F43,Налоги!$G$26:$G$55,$G43)</f>
        <v>0</v>
      </c>
      <c r="BF43" s="746">
        <f>_xlfn.SUMIFS(Налоги!BE$26:BE$55,Налоги!$F$26:$F$55,$F43,Налоги!$G$26:$G$55,$G43)</f>
        <v>0</v>
      </c>
      <c r="BG43" s="746">
        <f>_xlfn.SUMIFS(Налоги!BF$26:BF$55,Налоги!$F$26:$F$55,$F43,Налоги!$G$26:$G$55,$G43)</f>
        <v>0</v>
      </c>
      <c r="BH43" s="746">
        <f>_xlfn.SUMIFS(Налоги!BG$26:BG$55,Налоги!$F$26:$F$55,$F43,Налоги!$G$26:$G$55,$G43)</f>
        <v>0</v>
      </c>
      <c r="BI43" s="746">
        <f>_xlfn.SUMIFS(Налоги!BH$26:BH$55,Налоги!$F$26:$F$55,$F43,Налоги!$G$26:$G$55,$G43)</f>
        <v>0</v>
      </c>
      <c r="BJ43" s="746">
        <f>_xlfn.SUMIFS(Налоги!BI$26:BI$55,Налоги!$F$26:$F$55,$F43,Налоги!$G$26:$G$55,$G43)</f>
        <v>0</v>
      </c>
      <c r="BK43" s="746">
        <f>_xlfn.SUMIFS(Налоги!BJ$26:BJ$55,Налоги!$F$26:$F$55,$F43,Налоги!$G$26:$G$55,$G43)</f>
        <v>0</v>
      </c>
      <c r="BL43" s="746">
        <f>_xlfn.SUMIFS(Налоги!BK$26:BK$55,Налоги!$F$26:$F$55,$F43,Налоги!$G$26:$G$55,$G43)</f>
        <v>0</v>
      </c>
      <c r="BM43" s="746">
        <f>_xlfn.SUMIFS(Налоги!BL$26:BL$55,Налоги!$F$26:$F$55,$F43,Налоги!$G$26:$G$55,$G43)</f>
        <v>0</v>
      </c>
      <c r="BN43" s="746">
        <f>_xlfn.SUMIFS(Налоги!BM$26:BM$55,Налоги!$F$26:$F$55,$F43,Налоги!$G$26:$G$55,$G43)</f>
        <v>0</v>
      </c>
      <c r="BO43" s="746">
        <f>_xlfn.SUMIFS(Налоги!BN$26:BN$55,Налоги!$F$26:$F$55,$F43,Налоги!$G$26:$G$55,$G43)</f>
        <v>0</v>
      </c>
      <c r="BP43" s="746">
        <f>_xlfn.SUMIFS(Налоги!BO$26:BO$55,Налоги!$F$26:$F$55,$F43,Налоги!$G$26:$G$55,$G43)</f>
        <v>0</v>
      </c>
      <c r="BQ43" s="746">
        <f>_xlfn.SUMIFS(Налоги!BP$26:BP$55,Налоги!$F$26:$F$55,$F43,Налоги!$G$26:$G$55,$G43)</f>
        <v>0</v>
      </c>
      <c r="BR43" s="746">
        <f>_xlfn.SUMIFS(Налоги!BQ$26:BQ$55,Налоги!$F$26:$F$55,$F43,Налоги!$G$26:$G$55,$G43)</f>
        <v>0</v>
      </c>
      <c r="BS43" s="746">
        <f>_xlfn.SUMIFS(Налоги!BR$26:BR$55,Налоги!$F$26:$F$55,$F43,Налоги!$G$26:$G$55,$G43)</f>
        <v>0</v>
      </c>
      <c r="BT43" s="746">
        <f>_xlfn.SUMIFS(Налоги!BS$26:BS$55,Налоги!$F$26:$F$55,$F43,Налоги!$G$26:$G$55,$G43)</f>
        <v>0</v>
      </c>
      <c r="BU43" s="746">
        <f>_xlfn.SUMIFS(Налоги!BT$26:BT$55,Налоги!$F$26:$F$55,$F43,Налоги!$G$26:$G$55,$G43)</f>
        <v>0</v>
      </c>
      <c r="BV43" s="746">
        <f>_xlfn.SUMIFS(Налоги!BU$26:BU$55,Налоги!$F$26:$F$55,$F43,Налоги!$G$26:$G$55,$G43)</f>
        <v>0</v>
      </c>
      <c r="BW43" s="746">
        <f>_xlfn.SUMIFS(Налоги!BV$26:BV$55,Налоги!$F$26:$F$55,$F43,Налоги!$G$26:$G$55,$G43)</f>
        <v>0</v>
      </c>
      <c r="BX43" s="695">
        <f>IF(AI43=0,0,(BD43-AI43)/AI43*100)</f>
        <v>0</v>
      </c>
      <c r="BY43" s="695">
        <f>IF(BD43=0,0,(BE43-BD43)/BD43*100)</f>
        <v>0</v>
      </c>
      <c r="BZ43" s="695">
        <f>IF(BE43=0,0,(BF43-BE43)/BE43*100)</f>
        <v>0</v>
      </c>
      <c r="CA43" s="695">
        <f>IF(BF43=0,0,(BG43-BF43)/BF43*100)</f>
        <v>0</v>
      </c>
      <c r="CB43" s="695">
        <f>IF(BG43=0,0,(BH43-BG43)/BG43*100)</f>
        <v>0</v>
      </c>
      <c r="CC43" s="695">
        <f>IF(BH43=0,0,(BI43-BH43)/BH43*100)</f>
        <v>0</v>
      </c>
      <c r="CD43" s="695">
        <f>IF(BI43=0,0,(BJ43-BI43)/BI43*100)</f>
        <v>0</v>
      </c>
      <c r="CE43" s="695">
        <f>IF(BJ43=0,0,(BK43-BJ43)/BJ43*100)</f>
        <v>0</v>
      </c>
      <c r="CF43" s="695">
        <f>IF(BK43=0,0,(BL43-BK43)/BK43*100)</f>
        <v>0</v>
      </c>
      <c r="CG43" s="695">
        <f>IF(BL43=0,0,(BM43-BL43)/BL43*100)</f>
        <v>0</v>
      </c>
      <c r="CH43" s="695">
        <f>IF(BM43=0,0,(BN43-BM43)/BM43*100)</f>
        <v>0</v>
      </c>
      <c r="CI43" s="695">
        <f>IF(BN43=0,0,(BO43-BN43)/BN43*100)</f>
        <v>0</v>
      </c>
      <c r="CJ43" s="695">
        <f>IF(BO43=0,0,(BP43-BO43)/BO43*100)</f>
        <v>0</v>
      </c>
      <c r="CK43" s="695">
        <f>IF(BP43=0,0,(BQ43-BP43)/BP43*100)</f>
        <v>0</v>
      </c>
      <c r="CL43" s="695">
        <f>IF(BQ43=0,0,(BR43-BQ43)/BQ43*100)</f>
        <v>0</v>
      </c>
      <c r="CM43" s="695">
        <f>IF(BR43=0,0,(BS43-BR43)/BR43*100)</f>
        <v>0</v>
      </c>
      <c r="CN43" s="695">
        <f>IF(BS43=0,0,(BT43-BS43)/BS43*100)</f>
        <v>0</v>
      </c>
      <c r="CO43" s="695">
        <f>IF(BT43=0,0,(BU43-BT43)/BT43*100)</f>
        <v>0</v>
      </c>
      <c r="CP43" s="695">
        <f>IF(BU43=0,0,(BV43-BU43)/BU43*100)</f>
        <v>0</v>
      </c>
      <c r="CQ43" s="695">
        <f>IF(BV43=0,0,(BW43-BV43)/BV43*100)</f>
        <v>0</v>
      </c>
      <c r="CR43" s="83"/>
      <c r="CS43" s="83"/>
      <c r="CT43" s="83"/>
      <c r="CW43" s="489" t="s">
        <v>590</v>
      </c>
      <c r="CX43" s="489"/>
      <c r="CY43" s="489"/>
      <c r="CZ43" s="546"/>
      <c r="DA43" s="546"/>
      <c r="DB43" s="489" t="s">
        <v>590</v>
      </c>
      <c r="DD43" s="1501" cm="1" t="str">
        <f t="array" ref="DD43:DD43">DD42</f>
        <v>0</v>
      </c>
      <c r="DE43" s="1501"/>
      <c r="DF43" s="1501"/>
      <c r="DG43" s="1501" t="s">
        <v>1672</v>
      </c>
      <c r="DH43" s="1501"/>
      <c r="DI43" s="1501"/>
      <c r="DJ43" s="1501"/>
      <c r="DK43" s="1501"/>
      <c r="DL43" s="1501"/>
      <c r="DM43" s="1501" t="s">
        <v>303</v>
      </c>
      <c r="DN43" s="1501" t="s">
        <v>1673</v>
      </c>
      <c r="DO43" s="1504" t="s">
        <v>1674</v>
      </c>
    </row>
    <row customHeight="1" ht="27.299999999999997" hidden="1">
      <c r="E44" s="180">
        <v>28</v>
      </c>
      <c r="F44" s="175" cm="1" t="str">
        <f t="array" ref="F44:F44">OFFSET(G44,-1,-1)</f>
        <v>0</v>
      </c>
      <c r="G44" s="193" t="s">
        <v>1537</v>
      </c>
      <c r="T44" s="753">
        <f>AND(F44,OR(ISBLANK(Y44),Y44))</f>
        <v>0</v>
      </c>
      <c r="AB44" s="491">
        <v>3</v>
      </c>
      <c r="AC44" s="505" t="s">
        <v>1675</v>
      </c>
      <c r="AD44" s="491" t="s">
        <v>917</v>
      </c>
      <c r="AE44" s="132"/>
      <c r="AF44" s="132"/>
      <c r="AG44" s="132"/>
      <c r="AH44" s="695">
        <f>AG44-AF44</f>
        <v>0</v>
      </c>
      <c r="AI44" s="132"/>
      <c r="AJ44" s="746">
        <f>_xlfn.SUMIFS(Экономия_корр!AE$26:AE$43,Экономия_корр!$F$26:$F$43,$F44,Экономия_корр!$G$26:$G$43,$G44)</f>
        <v>0</v>
      </c>
      <c r="AK44" s="746">
        <f>_xlfn.SUMIFS(Экономия_корр!AF$26:AF$43,Экономия_корр!$F$26:$F$43,$F44,Экономия_корр!$G$26:$G$43,$G44)</f>
        <v>0</v>
      </c>
      <c r="AL44" s="746">
        <f>_xlfn.SUMIFS(Экономия_корр!AG$26:AG$43,Экономия_корр!$F$26:$F$43,$F44,Экономия_корр!$G$26:$G$43,$G44)</f>
        <v>0</v>
      </c>
      <c r="AM44" s="746">
        <f>_xlfn.SUMIFS(Экономия_корр!AH$26:AH$43,Экономия_корр!$F$26:$F$43,$F44,Экономия_корр!$G$26:$G$43,$G44)</f>
        <v>0</v>
      </c>
      <c r="AN44" s="746">
        <f>_xlfn.SUMIFS(Экономия_корр!AI$26:AI$43,Экономия_корр!$F$26:$F$43,$F44,Экономия_корр!$G$26:$G$43,$G44)</f>
        <v>0</v>
      </c>
      <c r="AO44" s="746">
        <f>_xlfn.SUMIFS(Экономия_корр!AJ$26:AJ$43,Экономия_корр!$F$26:$F$43,$F44,Экономия_корр!$G$26:$G$43,$G44)</f>
        <v>0</v>
      </c>
      <c r="AP44" s="746">
        <f>_xlfn.SUMIFS(Экономия_корр!AK$26:AK$43,Экономия_корр!$F$26:$F$43,$F44,Экономия_корр!$G$26:$G$43,$G44)</f>
        <v>0</v>
      </c>
      <c r="AQ44" s="746">
        <f>_xlfn.SUMIFS(Экономия_корр!AL$26:AL$43,Экономия_корр!$F$26:$F$43,$F44,Экономия_корр!$G$26:$G$43,$G44)</f>
        <v>0</v>
      </c>
      <c r="AR44" s="746">
        <f>_xlfn.SUMIFS(Экономия_корр!AM$26:AM$43,Экономия_корр!$F$26:$F$43,$F44,Экономия_корр!$G$26:$G$43,$G44)</f>
        <v>0</v>
      </c>
      <c r="AS44" s="746">
        <f>_xlfn.SUMIFS(Экономия_корр!AN$26:AN$43,Экономия_корр!$F$26:$F$43,$F44,Экономия_корр!$G$26:$G$43,$G44)</f>
        <v>0</v>
      </c>
      <c r="AT44" s="746">
        <f>_xlfn.SUMIFS(Экономия_корр!AO$26:AO$43,Экономия_корр!$F$26:$F$43,$F44,Экономия_корр!$G$26:$G$43,$G44)</f>
        <v>0</v>
      </c>
      <c r="AU44" s="746">
        <f>_xlfn.SUMIFS(Экономия_корр!AP$26:AP$43,Экономия_корр!$F$26:$F$43,$F44,Экономия_корр!$G$26:$G$43,$G44)</f>
        <v>0</v>
      </c>
      <c r="AV44" s="746">
        <f>_xlfn.SUMIFS(Экономия_корр!AQ$26:AQ$43,Экономия_корр!$F$26:$F$43,$F44,Экономия_корр!$G$26:$G$43,$G44)</f>
        <v>0</v>
      </c>
      <c r="AW44" s="746">
        <f>_xlfn.SUMIFS(Экономия_корр!AR$26:AR$43,Экономия_корр!$F$26:$F$43,$F44,Экономия_корр!$G$26:$G$43,$G44)</f>
        <v>0</v>
      </c>
      <c r="AX44" s="746">
        <f>_xlfn.SUMIFS(Экономия_корр!AS$26:AS$43,Экономия_корр!$F$26:$F$43,$F44,Экономия_корр!$G$26:$G$43,$G44)</f>
        <v>0</v>
      </c>
      <c r="AY44" s="746">
        <f>_xlfn.SUMIFS(Экономия_корр!AT$26:AT$43,Экономия_корр!$F$26:$F$43,$F44,Экономия_корр!$G$26:$G$43,$G44)</f>
        <v>0</v>
      </c>
      <c r="AZ44" s="746">
        <f>_xlfn.SUMIFS(Экономия_корр!AU$26:AU$43,Экономия_корр!$F$26:$F$43,$F44,Экономия_корр!$G$26:$G$43,$G44)</f>
        <v>0</v>
      </c>
      <c r="BA44" s="746">
        <f>_xlfn.SUMIFS(Экономия_корр!AV$26:AV$43,Экономия_корр!$F$26:$F$43,$F44,Экономия_корр!$G$26:$G$43,$G44)</f>
        <v>0</v>
      </c>
      <c r="BB44" s="746">
        <f>_xlfn.SUMIFS(Экономия_корр!AW$26:AW$43,Экономия_корр!$F$26:$F$43,$F44,Экономия_корр!$G$26:$G$43,$G44)</f>
        <v>0</v>
      </c>
      <c r="BC44" s="746">
        <f>_xlfn.SUMIFS(Экономия_корр!AX$26:AX$43,Экономия_корр!$F$26:$F$43,$F44,Экономия_корр!$G$26:$G$43,$G44)</f>
        <v>0</v>
      </c>
      <c r="BD44" s="746">
        <f>_xlfn.SUMIFS(Экономия_корр!AY$26:AY$43,Экономия_корр!$F$26:$F$43,$F44,Экономия_корр!$G$26:$G$43,$G44)</f>
        <v>0</v>
      </c>
      <c r="BE44" s="746">
        <f>_xlfn.SUMIFS(Экономия_корр!AZ$26:AZ$43,Экономия_корр!$F$26:$F$43,$F44,Экономия_корр!$G$26:$G$43,$G44)</f>
        <v>0</v>
      </c>
      <c r="BF44" s="746">
        <f>_xlfn.SUMIFS(Экономия_корр!BA$26:BA$43,Экономия_корр!$F$26:$F$43,$F44,Экономия_корр!$G$26:$G$43,$G44)</f>
        <v>0</v>
      </c>
      <c r="BG44" s="746">
        <f>_xlfn.SUMIFS(Экономия_корр!BB$26:BB$43,Экономия_корр!$F$26:$F$43,$F44,Экономия_корр!$G$26:$G$43,$G44)</f>
        <v>0</v>
      </c>
      <c r="BH44" s="746">
        <f>_xlfn.SUMIFS(Экономия_корр!BC$26:BC$43,Экономия_корр!$F$26:$F$43,$F44,Экономия_корр!$G$26:$G$43,$G44)</f>
        <v>0</v>
      </c>
      <c r="BI44" s="746">
        <f>_xlfn.SUMIFS(Экономия_корр!BD$26:BD$43,Экономия_корр!$F$26:$F$43,$F44,Экономия_корр!$G$26:$G$43,$G44)</f>
        <v>0</v>
      </c>
      <c r="BJ44" s="746">
        <f>_xlfn.SUMIFS(Экономия_корр!BE$26:BE$43,Экономия_корр!$F$26:$F$43,$F44,Экономия_корр!$G$26:$G$43,$G44)</f>
        <v>0</v>
      </c>
      <c r="BK44" s="746">
        <f>_xlfn.SUMIFS(Экономия_корр!BF$26:BF$43,Экономия_корр!$F$26:$F$43,$F44,Экономия_корр!$G$26:$G$43,$G44)</f>
        <v>0</v>
      </c>
      <c r="BL44" s="746">
        <f>_xlfn.SUMIFS(Экономия_корр!BG$26:BG$43,Экономия_корр!$F$26:$F$43,$F44,Экономия_корр!$G$26:$G$43,$G44)</f>
        <v>0</v>
      </c>
      <c r="BM44" s="746">
        <f>_xlfn.SUMIFS(Экономия_корр!BH$26:BH$43,Экономия_корр!$F$26:$F$43,$F44,Экономия_корр!$G$26:$G$43,$G44)</f>
        <v>0</v>
      </c>
      <c r="BN44" s="746">
        <f>_xlfn.SUMIFS(Экономия_корр!BI$26:BI$43,Экономия_корр!$F$26:$F$43,$F44,Экономия_корр!$G$26:$G$43,$G44)</f>
        <v>0</v>
      </c>
      <c r="BO44" s="746">
        <f>_xlfn.SUMIFS(Экономия_корр!BJ$26:BJ$43,Экономия_корр!$F$26:$F$43,$F44,Экономия_корр!$G$26:$G$43,$G44)</f>
        <v>0</v>
      </c>
      <c r="BP44" s="746">
        <f>_xlfn.SUMIFS(Экономия_корр!BK$26:BK$43,Экономия_корр!$F$26:$F$43,$F44,Экономия_корр!$G$26:$G$43,$G44)</f>
        <v>0</v>
      </c>
      <c r="BQ44" s="746">
        <f>_xlfn.SUMIFS(Экономия_корр!BL$26:BL$43,Экономия_корр!$F$26:$F$43,$F44,Экономия_корр!$G$26:$G$43,$G44)</f>
        <v>0</v>
      </c>
      <c r="BR44" s="746">
        <f>_xlfn.SUMIFS(Экономия_корр!BM$26:BM$43,Экономия_корр!$F$26:$F$43,$F44,Экономия_корр!$G$26:$G$43,$G44)</f>
        <v>0</v>
      </c>
      <c r="BS44" s="746">
        <f>_xlfn.SUMIFS(Экономия_корр!BN$26:BN$43,Экономия_корр!$F$26:$F$43,$F44,Экономия_корр!$G$26:$G$43,$G44)</f>
        <v>0</v>
      </c>
      <c r="BT44" s="746">
        <f>_xlfn.SUMIFS(Экономия_корр!BO$26:BO$43,Экономия_корр!$F$26:$F$43,$F44,Экономия_корр!$G$26:$G$43,$G44)</f>
        <v>0</v>
      </c>
      <c r="BU44" s="746">
        <f>_xlfn.SUMIFS(Экономия_корр!BP$26:BP$43,Экономия_корр!$F$26:$F$43,$F44,Экономия_корр!$G$26:$G$43,$G44)</f>
        <v>0</v>
      </c>
      <c r="BV44" s="746">
        <f>_xlfn.SUMIFS(Экономия_корр!BQ$26:BQ$43,Экономия_корр!$F$26:$F$43,$F44,Экономия_корр!$G$26:$G$43,$G44)</f>
        <v>0</v>
      </c>
      <c r="BW44" s="746">
        <f>_xlfn.SUMIFS(Экономия_корр!BR$26:BR$43,Экономия_корр!$F$26:$F$43,$F44,Экономия_корр!$G$26:$G$43,$G44)</f>
        <v>0</v>
      </c>
      <c r="BX44" s="695">
        <f>IF(AI44=0,0,(BD44-AI44)/AI44*100)</f>
        <v>0</v>
      </c>
      <c r="BY44" s="695">
        <f>IF(BD44=0,0,(BE44-BD44)/BD44*100)</f>
        <v>0</v>
      </c>
      <c r="BZ44" s="695">
        <f>IF(BE44=0,0,(BF44-BE44)/BE44*100)</f>
        <v>0</v>
      </c>
      <c r="CA44" s="695">
        <f>IF(BF44=0,0,(BG44-BF44)/BF44*100)</f>
        <v>0</v>
      </c>
      <c r="CB44" s="695">
        <f>IF(BG44=0,0,(BH44-BG44)/BG44*100)</f>
        <v>0</v>
      </c>
      <c r="CC44" s="695">
        <f>IF(BH44=0,0,(BI44-BH44)/BH44*100)</f>
        <v>0</v>
      </c>
      <c r="CD44" s="695">
        <f>IF(BI44=0,0,(BJ44-BI44)/BI44*100)</f>
        <v>0</v>
      </c>
      <c r="CE44" s="695">
        <f>IF(BJ44=0,0,(BK44-BJ44)/BJ44*100)</f>
        <v>0</v>
      </c>
      <c r="CF44" s="695">
        <f>IF(BK44=0,0,(BL44-BK44)/BK44*100)</f>
        <v>0</v>
      </c>
      <c r="CG44" s="695">
        <f>IF(BL44=0,0,(BM44-BL44)/BL44*100)</f>
        <v>0</v>
      </c>
      <c r="CH44" s="695">
        <f>IF(BM44=0,0,(BN44-BM44)/BM44*100)</f>
        <v>0</v>
      </c>
      <c r="CI44" s="695">
        <f>IF(BN44=0,0,(BO44-BN44)/BN44*100)</f>
        <v>0</v>
      </c>
      <c r="CJ44" s="695">
        <f>IF(BO44=0,0,(BP44-BO44)/BO44*100)</f>
        <v>0</v>
      </c>
      <c r="CK44" s="695">
        <f>IF(BP44=0,0,(BQ44-BP44)/BP44*100)</f>
        <v>0</v>
      </c>
      <c r="CL44" s="695">
        <f>IF(BQ44=0,0,(BR44-BQ44)/BQ44*100)</f>
        <v>0</v>
      </c>
      <c r="CM44" s="695">
        <f>IF(BR44=0,0,(BS44-BR44)/BR44*100)</f>
        <v>0</v>
      </c>
      <c r="CN44" s="695">
        <f>IF(BS44=0,0,(BT44-BS44)/BS44*100)</f>
        <v>0</v>
      </c>
      <c r="CO44" s="695">
        <f>IF(BT44=0,0,(BU44-BT44)/BT44*100)</f>
        <v>0</v>
      </c>
      <c r="CP44" s="695">
        <f>IF(BU44=0,0,(BV44-BU44)/BU44*100)</f>
        <v>0</v>
      </c>
      <c r="CQ44" s="695">
        <f>IF(BV44=0,0,(BW44-BV44)/BV44*100)</f>
        <v>0</v>
      </c>
      <c r="CR44" s="83"/>
      <c r="CS44" s="83"/>
      <c r="CT44" s="83"/>
      <c r="CW44" s="489" t="s">
        <v>1676</v>
      </c>
      <c r="CX44" s="489"/>
      <c r="CY44" s="489"/>
      <c r="CZ44" s="546"/>
      <c r="DA44" s="546"/>
      <c r="DB44" s="489" t="s">
        <v>1676</v>
      </c>
      <c r="DD44" s="1501" cm="1" t="str">
        <f t="array" ref="DD44:DD44">DD43</f>
        <v>0</v>
      </c>
      <c r="DE44" s="1501"/>
      <c r="DF44" s="1501"/>
      <c r="DG44" s="1501"/>
      <c r="DH44" s="1501"/>
      <c r="DI44" s="1501"/>
      <c r="DJ44" s="1501" t="s">
        <v>1518</v>
      </c>
      <c r="DK44" s="1501"/>
      <c r="DL44" s="1501"/>
      <c r="DM44" s="1501" t="s">
        <v>303</v>
      </c>
      <c r="DN44" s="1501" t="s">
        <v>1519</v>
      </c>
      <c r="DO44" s="1504" t="s">
        <v>1520</v>
      </c>
    </row>
    <row customHeight="1" ht="27.299999999999997" hidden="1">
      <c r="E45" s="180">
        <v>28</v>
      </c>
      <c r="F45" s="175" cm="1" t="str">
        <f t="array" ref="F45:F45">OFFSET(G45,-1,-1)</f>
        <v>0</v>
      </c>
      <c r="T45" s="753">
        <f>AND(F45,OR(ISBLANK(Y45),Y45))</f>
        <v>0</v>
      </c>
      <c r="AB45" s="491">
        <v>4</v>
      </c>
      <c r="AC45" s="505" t="s">
        <v>1677</v>
      </c>
      <c r="AD45" s="491" t="s">
        <v>917</v>
      </c>
      <c r="AE45" s="132"/>
      <c r="AF45" s="132"/>
      <c r="AG45" s="132"/>
      <c r="AH45" s="695">
        <f>AG45-AF45</f>
        <v>0</v>
      </c>
      <c r="AI45" s="132"/>
      <c r="AJ45" s="749"/>
      <c r="AK45" s="132"/>
      <c r="AL45" s="132"/>
      <c r="AM45" s="132"/>
      <c r="AN45" s="132"/>
      <c r="AO45" s="132"/>
      <c r="AP45" s="132"/>
      <c r="AQ45" s="132"/>
      <c r="AR45" s="132"/>
      <c r="AS45" s="132"/>
      <c r="AT45" s="132"/>
      <c r="AU45" s="132"/>
      <c r="AV45" s="132"/>
      <c r="AW45" s="132"/>
      <c r="AX45" s="132"/>
      <c r="AY45" s="132"/>
      <c r="AZ45" s="132"/>
      <c r="BA45" s="132"/>
      <c r="BB45" s="132"/>
      <c r="BC45" s="132"/>
      <c r="BD45" s="749"/>
      <c r="BE45" s="132"/>
      <c r="BF45" s="132"/>
      <c r="BG45" s="132"/>
      <c r="BH45" s="132"/>
      <c r="BI45" s="132"/>
      <c r="BJ45" s="132"/>
      <c r="BK45" s="132"/>
      <c r="BL45" s="132"/>
      <c r="BM45" s="132"/>
      <c r="BN45" s="132"/>
      <c r="BO45" s="132"/>
      <c r="BP45" s="132"/>
      <c r="BQ45" s="132"/>
      <c r="BR45" s="132"/>
      <c r="BS45" s="132"/>
      <c r="BT45" s="132"/>
      <c r="BU45" s="132"/>
      <c r="BV45" s="132"/>
      <c r="BW45" s="132"/>
      <c r="BX45" s="695">
        <f>IF(AI45=0,0,(BD45-AI45)/AI45*100)</f>
        <v>0</v>
      </c>
      <c r="BY45" s="695">
        <f>IF(BD45=0,0,(BE45-BD45)/BD45*100)</f>
        <v>0</v>
      </c>
      <c r="BZ45" s="695">
        <f>IF(BE45=0,0,(BF45-BE45)/BE45*100)</f>
        <v>0</v>
      </c>
      <c r="CA45" s="695">
        <f>IF(BF45=0,0,(BG45-BF45)/BF45*100)</f>
        <v>0</v>
      </c>
      <c r="CB45" s="695">
        <f>IF(BG45=0,0,(BH45-BG45)/BG45*100)</f>
        <v>0</v>
      </c>
      <c r="CC45" s="695">
        <f>IF(BH45=0,0,(BI45-BH45)/BH45*100)</f>
        <v>0</v>
      </c>
      <c r="CD45" s="695">
        <f>IF(BI45=0,0,(BJ45-BI45)/BI45*100)</f>
        <v>0</v>
      </c>
      <c r="CE45" s="695">
        <f>IF(BJ45=0,0,(BK45-BJ45)/BJ45*100)</f>
        <v>0</v>
      </c>
      <c r="CF45" s="695">
        <f>IF(BK45=0,0,(BL45-BK45)/BK45*100)</f>
        <v>0</v>
      </c>
      <c r="CG45" s="695">
        <f>IF(BL45=0,0,(BM45-BL45)/BL45*100)</f>
        <v>0</v>
      </c>
      <c r="CH45" s="695">
        <f>IF(BM45=0,0,(BN45-BM45)/BM45*100)</f>
        <v>0</v>
      </c>
      <c r="CI45" s="695">
        <f>IF(BN45=0,0,(BO45-BN45)/BN45*100)</f>
        <v>0</v>
      </c>
      <c r="CJ45" s="695">
        <f>IF(BO45=0,0,(BP45-BO45)/BO45*100)</f>
        <v>0</v>
      </c>
      <c r="CK45" s="695">
        <f>IF(BP45=0,0,(BQ45-BP45)/BP45*100)</f>
        <v>0</v>
      </c>
      <c r="CL45" s="695">
        <f>IF(BQ45=0,0,(BR45-BQ45)/BQ45*100)</f>
        <v>0</v>
      </c>
      <c r="CM45" s="695">
        <f>IF(BR45=0,0,(BS45-BR45)/BR45*100)</f>
        <v>0</v>
      </c>
      <c r="CN45" s="695">
        <f>IF(BS45=0,0,(BT45-BS45)/BS45*100)</f>
        <v>0</v>
      </c>
      <c r="CO45" s="695">
        <f>IF(BT45=0,0,(BU45-BT45)/BT45*100)</f>
        <v>0</v>
      </c>
      <c r="CP45" s="695">
        <f>IF(BU45=0,0,(BV45-BU45)/BU45*100)</f>
        <v>0</v>
      </c>
      <c r="CQ45" s="695">
        <f>IF(BV45=0,0,(BW45-BV45)/BV45*100)</f>
        <v>0</v>
      </c>
      <c r="CR45" s="83"/>
      <c r="CS45" s="83"/>
      <c r="CT45" s="83"/>
      <c r="CW45" s="489" t="s">
        <v>1678</v>
      </c>
      <c r="CX45" s="489"/>
      <c r="CY45" s="489"/>
      <c r="CZ45" s="546"/>
      <c r="DA45" s="546"/>
      <c r="DB45" s="489" t="s">
        <v>1678</v>
      </c>
      <c r="DD45" s="1501" cm="1" t="str">
        <f t="array" ref="DD45:DD45">DD44</f>
        <v>0</v>
      </c>
      <c r="DE45" s="1501"/>
      <c r="DF45" s="1501"/>
      <c r="DG45" s="1501" t="s">
        <v>1679</v>
      </c>
      <c r="DH45" s="1501"/>
      <c r="DI45" s="1501"/>
      <c r="DJ45" s="1501"/>
      <c r="DK45" s="1501"/>
      <c r="DL45" s="1501"/>
      <c r="DM45" s="1501" t="s">
        <v>303</v>
      </c>
      <c r="DN45" s="1501" t="s">
        <v>1044</v>
      </c>
      <c r="DO45" s="1504" t="s">
        <v>1045</v>
      </c>
    </row>
    <row customHeight="1" ht="14.625" hidden="1">
      <c r="E46" s="180">
        <v>15</v>
      </c>
      <c r="F46" s="175" cm="1" t="str">
        <f t="array" ref="F46:F46">OFFSET(G46,-1,-1)</f>
        <v>0</v>
      </c>
      <c r="T46" s="753">
        <f>AND(F46,OR(ISBLANK(Y46),Y46))</f>
        <v>0</v>
      </c>
      <c r="W46" s="175" t="s">
        <v>189</v>
      </c>
      <c r="Y46" s="175">
        <v>0</v>
      </c>
      <c r="AA46" s="957" t="s">
        <v>171</v>
      </c>
      <c r="AB46" s="491"/>
      <c r="AC46" s="133"/>
      <c r="AD46" s="491" t="s">
        <v>917</v>
      </c>
      <c r="AE46" s="132"/>
      <c r="AF46" s="132"/>
      <c r="AG46" s="132"/>
      <c r="AH46" s="695">
        <f>AG46-AF46</f>
        <v>0</v>
      </c>
      <c r="AI46" s="132"/>
      <c r="AJ46" s="749"/>
      <c r="AK46" s="132"/>
      <c r="AL46" s="132"/>
      <c r="AM46" s="132"/>
      <c r="AN46" s="132"/>
      <c r="AO46" s="132"/>
      <c r="AP46" s="132"/>
      <c r="AQ46" s="132"/>
      <c r="AR46" s="132"/>
      <c r="AS46" s="132"/>
      <c r="AT46" s="132"/>
      <c r="AU46" s="132"/>
      <c r="AV46" s="132"/>
      <c r="AW46" s="132"/>
      <c r="AX46" s="132"/>
      <c r="AY46" s="132"/>
      <c r="AZ46" s="132"/>
      <c r="BA46" s="132"/>
      <c r="BB46" s="132"/>
      <c r="BC46" s="132"/>
      <c r="BD46" s="749"/>
      <c r="BE46" s="132"/>
      <c r="BF46" s="132"/>
      <c r="BG46" s="132"/>
      <c r="BH46" s="132"/>
      <c r="BI46" s="132"/>
      <c r="BJ46" s="132"/>
      <c r="BK46" s="132"/>
      <c r="BL46" s="132"/>
      <c r="BM46" s="132"/>
      <c r="BN46" s="132"/>
      <c r="BO46" s="132"/>
      <c r="BP46" s="132"/>
      <c r="BQ46" s="132"/>
      <c r="BR46" s="132"/>
      <c r="BS46" s="132"/>
      <c r="BT46" s="132"/>
      <c r="BU46" s="132"/>
      <c r="BV46" s="132"/>
      <c r="BW46" s="132"/>
      <c r="BX46" s="695">
        <f>IF(AI46=0,0,(BD46-AI46)/AI46*100)</f>
        <v>0</v>
      </c>
      <c r="BY46" s="695">
        <f>IF(BD46=0,0,(BE46-BD46)/BD46*100)</f>
        <v>0</v>
      </c>
      <c r="BZ46" s="695">
        <f>IF(BE46=0,0,(BF46-BE46)/BE46*100)</f>
        <v>0</v>
      </c>
      <c r="CA46" s="695">
        <f>IF(BF46=0,0,(BG46-BF46)/BF46*100)</f>
        <v>0</v>
      </c>
      <c r="CB46" s="695">
        <f>IF(BG46=0,0,(BH46-BG46)/BG46*100)</f>
        <v>0</v>
      </c>
      <c r="CC46" s="695">
        <f>IF(BH46=0,0,(BI46-BH46)/BH46*100)</f>
        <v>0</v>
      </c>
      <c r="CD46" s="695">
        <f>IF(BI46=0,0,(BJ46-BI46)/BI46*100)</f>
        <v>0</v>
      </c>
      <c r="CE46" s="695">
        <f>IF(BJ46=0,0,(BK46-BJ46)/BJ46*100)</f>
        <v>0</v>
      </c>
      <c r="CF46" s="695">
        <f>IF(BK46=0,0,(BL46-BK46)/BK46*100)</f>
        <v>0</v>
      </c>
      <c r="CG46" s="695">
        <f>IF(BL46=0,0,(BM46-BL46)/BL46*100)</f>
        <v>0</v>
      </c>
      <c r="CH46" s="695">
        <f>IF(BM46=0,0,(BN46-BM46)/BM46*100)</f>
        <v>0</v>
      </c>
      <c r="CI46" s="695">
        <f>IF(BN46=0,0,(BO46-BN46)/BN46*100)</f>
        <v>0</v>
      </c>
      <c r="CJ46" s="695">
        <f>IF(BO46=0,0,(BP46-BO46)/BO46*100)</f>
        <v>0</v>
      </c>
      <c r="CK46" s="695">
        <f>IF(BP46=0,0,(BQ46-BP46)/BP46*100)</f>
        <v>0</v>
      </c>
      <c r="CL46" s="695">
        <f>IF(BQ46=0,0,(BR46-BQ46)/BQ46*100)</f>
        <v>0</v>
      </c>
      <c r="CM46" s="695">
        <f>IF(BR46=0,0,(BS46-BR46)/BR46*100)</f>
        <v>0</v>
      </c>
      <c r="CN46" s="695">
        <f>IF(BS46=0,0,(BT46-BS46)/BS46*100)</f>
        <v>0</v>
      </c>
      <c r="CO46" s="695">
        <f>IF(BT46=0,0,(BU46-BT46)/BT46*100)</f>
        <v>0</v>
      </c>
      <c r="CP46" s="695">
        <f>IF(BU46=0,0,(BV46-BU46)/BU46*100)</f>
        <v>0</v>
      </c>
      <c r="CQ46" s="695">
        <f>IF(BV46=0,0,(BW46-BV46)/BV46*100)</f>
        <v>0</v>
      </c>
      <c r="CR46" s="83"/>
      <c r="CS46" s="83"/>
      <c r="CT46" s="83"/>
      <c r="CW46" s="489" t="s">
        <v>1678</v>
      </c>
      <c r="CX46" s="489" t="s">
        <v>890</v>
      </c>
      <c r="CY46" s="489" cm="1" t="str">
        <f t="array" ref="CY46:CY46">AC46</f>
        <v>0</v>
      </c>
      <c r="CZ46" s="546"/>
      <c r="DA46" s="546" t="b">
        <v>1</v>
      </c>
      <c r="DB46" s="489" t="s">
        <v>1680</v>
      </c>
      <c r="DD46" s="1501" cm="1" t="str">
        <f t="array" ref="DD46:DD46">OFFSET(DE46,-1,-1)</f>
        <v>0</v>
      </c>
      <c r="DE46" s="1501"/>
      <c r="DF46" s="1501"/>
      <c r="DG46" s="1501" t="s">
        <v>1679</v>
      </c>
      <c r="DH46" s="1501"/>
      <c r="DI46" s="1501"/>
      <c r="DJ46" s="1501"/>
      <c r="DK46" s="1501"/>
      <c r="DL46" s="1501" cm="1" t="str">
        <f t="array" ref="DL46:DL46">$AC46</f>
        <v>0</v>
      </c>
      <c r="DM46" s="1501" t="s">
        <v>303</v>
      </c>
      <c r="DN46" s="1501" t="s">
        <v>1044</v>
      </c>
      <c r="DO46" s="1504" t="s">
        <v>1045</v>
      </c>
    </row>
    <row customHeight="1" ht="14.625" hidden="1">
      <c r="E47" s="180">
        <v>15</v>
      </c>
      <c r="F47" s="175" cm="1" t="str">
        <f t="array" ref="F47:F47">OFFSET(G47,-1,-1)</f>
        <v>0</v>
      </c>
      <c r="T47" s="753">
        <f>AND(F47,OR(ISBLANK(Y47),Y47))</f>
        <v>0</v>
      </c>
      <c r="W47" s="176" t="s">
        <v>510</v>
      </c>
      <c r="AB47" s="701"/>
      <c r="AC47" s="406" t="s">
        <v>191</v>
      </c>
      <c r="AD47" s="702"/>
      <c r="AE47" s="702"/>
      <c r="AF47" s="702"/>
      <c r="AG47" s="702"/>
      <c r="AH47" s="702"/>
      <c r="AI47" s="702"/>
      <c r="AJ47" s="702"/>
      <c r="AK47" s="702"/>
      <c r="AL47" s="702"/>
      <c r="AM47" s="702"/>
      <c r="AN47" s="702"/>
      <c r="AO47" s="702"/>
      <c r="AP47" s="702"/>
      <c r="AQ47" s="702"/>
      <c r="AR47" s="702"/>
      <c r="AS47" s="702"/>
      <c r="AT47" s="702"/>
      <c r="AU47" s="702"/>
      <c r="AV47" s="702"/>
      <c r="AW47" s="702"/>
      <c r="AX47" s="702"/>
      <c r="AY47" s="702"/>
      <c r="AZ47" s="702"/>
      <c r="BA47" s="702"/>
      <c r="BB47" s="702"/>
      <c r="BC47" s="702"/>
      <c r="BD47" s="702"/>
      <c r="BE47" s="702"/>
      <c r="BF47" s="702"/>
      <c r="BG47" s="702"/>
      <c r="BH47" s="702"/>
      <c r="BI47" s="702"/>
      <c r="BJ47" s="702"/>
      <c r="BK47" s="702"/>
      <c r="BL47" s="702"/>
      <c r="BM47" s="702"/>
      <c r="BN47" s="702"/>
      <c r="BO47" s="702"/>
      <c r="BP47" s="702"/>
      <c r="BQ47" s="702"/>
      <c r="BR47" s="702"/>
      <c r="BS47" s="702"/>
      <c r="BT47" s="702"/>
      <c r="BU47" s="702"/>
      <c r="BV47" s="702"/>
      <c r="BW47" s="702"/>
      <c r="BX47" s="702"/>
      <c r="BY47" s="702"/>
      <c r="BZ47" s="702"/>
      <c r="CA47" s="702"/>
      <c r="CB47" s="702"/>
      <c r="CC47" s="702"/>
      <c r="CD47" s="702"/>
      <c r="CE47" s="702"/>
      <c r="CF47" s="702"/>
      <c r="CG47" s="702"/>
      <c r="CH47" s="702"/>
      <c r="CI47" s="702"/>
      <c r="CJ47" s="702"/>
      <c r="CK47" s="702"/>
      <c r="CL47" s="702"/>
      <c r="CM47" s="702"/>
      <c r="CN47" s="702"/>
      <c r="CO47" s="702"/>
      <c r="CP47" s="702"/>
      <c r="CQ47" s="702"/>
      <c r="CR47" s="702"/>
      <c r="CS47" s="702"/>
      <c r="CT47" s="705"/>
      <c r="CX47" s="489"/>
      <c r="CY47" s="489"/>
      <c r="CZ47" s="546" t="s">
        <v>890</v>
      </c>
      <c r="DA47" s="546"/>
      <c r="DB47" s="489"/>
      <c r="DD47" s="1501" cm="1" t="str">
        <f t="array" ref="DD47:DD47">OFFSET(DE47,-1,-1)</f>
        <v>0</v>
      </c>
      <c r="DE47" s="1501"/>
      <c r="DF47" s="1501"/>
      <c r="DG47" s="1501"/>
      <c r="DH47" s="1501"/>
      <c r="DI47" s="1501"/>
      <c r="DJ47" s="1501"/>
      <c r="DK47" s="1501"/>
      <c r="DL47" s="1501"/>
      <c r="DM47" s="1501"/>
      <c r="DN47" s="1501"/>
      <c r="DO47" s="1503"/>
    </row>
    <row s="972" customFormat="1" customHeight="1" ht="14.625" hidden="1">
      <c r="E48" s="180">
        <v>15</v>
      </c>
      <c r="F48" s="175" cm="1" t="str">
        <f t="array" ref="F48:F48">OFFSET(G48,-1,-1)</f>
        <v>0</v>
      </c>
      <c r="T48" s="753">
        <f>AND(F48,OR(ISBLANK(Y48),Y48))</f>
        <v>0</v>
      </c>
      <c r="AB48" s="751">
        <v>5</v>
      </c>
      <c r="AC48" s="529" t="s">
        <v>1629</v>
      </c>
      <c r="AD48" s="751" t="s">
        <v>917</v>
      </c>
      <c r="AE48" s="729">
        <f>AE42+AE43+AE44+SUM(AE45:AE47)</f>
        <v>0</v>
      </c>
      <c r="AF48" s="729">
        <f>AF42+AF43+AF44+SUM(AF45:AF47)</f>
        <v>0</v>
      </c>
      <c r="AG48" s="729">
        <f>AG42+AG43+AG44+SUM(AG45:AG47)</f>
        <v>0</v>
      </c>
      <c r="AH48" s="695">
        <f>AG48-AF48</f>
        <v>0</v>
      </c>
      <c r="AI48" s="729">
        <f>AI42+AI43+AI44+SUM(AI45:AI47)</f>
        <v>0</v>
      </c>
      <c r="AJ48" s="729">
        <f>AJ42+AJ43+AJ44+SUM(AJ45:AJ47)</f>
        <v>0</v>
      </c>
      <c r="AK48" s="729">
        <f>AK42+AK43+AK44+SUM(AK45:AK47)</f>
        <v>0</v>
      </c>
      <c r="AL48" s="729">
        <f>AL42+AL43+AL44+SUM(AL45:AL47)</f>
        <v>0</v>
      </c>
      <c r="AM48" s="729">
        <f>AM42+AM43+AM44+SUM(AM45:AM47)</f>
        <v>0</v>
      </c>
      <c r="AN48" s="729">
        <f>AN42+AN43+AN44+SUM(AN45:AN47)</f>
        <v>0</v>
      </c>
      <c r="AO48" s="729">
        <f>AO42+AO43+AO44+SUM(AO45:AO47)</f>
        <v>0</v>
      </c>
      <c r="AP48" s="729">
        <f>AP42+AP43+AP44+SUM(AP45:AP47)</f>
        <v>0</v>
      </c>
      <c r="AQ48" s="729">
        <f>AQ42+AQ43+AQ44+SUM(AQ45:AQ47)</f>
        <v>0</v>
      </c>
      <c r="AR48" s="729">
        <f>AR42+AR43+AR44+SUM(AR45:AR47)</f>
        <v>0</v>
      </c>
      <c r="AS48" s="729">
        <f>AS42+AS43+AS44+SUM(AS45:AS47)</f>
        <v>0</v>
      </c>
      <c r="AT48" s="729">
        <f>AT42+AT43+AT44+SUM(AT45:AT47)</f>
        <v>0</v>
      </c>
      <c r="AU48" s="729">
        <f>AU42+AU43+AU44+SUM(AU45:AU47)</f>
        <v>0</v>
      </c>
      <c r="AV48" s="729">
        <f>AV42+AV43+AV44+SUM(AV45:AV47)</f>
        <v>0</v>
      </c>
      <c r="AW48" s="729">
        <f>AW42+AW43+AW44+SUM(AW45:AW47)</f>
        <v>0</v>
      </c>
      <c r="AX48" s="729">
        <f>AX42+AX43+AX44+SUM(AX45:AX47)</f>
        <v>0</v>
      </c>
      <c r="AY48" s="729">
        <f>AY42+AY43+AY44+SUM(AY45:AY47)</f>
        <v>0</v>
      </c>
      <c r="AZ48" s="729">
        <f>AZ42+AZ43+AZ44+SUM(AZ45:AZ47)</f>
        <v>0</v>
      </c>
      <c r="BA48" s="729">
        <f>BA42+BA43+BA44+SUM(BA45:BA47)</f>
        <v>0</v>
      </c>
      <c r="BB48" s="729">
        <f>BB42+BB43+BB44+SUM(BB45:BB47)</f>
        <v>0</v>
      </c>
      <c r="BC48" s="729">
        <f>BC42+BC43+BC44+SUM(BC45:BC47)</f>
        <v>0</v>
      </c>
      <c r="BD48" s="729">
        <f>BD42+BD43+BD44+SUM(BD45:BD47)</f>
        <v>0</v>
      </c>
      <c r="BE48" s="729">
        <f>BE42+BE43+BE44+SUM(BE45:BE47)</f>
        <v>0</v>
      </c>
      <c r="BF48" s="729">
        <f>BF42+BF43+BF44+SUM(BF45:BF47)</f>
        <v>0</v>
      </c>
      <c r="BG48" s="729">
        <f>BG42+BG43+BG44+SUM(BG45:BG47)</f>
        <v>0</v>
      </c>
      <c r="BH48" s="729">
        <f>BH42+BH43+BH44+SUM(BH45:BH47)</f>
        <v>0</v>
      </c>
      <c r="BI48" s="729">
        <f>BI42+BI43+BI44+SUM(BI45:BI47)</f>
        <v>0</v>
      </c>
      <c r="BJ48" s="729">
        <f>BJ42+BJ43+BJ44+SUM(BJ45:BJ47)</f>
        <v>0</v>
      </c>
      <c r="BK48" s="729">
        <f>BK42+BK43+BK44+SUM(BK45:BK47)</f>
        <v>0</v>
      </c>
      <c r="BL48" s="729">
        <f>BL42+BL43+BL44+SUM(BL45:BL47)</f>
        <v>0</v>
      </c>
      <c r="BM48" s="729">
        <f>BM42+BM43+BM44+SUM(BM45:BM47)</f>
        <v>0</v>
      </c>
      <c r="BN48" s="729">
        <f>BN42+BN43+BN44+SUM(BN45:BN47)</f>
        <v>0</v>
      </c>
      <c r="BO48" s="729">
        <f>BO42+BO43+BO44+SUM(BO45:BO47)</f>
        <v>0</v>
      </c>
      <c r="BP48" s="729">
        <f>BP42+BP43+BP44+SUM(BP45:BP47)</f>
        <v>0</v>
      </c>
      <c r="BQ48" s="729">
        <f>BQ42+BQ43+BQ44+SUM(BQ45:BQ47)</f>
        <v>0</v>
      </c>
      <c r="BR48" s="729">
        <f>BR42+BR43+BR44+SUM(BR45:BR47)</f>
        <v>0</v>
      </c>
      <c r="BS48" s="729">
        <f>BS42+BS43+BS44+SUM(BS45:BS47)</f>
        <v>0</v>
      </c>
      <c r="BT48" s="729">
        <f>BT42+BT43+BT44+SUM(BT45:BT47)</f>
        <v>0</v>
      </c>
      <c r="BU48" s="729">
        <f>BU42+BU43+BU44+SUM(BU45:BU47)</f>
        <v>0</v>
      </c>
      <c r="BV48" s="729">
        <f>BV42+BV43+BV44+SUM(BV45:BV47)</f>
        <v>0</v>
      </c>
      <c r="BW48" s="729">
        <f>BW42+BW43+BW44+SUM(BW45:BW47)</f>
        <v>0</v>
      </c>
      <c r="BX48" s="692">
        <f>IF(AI48=0,0,(BD48-AI48)/AI48*100)</f>
        <v>0</v>
      </c>
      <c r="BY48" s="692">
        <f>IF(BD48=0,0,(BE48-BD48)/BD48*100)</f>
        <v>0</v>
      </c>
      <c r="BZ48" s="692">
        <f>IF(BE48=0,0,(BF48-BE48)/BE48*100)</f>
        <v>0</v>
      </c>
      <c r="CA48" s="692">
        <f>IF(BF48=0,0,(BG48-BF48)/BF48*100)</f>
        <v>0</v>
      </c>
      <c r="CB48" s="692">
        <f>IF(BG48=0,0,(BH48-BG48)/BG48*100)</f>
        <v>0</v>
      </c>
      <c r="CC48" s="692">
        <f>IF(BH48=0,0,(BI48-BH48)/BH48*100)</f>
        <v>0</v>
      </c>
      <c r="CD48" s="692">
        <f>IF(BI48=0,0,(BJ48-BI48)/BI48*100)</f>
        <v>0</v>
      </c>
      <c r="CE48" s="692">
        <f>IF(BJ48=0,0,(BK48-BJ48)/BJ48*100)</f>
        <v>0</v>
      </c>
      <c r="CF48" s="692">
        <f>IF(BK48=0,0,(BL48-BK48)/BK48*100)</f>
        <v>0</v>
      </c>
      <c r="CG48" s="692">
        <f>IF(BL48=0,0,(BM48-BL48)/BL48*100)</f>
        <v>0</v>
      </c>
      <c r="CH48" s="692">
        <f>IF(BM48=0,0,(BN48-BM48)/BM48*100)</f>
        <v>0</v>
      </c>
      <c r="CI48" s="692">
        <f>IF(BN48=0,0,(BO48-BN48)/BN48*100)</f>
        <v>0</v>
      </c>
      <c r="CJ48" s="692">
        <f>IF(BO48=0,0,(BP48-BO48)/BO48*100)</f>
        <v>0</v>
      </c>
      <c r="CK48" s="692">
        <f>IF(BP48=0,0,(BQ48-BP48)/BP48*100)</f>
        <v>0</v>
      </c>
      <c r="CL48" s="692">
        <f>IF(BQ48=0,0,(BR48-BQ48)/BQ48*100)</f>
        <v>0</v>
      </c>
      <c r="CM48" s="692">
        <f>IF(BR48=0,0,(BS48-BR48)/BR48*100)</f>
        <v>0</v>
      </c>
      <c r="CN48" s="692">
        <f>IF(BS48=0,0,(BT48-BS48)/BS48*100)</f>
        <v>0</v>
      </c>
      <c r="CO48" s="692">
        <f>IF(BT48=0,0,(BU48-BT48)/BT48*100)</f>
        <v>0</v>
      </c>
      <c r="CP48" s="692">
        <f>IF(BU48=0,0,(BV48-BU48)/BU48*100)</f>
        <v>0</v>
      </c>
      <c r="CQ48" s="692">
        <f>IF(BV48=0,0,(BW48-BV48)/BV48*100)</f>
        <v>0</v>
      </c>
      <c r="CR48" s="83"/>
      <c r="CS48" s="83"/>
      <c r="CT48" s="83"/>
      <c r="CW48" s="489" t="s">
        <v>1681</v>
      </c>
      <c r="CX48" s="489"/>
      <c r="CY48" s="489"/>
      <c r="CZ48" s="546"/>
      <c r="DA48" s="546"/>
      <c r="DB48" s="489" t="s">
        <v>1681</v>
      </c>
      <c r="DD48" s="1501" cm="1" t="str">
        <f t="array" ref="DD48:DD48">DD47</f>
        <v>0</v>
      </c>
      <c r="DE48" s="1501"/>
      <c r="DF48" s="1501"/>
      <c r="DG48" s="1501"/>
      <c r="DH48" s="1501"/>
      <c r="DI48" s="1501"/>
      <c r="DJ48" s="1501"/>
      <c r="DK48" s="1501"/>
      <c r="DL48" s="1501"/>
      <c r="DM48" s="1501" t="s">
        <v>303</v>
      </c>
      <c r="DN48" s="1501" t="s">
        <v>1682</v>
      </c>
      <c r="DO48" s="1504" t="s">
        <v>1683</v>
      </c>
    </row>
    <row s="969" customFormat="1" customHeight="1" ht="18">
      <c r="A49" s="969"/>
      <c r="B49" s="969"/>
      <c r="C49" s="969"/>
      <c r="D49" s="969"/>
      <c r="E49" s="180">
        <v>19</v>
      </c>
      <c r="F49" s="175" cm="1" t="str">
        <f t="array" ref="F49:F49">X49</f>
        <v>1</v>
      </c>
      <c r="G49" s="193" cm="1" t="str">
        <f t="array" ref="G49:G49">INDEX('Общие сведения'!$AK$169:$AK$202,MATCH($F49,'Общие сведения'!$Y$169:$Y$202,0))</f>
        <v>одноставочный</v>
      </c>
      <c r="H49" s="969"/>
      <c r="I49" s="193" cm="1" t="str">
        <f t="array" ref="I49:I49">INDEX('Общие сведения'!$AE$169:$AE$202,MATCH($F49,'Общие сведения'!$Y$169:$Y$202,0))</f>
        <v>Теплоснабжение</v>
      </c>
      <c r="J49" s="969"/>
      <c r="K49" s="969"/>
      <c r="L49" s="969"/>
      <c r="M49" s="969"/>
      <c r="N49" s="969"/>
      <c r="O49" s="969"/>
      <c r="P49" s="969"/>
      <c r="Q49" s="969"/>
      <c r="R49" s="969"/>
      <c r="S49" s="969"/>
      <c r="T49" s="753">
        <f>AND(F49,OR(ISBLANK(Y49),Y49))</f>
        <v>1</v>
      </c>
      <c r="U49" s="969"/>
      <c r="V49" s="175" cm="1" t="str">
        <f t="array" ref="V49:V49">'Операционные (5.2)'!$AB$36</f>
        <v>Тариф 1 (Теплоснабжение) - Тариф на тепловую энергию (мощность), поставляемую потребителям (Доп. признак не требуется)</v>
      </c>
      <c r="W49" s="969"/>
      <c r="X49" s="175" t="s">
        <v>308</v>
      </c>
      <c r="Y49" s="969"/>
      <c r="Z49" s="969"/>
      <c r="AA49" s="969"/>
      <c r="AB49" s="688" cm="1" t="str">
        <f t="array" ref="AB49:AB49">IF(ISBLANK('Операционные (5.2)'!$AB$36),"",'Операционные (5.2)'!$AB$36)</f>
        <v>Тариф 1 (Теплоснабжение) - Тариф на тепловую энергию (мощность), поставляемую потребителям (Доп. признак не требуется)</v>
      </c>
      <c r="AC49" s="334"/>
      <c r="AD49" s="334"/>
      <c r="AE49" s="334"/>
      <c r="AF49" s="334"/>
      <c r="AG49" s="334"/>
      <c r="AH49" s="334"/>
      <c r="AI49" s="334"/>
      <c r="AJ49" s="334"/>
      <c r="AK49" s="334"/>
      <c r="AL49" s="334"/>
      <c r="AM49" s="334"/>
      <c r="AN49" s="334"/>
      <c r="AO49" s="334"/>
      <c r="AP49" s="334"/>
      <c r="AQ49" s="334"/>
      <c r="AR49" s="334"/>
      <c r="AS49" s="334"/>
      <c r="AT49" s="334"/>
      <c r="AU49" s="334"/>
      <c r="AV49" s="334"/>
      <c r="AW49" s="334"/>
      <c r="AX49" s="334"/>
      <c r="AY49" s="334"/>
      <c r="AZ49" s="334"/>
      <c r="BA49" s="334"/>
      <c r="BB49" s="334"/>
      <c r="BC49" s="334"/>
      <c r="BD49" s="334"/>
      <c r="BE49" s="334"/>
      <c r="BF49" s="334"/>
      <c r="BG49" s="334"/>
      <c r="BH49" s="334"/>
      <c r="BI49" s="334"/>
      <c r="BJ49" s="334"/>
      <c r="BK49" s="334"/>
      <c r="BL49" s="334"/>
      <c r="BM49" s="334"/>
      <c r="BN49" s="334"/>
      <c r="BO49" s="334"/>
      <c r="BP49" s="334"/>
      <c r="BQ49" s="334"/>
      <c r="BR49" s="334"/>
      <c r="BS49" s="334"/>
      <c r="BT49" s="334"/>
      <c r="BU49" s="334"/>
      <c r="BV49" s="334"/>
      <c r="BW49" s="334"/>
      <c r="BX49" s="334"/>
      <c r="BY49" s="334"/>
      <c r="BZ49" s="334"/>
      <c r="CA49" s="334"/>
      <c r="CB49" s="334"/>
      <c r="CC49" s="334"/>
      <c r="CD49" s="334"/>
      <c r="CE49" s="334"/>
      <c r="CF49" s="334"/>
      <c r="CG49" s="334"/>
      <c r="CH49" s="334"/>
      <c r="CI49" s="334"/>
      <c r="CJ49" s="334"/>
      <c r="CK49" s="334"/>
      <c r="CL49" s="334"/>
      <c r="CM49" s="334"/>
      <c r="CN49" s="334"/>
      <c r="CO49" s="334"/>
      <c r="CP49" s="334"/>
      <c r="CQ49" s="334"/>
      <c r="CR49" s="334"/>
      <c r="CS49" s="334"/>
      <c r="CT49" s="334"/>
      <c r="CU49" s="969"/>
      <c r="CV49" s="969"/>
      <c r="CW49" s="489"/>
      <c r="CX49" s="489"/>
      <c r="CY49" s="489"/>
      <c r="CZ49" s="546"/>
      <c r="DA49" s="546"/>
      <c r="DB49" s="969"/>
      <c r="DC49" s="969"/>
      <c r="DD49" s="969"/>
      <c r="DE49" s="969"/>
      <c r="DF49" s="969"/>
      <c r="DG49" s="969"/>
      <c r="DH49" s="969"/>
      <c r="DI49" s="969"/>
      <c r="DJ49" s="969"/>
      <c r="DK49" s="969"/>
      <c r="DL49" s="969"/>
      <c r="DM49" s="969"/>
      <c r="DN49" s="969"/>
      <c r="DO49" s="969"/>
    </row>
    <row s="969" customFormat="1" customHeight="1" ht="13.5">
      <c r="A50" s="969"/>
      <c r="B50" s="969"/>
      <c r="C50" s="969"/>
      <c r="D50" s="969"/>
      <c r="E50" s="180">
        <v>14</v>
      </c>
      <c r="F50" s="175" cm="1" t="str">
        <f t="array" ref="F50:F50">OFFSET(G50,-1,-1)</f>
        <v>1</v>
      </c>
      <c r="G50" s="193" t="s">
        <v>1628</v>
      </c>
      <c r="H50" s="969"/>
      <c r="I50" s="969"/>
      <c r="J50" s="969"/>
      <c r="K50" s="193" t="str">
        <f>F50&amp;"komm"</f>
        <v>1komm</v>
      </c>
      <c r="L50" s="308" cm="1" t="str">
        <f t="array" ref="L50:L50">CS50</f>
        <v>0</v>
      </c>
      <c r="M50" s="969"/>
      <c r="N50" s="969"/>
      <c r="O50" s="969"/>
      <c r="P50" s="969"/>
      <c r="Q50" s="969"/>
      <c r="R50" s="969"/>
      <c r="S50" s="969"/>
      <c r="T50" s="753">
        <f>AND(F50,OR(ISBLANK(Y50),Y50))</f>
        <v>1</v>
      </c>
      <c r="U50" s="969"/>
      <c r="V50" s="969"/>
      <c r="W50" s="969"/>
      <c r="X50" s="969"/>
      <c r="Y50" s="969"/>
      <c r="Z50" s="969"/>
      <c r="AA50" s="969"/>
      <c r="AB50" s="1680" t="s">
        <v>1629</v>
      </c>
      <c r="AC50" s="1681"/>
      <c r="AD50" s="663" t="s">
        <v>917</v>
      </c>
      <c r="AE50" s="692" cm="1" t="str">
        <f t="array" ref="AE50:AE50">AE70</f>
        <v>1265</v>
      </c>
      <c r="AF50" s="692" cm="1" t="str">
        <f t="array" ref="AF50:AF50">AF70</f>
        <v>2321.86</v>
      </c>
      <c r="AG50" s="692" cm="1" t="str">
        <f t="array" ref="AG50:AG50">AG70</f>
        <v>1513.43</v>
      </c>
      <c r="AH50" s="692" cm="1" t="str">
        <f t="array" ref="AH50:AH50">AH70</f>
        <v>-808.43</v>
      </c>
      <c r="AI50" s="692" cm="1" t="str">
        <f t="array" ref="AI50:AI50">AI70</f>
        <v>1700</v>
      </c>
      <c r="AJ50" s="692" cm="1" t="str">
        <f t="array" ref="AJ50:AJ50">AJ70</f>
        <v>2495</v>
      </c>
      <c r="AK50" s="692" cm="1" t="str">
        <f t="array" ref="AK50:AK50">AK70</f>
        <v>0</v>
      </c>
      <c r="AL50" s="692" cm="1" t="str">
        <f t="array" ref="AL50:AL50">AL70</f>
        <v>0</v>
      </c>
      <c r="AM50" s="692" cm="1" t="str">
        <f t="array" ref="AM50:AM50">AM70</f>
        <v>0</v>
      </c>
      <c r="AN50" s="692" cm="1" t="str">
        <f t="array" ref="AN50:AN50">AN70</f>
        <v>0</v>
      </c>
      <c r="AO50" s="692" cm="1" t="str">
        <f t="array" ref="AO50:AO50">AO70</f>
        <v>0</v>
      </c>
      <c r="AP50" s="692" cm="1" t="str">
        <f t="array" ref="AP50:AP50">AP70</f>
        <v>0</v>
      </c>
      <c r="AQ50" s="692" cm="1" t="str">
        <f t="array" ref="AQ50:AQ50">AQ70</f>
        <v>0</v>
      </c>
      <c r="AR50" s="692" cm="1" t="str">
        <f t="array" ref="AR50:AR50">AR70</f>
        <v>0</v>
      </c>
      <c r="AS50" s="692" cm="1" t="str">
        <f t="array" ref="AS50:AS50">AS70</f>
        <v>0</v>
      </c>
      <c r="AT50" s="692" cm="1" t="str">
        <f t="array" ref="AT50:AT50">AT70</f>
        <v>0</v>
      </c>
      <c r="AU50" s="692" cm="1" t="str">
        <f t="array" ref="AU50:AU50">AU70</f>
        <v>0</v>
      </c>
      <c r="AV50" s="692" cm="1" t="str">
        <f t="array" ref="AV50:AV50">AV70</f>
        <v>0</v>
      </c>
      <c r="AW50" s="692" cm="1" t="str">
        <f t="array" ref="AW50:AW50">AW70</f>
        <v>0</v>
      </c>
      <c r="AX50" s="692" cm="1" t="str">
        <f t="array" ref="AX50:AX50">AX70</f>
        <v>0</v>
      </c>
      <c r="AY50" s="692" cm="1" t="str">
        <f t="array" ref="AY50:AY50">AY70</f>
        <v>0</v>
      </c>
      <c r="AZ50" s="692" cm="1" t="str">
        <f t="array" ref="AZ50:AZ50">AZ70</f>
        <v>0</v>
      </c>
      <c r="BA50" s="692" cm="1" t="str">
        <f t="array" ref="BA50:BA50">BA70</f>
        <v>0</v>
      </c>
      <c r="BB50" s="692" cm="1" t="str">
        <f t="array" ref="BB50:BB50">BB70</f>
        <v>0</v>
      </c>
      <c r="BC50" s="692" cm="1" t="str">
        <f t="array" ref="BC50:BC50">BC70</f>
        <v>0</v>
      </c>
      <c r="BD50" s="692" cm="1" t="str">
        <f t="array" ref="BD50:BD50">BD70</f>
        <v>1841.74</v>
      </c>
      <c r="BE50" s="692" cm="1" t="str">
        <f t="array" ref="BE50:BE50">BE70</f>
        <v>0</v>
      </c>
      <c r="BF50" s="692" cm="1" t="str">
        <f t="array" ref="BF50:BF50">BF70</f>
        <v>0</v>
      </c>
      <c r="BG50" s="692" cm="1" t="str">
        <f t="array" ref="BG50:BG50">BG70</f>
        <v>0</v>
      </c>
      <c r="BH50" s="692" cm="1" t="str">
        <f t="array" ref="BH50:BH50">BH70</f>
        <v>0</v>
      </c>
      <c r="BI50" s="692" cm="1" t="str">
        <f t="array" ref="BI50:BI50">BI70</f>
        <v>0</v>
      </c>
      <c r="BJ50" s="692" cm="1" t="str">
        <f t="array" ref="BJ50:BJ50">BJ70</f>
        <v>0</v>
      </c>
      <c r="BK50" s="692" cm="1" t="str">
        <f t="array" ref="BK50:BK50">BK70</f>
        <v>0</v>
      </c>
      <c r="BL50" s="692" cm="1" t="str">
        <f t="array" ref="BL50:BL50">BL70</f>
        <v>0</v>
      </c>
      <c r="BM50" s="692" cm="1" t="str">
        <f t="array" ref="BM50:BM50">BM70</f>
        <v>0</v>
      </c>
      <c r="BN50" s="692" cm="1" t="str">
        <f t="array" ref="BN50:BN50">BN70</f>
        <v>0</v>
      </c>
      <c r="BO50" s="692" cm="1" t="str">
        <f t="array" ref="BO50:BO50">BO70</f>
        <v>0</v>
      </c>
      <c r="BP50" s="692" cm="1" t="str">
        <f t="array" ref="BP50:BP50">BP70</f>
        <v>0</v>
      </c>
      <c r="BQ50" s="692" cm="1" t="str">
        <f t="array" ref="BQ50:BQ50">BQ70</f>
        <v>0</v>
      </c>
      <c r="BR50" s="692" cm="1" t="str">
        <f t="array" ref="BR50:BR50">BR70</f>
        <v>0</v>
      </c>
      <c r="BS50" s="692" cm="1" t="str">
        <f t="array" ref="BS50:BS50">BS70</f>
        <v>0</v>
      </c>
      <c r="BT50" s="692" cm="1" t="str">
        <f t="array" ref="BT50:BT50">BT70</f>
        <v>0</v>
      </c>
      <c r="BU50" s="692" cm="1" t="str">
        <f t="array" ref="BU50:BU50">BU70</f>
        <v>0</v>
      </c>
      <c r="BV50" s="692" cm="1" t="str">
        <f t="array" ref="BV50:BV50">BV70</f>
        <v>0</v>
      </c>
      <c r="BW50" s="692" cm="1" t="str">
        <f t="array" ref="BW50:BW50">BW70</f>
        <v>0</v>
      </c>
      <c r="BX50" s="692" cm="1" t="str">
        <f t="array" ref="BX50:BX50">BX70</f>
        <v>8.33764705882353</v>
      </c>
      <c r="BY50" s="692" cm="1" t="str">
        <f t="array" ref="BY50:BY50">BY70</f>
        <v>-100</v>
      </c>
      <c r="BZ50" s="692" cm="1" t="str">
        <f t="array" ref="BZ50:BZ50">BZ70</f>
        <v>0</v>
      </c>
      <c r="CA50" s="692" cm="1" t="str">
        <f t="array" ref="CA50:CA50">CA70</f>
        <v>0</v>
      </c>
      <c r="CB50" s="692" cm="1" t="str">
        <f t="array" ref="CB50:CB50">CB70</f>
        <v>0</v>
      </c>
      <c r="CC50" s="692" cm="1" t="str">
        <f t="array" ref="CC50:CC50">CC70</f>
        <v>0</v>
      </c>
      <c r="CD50" s="692" cm="1" t="str">
        <f t="array" ref="CD50:CD50">CD70</f>
        <v>0</v>
      </c>
      <c r="CE50" s="692" cm="1" t="str">
        <f t="array" ref="CE50:CE50">CE70</f>
        <v>0</v>
      </c>
      <c r="CF50" s="692" cm="1" t="str">
        <f t="array" ref="CF50:CF50">CF70</f>
        <v>0</v>
      </c>
      <c r="CG50" s="692" cm="1" t="str">
        <f t="array" ref="CG50:CG50">CG70</f>
        <v>0</v>
      </c>
      <c r="CH50" s="692" cm="1" t="str">
        <f t="array" ref="CH50:CH50">CH70</f>
        <v>0</v>
      </c>
      <c r="CI50" s="692" cm="1" t="str">
        <f t="array" ref="CI50:CI50">CI70</f>
        <v>0</v>
      </c>
      <c r="CJ50" s="692" cm="1" t="str">
        <f t="array" ref="CJ50:CJ50">CJ70</f>
        <v>0</v>
      </c>
      <c r="CK50" s="692" cm="1" t="str">
        <f t="array" ref="CK50:CK50">CK70</f>
        <v>0</v>
      </c>
      <c r="CL50" s="692" cm="1" t="str">
        <f t="array" ref="CL50:CL50">CL70</f>
        <v>0</v>
      </c>
      <c r="CM50" s="692" cm="1" t="str">
        <f t="array" ref="CM50:CM50">CM70</f>
        <v>0</v>
      </c>
      <c r="CN50" s="692" cm="1" t="str">
        <f t="array" ref="CN50:CN50">CN70</f>
        <v>0</v>
      </c>
      <c r="CO50" s="692" cm="1" t="str">
        <f t="array" ref="CO50:CO50">CO70</f>
        <v>0</v>
      </c>
      <c r="CP50" s="692" cm="1" t="str">
        <f t="array" ref="CP50:CP50">CP70</f>
        <v>0</v>
      </c>
      <c r="CQ50" s="692" cm="1" t="str">
        <f t="array" ref="CQ50:CQ50">CQ70</f>
        <v>0</v>
      </c>
      <c r="CR50" s="1897"/>
      <c r="CS50" s="1897"/>
      <c r="CT50" s="1897"/>
      <c r="CU50" s="969"/>
      <c r="CV50" s="969"/>
      <c r="CW50" s="489" t="s">
        <v>1630</v>
      </c>
      <c r="CX50" s="489"/>
      <c r="CY50" s="489"/>
      <c r="CZ50" s="546"/>
      <c r="DA50" s="546"/>
      <c r="DB50" s="489" t="s">
        <v>1630</v>
      </c>
      <c r="DC50" s="969"/>
      <c r="DD50" s="1501" cm="1" t="str">
        <f t="array" ref="DD50:DD50">INDEX('Общие сведения'!$N$170:$N$202,MATCH($F50,'Общие сведения'!$Y$170:$Y$202,0)+1)</f>
        <v>ТЭ.42.31656254.0001</v>
      </c>
      <c r="DE50" s="1501"/>
      <c r="DF50" s="1501"/>
      <c r="DG50" s="1501"/>
      <c r="DH50" s="1501"/>
      <c r="DI50" s="1501"/>
      <c r="DJ50" s="1501"/>
      <c r="DK50" s="1501" t="s">
        <v>219</v>
      </c>
      <c r="DL50" s="1501"/>
      <c r="DM50" s="1501" t="s">
        <v>303</v>
      </c>
      <c r="DN50" s="1501" t="s">
        <v>1631</v>
      </c>
      <c r="DO50" s="1504" t="s">
        <v>1632</v>
      </c>
    </row>
    <row s="1751" customFormat="1" customHeight="1" ht="27">
      <c r="A51" s="371"/>
      <c r="B51" s="1548"/>
      <c r="C51" s="1548"/>
      <c r="D51" s="1548"/>
      <c r="E51" s="180">
        <v>28</v>
      </c>
      <c r="F51" s="175" cm="1" t="str">
        <f t="array" ref="F51:F51">OFFSET(G51,-1,-1)</f>
        <v>1</v>
      </c>
      <c r="G51" s="193" t="s">
        <v>1386</v>
      </c>
      <c r="H51" s="1659"/>
      <c r="I51" s="1659"/>
      <c r="J51" s="1659"/>
      <c r="K51" s="1659"/>
      <c r="L51" s="1659"/>
      <c r="M51" s="1659"/>
      <c r="N51" s="1659"/>
      <c r="O51" s="1659"/>
      <c r="P51" s="1659"/>
      <c r="Q51" s="1659"/>
      <c r="R51" s="1659"/>
      <c r="S51" s="1659"/>
      <c r="T51" s="753">
        <f>AND(F51,OR(ISBLANK(Y51),Y51))</f>
        <v>1</v>
      </c>
      <c r="U51" s="1548"/>
      <c r="V51" s="1548"/>
      <c r="W51" s="1548"/>
      <c r="X51" s="1548"/>
      <c r="Y51" s="1548"/>
      <c r="Z51" s="1548"/>
      <c r="AA51" s="286"/>
      <c r="AB51" s="491">
        <v>1.1</v>
      </c>
      <c r="AC51" s="505" t="s">
        <v>48</v>
      </c>
      <c r="AD51" s="491" t="s">
        <v>917</v>
      </c>
      <c r="AE51" s="746">
        <f>_xlfn.SUMIFS('Покупка услуг'!AF$26:AF$65,'Покупка услуг'!$F$26:$F$65,$F51,'Покупка услуг'!$G$26:$G$65,$G51)</f>
        <v>0</v>
      </c>
      <c r="AF51" s="746">
        <f>_xlfn.SUMIFS('Покупка услуг'!AG$26:AG$65,'Покупка услуг'!$F$26:$F$65,$F51,'Покупка услуг'!$G$26:$G$65,$G51)</f>
        <v>0</v>
      </c>
      <c r="AG51" s="746">
        <f>_xlfn.SUMIFS('Покупка услуг'!AH$26:AH$65,'Покупка услуг'!$F$26:$F$65,$F51,'Покупка услуг'!$G$26:$G$65,$G51)</f>
        <v>0</v>
      </c>
      <c r="AH51" s="695">
        <f>AG51-AF51</f>
        <v>0</v>
      </c>
      <c r="AI51" s="746">
        <f>_xlfn.SUMIFS('Покупка услуг'!AI$26:AI$65,'Покупка услуг'!$F$26:$F$65,$F51,'Покупка услуг'!$G$26:$G$65,$G51)</f>
        <v>0</v>
      </c>
      <c r="AJ51" s="746">
        <f>_xlfn.SUMIFS('Покупка услуг'!AJ$26:AJ$65,'Покупка услуг'!$F$26:$F$65,$F51,'Покупка услуг'!$G$26:$G$65,$G51)</f>
        <v>0</v>
      </c>
      <c r="AK51" s="746">
        <f>_xlfn.SUMIFS('Покупка услуг'!AK$26:AK$65,'Покупка услуг'!$F$26:$F$65,$F51,'Покупка услуг'!$G$26:$G$65,$G51)</f>
        <v>0</v>
      </c>
      <c r="AL51" s="746">
        <f>_xlfn.SUMIFS('Покупка услуг'!AL$26:AL$65,'Покупка услуг'!$F$26:$F$65,$F51,'Покупка услуг'!$G$26:$G$65,$G51)</f>
        <v>0</v>
      </c>
      <c r="AM51" s="746">
        <f>_xlfn.SUMIFS('Покупка услуг'!AM$26:AM$65,'Покупка услуг'!$F$26:$F$65,$F51,'Покупка услуг'!$G$26:$G$65,$G51)</f>
        <v>0</v>
      </c>
      <c r="AN51" s="746">
        <f>_xlfn.SUMIFS('Покупка услуг'!AN$26:AN$65,'Покупка услуг'!$F$26:$F$65,$F51,'Покупка услуг'!$G$26:$G$65,$G51)</f>
        <v>0</v>
      </c>
      <c r="AO51" s="746">
        <f>_xlfn.SUMIFS('Покупка услуг'!AO$26:AO$65,'Покупка услуг'!$F$26:$F$65,$F51,'Покупка услуг'!$G$26:$G$65,$G51)</f>
        <v>0</v>
      </c>
      <c r="AP51" s="746">
        <f>_xlfn.SUMIFS('Покупка услуг'!AP$26:AP$65,'Покупка услуг'!$F$26:$F$65,$F51,'Покупка услуг'!$G$26:$G$65,$G51)</f>
        <v>0</v>
      </c>
      <c r="AQ51" s="746">
        <f>_xlfn.SUMIFS('Покупка услуг'!AQ$26:AQ$65,'Покупка услуг'!$F$26:$F$65,$F51,'Покупка услуг'!$G$26:$G$65,$G51)</f>
        <v>0</v>
      </c>
      <c r="AR51" s="746">
        <f>_xlfn.SUMIFS('Покупка услуг'!AR$26:AR$65,'Покупка услуг'!$F$26:$F$65,$F51,'Покупка услуг'!$G$26:$G$65,$G51)</f>
        <v>0</v>
      </c>
      <c r="AS51" s="746">
        <f>_xlfn.SUMIFS('Покупка услуг'!AS$26:AS$65,'Покупка услуг'!$F$26:$F$65,$F51,'Покупка услуг'!$G$26:$G$65,$G51)</f>
        <v>0</v>
      </c>
      <c r="AT51" s="746">
        <f>_xlfn.SUMIFS('Покупка услуг'!AT$26:AT$65,'Покупка услуг'!$F$26:$F$65,$F51,'Покупка услуг'!$G$26:$G$65,$G51)</f>
        <v>0</v>
      </c>
      <c r="AU51" s="746">
        <f>_xlfn.SUMIFS('Покупка услуг'!AU$26:AU$65,'Покупка услуг'!$F$26:$F$65,$F51,'Покупка услуг'!$G$26:$G$65,$G51)</f>
        <v>0</v>
      </c>
      <c r="AV51" s="746">
        <f>_xlfn.SUMIFS('Покупка услуг'!AV$26:AV$65,'Покупка услуг'!$F$26:$F$65,$F51,'Покупка услуг'!$G$26:$G$65,$G51)</f>
        <v>0</v>
      </c>
      <c r="AW51" s="746">
        <f>_xlfn.SUMIFS('Покупка услуг'!AW$26:AW$65,'Покупка услуг'!$F$26:$F$65,$F51,'Покупка услуг'!$G$26:$G$65,$G51)</f>
        <v>0</v>
      </c>
      <c r="AX51" s="746">
        <f>_xlfn.SUMIFS('Покупка услуг'!AX$26:AX$65,'Покупка услуг'!$F$26:$F$65,$F51,'Покупка услуг'!$G$26:$G$65,$G51)</f>
        <v>0</v>
      </c>
      <c r="AY51" s="746">
        <f>_xlfn.SUMIFS('Покупка услуг'!AY$26:AY$65,'Покупка услуг'!$F$26:$F$65,$F51,'Покупка услуг'!$G$26:$G$65,$G51)</f>
        <v>0</v>
      </c>
      <c r="AZ51" s="746">
        <f>_xlfn.SUMIFS('Покупка услуг'!AZ$26:AZ$65,'Покупка услуг'!$F$26:$F$65,$F51,'Покупка услуг'!$G$26:$G$65,$G51)</f>
        <v>0</v>
      </c>
      <c r="BA51" s="746">
        <f>_xlfn.SUMIFS('Покупка услуг'!BA$26:BA$65,'Покупка услуг'!$F$26:$F$65,$F51,'Покупка услуг'!$G$26:$G$65,$G51)</f>
        <v>0</v>
      </c>
      <c r="BB51" s="746">
        <f>_xlfn.SUMIFS('Покупка услуг'!BB$26:BB$65,'Покупка услуг'!$F$26:$F$65,$F51,'Покупка услуг'!$G$26:$G$65,$G51)</f>
        <v>0</v>
      </c>
      <c r="BC51" s="746">
        <f>_xlfn.SUMIFS('Покупка услуг'!BC$26:BC$65,'Покупка услуг'!$F$26:$F$65,$F51,'Покупка услуг'!$G$26:$G$65,$G51)</f>
        <v>0</v>
      </c>
      <c r="BD51" s="746">
        <f>_xlfn.SUMIFS('Покупка услуг'!BD$26:BD$65,'Покупка услуг'!$F$26:$F$65,$F51,'Покупка услуг'!$G$26:$G$65,$G51)</f>
        <v>0</v>
      </c>
      <c r="BE51" s="746">
        <f>_xlfn.SUMIFS('Покупка услуг'!BE$26:BE$65,'Покупка услуг'!$F$26:$F$65,$F51,'Покупка услуг'!$G$26:$G$65,$G51)</f>
        <v>0</v>
      </c>
      <c r="BF51" s="746">
        <f>_xlfn.SUMIFS('Покупка услуг'!BF$26:BF$65,'Покупка услуг'!$F$26:$F$65,$F51,'Покупка услуг'!$G$26:$G$65,$G51)</f>
        <v>0</v>
      </c>
      <c r="BG51" s="746">
        <f>_xlfn.SUMIFS('Покупка услуг'!BG$26:BG$65,'Покупка услуг'!$F$26:$F$65,$F51,'Покупка услуг'!$G$26:$G$65,$G51)</f>
        <v>0</v>
      </c>
      <c r="BH51" s="746">
        <f>_xlfn.SUMIFS('Покупка услуг'!BH$26:BH$65,'Покупка услуг'!$F$26:$F$65,$F51,'Покупка услуг'!$G$26:$G$65,$G51)</f>
        <v>0</v>
      </c>
      <c r="BI51" s="746">
        <f>_xlfn.SUMIFS('Покупка услуг'!BI$26:BI$65,'Покупка услуг'!$F$26:$F$65,$F51,'Покупка услуг'!$G$26:$G$65,$G51)</f>
        <v>0</v>
      </c>
      <c r="BJ51" s="746">
        <f>_xlfn.SUMIFS('Покупка услуг'!BJ$26:BJ$65,'Покупка услуг'!$F$26:$F$65,$F51,'Покупка услуг'!$G$26:$G$65,$G51)</f>
        <v>0</v>
      </c>
      <c r="BK51" s="746">
        <f>_xlfn.SUMIFS('Покупка услуг'!BK$26:BK$65,'Покупка услуг'!$F$26:$F$65,$F51,'Покупка услуг'!$G$26:$G$65,$G51)</f>
        <v>0</v>
      </c>
      <c r="BL51" s="746">
        <f>_xlfn.SUMIFS('Покупка услуг'!BL$26:BL$65,'Покупка услуг'!$F$26:$F$65,$F51,'Покупка услуг'!$G$26:$G$65,$G51)</f>
        <v>0</v>
      </c>
      <c r="BM51" s="746">
        <f>_xlfn.SUMIFS('Покупка услуг'!BM$26:BM$65,'Покупка услуг'!$F$26:$F$65,$F51,'Покупка услуг'!$G$26:$G$65,$G51)</f>
        <v>0</v>
      </c>
      <c r="BN51" s="746">
        <f>_xlfn.SUMIFS('Покупка услуг'!BN$26:BN$65,'Покупка услуг'!$F$26:$F$65,$F51,'Покупка услуг'!$G$26:$G$65,$G51)</f>
        <v>0</v>
      </c>
      <c r="BO51" s="746">
        <f>_xlfn.SUMIFS('Покупка услуг'!BO$26:BO$65,'Покупка услуг'!$F$26:$F$65,$F51,'Покупка услуг'!$G$26:$G$65,$G51)</f>
        <v>0</v>
      </c>
      <c r="BP51" s="746">
        <f>_xlfn.SUMIFS('Покупка услуг'!BP$26:BP$65,'Покупка услуг'!$F$26:$F$65,$F51,'Покупка услуг'!$G$26:$G$65,$G51)</f>
        <v>0</v>
      </c>
      <c r="BQ51" s="746">
        <f>_xlfn.SUMIFS('Покупка услуг'!BQ$26:BQ$65,'Покупка услуг'!$F$26:$F$65,$F51,'Покупка услуг'!$G$26:$G$65,$G51)</f>
        <v>0</v>
      </c>
      <c r="BR51" s="746">
        <f>_xlfn.SUMIFS('Покупка услуг'!BR$26:BR$65,'Покупка услуг'!$F$26:$F$65,$F51,'Покупка услуг'!$G$26:$G$65,$G51)</f>
        <v>0</v>
      </c>
      <c r="BS51" s="746">
        <f>_xlfn.SUMIFS('Покупка услуг'!BS$26:BS$65,'Покупка услуг'!$F$26:$F$65,$F51,'Покупка услуг'!$G$26:$G$65,$G51)</f>
        <v>0</v>
      </c>
      <c r="BT51" s="746">
        <f>_xlfn.SUMIFS('Покупка услуг'!BT$26:BT$65,'Покупка услуг'!$F$26:$F$65,$F51,'Покупка услуг'!$G$26:$G$65,$G51)</f>
        <v>0</v>
      </c>
      <c r="BU51" s="746">
        <f>_xlfn.SUMIFS('Покупка услуг'!BU$26:BU$65,'Покупка услуг'!$F$26:$F$65,$F51,'Покупка услуг'!$G$26:$G$65,$G51)</f>
        <v>0</v>
      </c>
      <c r="BV51" s="746">
        <f>_xlfn.SUMIFS('Покупка услуг'!BV$26:BV$65,'Покупка услуг'!$F$26:$F$65,$F51,'Покупка услуг'!$G$26:$G$65,$G51)</f>
        <v>0</v>
      </c>
      <c r="BW51" s="746">
        <f>_xlfn.SUMIFS('Покупка услуг'!BW$26:BW$65,'Покупка услуг'!$F$26:$F$65,$F51,'Покупка услуг'!$G$26:$G$65,$G51)</f>
        <v>0</v>
      </c>
      <c r="BX51" s="695">
        <f>IF(AI51=0,0,(BD51-AI51)/AI51*100)</f>
        <v>0</v>
      </c>
      <c r="BY51" s="695">
        <f>IF(BD51=0,0,(BE51-BD51)/BD51*100)</f>
        <v>0</v>
      </c>
      <c r="BZ51" s="695">
        <f>IF(BE51=0,0,(BF51-BE51)/BE51*100)</f>
        <v>0</v>
      </c>
      <c r="CA51" s="695">
        <f>IF(BF51=0,0,(BG51-BF51)/BF51*100)</f>
        <v>0</v>
      </c>
      <c r="CB51" s="695">
        <f>IF(BG51=0,0,(BH51-BG51)/BG51*100)</f>
        <v>0</v>
      </c>
      <c r="CC51" s="695">
        <f>IF(BH51=0,0,(BI51-BH51)/BH51*100)</f>
        <v>0</v>
      </c>
      <c r="CD51" s="695">
        <f>IF(BI51=0,0,(BJ51-BI51)/BI51*100)</f>
        <v>0</v>
      </c>
      <c r="CE51" s="695">
        <f>IF(BJ51=0,0,(BK51-BJ51)/BJ51*100)</f>
        <v>0</v>
      </c>
      <c r="CF51" s="695">
        <f>IF(BK51=0,0,(BL51-BK51)/BK51*100)</f>
        <v>0</v>
      </c>
      <c r="CG51" s="695">
        <f>IF(BL51=0,0,(BM51-BL51)/BL51*100)</f>
        <v>0</v>
      </c>
      <c r="CH51" s="695">
        <f>IF(BM51=0,0,(BN51-BM51)/BM51*100)</f>
        <v>0</v>
      </c>
      <c r="CI51" s="695">
        <f>IF(BN51=0,0,(BO51-BN51)/BN51*100)</f>
        <v>0</v>
      </c>
      <c r="CJ51" s="695">
        <f>IF(BO51=0,0,(BP51-BO51)/BO51*100)</f>
        <v>0</v>
      </c>
      <c r="CK51" s="695">
        <f>IF(BP51=0,0,(BQ51-BP51)/BP51*100)</f>
        <v>0</v>
      </c>
      <c r="CL51" s="695">
        <f>IF(BQ51=0,0,(BR51-BQ51)/BQ51*100)</f>
        <v>0</v>
      </c>
      <c r="CM51" s="695">
        <f>IF(BR51=0,0,(BS51-BR51)/BR51*100)</f>
        <v>0</v>
      </c>
      <c r="CN51" s="695">
        <f>IF(BS51=0,0,(BT51-BS51)/BS51*100)</f>
        <v>0</v>
      </c>
      <c r="CO51" s="695">
        <f>IF(BT51=0,0,(BU51-BT51)/BT51*100)</f>
        <v>0</v>
      </c>
      <c r="CP51" s="695">
        <f>IF(BU51=0,0,(BV51-BU51)/BU51*100)</f>
        <v>0</v>
      </c>
      <c r="CQ51" s="695">
        <f>IF(BV51=0,0,(BW51-BV51)/BV51*100)</f>
        <v>0</v>
      </c>
      <c r="CR51" s="1897"/>
      <c r="CS51" s="1897"/>
      <c r="CT51" s="1897"/>
      <c r="CU51" s="286"/>
      <c r="CV51" s="1659"/>
      <c r="CW51" s="489" t="s">
        <v>1633</v>
      </c>
      <c r="CX51" s="489"/>
      <c r="CY51" s="489"/>
      <c r="CZ51" s="546"/>
      <c r="DA51" s="546"/>
      <c r="DB51" s="489" t="s">
        <v>1633</v>
      </c>
      <c r="DC51" s="1506"/>
      <c r="DD51" s="1501" cm="1" t="str">
        <f t="array" ref="DD51:DD51">DD50</f>
        <v>ТЭ.42.31656254.0001</v>
      </c>
      <c r="DE51" s="1501" t="s">
        <v>1634</v>
      </c>
      <c r="DF51" s="1501"/>
      <c r="DG51" s="1501"/>
      <c r="DH51" s="1501"/>
      <c r="DI51" s="1501"/>
      <c r="DJ51" s="1501"/>
      <c r="DK51" s="1501"/>
      <c r="DL51" s="1501"/>
      <c r="DM51" s="1501" t="s">
        <v>303</v>
      </c>
      <c r="DN51" s="1501" t="s">
        <v>1044</v>
      </c>
      <c r="DO51" s="1504" t="s">
        <v>1045</v>
      </c>
    </row>
    <row s="1751" customFormat="1" customHeight="1" ht="14.25">
      <c r="A52" s="371"/>
      <c r="B52" s="1548"/>
      <c r="C52" s="1548"/>
      <c r="D52" s="1548"/>
      <c r="E52" s="180">
        <v>15</v>
      </c>
      <c r="F52" s="175" cm="1" t="str">
        <f t="array" ref="F52:F52">OFFSET(G52,-1,-1)</f>
        <v>1</v>
      </c>
      <c r="G52" s="193" t="s">
        <v>1343</v>
      </c>
      <c r="H52" s="1659"/>
      <c r="I52" s="1659"/>
      <c r="J52" s="1659"/>
      <c r="K52" s="1659"/>
      <c r="L52" s="1659"/>
      <c r="M52" s="1659"/>
      <c r="N52" s="1659"/>
      <c r="O52" s="1659"/>
      <c r="P52" s="1659"/>
      <c r="Q52" s="1659"/>
      <c r="R52" s="1659"/>
      <c r="S52" s="1659"/>
      <c r="T52" s="753">
        <f>AND(F52,OR(ISBLANK(Y52),Y52))</f>
        <v>1</v>
      </c>
      <c r="U52" s="1548"/>
      <c r="V52" s="1548"/>
      <c r="W52" s="1548"/>
      <c r="X52" s="1548"/>
      <c r="Y52" s="1548"/>
      <c r="Z52" s="1548"/>
      <c r="AA52" s="286"/>
      <c r="AB52" s="491">
        <v>1.2</v>
      </c>
      <c r="AC52" s="505" t="s">
        <v>1635</v>
      </c>
      <c r="AD52" s="491" t="s">
        <v>917</v>
      </c>
      <c r="AE52" s="695">
        <f>_xlfn.SUMIFS(Аренда!AE$26:AE$51,Аренда!$F$26:$F$51,$F52,Аренда!$G$26:$G$51,$G52)</f>
        <v>0</v>
      </c>
      <c r="AF52" s="695">
        <f>_xlfn.SUMIFS(Аренда!AF$26:AF$51,Аренда!$F$26:$F$51,$F52,Аренда!$G$26:$G$51,$G52)</f>
        <v>0</v>
      </c>
      <c r="AG52" s="695">
        <f>_xlfn.SUMIFS(Аренда!AG$26:AG$51,Аренда!$F$26:$F$51,$F52,Аренда!$G$26:$G$51,$G52)</f>
        <v>0</v>
      </c>
      <c r="AH52" s="695">
        <f>AG52-AF52</f>
        <v>0</v>
      </c>
      <c r="AI52" s="695">
        <f>_xlfn.SUMIFS(Аренда!AH$26:AH$51,Аренда!$F$26:$F$51,$F52,Аренда!$G$26:$G$51,$G52)</f>
        <v>0</v>
      </c>
      <c r="AJ52" s="695">
        <f>_xlfn.SUMIFS(Аренда!AI$26:AI$51,Аренда!$F$26:$F$51,$F52,Аренда!$G$26:$G$51,$G52)</f>
        <v>0</v>
      </c>
      <c r="AK52" s="695">
        <f>_xlfn.SUMIFS(Аренда!AJ$26:AJ$51,Аренда!$F$26:$F$51,$F52,Аренда!$G$26:$G$51,$G52)</f>
        <v>0</v>
      </c>
      <c r="AL52" s="695">
        <f>_xlfn.SUMIFS(Аренда!AK$26:AK$51,Аренда!$F$26:$F$51,$F52,Аренда!$G$26:$G$51,$G52)</f>
        <v>0</v>
      </c>
      <c r="AM52" s="695">
        <f>_xlfn.SUMIFS(Аренда!AL$26:AL$51,Аренда!$F$26:$F$51,$F52,Аренда!$G$26:$G$51,$G52)</f>
        <v>0</v>
      </c>
      <c r="AN52" s="695">
        <f>_xlfn.SUMIFS(Аренда!AM$26:AM$51,Аренда!$F$26:$F$51,$F52,Аренда!$G$26:$G$51,$G52)</f>
        <v>0</v>
      </c>
      <c r="AO52" s="695">
        <f>_xlfn.SUMIFS(Аренда!AN$26:AN$51,Аренда!$F$26:$F$51,$F52,Аренда!$G$26:$G$51,$G52)</f>
        <v>0</v>
      </c>
      <c r="AP52" s="695">
        <f>_xlfn.SUMIFS(Аренда!AO$26:AO$51,Аренда!$F$26:$F$51,$F52,Аренда!$G$26:$G$51,$G52)</f>
        <v>0</v>
      </c>
      <c r="AQ52" s="695">
        <f>_xlfn.SUMIFS(Аренда!AP$26:AP$51,Аренда!$F$26:$F$51,$F52,Аренда!$G$26:$G$51,$G52)</f>
        <v>0</v>
      </c>
      <c r="AR52" s="695">
        <f>_xlfn.SUMIFS(Аренда!AQ$26:AQ$51,Аренда!$F$26:$F$51,$F52,Аренда!$G$26:$G$51,$G52)</f>
        <v>0</v>
      </c>
      <c r="AS52" s="695">
        <f>_xlfn.SUMIFS(Аренда!AR$26:AR$51,Аренда!$F$26:$F$51,$F52,Аренда!$G$26:$G$51,$G52)</f>
        <v>0</v>
      </c>
      <c r="AT52" s="695">
        <f>_xlfn.SUMIFS(Аренда!AS$26:AS$51,Аренда!$F$26:$F$51,$F52,Аренда!$G$26:$G$51,$G52)</f>
        <v>0</v>
      </c>
      <c r="AU52" s="695">
        <f>_xlfn.SUMIFS(Аренда!AT$26:AT$51,Аренда!$F$26:$F$51,$F52,Аренда!$G$26:$G$51,$G52)</f>
        <v>0</v>
      </c>
      <c r="AV52" s="695">
        <f>_xlfn.SUMIFS(Аренда!AU$26:AU$51,Аренда!$F$26:$F$51,$F52,Аренда!$G$26:$G$51,$G52)</f>
        <v>0</v>
      </c>
      <c r="AW52" s="695">
        <f>_xlfn.SUMIFS(Аренда!AV$26:AV$51,Аренда!$F$26:$F$51,$F52,Аренда!$G$26:$G$51,$G52)</f>
        <v>0</v>
      </c>
      <c r="AX52" s="695">
        <f>_xlfn.SUMIFS(Аренда!AW$26:AW$51,Аренда!$F$26:$F$51,$F52,Аренда!$G$26:$G$51,$G52)</f>
        <v>0</v>
      </c>
      <c r="AY52" s="695">
        <f>_xlfn.SUMIFS(Аренда!AX$26:AX$51,Аренда!$F$26:$F$51,$F52,Аренда!$G$26:$G$51,$G52)</f>
        <v>0</v>
      </c>
      <c r="AZ52" s="695">
        <f>_xlfn.SUMIFS(Аренда!AY$26:AY$51,Аренда!$F$26:$F$51,$F52,Аренда!$G$26:$G$51,$G52)</f>
        <v>0</v>
      </c>
      <c r="BA52" s="695">
        <f>_xlfn.SUMIFS(Аренда!AZ$26:AZ$51,Аренда!$F$26:$F$51,$F52,Аренда!$G$26:$G$51,$G52)</f>
        <v>0</v>
      </c>
      <c r="BB52" s="695">
        <f>_xlfn.SUMIFS(Аренда!BA$26:BA$51,Аренда!$F$26:$F$51,$F52,Аренда!$G$26:$G$51,$G52)</f>
        <v>0</v>
      </c>
      <c r="BC52" s="695">
        <f>_xlfn.SUMIFS(Аренда!BB$26:BB$51,Аренда!$F$26:$F$51,$F52,Аренда!$G$26:$G$51,$G52)</f>
        <v>0</v>
      </c>
      <c r="BD52" s="695">
        <f>_xlfn.SUMIFS(Аренда!BC$26:BC$51,Аренда!$F$26:$F$51,$F52,Аренда!$G$26:$G$51,$G52)</f>
        <v>0</v>
      </c>
      <c r="BE52" s="695">
        <f>_xlfn.SUMIFS(Аренда!BD$26:BD$51,Аренда!$F$26:$F$51,$F52,Аренда!$G$26:$G$51,$G52)</f>
        <v>0</v>
      </c>
      <c r="BF52" s="695">
        <f>_xlfn.SUMIFS(Аренда!BE$26:BE$51,Аренда!$F$26:$F$51,$F52,Аренда!$G$26:$G$51,$G52)</f>
        <v>0</v>
      </c>
      <c r="BG52" s="695">
        <f>_xlfn.SUMIFS(Аренда!BF$26:BF$51,Аренда!$F$26:$F$51,$F52,Аренда!$G$26:$G$51,$G52)</f>
        <v>0</v>
      </c>
      <c r="BH52" s="695">
        <f>_xlfn.SUMIFS(Аренда!BG$26:BG$51,Аренда!$F$26:$F$51,$F52,Аренда!$G$26:$G$51,$G52)</f>
        <v>0</v>
      </c>
      <c r="BI52" s="695">
        <f>_xlfn.SUMIFS(Аренда!BH$26:BH$51,Аренда!$F$26:$F$51,$F52,Аренда!$G$26:$G$51,$G52)</f>
        <v>0</v>
      </c>
      <c r="BJ52" s="695">
        <f>_xlfn.SUMIFS(Аренда!BI$26:BI$51,Аренда!$F$26:$F$51,$F52,Аренда!$G$26:$G$51,$G52)</f>
        <v>0</v>
      </c>
      <c r="BK52" s="695">
        <f>_xlfn.SUMIFS(Аренда!BJ$26:BJ$51,Аренда!$F$26:$F$51,$F52,Аренда!$G$26:$G$51,$G52)</f>
        <v>0</v>
      </c>
      <c r="BL52" s="695">
        <f>_xlfn.SUMIFS(Аренда!BK$26:BK$51,Аренда!$F$26:$F$51,$F52,Аренда!$G$26:$G$51,$G52)</f>
        <v>0</v>
      </c>
      <c r="BM52" s="695">
        <f>_xlfn.SUMIFS(Аренда!BL$26:BL$51,Аренда!$F$26:$F$51,$F52,Аренда!$G$26:$G$51,$G52)</f>
        <v>0</v>
      </c>
      <c r="BN52" s="695">
        <f>_xlfn.SUMIFS(Аренда!BM$26:BM$51,Аренда!$F$26:$F$51,$F52,Аренда!$G$26:$G$51,$G52)</f>
        <v>0</v>
      </c>
      <c r="BO52" s="695">
        <f>_xlfn.SUMIFS(Аренда!BN$26:BN$51,Аренда!$F$26:$F$51,$F52,Аренда!$G$26:$G$51,$G52)</f>
        <v>0</v>
      </c>
      <c r="BP52" s="695">
        <f>_xlfn.SUMIFS(Аренда!BO$26:BO$51,Аренда!$F$26:$F$51,$F52,Аренда!$G$26:$G$51,$G52)</f>
        <v>0</v>
      </c>
      <c r="BQ52" s="695">
        <f>_xlfn.SUMIFS(Аренда!BP$26:BP$51,Аренда!$F$26:$F$51,$F52,Аренда!$G$26:$G$51,$G52)</f>
        <v>0</v>
      </c>
      <c r="BR52" s="695">
        <f>_xlfn.SUMIFS(Аренда!BQ$26:BQ$51,Аренда!$F$26:$F$51,$F52,Аренда!$G$26:$G$51,$G52)</f>
        <v>0</v>
      </c>
      <c r="BS52" s="695">
        <f>_xlfn.SUMIFS(Аренда!BR$26:BR$51,Аренда!$F$26:$F$51,$F52,Аренда!$G$26:$G$51,$G52)</f>
        <v>0</v>
      </c>
      <c r="BT52" s="695">
        <f>_xlfn.SUMIFS(Аренда!BS$26:BS$51,Аренда!$F$26:$F$51,$F52,Аренда!$G$26:$G$51,$G52)</f>
        <v>0</v>
      </c>
      <c r="BU52" s="695">
        <f>_xlfn.SUMIFS(Аренда!BT$26:BT$51,Аренда!$F$26:$F$51,$F52,Аренда!$G$26:$G$51,$G52)</f>
        <v>0</v>
      </c>
      <c r="BV52" s="695">
        <f>_xlfn.SUMIFS(Аренда!BU$26:BU$51,Аренда!$F$26:$F$51,$F52,Аренда!$G$26:$G$51,$G52)</f>
        <v>0</v>
      </c>
      <c r="BW52" s="695">
        <f>_xlfn.SUMIFS(Аренда!BV$26:BV$51,Аренда!$F$26:$F$51,$F52,Аренда!$G$26:$G$51,$G52)</f>
        <v>0</v>
      </c>
      <c r="BX52" s="695">
        <f>IF(AI52=0,0,(BD52-AI52)/AI52*100)</f>
        <v>0</v>
      </c>
      <c r="BY52" s="695">
        <f>IF(BD52=0,0,(BE52-BD52)/BD52*100)</f>
        <v>0</v>
      </c>
      <c r="BZ52" s="695">
        <f>IF(BE52=0,0,(BF52-BE52)/BE52*100)</f>
        <v>0</v>
      </c>
      <c r="CA52" s="695">
        <f>IF(BF52=0,0,(BG52-BF52)/BF52*100)</f>
        <v>0</v>
      </c>
      <c r="CB52" s="695">
        <f>IF(BG52=0,0,(BH52-BG52)/BG52*100)</f>
        <v>0</v>
      </c>
      <c r="CC52" s="695">
        <f>IF(BH52=0,0,(BI52-BH52)/BH52*100)</f>
        <v>0</v>
      </c>
      <c r="CD52" s="695">
        <f>IF(BI52=0,0,(BJ52-BI52)/BI52*100)</f>
        <v>0</v>
      </c>
      <c r="CE52" s="695">
        <f>IF(BJ52=0,0,(BK52-BJ52)/BJ52*100)</f>
        <v>0</v>
      </c>
      <c r="CF52" s="695">
        <f>IF(BK52=0,0,(BL52-BK52)/BK52*100)</f>
        <v>0</v>
      </c>
      <c r="CG52" s="695">
        <f>IF(BL52=0,0,(BM52-BL52)/BL52*100)</f>
        <v>0</v>
      </c>
      <c r="CH52" s="695">
        <f>IF(BM52=0,0,(BN52-BM52)/BM52*100)</f>
        <v>0</v>
      </c>
      <c r="CI52" s="695">
        <f>IF(BN52=0,0,(BO52-BN52)/BN52*100)</f>
        <v>0</v>
      </c>
      <c r="CJ52" s="695">
        <f>IF(BO52=0,0,(BP52-BO52)/BO52*100)</f>
        <v>0</v>
      </c>
      <c r="CK52" s="695">
        <f>IF(BP52=0,0,(BQ52-BP52)/BP52*100)</f>
        <v>0</v>
      </c>
      <c r="CL52" s="695">
        <f>IF(BQ52=0,0,(BR52-BQ52)/BQ52*100)</f>
        <v>0</v>
      </c>
      <c r="CM52" s="695">
        <f>IF(BR52=0,0,(BS52-BR52)/BR52*100)</f>
        <v>0</v>
      </c>
      <c r="CN52" s="695">
        <f>IF(BS52=0,0,(BT52-BS52)/BS52*100)</f>
        <v>0</v>
      </c>
      <c r="CO52" s="695">
        <f>IF(BT52=0,0,(BU52-BT52)/BT52*100)</f>
        <v>0</v>
      </c>
      <c r="CP52" s="695">
        <f>IF(BU52=0,0,(BV52-BU52)/BU52*100)</f>
        <v>0</v>
      </c>
      <c r="CQ52" s="695">
        <f>IF(BV52=0,0,(BW52-BV52)/BV52*100)</f>
        <v>0</v>
      </c>
      <c r="CR52" s="1897"/>
      <c r="CS52" s="1897"/>
      <c r="CT52" s="1897"/>
      <c r="CU52" s="286"/>
      <c r="CV52" s="1659"/>
      <c r="CW52" s="489" t="s">
        <v>1346</v>
      </c>
      <c r="CX52" s="489"/>
      <c r="CY52" s="489"/>
      <c r="CZ52" s="546"/>
      <c r="DA52" s="546"/>
      <c r="DB52" s="489" t="s">
        <v>1346</v>
      </c>
      <c r="DC52" s="1506"/>
      <c r="DD52" s="1501" cm="1" t="str">
        <f t="array" ref="DD52:DD52">DD51</f>
        <v>ТЭ.42.31656254.0001</v>
      </c>
      <c r="DE52" s="1501"/>
      <c r="DF52" s="1501" t="s">
        <v>1592</v>
      </c>
      <c r="DG52" s="1501"/>
      <c r="DH52" s="1501"/>
      <c r="DI52" s="1501"/>
      <c r="DJ52" s="1501"/>
      <c r="DK52" s="1501"/>
      <c r="DL52" s="1501"/>
      <c r="DM52" s="1501" t="s">
        <v>303</v>
      </c>
      <c r="DN52" s="1501" t="s">
        <v>1333</v>
      </c>
      <c r="DO52" s="1504" t="s">
        <v>1334</v>
      </c>
    </row>
    <row s="1751" customFormat="1" customHeight="1" ht="14.25">
      <c r="A53" s="371"/>
      <c r="B53" s="1548"/>
      <c r="C53" s="1548"/>
      <c r="D53" s="1548"/>
      <c r="E53" s="180">
        <v>15</v>
      </c>
      <c r="F53" s="175" cm="1" t="str">
        <f t="array" ref="F53:F53">OFFSET(G53,-1,-1)</f>
        <v>1</v>
      </c>
      <c r="G53" s="193" t="s">
        <v>1348</v>
      </c>
      <c r="H53" s="1659"/>
      <c r="I53" s="1659"/>
      <c r="J53" s="1659"/>
      <c r="K53" s="1659"/>
      <c r="L53" s="1659"/>
      <c r="M53" s="1659"/>
      <c r="N53" s="1659"/>
      <c r="O53" s="1659"/>
      <c r="P53" s="1659"/>
      <c r="Q53" s="1659"/>
      <c r="R53" s="1659"/>
      <c r="S53" s="1659"/>
      <c r="T53" s="753">
        <f>AND(F53,OR(ISBLANK(Y53),Y53))</f>
        <v>1</v>
      </c>
      <c r="U53" s="1548"/>
      <c r="V53" s="1548"/>
      <c r="W53" s="1548"/>
      <c r="X53" s="1548"/>
      <c r="Y53" s="1548"/>
      <c r="Z53" s="1548"/>
      <c r="AA53" s="286"/>
      <c r="AB53" s="491">
        <v>1.3</v>
      </c>
      <c r="AC53" s="505" t="s">
        <v>1349</v>
      </c>
      <c r="AD53" s="491" t="s">
        <v>917</v>
      </c>
      <c r="AE53" s="695">
        <f>_xlfn.SUMIFS(Аренда!AE$26:AE$51,Аренда!$F$26:$F$51,$F53,Аренда!$G$26:$G$51,$G53)</f>
        <v>0</v>
      </c>
      <c r="AF53" s="695">
        <f>_xlfn.SUMIFS(Аренда!AF$26:AF$51,Аренда!$F$26:$F$51,$F53,Аренда!$G$26:$G$51,$G53)</f>
        <v>0</v>
      </c>
      <c r="AG53" s="695">
        <f>_xlfn.SUMIFS(Аренда!AG$26:AG$51,Аренда!$F$26:$F$51,$F53,Аренда!$G$26:$G$51,$G53)</f>
        <v>0</v>
      </c>
      <c r="AH53" s="695">
        <f>AG53-AF53</f>
        <v>0</v>
      </c>
      <c r="AI53" s="695">
        <f>_xlfn.SUMIFS(Аренда!AH$26:AH$51,Аренда!$F$26:$F$51,$F53,Аренда!$G$26:$G$51,$G53)</f>
        <v>0</v>
      </c>
      <c r="AJ53" s="695">
        <f>_xlfn.SUMIFS(Аренда!AI$26:AI$51,Аренда!$F$26:$F$51,$F53,Аренда!$G$26:$G$51,$G53)</f>
        <v>0</v>
      </c>
      <c r="AK53" s="695">
        <f>_xlfn.SUMIFS(Аренда!AJ$26:AJ$51,Аренда!$F$26:$F$51,$F53,Аренда!$G$26:$G$51,$G53)</f>
        <v>0</v>
      </c>
      <c r="AL53" s="695">
        <f>_xlfn.SUMIFS(Аренда!AK$26:AK$51,Аренда!$F$26:$F$51,$F53,Аренда!$G$26:$G$51,$G53)</f>
        <v>0</v>
      </c>
      <c r="AM53" s="695">
        <f>_xlfn.SUMIFS(Аренда!AL$26:AL$51,Аренда!$F$26:$F$51,$F53,Аренда!$G$26:$G$51,$G53)</f>
        <v>0</v>
      </c>
      <c r="AN53" s="695">
        <f>_xlfn.SUMIFS(Аренда!AM$26:AM$51,Аренда!$F$26:$F$51,$F53,Аренда!$G$26:$G$51,$G53)</f>
        <v>0</v>
      </c>
      <c r="AO53" s="695">
        <f>_xlfn.SUMIFS(Аренда!AN$26:AN$51,Аренда!$F$26:$F$51,$F53,Аренда!$G$26:$G$51,$G53)</f>
        <v>0</v>
      </c>
      <c r="AP53" s="695">
        <f>_xlfn.SUMIFS(Аренда!AO$26:AO$51,Аренда!$F$26:$F$51,$F53,Аренда!$G$26:$G$51,$G53)</f>
        <v>0</v>
      </c>
      <c r="AQ53" s="695">
        <f>_xlfn.SUMIFS(Аренда!AP$26:AP$51,Аренда!$F$26:$F$51,$F53,Аренда!$G$26:$G$51,$G53)</f>
        <v>0</v>
      </c>
      <c r="AR53" s="695">
        <f>_xlfn.SUMIFS(Аренда!AQ$26:AQ$51,Аренда!$F$26:$F$51,$F53,Аренда!$G$26:$G$51,$G53)</f>
        <v>0</v>
      </c>
      <c r="AS53" s="695">
        <f>_xlfn.SUMIFS(Аренда!AR$26:AR$51,Аренда!$F$26:$F$51,$F53,Аренда!$G$26:$G$51,$G53)</f>
        <v>0</v>
      </c>
      <c r="AT53" s="695">
        <f>_xlfn.SUMIFS(Аренда!AS$26:AS$51,Аренда!$F$26:$F$51,$F53,Аренда!$G$26:$G$51,$G53)</f>
        <v>0</v>
      </c>
      <c r="AU53" s="695">
        <f>_xlfn.SUMIFS(Аренда!AT$26:AT$51,Аренда!$F$26:$F$51,$F53,Аренда!$G$26:$G$51,$G53)</f>
        <v>0</v>
      </c>
      <c r="AV53" s="695">
        <f>_xlfn.SUMIFS(Аренда!AU$26:AU$51,Аренда!$F$26:$F$51,$F53,Аренда!$G$26:$G$51,$G53)</f>
        <v>0</v>
      </c>
      <c r="AW53" s="695">
        <f>_xlfn.SUMIFS(Аренда!AV$26:AV$51,Аренда!$F$26:$F$51,$F53,Аренда!$G$26:$G$51,$G53)</f>
        <v>0</v>
      </c>
      <c r="AX53" s="695">
        <f>_xlfn.SUMIFS(Аренда!AW$26:AW$51,Аренда!$F$26:$F$51,$F53,Аренда!$G$26:$G$51,$G53)</f>
        <v>0</v>
      </c>
      <c r="AY53" s="695">
        <f>_xlfn.SUMIFS(Аренда!AX$26:AX$51,Аренда!$F$26:$F$51,$F53,Аренда!$G$26:$G$51,$G53)</f>
        <v>0</v>
      </c>
      <c r="AZ53" s="695">
        <f>_xlfn.SUMIFS(Аренда!AY$26:AY$51,Аренда!$F$26:$F$51,$F53,Аренда!$G$26:$G$51,$G53)</f>
        <v>0</v>
      </c>
      <c r="BA53" s="695">
        <f>_xlfn.SUMIFS(Аренда!AZ$26:AZ$51,Аренда!$F$26:$F$51,$F53,Аренда!$G$26:$G$51,$G53)</f>
        <v>0</v>
      </c>
      <c r="BB53" s="695">
        <f>_xlfn.SUMIFS(Аренда!BA$26:BA$51,Аренда!$F$26:$F$51,$F53,Аренда!$G$26:$G$51,$G53)</f>
        <v>0</v>
      </c>
      <c r="BC53" s="695">
        <f>_xlfn.SUMIFS(Аренда!BB$26:BB$51,Аренда!$F$26:$F$51,$F53,Аренда!$G$26:$G$51,$G53)</f>
        <v>0</v>
      </c>
      <c r="BD53" s="695">
        <f>_xlfn.SUMIFS(Аренда!BC$26:BC$51,Аренда!$F$26:$F$51,$F53,Аренда!$G$26:$G$51,$G53)</f>
        <v>0</v>
      </c>
      <c r="BE53" s="695">
        <f>_xlfn.SUMIFS(Аренда!BD$26:BD$51,Аренда!$F$26:$F$51,$F53,Аренда!$G$26:$G$51,$G53)</f>
        <v>0</v>
      </c>
      <c r="BF53" s="695">
        <f>_xlfn.SUMIFS(Аренда!BE$26:BE$51,Аренда!$F$26:$F$51,$F53,Аренда!$G$26:$G$51,$G53)</f>
        <v>0</v>
      </c>
      <c r="BG53" s="695">
        <f>_xlfn.SUMIFS(Аренда!BF$26:BF$51,Аренда!$F$26:$F$51,$F53,Аренда!$G$26:$G$51,$G53)</f>
        <v>0</v>
      </c>
      <c r="BH53" s="695">
        <f>_xlfn.SUMIFS(Аренда!BG$26:BG$51,Аренда!$F$26:$F$51,$F53,Аренда!$G$26:$G$51,$G53)</f>
        <v>0</v>
      </c>
      <c r="BI53" s="695">
        <f>_xlfn.SUMIFS(Аренда!BH$26:BH$51,Аренда!$F$26:$F$51,$F53,Аренда!$G$26:$G$51,$G53)</f>
        <v>0</v>
      </c>
      <c r="BJ53" s="695">
        <f>_xlfn.SUMIFS(Аренда!BI$26:BI$51,Аренда!$F$26:$F$51,$F53,Аренда!$G$26:$G$51,$G53)</f>
        <v>0</v>
      </c>
      <c r="BK53" s="695">
        <f>_xlfn.SUMIFS(Аренда!BJ$26:BJ$51,Аренда!$F$26:$F$51,$F53,Аренда!$G$26:$G$51,$G53)</f>
        <v>0</v>
      </c>
      <c r="BL53" s="695">
        <f>_xlfn.SUMIFS(Аренда!BK$26:BK$51,Аренда!$F$26:$F$51,$F53,Аренда!$G$26:$G$51,$G53)</f>
        <v>0</v>
      </c>
      <c r="BM53" s="695">
        <f>_xlfn.SUMIFS(Аренда!BL$26:BL$51,Аренда!$F$26:$F$51,$F53,Аренда!$G$26:$G$51,$G53)</f>
        <v>0</v>
      </c>
      <c r="BN53" s="695">
        <f>_xlfn.SUMIFS(Аренда!BM$26:BM$51,Аренда!$F$26:$F$51,$F53,Аренда!$G$26:$G$51,$G53)</f>
        <v>0</v>
      </c>
      <c r="BO53" s="695">
        <f>_xlfn.SUMIFS(Аренда!BN$26:BN$51,Аренда!$F$26:$F$51,$F53,Аренда!$G$26:$G$51,$G53)</f>
        <v>0</v>
      </c>
      <c r="BP53" s="695">
        <f>_xlfn.SUMIFS(Аренда!BO$26:BO$51,Аренда!$F$26:$F$51,$F53,Аренда!$G$26:$G$51,$G53)</f>
        <v>0</v>
      </c>
      <c r="BQ53" s="695">
        <f>_xlfn.SUMIFS(Аренда!BP$26:BP$51,Аренда!$F$26:$F$51,$F53,Аренда!$G$26:$G$51,$G53)</f>
        <v>0</v>
      </c>
      <c r="BR53" s="695">
        <f>_xlfn.SUMIFS(Аренда!BQ$26:BQ$51,Аренда!$F$26:$F$51,$F53,Аренда!$G$26:$G$51,$G53)</f>
        <v>0</v>
      </c>
      <c r="BS53" s="695">
        <f>_xlfn.SUMIFS(Аренда!BR$26:BR$51,Аренда!$F$26:$F$51,$F53,Аренда!$G$26:$G$51,$G53)</f>
        <v>0</v>
      </c>
      <c r="BT53" s="695">
        <f>_xlfn.SUMIFS(Аренда!BS$26:BS$51,Аренда!$F$26:$F$51,$F53,Аренда!$G$26:$G$51,$G53)</f>
        <v>0</v>
      </c>
      <c r="BU53" s="695">
        <f>_xlfn.SUMIFS(Аренда!BT$26:BT$51,Аренда!$F$26:$F$51,$F53,Аренда!$G$26:$G$51,$G53)</f>
        <v>0</v>
      </c>
      <c r="BV53" s="695">
        <f>_xlfn.SUMIFS(Аренда!BU$26:BU$51,Аренда!$F$26:$F$51,$F53,Аренда!$G$26:$G$51,$G53)</f>
        <v>0</v>
      </c>
      <c r="BW53" s="695">
        <f>_xlfn.SUMIFS(Аренда!BV$26:BV$51,Аренда!$F$26:$F$51,$F53,Аренда!$G$26:$G$51,$G53)</f>
        <v>0</v>
      </c>
      <c r="BX53" s="695">
        <f>IF(AI53=0,0,(BD53-AI53)/AI53*100)</f>
        <v>0</v>
      </c>
      <c r="BY53" s="695">
        <f>IF(BD53=0,0,(BE53-BD53)/BD53*100)</f>
        <v>0</v>
      </c>
      <c r="BZ53" s="695">
        <f>IF(BE53=0,0,(BF53-BE53)/BE53*100)</f>
        <v>0</v>
      </c>
      <c r="CA53" s="695">
        <f>IF(BF53=0,0,(BG53-BF53)/BF53*100)</f>
        <v>0</v>
      </c>
      <c r="CB53" s="695">
        <f>IF(BG53=0,0,(BH53-BG53)/BG53*100)</f>
        <v>0</v>
      </c>
      <c r="CC53" s="695">
        <f>IF(BH53=0,0,(BI53-BH53)/BH53*100)</f>
        <v>0</v>
      </c>
      <c r="CD53" s="695">
        <f>IF(BI53=0,0,(BJ53-BI53)/BI53*100)</f>
        <v>0</v>
      </c>
      <c r="CE53" s="695">
        <f>IF(BJ53=0,0,(BK53-BJ53)/BJ53*100)</f>
        <v>0</v>
      </c>
      <c r="CF53" s="695">
        <f>IF(BK53=0,0,(BL53-BK53)/BK53*100)</f>
        <v>0</v>
      </c>
      <c r="CG53" s="695">
        <f>IF(BL53=0,0,(BM53-BL53)/BL53*100)</f>
        <v>0</v>
      </c>
      <c r="CH53" s="695">
        <f>IF(BM53=0,0,(BN53-BM53)/BM53*100)</f>
        <v>0</v>
      </c>
      <c r="CI53" s="695">
        <f>IF(BN53=0,0,(BO53-BN53)/BN53*100)</f>
        <v>0</v>
      </c>
      <c r="CJ53" s="695">
        <f>IF(BO53=0,0,(BP53-BO53)/BO53*100)</f>
        <v>0</v>
      </c>
      <c r="CK53" s="695">
        <f>IF(BP53=0,0,(BQ53-BP53)/BP53*100)</f>
        <v>0</v>
      </c>
      <c r="CL53" s="695">
        <f>IF(BQ53=0,0,(BR53-BQ53)/BQ53*100)</f>
        <v>0</v>
      </c>
      <c r="CM53" s="695">
        <f>IF(BR53=0,0,(BS53-BR53)/BR53*100)</f>
        <v>0</v>
      </c>
      <c r="CN53" s="695">
        <f>IF(BS53=0,0,(BT53-BS53)/BS53*100)</f>
        <v>0</v>
      </c>
      <c r="CO53" s="695">
        <f>IF(BT53=0,0,(BU53-BT53)/BT53*100)</f>
        <v>0</v>
      </c>
      <c r="CP53" s="695">
        <f>IF(BU53=0,0,(BV53-BU53)/BU53*100)</f>
        <v>0</v>
      </c>
      <c r="CQ53" s="695">
        <f>IF(BV53=0,0,(BW53-BV53)/BV53*100)</f>
        <v>0</v>
      </c>
      <c r="CR53" s="1897"/>
      <c r="CS53" s="1897"/>
      <c r="CT53" s="1897"/>
      <c r="CU53" s="286"/>
      <c r="CV53" s="1659"/>
      <c r="CW53" s="489" t="s">
        <v>1636</v>
      </c>
      <c r="CX53" s="489"/>
      <c r="CY53" s="489"/>
      <c r="CZ53" s="546"/>
      <c r="DA53" s="546"/>
      <c r="DB53" s="489" t="s">
        <v>1636</v>
      </c>
      <c r="DC53" s="1506"/>
      <c r="DD53" s="1501" cm="1" t="str">
        <f t="array" ref="DD53:DD53">DD52</f>
        <v>ТЭ.42.31656254.0001</v>
      </c>
      <c r="DE53" s="1501"/>
      <c r="DF53" s="1501" t="s">
        <v>1351</v>
      </c>
      <c r="DG53" s="1501"/>
      <c r="DH53" s="1501"/>
      <c r="DI53" s="1501"/>
      <c r="DJ53" s="1501"/>
      <c r="DK53" s="1501"/>
      <c r="DL53" s="1501"/>
      <c r="DM53" s="1501" t="s">
        <v>303</v>
      </c>
      <c r="DN53" s="1501" t="s">
        <v>1352</v>
      </c>
      <c r="DO53" s="1504" t="s">
        <v>1353</v>
      </c>
    </row>
    <row s="1751" customFormat="1" customHeight="1" ht="14.25">
      <c r="A54" s="371"/>
      <c r="B54" s="1548"/>
      <c r="C54" s="1548"/>
      <c r="D54" s="1548"/>
      <c r="E54" s="180">
        <v>15</v>
      </c>
      <c r="F54" s="175" cm="1" t="str">
        <f t="array" ref="F54:F54">OFFSET(G54,-1,-1)</f>
        <v>1</v>
      </c>
      <c r="G54" s="1659"/>
      <c r="H54" s="1659"/>
      <c r="I54" s="1659"/>
      <c r="J54" s="1659"/>
      <c r="K54" s="1659"/>
      <c r="L54" s="1659"/>
      <c r="M54" s="1659"/>
      <c r="N54" s="1659"/>
      <c r="O54" s="1659"/>
      <c r="P54" s="1659"/>
      <c r="Q54" s="1659"/>
      <c r="R54" s="1659"/>
      <c r="S54" s="1659"/>
      <c r="T54" s="753">
        <f>AND(F54,OR(ISBLANK(Y54),Y54))</f>
        <v>1</v>
      </c>
      <c r="U54" s="1548"/>
      <c r="V54" s="1548"/>
      <c r="W54" s="1548"/>
      <c r="X54" s="1548"/>
      <c r="Y54" s="1548"/>
      <c r="Z54" s="1548"/>
      <c r="AA54" s="286"/>
      <c r="AB54" s="491">
        <v>1.4</v>
      </c>
      <c r="AC54" s="505" t="s">
        <v>1637</v>
      </c>
      <c r="AD54" s="491" t="s">
        <v>917</v>
      </c>
      <c r="AE54" s="746">
        <f>SUM(AE55:AE57)</f>
        <v>941</v>
      </c>
      <c r="AF54" s="746">
        <f>SUM(AF55:AF57)</f>
        <v>1540.06</v>
      </c>
      <c r="AG54" s="746">
        <f>SUM(AG55:AG57)</f>
        <v>1189.24</v>
      </c>
      <c r="AH54" s="695">
        <f>AG54-AF54</f>
        <v>-350.82</v>
      </c>
      <c r="AI54" s="746">
        <f>SUM(AI55:AI57)</f>
        <v>1089</v>
      </c>
      <c r="AJ54" s="746">
        <f>SUM(AJ55:AJ57)</f>
        <v>1647</v>
      </c>
      <c r="AK54" s="746">
        <f>SUM(AK55:AK57)</f>
        <v>0</v>
      </c>
      <c r="AL54" s="746">
        <f>SUM(AL55:AL57)</f>
        <v>0</v>
      </c>
      <c r="AM54" s="746">
        <f>SUM(AM55:AM57)</f>
        <v>0</v>
      </c>
      <c r="AN54" s="746">
        <f>SUM(AN55:AN57)</f>
        <v>0</v>
      </c>
      <c r="AO54" s="746">
        <f>SUM(AO55:AO57)</f>
        <v>0</v>
      </c>
      <c r="AP54" s="746">
        <f>SUM(AP55:AP57)</f>
        <v>0</v>
      </c>
      <c r="AQ54" s="746">
        <f>SUM(AQ55:AQ57)</f>
        <v>0</v>
      </c>
      <c r="AR54" s="746">
        <f>SUM(AR55:AR57)</f>
        <v>0</v>
      </c>
      <c r="AS54" s="746">
        <f>SUM(AS55:AS57)</f>
        <v>0</v>
      </c>
      <c r="AT54" s="746">
        <f>SUM(AT55:AT57)</f>
        <v>0</v>
      </c>
      <c r="AU54" s="746">
        <f>SUM(AU55:AU57)</f>
        <v>0</v>
      </c>
      <c r="AV54" s="746">
        <f>SUM(AV55:AV57)</f>
        <v>0</v>
      </c>
      <c r="AW54" s="746">
        <f>SUM(AW55:AW57)</f>
        <v>0</v>
      </c>
      <c r="AX54" s="746">
        <f>SUM(AX55:AX57)</f>
        <v>0</v>
      </c>
      <c r="AY54" s="746">
        <f>SUM(AY55:AY57)</f>
        <v>0</v>
      </c>
      <c r="AZ54" s="746">
        <f>SUM(AZ55:AZ57)</f>
        <v>0</v>
      </c>
      <c r="BA54" s="746">
        <f>SUM(BA55:BA57)</f>
        <v>0</v>
      </c>
      <c r="BB54" s="746">
        <f>SUM(BB55:BB57)</f>
        <v>0</v>
      </c>
      <c r="BC54" s="746">
        <f>SUM(BC55:BC57)</f>
        <v>0</v>
      </c>
      <c r="BD54" s="746">
        <f>SUM(BD55:BD57)</f>
        <v>1253.29</v>
      </c>
      <c r="BE54" s="746">
        <f>SUM(BE55:BE57)</f>
        <v>0</v>
      </c>
      <c r="BF54" s="746">
        <f>SUM(BF55:BF57)</f>
        <v>0</v>
      </c>
      <c r="BG54" s="746">
        <f>SUM(BG55:BG57)</f>
        <v>0</v>
      </c>
      <c r="BH54" s="746">
        <f>SUM(BH55:BH57)</f>
        <v>0</v>
      </c>
      <c r="BI54" s="746">
        <f>SUM(BI55:BI57)</f>
        <v>0</v>
      </c>
      <c r="BJ54" s="746">
        <f>SUM(BJ55:BJ57)</f>
        <v>0</v>
      </c>
      <c r="BK54" s="746">
        <f>SUM(BK55:BK57)</f>
        <v>0</v>
      </c>
      <c r="BL54" s="746">
        <f>SUM(BL55:BL57)</f>
        <v>0</v>
      </c>
      <c r="BM54" s="746">
        <f>SUM(BM55:BM57)</f>
        <v>0</v>
      </c>
      <c r="BN54" s="746">
        <f>SUM(BN55:BN57)</f>
        <v>0</v>
      </c>
      <c r="BO54" s="746">
        <f>SUM(BO55:BO57)</f>
        <v>0</v>
      </c>
      <c r="BP54" s="746">
        <f>SUM(BP55:BP57)</f>
        <v>0</v>
      </c>
      <c r="BQ54" s="746">
        <f>SUM(BQ55:BQ57)</f>
        <v>0</v>
      </c>
      <c r="BR54" s="746">
        <f>SUM(BR55:BR57)</f>
        <v>0</v>
      </c>
      <c r="BS54" s="746">
        <f>SUM(BS55:BS57)</f>
        <v>0</v>
      </c>
      <c r="BT54" s="746">
        <f>SUM(BT55:BT57)</f>
        <v>0</v>
      </c>
      <c r="BU54" s="746">
        <f>SUM(BU55:BU57)</f>
        <v>0</v>
      </c>
      <c r="BV54" s="746">
        <f>SUM(BV55:BV57)</f>
        <v>0</v>
      </c>
      <c r="BW54" s="746">
        <f>SUM(BW55:BW57)</f>
        <v>0</v>
      </c>
      <c r="BX54" s="695">
        <f>IF(AI54=0,0,(BD54-AI54)/AI54*100)</f>
        <v>15.0863177226814</v>
      </c>
      <c r="BY54" s="695">
        <f>IF(BD54=0,0,(BE54-BD54)/BD54*100)</f>
        <v>-100</v>
      </c>
      <c r="BZ54" s="695">
        <f>IF(BE54=0,0,(BF54-BE54)/BE54*100)</f>
        <v>0</v>
      </c>
      <c r="CA54" s="695">
        <f>IF(BF54=0,0,(BG54-BF54)/BF54*100)</f>
        <v>0</v>
      </c>
      <c r="CB54" s="695">
        <f>IF(BG54=0,0,(BH54-BG54)/BG54*100)</f>
        <v>0</v>
      </c>
      <c r="CC54" s="695">
        <f>IF(BH54=0,0,(BI54-BH54)/BH54*100)</f>
        <v>0</v>
      </c>
      <c r="CD54" s="695">
        <f>IF(BI54=0,0,(BJ54-BI54)/BI54*100)</f>
        <v>0</v>
      </c>
      <c r="CE54" s="695">
        <f>IF(BJ54=0,0,(BK54-BJ54)/BJ54*100)</f>
        <v>0</v>
      </c>
      <c r="CF54" s="695">
        <f>IF(BK54=0,0,(BL54-BK54)/BK54*100)</f>
        <v>0</v>
      </c>
      <c r="CG54" s="695">
        <f>IF(BL54=0,0,(BM54-BL54)/BL54*100)</f>
        <v>0</v>
      </c>
      <c r="CH54" s="695">
        <f>IF(BM54=0,0,(BN54-BM54)/BM54*100)</f>
        <v>0</v>
      </c>
      <c r="CI54" s="695">
        <f>IF(BN54=0,0,(BO54-BN54)/BN54*100)</f>
        <v>0</v>
      </c>
      <c r="CJ54" s="695">
        <f>IF(BO54=0,0,(BP54-BO54)/BO54*100)</f>
        <v>0</v>
      </c>
      <c r="CK54" s="695">
        <f>IF(BP54=0,0,(BQ54-BP54)/BP54*100)</f>
        <v>0</v>
      </c>
      <c r="CL54" s="695">
        <f>IF(BQ54=0,0,(BR54-BQ54)/BQ54*100)</f>
        <v>0</v>
      </c>
      <c r="CM54" s="695">
        <f>IF(BR54=0,0,(BS54-BR54)/BR54*100)</f>
        <v>0</v>
      </c>
      <c r="CN54" s="695">
        <f>IF(BS54=0,0,(BT54-BS54)/BS54*100)</f>
        <v>0</v>
      </c>
      <c r="CO54" s="695">
        <f>IF(BT54=0,0,(BU54-BT54)/BT54*100)</f>
        <v>0</v>
      </c>
      <c r="CP54" s="695">
        <f>IF(BU54=0,0,(BV54-BU54)/BU54*100)</f>
        <v>0</v>
      </c>
      <c r="CQ54" s="695">
        <f>IF(BV54=0,0,(BW54-BV54)/BV54*100)</f>
        <v>0</v>
      </c>
      <c r="CR54" s="1897"/>
      <c r="CS54" s="1897"/>
      <c r="CT54" s="1897"/>
      <c r="CU54" s="286"/>
      <c r="CV54" s="1659"/>
      <c r="CW54" s="489" t="s">
        <v>1638</v>
      </c>
      <c r="CX54" s="489"/>
      <c r="CY54" s="489"/>
      <c r="CZ54" s="546"/>
      <c r="DA54" s="546"/>
      <c r="DB54" s="489" t="s">
        <v>1638</v>
      </c>
      <c r="DC54" s="1506"/>
      <c r="DD54" s="1501" cm="1" t="str">
        <f t="array" ref="DD54:DD54">DD53</f>
        <v>ТЭ.42.31656254.0001</v>
      </c>
      <c r="DE54" s="1501"/>
      <c r="DF54" s="1501"/>
      <c r="DG54" s="1501" t="s">
        <v>1639</v>
      </c>
      <c r="DH54" s="1501"/>
      <c r="DI54" s="1501"/>
      <c r="DJ54" s="1501"/>
      <c r="DK54" s="1501"/>
      <c r="DL54" s="1501"/>
      <c r="DM54" s="1501" t="s">
        <v>303</v>
      </c>
      <c r="DN54" s="1501" t="s">
        <v>1044</v>
      </c>
      <c r="DO54" s="1504" t="s">
        <v>1045</v>
      </c>
    </row>
    <row s="1751" customFormat="1" customHeight="1" ht="39">
      <c r="A55" s="371"/>
      <c r="B55" s="1548"/>
      <c r="C55" s="1548"/>
      <c r="D55" s="1548"/>
      <c r="E55" s="180">
        <v>40</v>
      </c>
      <c r="F55" s="175" cm="1" t="str">
        <f t="array" ref="F55:F55">OFFSET(G55,-1,-1)</f>
        <v>1</v>
      </c>
      <c r="G55" s="193" t="s">
        <v>1478</v>
      </c>
      <c r="H55" s="1659"/>
      <c r="I55" s="1659"/>
      <c r="J55" s="1659"/>
      <c r="K55" s="1659"/>
      <c r="L55" s="1659"/>
      <c r="M55" s="1659"/>
      <c r="N55" s="1659"/>
      <c r="O55" s="1659"/>
      <c r="P55" s="1659"/>
      <c r="Q55" s="1659"/>
      <c r="R55" s="1659"/>
      <c r="S55" s="1659"/>
      <c r="T55" s="753">
        <f>AND(F55,OR(ISBLANK(Y55),Y55))</f>
        <v>1</v>
      </c>
      <c r="U55" s="1548"/>
      <c r="V55" s="1548"/>
      <c r="W55" s="1548"/>
      <c r="X55" s="1548"/>
      <c r="Y55" s="1548"/>
      <c r="Z55" s="1548"/>
      <c r="AA55" s="286"/>
      <c r="AB55" s="491" t="s">
        <v>1190</v>
      </c>
      <c r="AC55" s="505" t="s">
        <v>1479</v>
      </c>
      <c r="AD55" s="491" t="s">
        <v>917</v>
      </c>
      <c r="AE55" s="746">
        <f>_xlfn.SUMIFS(Налоги!AE$26:AE$55,Налоги!$F$26:$F$55,$F55,Налоги!$G$26:$G$55,$G55)</f>
        <v>0</v>
      </c>
      <c r="AF55" s="746">
        <f>_xlfn.SUMIFS(Налоги!AF$26:AF$55,Налоги!$F$26:$F$55,$F55,Налоги!$G$26:$G$55,$G55)</f>
        <v>0</v>
      </c>
      <c r="AG55" s="746">
        <f>_xlfn.SUMIFS(Налоги!AG$26:AG$55,Налоги!$F$26:$F$55,$F55,Налоги!$G$26:$G$55,$G55)</f>
        <v>0</v>
      </c>
      <c r="AH55" s="695">
        <f>AG55-AF55</f>
        <v>0</v>
      </c>
      <c r="AI55" s="746">
        <f>_xlfn.SUMIFS(Налоги!AH$26:AH$55,Налоги!$F$26:$F$55,$F55,Налоги!$G$26:$G$55,$G55)</f>
        <v>0</v>
      </c>
      <c r="AJ55" s="746">
        <f>_xlfn.SUMIFS(Налоги!AI$26:AI$55,Налоги!$F$26:$F$55,$F55,Налоги!$G$26:$G$55,$G55)</f>
        <v>0</v>
      </c>
      <c r="AK55" s="746">
        <f>_xlfn.SUMIFS(Налоги!AJ$26:AJ$55,Налоги!$F$26:$F$55,$F55,Налоги!$G$26:$G$55,$G55)</f>
        <v>0</v>
      </c>
      <c r="AL55" s="746">
        <f>_xlfn.SUMIFS(Налоги!AK$26:AK$55,Налоги!$F$26:$F$55,$F55,Налоги!$G$26:$G$55,$G55)</f>
        <v>0</v>
      </c>
      <c r="AM55" s="746">
        <f>_xlfn.SUMIFS(Налоги!AL$26:AL$55,Налоги!$F$26:$F$55,$F55,Налоги!$G$26:$G$55,$G55)</f>
        <v>0</v>
      </c>
      <c r="AN55" s="746">
        <f>_xlfn.SUMIFS(Налоги!AM$26:AM$55,Налоги!$F$26:$F$55,$F55,Налоги!$G$26:$G$55,$G55)</f>
        <v>0</v>
      </c>
      <c r="AO55" s="746">
        <f>_xlfn.SUMIFS(Налоги!AN$26:AN$55,Налоги!$F$26:$F$55,$F55,Налоги!$G$26:$G$55,$G55)</f>
        <v>0</v>
      </c>
      <c r="AP55" s="746">
        <f>_xlfn.SUMIFS(Налоги!AO$26:AO$55,Налоги!$F$26:$F$55,$F55,Налоги!$G$26:$G$55,$G55)</f>
        <v>0</v>
      </c>
      <c r="AQ55" s="746">
        <f>_xlfn.SUMIFS(Налоги!AP$26:AP$55,Налоги!$F$26:$F$55,$F55,Налоги!$G$26:$G$55,$G55)</f>
        <v>0</v>
      </c>
      <c r="AR55" s="746">
        <f>_xlfn.SUMIFS(Налоги!AQ$26:AQ$55,Налоги!$F$26:$F$55,$F55,Налоги!$G$26:$G$55,$G55)</f>
        <v>0</v>
      </c>
      <c r="AS55" s="746">
        <f>_xlfn.SUMIFS(Налоги!AR$26:AR$55,Налоги!$F$26:$F$55,$F55,Налоги!$G$26:$G$55,$G55)</f>
        <v>0</v>
      </c>
      <c r="AT55" s="746">
        <f>_xlfn.SUMIFS(Налоги!AS$26:AS$55,Налоги!$F$26:$F$55,$F55,Налоги!$G$26:$G$55,$G55)</f>
        <v>0</v>
      </c>
      <c r="AU55" s="746">
        <f>_xlfn.SUMIFS(Налоги!AT$26:AT$55,Налоги!$F$26:$F$55,$F55,Налоги!$G$26:$G$55,$G55)</f>
        <v>0</v>
      </c>
      <c r="AV55" s="746">
        <f>_xlfn.SUMIFS(Налоги!AU$26:AU$55,Налоги!$F$26:$F$55,$F55,Налоги!$G$26:$G$55,$G55)</f>
        <v>0</v>
      </c>
      <c r="AW55" s="746">
        <f>_xlfn.SUMIFS(Налоги!AV$26:AV$55,Налоги!$F$26:$F$55,$F55,Налоги!$G$26:$G$55,$G55)</f>
        <v>0</v>
      </c>
      <c r="AX55" s="746">
        <f>_xlfn.SUMIFS(Налоги!AW$26:AW$55,Налоги!$F$26:$F$55,$F55,Налоги!$G$26:$G$55,$G55)</f>
        <v>0</v>
      </c>
      <c r="AY55" s="746">
        <f>_xlfn.SUMIFS(Налоги!AX$26:AX$55,Налоги!$F$26:$F$55,$F55,Налоги!$G$26:$G$55,$G55)</f>
        <v>0</v>
      </c>
      <c r="AZ55" s="746">
        <f>_xlfn.SUMIFS(Налоги!AY$26:AY$55,Налоги!$F$26:$F$55,$F55,Налоги!$G$26:$G$55,$G55)</f>
        <v>0</v>
      </c>
      <c r="BA55" s="746">
        <f>_xlfn.SUMIFS(Налоги!AZ$26:AZ$55,Налоги!$F$26:$F$55,$F55,Налоги!$G$26:$G$55,$G55)</f>
        <v>0</v>
      </c>
      <c r="BB55" s="746">
        <f>_xlfn.SUMIFS(Налоги!BA$26:BA$55,Налоги!$F$26:$F$55,$F55,Налоги!$G$26:$G$55,$G55)</f>
        <v>0</v>
      </c>
      <c r="BC55" s="746">
        <f>_xlfn.SUMIFS(Налоги!BB$26:BB$55,Налоги!$F$26:$F$55,$F55,Налоги!$G$26:$G$55,$G55)</f>
        <v>0</v>
      </c>
      <c r="BD55" s="746">
        <f>_xlfn.SUMIFS(Налоги!BC$26:BC$55,Налоги!$F$26:$F$55,$F55,Налоги!$G$26:$G$55,$G55)</f>
        <v>0</v>
      </c>
      <c r="BE55" s="746">
        <f>_xlfn.SUMIFS(Налоги!BD$26:BD$55,Налоги!$F$26:$F$55,$F55,Налоги!$G$26:$G$55,$G55)</f>
        <v>0</v>
      </c>
      <c r="BF55" s="746">
        <f>_xlfn.SUMIFS(Налоги!BE$26:BE$55,Налоги!$F$26:$F$55,$F55,Налоги!$G$26:$G$55,$G55)</f>
        <v>0</v>
      </c>
      <c r="BG55" s="746">
        <f>_xlfn.SUMIFS(Налоги!BF$26:BF$55,Налоги!$F$26:$F$55,$F55,Налоги!$G$26:$G$55,$G55)</f>
        <v>0</v>
      </c>
      <c r="BH55" s="746">
        <f>_xlfn.SUMIFS(Налоги!BG$26:BG$55,Налоги!$F$26:$F$55,$F55,Налоги!$G$26:$G$55,$G55)</f>
        <v>0</v>
      </c>
      <c r="BI55" s="746">
        <f>_xlfn.SUMIFS(Налоги!BH$26:BH$55,Налоги!$F$26:$F$55,$F55,Налоги!$G$26:$G$55,$G55)</f>
        <v>0</v>
      </c>
      <c r="BJ55" s="746">
        <f>_xlfn.SUMIFS(Налоги!BI$26:BI$55,Налоги!$F$26:$F$55,$F55,Налоги!$G$26:$G$55,$G55)</f>
        <v>0</v>
      </c>
      <c r="BK55" s="746">
        <f>_xlfn.SUMIFS(Налоги!BJ$26:BJ$55,Налоги!$F$26:$F$55,$F55,Налоги!$G$26:$G$55,$G55)</f>
        <v>0</v>
      </c>
      <c r="BL55" s="746">
        <f>_xlfn.SUMIFS(Налоги!BK$26:BK$55,Налоги!$F$26:$F$55,$F55,Налоги!$G$26:$G$55,$G55)</f>
        <v>0</v>
      </c>
      <c r="BM55" s="746">
        <f>_xlfn.SUMIFS(Налоги!BL$26:BL$55,Налоги!$F$26:$F$55,$F55,Налоги!$G$26:$G$55,$G55)</f>
        <v>0</v>
      </c>
      <c r="BN55" s="746">
        <f>_xlfn.SUMIFS(Налоги!BM$26:BM$55,Налоги!$F$26:$F$55,$F55,Налоги!$G$26:$G$55,$G55)</f>
        <v>0</v>
      </c>
      <c r="BO55" s="746">
        <f>_xlfn.SUMIFS(Налоги!BN$26:BN$55,Налоги!$F$26:$F$55,$F55,Налоги!$G$26:$G$55,$G55)</f>
        <v>0</v>
      </c>
      <c r="BP55" s="746">
        <f>_xlfn.SUMIFS(Налоги!BO$26:BO$55,Налоги!$F$26:$F$55,$F55,Налоги!$G$26:$G$55,$G55)</f>
        <v>0</v>
      </c>
      <c r="BQ55" s="746">
        <f>_xlfn.SUMIFS(Налоги!BP$26:BP$55,Налоги!$F$26:$F$55,$F55,Налоги!$G$26:$G$55,$G55)</f>
        <v>0</v>
      </c>
      <c r="BR55" s="746">
        <f>_xlfn.SUMIFS(Налоги!BQ$26:BQ$55,Налоги!$F$26:$F$55,$F55,Налоги!$G$26:$G$55,$G55)</f>
        <v>0</v>
      </c>
      <c r="BS55" s="746">
        <f>_xlfn.SUMIFS(Налоги!BR$26:BR$55,Налоги!$F$26:$F$55,$F55,Налоги!$G$26:$G$55,$G55)</f>
        <v>0</v>
      </c>
      <c r="BT55" s="746">
        <f>_xlfn.SUMIFS(Налоги!BS$26:BS$55,Налоги!$F$26:$F$55,$F55,Налоги!$G$26:$G$55,$G55)</f>
        <v>0</v>
      </c>
      <c r="BU55" s="746">
        <f>_xlfn.SUMIFS(Налоги!BT$26:BT$55,Налоги!$F$26:$F$55,$F55,Налоги!$G$26:$G$55,$G55)</f>
        <v>0</v>
      </c>
      <c r="BV55" s="746">
        <f>_xlfn.SUMIFS(Налоги!BU$26:BU$55,Налоги!$F$26:$F$55,$F55,Налоги!$G$26:$G$55,$G55)</f>
        <v>0</v>
      </c>
      <c r="BW55" s="746">
        <f>_xlfn.SUMIFS(Налоги!BV$26:BV$55,Налоги!$F$26:$F$55,$F55,Налоги!$G$26:$G$55,$G55)</f>
        <v>0</v>
      </c>
      <c r="BX55" s="695">
        <f>IF(AI55=0,0,(BD55-AI55)/AI55*100)</f>
        <v>0</v>
      </c>
      <c r="BY55" s="695">
        <f>IF(BD55=0,0,(BE55-BD55)/BD55*100)</f>
        <v>0</v>
      </c>
      <c r="BZ55" s="695">
        <f>IF(BE55=0,0,(BF55-BE55)/BE55*100)</f>
        <v>0</v>
      </c>
      <c r="CA55" s="695">
        <f>IF(BF55=0,0,(BG55-BF55)/BF55*100)</f>
        <v>0</v>
      </c>
      <c r="CB55" s="695">
        <f>IF(BG55=0,0,(BH55-BG55)/BG55*100)</f>
        <v>0</v>
      </c>
      <c r="CC55" s="695">
        <f>IF(BH55=0,0,(BI55-BH55)/BH55*100)</f>
        <v>0</v>
      </c>
      <c r="CD55" s="695">
        <f>IF(BI55=0,0,(BJ55-BI55)/BI55*100)</f>
        <v>0</v>
      </c>
      <c r="CE55" s="695">
        <f>IF(BJ55=0,0,(BK55-BJ55)/BJ55*100)</f>
        <v>0</v>
      </c>
      <c r="CF55" s="695">
        <f>IF(BK55=0,0,(BL55-BK55)/BK55*100)</f>
        <v>0</v>
      </c>
      <c r="CG55" s="695">
        <f>IF(BL55=0,0,(BM55-BL55)/BL55*100)</f>
        <v>0</v>
      </c>
      <c r="CH55" s="695">
        <f>IF(BM55=0,0,(BN55-BM55)/BM55*100)</f>
        <v>0</v>
      </c>
      <c r="CI55" s="695">
        <f>IF(BN55=0,0,(BO55-BN55)/BN55*100)</f>
        <v>0</v>
      </c>
      <c r="CJ55" s="695">
        <f>IF(BO55=0,0,(BP55-BO55)/BO55*100)</f>
        <v>0</v>
      </c>
      <c r="CK55" s="695">
        <f>IF(BP55=0,0,(BQ55-BP55)/BP55*100)</f>
        <v>0</v>
      </c>
      <c r="CL55" s="695">
        <f>IF(BQ55=0,0,(BR55-BQ55)/BQ55*100)</f>
        <v>0</v>
      </c>
      <c r="CM55" s="695">
        <f>IF(BR55=0,0,(BS55-BR55)/BR55*100)</f>
        <v>0</v>
      </c>
      <c r="CN55" s="695">
        <f>IF(BS55=0,0,(BT55-BS55)/BS55*100)</f>
        <v>0</v>
      </c>
      <c r="CO55" s="695">
        <f>IF(BT55=0,0,(BU55-BT55)/BT55*100)</f>
        <v>0</v>
      </c>
      <c r="CP55" s="695">
        <f>IF(BU55=0,0,(BV55-BU55)/BU55*100)</f>
        <v>0</v>
      </c>
      <c r="CQ55" s="695">
        <f>IF(BV55=0,0,(BW55-BV55)/BV55*100)</f>
        <v>0</v>
      </c>
      <c r="CR55" s="1897"/>
      <c r="CS55" s="1897"/>
      <c r="CT55" s="1897"/>
      <c r="CU55" s="286"/>
      <c r="CV55" s="1659"/>
      <c r="CW55" s="489" t="s">
        <v>1640</v>
      </c>
      <c r="CX55" s="489"/>
      <c r="CY55" s="489"/>
      <c r="CZ55" s="546"/>
      <c r="DA55" s="546"/>
      <c r="DB55" s="489" t="s">
        <v>1640</v>
      </c>
      <c r="DC55" s="1506"/>
      <c r="DD55" s="1501" cm="1" t="str">
        <f t="array" ref="DD55:DD55">DD54</f>
        <v>ТЭ.42.31656254.0001</v>
      </c>
      <c r="DE55" s="1501"/>
      <c r="DF55" s="1501"/>
      <c r="DG55" s="1501" t="s">
        <v>1481</v>
      </c>
      <c r="DH55" s="1501"/>
      <c r="DI55" s="1501"/>
      <c r="DJ55" s="1501"/>
      <c r="DK55" s="1501"/>
      <c r="DL55" s="1501"/>
      <c r="DM55" s="1501" t="s">
        <v>303</v>
      </c>
      <c r="DN55" s="1501" t="s">
        <v>1641</v>
      </c>
      <c r="DO55" s="1504" t="s">
        <v>1642</v>
      </c>
    </row>
    <row s="972" customFormat="1" customHeight="1" ht="14.25">
      <c r="A56" s="972"/>
      <c r="B56" s="972"/>
      <c r="C56" s="972"/>
      <c r="D56" s="972"/>
      <c r="E56" s="180">
        <v>15</v>
      </c>
      <c r="F56" s="175" cm="1" t="str">
        <f t="array" ref="F56:F56">OFFSET(G56,-1,-1)</f>
        <v>1</v>
      </c>
      <c r="G56" s="193" t="s">
        <v>1487</v>
      </c>
      <c r="H56" s="972"/>
      <c r="I56" s="972"/>
      <c r="J56" s="972"/>
      <c r="K56" s="972"/>
      <c r="L56" s="972"/>
      <c r="M56" s="972"/>
      <c r="N56" s="972"/>
      <c r="O56" s="972"/>
      <c r="P56" s="972"/>
      <c r="Q56" s="972"/>
      <c r="R56" s="972"/>
      <c r="S56" s="972"/>
      <c r="T56" s="753">
        <f>AND(F56,OR(ISBLANK(Y56),Y56))</f>
        <v>1</v>
      </c>
      <c r="U56" s="972"/>
      <c r="V56" s="972"/>
      <c r="W56" s="972"/>
      <c r="X56" s="972"/>
      <c r="Y56" s="972"/>
      <c r="Z56" s="972"/>
      <c r="AA56" s="972"/>
      <c r="AB56" s="491" t="s">
        <v>1194</v>
      </c>
      <c r="AC56" s="505" t="s">
        <v>1643</v>
      </c>
      <c r="AD56" s="491" t="s">
        <v>917</v>
      </c>
      <c r="AE56" s="746">
        <f>_xlfn.SUMIFS(Налоги!AE$26:AE$55,Налоги!$F$26:$F$55,$F56,Налоги!$G$26:$G$55,$G56)</f>
        <v>853</v>
      </c>
      <c r="AF56" s="746">
        <f>_xlfn.SUMIFS(Налоги!AF$26:AF$55,Налоги!$F$26:$F$55,$F56,Налоги!$G$26:$G$55,$G56)</f>
        <v>1452.28</v>
      </c>
      <c r="AG56" s="746">
        <f>_xlfn.SUMIFS(Налоги!AG$26:AG$55,Налоги!$F$26:$F$55,$F56,Налоги!$G$26:$G$55,$G56)</f>
        <v>1101.46</v>
      </c>
      <c r="AH56" s="695">
        <f>AG56-AF56</f>
        <v>-350.82</v>
      </c>
      <c r="AI56" s="746">
        <f>_xlfn.SUMIFS(Налоги!AH$26:AH$55,Налоги!$F$26:$F$55,$F56,Налоги!$G$26:$G$55,$G56)</f>
        <v>1006</v>
      </c>
      <c r="AJ56" s="746">
        <f>_xlfn.SUMIFS(Налоги!AI$26:AI$55,Налоги!$F$26:$F$55,$F56,Налоги!$G$26:$G$55,$G56)</f>
        <v>1570</v>
      </c>
      <c r="AK56" s="746">
        <f>_xlfn.SUMIFS(Налоги!AJ$26:AJ$55,Налоги!$F$26:$F$55,$F56,Налоги!$G$26:$G$55,$G56)</f>
        <v>0</v>
      </c>
      <c r="AL56" s="746">
        <f>_xlfn.SUMIFS(Налоги!AK$26:AK$55,Налоги!$F$26:$F$55,$F56,Налоги!$G$26:$G$55,$G56)</f>
        <v>0</v>
      </c>
      <c r="AM56" s="746">
        <f>_xlfn.SUMIFS(Налоги!AL$26:AL$55,Налоги!$F$26:$F$55,$F56,Налоги!$G$26:$G$55,$G56)</f>
        <v>0</v>
      </c>
      <c r="AN56" s="746">
        <f>_xlfn.SUMIFS(Налоги!AM$26:AM$55,Налоги!$F$26:$F$55,$F56,Налоги!$G$26:$G$55,$G56)</f>
        <v>0</v>
      </c>
      <c r="AO56" s="746">
        <f>_xlfn.SUMIFS(Налоги!AN$26:AN$55,Налоги!$F$26:$F$55,$F56,Налоги!$G$26:$G$55,$G56)</f>
        <v>0</v>
      </c>
      <c r="AP56" s="746">
        <f>_xlfn.SUMIFS(Налоги!AO$26:AO$55,Налоги!$F$26:$F$55,$F56,Налоги!$G$26:$G$55,$G56)</f>
        <v>0</v>
      </c>
      <c r="AQ56" s="746">
        <f>_xlfn.SUMIFS(Налоги!AP$26:AP$55,Налоги!$F$26:$F$55,$F56,Налоги!$G$26:$G$55,$G56)</f>
        <v>0</v>
      </c>
      <c r="AR56" s="746">
        <f>_xlfn.SUMIFS(Налоги!AQ$26:AQ$55,Налоги!$F$26:$F$55,$F56,Налоги!$G$26:$G$55,$G56)</f>
        <v>0</v>
      </c>
      <c r="AS56" s="746">
        <f>_xlfn.SUMIFS(Налоги!AR$26:AR$55,Налоги!$F$26:$F$55,$F56,Налоги!$G$26:$G$55,$G56)</f>
        <v>0</v>
      </c>
      <c r="AT56" s="746">
        <f>_xlfn.SUMIFS(Налоги!AS$26:AS$55,Налоги!$F$26:$F$55,$F56,Налоги!$G$26:$G$55,$G56)</f>
        <v>0</v>
      </c>
      <c r="AU56" s="746">
        <f>_xlfn.SUMIFS(Налоги!AT$26:AT$55,Налоги!$F$26:$F$55,$F56,Налоги!$G$26:$G$55,$G56)</f>
        <v>0</v>
      </c>
      <c r="AV56" s="746">
        <f>_xlfn.SUMIFS(Налоги!AU$26:AU$55,Налоги!$F$26:$F$55,$F56,Налоги!$G$26:$G$55,$G56)</f>
        <v>0</v>
      </c>
      <c r="AW56" s="746">
        <f>_xlfn.SUMIFS(Налоги!AV$26:AV$55,Налоги!$F$26:$F$55,$F56,Налоги!$G$26:$G$55,$G56)</f>
        <v>0</v>
      </c>
      <c r="AX56" s="746">
        <f>_xlfn.SUMIFS(Налоги!AW$26:AW$55,Налоги!$F$26:$F$55,$F56,Налоги!$G$26:$G$55,$G56)</f>
        <v>0</v>
      </c>
      <c r="AY56" s="746">
        <f>_xlfn.SUMIFS(Налоги!AX$26:AX$55,Налоги!$F$26:$F$55,$F56,Налоги!$G$26:$G$55,$G56)</f>
        <v>0</v>
      </c>
      <c r="AZ56" s="746">
        <f>_xlfn.SUMIFS(Налоги!AY$26:AY$55,Налоги!$F$26:$F$55,$F56,Налоги!$G$26:$G$55,$G56)</f>
        <v>0</v>
      </c>
      <c r="BA56" s="746">
        <f>_xlfn.SUMIFS(Налоги!AZ$26:AZ$55,Налоги!$F$26:$F$55,$F56,Налоги!$G$26:$G$55,$G56)</f>
        <v>0</v>
      </c>
      <c r="BB56" s="746">
        <f>_xlfn.SUMIFS(Налоги!BA$26:BA$55,Налоги!$F$26:$F$55,$F56,Налоги!$G$26:$G$55,$G56)</f>
        <v>0</v>
      </c>
      <c r="BC56" s="746">
        <f>_xlfn.SUMIFS(Налоги!BB$26:BB$55,Налоги!$F$26:$F$55,$F56,Налоги!$G$26:$G$55,$G56)</f>
        <v>0</v>
      </c>
      <c r="BD56" s="746">
        <f>_xlfn.SUMIFS(Налоги!BC$26:BC$55,Налоги!$F$26:$F$55,$F56,Налоги!$G$26:$G$55,$G56)</f>
        <v>1176.29</v>
      </c>
      <c r="BE56" s="746">
        <f>_xlfn.SUMIFS(Налоги!BD$26:BD$55,Налоги!$F$26:$F$55,$F56,Налоги!$G$26:$G$55,$G56)</f>
        <v>0</v>
      </c>
      <c r="BF56" s="746">
        <f>_xlfn.SUMIFS(Налоги!BE$26:BE$55,Налоги!$F$26:$F$55,$F56,Налоги!$G$26:$G$55,$G56)</f>
        <v>0</v>
      </c>
      <c r="BG56" s="746">
        <f>_xlfn.SUMIFS(Налоги!BF$26:BF$55,Налоги!$F$26:$F$55,$F56,Налоги!$G$26:$G$55,$G56)</f>
        <v>0</v>
      </c>
      <c r="BH56" s="746">
        <f>_xlfn.SUMIFS(Налоги!BG$26:BG$55,Налоги!$F$26:$F$55,$F56,Налоги!$G$26:$G$55,$G56)</f>
        <v>0</v>
      </c>
      <c r="BI56" s="746">
        <f>_xlfn.SUMIFS(Налоги!BH$26:BH$55,Налоги!$F$26:$F$55,$F56,Налоги!$G$26:$G$55,$G56)</f>
        <v>0</v>
      </c>
      <c r="BJ56" s="746">
        <f>_xlfn.SUMIFS(Налоги!BI$26:BI$55,Налоги!$F$26:$F$55,$F56,Налоги!$G$26:$G$55,$G56)</f>
        <v>0</v>
      </c>
      <c r="BK56" s="746">
        <f>_xlfn.SUMIFS(Налоги!BJ$26:BJ$55,Налоги!$F$26:$F$55,$F56,Налоги!$G$26:$G$55,$G56)</f>
        <v>0</v>
      </c>
      <c r="BL56" s="746">
        <f>_xlfn.SUMIFS(Налоги!BK$26:BK$55,Налоги!$F$26:$F$55,$F56,Налоги!$G$26:$G$55,$G56)</f>
        <v>0</v>
      </c>
      <c r="BM56" s="746">
        <f>_xlfn.SUMIFS(Налоги!BL$26:BL$55,Налоги!$F$26:$F$55,$F56,Налоги!$G$26:$G$55,$G56)</f>
        <v>0</v>
      </c>
      <c r="BN56" s="746">
        <f>_xlfn.SUMIFS(Налоги!BM$26:BM$55,Налоги!$F$26:$F$55,$F56,Налоги!$G$26:$G$55,$G56)</f>
        <v>0</v>
      </c>
      <c r="BO56" s="746">
        <f>_xlfn.SUMIFS(Налоги!BN$26:BN$55,Налоги!$F$26:$F$55,$F56,Налоги!$G$26:$G$55,$G56)</f>
        <v>0</v>
      </c>
      <c r="BP56" s="746">
        <f>_xlfn.SUMIFS(Налоги!BO$26:BO$55,Налоги!$F$26:$F$55,$F56,Налоги!$G$26:$G$55,$G56)</f>
        <v>0</v>
      </c>
      <c r="BQ56" s="746">
        <f>_xlfn.SUMIFS(Налоги!BP$26:BP$55,Налоги!$F$26:$F$55,$F56,Налоги!$G$26:$G$55,$G56)</f>
        <v>0</v>
      </c>
      <c r="BR56" s="746">
        <f>_xlfn.SUMIFS(Налоги!BQ$26:BQ$55,Налоги!$F$26:$F$55,$F56,Налоги!$G$26:$G$55,$G56)</f>
        <v>0</v>
      </c>
      <c r="BS56" s="746">
        <f>_xlfn.SUMIFS(Налоги!BR$26:BR$55,Налоги!$F$26:$F$55,$F56,Налоги!$G$26:$G$55,$G56)</f>
        <v>0</v>
      </c>
      <c r="BT56" s="746">
        <f>_xlfn.SUMIFS(Налоги!BS$26:BS$55,Налоги!$F$26:$F$55,$F56,Налоги!$G$26:$G$55,$G56)</f>
        <v>0</v>
      </c>
      <c r="BU56" s="746">
        <f>_xlfn.SUMIFS(Налоги!BT$26:BT$55,Налоги!$F$26:$F$55,$F56,Налоги!$G$26:$G$55,$G56)</f>
        <v>0</v>
      </c>
      <c r="BV56" s="746">
        <f>_xlfn.SUMIFS(Налоги!BU$26:BU$55,Налоги!$F$26:$F$55,$F56,Налоги!$G$26:$G$55,$G56)</f>
        <v>0</v>
      </c>
      <c r="BW56" s="746">
        <f>_xlfn.SUMIFS(Налоги!BV$26:BV$55,Налоги!$F$26:$F$55,$F56,Налоги!$G$26:$G$55,$G56)</f>
        <v>0</v>
      </c>
      <c r="BX56" s="695">
        <f>IF(AI56=0,0,(BD56-AI56)/AI56*100)</f>
        <v>16.927435387674</v>
      </c>
      <c r="BY56" s="695">
        <f>IF(BD56=0,0,(BE56-BD56)/BD56*100)</f>
        <v>-100</v>
      </c>
      <c r="BZ56" s="695">
        <f>IF(BE56=0,0,(BF56-BE56)/BE56*100)</f>
        <v>0</v>
      </c>
      <c r="CA56" s="695">
        <f>IF(BF56=0,0,(BG56-BF56)/BF56*100)</f>
        <v>0</v>
      </c>
      <c r="CB56" s="695">
        <f>IF(BG56=0,0,(BH56-BG56)/BG56*100)</f>
        <v>0</v>
      </c>
      <c r="CC56" s="695">
        <f>IF(BH56=0,0,(BI56-BH56)/BH56*100)</f>
        <v>0</v>
      </c>
      <c r="CD56" s="695">
        <f>IF(BI56=0,0,(BJ56-BI56)/BI56*100)</f>
        <v>0</v>
      </c>
      <c r="CE56" s="695">
        <f>IF(BJ56=0,0,(BK56-BJ56)/BJ56*100)</f>
        <v>0</v>
      </c>
      <c r="CF56" s="695">
        <f>IF(BK56=0,0,(BL56-BK56)/BK56*100)</f>
        <v>0</v>
      </c>
      <c r="CG56" s="695">
        <f>IF(BL56=0,0,(BM56-BL56)/BL56*100)</f>
        <v>0</v>
      </c>
      <c r="CH56" s="695">
        <f>IF(BM56=0,0,(BN56-BM56)/BM56*100)</f>
        <v>0</v>
      </c>
      <c r="CI56" s="695">
        <f>IF(BN56=0,0,(BO56-BN56)/BN56*100)</f>
        <v>0</v>
      </c>
      <c r="CJ56" s="695">
        <f>IF(BO56=0,0,(BP56-BO56)/BO56*100)</f>
        <v>0</v>
      </c>
      <c r="CK56" s="695">
        <f>IF(BP56=0,0,(BQ56-BP56)/BP56*100)</f>
        <v>0</v>
      </c>
      <c r="CL56" s="695">
        <f>IF(BQ56=0,0,(BR56-BQ56)/BQ56*100)</f>
        <v>0</v>
      </c>
      <c r="CM56" s="695">
        <f>IF(BR56=0,0,(BS56-BR56)/BR56*100)</f>
        <v>0</v>
      </c>
      <c r="CN56" s="695">
        <f>IF(BS56=0,0,(BT56-BS56)/BS56*100)</f>
        <v>0</v>
      </c>
      <c r="CO56" s="695">
        <f>IF(BT56=0,0,(BU56-BT56)/BT56*100)</f>
        <v>0</v>
      </c>
      <c r="CP56" s="695">
        <f>IF(BU56=0,0,(BV56-BU56)/BU56*100)</f>
        <v>0</v>
      </c>
      <c r="CQ56" s="695">
        <f>IF(BV56=0,0,(BW56-BV56)/BV56*100)</f>
        <v>0</v>
      </c>
      <c r="CR56" s="1897"/>
      <c r="CS56" s="1897"/>
      <c r="CT56" s="1897"/>
      <c r="CU56" s="972"/>
      <c r="CV56" s="972"/>
      <c r="CW56" s="489" t="s">
        <v>1644</v>
      </c>
      <c r="CX56" s="489"/>
      <c r="CY56" s="489"/>
      <c r="CZ56" s="546"/>
      <c r="DA56" s="546"/>
      <c r="DB56" s="489" t="s">
        <v>1644</v>
      </c>
      <c r="DC56" s="972"/>
      <c r="DD56" s="1501" cm="1" t="str">
        <f t="array" ref="DD56:DD56">DD55</f>
        <v>ТЭ.42.31656254.0001</v>
      </c>
      <c r="DE56" s="1501"/>
      <c r="DF56" s="1501"/>
      <c r="DG56" s="1501" t="s">
        <v>1490</v>
      </c>
      <c r="DH56" s="1501"/>
      <c r="DI56" s="1501"/>
      <c r="DJ56" s="1501"/>
      <c r="DK56" s="1501"/>
      <c r="DL56" s="1501"/>
      <c r="DM56" s="1501" t="s">
        <v>303</v>
      </c>
      <c r="DN56" s="1501" t="s">
        <v>1645</v>
      </c>
      <c r="DO56" s="1504" t="s">
        <v>1643</v>
      </c>
    </row>
    <row s="972" customFormat="1" customHeight="1" ht="14.25">
      <c r="A57" s="972"/>
      <c r="B57" s="972"/>
      <c r="C57" s="972"/>
      <c r="D57" s="972"/>
      <c r="E57" s="180">
        <v>15</v>
      </c>
      <c r="F57" s="175" cm="1" t="str">
        <f t="array" ref="F57:F57">OFFSET(G57,-1,-1)</f>
        <v>1</v>
      </c>
      <c r="G57" s="193" t="s">
        <v>1482</v>
      </c>
      <c r="H57" s="972"/>
      <c r="I57" s="972"/>
      <c r="J57" s="972"/>
      <c r="K57" s="972"/>
      <c r="L57" s="972"/>
      <c r="M57" s="972"/>
      <c r="N57" s="972"/>
      <c r="O57" s="972"/>
      <c r="P57" s="972"/>
      <c r="Q57" s="972"/>
      <c r="R57" s="972"/>
      <c r="S57" s="972"/>
      <c r="T57" s="753">
        <f>AND(F57,OR(ISBLANK(Y57),Y57))</f>
        <v>1</v>
      </c>
      <c r="U57" s="972"/>
      <c r="V57" s="972"/>
      <c r="W57" s="972"/>
      <c r="X57" s="972"/>
      <c r="Y57" s="972"/>
      <c r="Z57" s="972"/>
      <c r="AA57" s="972"/>
      <c r="AB57" s="491" t="s">
        <v>1198</v>
      </c>
      <c r="AC57" s="505" t="s">
        <v>1646</v>
      </c>
      <c r="AD57" s="491" t="s">
        <v>917</v>
      </c>
      <c r="AE57" s="2356">
        <f>_xlfn.SUMIFS(Налоги!AE$26:AE$55,Налоги!$F$26:$F$55,$F57,Налоги!$G$26:$G$55,$G57)</f>
        <v>88</v>
      </c>
      <c r="AF57" s="2356">
        <f>_xlfn.SUMIFS(Налоги!AF$26:AF$55,Налоги!$F$26:$F$55,$F57,Налоги!$G$26:$G$55,$G57)</f>
        <v>87.78</v>
      </c>
      <c r="AG57" s="2356">
        <f>_xlfn.SUMIFS(Налоги!AG$26:AG$55,Налоги!$F$26:$F$55,$F57,Налоги!$G$26:$G$55,$G57)</f>
        <v>87.78</v>
      </c>
      <c r="AH57" s="695">
        <f>AG57-AF57</f>
        <v>0</v>
      </c>
      <c r="AI57" s="2356">
        <f>_xlfn.SUMIFS(Налоги!AH$26:AH$55,Налоги!$F$26:$F$55,$F57,Налоги!$G$26:$G$55,$G57)</f>
        <v>83</v>
      </c>
      <c r="AJ57" s="749">
        <f>_xlfn.SUMIFS(Налоги!AI$26:AI$55,Налоги!$F$26:$F$55,$F57,Налоги!$G$26:$G$55,$G57)</f>
        <v>77</v>
      </c>
      <c r="AK57" s="2356">
        <f>_xlfn.SUMIFS(Налоги!AJ$26:AJ$55,Налоги!$F$26:$F$55,$F57,Налоги!$G$26:$G$55,$G57)</f>
        <v>0</v>
      </c>
      <c r="AL57" s="2356">
        <f>_xlfn.SUMIFS(Налоги!AK$26:AK$55,Налоги!$F$26:$F$55,$F57,Налоги!$G$26:$G$55,$G57)</f>
        <v>0</v>
      </c>
      <c r="AM57" s="2356">
        <f>_xlfn.SUMIFS(Налоги!AL$26:AL$55,Налоги!$F$26:$F$55,$F57,Налоги!$G$26:$G$55,$G57)</f>
        <v>0</v>
      </c>
      <c r="AN57" s="2356">
        <f>_xlfn.SUMIFS(Налоги!AM$26:AM$55,Налоги!$F$26:$F$55,$F57,Налоги!$G$26:$G$55,$G57)</f>
        <v>0</v>
      </c>
      <c r="AO57" s="2356">
        <f>_xlfn.SUMIFS(Налоги!AN$26:AN$55,Налоги!$F$26:$F$55,$F57,Налоги!$G$26:$G$55,$G57)</f>
        <v>0</v>
      </c>
      <c r="AP57" s="2356">
        <f>_xlfn.SUMIFS(Налоги!AO$26:AO$55,Налоги!$F$26:$F$55,$F57,Налоги!$G$26:$G$55,$G57)</f>
        <v>0</v>
      </c>
      <c r="AQ57" s="2356">
        <f>_xlfn.SUMIFS(Налоги!AP$26:AP$55,Налоги!$F$26:$F$55,$F57,Налоги!$G$26:$G$55,$G57)</f>
        <v>0</v>
      </c>
      <c r="AR57" s="2356">
        <f>_xlfn.SUMIFS(Налоги!AQ$26:AQ$55,Налоги!$F$26:$F$55,$F57,Налоги!$G$26:$G$55,$G57)</f>
        <v>0</v>
      </c>
      <c r="AS57" s="2356">
        <f>_xlfn.SUMIFS(Налоги!AR$26:AR$55,Налоги!$F$26:$F$55,$F57,Налоги!$G$26:$G$55,$G57)</f>
        <v>0</v>
      </c>
      <c r="AT57" s="2356">
        <f>_xlfn.SUMIFS(Налоги!AS$26:AS$55,Налоги!$F$26:$F$55,$F57,Налоги!$G$26:$G$55,$G57)</f>
        <v>0</v>
      </c>
      <c r="AU57" s="2356">
        <f>_xlfn.SUMIFS(Налоги!AT$26:AT$55,Налоги!$F$26:$F$55,$F57,Налоги!$G$26:$G$55,$G57)</f>
        <v>0</v>
      </c>
      <c r="AV57" s="2356">
        <f>_xlfn.SUMIFS(Налоги!AU$26:AU$55,Налоги!$F$26:$F$55,$F57,Налоги!$G$26:$G$55,$G57)</f>
        <v>0</v>
      </c>
      <c r="AW57" s="2356">
        <f>_xlfn.SUMIFS(Налоги!AV$26:AV$55,Налоги!$F$26:$F$55,$F57,Налоги!$G$26:$G$55,$G57)</f>
        <v>0</v>
      </c>
      <c r="AX57" s="2356">
        <f>_xlfn.SUMIFS(Налоги!AW$26:AW$55,Налоги!$F$26:$F$55,$F57,Налоги!$G$26:$G$55,$G57)</f>
        <v>0</v>
      </c>
      <c r="AY57" s="2356">
        <f>_xlfn.SUMIFS(Налоги!AX$26:AX$55,Налоги!$F$26:$F$55,$F57,Налоги!$G$26:$G$55,$G57)</f>
        <v>0</v>
      </c>
      <c r="AZ57" s="2356">
        <f>_xlfn.SUMIFS(Налоги!AY$26:AY$55,Налоги!$F$26:$F$55,$F57,Налоги!$G$26:$G$55,$G57)</f>
        <v>0</v>
      </c>
      <c r="BA57" s="2356">
        <f>_xlfn.SUMIFS(Налоги!AZ$26:AZ$55,Налоги!$F$26:$F$55,$F57,Налоги!$G$26:$G$55,$G57)</f>
        <v>0</v>
      </c>
      <c r="BB57" s="2356">
        <f>_xlfn.SUMIFS(Налоги!BA$26:BA$55,Налоги!$F$26:$F$55,$F57,Налоги!$G$26:$G$55,$G57)</f>
        <v>0</v>
      </c>
      <c r="BC57" s="2356">
        <f>_xlfn.SUMIFS(Налоги!BB$26:BB$55,Налоги!$F$26:$F$55,$F57,Налоги!$G$26:$G$55,$G57)</f>
        <v>0</v>
      </c>
      <c r="BD57" s="749">
        <f>_xlfn.SUMIFS(Налоги!BC$26:BC$55,Налоги!$F$26:$F$55,$F57,Налоги!$G$26:$G$55,$G57)</f>
        <v>77</v>
      </c>
      <c r="BE57" s="2356">
        <f>_xlfn.SUMIFS(Налоги!BD$26:BD$55,Налоги!$F$26:$F$55,$F57,Налоги!$G$26:$G$55,$G57)</f>
        <v>0</v>
      </c>
      <c r="BF57" s="2356">
        <f>_xlfn.SUMIFS(Налоги!BE$26:BE$55,Налоги!$F$26:$F$55,$F57,Налоги!$G$26:$G$55,$G57)</f>
        <v>0</v>
      </c>
      <c r="BG57" s="2356">
        <f>_xlfn.SUMIFS(Налоги!BF$26:BF$55,Налоги!$F$26:$F$55,$F57,Налоги!$G$26:$G$55,$G57)</f>
        <v>0</v>
      </c>
      <c r="BH57" s="2356">
        <f>_xlfn.SUMIFS(Налоги!BG$26:BG$55,Налоги!$F$26:$F$55,$F57,Налоги!$G$26:$G$55,$G57)</f>
        <v>0</v>
      </c>
      <c r="BI57" s="2356">
        <f>_xlfn.SUMIFS(Налоги!BH$26:BH$55,Налоги!$F$26:$F$55,$F57,Налоги!$G$26:$G$55,$G57)</f>
        <v>0</v>
      </c>
      <c r="BJ57" s="2356">
        <f>_xlfn.SUMIFS(Налоги!BI$26:BI$55,Налоги!$F$26:$F$55,$F57,Налоги!$G$26:$G$55,$G57)</f>
        <v>0</v>
      </c>
      <c r="BK57" s="2356">
        <f>_xlfn.SUMIFS(Налоги!BJ$26:BJ$55,Налоги!$F$26:$F$55,$F57,Налоги!$G$26:$G$55,$G57)</f>
        <v>0</v>
      </c>
      <c r="BL57" s="2356">
        <f>_xlfn.SUMIFS(Налоги!BK$26:BK$55,Налоги!$F$26:$F$55,$F57,Налоги!$G$26:$G$55,$G57)</f>
        <v>0</v>
      </c>
      <c r="BM57" s="2356">
        <f>_xlfn.SUMIFS(Налоги!BL$26:BL$55,Налоги!$F$26:$F$55,$F57,Налоги!$G$26:$G$55,$G57)</f>
        <v>0</v>
      </c>
      <c r="BN57" s="2356">
        <f>_xlfn.SUMIFS(Налоги!BM$26:BM$55,Налоги!$F$26:$F$55,$F57,Налоги!$G$26:$G$55,$G57)</f>
        <v>0</v>
      </c>
      <c r="BO57" s="2356">
        <f>_xlfn.SUMIFS(Налоги!BN$26:BN$55,Налоги!$F$26:$F$55,$F57,Налоги!$G$26:$G$55,$G57)</f>
        <v>0</v>
      </c>
      <c r="BP57" s="2356">
        <f>_xlfn.SUMIFS(Налоги!BO$26:BO$55,Налоги!$F$26:$F$55,$F57,Налоги!$G$26:$G$55,$G57)</f>
        <v>0</v>
      </c>
      <c r="BQ57" s="2356">
        <f>_xlfn.SUMIFS(Налоги!BP$26:BP$55,Налоги!$F$26:$F$55,$F57,Налоги!$G$26:$G$55,$G57)</f>
        <v>0</v>
      </c>
      <c r="BR57" s="2356">
        <f>_xlfn.SUMIFS(Налоги!BQ$26:BQ$55,Налоги!$F$26:$F$55,$F57,Налоги!$G$26:$G$55,$G57)</f>
        <v>0</v>
      </c>
      <c r="BS57" s="2356">
        <f>_xlfn.SUMIFS(Налоги!BR$26:BR$55,Налоги!$F$26:$F$55,$F57,Налоги!$G$26:$G$55,$G57)</f>
        <v>0</v>
      </c>
      <c r="BT57" s="2356">
        <f>_xlfn.SUMIFS(Налоги!BS$26:BS$55,Налоги!$F$26:$F$55,$F57,Налоги!$G$26:$G$55,$G57)</f>
        <v>0</v>
      </c>
      <c r="BU57" s="2356">
        <f>_xlfn.SUMIFS(Налоги!BT$26:BT$55,Налоги!$F$26:$F$55,$F57,Налоги!$G$26:$G$55,$G57)</f>
        <v>0</v>
      </c>
      <c r="BV57" s="2356">
        <f>_xlfn.SUMIFS(Налоги!BU$26:BU$55,Налоги!$F$26:$F$55,$F57,Налоги!$G$26:$G$55,$G57)</f>
        <v>0</v>
      </c>
      <c r="BW57" s="2356">
        <f>_xlfn.SUMIFS(Налоги!BV$26:BV$55,Налоги!$F$26:$F$55,$F57,Налоги!$G$26:$G$55,$G57)</f>
        <v>0</v>
      </c>
      <c r="BX57" s="695">
        <f>IF(AI57=0,0,(BD57-AI57)/AI57*100)</f>
        <v>-7.2289156626506</v>
      </c>
      <c r="BY57" s="695">
        <f>IF(BD57=0,0,(BE57-BD57)/BD57*100)</f>
        <v>-100</v>
      </c>
      <c r="BZ57" s="695">
        <f>IF(BE57=0,0,(BF57-BE57)/BE57*100)</f>
        <v>0</v>
      </c>
      <c r="CA57" s="695">
        <f>IF(BF57=0,0,(BG57-BF57)/BF57*100)</f>
        <v>0</v>
      </c>
      <c r="CB57" s="695">
        <f>IF(BG57=0,0,(BH57-BG57)/BG57*100)</f>
        <v>0</v>
      </c>
      <c r="CC57" s="695">
        <f>IF(BH57=0,0,(BI57-BH57)/BH57*100)</f>
        <v>0</v>
      </c>
      <c r="CD57" s="695">
        <f>IF(BI57=0,0,(BJ57-BI57)/BI57*100)</f>
        <v>0</v>
      </c>
      <c r="CE57" s="695">
        <f>IF(BJ57=0,0,(BK57-BJ57)/BJ57*100)</f>
        <v>0</v>
      </c>
      <c r="CF57" s="695">
        <f>IF(BK57=0,0,(BL57-BK57)/BK57*100)</f>
        <v>0</v>
      </c>
      <c r="CG57" s="695">
        <f>IF(BL57=0,0,(BM57-BL57)/BL57*100)</f>
        <v>0</v>
      </c>
      <c r="CH57" s="695">
        <f>IF(BM57=0,0,(BN57-BM57)/BM57*100)</f>
        <v>0</v>
      </c>
      <c r="CI57" s="695">
        <f>IF(BN57=0,0,(BO57-BN57)/BN57*100)</f>
        <v>0</v>
      </c>
      <c r="CJ57" s="695">
        <f>IF(BO57=0,0,(BP57-BO57)/BO57*100)</f>
        <v>0</v>
      </c>
      <c r="CK57" s="695">
        <f>IF(BP57=0,0,(BQ57-BP57)/BP57*100)</f>
        <v>0</v>
      </c>
      <c r="CL57" s="695">
        <f>IF(BQ57=0,0,(BR57-BQ57)/BQ57*100)</f>
        <v>0</v>
      </c>
      <c r="CM57" s="695">
        <f>IF(BR57=0,0,(BS57-BR57)/BR57*100)</f>
        <v>0</v>
      </c>
      <c r="CN57" s="695">
        <f>IF(BS57=0,0,(BT57-BS57)/BS57*100)</f>
        <v>0</v>
      </c>
      <c r="CO57" s="695">
        <f>IF(BT57=0,0,(BU57-BT57)/BT57*100)</f>
        <v>0</v>
      </c>
      <c r="CP57" s="695">
        <f>IF(BU57=0,0,(BV57-BU57)/BU57*100)</f>
        <v>0</v>
      </c>
      <c r="CQ57" s="695">
        <f>IF(BV57=0,0,(BW57-BV57)/BV57*100)</f>
        <v>0</v>
      </c>
      <c r="CR57" s="1897"/>
      <c r="CS57" s="1897"/>
      <c r="CT57" s="1897"/>
      <c r="CU57" s="972"/>
      <c r="CV57" s="972"/>
      <c r="CW57" s="489" t="s">
        <v>1509</v>
      </c>
      <c r="CX57" s="489"/>
      <c r="CY57" s="489"/>
      <c r="CZ57" s="546"/>
      <c r="DA57" s="546"/>
      <c r="DB57" s="489" t="s">
        <v>1509</v>
      </c>
      <c r="DC57" s="972"/>
      <c r="DD57" s="1501" cm="1" t="str">
        <f t="array" ref="DD57:DD57">DD56</f>
        <v>ТЭ.42.31656254.0001</v>
      </c>
      <c r="DE57" s="1501"/>
      <c r="DF57" s="1501"/>
      <c r="DG57" s="1501" t="s">
        <v>1404</v>
      </c>
      <c r="DH57" s="1501"/>
      <c r="DI57" s="1501"/>
      <c r="DJ57" s="1501"/>
      <c r="DK57" s="1501"/>
      <c r="DL57" s="1501"/>
      <c r="DM57" s="1501" t="s">
        <v>303</v>
      </c>
      <c r="DN57" s="1501" t="s">
        <v>1044</v>
      </c>
      <c r="DO57" s="1504" t="s">
        <v>1045</v>
      </c>
    </row>
    <row s="1751" customFormat="1" customHeight="1" ht="14.25">
      <c r="A58" s="371"/>
      <c r="B58" s="1548"/>
      <c r="C58" s="1548"/>
      <c r="D58" s="1548"/>
      <c r="E58" s="180">
        <v>15</v>
      </c>
      <c r="F58" s="175" cm="1" t="str">
        <f t="array" ref="F58:F58">OFFSET(G58,-1,-1)</f>
        <v>1</v>
      </c>
      <c r="G58" s="1659"/>
      <c r="H58" s="1659"/>
      <c r="I58" s="1659"/>
      <c r="J58" s="1659"/>
      <c r="K58" s="1659"/>
      <c r="L58" s="1659"/>
      <c r="M58" s="1659"/>
      <c r="N58" s="1659"/>
      <c r="O58" s="1659"/>
      <c r="P58" s="1659"/>
      <c r="Q58" s="1659"/>
      <c r="R58" s="1659"/>
      <c r="S58" s="1659"/>
      <c r="T58" s="753">
        <f>AND(F58,OR(ISBLANK(Y58),Y58))</f>
        <v>1</v>
      </c>
      <c r="U58" s="1548"/>
      <c r="V58" s="1548"/>
      <c r="W58" s="1548"/>
      <c r="X58" s="1548"/>
      <c r="Y58" s="1548"/>
      <c r="Z58" s="1548"/>
      <c r="AA58" s="286"/>
      <c r="AB58" s="491">
        <v>1.5</v>
      </c>
      <c r="AC58" s="505" t="s">
        <v>1647</v>
      </c>
      <c r="AD58" s="491" t="s">
        <v>917</v>
      </c>
      <c r="AE58" s="2356"/>
      <c r="AF58" s="2356"/>
      <c r="AG58" s="2356"/>
      <c r="AH58" s="695">
        <f>AG58-AF58</f>
        <v>0</v>
      </c>
      <c r="AI58" s="2356"/>
      <c r="AJ58" s="749"/>
      <c r="AK58" s="2356"/>
      <c r="AL58" s="2356"/>
      <c r="AM58" s="2356"/>
      <c r="AN58" s="2356"/>
      <c r="AO58" s="2356"/>
      <c r="AP58" s="2356"/>
      <c r="AQ58" s="2356"/>
      <c r="AR58" s="2356"/>
      <c r="AS58" s="2356"/>
      <c r="AT58" s="2356"/>
      <c r="AU58" s="2356"/>
      <c r="AV58" s="2356"/>
      <c r="AW58" s="2356"/>
      <c r="AX58" s="2356"/>
      <c r="AY58" s="2356"/>
      <c r="AZ58" s="2356"/>
      <c r="BA58" s="2356"/>
      <c r="BB58" s="2356"/>
      <c r="BC58" s="2356"/>
      <c r="BD58" s="749"/>
      <c r="BE58" s="2356"/>
      <c r="BF58" s="2356"/>
      <c r="BG58" s="2356"/>
      <c r="BH58" s="2356"/>
      <c r="BI58" s="2356"/>
      <c r="BJ58" s="2356"/>
      <c r="BK58" s="2356"/>
      <c r="BL58" s="2356"/>
      <c r="BM58" s="2356"/>
      <c r="BN58" s="2356"/>
      <c r="BO58" s="2356"/>
      <c r="BP58" s="2356"/>
      <c r="BQ58" s="2356"/>
      <c r="BR58" s="2356"/>
      <c r="BS58" s="2356"/>
      <c r="BT58" s="2356"/>
      <c r="BU58" s="2356"/>
      <c r="BV58" s="2356"/>
      <c r="BW58" s="2356"/>
      <c r="BX58" s="695">
        <f>IF(AI58=0,0,(BD58-AI58)/AI58*100)</f>
        <v>0</v>
      </c>
      <c r="BY58" s="695">
        <f>IF(BD58=0,0,(BE58-BD58)/BD58*100)</f>
        <v>0</v>
      </c>
      <c r="BZ58" s="695">
        <f>IF(BE58=0,0,(BF58-BE58)/BE58*100)</f>
        <v>0</v>
      </c>
      <c r="CA58" s="695">
        <f>IF(BF58=0,0,(BG58-BF58)/BF58*100)</f>
        <v>0</v>
      </c>
      <c r="CB58" s="695">
        <f>IF(BG58=0,0,(BH58-BG58)/BG58*100)</f>
        <v>0</v>
      </c>
      <c r="CC58" s="695">
        <f>IF(BH58=0,0,(BI58-BH58)/BH58*100)</f>
        <v>0</v>
      </c>
      <c r="CD58" s="695">
        <f>IF(BI58=0,0,(BJ58-BI58)/BI58*100)</f>
        <v>0</v>
      </c>
      <c r="CE58" s="695">
        <f>IF(BJ58=0,0,(BK58-BJ58)/BJ58*100)</f>
        <v>0</v>
      </c>
      <c r="CF58" s="695">
        <f>IF(BK58=0,0,(BL58-BK58)/BK58*100)</f>
        <v>0</v>
      </c>
      <c r="CG58" s="695">
        <f>IF(BL58=0,0,(BM58-BL58)/BL58*100)</f>
        <v>0</v>
      </c>
      <c r="CH58" s="695">
        <f>IF(BM58=0,0,(BN58-BM58)/BM58*100)</f>
        <v>0</v>
      </c>
      <c r="CI58" s="695">
        <f>IF(BN58=0,0,(BO58-BN58)/BN58*100)</f>
        <v>0</v>
      </c>
      <c r="CJ58" s="695">
        <f>IF(BO58=0,0,(BP58-BO58)/BO58*100)</f>
        <v>0</v>
      </c>
      <c r="CK58" s="695">
        <f>IF(BP58=0,0,(BQ58-BP58)/BP58*100)</f>
        <v>0</v>
      </c>
      <c r="CL58" s="695">
        <f>IF(BQ58=0,0,(BR58-BQ58)/BQ58*100)</f>
        <v>0</v>
      </c>
      <c r="CM58" s="695">
        <f>IF(BR58=0,0,(BS58-BR58)/BR58*100)</f>
        <v>0</v>
      </c>
      <c r="CN58" s="695">
        <f>IF(BS58=0,0,(BT58-BS58)/BS58*100)</f>
        <v>0</v>
      </c>
      <c r="CO58" s="695">
        <f>IF(BT58=0,0,(BU58-BT58)/BT58*100)</f>
        <v>0</v>
      </c>
      <c r="CP58" s="695">
        <f>IF(BU58=0,0,(BV58-BU58)/BU58*100)</f>
        <v>0</v>
      </c>
      <c r="CQ58" s="695">
        <f>IF(BV58=0,0,(BW58-BV58)/BV58*100)</f>
        <v>0</v>
      </c>
      <c r="CR58" s="1897"/>
      <c r="CS58" s="1897"/>
      <c r="CT58" s="1897"/>
      <c r="CU58" s="286"/>
      <c r="CV58" s="1659"/>
      <c r="CW58" s="489" t="s">
        <v>1648</v>
      </c>
      <c r="CX58" s="489"/>
      <c r="CY58" s="489"/>
      <c r="CZ58" s="546"/>
      <c r="DA58" s="546"/>
      <c r="DB58" s="489" t="s">
        <v>1648</v>
      </c>
      <c r="DC58" s="1506"/>
      <c r="DD58" s="1501" cm="1" t="str">
        <f t="array" ref="DD58:DD58">DD57</f>
        <v>ТЭ.42.31656254.0001</v>
      </c>
      <c r="DE58" s="1501"/>
      <c r="DF58" s="1501"/>
      <c r="DG58" s="1501" t="s">
        <v>1649</v>
      </c>
      <c r="DH58" s="1501"/>
      <c r="DI58" s="1501"/>
      <c r="DJ58" s="1501"/>
      <c r="DK58" s="1501" t="s">
        <v>219</v>
      </c>
      <c r="DL58" s="1501"/>
      <c r="DM58" s="1501" t="s">
        <v>303</v>
      </c>
      <c r="DN58" s="1501" t="s">
        <v>1650</v>
      </c>
      <c r="DO58" s="1504" t="s">
        <v>1651</v>
      </c>
    </row>
    <row s="1751" customFormat="1" customHeight="1" ht="14.25">
      <c r="A59" s="371"/>
      <c r="B59" s="1548"/>
      <c r="C59" s="1548"/>
      <c r="D59" s="1548"/>
      <c r="E59" s="180">
        <v>15</v>
      </c>
      <c r="F59" s="175" cm="1" t="str">
        <f t="array" ref="F59:F59">OFFSET(G59,-1,-1)</f>
        <v>1</v>
      </c>
      <c r="G59" s="1659"/>
      <c r="H59" s="1659"/>
      <c r="I59" s="1659"/>
      <c r="J59" s="1659"/>
      <c r="K59" s="1659"/>
      <c r="L59" s="1659"/>
      <c r="M59" s="1659"/>
      <c r="N59" s="1659"/>
      <c r="O59" s="1659"/>
      <c r="P59" s="1659"/>
      <c r="Q59" s="1659"/>
      <c r="R59" s="1659"/>
      <c r="S59" s="1659"/>
      <c r="T59" s="753">
        <f>AND(F59,OR(ISBLANK(Y59),Y59))</f>
        <v>1</v>
      </c>
      <c r="U59" s="1548"/>
      <c r="V59" s="1548"/>
      <c r="W59" s="1548"/>
      <c r="X59" s="1548"/>
      <c r="Y59" s="1548"/>
      <c r="Z59" s="1548"/>
      <c r="AA59" s="286"/>
      <c r="AB59" s="491" t="s">
        <v>1652</v>
      </c>
      <c r="AC59" s="519" t="s">
        <v>1653</v>
      </c>
      <c r="AD59" s="491" t="s">
        <v>495</v>
      </c>
      <c r="AE59" s="2344"/>
      <c r="AF59" s="2344"/>
      <c r="AG59" s="2344"/>
      <c r="AH59" s="695">
        <f>AG59-AF59</f>
        <v>0</v>
      </c>
      <c r="AI59" s="2344"/>
      <c r="AJ59" s="716"/>
      <c r="AK59" s="2344"/>
      <c r="AL59" s="2344"/>
      <c r="AM59" s="2344"/>
      <c r="AN59" s="2344"/>
      <c r="AO59" s="2344"/>
      <c r="AP59" s="2344"/>
      <c r="AQ59" s="2344"/>
      <c r="AR59" s="2344"/>
      <c r="AS59" s="2344"/>
      <c r="AT59" s="2344"/>
      <c r="AU59" s="2344"/>
      <c r="AV59" s="2344"/>
      <c r="AW59" s="2344"/>
      <c r="AX59" s="2344"/>
      <c r="AY59" s="2344"/>
      <c r="AZ59" s="2344"/>
      <c r="BA59" s="2344"/>
      <c r="BB59" s="2344"/>
      <c r="BC59" s="2344"/>
      <c r="BD59" s="716"/>
      <c r="BE59" s="2344"/>
      <c r="BF59" s="2344"/>
      <c r="BG59" s="2344"/>
      <c r="BH59" s="2344"/>
      <c r="BI59" s="2344"/>
      <c r="BJ59" s="2344"/>
      <c r="BK59" s="2344"/>
      <c r="BL59" s="2344"/>
      <c r="BM59" s="2344"/>
      <c r="BN59" s="2344"/>
      <c r="BO59" s="2344"/>
      <c r="BP59" s="2344"/>
      <c r="BQ59" s="2344"/>
      <c r="BR59" s="2344"/>
      <c r="BS59" s="2344"/>
      <c r="BT59" s="2344"/>
      <c r="BU59" s="2344"/>
      <c r="BV59" s="2344"/>
      <c r="BW59" s="2344"/>
      <c r="BX59" s="695">
        <f>IF(AI59=0,0,(BD59-AI59)/AI59*100)</f>
        <v>0</v>
      </c>
      <c r="BY59" s="695">
        <f>IF(BD59=0,0,(BE59-BD59)/BD59*100)</f>
        <v>0</v>
      </c>
      <c r="BZ59" s="695">
        <f>IF(BE59=0,0,(BF59-BE59)/BE59*100)</f>
        <v>0</v>
      </c>
      <c r="CA59" s="695">
        <f>IF(BF59=0,0,(BG59-BF59)/BF59*100)</f>
        <v>0</v>
      </c>
      <c r="CB59" s="695">
        <f>IF(BG59=0,0,(BH59-BG59)/BG59*100)</f>
        <v>0</v>
      </c>
      <c r="CC59" s="695">
        <f>IF(BH59=0,0,(BI59-BH59)/BH59*100)</f>
        <v>0</v>
      </c>
      <c r="CD59" s="695">
        <f>IF(BI59=0,0,(BJ59-BI59)/BI59*100)</f>
        <v>0</v>
      </c>
      <c r="CE59" s="695">
        <f>IF(BJ59=0,0,(BK59-BJ59)/BJ59*100)</f>
        <v>0</v>
      </c>
      <c r="CF59" s="695">
        <f>IF(BK59=0,0,(BL59-BK59)/BK59*100)</f>
        <v>0</v>
      </c>
      <c r="CG59" s="695">
        <f>IF(BL59=0,0,(BM59-BL59)/BL59*100)</f>
        <v>0</v>
      </c>
      <c r="CH59" s="695">
        <f>IF(BM59=0,0,(BN59-BM59)/BM59*100)</f>
        <v>0</v>
      </c>
      <c r="CI59" s="695">
        <f>IF(BN59=0,0,(BO59-BN59)/BN59*100)</f>
        <v>0</v>
      </c>
      <c r="CJ59" s="695">
        <f>IF(BO59=0,0,(BP59-BO59)/BO59*100)</f>
        <v>0</v>
      </c>
      <c r="CK59" s="695">
        <f>IF(BP59=0,0,(BQ59-BP59)/BP59*100)</f>
        <v>0</v>
      </c>
      <c r="CL59" s="695">
        <f>IF(BQ59=0,0,(BR59-BQ59)/BQ59*100)</f>
        <v>0</v>
      </c>
      <c r="CM59" s="695">
        <f>IF(BR59=0,0,(BS59-BR59)/BR59*100)</f>
        <v>0</v>
      </c>
      <c r="CN59" s="695">
        <f>IF(BS59=0,0,(BT59-BS59)/BS59*100)</f>
        <v>0</v>
      </c>
      <c r="CO59" s="695">
        <f>IF(BT59=0,0,(BU59-BT59)/BT59*100)</f>
        <v>0</v>
      </c>
      <c r="CP59" s="695">
        <f>IF(BU59=0,0,(BV59-BU59)/BU59*100)</f>
        <v>0</v>
      </c>
      <c r="CQ59" s="695">
        <f>IF(BV59=0,0,(BW59-BV59)/BV59*100)</f>
        <v>0</v>
      </c>
      <c r="CR59" s="1897"/>
      <c r="CS59" s="1897"/>
      <c r="CT59" s="1897"/>
      <c r="CU59" s="286"/>
      <c r="CV59" s="1659"/>
      <c r="CW59" s="489" t="s">
        <v>1654</v>
      </c>
      <c r="CX59" s="489"/>
      <c r="CY59" s="489"/>
      <c r="CZ59" s="546"/>
      <c r="DA59" s="546"/>
      <c r="DB59" s="489" t="s">
        <v>1654</v>
      </c>
      <c r="DC59" s="1506"/>
      <c r="DD59" s="1501" cm="1" t="str">
        <f t="array" ref="DD59:DD59">DD58</f>
        <v>ТЭ.42.31656254.0001</v>
      </c>
      <c r="DE59" s="1501"/>
      <c r="DF59" s="1501"/>
      <c r="DG59" s="1501" t="s">
        <v>1649</v>
      </c>
      <c r="DH59" s="1501"/>
      <c r="DI59" s="1501"/>
      <c r="DJ59" s="1501"/>
      <c r="DK59" s="1501" t="s">
        <v>255</v>
      </c>
      <c r="DL59" s="1501"/>
      <c r="DM59" s="1501" t="s">
        <v>303</v>
      </c>
      <c r="DN59" s="1501" t="s">
        <v>1655</v>
      </c>
      <c r="DO59" s="1504" t="s">
        <v>1656</v>
      </c>
    </row>
    <row s="1751" customFormat="1" customHeight="1" ht="14.25">
      <c r="A60" s="371"/>
      <c r="B60" s="1548"/>
      <c r="C60" s="1548"/>
      <c r="D60" s="1548"/>
      <c r="E60" s="180">
        <v>15</v>
      </c>
      <c r="F60" s="175" cm="1" t="str">
        <f t="array" ref="F60:F60">OFFSET(G60,-1,-1)</f>
        <v>1</v>
      </c>
      <c r="G60" s="1659"/>
      <c r="H60" s="1659"/>
      <c r="I60" s="1659"/>
      <c r="J60" s="1659"/>
      <c r="K60" s="1659"/>
      <c r="L60" s="1659"/>
      <c r="M60" s="1659"/>
      <c r="N60" s="1659"/>
      <c r="O60" s="1659"/>
      <c r="P60" s="1659"/>
      <c r="Q60" s="1659"/>
      <c r="R60" s="1659"/>
      <c r="S60" s="1659"/>
      <c r="T60" s="753">
        <f>AND(F60,OR(ISBLANK(Y60),Y60))</f>
        <v>1</v>
      </c>
      <c r="U60" s="1548"/>
      <c r="V60" s="1548"/>
      <c r="W60" s="1548"/>
      <c r="X60" s="1548"/>
      <c r="Y60" s="1548"/>
      <c r="Z60" s="1548"/>
      <c r="AA60" s="286"/>
      <c r="AB60" s="491">
        <v>1.6</v>
      </c>
      <c r="AC60" s="505" t="s">
        <v>1657</v>
      </c>
      <c r="AD60" s="491" t="s">
        <v>917</v>
      </c>
      <c r="AE60" s="2356"/>
      <c r="AF60" s="2356"/>
      <c r="AG60" s="2356"/>
      <c r="AH60" s="695">
        <f>AG60-AF60</f>
        <v>0</v>
      </c>
      <c r="AI60" s="2356"/>
      <c r="AJ60" s="749"/>
      <c r="AK60" s="2356"/>
      <c r="AL60" s="2356"/>
      <c r="AM60" s="2356"/>
      <c r="AN60" s="2356"/>
      <c r="AO60" s="2356"/>
      <c r="AP60" s="2356"/>
      <c r="AQ60" s="2356"/>
      <c r="AR60" s="2356"/>
      <c r="AS60" s="2356"/>
      <c r="AT60" s="2356"/>
      <c r="AU60" s="2356"/>
      <c r="AV60" s="2356"/>
      <c r="AW60" s="2356"/>
      <c r="AX60" s="2356"/>
      <c r="AY60" s="2356"/>
      <c r="AZ60" s="2356"/>
      <c r="BA60" s="2356"/>
      <c r="BB60" s="2356"/>
      <c r="BC60" s="2356"/>
      <c r="BD60" s="749"/>
      <c r="BE60" s="2356"/>
      <c r="BF60" s="2356"/>
      <c r="BG60" s="2356"/>
      <c r="BH60" s="2356"/>
      <c r="BI60" s="2356"/>
      <c r="BJ60" s="2356"/>
      <c r="BK60" s="2356"/>
      <c r="BL60" s="2356"/>
      <c r="BM60" s="2356"/>
      <c r="BN60" s="2356"/>
      <c r="BO60" s="2356"/>
      <c r="BP60" s="2356"/>
      <c r="BQ60" s="2356"/>
      <c r="BR60" s="2356"/>
      <c r="BS60" s="2356"/>
      <c r="BT60" s="2356"/>
      <c r="BU60" s="2356"/>
      <c r="BV60" s="2356"/>
      <c r="BW60" s="2356"/>
      <c r="BX60" s="695">
        <f>IF(AI60=0,0,(BD60-AI60)/AI60*100)</f>
        <v>0</v>
      </c>
      <c r="BY60" s="695">
        <f>IF(BD60=0,0,(BE60-BD60)/BD60*100)</f>
        <v>0</v>
      </c>
      <c r="BZ60" s="695">
        <f>IF(BE60=0,0,(BF60-BE60)/BE60*100)</f>
        <v>0</v>
      </c>
      <c r="CA60" s="695">
        <f>IF(BF60=0,0,(BG60-BF60)/BF60*100)</f>
        <v>0</v>
      </c>
      <c r="CB60" s="695">
        <f>IF(BG60=0,0,(BH60-BG60)/BG60*100)</f>
        <v>0</v>
      </c>
      <c r="CC60" s="695">
        <f>IF(BH60=0,0,(BI60-BH60)/BH60*100)</f>
        <v>0</v>
      </c>
      <c r="CD60" s="695">
        <f>IF(BI60=0,0,(BJ60-BI60)/BI60*100)</f>
        <v>0</v>
      </c>
      <c r="CE60" s="695">
        <f>IF(BJ60=0,0,(BK60-BJ60)/BJ60*100)</f>
        <v>0</v>
      </c>
      <c r="CF60" s="695">
        <f>IF(BK60=0,0,(BL60-BK60)/BK60*100)</f>
        <v>0</v>
      </c>
      <c r="CG60" s="695">
        <f>IF(BL60=0,0,(BM60-BL60)/BL60*100)</f>
        <v>0</v>
      </c>
      <c r="CH60" s="695">
        <f>IF(BM60=0,0,(BN60-BM60)/BM60*100)</f>
        <v>0</v>
      </c>
      <c r="CI60" s="695">
        <f>IF(BN60=0,0,(BO60-BN60)/BN60*100)</f>
        <v>0</v>
      </c>
      <c r="CJ60" s="695">
        <f>IF(BO60=0,0,(BP60-BO60)/BO60*100)</f>
        <v>0</v>
      </c>
      <c r="CK60" s="695">
        <f>IF(BP60=0,0,(BQ60-BP60)/BP60*100)</f>
        <v>0</v>
      </c>
      <c r="CL60" s="695">
        <f>IF(BQ60=0,0,(BR60-BQ60)/BQ60*100)</f>
        <v>0</v>
      </c>
      <c r="CM60" s="695">
        <f>IF(BR60=0,0,(BS60-BR60)/BR60*100)</f>
        <v>0</v>
      </c>
      <c r="CN60" s="695">
        <f>IF(BS60=0,0,(BT60-BS60)/BS60*100)</f>
        <v>0</v>
      </c>
      <c r="CO60" s="695">
        <f>IF(BT60=0,0,(BU60-BT60)/BT60*100)</f>
        <v>0</v>
      </c>
      <c r="CP60" s="695">
        <f>IF(BU60=0,0,(BV60-BU60)/BU60*100)</f>
        <v>0</v>
      </c>
      <c r="CQ60" s="695">
        <f>IF(BV60=0,0,(BW60-BV60)/BV60*100)</f>
        <v>0</v>
      </c>
      <c r="CR60" s="1897"/>
      <c r="CS60" s="1897"/>
      <c r="CT60" s="1897"/>
      <c r="CU60" s="286"/>
      <c r="CV60" s="1659"/>
      <c r="CW60" s="489" t="s">
        <v>1658</v>
      </c>
      <c r="CX60" s="489"/>
      <c r="CY60" s="489"/>
      <c r="CZ60" s="546"/>
      <c r="DA60" s="546"/>
      <c r="DB60" s="489" t="s">
        <v>1658</v>
      </c>
      <c r="DC60" s="1506"/>
      <c r="DD60" s="1501" cm="1" t="str">
        <f t="array" ref="DD60:DD60">DD59</f>
        <v>ТЭ.42.31656254.0001</v>
      </c>
      <c r="DE60" s="1501"/>
      <c r="DF60" s="1501"/>
      <c r="DG60" s="1501"/>
      <c r="DH60" s="1501" t="s">
        <v>1659</v>
      </c>
      <c r="DI60" s="1501"/>
      <c r="DJ60" s="1501"/>
      <c r="DK60" s="1501"/>
      <c r="DL60" s="1501"/>
      <c r="DM60" s="1501" t="s">
        <v>303</v>
      </c>
      <c r="DN60" s="1501" t="s">
        <v>1044</v>
      </c>
      <c r="DO60" s="1504" t="s">
        <v>1045</v>
      </c>
    </row>
    <row s="1751" customFormat="1" customHeight="1" ht="14.25">
      <c r="A61" s="371"/>
      <c r="B61" s="1548"/>
      <c r="C61" s="1548"/>
      <c r="D61" s="1548"/>
      <c r="E61" s="180">
        <v>15</v>
      </c>
      <c r="F61" s="175" cm="1" t="str">
        <f t="array" ref="F61:F61">OFFSET(G61,-1,-1)</f>
        <v>1</v>
      </c>
      <c r="G61" s="193" t="s">
        <v>1309</v>
      </c>
      <c r="H61" s="1659"/>
      <c r="I61" s="1659"/>
      <c r="J61" s="1659"/>
      <c r="K61" s="1659"/>
      <c r="L61" s="1659"/>
      <c r="M61" s="1659"/>
      <c r="N61" s="1659"/>
      <c r="O61" s="1659"/>
      <c r="P61" s="1659"/>
      <c r="Q61" s="1659"/>
      <c r="R61" s="1659"/>
      <c r="S61" s="1659"/>
      <c r="T61" s="753">
        <f>AND(F61,OR(ISBLANK(Y61),Y61))</f>
        <v>1</v>
      </c>
      <c r="U61" s="1548"/>
      <c r="V61" s="1548"/>
      <c r="W61" s="1548"/>
      <c r="X61" s="1548"/>
      <c r="Y61" s="1548"/>
      <c r="Z61" s="1548"/>
      <c r="AA61" s="286"/>
      <c r="AB61" s="491">
        <v>1.7</v>
      </c>
      <c r="AC61" s="505" t="s">
        <v>1660</v>
      </c>
      <c r="AD61" s="491" t="s">
        <v>917</v>
      </c>
      <c r="AE61" s="746">
        <f>_xlfn.SUMIFS(Амортизация!AE$26:AE$225,Амортизация!$F$26:$F$225,$F61,Амортизация!$G$26:$G$225,$G61)</f>
        <v>324</v>
      </c>
      <c r="AF61" s="746">
        <f>_xlfn.SUMIFS(Амортизация!AF$26:AF$225,Амортизация!$F$26:$F$225,$F61,Амортизация!$G$26:$G$225,$G61)</f>
        <v>781.8</v>
      </c>
      <c r="AG61" s="746">
        <f>_xlfn.SUMIFS(Амортизация!AG$26:AG$225,Амортизация!$F$26:$F$225,$F61,Амортизация!$G$26:$G$225,$G61)</f>
        <v>324.19</v>
      </c>
      <c r="AH61" s="695">
        <f>AG61-AF61</f>
        <v>-457.61</v>
      </c>
      <c r="AI61" s="746">
        <f>_xlfn.SUMIFS(Амортизация!AH$26:AH$225,Амортизация!$F$26:$F$225,$F61,Амортизация!$G$26:$G$225,$G61)</f>
        <v>611</v>
      </c>
      <c r="AJ61" s="746">
        <f>_xlfn.SUMIFS(Амортизация!AI$26:AI$225,Амортизация!$F$26:$F$225,$F61,Амортизация!$G$26:$G$225,$G61)</f>
        <v>848</v>
      </c>
      <c r="AK61" s="746">
        <f>_xlfn.SUMIFS(Амортизация!AJ$26:AJ$225,Амортизация!$F$26:$F$225,$F61,Амортизация!$G$26:$G$225,$G61)</f>
        <v>0</v>
      </c>
      <c r="AL61" s="746">
        <f>_xlfn.SUMIFS(Амортизация!AK$26:AK$225,Амортизация!$F$26:$F$225,$F61,Амортизация!$G$26:$G$225,$G61)</f>
        <v>0</v>
      </c>
      <c r="AM61" s="746">
        <f>_xlfn.SUMIFS(Амортизация!AL$26:AL$225,Амортизация!$F$26:$F$225,$F61,Амортизация!$G$26:$G$225,$G61)</f>
        <v>0</v>
      </c>
      <c r="AN61" s="746">
        <f>_xlfn.SUMIFS(Амортизация!AM$26:AM$225,Амортизация!$F$26:$F$225,$F61,Амортизация!$G$26:$G$225,$G61)</f>
        <v>0</v>
      </c>
      <c r="AO61" s="746">
        <f>_xlfn.SUMIFS(Амортизация!AN$26:AN$225,Амортизация!$F$26:$F$225,$F61,Амортизация!$G$26:$G$225,$G61)</f>
        <v>0</v>
      </c>
      <c r="AP61" s="746">
        <f>_xlfn.SUMIFS(Амортизация!AO$26:AO$225,Амортизация!$F$26:$F$225,$F61,Амортизация!$G$26:$G$225,$G61)</f>
        <v>0</v>
      </c>
      <c r="AQ61" s="746">
        <f>_xlfn.SUMIFS(Амортизация!AP$26:AP$225,Амортизация!$F$26:$F$225,$F61,Амортизация!$G$26:$G$225,$G61)</f>
        <v>0</v>
      </c>
      <c r="AR61" s="746">
        <f>_xlfn.SUMIFS(Амортизация!AQ$26:AQ$225,Амортизация!$F$26:$F$225,$F61,Амортизация!$G$26:$G$225,$G61)</f>
        <v>0</v>
      </c>
      <c r="AS61" s="746">
        <f>_xlfn.SUMIFS(Амортизация!AR$26:AR$225,Амортизация!$F$26:$F$225,$F61,Амортизация!$G$26:$G$225,$G61)</f>
        <v>0</v>
      </c>
      <c r="AT61" s="746">
        <f>_xlfn.SUMIFS(Амортизация!AS$26:AS$225,Амортизация!$F$26:$F$225,$F61,Амортизация!$G$26:$G$225,$G61)</f>
        <v>0</v>
      </c>
      <c r="AU61" s="746">
        <f>_xlfn.SUMIFS(Амортизация!AT$26:AT$225,Амортизация!$F$26:$F$225,$F61,Амортизация!$G$26:$G$225,$G61)</f>
        <v>0</v>
      </c>
      <c r="AV61" s="746">
        <f>_xlfn.SUMIFS(Амортизация!AU$26:AU$225,Амортизация!$F$26:$F$225,$F61,Амортизация!$G$26:$G$225,$G61)</f>
        <v>0</v>
      </c>
      <c r="AW61" s="746">
        <f>_xlfn.SUMIFS(Амортизация!AV$26:AV$225,Амортизация!$F$26:$F$225,$F61,Амортизация!$G$26:$G$225,$G61)</f>
        <v>0</v>
      </c>
      <c r="AX61" s="746">
        <f>_xlfn.SUMIFS(Амортизация!AW$26:AW$225,Амортизация!$F$26:$F$225,$F61,Амортизация!$G$26:$G$225,$G61)</f>
        <v>0</v>
      </c>
      <c r="AY61" s="746">
        <f>_xlfn.SUMIFS(Амортизация!AX$26:AX$225,Амортизация!$F$26:$F$225,$F61,Амортизация!$G$26:$G$225,$G61)</f>
        <v>0</v>
      </c>
      <c r="AZ61" s="746">
        <f>_xlfn.SUMIFS(Амортизация!AY$26:AY$225,Амортизация!$F$26:$F$225,$F61,Амортизация!$G$26:$G$225,$G61)</f>
        <v>0</v>
      </c>
      <c r="BA61" s="746">
        <f>_xlfn.SUMIFS(Амортизация!AZ$26:AZ$225,Амортизация!$F$26:$F$225,$F61,Амортизация!$G$26:$G$225,$G61)</f>
        <v>0</v>
      </c>
      <c r="BB61" s="746">
        <f>_xlfn.SUMIFS(Амортизация!BA$26:BA$225,Амортизация!$F$26:$F$225,$F61,Амортизация!$G$26:$G$225,$G61)</f>
        <v>0</v>
      </c>
      <c r="BC61" s="746">
        <f>_xlfn.SUMIFS(Амортизация!BB$26:BB$225,Амортизация!$F$26:$F$225,$F61,Амортизация!$G$26:$G$225,$G61)</f>
        <v>0</v>
      </c>
      <c r="BD61" s="746">
        <f>_xlfn.SUMIFS(Амортизация!BC$26:BC$225,Амортизация!$F$26:$F$225,$F61,Амортизация!$G$26:$G$225,$G61)</f>
        <v>588.45</v>
      </c>
      <c r="BE61" s="746">
        <f>_xlfn.SUMIFS(Амортизация!BD$26:BD$225,Амортизация!$F$26:$F$225,$F61,Амортизация!$G$26:$G$225,$G61)</f>
        <v>0</v>
      </c>
      <c r="BF61" s="746">
        <f>_xlfn.SUMIFS(Амортизация!BE$26:BE$225,Амортизация!$F$26:$F$225,$F61,Амортизация!$G$26:$G$225,$G61)</f>
        <v>0</v>
      </c>
      <c r="BG61" s="746">
        <f>_xlfn.SUMIFS(Амортизация!BF$26:BF$225,Амортизация!$F$26:$F$225,$F61,Амортизация!$G$26:$G$225,$G61)</f>
        <v>0</v>
      </c>
      <c r="BH61" s="746">
        <f>_xlfn.SUMIFS(Амортизация!BG$26:BG$225,Амортизация!$F$26:$F$225,$F61,Амортизация!$G$26:$G$225,$G61)</f>
        <v>0</v>
      </c>
      <c r="BI61" s="746">
        <f>_xlfn.SUMIFS(Амортизация!BH$26:BH$225,Амортизация!$F$26:$F$225,$F61,Амортизация!$G$26:$G$225,$G61)</f>
        <v>0</v>
      </c>
      <c r="BJ61" s="746">
        <f>_xlfn.SUMIFS(Амортизация!BI$26:BI$225,Амортизация!$F$26:$F$225,$F61,Амортизация!$G$26:$G$225,$G61)</f>
        <v>0</v>
      </c>
      <c r="BK61" s="746">
        <f>_xlfn.SUMIFS(Амортизация!BJ$26:BJ$225,Амортизация!$F$26:$F$225,$F61,Амортизация!$G$26:$G$225,$G61)</f>
        <v>0</v>
      </c>
      <c r="BL61" s="746">
        <f>_xlfn.SUMIFS(Амортизация!BK$26:BK$225,Амортизация!$F$26:$F$225,$F61,Амортизация!$G$26:$G$225,$G61)</f>
        <v>0</v>
      </c>
      <c r="BM61" s="746">
        <f>_xlfn.SUMIFS(Амортизация!BL$26:BL$225,Амортизация!$F$26:$F$225,$F61,Амортизация!$G$26:$G$225,$G61)</f>
        <v>0</v>
      </c>
      <c r="BN61" s="746">
        <f>_xlfn.SUMIFS(Амортизация!BM$26:BM$225,Амортизация!$F$26:$F$225,$F61,Амортизация!$G$26:$G$225,$G61)</f>
        <v>0</v>
      </c>
      <c r="BO61" s="746">
        <f>_xlfn.SUMIFS(Амортизация!BN$26:BN$225,Амортизация!$F$26:$F$225,$F61,Амортизация!$G$26:$G$225,$G61)</f>
        <v>0</v>
      </c>
      <c r="BP61" s="746">
        <f>_xlfn.SUMIFS(Амортизация!BO$26:BO$225,Амортизация!$F$26:$F$225,$F61,Амортизация!$G$26:$G$225,$G61)</f>
        <v>0</v>
      </c>
      <c r="BQ61" s="746">
        <f>_xlfn.SUMIFS(Амортизация!BP$26:BP$225,Амортизация!$F$26:$F$225,$F61,Амортизация!$G$26:$G$225,$G61)</f>
        <v>0</v>
      </c>
      <c r="BR61" s="746">
        <f>_xlfn.SUMIFS(Амортизация!BQ$26:BQ$225,Амортизация!$F$26:$F$225,$F61,Амортизация!$G$26:$G$225,$G61)</f>
        <v>0</v>
      </c>
      <c r="BS61" s="746">
        <f>_xlfn.SUMIFS(Амортизация!BR$26:BR$225,Амортизация!$F$26:$F$225,$F61,Амортизация!$G$26:$G$225,$G61)</f>
        <v>0</v>
      </c>
      <c r="BT61" s="746">
        <f>_xlfn.SUMIFS(Амортизация!BS$26:BS$225,Амортизация!$F$26:$F$225,$F61,Амортизация!$G$26:$G$225,$G61)</f>
        <v>0</v>
      </c>
      <c r="BU61" s="746">
        <f>_xlfn.SUMIFS(Амортизация!BT$26:BT$225,Амортизация!$F$26:$F$225,$F61,Амортизация!$G$26:$G$225,$G61)</f>
        <v>0</v>
      </c>
      <c r="BV61" s="746">
        <f>_xlfn.SUMIFS(Амортизация!BU$26:BU$225,Амортизация!$F$26:$F$225,$F61,Амортизация!$G$26:$G$225,$G61)</f>
        <v>0</v>
      </c>
      <c r="BW61" s="746">
        <f>_xlfn.SUMIFS(Амортизация!BV$26:BV$225,Амортизация!$F$26:$F$225,$F61,Амортизация!$G$26:$G$225,$G61)</f>
        <v>0</v>
      </c>
      <c r="BX61" s="695">
        <f>IF(AI61=0,0,(BD61-AI61)/AI61*100)</f>
        <v>-3.69067103109656</v>
      </c>
      <c r="BY61" s="695">
        <f>IF(BD61=0,0,(BE61-BD61)/BD61*100)</f>
        <v>-100</v>
      </c>
      <c r="BZ61" s="695">
        <f>IF(BE61=0,0,(BF61-BE61)/BE61*100)</f>
        <v>0</v>
      </c>
      <c r="CA61" s="695">
        <f>IF(BF61=0,0,(BG61-BF61)/BF61*100)</f>
        <v>0</v>
      </c>
      <c r="CB61" s="695">
        <f>IF(BG61=0,0,(BH61-BG61)/BG61*100)</f>
        <v>0</v>
      </c>
      <c r="CC61" s="695">
        <f>IF(BH61=0,0,(BI61-BH61)/BH61*100)</f>
        <v>0</v>
      </c>
      <c r="CD61" s="695">
        <f>IF(BI61=0,0,(BJ61-BI61)/BI61*100)</f>
        <v>0</v>
      </c>
      <c r="CE61" s="695">
        <f>IF(BJ61=0,0,(BK61-BJ61)/BJ61*100)</f>
        <v>0</v>
      </c>
      <c r="CF61" s="695">
        <f>IF(BK61=0,0,(BL61-BK61)/BK61*100)</f>
        <v>0</v>
      </c>
      <c r="CG61" s="695">
        <f>IF(BL61=0,0,(BM61-BL61)/BL61*100)</f>
        <v>0</v>
      </c>
      <c r="CH61" s="695">
        <f>IF(BM61=0,0,(BN61-BM61)/BM61*100)</f>
        <v>0</v>
      </c>
      <c r="CI61" s="695">
        <f>IF(BN61=0,0,(BO61-BN61)/BN61*100)</f>
        <v>0</v>
      </c>
      <c r="CJ61" s="695">
        <f>IF(BO61=0,0,(BP61-BO61)/BO61*100)</f>
        <v>0</v>
      </c>
      <c r="CK61" s="695">
        <f>IF(BP61=0,0,(BQ61-BP61)/BP61*100)</f>
        <v>0</v>
      </c>
      <c r="CL61" s="695">
        <f>IF(BQ61=0,0,(BR61-BQ61)/BQ61*100)</f>
        <v>0</v>
      </c>
      <c r="CM61" s="695">
        <f>IF(BR61=0,0,(BS61-BR61)/BR61*100)</f>
        <v>0</v>
      </c>
      <c r="CN61" s="695">
        <f>IF(BS61=0,0,(BT61-BS61)/BS61*100)</f>
        <v>0</v>
      </c>
      <c r="CO61" s="695">
        <f>IF(BT61=0,0,(BU61-BT61)/BT61*100)</f>
        <v>0</v>
      </c>
      <c r="CP61" s="695">
        <f>IF(BU61=0,0,(BV61-BU61)/BU61*100)</f>
        <v>0</v>
      </c>
      <c r="CQ61" s="695">
        <f>IF(BV61=0,0,(BW61-BV61)/BV61*100)</f>
        <v>0</v>
      </c>
      <c r="CR61" s="1897"/>
      <c r="CS61" s="1897"/>
      <c r="CT61" s="1897"/>
      <c r="CU61" s="286"/>
      <c r="CV61" s="1659"/>
      <c r="CW61" s="489" t="s">
        <v>1661</v>
      </c>
      <c r="CX61" s="489"/>
      <c r="CY61" s="489"/>
      <c r="CZ61" s="546"/>
      <c r="DA61" s="546"/>
      <c r="DB61" s="489" t="s">
        <v>1661</v>
      </c>
      <c r="DC61" s="1506"/>
      <c r="DD61" s="1501" cm="1" t="str">
        <f t="array" ref="DD61:DD61">DD60</f>
        <v>ТЭ.42.31656254.0001</v>
      </c>
      <c r="DE61" s="1501"/>
      <c r="DF61" s="1501"/>
      <c r="DG61" s="1501"/>
      <c r="DH61" s="1501"/>
      <c r="DI61" s="1501" t="s">
        <v>1662</v>
      </c>
      <c r="DJ61" s="1501"/>
      <c r="DK61" s="1501"/>
      <c r="DL61" s="1501"/>
      <c r="DM61" s="1501" t="s">
        <v>303</v>
      </c>
      <c r="DN61" s="1501" t="s">
        <v>1663</v>
      </c>
      <c r="DO61" s="1504" t="s">
        <v>1660</v>
      </c>
    </row>
    <row s="1751" customFormat="1" customHeight="1" ht="24.75">
      <c r="A62" s="371"/>
      <c r="B62" s="1548"/>
      <c r="C62" s="1548"/>
      <c r="D62" s="1548"/>
      <c r="E62" s="180">
        <v>26</v>
      </c>
      <c r="F62" s="175" cm="1" t="str">
        <f t="array" ref="F62:F62">OFFSET(G62,-1,-1)</f>
        <v>1</v>
      </c>
      <c r="G62" s="1659"/>
      <c r="H62" s="1659"/>
      <c r="I62" s="1659"/>
      <c r="J62" s="1659"/>
      <c r="K62" s="1659"/>
      <c r="L62" s="1659"/>
      <c r="M62" s="1659"/>
      <c r="N62" s="1659"/>
      <c r="O62" s="1659"/>
      <c r="P62" s="1659"/>
      <c r="Q62" s="1659"/>
      <c r="R62" s="1659"/>
      <c r="S62" s="1659"/>
      <c r="T62" s="753">
        <f>AND(F62,OR(ISBLANK(Y62),Y62))</f>
        <v>1</v>
      </c>
      <c r="U62" s="1548"/>
      <c r="V62" s="1548"/>
      <c r="W62" s="1548"/>
      <c r="X62" s="1548"/>
      <c r="Y62" s="1548"/>
      <c r="Z62" s="1548"/>
      <c r="AA62" s="286"/>
      <c r="AB62" s="491">
        <v>1.8</v>
      </c>
      <c r="AC62" s="505" t="s">
        <v>1664</v>
      </c>
      <c r="AD62" s="491" t="s">
        <v>917</v>
      </c>
      <c r="AE62" s="2356"/>
      <c r="AF62" s="2356"/>
      <c r="AG62" s="2356"/>
      <c r="AH62" s="695">
        <f>AG62-AF62</f>
        <v>0</v>
      </c>
      <c r="AI62" s="2356"/>
      <c r="AJ62" s="749"/>
      <c r="AK62" s="2356"/>
      <c r="AL62" s="2356"/>
      <c r="AM62" s="2356"/>
      <c r="AN62" s="2356"/>
      <c r="AO62" s="2356"/>
      <c r="AP62" s="2356"/>
      <c r="AQ62" s="2356"/>
      <c r="AR62" s="2356"/>
      <c r="AS62" s="2356"/>
      <c r="AT62" s="2356"/>
      <c r="AU62" s="2356"/>
      <c r="AV62" s="2356"/>
      <c r="AW62" s="2356"/>
      <c r="AX62" s="2356"/>
      <c r="AY62" s="2356"/>
      <c r="AZ62" s="2356"/>
      <c r="BA62" s="2356"/>
      <c r="BB62" s="2356"/>
      <c r="BC62" s="2356"/>
      <c r="BD62" s="749"/>
      <c r="BE62" s="2356"/>
      <c r="BF62" s="2356"/>
      <c r="BG62" s="2356"/>
      <c r="BH62" s="2356"/>
      <c r="BI62" s="2356"/>
      <c r="BJ62" s="2356"/>
      <c r="BK62" s="2356"/>
      <c r="BL62" s="2356"/>
      <c r="BM62" s="2356"/>
      <c r="BN62" s="2356"/>
      <c r="BO62" s="2356"/>
      <c r="BP62" s="2356"/>
      <c r="BQ62" s="2356"/>
      <c r="BR62" s="2356"/>
      <c r="BS62" s="2356"/>
      <c r="BT62" s="2356"/>
      <c r="BU62" s="2356"/>
      <c r="BV62" s="2356"/>
      <c r="BW62" s="2356"/>
      <c r="BX62" s="695">
        <f>IF(AI62=0,0,(BD62-AI62)/AI62*100)</f>
        <v>0</v>
      </c>
      <c r="BY62" s="695">
        <f>IF(BD62=0,0,(BE62-BD62)/BD62*100)</f>
        <v>0</v>
      </c>
      <c r="BZ62" s="695">
        <f>IF(BE62=0,0,(BF62-BE62)/BE62*100)</f>
        <v>0</v>
      </c>
      <c r="CA62" s="695">
        <f>IF(BF62=0,0,(BG62-BF62)/BF62*100)</f>
        <v>0</v>
      </c>
      <c r="CB62" s="695">
        <f>IF(BG62=0,0,(BH62-BG62)/BG62*100)</f>
        <v>0</v>
      </c>
      <c r="CC62" s="695">
        <f>IF(BH62=0,0,(BI62-BH62)/BH62*100)</f>
        <v>0</v>
      </c>
      <c r="CD62" s="695">
        <f>IF(BI62=0,0,(BJ62-BI62)/BI62*100)</f>
        <v>0</v>
      </c>
      <c r="CE62" s="695">
        <f>IF(BJ62=0,0,(BK62-BJ62)/BJ62*100)</f>
        <v>0</v>
      </c>
      <c r="CF62" s="695">
        <f>IF(BK62=0,0,(BL62-BK62)/BK62*100)</f>
        <v>0</v>
      </c>
      <c r="CG62" s="695">
        <f>IF(BL62=0,0,(BM62-BL62)/BL62*100)</f>
        <v>0</v>
      </c>
      <c r="CH62" s="695">
        <f>IF(BM62=0,0,(BN62-BM62)/BM62*100)</f>
        <v>0</v>
      </c>
      <c r="CI62" s="695">
        <f>IF(BN62=0,0,(BO62-BN62)/BN62*100)</f>
        <v>0</v>
      </c>
      <c r="CJ62" s="695">
        <f>IF(BO62=0,0,(BP62-BO62)/BO62*100)</f>
        <v>0</v>
      </c>
      <c r="CK62" s="695">
        <f>IF(BP62=0,0,(BQ62-BP62)/BP62*100)</f>
        <v>0</v>
      </c>
      <c r="CL62" s="695">
        <f>IF(BQ62=0,0,(BR62-BQ62)/BQ62*100)</f>
        <v>0</v>
      </c>
      <c r="CM62" s="695">
        <f>IF(BR62=0,0,(BS62-BR62)/BR62*100)</f>
        <v>0</v>
      </c>
      <c r="CN62" s="695">
        <f>IF(BS62=0,0,(BT62-BS62)/BS62*100)</f>
        <v>0</v>
      </c>
      <c r="CO62" s="695">
        <f>IF(BT62=0,0,(BU62-BT62)/BT62*100)</f>
        <v>0</v>
      </c>
      <c r="CP62" s="695">
        <f>IF(BU62=0,0,(BV62-BU62)/BU62*100)</f>
        <v>0</v>
      </c>
      <c r="CQ62" s="695">
        <f>IF(BV62=0,0,(BW62-BV62)/BV62*100)</f>
        <v>0</v>
      </c>
      <c r="CR62" s="1897"/>
      <c r="CS62" s="1897"/>
      <c r="CT62" s="1897"/>
      <c r="CU62" s="286"/>
      <c r="CV62" s="1659"/>
      <c r="CW62" s="489" t="s">
        <v>1665</v>
      </c>
      <c r="CX62" s="489"/>
      <c r="CY62" s="489"/>
      <c r="CZ62" s="546"/>
      <c r="DA62" s="546"/>
      <c r="DB62" s="489" t="s">
        <v>1665</v>
      </c>
      <c r="DC62" s="1506"/>
      <c r="DD62" s="1501" cm="1" t="str">
        <f t="array" ref="DD62:DD62">DD61</f>
        <v>ТЭ.42.31656254.0001</v>
      </c>
      <c r="DE62" s="1501" t="s">
        <v>1666</v>
      </c>
      <c r="DF62" s="1501"/>
      <c r="DG62" s="1501"/>
      <c r="DH62" s="1501"/>
      <c r="DI62" s="1501"/>
      <c r="DJ62" s="1501"/>
      <c r="DK62" s="1501"/>
      <c r="DL62" s="1501"/>
      <c r="DM62" s="1501" t="s">
        <v>303</v>
      </c>
      <c r="DN62" s="1501" t="s">
        <v>1044</v>
      </c>
      <c r="DO62" s="1504" t="s">
        <v>1045</v>
      </c>
    </row>
    <row s="1751" customFormat="1" customHeight="1" ht="24.75">
      <c r="A63" s="371"/>
      <c r="B63" s="1548"/>
      <c r="C63" s="1548"/>
      <c r="D63" s="1548"/>
      <c r="E63" s="180">
        <v>26</v>
      </c>
      <c r="F63" s="175" cm="1" t="str">
        <f t="array" ref="F63:F63">OFFSET(G63,-1,-1)</f>
        <v>1</v>
      </c>
      <c r="G63" s="1659"/>
      <c r="H63" s="1659"/>
      <c r="I63" s="1659"/>
      <c r="J63" s="1659"/>
      <c r="K63" s="1659"/>
      <c r="L63" s="1659"/>
      <c r="M63" s="1659"/>
      <c r="N63" s="1659"/>
      <c r="O63" s="1659"/>
      <c r="P63" s="1659"/>
      <c r="Q63" s="1659"/>
      <c r="R63" s="1659"/>
      <c r="S63" s="1659"/>
      <c r="T63" s="753">
        <f>AND(F63,OR(ISBLANK(Y63),Y63))</f>
        <v>1</v>
      </c>
      <c r="U63" s="1548"/>
      <c r="V63" s="1548"/>
      <c r="W63" s="1548"/>
      <c r="X63" s="1548"/>
      <c r="Y63" s="1548"/>
      <c r="Z63" s="1548"/>
      <c r="AA63" s="286"/>
      <c r="AB63" s="491">
        <v>1.9</v>
      </c>
      <c r="AC63" s="505" t="s">
        <v>1667</v>
      </c>
      <c r="AD63" s="491" t="s">
        <v>917</v>
      </c>
      <c r="AE63" s="2356"/>
      <c r="AF63" s="2356"/>
      <c r="AG63" s="2356"/>
      <c r="AH63" s="695">
        <f>AG63-AF63</f>
        <v>0</v>
      </c>
      <c r="AI63" s="2356"/>
      <c r="AJ63" s="749"/>
      <c r="AK63" s="2356"/>
      <c r="AL63" s="2356"/>
      <c r="AM63" s="2356"/>
      <c r="AN63" s="2356"/>
      <c r="AO63" s="2356"/>
      <c r="AP63" s="2356"/>
      <c r="AQ63" s="2356"/>
      <c r="AR63" s="2356"/>
      <c r="AS63" s="2356"/>
      <c r="AT63" s="2356"/>
      <c r="AU63" s="2356"/>
      <c r="AV63" s="2356"/>
      <c r="AW63" s="2356"/>
      <c r="AX63" s="2356"/>
      <c r="AY63" s="2356"/>
      <c r="AZ63" s="2356"/>
      <c r="BA63" s="2356"/>
      <c r="BB63" s="2356"/>
      <c r="BC63" s="2356"/>
      <c r="BD63" s="749"/>
      <c r="BE63" s="2356"/>
      <c r="BF63" s="2356"/>
      <c r="BG63" s="2356"/>
      <c r="BH63" s="2356"/>
      <c r="BI63" s="2356"/>
      <c r="BJ63" s="2356"/>
      <c r="BK63" s="2356"/>
      <c r="BL63" s="2356"/>
      <c r="BM63" s="2356"/>
      <c r="BN63" s="2356"/>
      <c r="BO63" s="2356"/>
      <c r="BP63" s="2356"/>
      <c r="BQ63" s="2356"/>
      <c r="BR63" s="2356"/>
      <c r="BS63" s="2356"/>
      <c r="BT63" s="2356"/>
      <c r="BU63" s="2356"/>
      <c r="BV63" s="2356"/>
      <c r="BW63" s="2356"/>
      <c r="BX63" s="695">
        <f>IF(AI63=0,0,(BD63-AI63)/AI63*100)</f>
        <v>0</v>
      </c>
      <c r="BY63" s="695">
        <f>IF(BD63=0,0,(BE63-BD63)/BD63*100)</f>
        <v>0</v>
      </c>
      <c r="BZ63" s="695">
        <f>IF(BE63=0,0,(BF63-BE63)/BE63*100)</f>
        <v>0</v>
      </c>
      <c r="CA63" s="695">
        <f>IF(BF63=0,0,(BG63-BF63)/BF63*100)</f>
        <v>0</v>
      </c>
      <c r="CB63" s="695">
        <f>IF(BG63=0,0,(BH63-BG63)/BG63*100)</f>
        <v>0</v>
      </c>
      <c r="CC63" s="695">
        <f>IF(BH63=0,0,(BI63-BH63)/BH63*100)</f>
        <v>0</v>
      </c>
      <c r="CD63" s="695">
        <f>IF(BI63=0,0,(BJ63-BI63)/BI63*100)</f>
        <v>0</v>
      </c>
      <c r="CE63" s="695">
        <f>IF(BJ63=0,0,(BK63-BJ63)/BJ63*100)</f>
        <v>0</v>
      </c>
      <c r="CF63" s="695">
        <f>IF(BK63=0,0,(BL63-BK63)/BK63*100)</f>
        <v>0</v>
      </c>
      <c r="CG63" s="695">
        <f>IF(BL63=0,0,(BM63-BL63)/BL63*100)</f>
        <v>0</v>
      </c>
      <c r="CH63" s="695">
        <f>IF(BM63=0,0,(BN63-BM63)/BM63*100)</f>
        <v>0</v>
      </c>
      <c r="CI63" s="695">
        <f>IF(BN63=0,0,(BO63-BN63)/BN63*100)</f>
        <v>0</v>
      </c>
      <c r="CJ63" s="695">
        <f>IF(BO63=0,0,(BP63-BO63)/BO63*100)</f>
        <v>0</v>
      </c>
      <c r="CK63" s="695">
        <f>IF(BP63=0,0,(BQ63-BP63)/BP63*100)</f>
        <v>0</v>
      </c>
      <c r="CL63" s="695">
        <f>IF(BQ63=0,0,(BR63-BQ63)/BQ63*100)</f>
        <v>0</v>
      </c>
      <c r="CM63" s="695">
        <f>IF(BR63=0,0,(BS63-BR63)/BR63*100)</f>
        <v>0</v>
      </c>
      <c r="CN63" s="695">
        <f>IF(BS63=0,0,(BT63-BS63)/BS63*100)</f>
        <v>0</v>
      </c>
      <c r="CO63" s="695">
        <f>IF(BT63=0,0,(BU63-BT63)/BT63*100)</f>
        <v>0</v>
      </c>
      <c r="CP63" s="695">
        <f>IF(BU63=0,0,(BV63-BU63)/BU63*100)</f>
        <v>0</v>
      </c>
      <c r="CQ63" s="695">
        <f>IF(BV63=0,0,(BW63-BV63)/BV63*100)</f>
        <v>0</v>
      </c>
      <c r="CR63" s="1897"/>
      <c r="CS63" s="1897"/>
      <c r="CT63" s="1897"/>
      <c r="CU63" s="286"/>
      <c r="CV63" s="1659"/>
      <c r="CW63" s="489" t="s">
        <v>1668</v>
      </c>
      <c r="CX63" s="489"/>
      <c r="CY63" s="489"/>
      <c r="CZ63" s="546"/>
      <c r="DA63" s="546"/>
      <c r="DB63" s="489" t="s">
        <v>1668</v>
      </c>
      <c r="DC63" s="1506"/>
      <c r="DD63" s="1501" cm="1" t="str">
        <f t="array" ref="DD63:DD63">DD62</f>
        <v>ТЭ.42.31656254.0001</v>
      </c>
      <c r="DE63" s="1501" t="s">
        <v>1669</v>
      </c>
      <c r="DF63" s="1501"/>
      <c r="DG63" s="1501"/>
      <c r="DH63" s="1501"/>
      <c r="DI63" s="1501"/>
      <c r="DJ63" s="1501"/>
      <c r="DK63" s="1501"/>
      <c r="DL63" s="1501"/>
      <c r="DM63" s="1501" t="s">
        <v>303</v>
      </c>
      <c r="DN63" s="1501" t="s">
        <v>1044</v>
      </c>
      <c r="DO63" s="1504" t="s">
        <v>1045</v>
      </c>
    </row>
    <row s="1751" customFormat="1" customHeight="1" ht="14.25">
      <c r="A64" s="371"/>
      <c r="B64" s="1548"/>
      <c r="C64" s="1548"/>
      <c r="D64" s="1548"/>
      <c r="E64" s="180">
        <v>15</v>
      </c>
      <c r="F64" s="175" cm="1" t="str">
        <f t="array" ref="F64:F64">OFFSET(G64,-1,-1)</f>
        <v>1</v>
      </c>
      <c r="G64" s="1659"/>
      <c r="H64" s="1659"/>
      <c r="I64" s="1659"/>
      <c r="J64" s="1659"/>
      <c r="K64" s="1659"/>
      <c r="L64" s="1659"/>
      <c r="M64" s="1659"/>
      <c r="N64" s="1659"/>
      <c r="O64" s="1659"/>
      <c r="P64" s="1659"/>
      <c r="Q64" s="1659"/>
      <c r="R64" s="1659"/>
      <c r="S64" s="1659"/>
      <c r="T64" s="753">
        <f>AND(F64,OR(ISBLANK(Y64),Y64))</f>
        <v>1</v>
      </c>
      <c r="U64" s="1548"/>
      <c r="V64" s="1548"/>
      <c r="W64" s="1548"/>
      <c r="X64" s="1548"/>
      <c r="Y64" s="1548"/>
      <c r="Z64" s="1548"/>
      <c r="AA64" s="286"/>
      <c r="AB64" s="491"/>
      <c r="AC64" s="505" t="s">
        <v>1670</v>
      </c>
      <c r="AD64" s="491" t="s">
        <v>917</v>
      </c>
      <c r="AE64" s="746">
        <f>AE51+AE52+AE53+AE54+AE58+AE60+AE61+AE62+AE63</f>
        <v>1265</v>
      </c>
      <c r="AF64" s="746">
        <f>AF51+AF52+AF53+AF54+AF58+AF60+AF61+AF62+AF63</f>
        <v>2321.86</v>
      </c>
      <c r="AG64" s="746">
        <f>AG51+AG52+AG53+AG54+AG58+AG60+AG61+AG62+AG63</f>
        <v>1513.43</v>
      </c>
      <c r="AH64" s="695">
        <f>AG64-AF64</f>
        <v>-808.43</v>
      </c>
      <c r="AI64" s="746">
        <f>AI51+AI52+AI53+AI54+AI58+AI60+AI61+AI62+AI63</f>
        <v>1700</v>
      </c>
      <c r="AJ64" s="746">
        <f>AJ51+AJ52+AJ53+AJ54+AJ58+AJ60+AJ61+AJ62+AJ63</f>
        <v>2495</v>
      </c>
      <c r="AK64" s="746">
        <f>AK51+AK52+AK53+AK54+AK58+AK60+AK61+AK62+AK63</f>
        <v>0</v>
      </c>
      <c r="AL64" s="746">
        <f>AL51+AL52+AL53+AL54+AL58+AL60+AL61+AL62+AL63</f>
        <v>0</v>
      </c>
      <c r="AM64" s="746">
        <f>AM51+AM52+AM53+AM54+AM58+AM60+AM61+AM62+AM63</f>
        <v>0</v>
      </c>
      <c r="AN64" s="746">
        <f>AN51+AN52+AN53+AN54+AN58+AN60+AN61+AN62+AN63</f>
        <v>0</v>
      </c>
      <c r="AO64" s="746">
        <f>AO51+AO52+AO53+AO54+AO58+AO60+AO61+AO62+AO63</f>
        <v>0</v>
      </c>
      <c r="AP64" s="746">
        <f>AP51+AP52+AP53+AP54+AP58+AP60+AP61+AP62+AP63</f>
        <v>0</v>
      </c>
      <c r="AQ64" s="746">
        <f>AQ51+AQ52+AQ53+AQ54+AQ58+AQ60+AQ61+AQ62+AQ63</f>
        <v>0</v>
      </c>
      <c r="AR64" s="746">
        <f>AR51+AR52+AR53+AR54+AR58+AR60+AR61+AR62+AR63</f>
        <v>0</v>
      </c>
      <c r="AS64" s="746">
        <f>AS51+AS52+AS53+AS54+AS58+AS60+AS61+AS62+AS63</f>
        <v>0</v>
      </c>
      <c r="AT64" s="746">
        <f>AT51+AT52+AT53+AT54+AT58+AT60+AT61+AT62+AT63</f>
        <v>0</v>
      </c>
      <c r="AU64" s="746">
        <f>AU51+AU52+AU53+AU54+AU58+AU60+AU61+AU62+AU63</f>
        <v>0</v>
      </c>
      <c r="AV64" s="746">
        <f>AV51+AV52+AV53+AV54+AV58+AV60+AV61+AV62+AV63</f>
        <v>0</v>
      </c>
      <c r="AW64" s="746">
        <f>AW51+AW52+AW53+AW54+AW58+AW60+AW61+AW62+AW63</f>
        <v>0</v>
      </c>
      <c r="AX64" s="746">
        <f>AX51+AX52+AX53+AX54+AX58+AX60+AX61+AX62+AX63</f>
        <v>0</v>
      </c>
      <c r="AY64" s="746">
        <f>AY51+AY52+AY53+AY54+AY58+AY60+AY61+AY62+AY63</f>
        <v>0</v>
      </c>
      <c r="AZ64" s="746">
        <f>AZ51+AZ52+AZ53+AZ54+AZ58+AZ60+AZ61+AZ62+AZ63</f>
        <v>0</v>
      </c>
      <c r="BA64" s="746">
        <f>BA51+BA52+BA53+BA54+BA58+BA60+BA61+BA62+BA63</f>
        <v>0</v>
      </c>
      <c r="BB64" s="746">
        <f>BB51+BB52+BB53+BB54+BB58+BB60+BB61+BB62+BB63</f>
        <v>0</v>
      </c>
      <c r="BC64" s="746">
        <f>BC51+BC52+BC53+BC54+BC58+BC60+BC61+BC62+BC63</f>
        <v>0</v>
      </c>
      <c r="BD64" s="746">
        <f>BD51+BD52+BD53+BD54+BD58+BD60+BD61+BD62+BD63</f>
        <v>1841.74</v>
      </c>
      <c r="BE64" s="746">
        <f>BE51+BE52+BE53+BE54+BE58+BE60+BE61+BE62+BE63</f>
        <v>0</v>
      </c>
      <c r="BF64" s="746">
        <f>BF51+BF52+BF53+BF54+BF58+BF60+BF61+BF62+BF63</f>
        <v>0</v>
      </c>
      <c r="BG64" s="746">
        <f>BG51+BG52+BG53+BG54+BG58+BG60+BG61+BG62+BG63</f>
        <v>0</v>
      </c>
      <c r="BH64" s="746">
        <f>BH51+BH52+BH53+BH54+BH58+BH60+BH61+BH62+BH63</f>
        <v>0</v>
      </c>
      <c r="BI64" s="746">
        <f>BI51+BI52+BI53+BI54+BI58+BI60+BI61+BI62+BI63</f>
        <v>0</v>
      </c>
      <c r="BJ64" s="746">
        <f>BJ51+BJ52+BJ53+BJ54+BJ58+BJ60+BJ61+BJ62+BJ63</f>
        <v>0</v>
      </c>
      <c r="BK64" s="746">
        <f>BK51+BK52+BK53+BK54+BK58+BK60+BK61+BK62+BK63</f>
        <v>0</v>
      </c>
      <c r="BL64" s="746">
        <f>BL51+BL52+BL53+BL54+BL58+BL60+BL61+BL62+BL63</f>
        <v>0</v>
      </c>
      <c r="BM64" s="746">
        <f>BM51+BM52+BM53+BM54+BM58+BM60+BM61+BM62+BM63</f>
        <v>0</v>
      </c>
      <c r="BN64" s="746">
        <f>BN51+BN52+BN53+BN54+BN58+BN60+BN61+BN62+BN63</f>
        <v>0</v>
      </c>
      <c r="BO64" s="746">
        <f>BO51+BO52+BO53+BO54+BO58+BO60+BO61+BO62+BO63</f>
        <v>0</v>
      </c>
      <c r="BP64" s="746">
        <f>BP51+BP52+BP53+BP54+BP58+BP60+BP61+BP62+BP63</f>
        <v>0</v>
      </c>
      <c r="BQ64" s="746">
        <f>BQ51+BQ52+BQ53+BQ54+BQ58+BQ60+BQ61+BQ62+BQ63</f>
        <v>0</v>
      </c>
      <c r="BR64" s="746">
        <f>BR51+BR52+BR53+BR54+BR58+BR60+BR61+BR62+BR63</f>
        <v>0</v>
      </c>
      <c r="BS64" s="746">
        <f>BS51+BS52+BS53+BS54+BS58+BS60+BS61+BS62+BS63</f>
        <v>0</v>
      </c>
      <c r="BT64" s="746">
        <f>BT51+BT52+BT53+BT54+BT58+BT60+BT61+BT62+BT63</f>
        <v>0</v>
      </c>
      <c r="BU64" s="746">
        <f>BU51+BU52+BU53+BU54+BU58+BU60+BU61+BU62+BU63</f>
        <v>0</v>
      </c>
      <c r="BV64" s="746">
        <f>BV51+BV52+BV53+BV54+BV58+BV60+BV61+BV62+BV63</f>
        <v>0</v>
      </c>
      <c r="BW64" s="746">
        <f>BW51+BW52+BW53+BW54+BW58+BW60+BW61+BW62+BW63</f>
        <v>0</v>
      </c>
      <c r="BX64" s="695">
        <f>IF(AI64=0,0,(BD64-AI64)/AI64*100)</f>
        <v>8.33764705882353</v>
      </c>
      <c r="BY64" s="695">
        <f>IF(BD64=0,0,(BE64-BD64)/BD64*100)</f>
        <v>-100</v>
      </c>
      <c r="BZ64" s="695">
        <f>IF(BE64=0,0,(BF64-BE64)/BE64*100)</f>
        <v>0</v>
      </c>
      <c r="CA64" s="695">
        <f>IF(BF64=0,0,(BG64-BF64)/BF64*100)</f>
        <v>0</v>
      </c>
      <c r="CB64" s="695">
        <f>IF(BG64=0,0,(BH64-BG64)/BG64*100)</f>
        <v>0</v>
      </c>
      <c r="CC64" s="695">
        <f>IF(BH64=0,0,(BI64-BH64)/BH64*100)</f>
        <v>0</v>
      </c>
      <c r="CD64" s="695">
        <f>IF(BI64=0,0,(BJ64-BI64)/BI64*100)</f>
        <v>0</v>
      </c>
      <c r="CE64" s="695">
        <f>IF(BJ64=0,0,(BK64-BJ64)/BJ64*100)</f>
        <v>0</v>
      </c>
      <c r="CF64" s="695">
        <f>IF(BK64=0,0,(BL64-BK64)/BK64*100)</f>
        <v>0</v>
      </c>
      <c r="CG64" s="695">
        <f>IF(BL64=0,0,(BM64-BL64)/BL64*100)</f>
        <v>0</v>
      </c>
      <c r="CH64" s="695">
        <f>IF(BM64=0,0,(BN64-BM64)/BM64*100)</f>
        <v>0</v>
      </c>
      <c r="CI64" s="695">
        <f>IF(BN64=0,0,(BO64-BN64)/BN64*100)</f>
        <v>0</v>
      </c>
      <c r="CJ64" s="695">
        <f>IF(BO64=0,0,(BP64-BO64)/BO64*100)</f>
        <v>0</v>
      </c>
      <c r="CK64" s="695">
        <f>IF(BP64=0,0,(BQ64-BP64)/BP64*100)</f>
        <v>0</v>
      </c>
      <c r="CL64" s="695">
        <f>IF(BQ64=0,0,(BR64-BQ64)/BQ64*100)</f>
        <v>0</v>
      </c>
      <c r="CM64" s="695">
        <f>IF(BR64=0,0,(BS64-BR64)/BR64*100)</f>
        <v>0</v>
      </c>
      <c r="CN64" s="695">
        <f>IF(BS64=0,0,(BT64-BS64)/BS64*100)</f>
        <v>0</v>
      </c>
      <c r="CO64" s="695">
        <f>IF(BT64=0,0,(BU64-BT64)/BT64*100)</f>
        <v>0</v>
      </c>
      <c r="CP64" s="695">
        <f>IF(BU64=0,0,(BV64-BU64)/BU64*100)</f>
        <v>0</v>
      </c>
      <c r="CQ64" s="695">
        <f>IF(BV64=0,0,(BW64-BV64)/BV64*100)</f>
        <v>0</v>
      </c>
      <c r="CR64" s="1897"/>
      <c r="CS64" s="1897"/>
      <c r="CT64" s="1897"/>
      <c r="CU64" s="286"/>
      <c r="CV64" s="1659"/>
      <c r="CW64" s="489" t="s">
        <v>630</v>
      </c>
      <c r="CX64" s="489"/>
      <c r="CY64" s="489"/>
      <c r="CZ64" s="546"/>
      <c r="DA64" s="546"/>
      <c r="DB64" s="489" t="s">
        <v>630</v>
      </c>
      <c r="DC64" s="1506"/>
      <c r="DD64" s="1501" cm="1" t="str">
        <f t="array" ref="DD64:DD64">DD63</f>
        <v>ТЭ.42.31656254.0001</v>
      </c>
      <c r="DE64" s="1501"/>
      <c r="DF64" s="1501"/>
      <c r="DG64" s="1501"/>
      <c r="DH64" s="1501"/>
      <c r="DI64" s="1501"/>
      <c r="DJ64" s="1501"/>
      <c r="DK64" s="1501" t="s">
        <v>255</v>
      </c>
      <c r="DL64" s="1501"/>
      <c r="DM64" s="1501" t="s">
        <v>303</v>
      </c>
      <c r="DN64" s="1501" t="s">
        <v>1044</v>
      </c>
      <c r="DO64" s="1504" t="s">
        <v>1045</v>
      </c>
    </row>
    <row s="1751" customFormat="1" customHeight="1" ht="14.25">
      <c r="A65" s="371"/>
      <c r="B65" s="1548"/>
      <c r="C65" s="1548"/>
      <c r="D65" s="1548"/>
      <c r="E65" s="180">
        <v>15</v>
      </c>
      <c r="F65" s="175" cm="1" t="str">
        <f t="array" ref="F65:F65">OFFSET(G65,-1,-1)</f>
        <v>1</v>
      </c>
      <c r="G65" s="193" t="s">
        <v>1500</v>
      </c>
      <c r="H65" s="1659"/>
      <c r="I65" s="1659"/>
      <c r="J65" s="1659"/>
      <c r="K65" s="1659"/>
      <c r="L65" s="1659"/>
      <c r="M65" s="1659"/>
      <c r="N65" s="1659"/>
      <c r="O65" s="1659"/>
      <c r="P65" s="1659"/>
      <c r="Q65" s="1659"/>
      <c r="R65" s="1659"/>
      <c r="S65" s="1659"/>
      <c r="T65" s="753">
        <f>AND(F65,OR(ISBLANK(Y65),Y65))</f>
        <v>1</v>
      </c>
      <c r="U65" s="1548"/>
      <c r="V65" s="1548"/>
      <c r="W65" s="1548"/>
      <c r="X65" s="1548"/>
      <c r="Y65" s="1548"/>
      <c r="Z65" s="1548"/>
      <c r="AA65" s="286"/>
      <c r="AB65" s="491">
        <v>2</v>
      </c>
      <c r="AC65" s="505" t="s">
        <v>1671</v>
      </c>
      <c r="AD65" s="491" t="s">
        <v>917</v>
      </c>
      <c r="AE65" s="746">
        <f>_xlfn.SUMIFS(Налоги!AE$26:AE$55,Налоги!$F$26:$F$55,$F65,Налоги!$G$26:$G$55,$G65)</f>
        <v>0</v>
      </c>
      <c r="AF65" s="746">
        <f>_xlfn.SUMIFS(Налоги!AF$26:AF$55,Налоги!$F$26:$F$55,$F65,Налоги!$G$26:$G$55,$G65)</f>
        <v>0</v>
      </c>
      <c r="AG65" s="746">
        <f>_xlfn.SUMIFS(Налоги!AG$26:AG$55,Налоги!$F$26:$F$55,$F65,Налоги!$G$26:$G$55,$G65)</f>
        <v>0</v>
      </c>
      <c r="AH65" s="695">
        <f>AG65-AF65</f>
        <v>0</v>
      </c>
      <c r="AI65" s="746">
        <f>_xlfn.SUMIFS(Налоги!AH$26:AH$55,Налоги!$F$26:$F$55,$F65,Налоги!$G$26:$G$55,$G65)</f>
        <v>0</v>
      </c>
      <c r="AJ65" s="746">
        <f>_xlfn.SUMIFS(Налоги!AI$26:AI$55,Налоги!$F$26:$F$55,$F65,Налоги!$G$26:$G$55,$G65)</f>
        <v>0</v>
      </c>
      <c r="AK65" s="746">
        <f>_xlfn.SUMIFS(Налоги!AJ$26:AJ$55,Налоги!$F$26:$F$55,$F65,Налоги!$G$26:$G$55,$G65)</f>
        <v>0</v>
      </c>
      <c r="AL65" s="746">
        <f>_xlfn.SUMIFS(Налоги!AK$26:AK$55,Налоги!$F$26:$F$55,$F65,Налоги!$G$26:$G$55,$G65)</f>
        <v>0</v>
      </c>
      <c r="AM65" s="746">
        <f>_xlfn.SUMIFS(Налоги!AL$26:AL$55,Налоги!$F$26:$F$55,$F65,Налоги!$G$26:$G$55,$G65)</f>
        <v>0</v>
      </c>
      <c r="AN65" s="746">
        <f>_xlfn.SUMIFS(Налоги!AM$26:AM$55,Налоги!$F$26:$F$55,$F65,Налоги!$G$26:$G$55,$G65)</f>
        <v>0</v>
      </c>
      <c r="AO65" s="746">
        <f>_xlfn.SUMIFS(Налоги!AN$26:AN$55,Налоги!$F$26:$F$55,$F65,Налоги!$G$26:$G$55,$G65)</f>
        <v>0</v>
      </c>
      <c r="AP65" s="746">
        <f>_xlfn.SUMIFS(Налоги!AO$26:AO$55,Налоги!$F$26:$F$55,$F65,Налоги!$G$26:$G$55,$G65)</f>
        <v>0</v>
      </c>
      <c r="AQ65" s="746">
        <f>_xlfn.SUMIFS(Налоги!AP$26:AP$55,Налоги!$F$26:$F$55,$F65,Налоги!$G$26:$G$55,$G65)</f>
        <v>0</v>
      </c>
      <c r="AR65" s="746">
        <f>_xlfn.SUMIFS(Налоги!AQ$26:AQ$55,Налоги!$F$26:$F$55,$F65,Налоги!$G$26:$G$55,$G65)</f>
        <v>0</v>
      </c>
      <c r="AS65" s="746">
        <f>_xlfn.SUMIFS(Налоги!AR$26:AR$55,Налоги!$F$26:$F$55,$F65,Налоги!$G$26:$G$55,$G65)</f>
        <v>0</v>
      </c>
      <c r="AT65" s="746">
        <f>_xlfn.SUMIFS(Налоги!AS$26:AS$55,Налоги!$F$26:$F$55,$F65,Налоги!$G$26:$G$55,$G65)</f>
        <v>0</v>
      </c>
      <c r="AU65" s="746">
        <f>_xlfn.SUMIFS(Налоги!AT$26:AT$55,Налоги!$F$26:$F$55,$F65,Налоги!$G$26:$G$55,$G65)</f>
        <v>0</v>
      </c>
      <c r="AV65" s="746">
        <f>_xlfn.SUMIFS(Налоги!AU$26:AU$55,Налоги!$F$26:$F$55,$F65,Налоги!$G$26:$G$55,$G65)</f>
        <v>0</v>
      </c>
      <c r="AW65" s="746">
        <f>_xlfn.SUMIFS(Налоги!AV$26:AV$55,Налоги!$F$26:$F$55,$F65,Налоги!$G$26:$G$55,$G65)</f>
        <v>0</v>
      </c>
      <c r="AX65" s="746">
        <f>_xlfn.SUMIFS(Налоги!AW$26:AW$55,Налоги!$F$26:$F$55,$F65,Налоги!$G$26:$G$55,$G65)</f>
        <v>0</v>
      </c>
      <c r="AY65" s="746">
        <f>_xlfn.SUMIFS(Налоги!AX$26:AX$55,Налоги!$F$26:$F$55,$F65,Налоги!$G$26:$G$55,$G65)</f>
        <v>0</v>
      </c>
      <c r="AZ65" s="746">
        <f>_xlfn.SUMIFS(Налоги!AY$26:AY$55,Налоги!$F$26:$F$55,$F65,Налоги!$G$26:$G$55,$G65)</f>
        <v>0</v>
      </c>
      <c r="BA65" s="746">
        <f>_xlfn.SUMIFS(Налоги!AZ$26:AZ$55,Налоги!$F$26:$F$55,$F65,Налоги!$G$26:$G$55,$G65)</f>
        <v>0</v>
      </c>
      <c r="BB65" s="746">
        <f>_xlfn.SUMIFS(Налоги!BA$26:BA$55,Налоги!$F$26:$F$55,$F65,Налоги!$G$26:$G$55,$G65)</f>
        <v>0</v>
      </c>
      <c r="BC65" s="746">
        <f>_xlfn.SUMIFS(Налоги!BB$26:BB$55,Налоги!$F$26:$F$55,$F65,Налоги!$G$26:$G$55,$G65)</f>
        <v>0</v>
      </c>
      <c r="BD65" s="746">
        <f>_xlfn.SUMIFS(Налоги!BC$26:BC$55,Налоги!$F$26:$F$55,$F65,Налоги!$G$26:$G$55,$G65)</f>
        <v>0</v>
      </c>
      <c r="BE65" s="746">
        <f>_xlfn.SUMIFS(Налоги!BD$26:BD$55,Налоги!$F$26:$F$55,$F65,Налоги!$G$26:$G$55,$G65)</f>
        <v>0</v>
      </c>
      <c r="BF65" s="746">
        <f>_xlfn.SUMIFS(Налоги!BE$26:BE$55,Налоги!$F$26:$F$55,$F65,Налоги!$G$26:$G$55,$G65)</f>
        <v>0</v>
      </c>
      <c r="BG65" s="746">
        <f>_xlfn.SUMIFS(Налоги!BF$26:BF$55,Налоги!$F$26:$F$55,$F65,Налоги!$G$26:$G$55,$G65)</f>
        <v>0</v>
      </c>
      <c r="BH65" s="746">
        <f>_xlfn.SUMIFS(Налоги!BG$26:BG$55,Налоги!$F$26:$F$55,$F65,Налоги!$G$26:$G$55,$G65)</f>
        <v>0</v>
      </c>
      <c r="BI65" s="746">
        <f>_xlfn.SUMIFS(Налоги!BH$26:BH$55,Налоги!$F$26:$F$55,$F65,Налоги!$G$26:$G$55,$G65)</f>
        <v>0</v>
      </c>
      <c r="BJ65" s="746">
        <f>_xlfn.SUMIFS(Налоги!BI$26:BI$55,Налоги!$F$26:$F$55,$F65,Налоги!$G$26:$G$55,$G65)</f>
        <v>0</v>
      </c>
      <c r="BK65" s="746">
        <f>_xlfn.SUMIFS(Налоги!BJ$26:BJ$55,Налоги!$F$26:$F$55,$F65,Налоги!$G$26:$G$55,$G65)</f>
        <v>0</v>
      </c>
      <c r="BL65" s="746">
        <f>_xlfn.SUMIFS(Налоги!BK$26:BK$55,Налоги!$F$26:$F$55,$F65,Налоги!$G$26:$G$55,$G65)</f>
        <v>0</v>
      </c>
      <c r="BM65" s="746">
        <f>_xlfn.SUMIFS(Налоги!BL$26:BL$55,Налоги!$F$26:$F$55,$F65,Налоги!$G$26:$G$55,$G65)</f>
        <v>0</v>
      </c>
      <c r="BN65" s="746">
        <f>_xlfn.SUMIFS(Налоги!BM$26:BM$55,Налоги!$F$26:$F$55,$F65,Налоги!$G$26:$G$55,$G65)</f>
        <v>0</v>
      </c>
      <c r="BO65" s="746">
        <f>_xlfn.SUMIFS(Налоги!BN$26:BN$55,Налоги!$F$26:$F$55,$F65,Налоги!$G$26:$G$55,$G65)</f>
        <v>0</v>
      </c>
      <c r="BP65" s="746">
        <f>_xlfn.SUMIFS(Налоги!BO$26:BO$55,Налоги!$F$26:$F$55,$F65,Налоги!$G$26:$G$55,$G65)</f>
        <v>0</v>
      </c>
      <c r="BQ65" s="746">
        <f>_xlfn.SUMIFS(Налоги!BP$26:BP$55,Налоги!$F$26:$F$55,$F65,Налоги!$G$26:$G$55,$G65)</f>
        <v>0</v>
      </c>
      <c r="BR65" s="746">
        <f>_xlfn.SUMIFS(Налоги!BQ$26:BQ$55,Налоги!$F$26:$F$55,$F65,Налоги!$G$26:$G$55,$G65)</f>
        <v>0</v>
      </c>
      <c r="BS65" s="746">
        <f>_xlfn.SUMIFS(Налоги!BR$26:BR$55,Налоги!$F$26:$F$55,$F65,Налоги!$G$26:$G$55,$G65)</f>
        <v>0</v>
      </c>
      <c r="BT65" s="746">
        <f>_xlfn.SUMIFS(Налоги!BS$26:BS$55,Налоги!$F$26:$F$55,$F65,Налоги!$G$26:$G$55,$G65)</f>
        <v>0</v>
      </c>
      <c r="BU65" s="746">
        <f>_xlfn.SUMIFS(Налоги!BT$26:BT$55,Налоги!$F$26:$F$55,$F65,Налоги!$G$26:$G$55,$G65)</f>
        <v>0</v>
      </c>
      <c r="BV65" s="746">
        <f>_xlfn.SUMIFS(Налоги!BU$26:BU$55,Налоги!$F$26:$F$55,$F65,Налоги!$G$26:$G$55,$G65)</f>
        <v>0</v>
      </c>
      <c r="BW65" s="746">
        <f>_xlfn.SUMIFS(Налоги!BV$26:BV$55,Налоги!$F$26:$F$55,$F65,Налоги!$G$26:$G$55,$G65)</f>
        <v>0</v>
      </c>
      <c r="BX65" s="695">
        <f>IF(AI65=0,0,(BD65-AI65)/AI65*100)</f>
        <v>0</v>
      </c>
      <c r="BY65" s="695">
        <f>IF(BD65=0,0,(BE65-BD65)/BD65*100)</f>
        <v>0</v>
      </c>
      <c r="BZ65" s="695">
        <f>IF(BE65=0,0,(BF65-BE65)/BE65*100)</f>
        <v>0</v>
      </c>
      <c r="CA65" s="695">
        <f>IF(BF65=0,0,(BG65-BF65)/BF65*100)</f>
        <v>0</v>
      </c>
      <c r="CB65" s="695">
        <f>IF(BG65=0,0,(BH65-BG65)/BG65*100)</f>
        <v>0</v>
      </c>
      <c r="CC65" s="695">
        <f>IF(BH65=0,0,(BI65-BH65)/BH65*100)</f>
        <v>0</v>
      </c>
      <c r="CD65" s="695">
        <f>IF(BI65=0,0,(BJ65-BI65)/BI65*100)</f>
        <v>0</v>
      </c>
      <c r="CE65" s="695">
        <f>IF(BJ65=0,0,(BK65-BJ65)/BJ65*100)</f>
        <v>0</v>
      </c>
      <c r="CF65" s="695">
        <f>IF(BK65=0,0,(BL65-BK65)/BK65*100)</f>
        <v>0</v>
      </c>
      <c r="CG65" s="695">
        <f>IF(BL65=0,0,(BM65-BL65)/BL65*100)</f>
        <v>0</v>
      </c>
      <c r="CH65" s="695">
        <f>IF(BM65=0,0,(BN65-BM65)/BM65*100)</f>
        <v>0</v>
      </c>
      <c r="CI65" s="695">
        <f>IF(BN65=0,0,(BO65-BN65)/BN65*100)</f>
        <v>0</v>
      </c>
      <c r="CJ65" s="695">
        <f>IF(BO65=0,0,(BP65-BO65)/BO65*100)</f>
        <v>0</v>
      </c>
      <c r="CK65" s="695">
        <f>IF(BP65=0,0,(BQ65-BP65)/BP65*100)</f>
        <v>0</v>
      </c>
      <c r="CL65" s="695">
        <f>IF(BQ65=0,0,(BR65-BQ65)/BQ65*100)</f>
        <v>0</v>
      </c>
      <c r="CM65" s="695">
        <f>IF(BR65=0,0,(BS65-BR65)/BR65*100)</f>
        <v>0</v>
      </c>
      <c r="CN65" s="695">
        <f>IF(BS65=0,0,(BT65-BS65)/BS65*100)</f>
        <v>0</v>
      </c>
      <c r="CO65" s="695">
        <f>IF(BT65=0,0,(BU65-BT65)/BT65*100)</f>
        <v>0</v>
      </c>
      <c r="CP65" s="695">
        <f>IF(BU65=0,0,(BV65-BU65)/BU65*100)</f>
        <v>0</v>
      </c>
      <c r="CQ65" s="695">
        <f>IF(BV65=0,0,(BW65-BV65)/BV65*100)</f>
        <v>0</v>
      </c>
      <c r="CR65" s="1897"/>
      <c r="CS65" s="1897"/>
      <c r="CT65" s="1897"/>
      <c r="CU65" s="286"/>
      <c r="CV65" s="1659"/>
      <c r="CW65" s="489" t="s">
        <v>590</v>
      </c>
      <c r="CX65" s="489"/>
      <c r="CY65" s="489"/>
      <c r="CZ65" s="546"/>
      <c r="DA65" s="546"/>
      <c r="DB65" s="489" t="s">
        <v>590</v>
      </c>
      <c r="DC65" s="1506"/>
      <c r="DD65" s="1501" cm="1" t="str">
        <f t="array" ref="DD65:DD65">DD64</f>
        <v>ТЭ.42.31656254.0001</v>
      </c>
      <c r="DE65" s="1501"/>
      <c r="DF65" s="1501"/>
      <c r="DG65" s="1501" t="s">
        <v>1672</v>
      </c>
      <c r="DH65" s="1501"/>
      <c r="DI65" s="1501"/>
      <c r="DJ65" s="1501"/>
      <c r="DK65" s="1501"/>
      <c r="DL65" s="1501"/>
      <c r="DM65" s="1501" t="s">
        <v>303</v>
      </c>
      <c r="DN65" s="1501" t="s">
        <v>1673</v>
      </c>
      <c r="DO65" s="1504" t="s">
        <v>1674</v>
      </c>
    </row>
    <row s="1751" customFormat="1" customHeight="1" ht="27">
      <c r="A66" s="371"/>
      <c r="B66" s="1548"/>
      <c r="C66" s="1548"/>
      <c r="D66" s="1548"/>
      <c r="E66" s="180">
        <v>28</v>
      </c>
      <c r="F66" s="175" cm="1" t="str">
        <f t="array" ref="F66:F66">OFFSET(G66,-1,-1)</f>
        <v>1</v>
      </c>
      <c r="G66" s="193" t="s">
        <v>1537</v>
      </c>
      <c r="H66" s="1659"/>
      <c r="I66" s="1659"/>
      <c r="J66" s="1659"/>
      <c r="K66" s="1659"/>
      <c r="L66" s="1659"/>
      <c r="M66" s="1659"/>
      <c r="N66" s="1659"/>
      <c r="O66" s="1659"/>
      <c r="P66" s="1659"/>
      <c r="Q66" s="1659"/>
      <c r="R66" s="1659"/>
      <c r="S66" s="1659"/>
      <c r="T66" s="753">
        <f>AND(F66,OR(ISBLANK(Y66),Y66))</f>
        <v>1</v>
      </c>
      <c r="U66" s="1548"/>
      <c r="V66" s="1548"/>
      <c r="W66" s="1548"/>
      <c r="X66" s="1548"/>
      <c r="Y66" s="1548"/>
      <c r="Z66" s="1548"/>
      <c r="AA66" s="286"/>
      <c r="AB66" s="491">
        <v>3</v>
      </c>
      <c r="AC66" s="505" t="s">
        <v>1675</v>
      </c>
      <c r="AD66" s="491" t="s">
        <v>917</v>
      </c>
      <c r="AE66" s="2356"/>
      <c r="AF66" s="2356"/>
      <c r="AG66" s="2356"/>
      <c r="AH66" s="695">
        <f>AG66-AF66</f>
        <v>0</v>
      </c>
      <c r="AI66" s="2356"/>
      <c r="AJ66" s="746">
        <f>_xlfn.SUMIFS(Экономия_корр!AE$26:AE$43,Экономия_корр!$F$26:$F$43,$F66,Экономия_корр!$G$26:$G$43,$G66)</f>
        <v>0</v>
      </c>
      <c r="AK66" s="746">
        <f>_xlfn.SUMIFS(Экономия_корр!AF$26:AF$43,Экономия_корр!$F$26:$F$43,$F66,Экономия_корр!$G$26:$G$43,$G66)</f>
        <v>0</v>
      </c>
      <c r="AL66" s="746">
        <f>_xlfn.SUMIFS(Экономия_корр!AG$26:AG$43,Экономия_корр!$F$26:$F$43,$F66,Экономия_корр!$G$26:$G$43,$G66)</f>
        <v>0</v>
      </c>
      <c r="AM66" s="746">
        <f>_xlfn.SUMIFS(Экономия_корр!AH$26:AH$43,Экономия_корр!$F$26:$F$43,$F66,Экономия_корр!$G$26:$G$43,$G66)</f>
        <v>0</v>
      </c>
      <c r="AN66" s="746">
        <f>_xlfn.SUMIFS(Экономия_корр!AI$26:AI$43,Экономия_корр!$F$26:$F$43,$F66,Экономия_корр!$G$26:$G$43,$G66)</f>
        <v>0</v>
      </c>
      <c r="AO66" s="746">
        <f>_xlfn.SUMIFS(Экономия_корр!AJ$26:AJ$43,Экономия_корр!$F$26:$F$43,$F66,Экономия_корр!$G$26:$G$43,$G66)</f>
        <v>0</v>
      </c>
      <c r="AP66" s="746">
        <f>_xlfn.SUMIFS(Экономия_корр!AK$26:AK$43,Экономия_корр!$F$26:$F$43,$F66,Экономия_корр!$G$26:$G$43,$G66)</f>
        <v>0</v>
      </c>
      <c r="AQ66" s="746">
        <f>_xlfn.SUMIFS(Экономия_корр!AL$26:AL$43,Экономия_корр!$F$26:$F$43,$F66,Экономия_корр!$G$26:$G$43,$G66)</f>
        <v>0</v>
      </c>
      <c r="AR66" s="746">
        <f>_xlfn.SUMIFS(Экономия_корр!AM$26:AM$43,Экономия_корр!$F$26:$F$43,$F66,Экономия_корр!$G$26:$G$43,$G66)</f>
        <v>0</v>
      </c>
      <c r="AS66" s="746">
        <f>_xlfn.SUMIFS(Экономия_корр!AN$26:AN$43,Экономия_корр!$F$26:$F$43,$F66,Экономия_корр!$G$26:$G$43,$G66)</f>
        <v>0</v>
      </c>
      <c r="AT66" s="746">
        <f>_xlfn.SUMIFS(Экономия_корр!AO$26:AO$43,Экономия_корр!$F$26:$F$43,$F66,Экономия_корр!$G$26:$G$43,$G66)</f>
        <v>0</v>
      </c>
      <c r="AU66" s="746">
        <f>_xlfn.SUMIFS(Экономия_корр!AP$26:AP$43,Экономия_корр!$F$26:$F$43,$F66,Экономия_корр!$G$26:$G$43,$G66)</f>
        <v>0</v>
      </c>
      <c r="AV66" s="746">
        <f>_xlfn.SUMIFS(Экономия_корр!AQ$26:AQ$43,Экономия_корр!$F$26:$F$43,$F66,Экономия_корр!$G$26:$G$43,$G66)</f>
        <v>0</v>
      </c>
      <c r="AW66" s="746">
        <f>_xlfn.SUMIFS(Экономия_корр!AR$26:AR$43,Экономия_корр!$F$26:$F$43,$F66,Экономия_корр!$G$26:$G$43,$G66)</f>
        <v>0</v>
      </c>
      <c r="AX66" s="746">
        <f>_xlfn.SUMIFS(Экономия_корр!AS$26:AS$43,Экономия_корр!$F$26:$F$43,$F66,Экономия_корр!$G$26:$G$43,$G66)</f>
        <v>0</v>
      </c>
      <c r="AY66" s="746">
        <f>_xlfn.SUMIFS(Экономия_корр!AT$26:AT$43,Экономия_корр!$F$26:$F$43,$F66,Экономия_корр!$G$26:$G$43,$G66)</f>
        <v>0</v>
      </c>
      <c r="AZ66" s="746">
        <f>_xlfn.SUMIFS(Экономия_корр!AU$26:AU$43,Экономия_корр!$F$26:$F$43,$F66,Экономия_корр!$G$26:$G$43,$G66)</f>
        <v>0</v>
      </c>
      <c r="BA66" s="746">
        <f>_xlfn.SUMIFS(Экономия_корр!AV$26:AV$43,Экономия_корр!$F$26:$F$43,$F66,Экономия_корр!$G$26:$G$43,$G66)</f>
        <v>0</v>
      </c>
      <c r="BB66" s="746">
        <f>_xlfn.SUMIFS(Экономия_корр!AW$26:AW$43,Экономия_корр!$F$26:$F$43,$F66,Экономия_корр!$G$26:$G$43,$G66)</f>
        <v>0</v>
      </c>
      <c r="BC66" s="746">
        <f>_xlfn.SUMIFS(Экономия_корр!AX$26:AX$43,Экономия_корр!$F$26:$F$43,$F66,Экономия_корр!$G$26:$G$43,$G66)</f>
        <v>0</v>
      </c>
      <c r="BD66" s="746">
        <f>_xlfn.SUMIFS(Экономия_корр!AY$26:AY$43,Экономия_корр!$F$26:$F$43,$F66,Экономия_корр!$G$26:$G$43,$G66)</f>
        <v>0</v>
      </c>
      <c r="BE66" s="746">
        <f>_xlfn.SUMIFS(Экономия_корр!AZ$26:AZ$43,Экономия_корр!$F$26:$F$43,$F66,Экономия_корр!$G$26:$G$43,$G66)</f>
        <v>0</v>
      </c>
      <c r="BF66" s="746">
        <f>_xlfn.SUMIFS(Экономия_корр!BA$26:BA$43,Экономия_корр!$F$26:$F$43,$F66,Экономия_корр!$G$26:$G$43,$G66)</f>
        <v>0</v>
      </c>
      <c r="BG66" s="746">
        <f>_xlfn.SUMIFS(Экономия_корр!BB$26:BB$43,Экономия_корр!$F$26:$F$43,$F66,Экономия_корр!$G$26:$G$43,$G66)</f>
        <v>0</v>
      </c>
      <c r="BH66" s="746">
        <f>_xlfn.SUMIFS(Экономия_корр!BC$26:BC$43,Экономия_корр!$F$26:$F$43,$F66,Экономия_корр!$G$26:$G$43,$G66)</f>
        <v>0</v>
      </c>
      <c r="BI66" s="746">
        <f>_xlfn.SUMIFS(Экономия_корр!BD$26:BD$43,Экономия_корр!$F$26:$F$43,$F66,Экономия_корр!$G$26:$G$43,$G66)</f>
        <v>0</v>
      </c>
      <c r="BJ66" s="746">
        <f>_xlfn.SUMIFS(Экономия_корр!BE$26:BE$43,Экономия_корр!$F$26:$F$43,$F66,Экономия_корр!$G$26:$G$43,$G66)</f>
        <v>0</v>
      </c>
      <c r="BK66" s="746">
        <f>_xlfn.SUMIFS(Экономия_корр!BF$26:BF$43,Экономия_корр!$F$26:$F$43,$F66,Экономия_корр!$G$26:$G$43,$G66)</f>
        <v>0</v>
      </c>
      <c r="BL66" s="746">
        <f>_xlfn.SUMIFS(Экономия_корр!BG$26:BG$43,Экономия_корр!$F$26:$F$43,$F66,Экономия_корр!$G$26:$G$43,$G66)</f>
        <v>0</v>
      </c>
      <c r="BM66" s="746">
        <f>_xlfn.SUMIFS(Экономия_корр!BH$26:BH$43,Экономия_корр!$F$26:$F$43,$F66,Экономия_корр!$G$26:$G$43,$G66)</f>
        <v>0</v>
      </c>
      <c r="BN66" s="746">
        <f>_xlfn.SUMIFS(Экономия_корр!BI$26:BI$43,Экономия_корр!$F$26:$F$43,$F66,Экономия_корр!$G$26:$G$43,$G66)</f>
        <v>0</v>
      </c>
      <c r="BO66" s="746">
        <f>_xlfn.SUMIFS(Экономия_корр!BJ$26:BJ$43,Экономия_корр!$F$26:$F$43,$F66,Экономия_корр!$G$26:$G$43,$G66)</f>
        <v>0</v>
      </c>
      <c r="BP66" s="746">
        <f>_xlfn.SUMIFS(Экономия_корр!BK$26:BK$43,Экономия_корр!$F$26:$F$43,$F66,Экономия_корр!$G$26:$G$43,$G66)</f>
        <v>0</v>
      </c>
      <c r="BQ66" s="746">
        <f>_xlfn.SUMIFS(Экономия_корр!BL$26:BL$43,Экономия_корр!$F$26:$F$43,$F66,Экономия_корр!$G$26:$G$43,$G66)</f>
        <v>0</v>
      </c>
      <c r="BR66" s="746">
        <f>_xlfn.SUMIFS(Экономия_корр!BM$26:BM$43,Экономия_корр!$F$26:$F$43,$F66,Экономия_корр!$G$26:$G$43,$G66)</f>
        <v>0</v>
      </c>
      <c r="BS66" s="746">
        <f>_xlfn.SUMIFS(Экономия_корр!BN$26:BN$43,Экономия_корр!$F$26:$F$43,$F66,Экономия_корр!$G$26:$G$43,$G66)</f>
        <v>0</v>
      </c>
      <c r="BT66" s="746">
        <f>_xlfn.SUMIFS(Экономия_корр!BO$26:BO$43,Экономия_корр!$F$26:$F$43,$F66,Экономия_корр!$G$26:$G$43,$G66)</f>
        <v>0</v>
      </c>
      <c r="BU66" s="746">
        <f>_xlfn.SUMIFS(Экономия_корр!BP$26:BP$43,Экономия_корр!$F$26:$F$43,$F66,Экономия_корр!$G$26:$G$43,$G66)</f>
        <v>0</v>
      </c>
      <c r="BV66" s="746">
        <f>_xlfn.SUMIFS(Экономия_корр!BQ$26:BQ$43,Экономия_корр!$F$26:$F$43,$F66,Экономия_корр!$G$26:$G$43,$G66)</f>
        <v>0</v>
      </c>
      <c r="BW66" s="746">
        <f>_xlfn.SUMIFS(Экономия_корр!BR$26:BR$43,Экономия_корр!$F$26:$F$43,$F66,Экономия_корр!$G$26:$G$43,$G66)</f>
        <v>0</v>
      </c>
      <c r="BX66" s="695">
        <f>IF(AI66=0,0,(BD66-AI66)/AI66*100)</f>
        <v>0</v>
      </c>
      <c r="BY66" s="695">
        <f>IF(BD66=0,0,(BE66-BD66)/BD66*100)</f>
        <v>0</v>
      </c>
      <c r="BZ66" s="695">
        <f>IF(BE66=0,0,(BF66-BE66)/BE66*100)</f>
        <v>0</v>
      </c>
      <c r="CA66" s="695">
        <f>IF(BF66=0,0,(BG66-BF66)/BF66*100)</f>
        <v>0</v>
      </c>
      <c r="CB66" s="695">
        <f>IF(BG66=0,0,(BH66-BG66)/BG66*100)</f>
        <v>0</v>
      </c>
      <c r="CC66" s="695">
        <f>IF(BH66=0,0,(BI66-BH66)/BH66*100)</f>
        <v>0</v>
      </c>
      <c r="CD66" s="695">
        <f>IF(BI66=0,0,(BJ66-BI66)/BI66*100)</f>
        <v>0</v>
      </c>
      <c r="CE66" s="695">
        <f>IF(BJ66=0,0,(BK66-BJ66)/BJ66*100)</f>
        <v>0</v>
      </c>
      <c r="CF66" s="695">
        <f>IF(BK66=0,0,(BL66-BK66)/BK66*100)</f>
        <v>0</v>
      </c>
      <c r="CG66" s="695">
        <f>IF(BL66=0,0,(BM66-BL66)/BL66*100)</f>
        <v>0</v>
      </c>
      <c r="CH66" s="695">
        <f>IF(BM66=0,0,(BN66-BM66)/BM66*100)</f>
        <v>0</v>
      </c>
      <c r="CI66" s="695">
        <f>IF(BN66=0,0,(BO66-BN66)/BN66*100)</f>
        <v>0</v>
      </c>
      <c r="CJ66" s="695">
        <f>IF(BO66=0,0,(BP66-BO66)/BO66*100)</f>
        <v>0</v>
      </c>
      <c r="CK66" s="695">
        <f>IF(BP66=0,0,(BQ66-BP66)/BP66*100)</f>
        <v>0</v>
      </c>
      <c r="CL66" s="695">
        <f>IF(BQ66=0,0,(BR66-BQ66)/BQ66*100)</f>
        <v>0</v>
      </c>
      <c r="CM66" s="695">
        <f>IF(BR66=0,0,(BS66-BR66)/BR66*100)</f>
        <v>0</v>
      </c>
      <c r="CN66" s="695">
        <f>IF(BS66=0,0,(BT66-BS66)/BS66*100)</f>
        <v>0</v>
      </c>
      <c r="CO66" s="695">
        <f>IF(BT66=0,0,(BU66-BT66)/BT66*100)</f>
        <v>0</v>
      </c>
      <c r="CP66" s="695">
        <f>IF(BU66=0,0,(BV66-BU66)/BU66*100)</f>
        <v>0</v>
      </c>
      <c r="CQ66" s="695">
        <f>IF(BV66=0,0,(BW66-BV66)/BV66*100)</f>
        <v>0</v>
      </c>
      <c r="CR66" s="1897"/>
      <c r="CS66" s="1897"/>
      <c r="CT66" s="1897"/>
      <c r="CU66" s="286"/>
      <c r="CV66" s="1659"/>
      <c r="CW66" s="489" t="s">
        <v>1676</v>
      </c>
      <c r="CX66" s="489"/>
      <c r="CY66" s="489"/>
      <c r="CZ66" s="546"/>
      <c r="DA66" s="546"/>
      <c r="DB66" s="489" t="s">
        <v>1676</v>
      </c>
      <c r="DC66" s="1506"/>
      <c r="DD66" s="1501" cm="1" t="str">
        <f t="array" ref="DD66:DD66">DD65</f>
        <v>ТЭ.42.31656254.0001</v>
      </c>
      <c r="DE66" s="1501"/>
      <c r="DF66" s="1501"/>
      <c r="DG66" s="1501"/>
      <c r="DH66" s="1501"/>
      <c r="DI66" s="1501"/>
      <c r="DJ66" s="1501" t="s">
        <v>1518</v>
      </c>
      <c r="DK66" s="1501"/>
      <c r="DL66" s="1501"/>
      <c r="DM66" s="1501" t="s">
        <v>303</v>
      </c>
      <c r="DN66" s="1501" t="s">
        <v>1519</v>
      </c>
      <c r="DO66" s="1504" t="s">
        <v>1520</v>
      </c>
    </row>
    <row s="1751" customFormat="1" customHeight="1" ht="27">
      <c r="A67" s="371"/>
      <c r="B67" s="1548"/>
      <c r="C67" s="1548"/>
      <c r="D67" s="1548"/>
      <c r="E67" s="180">
        <v>28</v>
      </c>
      <c r="F67" s="175" cm="1" t="str">
        <f t="array" ref="F67:F67">OFFSET(G67,-1,-1)</f>
        <v>1</v>
      </c>
      <c r="G67" s="1659"/>
      <c r="H67" s="1659"/>
      <c r="I67" s="1659"/>
      <c r="J67" s="1659"/>
      <c r="K67" s="1659"/>
      <c r="L67" s="1659"/>
      <c r="M67" s="1659"/>
      <c r="N67" s="1659"/>
      <c r="O67" s="1659"/>
      <c r="P67" s="1659"/>
      <c r="Q67" s="1659"/>
      <c r="R67" s="1659"/>
      <c r="S67" s="1659"/>
      <c r="T67" s="753">
        <f>AND(F67,OR(ISBLANK(Y67),Y67))</f>
        <v>1</v>
      </c>
      <c r="U67" s="1548"/>
      <c r="V67" s="1548"/>
      <c r="W67" s="1548"/>
      <c r="X67" s="1548"/>
      <c r="Y67" s="1548"/>
      <c r="Z67" s="1548"/>
      <c r="AA67" s="286"/>
      <c r="AB67" s="491">
        <v>4</v>
      </c>
      <c r="AC67" s="505" t="s">
        <v>1677</v>
      </c>
      <c r="AD67" s="491" t="s">
        <v>917</v>
      </c>
      <c r="AE67" s="2356"/>
      <c r="AF67" s="2356"/>
      <c r="AG67" s="2356"/>
      <c r="AH67" s="695">
        <f>AG67-AF67</f>
        <v>0</v>
      </c>
      <c r="AI67" s="2356"/>
      <c r="AJ67" s="749"/>
      <c r="AK67" s="2356"/>
      <c r="AL67" s="2356"/>
      <c r="AM67" s="2356"/>
      <c r="AN67" s="2356"/>
      <c r="AO67" s="2356"/>
      <c r="AP67" s="2356"/>
      <c r="AQ67" s="2356"/>
      <c r="AR67" s="2356"/>
      <c r="AS67" s="2356"/>
      <c r="AT67" s="2356"/>
      <c r="AU67" s="2356"/>
      <c r="AV67" s="2356"/>
      <c r="AW67" s="2356"/>
      <c r="AX67" s="2356"/>
      <c r="AY67" s="2356"/>
      <c r="AZ67" s="2356"/>
      <c r="BA67" s="2356"/>
      <c r="BB67" s="2356"/>
      <c r="BC67" s="2356"/>
      <c r="BD67" s="749"/>
      <c r="BE67" s="2356"/>
      <c r="BF67" s="2356"/>
      <c r="BG67" s="2356"/>
      <c r="BH67" s="2356"/>
      <c r="BI67" s="2356"/>
      <c r="BJ67" s="2356"/>
      <c r="BK67" s="2356"/>
      <c r="BL67" s="2356"/>
      <c r="BM67" s="2356"/>
      <c r="BN67" s="2356"/>
      <c r="BO67" s="2356"/>
      <c r="BP67" s="2356"/>
      <c r="BQ67" s="2356"/>
      <c r="BR67" s="2356"/>
      <c r="BS67" s="2356"/>
      <c r="BT67" s="2356"/>
      <c r="BU67" s="2356"/>
      <c r="BV67" s="2356"/>
      <c r="BW67" s="2356"/>
      <c r="BX67" s="695">
        <f>IF(AI67=0,0,(BD67-AI67)/AI67*100)</f>
        <v>0</v>
      </c>
      <c r="BY67" s="695">
        <f>IF(BD67=0,0,(BE67-BD67)/BD67*100)</f>
        <v>0</v>
      </c>
      <c r="BZ67" s="695">
        <f>IF(BE67=0,0,(BF67-BE67)/BE67*100)</f>
        <v>0</v>
      </c>
      <c r="CA67" s="695">
        <f>IF(BF67=0,0,(BG67-BF67)/BF67*100)</f>
        <v>0</v>
      </c>
      <c r="CB67" s="695">
        <f>IF(BG67=0,0,(BH67-BG67)/BG67*100)</f>
        <v>0</v>
      </c>
      <c r="CC67" s="695">
        <f>IF(BH67=0,0,(BI67-BH67)/BH67*100)</f>
        <v>0</v>
      </c>
      <c r="CD67" s="695">
        <f>IF(BI67=0,0,(BJ67-BI67)/BI67*100)</f>
        <v>0</v>
      </c>
      <c r="CE67" s="695">
        <f>IF(BJ67=0,0,(BK67-BJ67)/BJ67*100)</f>
        <v>0</v>
      </c>
      <c r="CF67" s="695">
        <f>IF(BK67=0,0,(BL67-BK67)/BK67*100)</f>
        <v>0</v>
      </c>
      <c r="CG67" s="695">
        <f>IF(BL67=0,0,(BM67-BL67)/BL67*100)</f>
        <v>0</v>
      </c>
      <c r="CH67" s="695">
        <f>IF(BM67=0,0,(BN67-BM67)/BM67*100)</f>
        <v>0</v>
      </c>
      <c r="CI67" s="695">
        <f>IF(BN67=0,0,(BO67-BN67)/BN67*100)</f>
        <v>0</v>
      </c>
      <c r="CJ67" s="695">
        <f>IF(BO67=0,0,(BP67-BO67)/BO67*100)</f>
        <v>0</v>
      </c>
      <c r="CK67" s="695">
        <f>IF(BP67=0,0,(BQ67-BP67)/BP67*100)</f>
        <v>0</v>
      </c>
      <c r="CL67" s="695">
        <f>IF(BQ67=0,0,(BR67-BQ67)/BQ67*100)</f>
        <v>0</v>
      </c>
      <c r="CM67" s="695">
        <f>IF(BR67=0,0,(BS67-BR67)/BR67*100)</f>
        <v>0</v>
      </c>
      <c r="CN67" s="695">
        <f>IF(BS67=0,0,(BT67-BS67)/BS67*100)</f>
        <v>0</v>
      </c>
      <c r="CO67" s="695">
        <f>IF(BT67=0,0,(BU67-BT67)/BT67*100)</f>
        <v>0</v>
      </c>
      <c r="CP67" s="695">
        <f>IF(BU67=0,0,(BV67-BU67)/BU67*100)</f>
        <v>0</v>
      </c>
      <c r="CQ67" s="695">
        <f>IF(BV67=0,0,(BW67-BV67)/BV67*100)</f>
        <v>0</v>
      </c>
      <c r="CR67" s="1897"/>
      <c r="CS67" s="1897"/>
      <c r="CT67" s="1897"/>
      <c r="CU67" s="286"/>
      <c r="CV67" s="1659"/>
      <c r="CW67" s="489" t="s">
        <v>1678</v>
      </c>
      <c r="CX67" s="489"/>
      <c r="CY67" s="489"/>
      <c r="CZ67" s="546"/>
      <c r="DA67" s="546"/>
      <c r="DB67" s="489" t="s">
        <v>1678</v>
      </c>
      <c r="DC67" s="1506"/>
      <c r="DD67" s="1501" cm="1" t="str">
        <f t="array" ref="DD67:DD67">DD66</f>
        <v>ТЭ.42.31656254.0001</v>
      </c>
      <c r="DE67" s="1501"/>
      <c r="DF67" s="1501"/>
      <c r="DG67" s="1501" t="s">
        <v>1679</v>
      </c>
      <c r="DH67" s="1501"/>
      <c r="DI67" s="1501"/>
      <c r="DJ67" s="1501"/>
      <c r="DK67" s="1501"/>
      <c r="DL67" s="1501"/>
      <c r="DM67" s="1501" t="s">
        <v>303</v>
      </c>
      <c r="DN67" s="1501" t="s">
        <v>1044</v>
      </c>
      <c r="DO67" s="1504" t="s">
        <v>1045</v>
      </c>
    </row>
    <row s="1751" customFormat="1" customHeight="1" ht="14.25" hidden="1">
      <c r="A68" s="371"/>
      <c r="B68" s="1548"/>
      <c r="C68" s="1548"/>
      <c r="D68" s="1548"/>
      <c r="E68" s="180">
        <v>15</v>
      </c>
      <c r="F68" s="175" cm="1" t="str">
        <f t="array" ref="F68:F68">OFFSET(G68,-1,-1)</f>
        <v>1</v>
      </c>
      <c r="G68" s="1659"/>
      <c r="H68" s="1659"/>
      <c r="I68" s="1659"/>
      <c r="J68" s="1659"/>
      <c r="K68" s="1659"/>
      <c r="L68" s="1659"/>
      <c r="M68" s="1659"/>
      <c r="N68" s="1659"/>
      <c r="O68" s="1659"/>
      <c r="P68" s="1659"/>
      <c r="Q68" s="1659"/>
      <c r="R68" s="1659"/>
      <c r="S68" s="1659"/>
      <c r="T68" s="753">
        <f>AND(F68,OR(ISBLANK(Y68),Y68))</f>
        <v>0</v>
      </c>
      <c r="U68" s="1548"/>
      <c r="V68" s="1548"/>
      <c r="W68" s="175" t="s">
        <v>189</v>
      </c>
      <c r="X68" s="1548"/>
      <c r="Y68" s="175">
        <v>0</v>
      </c>
      <c r="Z68" s="1548"/>
      <c r="AA68" s="957" t="s">
        <v>171</v>
      </c>
      <c r="AB68" s="491"/>
      <c r="AC68" s="133"/>
      <c r="AD68" s="491" t="s">
        <v>917</v>
      </c>
      <c r="AE68" s="132"/>
      <c r="AF68" s="132"/>
      <c r="AG68" s="132"/>
      <c r="AH68" s="695">
        <f>AG68-AF68</f>
        <v>0</v>
      </c>
      <c r="AI68" s="132"/>
      <c r="AJ68" s="749"/>
      <c r="AK68" s="132"/>
      <c r="AL68" s="132"/>
      <c r="AM68" s="132"/>
      <c r="AN68" s="132"/>
      <c r="AO68" s="132"/>
      <c r="AP68" s="132"/>
      <c r="AQ68" s="132"/>
      <c r="AR68" s="132"/>
      <c r="AS68" s="132"/>
      <c r="AT68" s="132"/>
      <c r="AU68" s="132"/>
      <c r="AV68" s="132"/>
      <c r="AW68" s="132"/>
      <c r="AX68" s="132"/>
      <c r="AY68" s="132"/>
      <c r="AZ68" s="132"/>
      <c r="BA68" s="132"/>
      <c r="BB68" s="132"/>
      <c r="BC68" s="132"/>
      <c r="BD68" s="749"/>
      <c r="BE68" s="132"/>
      <c r="BF68" s="132"/>
      <c r="BG68" s="132"/>
      <c r="BH68" s="132"/>
      <c r="BI68" s="132"/>
      <c r="BJ68" s="132"/>
      <c r="BK68" s="132"/>
      <c r="BL68" s="132"/>
      <c r="BM68" s="132"/>
      <c r="BN68" s="132"/>
      <c r="BO68" s="132"/>
      <c r="BP68" s="132"/>
      <c r="BQ68" s="132"/>
      <c r="BR68" s="132"/>
      <c r="BS68" s="132"/>
      <c r="BT68" s="132"/>
      <c r="BU68" s="132"/>
      <c r="BV68" s="132"/>
      <c r="BW68" s="132"/>
      <c r="BX68" s="695">
        <f>IF(AI68=0,0,(BD68-AI68)/AI68*100)</f>
        <v>0</v>
      </c>
      <c r="BY68" s="695">
        <f>IF(BD68=0,0,(BE68-BD68)/BD68*100)</f>
        <v>0</v>
      </c>
      <c r="BZ68" s="695">
        <f>IF(BE68=0,0,(BF68-BE68)/BE68*100)</f>
        <v>0</v>
      </c>
      <c r="CA68" s="695">
        <f>IF(BF68=0,0,(BG68-BF68)/BF68*100)</f>
        <v>0</v>
      </c>
      <c r="CB68" s="695">
        <f>IF(BG68=0,0,(BH68-BG68)/BG68*100)</f>
        <v>0</v>
      </c>
      <c r="CC68" s="695">
        <f>IF(BH68=0,0,(BI68-BH68)/BH68*100)</f>
        <v>0</v>
      </c>
      <c r="CD68" s="695">
        <f>IF(BI68=0,0,(BJ68-BI68)/BI68*100)</f>
        <v>0</v>
      </c>
      <c r="CE68" s="695">
        <f>IF(BJ68=0,0,(BK68-BJ68)/BJ68*100)</f>
        <v>0</v>
      </c>
      <c r="CF68" s="695">
        <f>IF(BK68=0,0,(BL68-BK68)/BK68*100)</f>
        <v>0</v>
      </c>
      <c r="CG68" s="695">
        <f>IF(BL68=0,0,(BM68-BL68)/BL68*100)</f>
        <v>0</v>
      </c>
      <c r="CH68" s="695">
        <f>IF(BM68=0,0,(BN68-BM68)/BM68*100)</f>
        <v>0</v>
      </c>
      <c r="CI68" s="695">
        <f>IF(BN68=0,0,(BO68-BN68)/BN68*100)</f>
        <v>0</v>
      </c>
      <c r="CJ68" s="695">
        <f>IF(BO68=0,0,(BP68-BO68)/BO68*100)</f>
        <v>0</v>
      </c>
      <c r="CK68" s="695">
        <f>IF(BP68=0,0,(BQ68-BP68)/BP68*100)</f>
        <v>0</v>
      </c>
      <c r="CL68" s="695">
        <f>IF(BQ68=0,0,(BR68-BQ68)/BQ68*100)</f>
        <v>0</v>
      </c>
      <c r="CM68" s="695">
        <f>IF(BR68=0,0,(BS68-BR68)/BR68*100)</f>
        <v>0</v>
      </c>
      <c r="CN68" s="695">
        <f>IF(BS68=0,0,(BT68-BS68)/BS68*100)</f>
        <v>0</v>
      </c>
      <c r="CO68" s="695">
        <f>IF(BT68=0,0,(BU68-BT68)/BT68*100)</f>
        <v>0</v>
      </c>
      <c r="CP68" s="695">
        <f>IF(BU68=0,0,(BV68-BU68)/BU68*100)</f>
        <v>0</v>
      </c>
      <c r="CQ68" s="695">
        <f>IF(BV68=0,0,(BW68-BV68)/BV68*100)</f>
        <v>0</v>
      </c>
      <c r="CR68" s="83"/>
      <c r="CS68" s="83"/>
      <c r="CT68" s="83"/>
      <c r="CU68" s="286"/>
      <c r="CV68" s="1659"/>
      <c r="CW68" s="489" t="s">
        <v>1678</v>
      </c>
      <c r="CX68" s="489" t="s">
        <v>890</v>
      </c>
      <c r="CY68" s="489" cm="1" t="str">
        <f t="array" ref="CY68:CY68">AC68</f>
        <v>0</v>
      </c>
      <c r="CZ68" s="546"/>
      <c r="DA68" s="546" t="b">
        <v>1</v>
      </c>
      <c r="DB68" s="489" t="s">
        <v>1680</v>
      </c>
      <c r="DC68" s="1506"/>
      <c r="DD68" s="1501" cm="1" t="str">
        <f t="array" ref="DD68:DD68">OFFSET(DE68,-1,-1)</f>
        <v>ТЭ.42.31656254.0001</v>
      </c>
      <c r="DE68" s="1501"/>
      <c r="DF68" s="1501"/>
      <c r="DG68" s="1501" t="s">
        <v>1679</v>
      </c>
      <c r="DH68" s="1501"/>
      <c r="DI68" s="1501"/>
      <c r="DJ68" s="1501"/>
      <c r="DK68" s="1501"/>
      <c r="DL68" s="1501" cm="1" t="str">
        <f t="array" ref="DL68:DL68">$AC68</f>
        <v>0</v>
      </c>
      <c r="DM68" s="1501" t="s">
        <v>303</v>
      </c>
      <c r="DN68" s="1501" t="s">
        <v>1044</v>
      </c>
      <c r="DO68" s="1504" t="s">
        <v>1045</v>
      </c>
    </row>
    <row s="1751" customFormat="1" customHeight="1" ht="14.25">
      <c r="A69" s="371"/>
      <c r="B69" s="1548"/>
      <c r="C69" s="1548"/>
      <c r="D69" s="1548"/>
      <c r="E69" s="180">
        <v>15</v>
      </c>
      <c r="F69" s="175" cm="1" t="str">
        <f t="array" ref="F69:F69">OFFSET(G69,-1,-1)</f>
        <v>1</v>
      </c>
      <c r="G69" s="1659"/>
      <c r="H69" s="1659"/>
      <c r="I69" s="1659"/>
      <c r="J69" s="1659"/>
      <c r="K69" s="1659"/>
      <c r="L69" s="1659"/>
      <c r="M69" s="1659"/>
      <c r="N69" s="1659"/>
      <c r="O69" s="1659"/>
      <c r="P69" s="1659"/>
      <c r="Q69" s="1659"/>
      <c r="R69" s="1659"/>
      <c r="S69" s="1659"/>
      <c r="T69" s="753">
        <f>AND(F69,OR(ISBLANK(Y69),Y69))</f>
        <v>1</v>
      </c>
      <c r="U69" s="1548"/>
      <c r="V69" s="1548"/>
      <c r="W69" s="176" t="s">
        <v>510</v>
      </c>
      <c r="X69" s="1548"/>
      <c r="Y69" s="1548"/>
      <c r="Z69" s="1548"/>
      <c r="AA69" s="286"/>
      <c r="AB69" s="701"/>
      <c r="AC69" s="406" t="s">
        <v>191</v>
      </c>
      <c r="AD69" s="702"/>
      <c r="AE69" s="702"/>
      <c r="AF69" s="702"/>
      <c r="AG69" s="702"/>
      <c r="AH69" s="702"/>
      <c r="AI69" s="702"/>
      <c r="AJ69" s="702"/>
      <c r="AK69" s="702"/>
      <c r="AL69" s="702"/>
      <c r="AM69" s="702"/>
      <c r="AN69" s="702"/>
      <c r="AO69" s="702"/>
      <c r="AP69" s="702"/>
      <c r="AQ69" s="702"/>
      <c r="AR69" s="702"/>
      <c r="AS69" s="702"/>
      <c r="AT69" s="702"/>
      <c r="AU69" s="702"/>
      <c r="AV69" s="702"/>
      <c r="AW69" s="702"/>
      <c r="AX69" s="702"/>
      <c r="AY69" s="702"/>
      <c r="AZ69" s="702"/>
      <c r="BA69" s="702"/>
      <c r="BB69" s="702"/>
      <c r="BC69" s="702"/>
      <c r="BD69" s="702"/>
      <c r="BE69" s="702"/>
      <c r="BF69" s="702"/>
      <c r="BG69" s="702"/>
      <c r="BH69" s="702"/>
      <c r="BI69" s="702"/>
      <c r="BJ69" s="702"/>
      <c r="BK69" s="702"/>
      <c r="BL69" s="702"/>
      <c r="BM69" s="702"/>
      <c r="BN69" s="702"/>
      <c r="BO69" s="702"/>
      <c r="BP69" s="702"/>
      <c r="BQ69" s="702"/>
      <c r="BR69" s="702"/>
      <c r="BS69" s="702"/>
      <c r="BT69" s="702"/>
      <c r="BU69" s="702"/>
      <c r="BV69" s="702"/>
      <c r="BW69" s="702"/>
      <c r="BX69" s="702"/>
      <c r="BY69" s="702"/>
      <c r="BZ69" s="702"/>
      <c r="CA69" s="702"/>
      <c r="CB69" s="702"/>
      <c r="CC69" s="702"/>
      <c r="CD69" s="702"/>
      <c r="CE69" s="702"/>
      <c r="CF69" s="702"/>
      <c r="CG69" s="702"/>
      <c r="CH69" s="702"/>
      <c r="CI69" s="702"/>
      <c r="CJ69" s="702"/>
      <c r="CK69" s="702"/>
      <c r="CL69" s="702"/>
      <c r="CM69" s="702"/>
      <c r="CN69" s="702"/>
      <c r="CO69" s="702"/>
      <c r="CP69" s="702"/>
      <c r="CQ69" s="702"/>
      <c r="CR69" s="702"/>
      <c r="CS69" s="702"/>
      <c r="CT69" s="705"/>
      <c r="CU69" s="286"/>
      <c r="CV69" s="1659"/>
      <c r="CW69" s="1125"/>
      <c r="CX69" s="489"/>
      <c r="CY69" s="489"/>
      <c r="CZ69" s="546" t="s">
        <v>890</v>
      </c>
      <c r="DA69" s="546"/>
      <c r="DB69" s="489"/>
      <c r="DC69" s="1506"/>
      <c r="DD69" s="1501" cm="1" t="str">
        <f t="array" ref="DD69:DD69">OFFSET(DE69,-1,-1)</f>
        <v>ТЭ.42.31656254.0001</v>
      </c>
      <c r="DE69" s="1501"/>
      <c r="DF69" s="1501"/>
      <c r="DG69" s="1501"/>
      <c r="DH69" s="1501"/>
      <c r="DI69" s="1501"/>
      <c r="DJ69" s="1501"/>
      <c r="DK69" s="1501"/>
      <c r="DL69" s="1501"/>
      <c r="DM69" s="1501"/>
      <c r="DN69" s="1501"/>
      <c r="DO69" s="1503"/>
    </row>
    <row s="972" customFormat="1" customHeight="1" ht="14.25">
      <c r="A70" s="972"/>
      <c r="B70" s="972"/>
      <c r="C70" s="972"/>
      <c r="D70" s="972"/>
      <c r="E70" s="180">
        <v>15</v>
      </c>
      <c r="F70" s="175" cm="1" t="str">
        <f t="array" ref="F70:F70">OFFSET(G70,-1,-1)</f>
        <v>1</v>
      </c>
      <c r="G70" s="972"/>
      <c r="H70" s="972"/>
      <c r="I70" s="972"/>
      <c r="J70" s="972"/>
      <c r="K70" s="972"/>
      <c r="L70" s="972"/>
      <c r="M70" s="972"/>
      <c r="N70" s="972"/>
      <c r="O70" s="972"/>
      <c r="P70" s="972"/>
      <c r="Q70" s="972"/>
      <c r="R70" s="972"/>
      <c r="S70" s="972"/>
      <c r="T70" s="753">
        <f>AND(F70,OR(ISBLANK(Y70),Y70))</f>
        <v>1</v>
      </c>
      <c r="U70" s="972"/>
      <c r="V70" s="972"/>
      <c r="W70" s="972"/>
      <c r="X70" s="972"/>
      <c r="Y70" s="972"/>
      <c r="Z70" s="972"/>
      <c r="AA70" s="972"/>
      <c r="AB70" s="751">
        <v>5</v>
      </c>
      <c r="AC70" s="529" t="s">
        <v>1629</v>
      </c>
      <c r="AD70" s="751" t="s">
        <v>917</v>
      </c>
      <c r="AE70" s="729">
        <f>AE64+AE65+AE66+SUM(AE67:AE69)</f>
        <v>1265</v>
      </c>
      <c r="AF70" s="729">
        <f>AF64+AF65+AF66+SUM(AF67:AF69)</f>
        <v>2321.86</v>
      </c>
      <c r="AG70" s="729">
        <f>AG64+AG65+AG66+SUM(AG67:AG69)</f>
        <v>1513.43</v>
      </c>
      <c r="AH70" s="695">
        <f>AG70-AF70</f>
        <v>-808.43</v>
      </c>
      <c r="AI70" s="729">
        <f>AI64+AI65+AI66+SUM(AI67:AI69)</f>
        <v>1700</v>
      </c>
      <c r="AJ70" s="729">
        <f>AJ64+AJ65+AJ66+SUM(AJ67:AJ69)</f>
        <v>2495</v>
      </c>
      <c r="AK70" s="729">
        <f>AK64+AK65+AK66+SUM(AK67:AK69)</f>
        <v>0</v>
      </c>
      <c r="AL70" s="729">
        <f>AL64+AL65+AL66+SUM(AL67:AL69)</f>
        <v>0</v>
      </c>
      <c r="AM70" s="729">
        <f>AM64+AM65+AM66+SUM(AM67:AM69)</f>
        <v>0</v>
      </c>
      <c r="AN70" s="729">
        <f>AN64+AN65+AN66+SUM(AN67:AN69)</f>
        <v>0</v>
      </c>
      <c r="AO70" s="729">
        <f>AO64+AO65+AO66+SUM(AO67:AO69)</f>
        <v>0</v>
      </c>
      <c r="AP70" s="729">
        <f>AP64+AP65+AP66+SUM(AP67:AP69)</f>
        <v>0</v>
      </c>
      <c r="AQ70" s="729">
        <f>AQ64+AQ65+AQ66+SUM(AQ67:AQ69)</f>
        <v>0</v>
      </c>
      <c r="AR70" s="729">
        <f>AR64+AR65+AR66+SUM(AR67:AR69)</f>
        <v>0</v>
      </c>
      <c r="AS70" s="729">
        <f>AS64+AS65+AS66+SUM(AS67:AS69)</f>
        <v>0</v>
      </c>
      <c r="AT70" s="729">
        <f>AT64+AT65+AT66+SUM(AT67:AT69)</f>
        <v>0</v>
      </c>
      <c r="AU70" s="729">
        <f>AU64+AU65+AU66+SUM(AU67:AU69)</f>
        <v>0</v>
      </c>
      <c r="AV70" s="729">
        <f>AV64+AV65+AV66+SUM(AV67:AV69)</f>
        <v>0</v>
      </c>
      <c r="AW70" s="729">
        <f>AW64+AW65+AW66+SUM(AW67:AW69)</f>
        <v>0</v>
      </c>
      <c r="AX70" s="729">
        <f>AX64+AX65+AX66+SUM(AX67:AX69)</f>
        <v>0</v>
      </c>
      <c r="AY70" s="729">
        <f>AY64+AY65+AY66+SUM(AY67:AY69)</f>
        <v>0</v>
      </c>
      <c r="AZ70" s="729">
        <f>AZ64+AZ65+AZ66+SUM(AZ67:AZ69)</f>
        <v>0</v>
      </c>
      <c r="BA70" s="729">
        <f>BA64+BA65+BA66+SUM(BA67:BA69)</f>
        <v>0</v>
      </c>
      <c r="BB70" s="729">
        <f>BB64+BB65+BB66+SUM(BB67:BB69)</f>
        <v>0</v>
      </c>
      <c r="BC70" s="729">
        <f>BC64+BC65+BC66+SUM(BC67:BC69)</f>
        <v>0</v>
      </c>
      <c r="BD70" s="729">
        <f>BD64+BD65+BD66+SUM(BD67:BD69)</f>
        <v>1841.74</v>
      </c>
      <c r="BE70" s="729">
        <f>BE64+BE65+BE66+SUM(BE67:BE69)</f>
        <v>0</v>
      </c>
      <c r="BF70" s="729">
        <f>BF64+BF65+BF66+SUM(BF67:BF69)</f>
        <v>0</v>
      </c>
      <c r="BG70" s="729">
        <f>BG64+BG65+BG66+SUM(BG67:BG69)</f>
        <v>0</v>
      </c>
      <c r="BH70" s="729">
        <f>BH64+BH65+BH66+SUM(BH67:BH69)</f>
        <v>0</v>
      </c>
      <c r="BI70" s="729">
        <f>BI64+BI65+BI66+SUM(BI67:BI69)</f>
        <v>0</v>
      </c>
      <c r="BJ70" s="729">
        <f>BJ64+BJ65+BJ66+SUM(BJ67:BJ69)</f>
        <v>0</v>
      </c>
      <c r="BK70" s="729">
        <f>BK64+BK65+BK66+SUM(BK67:BK69)</f>
        <v>0</v>
      </c>
      <c r="BL70" s="729">
        <f>BL64+BL65+BL66+SUM(BL67:BL69)</f>
        <v>0</v>
      </c>
      <c r="BM70" s="729">
        <f>BM64+BM65+BM66+SUM(BM67:BM69)</f>
        <v>0</v>
      </c>
      <c r="BN70" s="729">
        <f>BN64+BN65+BN66+SUM(BN67:BN69)</f>
        <v>0</v>
      </c>
      <c r="BO70" s="729">
        <f>BO64+BO65+BO66+SUM(BO67:BO69)</f>
        <v>0</v>
      </c>
      <c r="BP70" s="729">
        <f>BP64+BP65+BP66+SUM(BP67:BP69)</f>
        <v>0</v>
      </c>
      <c r="BQ70" s="729">
        <f>BQ64+BQ65+BQ66+SUM(BQ67:BQ69)</f>
        <v>0</v>
      </c>
      <c r="BR70" s="729">
        <f>BR64+BR65+BR66+SUM(BR67:BR69)</f>
        <v>0</v>
      </c>
      <c r="BS70" s="729">
        <f>BS64+BS65+BS66+SUM(BS67:BS69)</f>
        <v>0</v>
      </c>
      <c r="BT70" s="729">
        <f>BT64+BT65+BT66+SUM(BT67:BT69)</f>
        <v>0</v>
      </c>
      <c r="BU70" s="729">
        <f>BU64+BU65+BU66+SUM(BU67:BU69)</f>
        <v>0</v>
      </c>
      <c r="BV70" s="729">
        <f>BV64+BV65+BV66+SUM(BV67:BV69)</f>
        <v>0</v>
      </c>
      <c r="BW70" s="729">
        <f>BW64+BW65+BW66+SUM(BW67:BW69)</f>
        <v>0</v>
      </c>
      <c r="BX70" s="692">
        <f>IF(AI70=0,0,(BD70-AI70)/AI70*100)</f>
        <v>8.33764705882353</v>
      </c>
      <c r="BY70" s="692">
        <f>IF(BD70=0,0,(BE70-BD70)/BD70*100)</f>
        <v>-100</v>
      </c>
      <c r="BZ70" s="692">
        <f>IF(BE70=0,0,(BF70-BE70)/BE70*100)</f>
        <v>0</v>
      </c>
      <c r="CA70" s="692">
        <f>IF(BF70=0,0,(BG70-BF70)/BF70*100)</f>
        <v>0</v>
      </c>
      <c r="CB70" s="692">
        <f>IF(BG70=0,0,(BH70-BG70)/BG70*100)</f>
        <v>0</v>
      </c>
      <c r="CC70" s="692">
        <f>IF(BH70=0,0,(BI70-BH70)/BH70*100)</f>
        <v>0</v>
      </c>
      <c r="CD70" s="692">
        <f>IF(BI70=0,0,(BJ70-BI70)/BI70*100)</f>
        <v>0</v>
      </c>
      <c r="CE70" s="692">
        <f>IF(BJ70=0,0,(BK70-BJ70)/BJ70*100)</f>
        <v>0</v>
      </c>
      <c r="CF70" s="692">
        <f>IF(BK70=0,0,(BL70-BK70)/BK70*100)</f>
        <v>0</v>
      </c>
      <c r="CG70" s="692">
        <f>IF(BL70=0,0,(BM70-BL70)/BL70*100)</f>
        <v>0</v>
      </c>
      <c r="CH70" s="692">
        <f>IF(BM70=0,0,(BN70-BM70)/BM70*100)</f>
        <v>0</v>
      </c>
      <c r="CI70" s="692">
        <f>IF(BN70=0,0,(BO70-BN70)/BN70*100)</f>
        <v>0</v>
      </c>
      <c r="CJ70" s="692">
        <f>IF(BO70=0,0,(BP70-BO70)/BO70*100)</f>
        <v>0</v>
      </c>
      <c r="CK70" s="692">
        <f>IF(BP70=0,0,(BQ70-BP70)/BP70*100)</f>
        <v>0</v>
      </c>
      <c r="CL70" s="692">
        <f>IF(BQ70=0,0,(BR70-BQ70)/BQ70*100)</f>
        <v>0</v>
      </c>
      <c r="CM70" s="692">
        <f>IF(BR70=0,0,(BS70-BR70)/BR70*100)</f>
        <v>0</v>
      </c>
      <c r="CN70" s="692">
        <f>IF(BS70=0,0,(BT70-BS70)/BS70*100)</f>
        <v>0</v>
      </c>
      <c r="CO70" s="692">
        <f>IF(BT70=0,0,(BU70-BT70)/BT70*100)</f>
        <v>0</v>
      </c>
      <c r="CP70" s="692">
        <f>IF(BU70=0,0,(BV70-BU70)/BU70*100)</f>
        <v>0</v>
      </c>
      <c r="CQ70" s="692">
        <f>IF(BV70=0,0,(BW70-BV70)/BV70*100)</f>
        <v>0</v>
      </c>
      <c r="CR70" s="1897"/>
      <c r="CS70" s="1897"/>
      <c r="CT70" s="1897"/>
      <c r="CU70" s="972"/>
      <c r="CV70" s="972"/>
      <c r="CW70" s="489" t="s">
        <v>1681</v>
      </c>
      <c r="CX70" s="489"/>
      <c r="CY70" s="489"/>
      <c r="CZ70" s="546"/>
      <c r="DA70" s="546"/>
      <c r="DB70" s="489" t="s">
        <v>1681</v>
      </c>
      <c r="DC70" s="972"/>
      <c r="DD70" s="1501" cm="1" t="str">
        <f t="array" ref="DD70:DD70">DD69</f>
        <v>ТЭ.42.31656254.0001</v>
      </c>
      <c r="DE70" s="1501"/>
      <c r="DF70" s="1501"/>
      <c r="DG70" s="1501"/>
      <c r="DH70" s="1501"/>
      <c r="DI70" s="1501"/>
      <c r="DJ70" s="1501"/>
      <c r="DK70" s="1501"/>
      <c r="DL70" s="1501"/>
      <c r="DM70" s="1501" t="s">
        <v>303</v>
      </c>
      <c r="DN70" s="1501" t="s">
        <v>1682</v>
      </c>
      <c r="DO70" s="1504" t="s">
        <v>1683</v>
      </c>
    </row>
    <row customHeight="1" ht="9.75">
      <c r="E71" s="180">
        <v>10</v>
      </c>
      <c r="U71" s="175" t="s">
        <v>191</v>
      </c>
      <c r="V71" s="176" t="s">
        <v>1684</v>
      </c>
      <c r="AA71" s="679"/>
      <c r="AB71" s="678"/>
      <c r="AC71" s="681"/>
      <c r="AD71" s="678"/>
      <c r="AE71" s="679"/>
      <c r="AF71" s="679"/>
      <c r="AG71" s="679"/>
      <c r="AH71" s="679"/>
      <c r="AI71" s="679"/>
      <c r="AJ71" s="679"/>
      <c r="AK71" s="679"/>
      <c r="AL71" s="679"/>
      <c r="AM71" s="679"/>
      <c r="AN71" s="679"/>
      <c r="AO71" s="679"/>
      <c r="AP71" s="679"/>
      <c r="AQ71" s="679"/>
      <c r="AR71" s="679"/>
      <c r="AS71" s="679"/>
      <c r="AT71" s="679"/>
      <c r="AU71" s="679"/>
      <c r="AV71" s="679"/>
      <c r="AW71" s="679"/>
      <c r="AX71" s="679"/>
      <c r="AY71" s="679"/>
      <c r="AZ71" s="679"/>
      <c r="BA71" s="679"/>
      <c r="BB71" s="679"/>
      <c r="BC71" s="679"/>
      <c r="BD71" s="679"/>
      <c r="BE71" s="679"/>
      <c r="BF71" s="679"/>
      <c r="BG71" s="679"/>
      <c r="BH71" s="679"/>
      <c r="BI71" s="679"/>
      <c r="BJ71" s="679"/>
      <c r="BK71" s="679"/>
      <c r="BL71" s="679"/>
      <c r="BM71" s="679"/>
      <c r="BN71" s="679"/>
      <c r="BO71" s="679"/>
      <c r="BP71" s="679"/>
      <c r="BQ71" s="679"/>
      <c r="BR71" s="679"/>
      <c r="BS71" s="679"/>
      <c r="BT71" s="679"/>
      <c r="BU71" s="679"/>
      <c r="BV71" s="679"/>
      <c r="BW71" s="679"/>
      <c r="BX71" s="679"/>
      <c r="BY71" s="679"/>
      <c r="BZ71" s="679"/>
      <c r="CA71" s="679"/>
      <c r="CB71" s="679"/>
      <c r="CC71" s="679"/>
      <c r="CD71" s="679"/>
      <c r="CE71" s="679"/>
      <c r="CF71" s="679"/>
      <c r="CG71" s="679"/>
      <c r="CH71" s="679"/>
      <c r="CI71" s="679"/>
      <c r="CJ71" s="679"/>
      <c r="CK71" s="679"/>
      <c r="CL71" s="679"/>
      <c r="CM71" s="679"/>
      <c r="CN71" s="679"/>
      <c r="CO71" s="679"/>
      <c r="CP71" s="679"/>
      <c r="CQ71" s="679"/>
      <c r="CR71" s="679"/>
      <c r="CS71" s="679"/>
      <c r="CT71" s="679"/>
      <c r="CU71" s="679"/>
      <c r="CX71" s="489"/>
      <c r="CY71" s="489"/>
      <c r="CZ71" s="546"/>
      <c r="DA71" s="546"/>
    </row>
    <row customHeight="1" ht="11.25" hidden="1">
      <c r="E72" s="965">
        <v>0</v>
      </c>
      <c r="AA72" s="679"/>
      <c r="AB72" s="678"/>
      <c r="AC72" s="681"/>
      <c r="AD72" s="678"/>
      <c r="AE72" s="679"/>
      <c r="AF72" s="679"/>
      <c r="AG72" s="679"/>
      <c r="AH72" s="679"/>
      <c r="AI72" s="679"/>
      <c r="AJ72" s="679"/>
      <c r="AK72" s="679"/>
      <c r="AL72" s="679"/>
      <c r="AM72" s="679"/>
      <c r="AN72" s="679"/>
      <c r="AO72" s="679"/>
      <c r="AP72" s="679"/>
      <c r="AQ72" s="679"/>
      <c r="AR72" s="679"/>
      <c r="AS72" s="679"/>
      <c r="AT72" s="679"/>
      <c r="AU72" s="679"/>
      <c r="AV72" s="679"/>
      <c r="AW72" s="679"/>
      <c r="AX72" s="679"/>
      <c r="AY72" s="679"/>
      <c r="AZ72" s="679"/>
      <c r="BA72" s="679"/>
      <c r="BB72" s="679"/>
      <c r="BC72" s="679"/>
      <c r="BD72" s="679"/>
      <c r="BE72" s="679"/>
      <c r="BF72" s="679"/>
      <c r="BG72" s="679"/>
      <c r="BH72" s="679"/>
      <c r="BI72" s="679"/>
      <c r="BJ72" s="679"/>
      <c r="BK72" s="679"/>
      <c r="BL72" s="679"/>
      <c r="BM72" s="679"/>
      <c r="BN72" s="679"/>
      <c r="BO72" s="679"/>
      <c r="BP72" s="679"/>
      <c r="BQ72" s="679"/>
      <c r="BR72" s="679"/>
      <c r="BS72" s="679"/>
      <c r="BT72" s="679"/>
      <c r="BU72" s="679"/>
      <c r="BV72" s="679"/>
      <c r="BW72" s="679"/>
      <c r="BX72" s="679"/>
      <c r="BY72" s="679"/>
      <c r="BZ72" s="679"/>
      <c r="CA72" s="679"/>
      <c r="CB72" s="679"/>
      <c r="CC72" s="679"/>
      <c r="CD72" s="679"/>
      <c r="CE72" s="679"/>
      <c r="CF72" s="679"/>
      <c r="CG72" s="679"/>
      <c r="CH72" s="679"/>
      <c r="CI72" s="679"/>
      <c r="CJ72" s="679"/>
      <c r="CK72" s="679"/>
      <c r="CL72" s="679"/>
      <c r="CM72" s="679"/>
      <c r="CN72" s="679"/>
      <c r="CO72" s="679"/>
      <c r="CP72" s="679"/>
      <c r="CQ72" s="679"/>
      <c r="CR72" s="679"/>
      <c r="CS72" s="679"/>
      <c r="CT72" s="679"/>
      <c r="CU72" s="679"/>
      <c r="CX72" s="489"/>
      <c r="CY72" s="489"/>
      <c r="CZ72" s="546"/>
      <c r="DA72" s="546"/>
    </row>
    <row customHeight="1" ht="14.625">
      <c r="E73" s="180">
        <v>15</v>
      </c>
      <c r="AA73" s="679"/>
      <c r="AB73" s="1653" t="s">
        <v>765</v>
      </c>
      <c r="AC73" s="1653"/>
      <c r="AD73" s="1653"/>
      <c r="AE73" s="1653"/>
      <c r="AF73" s="1653"/>
      <c r="AG73" s="1653"/>
      <c r="AH73" s="1653"/>
      <c r="AI73" s="1653"/>
      <c r="AJ73" s="1653"/>
      <c r="AK73" s="1653"/>
      <c r="AL73" s="1653"/>
      <c r="AM73" s="1653"/>
      <c r="AN73" s="1653"/>
      <c r="AO73" s="1653"/>
      <c r="AP73" s="1653"/>
      <c r="AQ73" s="1653"/>
      <c r="AR73" s="1653"/>
      <c r="AS73" s="1653"/>
      <c r="AT73" s="1653"/>
      <c r="AU73" s="1653"/>
      <c r="AV73" s="1653"/>
      <c r="AW73" s="1653"/>
      <c r="AX73" s="1653"/>
      <c r="AY73" s="1653"/>
      <c r="AZ73" s="1653"/>
      <c r="BA73" s="1653"/>
      <c r="BB73" s="1653"/>
      <c r="BC73" s="1653"/>
      <c r="BD73" s="1653"/>
      <c r="BE73" s="1653"/>
      <c r="BF73" s="1653"/>
      <c r="BG73" s="1653"/>
      <c r="BH73" s="1653"/>
      <c r="BI73" s="1653"/>
      <c r="BJ73" s="1653"/>
      <c r="BK73" s="1653"/>
      <c r="BL73" s="1653"/>
      <c r="BM73" s="1653"/>
      <c r="BN73" s="1653"/>
      <c r="BO73" s="1653"/>
      <c r="BP73" s="1653"/>
      <c r="BQ73" s="1653"/>
      <c r="BR73" s="1653"/>
      <c r="BS73" s="1653"/>
      <c r="BT73" s="1653"/>
      <c r="BU73" s="1653"/>
      <c r="BV73" s="1653"/>
      <c r="BW73" s="1653"/>
      <c r="BX73" s="1653"/>
      <c r="BY73" s="1653"/>
      <c r="BZ73" s="1653"/>
      <c r="CA73" s="1653"/>
      <c r="CB73" s="1653"/>
      <c r="CC73" s="1653"/>
      <c r="CD73" s="1653"/>
      <c r="CE73" s="1653"/>
      <c r="CF73" s="1653"/>
      <c r="CG73" s="1653"/>
      <c r="CH73" s="1653"/>
      <c r="CI73" s="1653"/>
      <c r="CJ73" s="1653"/>
      <c r="CK73" s="1653"/>
      <c r="CL73" s="1653"/>
      <c r="CM73" s="1653"/>
      <c r="CN73" s="1653"/>
      <c r="CO73" s="1653"/>
      <c r="CP73" s="1653"/>
      <c r="CQ73" s="1653"/>
      <c r="CR73" s="1653"/>
      <c r="CS73" s="1653"/>
      <c r="CT73" s="1653"/>
      <c r="CU73" s="679"/>
      <c r="CX73" s="489"/>
      <c r="CY73" s="489"/>
      <c r="CZ73" s="546"/>
      <c r="DA73" s="546"/>
    </row>
    <row customHeight="1" ht="14.625">
      <c r="E74" s="180">
        <v>15</v>
      </c>
      <c r="AA74" s="477"/>
      <c r="AB74" s="1675"/>
      <c r="AC74" s="1676"/>
      <c r="AD74" s="1676"/>
      <c r="AE74" s="1676"/>
      <c r="AF74" s="1676"/>
      <c r="AG74" s="1676"/>
      <c r="AH74" s="1676"/>
      <c r="AI74" s="1676"/>
      <c r="AJ74" s="1676"/>
      <c r="AK74" s="1676"/>
      <c r="AL74" s="1676"/>
      <c r="AM74" s="1676"/>
      <c r="AN74" s="1676"/>
      <c r="AO74" s="1676"/>
      <c r="AP74" s="1676"/>
      <c r="AQ74" s="1676"/>
      <c r="AR74" s="1676"/>
      <c r="AS74" s="1676"/>
      <c r="AT74" s="1676"/>
      <c r="AU74" s="1676"/>
      <c r="AV74" s="1676"/>
      <c r="AW74" s="1676"/>
      <c r="AX74" s="1676"/>
      <c r="AY74" s="1676"/>
      <c r="AZ74" s="1676"/>
      <c r="BA74" s="1676"/>
      <c r="BB74" s="1676"/>
      <c r="BC74" s="1676"/>
      <c r="BD74" s="1676"/>
      <c r="BE74" s="1676"/>
      <c r="BF74" s="1676"/>
      <c r="BG74" s="1676"/>
      <c r="BH74" s="1676"/>
      <c r="BI74" s="1676"/>
      <c r="BJ74" s="1676"/>
      <c r="BK74" s="1676"/>
      <c r="BL74" s="1676"/>
      <c r="BM74" s="1676"/>
      <c r="BN74" s="1676"/>
      <c r="BO74" s="1676"/>
      <c r="BP74" s="1676"/>
      <c r="BQ74" s="1676"/>
      <c r="BR74" s="1676"/>
      <c r="BS74" s="1676"/>
      <c r="BT74" s="1676"/>
      <c r="BU74" s="1676"/>
      <c r="BV74" s="1676"/>
      <c r="BW74" s="1676"/>
      <c r="BX74" s="1676"/>
      <c r="BY74" s="1676"/>
      <c r="BZ74" s="1676"/>
      <c r="CA74" s="1676"/>
      <c r="CB74" s="1676"/>
      <c r="CC74" s="1676"/>
      <c r="CD74" s="1676"/>
      <c r="CE74" s="1676"/>
      <c r="CF74" s="1676"/>
      <c r="CG74" s="1676"/>
      <c r="CH74" s="1676"/>
      <c r="CI74" s="1676"/>
      <c r="CJ74" s="1676"/>
      <c r="CK74" s="1676"/>
      <c r="CL74" s="1676"/>
      <c r="CM74" s="1676"/>
      <c r="CN74" s="1676"/>
      <c r="CO74" s="1676"/>
      <c r="CP74" s="1676"/>
      <c r="CQ74" s="1676"/>
      <c r="CR74" s="1676"/>
      <c r="CS74" s="1676"/>
      <c r="CT74" s="1676"/>
      <c r="CU74" s="679"/>
      <c r="CX74" s="489"/>
      <c r="CY74" s="489"/>
      <c r="CZ74" s="546"/>
      <c r="DA74" s="546"/>
    </row>
    <row customHeight="1" ht="14.625" hidden="1">
      <c r="A75" s="371"/>
      <c r="B75" s="1548"/>
      <c r="C75" s="1548"/>
      <c r="D75" s="1548"/>
      <c r="E75" s="180">
        <v>15</v>
      </c>
      <c r="F75" s="1548"/>
      <c r="G75" s="1659"/>
      <c r="H75" s="1659"/>
      <c r="I75" s="1659"/>
      <c r="J75" s="1659"/>
      <c r="K75" s="1659"/>
      <c r="L75" s="1659"/>
      <c r="M75" s="1659"/>
      <c r="N75" s="1659"/>
      <c r="O75" s="1659"/>
      <c r="P75" s="1659"/>
      <c r="Q75" s="1659"/>
      <c r="R75" s="1659"/>
      <c r="S75" s="1659"/>
      <c r="T75" s="753">
        <f>ROW(W75)&gt;ROW(W$75)</f>
        <v>0</v>
      </c>
      <c r="U75" s="1548"/>
      <c r="V75" s="1548"/>
      <c r="W75" s="175" t="s">
        <v>189</v>
      </c>
      <c r="X75" s="1548"/>
      <c r="Y75" s="1548"/>
      <c r="Z75" s="1548"/>
      <c r="AA75" s="477" t="s">
        <v>171</v>
      </c>
      <c r="AB75" s="2334"/>
      <c r="AC75" s="1676"/>
      <c r="AD75" s="1676"/>
      <c r="AE75" s="1676"/>
      <c r="AF75" s="1676"/>
      <c r="AG75" s="1676"/>
      <c r="AH75" s="1676"/>
      <c r="AI75" s="1676"/>
      <c r="AJ75" s="1676"/>
      <c r="AK75" s="1676"/>
      <c r="AL75" s="1676"/>
      <c r="AM75" s="1676"/>
      <c r="AN75" s="1676"/>
      <c r="AO75" s="1676"/>
      <c r="AP75" s="1676"/>
      <c r="AQ75" s="1676"/>
      <c r="AR75" s="1676"/>
      <c r="AS75" s="1676"/>
      <c r="AT75" s="1676"/>
      <c r="AU75" s="1676"/>
      <c r="AV75" s="1676"/>
      <c r="AW75" s="1676"/>
      <c r="AX75" s="1676"/>
      <c r="AY75" s="1676"/>
      <c r="AZ75" s="1676"/>
      <c r="BA75" s="1676"/>
      <c r="BB75" s="1676"/>
      <c r="BC75" s="1676"/>
      <c r="BD75" s="1676"/>
      <c r="BE75" s="1676"/>
      <c r="BF75" s="1676"/>
      <c r="BG75" s="1676"/>
      <c r="BH75" s="1676"/>
      <c r="BI75" s="1676"/>
      <c r="BJ75" s="1676"/>
      <c r="BK75" s="1676"/>
      <c r="BL75" s="1676"/>
      <c r="BM75" s="1676"/>
      <c r="BN75" s="1676"/>
      <c r="BO75" s="1676"/>
      <c r="BP75" s="1676"/>
      <c r="BQ75" s="1676"/>
      <c r="BR75" s="1676"/>
      <c r="BS75" s="1676"/>
      <c r="BT75" s="1676"/>
      <c r="BU75" s="1676"/>
      <c r="BV75" s="1676"/>
      <c r="BW75" s="1676"/>
      <c r="BX75" s="1676"/>
      <c r="BY75" s="1676"/>
      <c r="BZ75" s="1676"/>
      <c r="CA75" s="1676"/>
      <c r="CB75" s="1676"/>
      <c r="CC75" s="1676"/>
      <c r="CD75" s="1676"/>
      <c r="CE75" s="1676"/>
      <c r="CF75" s="1676"/>
      <c r="CG75" s="1676"/>
      <c r="CH75" s="1676"/>
      <c r="CI75" s="1676"/>
      <c r="CJ75" s="1676"/>
      <c r="CK75" s="1676"/>
      <c r="CL75" s="1676"/>
      <c r="CM75" s="1676"/>
      <c r="CN75" s="1676"/>
      <c r="CO75" s="1676"/>
      <c r="CP75" s="1676"/>
      <c r="CQ75" s="1676"/>
      <c r="CR75" s="1676"/>
      <c r="CS75" s="1676"/>
      <c r="CT75" s="1676"/>
      <c r="CU75" s="679"/>
      <c r="CV75" s="1659"/>
      <c r="CW75" s="1125"/>
      <c r="CX75" s="489"/>
      <c r="CY75" s="489"/>
      <c r="CZ75" s="546"/>
      <c r="DA75" s="546"/>
      <c r="DB75" s="1506"/>
      <c r="DC75" s="1506"/>
      <c r="DD75" s="1752"/>
      <c r="DE75" s="1752"/>
      <c r="DF75" s="1752"/>
      <c r="DG75" s="1752"/>
      <c r="DH75" s="1752"/>
      <c r="DI75" s="1752"/>
      <c r="DJ75" s="1752"/>
      <c r="DK75" s="1752"/>
      <c r="DL75" s="1752"/>
      <c r="DM75" s="1752"/>
      <c r="DN75" s="1752"/>
      <c r="DO75" s="1506"/>
    </row>
    <row customHeight="1" ht="14.625">
      <c r="E76" s="180">
        <v>15</v>
      </c>
      <c r="W76" s="176" t="s">
        <v>190</v>
      </c>
      <c r="AB76" s="1599" t="s">
        <v>766</v>
      </c>
      <c r="AC76" s="1600"/>
      <c r="AD76" s="480"/>
      <c r="AE76" s="480"/>
      <c r="AF76" s="480"/>
      <c r="AG76" s="480"/>
      <c r="AH76" s="480"/>
      <c r="AI76" s="480"/>
      <c r="AJ76" s="480"/>
      <c r="AK76" s="480"/>
      <c r="AL76" s="480"/>
      <c r="AM76" s="480"/>
      <c r="AN76" s="480"/>
      <c r="AO76" s="480"/>
      <c r="AP76" s="480"/>
      <c r="AQ76" s="480"/>
      <c r="AR76" s="480"/>
      <c r="AS76" s="480"/>
      <c r="AT76" s="480"/>
      <c r="AU76" s="480"/>
      <c r="AV76" s="480"/>
      <c r="AW76" s="480"/>
      <c r="AX76" s="480"/>
      <c r="AY76" s="480"/>
      <c r="AZ76" s="480"/>
      <c r="BA76" s="480"/>
      <c r="BB76" s="480"/>
      <c r="BC76" s="480"/>
      <c r="BD76" s="480"/>
      <c r="BE76" s="480"/>
      <c r="BF76" s="480"/>
      <c r="BG76" s="480"/>
      <c r="BH76" s="480"/>
      <c r="BI76" s="480"/>
      <c r="BJ76" s="480"/>
      <c r="BK76" s="480"/>
      <c r="BL76" s="480"/>
      <c r="BM76" s="480"/>
      <c r="BN76" s="480"/>
      <c r="BO76" s="480"/>
      <c r="BP76" s="480"/>
      <c r="BQ76" s="480"/>
      <c r="BR76" s="480"/>
      <c r="BS76" s="480"/>
      <c r="BT76" s="480"/>
      <c r="BU76" s="480"/>
      <c r="BV76" s="480"/>
      <c r="BW76" s="480"/>
      <c r="BX76" s="480"/>
      <c r="BY76" s="480"/>
      <c r="BZ76" s="480"/>
      <c r="CA76" s="480"/>
      <c r="CB76" s="480"/>
      <c r="CC76" s="480"/>
      <c r="CD76" s="480"/>
      <c r="CE76" s="480"/>
      <c r="CF76" s="480"/>
      <c r="CG76" s="480"/>
      <c r="CH76" s="480"/>
      <c r="CI76" s="480"/>
      <c r="CJ76" s="480"/>
      <c r="CK76" s="480"/>
      <c r="CL76" s="480"/>
      <c r="CM76" s="480"/>
      <c r="CN76" s="480"/>
      <c r="CO76" s="480"/>
      <c r="CP76" s="480"/>
      <c r="CQ76" s="480"/>
      <c r="CR76" s="480"/>
      <c r="CS76" s="480"/>
      <c r="CT76" s="482"/>
      <c r="CU76" s="679"/>
      <c r="CX76" s="489"/>
      <c r="CY76" s="489"/>
      <c r="CZ76" s="546"/>
      <c r="DA76" s="546"/>
    </row>
    <row customHeight="1" ht="11.25">
      <c r="AA77" s="679"/>
      <c r="AB77" s="678"/>
      <c r="AC77" s="681"/>
      <c r="AD77" s="678"/>
      <c r="AE77" s="679"/>
      <c r="AF77" s="679"/>
      <c r="AG77" s="679"/>
      <c r="AH77" s="679"/>
      <c r="AI77" s="679"/>
      <c r="AJ77" s="679"/>
      <c r="AK77" s="679"/>
      <c r="AL77" s="679"/>
      <c r="AM77" s="679"/>
      <c r="AN77" s="679"/>
      <c r="AO77" s="679"/>
      <c r="AP77" s="679"/>
      <c r="AQ77" s="679"/>
      <c r="AR77" s="679"/>
      <c r="AS77" s="679"/>
      <c r="AT77" s="679"/>
      <c r="AU77" s="679"/>
      <c r="AV77" s="679"/>
      <c r="AW77" s="679"/>
      <c r="AX77" s="679"/>
      <c r="AY77" s="679"/>
      <c r="AZ77" s="679"/>
      <c r="BA77" s="679"/>
      <c r="BB77" s="679"/>
      <c r="BC77" s="679"/>
      <c r="BD77" s="679"/>
      <c r="BE77" s="679"/>
      <c r="BF77" s="679"/>
      <c r="BG77" s="679"/>
      <c r="BH77" s="679"/>
      <c r="BI77" s="679"/>
      <c r="BJ77" s="679"/>
      <c r="BK77" s="679"/>
      <c r="BL77" s="679"/>
      <c r="BM77" s="679"/>
      <c r="BN77" s="679"/>
      <c r="BO77" s="679"/>
      <c r="BP77" s="679"/>
      <c r="BQ77" s="679"/>
      <c r="BR77" s="679"/>
      <c r="BS77" s="679"/>
      <c r="BT77" s="679"/>
      <c r="BU77" s="679"/>
      <c r="BV77" s="679"/>
      <c r="BW77" s="679"/>
      <c r="BX77" s="679"/>
      <c r="BY77" s="679"/>
      <c r="BZ77" s="679"/>
      <c r="CA77" s="679"/>
      <c r="CB77" s="679"/>
      <c r="CC77" s="679"/>
      <c r="CD77" s="679"/>
      <c r="CE77" s="679"/>
      <c r="CF77" s="679"/>
      <c r="CG77" s="679"/>
      <c r="CH77" s="679"/>
      <c r="CI77" s="679"/>
      <c r="CJ77" s="679"/>
      <c r="CK77" s="679"/>
      <c r="CL77" s="679"/>
      <c r="CM77" s="679"/>
      <c r="CN77" s="679"/>
      <c r="CO77" s="679"/>
      <c r="CP77" s="679"/>
      <c r="CQ77" s="679"/>
      <c r="CR77" s="679"/>
      <c r="CS77" s="679"/>
      <c r="CT77" s="679"/>
      <c r="CU77" s="679"/>
      <c r="CX77" s="489"/>
      <c r="CY77" s="489"/>
      <c r="CZ77" s="546"/>
      <c r="DA77" s="546"/>
    </row>
    <row customHeight="1" ht="11.25" hidden="1">
      <c r="AJ78" s="286"/>
      <c r="AK78" s="286"/>
      <c r="AL78" s="286"/>
      <c r="AM78" s="286"/>
      <c r="AN78" s="286"/>
      <c r="AO78" s="286"/>
      <c r="AP78" s="286"/>
      <c r="AQ78" s="286"/>
      <c r="AR78" s="286"/>
      <c r="AS78" s="286"/>
      <c r="AT78" s="286"/>
      <c r="AU78" s="286"/>
      <c r="AV78" s="286"/>
      <c r="AW78" s="286"/>
      <c r="AX78" s="286"/>
      <c r="AY78" s="286"/>
      <c r="AZ78" s="286"/>
      <c r="BA78" s="286"/>
      <c r="BB78" s="286"/>
      <c r="BC78" s="286"/>
      <c r="BD78" s="286"/>
      <c r="BE78" s="286"/>
      <c r="BF78" s="286"/>
      <c r="BG78" s="286"/>
      <c r="BH78" s="286"/>
      <c r="BI78" s="286"/>
      <c r="BJ78" s="286"/>
      <c r="BK78" s="286"/>
      <c r="BL78" s="286"/>
      <c r="BM78" s="286"/>
      <c r="BN78" s="286"/>
      <c r="BO78" s="286"/>
      <c r="BP78" s="286"/>
      <c r="BQ78" s="286"/>
      <c r="BR78" s="286"/>
      <c r="BS78" s="286"/>
      <c r="BT78" s="286"/>
      <c r="BU78" s="286"/>
      <c r="BV78" s="286"/>
      <c r="BW78" s="286"/>
      <c r="BX78" s="286"/>
      <c r="BY78" s="286"/>
      <c r="BZ78" s="286"/>
      <c r="CA78" s="286"/>
      <c r="CB78" s="286"/>
      <c r="CC78" s="286"/>
      <c r="CD78" s="286"/>
      <c r="CE78" s="286"/>
      <c r="CF78" s="286"/>
      <c r="CG78" s="286"/>
      <c r="CH78" s="286"/>
      <c r="CI78" s="286"/>
      <c r="CJ78" s="286"/>
      <c r="CK78" s="286"/>
      <c r="CL78" s="286"/>
      <c r="CM78" s="286"/>
      <c r="CN78" s="286"/>
      <c r="CO78" s="286"/>
      <c r="CP78" s="286"/>
      <c r="CQ78" s="286"/>
    </row>
    <row customHeight="1" ht="11.25" hidden="1">
      <c r="A79" s="0" t="s">
        <v>109</v>
      </c>
      <c r="AE79" s="0" t="str">
        <f>"389.0."&amp;AE$9-2010&amp;"."</f>
        <v>389.0.15.</v>
      </c>
      <c r="AF79" s="0" t="str">
        <f>"389.0."&amp;AF$9-2010&amp;"."</f>
        <v>389.0.15.</v>
      </c>
      <c r="AG79" s="0" t="str">
        <f>"389.0."&amp;AG$9-2010&amp;"."</f>
        <v>389.0.15.</v>
      </c>
      <c r="AH79" s="0" t="str">
        <f>"389.0."&amp;AH$9-2010&amp;"."</f>
        <v>389.0.15.</v>
      </c>
      <c r="AI79" s="0" t="str">
        <f>"389.0."&amp;AI$9-2010&amp;"."</f>
        <v>389.0.16.</v>
      </c>
      <c r="AJ79" s="0" t="str">
        <f>"389.0."&amp;AJ$9-2010&amp;"."</f>
        <v>389.0.17.</v>
      </c>
      <c r="AK79" s="0" t="str">
        <f>"389.0."&amp;AK$9-2010&amp;"."</f>
        <v>389.0.18.</v>
      </c>
      <c r="AL79" s="0" t="str">
        <f>"389.0."&amp;AL$9-2010&amp;"."</f>
        <v>389.0.19.</v>
      </c>
      <c r="AM79" s="0" t="str">
        <f>"389.0."&amp;AM$9-2010&amp;"."</f>
        <v>389.0.20.</v>
      </c>
      <c r="AN79" s="0" t="str">
        <f>"389.0."&amp;AN$9-2010&amp;"."</f>
        <v>389.0.21.</v>
      </c>
      <c r="AO79" s="0" t="str">
        <f>"389.0."&amp;AO$9-2010&amp;"."</f>
        <v>389.0.22.</v>
      </c>
      <c r="AP79" s="0" t="str">
        <f>"389.0."&amp;AP$9-2010&amp;"."</f>
        <v>389.0.23.</v>
      </c>
      <c r="AQ79" s="0" t="str">
        <f>"389.0."&amp;AQ$9-2010&amp;"."</f>
        <v>389.0.24.</v>
      </c>
      <c r="AR79" s="0" t="str">
        <f>"389.0."&amp;AR$9-2010&amp;"."</f>
        <v>389.0.25.</v>
      </c>
      <c r="AS79" s="0" t="str">
        <f>"389.0."&amp;AS$9-2010&amp;"."</f>
        <v>389.0.26.</v>
      </c>
      <c r="AT79" s="0" t="str">
        <f>"389.0."&amp;AT$9-2010&amp;"."</f>
        <v>389.0.27.</v>
      </c>
      <c r="AU79" s="0" t="str">
        <f>"389.0."&amp;AU$9-2010&amp;"."</f>
        <v>389.0.28.</v>
      </c>
      <c r="AV79" s="0" t="str">
        <f>"389.0."&amp;AV$9-2010&amp;"."</f>
        <v>389.0.29.</v>
      </c>
      <c r="AW79" s="0" t="str">
        <f>"389.0."&amp;AW$9-2010&amp;"."</f>
        <v>389.0.30.</v>
      </c>
      <c r="AX79" s="0" t="str">
        <f>"389.0."&amp;AX$9-2010&amp;"."</f>
        <v>389.0.31.</v>
      </c>
      <c r="AY79" s="0" t="str">
        <f>"389.0."&amp;AY$9-2010&amp;"."</f>
        <v>389.0.32.</v>
      </c>
      <c r="AZ79" s="0" t="str">
        <f>"389.0."&amp;AZ$9-2010&amp;"."</f>
        <v>389.0.33.</v>
      </c>
      <c r="BA79" s="0" t="str">
        <f>"389.0."&amp;BA$9-2010&amp;"."</f>
        <v>389.0.34.</v>
      </c>
      <c r="BB79" s="0" t="str">
        <f>"389.0."&amp;BB$9-2010&amp;"."</f>
        <v>389.0.35.</v>
      </c>
      <c r="BC79" s="0" t="str">
        <f>"389.0."&amp;BC$9-2010&amp;"."</f>
        <v>389.0.36.</v>
      </c>
      <c r="BD79" s="0" t="str">
        <f>"389.0."&amp;BD$9-2010&amp;"."</f>
        <v>389.0.17.</v>
      </c>
      <c r="BE79" s="0" t="str">
        <f>"389.0."&amp;BE$9-2010&amp;"."</f>
        <v>389.0.18.</v>
      </c>
      <c r="BF79" s="0" t="str">
        <f>"389.0."&amp;BF$9-2010&amp;"."</f>
        <v>389.0.19.</v>
      </c>
      <c r="BG79" s="0" t="str">
        <f>"389.0."&amp;BG$9-2010&amp;"."</f>
        <v>389.0.20.</v>
      </c>
      <c r="BH79" s="0" t="str">
        <f>"389.0."&amp;BH$9-2010&amp;"."</f>
        <v>389.0.21.</v>
      </c>
      <c r="BI79" s="0" t="str">
        <f>"389.0."&amp;BI$9-2010&amp;"."</f>
        <v>389.0.22.</v>
      </c>
      <c r="BJ79" s="0" t="str">
        <f>"389.0."&amp;BJ$9-2010&amp;"."</f>
        <v>389.0.23.</v>
      </c>
      <c r="BK79" s="0" t="str">
        <f>"389.0."&amp;BK$9-2010&amp;"."</f>
        <v>389.0.24.</v>
      </c>
      <c r="BL79" s="0" t="str">
        <f>"389.0."&amp;BL$9-2010&amp;"."</f>
        <v>389.0.25.</v>
      </c>
      <c r="BM79" s="0" t="str">
        <f>"389.0."&amp;BM$9-2010&amp;"."</f>
        <v>389.0.26.</v>
      </c>
      <c r="BN79" s="0" t="str">
        <f>"389.0."&amp;BN$9-2010&amp;"."</f>
        <v>389.0.27.</v>
      </c>
      <c r="BO79" s="0" t="str">
        <f>"389.0."&amp;BO$9-2010&amp;"."</f>
        <v>389.0.28.</v>
      </c>
      <c r="BP79" s="0" t="str">
        <f>"389.0."&amp;BP$9-2010&amp;"."</f>
        <v>389.0.29.</v>
      </c>
      <c r="BQ79" s="0" t="str">
        <f>"389.0."&amp;BQ$9-2010&amp;"."</f>
        <v>389.0.30.</v>
      </c>
      <c r="BR79" s="0" t="str">
        <f>"389.0."&amp;BR$9-2010&amp;"."</f>
        <v>389.0.31.</v>
      </c>
      <c r="BS79" s="0" t="str">
        <f>"389.0."&amp;BS$9-2010&amp;"."</f>
        <v>389.0.32.</v>
      </c>
      <c r="BT79" s="0" t="str">
        <f>"389.0."&amp;BT$9-2010&amp;"."</f>
        <v>389.0.33.</v>
      </c>
      <c r="BU79" s="0" t="str">
        <f>"389.0."&amp;BU$9-2010&amp;"."</f>
        <v>389.0.34.</v>
      </c>
      <c r="BV79" s="0" t="str">
        <f>"389.0."&amp;BV$9-2010&amp;"."</f>
        <v>389.0.35.</v>
      </c>
      <c r="BW79" s="0" t="str">
        <f>"389.0."&amp;BW$9-2010&amp;"."</f>
        <v>389.0.36.</v>
      </c>
      <c r="BX79" s="0" t="str">
        <f>"389.0."&amp;BX$9-2010&amp;"."</f>
        <v>389.0.17.</v>
      </c>
      <c r="BY79" s="0" t="str">
        <f>"389.0."&amp;BY$9-2010&amp;"."</f>
        <v>389.0.18.</v>
      </c>
      <c r="BZ79" s="0" t="str">
        <f>"389.0."&amp;BZ$9-2010&amp;"."</f>
        <v>389.0.19.</v>
      </c>
      <c r="CA79" s="0" t="str">
        <f>"389.0."&amp;CA$9-2010&amp;"."</f>
        <v>389.0.20.</v>
      </c>
      <c r="CB79" s="0" t="str">
        <f>"389.0."&amp;CB$9-2010&amp;"."</f>
        <v>389.0.21.</v>
      </c>
      <c r="CC79" s="0" t="str">
        <f>"389.0."&amp;CC$9-2010&amp;"."</f>
        <v>389.0.22.</v>
      </c>
      <c r="CD79" s="0" t="str">
        <f>"389.0."&amp;CD$9-2010&amp;"."</f>
        <v>389.0.23.</v>
      </c>
      <c r="CE79" s="0" t="str">
        <f>"389.0."&amp;CE$9-2010&amp;"."</f>
        <v>389.0.24.</v>
      </c>
      <c r="CF79" s="0" t="str">
        <f>"389.0."&amp;CF$9-2010&amp;"."</f>
        <v>389.0.25.</v>
      </c>
      <c r="CG79" s="0" t="str">
        <f>"389.0."&amp;CG$9-2010&amp;"."</f>
        <v>389.0.26.</v>
      </c>
      <c r="CH79" s="0" t="str">
        <f>"389.0."&amp;CH$9-2010&amp;"."</f>
        <v>389.0.27.</v>
      </c>
      <c r="CI79" s="0" t="str">
        <f>"389.0."&amp;CI$9-2010&amp;"."</f>
        <v>389.0.28.</v>
      </c>
      <c r="CJ79" s="0" t="str">
        <f>"389.0."&amp;CJ$9-2010&amp;"."</f>
        <v>389.0.29.</v>
      </c>
      <c r="CK79" s="0" t="str">
        <f>"389.0."&amp;CK$9-2010&amp;"."</f>
        <v>389.0.30.</v>
      </c>
      <c r="CL79" s="0" t="str">
        <f>"389.0."&amp;CL$9-2010&amp;"."</f>
        <v>389.0.31.</v>
      </c>
      <c r="CM79" s="0" t="str">
        <f>"389.0."&amp;CM$9-2010&amp;"."</f>
        <v>389.0.32.</v>
      </c>
      <c r="CN79" s="0" t="str">
        <f>"389.0."&amp;CN$9-2010&amp;"."</f>
        <v>389.0.33.</v>
      </c>
      <c r="CO79" s="0" t="str">
        <f>"389.0."&amp;CO$9-2010&amp;"."</f>
        <v>389.0.34.</v>
      </c>
      <c r="CP79" s="0" t="str">
        <f>"389.0."&amp;CP$9-2010&amp;"."</f>
        <v>389.0.35.</v>
      </c>
      <c r="CQ79" s="0" t="str">
        <f>"389.0."&amp;CQ$9-2010&amp;"."</f>
        <v>389.0.36.</v>
      </c>
    </row>
    <row customHeight="1" ht="11.25" hidden="1">
      <c r="A80" s="0" t="s">
        <v>406</v>
      </c>
      <c r="AE80" s="0" cm="1" t="str">
        <f t="array" ref="AE80:AE80">IF($A80="uni_org_reg_NAME",INDEX(org_reg_values,MATCH(AE$10,org_reg_codes,0),1),IF($A80="uni_pf_NAME",INDEX(pf_codes_values,MATCH(AE$10,pf_codes,0),1),""))</f>
        <v>328.0.2.</v>
      </c>
      <c r="AF80" s="0" cm="1" t="str">
        <f t="array" ref="AF80:AF80">IF($A80="uni_org_reg_NAME",INDEX(org_reg_values,MATCH(AF$10,org_reg_codes,0),1),IF($A80="uni_pf_NAME",INDEX(pf_codes_values,MATCH(AF$10,pf_codes,0),1),""))</f>
        <v>328.0.1.</v>
      </c>
      <c r="AG80" s="0" cm="1" t="str">
        <f t="array" ref="AG80:AG80">IF($A80="uni_org_reg_NAME",INDEX(org_reg_values,MATCH(AG$10,org_reg_codes,0),1),IF($A80="uni_pf_NAME",INDEX(pf_codes_values,MATCH(AG$10,pf_codes,0),1),""))</f>
        <v>328.0.2.</v>
      </c>
      <c r="AI80" s="0" cm="1" t="str">
        <f t="array" ref="AI80:AI80">IF($A80="uni_org_reg_NAME",INDEX(org_reg_values,MATCH(AI$10,org_reg_codes,0),1),IF($A80="uni_pf_NAME",INDEX(pf_codes_values,MATCH(AI$10,pf_codes,0),1),""))</f>
        <v>328.0.2.</v>
      </c>
      <c r="AJ80" s="0" cm="1" t="str">
        <f t="array" ref="AJ80:AJ80">IF($A80="uni_org_reg_NAME",INDEX(org_reg_values,MATCH(AJ$10,org_reg_codes,0),1),IF($A80="uni_pf_NAME",INDEX(pf_codes_values,MATCH(AJ$10,pf_codes,0),1),""))</f>
        <v>328.0.1.</v>
      </c>
      <c r="AK80" s="0" cm="1" t="str">
        <f t="array" ref="AK80:AK80">IF($A80="uni_org_reg_NAME",INDEX(org_reg_values,MATCH(AK$10,org_reg_codes,0),1),IF($A80="uni_pf_NAME",INDEX(pf_codes_values,MATCH(AK$10,pf_codes,0),1),""))</f>
        <v>328.0.1.</v>
      </c>
      <c r="AL80" s="0" cm="1" t="str">
        <f t="array" ref="AL80:AL80">IF($A80="uni_org_reg_NAME",INDEX(org_reg_values,MATCH(AL$10,org_reg_codes,0),1),IF($A80="uni_pf_NAME",INDEX(pf_codes_values,MATCH(AL$10,pf_codes,0),1),""))</f>
        <v>328.0.1.</v>
      </c>
      <c r="AM80" s="0" cm="1" t="str">
        <f t="array" ref="AM80:AM80">IF($A80="uni_org_reg_NAME",INDEX(org_reg_values,MATCH(AM$10,org_reg_codes,0),1),IF($A80="uni_pf_NAME",INDEX(pf_codes_values,MATCH(AM$10,pf_codes,0),1),""))</f>
        <v>328.0.1.</v>
      </c>
      <c r="AN80" s="0" cm="1" t="str">
        <f t="array" ref="AN80:AN80">IF($A80="uni_org_reg_NAME",INDEX(org_reg_values,MATCH(AN$10,org_reg_codes,0),1),IF($A80="uni_pf_NAME",INDEX(pf_codes_values,MATCH(AN$10,pf_codes,0),1),""))</f>
        <v>328.0.1.</v>
      </c>
      <c r="AO80" s="0" cm="1" t="str">
        <f t="array" ref="AO80:AO80">IF($A80="uni_org_reg_NAME",INDEX(org_reg_values,MATCH(AO$10,org_reg_codes,0),1),IF($A80="uni_pf_NAME",INDEX(pf_codes_values,MATCH(AO$10,pf_codes,0),1),""))</f>
        <v>328.0.1.</v>
      </c>
      <c r="AP80" s="0" cm="1" t="str">
        <f t="array" ref="AP80:AP80">IF($A80="uni_org_reg_NAME",INDEX(org_reg_values,MATCH(AP$10,org_reg_codes,0),1),IF($A80="uni_pf_NAME",INDEX(pf_codes_values,MATCH(AP$10,pf_codes,0),1),""))</f>
        <v>328.0.1.</v>
      </c>
      <c r="AQ80" s="0" cm="1" t="str">
        <f t="array" ref="AQ80:AQ80">IF($A80="uni_org_reg_NAME",INDEX(org_reg_values,MATCH(AQ$10,org_reg_codes,0),1),IF($A80="uni_pf_NAME",INDEX(pf_codes_values,MATCH(AQ$10,pf_codes,0),1),""))</f>
        <v>328.0.1.</v>
      </c>
      <c r="AR80" s="0" cm="1" t="str">
        <f t="array" ref="AR80:AR80">IF($A80="uni_org_reg_NAME",INDEX(org_reg_values,MATCH(AR$10,org_reg_codes,0),1),IF($A80="uni_pf_NAME",INDEX(pf_codes_values,MATCH(AR$10,pf_codes,0),1),""))</f>
        <v>328.0.1.</v>
      </c>
      <c r="AS80" s="0" cm="1" t="str">
        <f t="array" ref="AS80:AS80">IF($A80="uni_org_reg_NAME",INDEX(org_reg_values,MATCH(AS$10,org_reg_codes,0),1),IF($A80="uni_pf_NAME",INDEX(pf_codes_values,MATCH(AS$10,pf_codes,0),1),""))</f>
        <v>328.0.1.</v>
      </c>
      <c r="AT80" s="0" cm="1" t="str">
        <f t="array" ref="AT80:AT80">IF($A80="uni_org_reg_NAME",INDEX(org_reg_values,MATCH(AT$10,org_reg_codes,0),1),IF($A80="uni_pf_NAME",INDEX(pf_codes_values,MATCH(AT$10,pf_codes,0),1),""))</f>
        <v>328.0.1.</v>
      </c>
      <c r="AU80" s="0" cm="1" t="str">
        <f t="array" ref="AU80:AU80">IF($A80="uni_org_reg_NAME",INDEX(org_reg_values,MATCH(AU$10,org_reg_codes,0),1),IF($A80="uni_pf_NAME",INDEX(pf_codes_values,MATCH(AU$10,pf_codes,0),1),""))</f>
        <v>328.0.1.</v>
      </c>
      <c r="AV80" s="0" cm="1" t="str">
        <f t="array" ref="AV80:AV80">IF($A80="uni_org_reg_NAME",INDEX(org_reg_values,MATCH(AV$10,org_reg_codes,0),1),IF($A80="uni_pf_NAME",INDEX(pf_codes_values,MATCH(AV$10,pf_codes,0),1),""))</f>
        <v>328.0.1.</v>
      </c>
      <c r="AW80" s="0" cm="1" t="str">
        <f t="array" ref="AW80:AW80">IF($A80="uni_org_reg_NAME",INDEX(org_reg_values,MATCH(AW$10,org_reg_codes,0),1),IF($A80="uni_pf_NAME",INDEX(pf_codes_values,MATCH(AW$10,pf_codes,0),1),""))</f>
        <v>328.0.1.</v>
      </c>
      <c r="AX80" s="0" cm="1" t="str">
        <f t="array" ref="AX80:AX80">IF($A80="uni_org_reg_NAME",INDEX(org_reg_values,MATCH(AX$10,org_reg_codes,0),1),IF($A80="uni_pf_NAME",INDEX(pf_codes_values,MATCH(AX$10,pf_codes,0),1),""))</f>
        <v>328.0.1.</v>
      </c>
      <c r="AY80" s="0" cm="1" t="str">
        <f t="array" ref="AY80:AY80">IF($A80="uni_org_reg_NAME",INDEX(org_reg_values,MATCH(AY$10,org_reg_codes,0),1),IF($A80="uni_pf_NAME",INDEX(pf_codes_values,MATCH(AY$10,pf_codes,0),1),""))</f>
        <v>328.0.1.</v>
      </c>
      <c r="AZ80" s="0" cm="1" t="str">
        <f t="array" ref="AZ80:AZ80">IF($A80="uni_org_reg_NAME",INDEX(org_reg_values,MATCH(AZ$10,org_reg_codes,0),1),IF($A80="uni_pf_NAME",INDEX(pf_codes_values,MATCH(AZ$10,pf_codes,0),1),""))</f>
        <v>328.0.1.</v>
      </c>
      <c r="BA80" s="0" cm="1" t="str">
        <f t="array" ref="BA80:BA80">IF($A80="uni_org_reg_NAME",INDEX(org_reg_values,MATCH(BA$10,org_reg_codes,0),1),IF($A80="uni_pf_NAME",INDEX(pf_codes_values,MATCH(BA$10,pf_codes,0),1),""))</f>
        <v>328.0.1.</v>
      </c>
      <c r="BB80" s="0" cm="1" t="str">
        <f t="array" ref="BB80:BB80">IF($A80="uni_org_reg_NAME",INDEX(org_reg_values,MATCH(BB$10,org_reg_codes,0),1),IF($A80="uni_pf_NAME",INDEX(pf_codes_values,MATCH(BB$10,pf_codes,0),1),""))</f>
        <v>328.0.1.</v>
      </c>
      <c r="BC80" s="0" cm="1" t="str">
        <f t="array" ref="BC80:BC80">IF($A80="uni_org_reg_NAME",INDEX(org_reg_values,MATCH(BC$10,org_reg_codes,0),1),IF($A80="uni_pf_NAME",INDEX(pf_codes_values,MATCH(BC$10,pf_codes,0),1),""))</f>
        <v>328.0.1.</v>
      </c>
      <c r="BD80" s="0" cm="1" t="str">
        <f t="array" ref="BD80:BD80">IF($A80="uni_org_reg_NAME",INDEX(org_reg_values,MATCH(BD$10,org_reg_codes,0),1),IF($A80="uni_pf_NAME",INDEX(pf_codes_values,MATCH(BD$10,pf_codes,0),1),""))</f>
        <v>328.0.2.</v>
      </c>
      <c r="BE80" s="0" cm="1" t="str">
        <f t="array" ref="BE80:BE80">IF($A80="uni_org_reg_NAME",INDEX(org_reg_values,MATCH(BE$10,org_reg_codes,0),1),IF($A80="uni_pf_NAME",INDEX(pf_codes_values,MATCH(BE$10,pf_codes,0),1),""))</f>
        <v>328.0.2.</v>
      </c>
      <c r="BF80" s="0" cm="1" t="str">
        <f t="array" ref="BF80:BF80">IF($A80="uni_org_reg_NAME",INDEX(org_reg_values,MATCH(BF$10,org_reg_codes,0),1),IF($A80="uni_pf_NAME",INDEX(pf_codes_values,MATCH(BF$10,pf_codes,0),1),""))</f>
        <v>328.0.2.</v>
      </c>
      <c r="BG80" s="0" cm="1" t="str">
        <f t="array" ref="BG80:BG80">IF($A80="uni_org_reg_NAME",INDEX(org_reg_values,MATCH(BG$10,org_reg_codes,0),1),IF($A80="uni_pf_NAME",INDEX(pf_codes_values,MATCH(BG$10,pf_codes,0),1),""))</f>
        <v>328.0.2.</v>
      </c>
      <c r="BH80" s="0" cm="1" t="str">
        <f t="array" ref="BH80:BH80">IF($A80="uni_org_reg_NAME",INDEX(org_reg_values,MATCH(BH$10,org_reg_codes,0),1),IF($A80="uni_pf_NAME",INDEX(pf_codes_values,MATCH(BH$10,pf_codes,0),1),""))</f>
        <v>328.0.2.</v>
      </c>
      <c r="BI80" s="0" cm="1" t="str">
        <f t="array" ref="BI80:BI80">IF($A80="uni_org_reg_NAME",INDEX(org_reg_values,MATCH(BI$10,org_reg_codes,0),1),IF($A80="uni_pf_NAME",INDEX(pf_codes_values,MATCH(BI$10,pf_codes,0),1),""))</f>
        <v>328.0.2.</v>
      </c>
      <c r="BJ80" s="0" cm="1" t="str">
        <f t="array" ref="BJ80:BJ80">IF($A80="uni_org_reg_NAME",INDEX(org_reg_values,MATCH(BJ$10,org_reg_codes,0),1),IF($A80="uni_pf_NAME",INDEX(pf_codes_values,MATCH(BJ$10,pf_codes,0),1),""))</f>
        <v>328.0.2.</v>
      </c>
      <c r="BK80" s="0" cm="1" t="str">
        <f t="array" ref="BK80:BK80">IF($A80="uni_org_reg_NAME",INDEX(org_reg_values,MATCH(BK$10,org_reg_codes,0),1),IF($A80="uni_pf_NAME",INDEX(pf_codes_values,MATCH(BK$10,pf_codes,0),1),""))</f>
        <v>328.0.2.</v>
      </c>
      <c r="BL80" s="0" cm="1" t="str">
        <f t="array" ref="BL80:BL80">IF($A80="uni_org_reg_NAME",INDEX(org_reg_values,MATCH(BL$10,org_reg_codes,0),1),IF($A80="uni_pf_NAME",INDEX(pf_codes_values,MATCH(BL$10,pf_codes,0),1),""))</f>
        <v>328.0.2.</v>
      </c>
      <c r="BM80" s="0" cm="1" t="str">
        <f t="array" ref="BM80:BM80">IF($A80="uni_org_reg_NAME",INDEX(org_reg_values,MATCH(BM$10,org_reg_codes,0),1),IF($A80="uni_pf_NAME",INDEX(pf_codes_values,MATCH(BM$10,pf_codes,0),1),""))</f>
        <v>328.0.2.</v>
      </c>
      <c r="BN80" s="0" cm="1" t="str">
        <f t="array" ref="BN80:BN80">IF($A80="uni_org_reg_NAME",INDEX(org_reg_values,MATCH(BN$10,org_reg_codes,0),1),IF($A80="uni_pf_NAME",INDEX(pf_codes_values,MATCH(BN$10,pf_codes,0),1),""))</f>
        <v>328.0.2.</v>
      </c>
      <c r="BO80" s="0" cm="1" t="str">
        <f t="array" ref="BO80:BO80">IF($A80="uni_org_reg_NAME",INDEX(org_reg_values,MATCH(BO$10,org_reg_codes,0),1),IF($A80="uni_pf_NAME",INDEX(pf_codes_values,MATCH(BO$10,pf_codes,0),1),""))</f>
        <v>328.0.2.</v>
      </c>
      <c r="BP80" s="0" cm="1" t="str">
        <f t="array" ref="BP80:BP80">IF($A80="uni_org_reg_NAME",INDEX(org_reg_values,MATCH(BP$10,org_reg_codes,0),1),IF($A80="uni_pf_NAME",INDEX(pf_codes_values,MATCH(BP$10,pf_codes,0),1),""))</f>
        <v>328.0.2.</v>
      </c>
      <c r="BQ80" s="0" cm="1" t="str">
        <f t="array" ref="BQ80:BQ80">IF($A80="uni_org_reg_NAME",INDEX(org_reg_values,MATCH(BQ$10,org_reg_codes,0),1),IF($A80="uni_pf_NAME",INDEX(pf_codes_values,MATCH(BQ$10,pf_codes,0),1),""))</f>
        <v>328.0.2.</v>
      </c>
      <c r="BR80" s="0" cm="1" t="str">
        <f t="array" ref="BR80:BR80">IF($A80="uni_org_reg_NAME",INDEX(org_reg_values,MATCH(BR$10,org_reg_codes,0),1),IF($A80="uni_pf_NAME",INDEX(pf_codes_values,MATCH(BR$10,pf_codes,0),1),""))</f>
        <v>328.0.2.</v>
      </c>
      <c r="BS80" s="0" cm="1" t="str">
        <f t="array" ref="BS80:BS80">IF($A80="uni_org_reg_NAME",INDEX(org_reg_values,MATCH(BS$10,org_reg_codes,0),1),IF($A80="uni_pf_NAME",INDEX(pf_codes_values,MATCH(BS$10,pf_codes,0),1),""))</f>
        <v>328.0.2.</v>
      </c>
      <c r="BT80" s="0" cm="1" t="str">
        <f t="array" ref="BT80:BT80">IF($A80="uni_org_reg_NAME",INDEX(org_reg_values,MATCH(BT$10,org_reg_codes,0),1),IF($A80="uni_pf_NAME",INDEX(pf_codes_values,MATCH(BT$10,pf_codes,0),1),""))</f>
        <v>328.0.2.</v>
      </c>
      <c r="BU80" s="0" cm="1" t="str">
        <f t="array" ref="BU80:BU80">IF($A80="uni_org_reg_NAME",INDEX(org_reg_values,MATCH(BU$10,org_reg_codes,0),1),IF($A80="uni_pf_NAME",INDEX(pf_codes_values,MATCH(BU$10,pf_codes,0),1),""))</f>
        <v>328.0.2.</v>
      </c>
      <c r="BV80" s="0" cm="1" t="str">
        <f t="array" ref="BV80:BV80">IF($A80="uni_org_reg_NAME",INDEX(org_reg_values,MATCH(BV$10,org_reg_codes,0),1),IF($A80="uni_pf_NAME",INDEX(pf_codes_values,MATCH(BV$10,pf_codes,0),1),""))</f>
        <v>328.0.2.</v>
      </c>
      <c r="BW80" s="0" cm="1" t="str">
        <f t="array" ref="BW80:BW80">IF($A80="uni_org_reg_NAME",INDEX(org_reg_values,MATCH(BW$10,org_reg_codes,0),1),IF($A80="uni_pf_NAME",INDEX(pf_codes_values,MATCH(BW$10,pf_codes,0),1),""))</f>
        <v>328.0.2.</v>
      </c>
      <c r="BX80" s="286"/>
      <c r="BY80" s="286"/>
      <c r="BZ80" s="286"/>
      <c r="CA80" s="286"/>
      <c r="CB80" s="286"/>
      <c r="CC80" s="286"/>
      <c r="CD80" s="286"/>
      <c r="CE80" s="286"/>
      <c r="CF80" s="286"/>
      <c r="CG80" s="286"/>
      <c r="CH80" s="286"/>
      <c r="CI80" s="286"/>
      <c r="CJ80" s="286"/>
      <c r="CK80" s="286"/>
      <c r="CL80" s="286"/>
      <c r="CM80" s="286"/>
      <c r="CN80" s="286"/>
      <c r="CO80" s="286"/>
      <c r="CP80" s="286"/>
      <c r="CQ80" s="286"/>
    </row>
    <row customHeight="1" ht="11.25" hidden="1">
      <c r="A81" s="0" t="s">
        <v>409</v>
      </c>
      <c r="AE81" s="0" cm="1" t="str">
        <f t="array" ref="AE81:AE81">IF($A81="uni_org_reg_NAME",INDEX(org_reg_values,MATCH(AE$10,org_reg_codes,0),1),IF($A81="uni_pf_NAME",INDEX(pf_codes_values,MATCH(AE$10,pf_codes,0),1),""))</f>
        <v>36.0.7.</v>
      </c>
      <c r="AF81" s="0" cm="1" t="str">
        <f t="array" ref="AF81:AF81">IF($A81="uni_org_reg_NAME",INDEX(org_reg_values,MATCH(AF$10,org_reg_codes,0),1),IF($A81="uni_pf_NAME",INDEX(pf_codes_values,MATCH(AF$10,pf_codes,0),1),""))</f>
        <v>36.0.1.</v>
      </c>
      <c r="AG81" s="0" cm="1" t="str">
        <f t="array" ref="AG81:AG81">IF($A81="uni_org_reg_NAME",INDEX(org_reg_values,MATCH(AG$10,org_reg_codes,0),1),IF($A81="uni_pf_NAME",INDEX(pf_codes_values,MATCH(AG$10,pf_codes,0),1),""))</f>
        <v>36.0.1.</v>
      </c>
      <c r="AI81" s="0" cm="1" t="str">
        <f t="array" ref="AI81:AI81">IF($A81="uni_org_reg_NAME",INDEX(org_reg_values,MATCH(AI$10,org_reg_codes,0),1),IF($A81="uni_pf_NAME",INDEX(pf_codes_values,MATCH(AI$10,pf_codes,0),1),""))</f>
        <v>36.0.7.</v>
      </c>
      <c r="AJ81" s="0" cm="1" t="str">
        <f t="array" ref="AJ81:AJ81">IF($A81="uni_org_reg_NAME",INDEX(org_reg_values,MATCH(AJ$10,org_reg_codes,0),1),IF($A81="uni_pf_NAME",INDEX(pf_codes_values,MATCH(AJ$10,pf_codes,0),1),""))</f>
        <v>36.0.3.</v>
      </c>
      <c r="AK81" s="0" cm="1" t="str">
        <f t="array" ref="AK81:AK81">IF($A81="uni_org_reg_NAME",INDEX(org_reg_values,MATCH(AK$10,org_reg_codes,0),1),IF($A81="uni_pf_NAME",INDEX(pf_codes_values,MATCH(AK$10,pf_codes,0),1),""))</f>
        <v>36.0.3.</v>
      </c>
      <c r="AL81" s="0" cm="1" t="str">
        <f t="array" ref="AL81:AL81">IF($A81="uni_org_reg_NAME",INDEX(org_reg_values,MATCH(AL$10,org_reg_codes,0),1),IF($A81="uni_pf_NAME",INDEX(pf_codes_values,MATCH(AL$10,pf_codes,0),1),""))</f>
        <v>36.0.3.</v>
      </c>
      <c r="AM81" s="0" cm="1" t="str">
        <f t="array" ref="AM81:AM81">IF($A81="uni_org_reg_NAME",INDEX(org_reg_values,MATCH(AM$10,org_reg_codes,0),1),IF($A81="uni_pf_NAME",INDEX(pf_codes_values,MATCH(AM$10,pf_codes,0),1),""))</f>
        <v>36.0.3.</v>
      </c>
      <c r="AN81" s="0" cm="1" t="str">
        <f t="array" ref="AN81:AN81">IF($A81="uni_org_reg_NAME",INDEX(org_reg_values,MATCH(AN$10,org_reg_codes,0),1),IF($A81="uni_pf_NAME",INDEX(pf_codes_values,MATCH(AN$10,pf_codes,0),1),""))</f>
        <v>36.0.3.</v>
      </c>
      <c r="AO81" s="0" cm="1" t="str">
        <f t="array" ref="AO81:AO81">IF($A81="uni_org_reg_NAME",INDEX(org_reg_values,MATCH(AO$10,org_reg_codes,0),1),IF($A81="uni_pf_NAME",INDEX(pf_codes_values,MATCH(AO$10,pf_codes,0),1),""))</f>
        <v>36.0.3.</v>
      </c>
      <c r="AP81" s="0" cm="1" t="str">
        <f t="array" ref="AP81:AP81">IF($A81="uni_org_reg_NAME",INDEX(org_reg_values,MATCH(AP$10,org_reg_codes,0),1),IF($A81="uni_pf_NAME",INDEX(pf_codes_values,MATCH(AP$10,pf_codes,0),1),""))</f>
        <v>36.0.3.</v>
      </c>
      <c r="AQ81" s="0" cm="1" t="str">
        <f t="array" ref="AQ81:AQ81">IF($A81="uni_org_reg_NAME",INDEX(org_reg_values,MATCH(AQ$10,org_reg_codes,0),1),IF($A81="uni_pf_NAME",INDEX(pf_codes_values,MATCH(AQ$10,pf_codes,0),1),""))</f>
        <v>36.0.3.</v>
      </c>
      <c r="AR81" s="0" cm="1" t="str">
        <f t="array" ref="AR81:AR81">IF($A81="uni_org_reg_NAME",INDEX(org_reg_values,MATCH(AR$10,org_reg_codes,0),1),IF($A81="uni_pf_NAME",INDEX(pf_codes_values,MATCH(AR$10,pf_codes,0),1),""))</f>
        <v>36.0.3.</v>
      </c>
      <c r="AS81" s="0" cm="1" t="str">
        <f t="array" ref="AS81:AS81">IF($A81="uni_org_reg_NAME",INDEX(org_reg_values,MATCH(AS$10,org_reg_codes,0),1),IF($A81="uni_pf_NAME",INDEX(pf_codes_values,MATCH(AS$10,pf_codes,0),1),""))</f>
        <v>36.0.3.</v>
      </c>
      <c r="AT81" s="0" cm="1" t="str">
        <f t="array" ref="AT81:AT81">IF($A81="uni_org_reg_NAME",INDEX(org_reg_values,MATCH(AT$10,org_reg_codes,0),1),IF($A81="uni_pf_NAME",INDEX(pf_codes_values,MATCH(AT$10,pf_codes,0),1),""))</f>
        <v>36.0.3.</v>
      </c>
      <c r="AU81" s="0" cm="1" t="str">
        <f t="array" ref="AU81:AU81">IF($A81="uni_org_reg_NAME",INDEX(org_reg_values,MATCH(AU$10,org_reg_codes,0),1),IF($A81="uni_pf_NAME",INDEX(pf_codes_values,MATCH(AU$10,pf_codes,0),1),""))</f>
        <v>36.0.3.</v>
      </c>
      <c r="AV81" s="0" cm="1" t="str">
        <f t="array" ref="AV81:AV81">IF($A81="uni_org_reg_NAME",INDEX(org_reg_values,MATCH(AV$10,org_reg_codes,0),1),IF($A81="uni_pf_NAME",INDEX(pf_codes_values,MATCH(AV$10,pf_codes,0),1),""))</f>
        <v>36.0.3.</v>
      </c>
      <c r="AW81" s="0" cm="1" t="str">
        <f t="array" ref="AW81:AW81">IF($A81="uni_org_reg_NAME",INDEX(org_reg_values,MATCH(AW$10,org_reg_codes,0),1),IF($A81="uni_pf_NAME",INDEX(pf_codes_values,MATCH(AW$10,pf_codes,0),1),""))</f>
        <v>36.0.3.</v>
      </c>
      <c r="AX81" s="0" cm="1" t="str">
        <f t="array" ref="AX81:AX81">IF($A81="uni_org_reg_NAME",INDEX(org_reg_values,MATCH(AX$10,org_reg_codes,0),1),IF($A81="uni_pf_NAME",INDEX(pf_codes_values,MATCH(AX$10,pf_codes,0),1),""))</f>
        <v>36.0.3.</v>
      </c>
      <c r="AY81" s="0" cm="1" t="str">
        <f t="array" ref="AY81:AY81">IF($A81="uni_org_reg_NAME",INDEX(org_reg_values,MATCH(AY$10,org_reg_codes,0),1),IF($A81="uni_pf_NAME",INDEX(pf_codes_values,MATCH(AY$10,pf_codes,0),1),""))</f>
        <v>36.0.3.</v>
      </c>
      <c r="AZ81" s="0" cm="1" t="str">
        <f t="array" ref="AZ81:AZ81">IF($A81="uni_org_reg_NAME",INDEX(org_reg_values,MATCH(AZ$10,org_reg_codes,0),1),IF($A81="uni_pf_NAME",INDEX(pf_codes_values,MATCH(AZ$10,pf_codes,0),1),""))</f>
        <v>36.0.3.</v>
      </c>
      <c r="BA81" s="0" cm="1" t="str">
        <f t="array" ref="BA81:BA81">IF($A81="uni_org_reg_NAME",INDEX(org_reg_values,MATCH(BA$10,org_reg_codes,0),1),IF($A81="uni_pf_NAME",INDEX(pf_codes_values,MATCH(BA$10,pf_codes,0),1),""))</f>
        <v>36.0.3.</v>
      </c>
      <c r="BB81" s="0" cm="1" t="str">
        <f t="array" ref="BB81:BB81">IF($A81="uni_org_reg_NAME",INDEX(org_reg_values,MATCH(BB$10,org_reg_codes,0),1),IF($A81="uni_pf_NAME",INDEX(pf_codes_values,MATCH(BB$10,pf_codes,0),1),""))</f>
        <v>36.0.3.</v>
      </c>
      <c r="BC81" s="0" cm="1" t="str">
        <f t="array" ref="BC81:BC81">IF($A81="uni_org_reg_NAME",INDEX(org_reg_values,MATCH(BC$10,org_reg_codes,0),1),IF($A81="uni_pf_NAME",INDEX(pf_codes_values,MATCH(BC$10,pf_codes,0),1),""))</f>
        <v>36.0.3.</v>
      </c>
      <c r="BD81" s="0" cm="1" t="str">
        <f t="array" ref="BD81:BD81">IF($A81="uni_org_reg_NAME",INDEX(org_reg_values,MATCH(BD$10,org_reg_codes,0),1),IF($A81="uni_pf_NAME",INDEX(pf_codes_values,MATCH(BD$10,pf_codes,0),1),""))</f>
        <v>36.0.7.</v>
      </c>
      <c r="BE81" s="0" cm="1" t="str">
        <f t="array" ref="BE81:BE81">IF($A81="uni_org_reg_NAME",INDEX(org_reg_values,MATCH(BE$10,org_reg_codes,0),1),IF($A81="uni_pf_NAME",INDEX(pf_codes_values,MATCH(BE$10,pf_codes,0),1),""))</f>
        <v>36.0.7.</v>
      </c>
      <c r="BF81" s="0" cm="1" t="str">
        <f t="array" ref="BF81:BF81">IF($A81="uni_org_reg_NAME",INDEX(org_reg_values,MATCH(BF$10,org_reg_codes,0),1),IF($A81="uni_pf_NAME",INDEX(pf_codes_values,MATCH(BF$10,pf_codes,0),1),""))</f>
        <v>36.0.7.</v>
      </c>
      <c r="BG81" s="0" cm="1" t="str">
        <f t="array" ref="BG81:BG81">IF($A81="uni_org_reg_NAME",INDEX(org_reg_values,MATCH(BG$10,org_reg_codes,0),1),IF($A81="uni_pf_NAME",INDEX(pf_codes_values,MATCH(BG$10,pf_codes,0),1),""))</f>
        <v>36.0.7.</v>
      </c>
      <c r="BH81" s="0" cm="1" t="str">
        <f t="array" ref="BH81:BH81">IF($A81="uni_org_reg_NAME",INDEX(org_reg_values,MATCH(BH$10,org_reg_codes,0),1),IF($A81="uni_pf_NAME",INDEX(pf_codes_values,MATCH(BH$10,pf_codes,0),1),""))</f>
        <v>36.0.7.</v>
      </c>
      <c r="BI81" s="0" cm="1" t="str">
        <f t="array" ref="BI81:BI81">IF($A81="uni_org_reg_NAME",INDEX(org_reg_values,MATCH(BI$10,org_reg_codes,0),1),IF($A81="uni_pf_NAME",INDEX(pf_codes_values,MATCH(BI$10,pf_codes,0),1),""))</f>
        <v>36.0.7.</v>
      </c>
      <c r="BJ81" s="0" cm="1" t="str">
        <f t="array" ref="BJ81:BJ81">IF($A81="uni_org_reg_NAME",INDEX(org_reg_values,MATCH(BJ$10,org_reg_codes,0),1),IF($A81="uni_pf_NAME",INDEX(pf_codes_values,MATCH(BJ$10,pf_codes,0),1),""))</f>
        <v>36.0.7.</v>
      </c>
      <c r="BK81" s="0" cm="1" t="str">
        <f t="array" ref="BK81:BK81">IF($A81="uni_org_reg_NAME",INDEX(org_reg_values,MATCH(BK$10,org_reg_codes,0),1),IF($A81="uni_pf_NAME",INDEX(pf_codes_values,MATCH(BK$10,pf_codes,0),1),""))</f>
        <v>36.0.7.</v>
      </c>
      <c r="BL81" s="0" cm="1" t="str">
        <f t="array" ref="BL81:BL81">IF($A81="uni_org_reg_NAME",INDEX(org_reg_values,MATCH(BL$10,org_reg_codes,0),1),IF($A81="uni_pf_NAME",INDEX(pf_codes_values,MATCH(BL$10,pf_codes,0),1),""))</f>
        <v>36.0.7.</v>
      </c>
      <c r="BM81" s="0" cm="1" t="str">
        <f t="array" ref="BM81:BM81">IF($A81="uni_org_reg_NAME",INDEX(org_reg_values,MATCH(BM$10,org_reg_codes,0),1),IF($A81="uni_pf_NAME",INDEX(pf_codes_values,MATCH(BM$10,pf_codes,0),1),""))</f>
        <v>36.0.7.</v>
      </c>
      <c r="BN81" s="0" cm="1" t="str">
        <f t="array" ref="BN81:BN81">IF($A81="uni_org_reg_NAME",INDEX(org_reg_values,MATCH(BN$10,org_reg_codes,0),1),IF($A81="uni_pf_NAME",INDEX(pf_codes_values,MATCH(BN$10,pf_codes,0),1),""))</f>
        <v>36.0.7.</v>
      </c>
      <c r="BO81" s="0" cm="1" t="str">
        <f t="array" ref="BO81:BO81">IF($A81="uni_org_reg_NAME",INDEX(org_reg_values,MATCH(BO$10,org_reg_codes,0),1),IF($A81="uni_pf_NAME",INDEX(pf_codes_values,MATCH(BO$10,pf_codes,0),1),""))</f>
        <v>36.0.7.</v>
      </c>
      <c r="BP81" s="0" cm="1" t="str">
        <f t="array" ref="BP81:BP81">IF($A81="uni_org_reg_NAME",INDEX(org_reg_values,MATCH(BP$10,org_reg_codes,0),1),IF($A81="uni_pf_NAME",INDEX(pf_codes_values,MATCH(BP$10,pf_codes,0),1),""))</f>
        <v>36.0.7.</v>
      </c>
      <c r="BQ81" s="0" cm="1" t="str">
        <f t="array" ref="BQ81:BQ81">IF($A81="uni_org_reg_NAME",INDEX(org_reg_values,MATCH(BQ$10,org_reg_codes,0),1),IF($A81="uni_pf_NAME",INDEX(pf_codes_values,MATCH(BQ$10,pf_codes,0),1),""))</f>
        <v>36.0.7.</v>
      </c>
      <c r="BR81" s="0" cm="1" t="str">
        <f t="array" ref="BR81:BR81">IF($A81="uni_org_reg_NAME",INDEX(org_reg_values,MATCH(BR$10,org_reg_codes,0),1),IF($A81="uni_pf_NAME",INDEX(pf_codes_values,MATCH(BR$10,pf_codes,0),1),""))</f>
        <v>36.0.7.</v>
      </c>
      <c r="BS81" s="0" cm="1" t="str">
        <f t="array" ref="BS81:BS81">IF($A81="uni_org_reg_NAME",INDEX(org_reg_values,MATCH(BS$10,org_reg_codes,0),1),IF($A81="uni_pf_NAME",INDEX(pf_codes_values,MATCH(BS$10,pf_codes,0),1),""))</f>
        <v>36.0.7.</v>
      </c>
      <c r="BT81" s="0" cm="1" t="str">
        <f t="array" ref="BT81:BT81">IF($A81="uni_org_reg_NAME",INDEX(org_reg_values,MATCH(BT$10,org_reg_codes,0),1),IF($A81="uni_pf_NAME",INDEX(pf_codes_values,MATCH(BT$10,pf_codes,0),1),""))</f>
        <v>36.0.7.</v>
      </c>
      <c r="BU81" s="0" cm="1" t="str">
        <f t="array" ref="BU81:BU81">IF($A81="uni_org_reg_NAME",INDEX(org_reg_values,MATCH(BU$10,org_reg_codes,0),1),IF($A81="uni_pf_NAME",INDEX(pf_codes_values,MATCH(BU$10,pf_codes,0),1),""))</f>
        <v>36.0.7.</v>
      </c>
      <c r="BV81" s="0" cm="1" t="str">
        <f t="array" ref="BV81:BV81">IF($A81="uni_org_reg_NAME",INDEX(org_reg_values,MATCH(BV$10,org_reg_codes,0),1),IF($A81="uni_pf_NAME",INDEX(pf_codes_values,MATCH(BV$10,pf_codes,0),1),""))</f>
        <v>36.0.7.</v>
      </c>
      <c r="BW81" s="0" cm="1" t="str">
        <f t="array" ref="BW81:BW81">IF($A81="uni_org_reg_NAME",INDEX(org_reg_values,MATCH(BW$10,org_reg_codes,0),1),IF($A81="uni_pf_NAME",INDEX(pf_codes_values,MATCH(BW$10,pf_codes,0),1),""))</f>
        <v>36.0.7.</v>
      </c>
      <c r="BX81" s="286"/>
      <c r="BY81" s="286"/>
      <c r="BZ81" s="286"/>
      <c r="CA81" s="286"/>
      <c r="CB81" s="286"/>
      <c r="CC81" s="286"/>
      <c r="CD81" s="286"/>
      <c r="CE81" s="286"/>
      <c r="CF81" s="286"/>
      <c r="CG81" s="286"/>
      <c r="CH81" s="286"/>
      <c r="CI81" s="286"/>
      <c r="CJ81" s="286"/>
      <c r="CK81" s="286"/>
      <c r="CL81" s="286"/>
      <c r="CM81" s="286"/>
      <c r="CN81" s="286"/>
      <c r="CO81" s="286"/>
      <c r="CP81" s="286"/>
      <c r="CQ81" s="286"/>
    </row>
    <row customHeight="1" ht="11.25" hidden="1">
      <c r="A82" s="0" t="s">
        <v>1600</v>
      </c>
      <c r="AJ82" s="286"/>
      <c r="AK82" s="286"/>
      <c r="AL82" s="286"/>
      <c r="AM82" s="286"/>
      <c r="AN82" s="286"/>
      <c r="AO82" s="286"/>
      <c r="AP82" s="286"/>
      <c r="AQ82" s="286"/>
      <c r="AR82" s="286"/>
      <c r="AS82" s="286"/>
      <c r="AT82" s="286"/>
      <c r="AU82" s="286"/>
      <c r="AV82" s="286"/>
      <c r="AW82" s="286"/>
      <c r="AX82" s="286"/>
      <c r="AY82" s="286"/>
      <c r="AZ82" s="286"/>
      <c r="BA82" s="286"/>
      <c r="BB82" s="286"/>
      <c r="BC82" s="286"/>
      <c r="BD82" s="286"/>
      <c r="BE82" s="286"/>
      <c r="BF82" s="286"/>
      <c r="BG82" s="286"/>
      <c r="BH82" s="286"/>
      <c r="BI82" s="286"/>
      <c r="BJ82" s="286"/>
      <c r="BK82" s="286"/>
      <c r="BL82" s="286"/>
      <c r="BM82" s="286"/>
      <c r="BN82" s="286"/>
      <c r="BO82" s="286"/>
      <c r="BP82" s="286"/>
      <c r="BQ82" s="286"/>
      <c r="BR82" s="286"/>
      <c r="BS82" s="286"/>
      <c r="BT82" s="286"/>
      <c r="BU82" s="286"/>
      <c r="BV82" s="286"/>
      <c r="BW82" s="286"/>
      <c r="BX82" s="0" t="s">
        <v>1624</v>
      </c>
      <c r="BY82" s="0" t="s">
        <v>1624</v>
      </c>
      <c r="BZ82" s="0" t="s">
        <v>1624</v>
      </c>
      <c r="CA82" s="0" t="s">
        <v>1624</v>
      </c>
      <c r="CB82" s="0" t="s">
        <v>1624</v>
      </c>
      <c r="CC82" s="0" t="s">
        <v>1624</v>
      </c>
      <c r="CD82" s="0" t="s">
        <v>1624</v>
      </c>
      <c r="CE82" s="0" t="s">
        <v>1624</v>
      </c>
      <c r="CF82" s="0" t="s">
        <v>1624</v>
      </c>
      <c r="CG82" s="0" t="s">
        <v>1624</v>
      </c>
      <c r="CH82" s="0" t="s">
        <v>1624</v>
      </c>
      <c r="CI82" s="0" t="s">
        <v>1624</v>
      </c>
      <c r="CJ82" s="0" t="s">
        <v>1624</v>
      </c>
      <c r="CK82" s="0" t="s">
        <v>1624</v>
      </c>
      <c r="CL82" s="0" t="s">
        <v>1624</v>
      </c>
      <c r="CM82" s="0" t="s">
        <v>1624</v>
      </c>
      <c r="CN82" s="0" t="s">
        <v>1624</v>
      </c>
      <c r="CO82" s="0" t="s">
        <v>1624</v>
      </c>
      <c r="CP82" s="0" t="s">
        <v>1624</v>
      </c>
      <c r="CQ82" s="0" t="s">
        <v>1624</v>
      </c>
    </row>
    <row customHeight="1" ht="11.25" hidden="1">
      <c r="A83" s="0" t="s">
        <v>351</v>
      </c>
      <c r="AJ83" s="286"/>
      <c r="AK83" s="286"/>
      <c r="AL83" s="286"/>
      <c r="AM83" s="286"/>
      <c r="AN83" s="286"/>
      <c r="AO83" s="286"/>
      <c r="AP83" s="286"/>
      <c r="AQ83" s="286"/>
      <c r="AR83" s="286"/>
      <c r="AS83" s="286"/>
      <c r="AT83" s="286"/>
      <c r="AU83" s="286"/>
      <c r="AV83" s="286"/>
      <c r="AW83" s="286"/>
      <c r="AX83" s="286"/>
      <c r="AY83" s="286"/>
      <c r="AZ83" s="286"/>
      <c r="BA83" s="286"/>
      <c r="BB83" s="286"/>
      <c r="BC83" s="286"/>
      <c r="BD83" s="286"/>
      <c r="BE83" s="286"/>
      <c r="BF83" s="286"/>
      <c r="BG83" s="286"/>
      <c r="BH83" s="286"/>
      <c r="BI83" s="286"/>
      <c r="BJ83" s="286"/>
      <c r="BK83" s="286"/>
      <c r="BL83" s="286"/>
      <c r="BM83" s="286"/>
      <c r="BN83" s="286"/>
      <c r="BO83" s="286"/>
      <c r="BP83" s="286"/>
      <c r="BQ83" s="286"/>
      <c r="BR83" s="286"/>
      <c r="BS83" s="286"/>
      <c r="BT83" s="286"/>
      <c r="BU83" s="286"/>
      <c r="BV83" s="286"/>
      <c r="BW83" s="286"/>
      <c r="BX83" s="286"/>
      <c r="BY83" s="286"/>
      <c r="BZ83" s="286"/>
      <c r="CA83" s="286"/>
      <c r="CB83" s="286"/>
      <c r="CC83" s="286"/>
      <c r="CD83" s="286"/>
      <c r="CE83" s="286"/>
      <c r="CF83" s="286"/>
      <c r="CG83" s="286"/>
      <c r="CH83" s="286"/>
      <c r="CI83" s="286"/>
      <c r="CJ83" s="286"/>
      <c r="CK83" s="286"/>
      <c r="CL83" s="286"/>
      <c r="CM83" s="286"/>
      <c r="CN83" s="286"/>
      <c r="CO83" s="286"/>
      <c r="CP83" s="286"/>
      <c r="CQ83" s="286"/>
      <c r="CR83" s="0" t="s">
        <v>178</v>
      </c>
      <c r="CS83" s="0" t="s">
        <v>178</v>
      </c>
      <c r="CT83" s="0" t="s">
        <v>178</v>
      </c>
    </row>
    <row customHeight="1" ht="11.25" hidden="1">
      <c r="A84" s="0" t="s">
        <v>352</v>
      </c>
      <c r="AJ84" s="286"/>
      <c r="AK84" s="286"/>
      <c r="AL84" s="286"/>
      <c r="AM84" s="286"/>
      <c r="AN84" s="286"/>
      <c r="AO84" s="286"/>
      <c r="AP84" s="286"/>
      <c r="AQ84" s="286"/>
      <c r="AR84" s="286"/>
      <c r="AS84" s="286"/>
      <c r="AT84" s="286"/>
      <c r="AU84" s="286"/>
      <c r="AV84" s="286"/>
      <c r="AW84" s="286"/>
      <c r="AX84" s="286"/>
      <c r="AY84" s="286"/>
      <c r="AZ84" s="286"/>
      <c r="BA84" s="286"/>
      <c r="BB84" s="286"/>
      <c r="BC84" s="286"/>
      <c r="BD84" s="286"/>
      <c r="BE84" s="286"/>
      <c r="BF84" s="286"/>
      <c r="BG84" s="286"/>
      <c r="BH84" s="286"/>
      <c r="BI84" s="286"/>
      <c r="BJ84" s="286"/>
      <c r="BK84" s="286"/>
      <c r="BL84" s="286"/>
      <c r="BM84" s="286"/>
      <c r="BN84" s="286"/>
      <c r="BO84" s="286"/>
      <c r="BP84" s="286"/>
      <c r="BQ84" s="286"/>
      <c r="BR84" s="286"/>
      <c r="BS84" s="286"/>
      <c r="BT84" s="286"/>
      <c r="BU84" s="286"/>
      <c r="BV84" s="286"/>
      <c r="BW84" s="286"/>
      <c r="BX84" s="286"/>
      <c r="BY84" s="286"/>
      <c r="BZ84" s="286"/>
      <c r="CA84" s="286"/>
      <c r="CB84" s="286"/>
      <c r="CC84" s="286"/>
      <c r="CD84" s="286"/>
      <c r="CE84" s="286"/>
      <c r="CF84" s="286"/>
      <c r="CG84" s="286"/>
      <c r="CH84" s="286"/>
      <c r="CI84" s="286"/>
      <c r="CJ84" s="286"/>
      <c r="CK84" s="286"/>
      <c r="CL84" s="286"/>
      <c r="CM84" s="286"/>
      <c r="CN84" s="286"/>
      <c r="CO84" s="286"/>
      <c r="CP84" s="286"/>
      <c r="CQ84" s="286"/>
      <c r="CR84" s="0" t="s">
        <v>798</v>
      </c>
      <c r="CS84" s="0" t="s">
        <v>622</v>
      </c>
      <c r="CT84" s="0" t="s">
        <v>1601</v>
      </c>
    </row>
    <row customHeight="1" ht="11.25" hidden="1">
      <c r="A85" s="0" t="s">
        <v>379</v>
      </c>
      <c r="AJ85" s="286"/>
      <c r="AK85" s="286"/>
      <c r="AL85" s="286"/>
      <c r="AM85" s="286"/>
      <c r="AN85" s="286"/>
      <c r="AO85" s="286"/>
      <c r="AP85" s="286"/>
      <c r="AQ85" s="286"/>
      <c r="AR85" s="286"/>
      <c r="AS85" s="286"/>
      <c r="AT85" s="286"/>
      <c r="AU85" s="286"/>
      <c r="AV85" s="286"/>
      <c r="AW85" s="286"/>
      <c r="AX85" s="286"/>
      <c r="AY85" s="286"/>
      <c r="AZ85" s="286"/>
      <c r="BA85" s="286"/>
      <c r="BB85" s="286"/>
      <c r="BC85" s="286"/>
      <c r="BD85" s="286"/>
      <c r="BE85" s="286"/>
      <c r="BF85" s="286"/>
      <c r="BG85" s="286"/>
      <c r="BH85" s="286"/>
      <c r="BI85" s="286"/>
      <c r="BJ85" s="286"/>
      <c r="BK85" s="286"/>
      <c r="BL85" s="286"/>
      <c r="BM85" s="286"/>
      <c r="BN85" s="286"/>
      <c r="BO85" s="286"/>
      <c r="BP85" s="286"/>
      <c r="BQ85" s="286"/>
      <c r="BR85" s="286"/>
      <c r="BS85" s="286"/>
      <c r="BT85" s="286"/>
      <c r="BU85" s="286"/>
      <c r="BV85" s="286"/>
      <c r="BW85" s="286"/>
      <c r="BX85" s="286"/>
      <c r="BY85" s="286"/>
      <c r="BZ85" s="286"/>
      <c r="CA85" s="286"/>
      <c r="CB85" s="286"/>
      <c r="CC85" s="286"/>
      <c r="CD85" s="286"/>
      <c r="CE85" s="286"/>
      <c r="CF85" s="286"/>
      <c r="CG85" s="286"/>
      <c r="CH85" s="286"/>
      <c r="CI85" s="286"/>
      <c r="CJ85" s="286"/>
      <c r="CK85" s="286"/>
      <c r="CL85" s="286"/>
      <c r="CM85" s="286"/>
      <c r="CN85" s="286"/>
      <c r="CO85" s="286"/>
      <c r="CP85" s="286"/>
      <c r="CQ85" s="286"/>
      <c r="CR85" s="0" t="s">
        <v>799</v>
      </c>
      <c r="CS85" s="0" t="s">
        <v>623</v>
      </c>
      <c r="CT85" s="0" t="s">
        <v>1602</v>
      </c>
    </row>
  </sheetData>
  <sheetProtection formatColumns="0" formatRows="0" insertRows="0" deleteColumns="0" deleteRows="0" sort="0" autoFilter="0" insertColumns="1"/>
  <mergeCells count="17">
    <mergeCell ref="Z27:Z48"/>
    <mergeCell ref="X27:X48"/>
    <mergeCell ref="AB75:CT75"/>
    <mergeCell ref="AB73:CT73"/>
    <mergeCell ref="AB74:CT74"/>
    <mergeCell ref="CS24:CS25"/>
    <mergeCell ref="CT24:CT25"/>
    <mergeCell ref="BX25:CQ25"/>
    <mergeCell ref="AB28:AC28"/>
    <mergeCell ref="AB76:AC76"/>
    <mergeCell ref="AB24:AB25"/>
    <mergeCell ref="AC24:AC25"/>
    <mergeCell ref="AD24:AD25"/>
    <mergeCell ref="CR24:CR25"/>
    <mergeCell ref="Z49:Z70"/>
    <mergeCell ref="X49:X70"/>
    <mergeCell ref="AB50:AC5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D215DE-82CE-C029-BBE2-614D177C0E09}" mc:Ignorable="x14ac xr xr2 xr3">
  <sheetPr>
    <tabColor rgb="FF92D050"/>
    <outlinePr summaryRight="0" summaryBelow="0"/>
    <pageSetUpPr fitToPage="1"/>
  </sheetPr>
  <dimension ref="A1:DG64"/>
  <sheetViews>
    <sheetView showGridLines="0" workbookViewId="0">
      <pane xSplit="30" ySplit="25" topLeftCell="AE37" activePane="bottomRight" state="frozen"/>
      <selection pane="bottomLeft" activeCell="A26" sqref="A26"/>
      <selection pane="topRight" activeCell="AE1" sqref="AE1"/>
      <selection pane="bottomRight" activeCell="AJ40" sqref="AJ40"/>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1" style="1659" width="3.57421875" hidden="1" customWidth="1"/>
    <col min="12" max="12" style="1659" width="7.00390625" hidden="1" customWidth="1"/>
    <col min="13" max="17" style="1659" width="3.57421875" hidden="1" customWidth="1"/>
    <col min="18" max="18" style="1659" width="12.7109375" hidden="1" customWidth="1"/>
    <col min="19" max="19" style="1659" width="3.57421875" hidden="1" customWidth="1"/>
    <col min="20" max="20" style="1548" width="8.710937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77" width="8.00390625" customWidth="1"/>
    <col min="29" max="29" style="285" width="70.00390625" customWidth="1"/>
    <col min="30" max="30" style="277" width="14.00390625" customWidth="1"/>
    <col min="31" max="33" style="286" width="13.00390625" customWidth="1"/>
    <col min="34" max="34" style="286" width="19.00390625" customWidth="1"/>
    <col min="35" max="36" style="286" width="13.00390625" customWidth="1"/>
    <col min="37" max="55" style="286" width="13.00390625" hidden="1" customWidth="1"/>
    <col min="56" max="56" style="286" width="13.00390625" customWidth="1"/>
    <col min="57" max="75" style="286" width="13.00390625" hidden="1" customWidth="1"/>
    <col min="76" max="76" style="286" width="13.00390625" customWidth="1"/>
    <col min="77" max="95" style="286" width="13.00390625" hidden="1" customWidth="1"/>
    <col min="96" max="96" style="286" width="19.00390625" customWidth="1"/>
    <col min="97" max="97" style="286" width="17.00390625" customWidth="1"/>
    <col min="98" max="98" style="286" width="31.00390625" customWidth="1"/>
    <col min="99" max="99" style="286" width="3.00390625" customWidth="1"/>
    <col min="100" max="100" style="1659" width="9.140625" hidden="1"/>
    <col min="101" max="101" style="1142" width="9.140625" hidden="1"/>
    <col min="102" max="103" style="1506" width="9.140625" hidden="1"/>
    <col min="104" max="111" width="9.140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W1" s="1548"/>
      <c r="BX1" s="1548"/>
      <c r="BY1" s="1548"/>
      <c r="BZ1" s="1548"/>
      <c r="CA1" s="1548"/>
      <c r="CB1" s="1548"/>
      <c r="CC1" s="1548"/>
      <c r="CD1" s="1548"/>
      <c r="CE1" s="1548"/>
      <c r="CF1" s="1548"/>
      <c r="CG1" s="1548"/>
      <c r="CH1" s="1548"/>
      <c r="CI1" s="1548"/>
      <c r="CJ1" s="1548"/>
      <c r="CK1" s="1548"/>
      <c r="CL1" s="1548"/>
      <c r="CM1" s="1548"/>
      <c r="CN1" s="1548"/>
      <c r="CO1" s="1548"/>
      <c r="CP1" s="1548"/>
      <c r="CQ1" s="1548"/>
      <c r="CW1" s="309" t="s">
        <v>336</v>
      </c>
      <c r="CZ1" s="0" t="s">
        <v>94</v>
      </c>
      <c r="DA1" s="0" t="s">
        <v>789</v>
      </c>
      <c r="DB1" s="0" t="s">
        <v>490</v>
      </c>
      <c r="DC1" s="0" t="s">
        <v>1515</v>
      </c>
      <c r="DD1" s="0" t="s">
        <v>110</v>
      </c>
      <c r="DE1" s="0" t="s">
        <v>112</v>
      </c>
      <c r="DF1" s="0" t="s">
        <v>113</v>
      </c>
      <c r="DG1" s="0" t="s">
        <v>114</v>
      </c>
    </row>
    <row s="1548" customFormat="1" customHeight="1" ht="11.25" hidden="1">
      <c r="A2" s="371"/>
      <c r="B2" s="179" t="s">
        <v>16</v>
      </c>
      <c r="G2" s="193"/>
      <c r="H2" s="193"/>
      <c r="I2" s="193"/>
      <c r="J2" s="193"/>
      <c r="K2" s="193"/>
      <c r="L2" s="193"/>
      <c r="M2" s="193"/>
      <c r="N2" s="193"/>
      <c r="O2" s="193"/>
      <c r="P2" s="193"/>
      <c r="Q2" s="193"/>
      <c r="R2" s="193"/>
      <c r="S2" s="193"/>
      <c r="AC2" s="176"/>
      <c r="AF2" s="179" cm="1" t="str">
        <f t="array" ref="AF2:AF2">isOrgDeclare</f>
        <v>true</v>
      </c>
      <c r="AH2" s="179" cm="1" t="str">
        <f t="array" ref="AH2:AH2">isOrgDeclare</f>
        <v>true</v>
      </c>
      <c r="AJ2" s="179">
        <f>AND(AJ9&lt;=last_year_vis,isOrgDeclare)</f>
        <v>1</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AND(BC9&lt;=last_year_vis,isOrgDeclare)</f>
        <v>0</v>
      </c>
      <c r="BD2" s="179">
        <f>BD9&lt;=last_year_vis</f>
        <v>1</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W2" s="179">
        <f>BW9&lt;=last_year_vis</f>
        <v>0</v>
      </c>
      <c r="BX2" s="179">
        <f>BX9&lt;=last_year_vis</f>
        <v>1</v>
      </c>
      <c r="BY2" s="179">
        <f>BY9&lt;=last_year_vis</f>
        <v>0</v>
      </c>
      <c r="BZ2" s="179">
        <f>BZ9&lt;=last_year_vis</f>
        <v>0</v>
      </c>
      <c r="CA2" s="179">
        <f>CA9&lt;=last_year_vis</f>
        <v>0</v>
      </c>
      <c r="CB2" s="179">
        <f>CB9&lt;=last_year_vis</f>
        <v>0</v>
      </c>
      <c r="CC2" s="179">
        <f>CC9&lt;=last_year_vis</f>
        <v>0</v>
      </c>
      <c r="CD2" s="179">
        <f>CD9&lt;=last_year_vis</f>
        <v>0</v>
      </c>
      <c r="CE2" s="179">
        <f>CE9&lt;=last_year_vis</f>
        <v>0</v>
      </c>
      <c r="CF2" s="179">
        <f>CF9&lt;=last_year_vis</f>
        <v>0</v>
      </c>
      <c r="CG2" s="179">
        <f>CG9&lt;=last_year_vis</f>
        <v>0</v>
      </c>
      <c r="CH2" s="179">
        <f>CH9&lt;=last_year_vis</f>
        <v>0</v>
      </c>
      <c r="CI2" s="179">
        <f>CI9&lt;=last_year_vis</f>
        <v>0</v>
      </c>
      <c r="CJ2" s="179">
        <f>CJ9&lt;=last_year_vis</f>
        <v>0</v>
      </c>
      <c r="CK2" s="179">
        <f>CK9&lt;=last_year_vis</f>
        <v>0</v>
      </c>
      <c r="CL2" s="179">
        <f>CL9&lt;=last_year_vis</f>
        <v>0</v>
      </c>
      <c r="CM2" s="179">
        <f>CM9&lt;=last_year_vis</f>
        <v>0</v>
      </c>
      <c r="CN2" s="179">
        <f>CN9&lt;=last_year_vis</f>
        <v>0</v>
      </c>
      <c r="CO2" s="179">
        <f>CO9&lt;=last_year_vis</f>
        <v>0</v>
      </c>
      <c r="CP2" s="179">
        <f>CP9&lt;=last_year_vis</f>
        <v>0</v>
      </c>
      <c r="CQ2" s="179">
        <f>CQ9&lt;=last_year_vis</f>
        <v>0</v>
      </c>
      <c r="CW2" s="309"/>
      <c r="CZ2" s="0"/>
      <c r="DA2" s="0"/>
      <c r="DB2" s="0"/>
      <c r="DC2" s="0"/>
      <c r="DD2" s="0"/>
      <c r="DE2" s="0"/>
      <c r="DF2" s="0"/>
      <c r="DG2" s="0"/>
    </row>
    <row s="1548" customFormat="1" customHeight="1" ht="11.25" hidden="1">
      <c r="A3" s="371"/>
      <c r="G3" s="193"/>
      <c r="H3" s="193"/>
      <c r="I3" s="193"/>
      <c r="J3" s="193"/>
      <c r="K3" s="193"/>
      <c r="L3" s="193"/>
      <c r="M3" s="193"/>
      <c r="N3" s="193"/>
      <c r="O3" s="193"/>
      <c r="P3" s="193"/>
      <c r="Q3" s="193"/>
      <c r="R3" s="193"/>
      <c r="S3" s="193"/>
      <c r="AC3" s="176"/>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W3" s="1548"/>
      <c r="BX3" s="1548"/>
      <c r="BY3" s="1548"/>
      <c r="BZ3" s="1548"/>
      <c r="CA3" s="1548"/>
      <c r="CB3" s="1548"/>
      <c r="CC3" s="1548"/>
      <c r="CD3" s="1548"/>
      <c r="CE3" s="1548"/>
      <c r="CF3" s="1548"/>
      <c r="CG3" s="1548"/>
      <c r="CH3" s="1548"/>
      <c r="CI3" s="1548"/>
      <c r="CJ3" s="1548"/>
      <c r="CK3" s="1548"/>
      <c r="CL3" s="1548"/>
      <c r="CM3" s="1548"/>
      <c r="CN3" s="1548"/>
      <c r="CO3" s="1548"/>
      <c r="CP3" s="1548"/>
      <c r="CQ3" s="1548"/>
      <c r="CW3" s="309"/>
      <c r="CZ3" s="0"/>
      <c r="DA3" s="0"/>
      <c r="DB3" s="0"/>
      <c r="DC3" s="0"/>
      <c r="DD3" s="0"/>
      <c r="DE3" s="0"/>
      <c r="DF3" s="0"/>
      <c r="DG3" s="0"/>
    </row>
    <row s="1548" customFormat="1" customHeight="1" ht="11.25" hidden="1">
      <c r="A4" s="371"/>
      <c r="G4" s="193"/>
      <c r="H4" s="193"/>
      <c r="I4" s="193"/>
      <c r="J4" s="193"/>
      <c r="K4" s="193"/>
      <c r="L4" s="193"/>
      <c r="M4" s="193"/>
      <c r="N4" s="193"/>
      <c r="O4" s="193"/>
      <c r="P4" s="193"/>
      <c r="Q4" s="193"/>
      <c r="R4" s="193"/>
      <c r="S4" s="193"/>
      <c r="AC4" s="176"/>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W4" s="1548"/>
      <c r="BX4" s="1548"/>
      <c r="BY4" s="1548"/>
      <c r="BZ4" s="1548"/>
      <c r="CA4" s="1548"/>
      <c r="CB4" s="1548"/>
      <c r="CC4" s="1548"/>
      <c r="CD4" s="1548"/>
      <c r="CE4" s="1548"/>
      <c r="CF4" s="1548"/>
      <c r="CG4" s="1548"/>
      <c r="CH4" s="1548"/>
      <c r="CI4" s="1548"/>
      <c r="CJ4" s="1548"/>
      <c r="CK4" s="1548"/>
      <c r="CL4" s="1548"/>
      <c r="CM4" s="1548"/>
      <c r="CN4" s="1548"/>
      <c r="CO4" s="1548"/>
      <c r="CP4" s="1548"/>
      <c r="CQ4" s="1548"/>
      <c r="CW4" s="309"/>
      <c r="CZ4" s="0"/>
      <c r="DA4" s="0"/>
      <c r="DB4" s="0"/>
      <c r="DC4" s="0"/>
      <c r="DD4" s="0"/>
      <c r="DE4" s="0"/>
      <c r="DF4" s="0"/>
      <c r="DG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8</v>
      </c>
      <c r="AC5" s="284">
        <v>70</v>
      </c>
      <c r="AD5" s="180">
        <v>14</v>
      </c>
      <c r="AE5" s="180">
        <v>13</v>
      </c>
      <c r="AF5" s="180">
        <v>13</v>
      </c>
      <c r="AG5" s="180">
        <v>13</v>
      </c>
      <c r="AH5" s="180">
        <v>19</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180">
        <v>13</v>
      </c>
      <c r="BX5" s="180">
        <v>13</v>
      </c>
      <c r="BY5" s="180">
        <v>13</v>
      </c>
      <c r="BZ5" s="180">
        <v>13</v>
      </c>
      <c r="CA5" s="180">
        <v>13</v>
      </c>
      <c r="CB5" s="180">
        <v>13</v>
      </c>
      <c r="CC5" s="180">
        <v>13</v>
      </c>
      <c r="CD5" s="180">
        <v>13</v>
      </c>
      <c r="CE5" s="180">
        <v>13</v>
      </c>
      <c r="CF5" s="180">
        <v>13</v>
      </c>
      <c r="CG5" s="180">
        <v>13</v>
      </c>
      <c r="CH5" s="180">
        <v>13</v>
      </c>
      <c r="CI5" s="180">
        <v>13</v>
      </c>
      <c r="CJ5" s="180">
        <v>13</v>
      </c>
      <c r="CK5" s="180">
        <v>13</v>
      </c>
      <c r="CL5" s="180">
        <v>13</v>
      </c>
      <c r="CM5" s="180">
        <v>13</v>
      </c>
      <c r="CN5" s="180">
        <v>13</v>
      </c>
      <c r="CO5" s="180">
        <v>13</v>
      </c>
      <c r="CP5" s="180">
        <v>13</v>
      </c>
      <c r="CQ5" s="180">
        <v>13</v>
      </c>
      <c r="CR5" s="180">
        <v>19</v>
      </c>
      <c r="CS5" s="180">
        <v>17</v>
      </c>
      <c r="CT5" s="180">
        <v>31</v>
      </c>
      <c r="CU5" s="180">
        <v>3</v>
      </c>
      <c r="CW5" s="309"/>
      <c r="CZ5" s="1729"/>
      <c r="DA5" s="1729"/>
      <c r="DB5" s="1729"/>
      <c r="DC5" s="1729"/>
      <c r="DD5" s="1729"/>
      <c r="DE5" s="1729"/>
      <c r="DF5" s="1729"/>
      <c r="DG5" s="1729"/>
    </row>
    <row s="1548" customFormat="1" customHeight="1" ht="11.25" hidden="1">
      <c r="A6" s="371"/>
      <c r="E6" s="180"/>
      <c r="G6" s="193"/>
      <c r="H6" s="193"/>
      <c r="I6" s="193"/>
      <c r="J6" s="193"/>
      <c r="K6" s="193"/>
      <c r="L6" s="193"/>
      <c r="M6" s="193"/>
      <c r="N6" s="193"/>
      <c r="O6" s="193"/>
      <c r="P6" s="193"/>
      <c r="Q6" s="193"/>
      <c r="R6" s="193"/>
      <c r="S6" s="193"/>
      <c r="AC6" s="176"/>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W6" s="1548"/>
      <c r="BX6" s="1548"/>
      <c r="BY6" s="1548"/>
      <c r="BZ6" s="1548"/>
      <c r="CA6" s="1548"/>
      <c r="CB6" s="1548"/>
      <c r="CC6" s="1548"/>
      <c r="CD6" s="1548"/>
      <c r="CE6" s="1548"/>
      <c r="CF6" s="1548"/>
      <c r="CG6" s="1548"/>
      <c r="CH6" s="1548"/>
      <c r="CI6" s="1548"/>
      <c r="CJ6" s="1548"/>
      <c r="CK6" s="1548"/>
      <c r="CL6" s="1548"/>
      <c r="CM6" s="1548"/>
      <c r="CN6" s="1548"/>
      <c r="CO6" s="1548"/>
      <c r="CP6" s="1548"/>
      <c r="CQ6" s="1548"/>
      <c r="CW6" s="309"/>
      <c r="CZ6" s="0"/>
      <c r="DA6" s="0"/>
      <c r="DB6" s="0"/>
      <c r="DC6" s="0"/>
      <c r="DD6" s="0"/>
      <c r="DE6" s="0"/>
      <c r="DF6" s="0"/>
      <c r="DG6" s="0"/>
    </row>
    <row customHeight="1" ht="11.25" hidden="1">
      <c r="F7" s="193"/>
      <c r="T7" s="193"/>
      <c r="U7" s="193"/>
      <c r="V7" s="193"/>
      <c r="W7" s="193"/>
      <c r="X7" s="193"/>
      <c r="Y7" s="193"/>
      <c r="Z7" s="193"/>
      <c r="AA7" s="193"/>
      <c r="AB7" s="193"/>
      <c r="AC7" s="308"/>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193"/>
      <c r="BX7" s="193"/>
      <c r="BY7" s="193"/>
      <c r="BZ7" s="193"/>
      <c r="CA7" s="193"/>
      <c r="CB7" s="193"/>
      <c r="CC7" s="193"/>
      <c r="CD7" s="193"/>
      <c r="CE7" s="193"/>
      <c r="CF7" s="193"/>
      <c r="CG7" s="193"/>
      <c r="CH7" s="193"/>
      <c r="CI7" s="193"/>
      <c r="CJ7" s="193"/>
      <c r="CK7" s="193"/>
      <c r="CL7" s="193"/>
      <c r="CM7" s="193"/>
      <c r="CN7" s="193"/>
      <c r="CO7" s="193"/>
      <c r="CP7" s="193"/>
      <c r="CQ7" s="193"/>
      <c r="CR7" s="193"/>
      <c r="CS7" s="193"/>
      <c r="CT7" s="193"/>
      <c r="CU7" s="193"/>
    </row>
    <row customHeight="1" ht="11.25" hidden="1">
      <c r="F8" s="193"/>
      <c r="T8" s="193"/>
      <c r="U8" s="193"/>
      <c r="V8" s="193"/>
      <c r="W8" s="193"/>
      <c r="X8" s="193"/>
      <c r="Y8" s="193"/>
      <c r="Z8" s="193"/>
      <c r="AA8" s="193"/>
      <c r="AB8" s="193"/>
      <c r="AC8" s="308"/>
      <c r="AD8" s="193"/>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93"/>
      <c r="BQ8" s="193"/>
      <c r="BR8" s="193"/>
      <c r="BS8" s="193"/>
      <c r="BT8" s="193"/>
      <c r="BU8" s="193"/>
      <c r="BV8" s="193"/>
      <c r="BW8" s="193"/>
      <c r="BX8" s="193"/>
      <c r="BY8" s="193"/>
      <c r="BZ8" s="193"/>
      <c r="CA8" s="193"/>
      <c r="CB8" s="193"/>
      <c r="CC8" s="193"/>
      <c r="CD8" s="193"/>
      <c r="CE8" s="193"/>
      <c r="CF8" s="193"/>
      <c r="CG8" s="193"/>
      <c r="CH8" s="193"/>
      <c r="CI8" s="193"/>
      <c r="CJ8" s="193"/>
      <c r="CK8" s="193"/>
      <c r="CL8" s="193"/>
      <c r="CM8" s="193"/>
      <c r="CN8" s="193"/>
      <c r="CO8" s="193"/>
      <c r="CP8" s="193"/>
      <c r="CQ8" s="193"/>
      <c r="CR8" s="193"/>
      <c r="CS8" s="193"/>
      <c r="CT8" s="193"/>
      <c r="CU8" s="193"/>
    </row>
    <row s="1143" customFormat="1" customHeight="1" ht="11.25" hidden="1">
      <c r="A9" s="309" t="s">
        <v>403</v>
      </c>
      <c r="AE9" s="312">
        <f>god-2</f>
        <v>2025</v>
      </c>
      <c r="AF9" s="312">
        <f>god-2</f>
        <v>2025</v>
      </c>
      <c r="AG9" s="312">
        <f>god-2</f>
        <v>2025</v>
      </c>
      <c r="AH9" s="312">
        <f>god-2</f>
        <v>2025</v>
      </c>
      <c r="AI9" s="312">
        <f>god-1</f>
        <v>2026</v>
      </c>
      <c r="AJ9" s="312" cm="1" t="str">
        <f t="array" ref="AJ9:AJ9">god</f>
        <v>2027</v>
      </c>
      <c r="AK9" s="312">
        <f>god+1</f>
        <v>2028</v>
      </c>
      <c r="AL9" s="312">
        <f>god+2</f>
        <v>2029</v>
      </c>
      <c r="AM9" s="312">
        <f>god+3</f>
        <v>2030</v>
      </c>
      <c r="AN9" s="312">
        <f>god+4</f>
        <v>2031</v>
      </c>
      <c r="AO9" s="312">
        <f>god+5</f>
        <v>2032</v>
      </c>
      <c r="AP9" s="312">
        <f>god+6</f>
        <v>2033</v>
      </c>
      <c r="AQ9" s="312">
        <f>god+7</f>
        <v>2034</v>
      </c>
      <c r="AR9" s="312">
        <f>god+8</f>
        <v>2035</v>
      </c>
      <c r="AS9" s="312">
        <f>god+9</f>
        <v>2036</v>
      </c>
      <c r="AT9" s="312">
        <f>god+10</f>
        <v>2037</v>
      </c>
      <c r="AU9" s="312">
        <f>god+11</f>
        <v>2038</v>
      </c>
      <c r="AV9" s="312">
        <f>god+12</f>
        <v>2039</v>
      </c>
      <c r="AW9" s="312">
        <f>god+13</f>
        <v>2040</v>
      </c>
      <c r="AX9" s="312">
        <f>god+14</f>
        <v>2041</v>
      </c>
      <c r="AY9" s="312">
        <f>god+15</f>
        <v>2042</v>
      </c>
      <c r="AZ9" s="312">
        <f>god+16</f>
        <v>2043</v>
      </c>
      <c r="BA9" s="312">
        <f>god+17</f>
        <v>2044</v>
      </c>
      <c r="BB9" s="312">
        <f>god+18</f>
        <v>2045</v>
      </c>
      <c r="BC9" s="312">
        <f>god+19</f>
        <v>2046</v>
      </c>
      <c r="BD9" s="312" cm="1" t="str">
        <f t="array" ref="BD9:BD9">god</f>
        <v>2027</v>
      </c>
      <c r="BE9" s="312">
        <f>god+1</f>
        <v>2028</v>
      </c>
      <c r="BF9" s="312">
        <f>god+2</f>
        <v>2029</v>
      </c>
      <c r="BG9" s="312">
        <f>god+3</f>
        <v>2030</v>
      </c>
      <c r="BH9" s="312">
        <f>god+4</f>
        <v>2031</v>
      </c>
      <c r="BI9" s="312">
        <f>god+5</f>
        <v>2032</v>
      </c>
      <c r="BJ9" s="312">
        <f>god+6</f>
        <v>2033</v>
      </c>
      <c r="BK9" s="312">
        <f>god+7</f>
        <v>2034</v>
      </c>
      <c r="BL9" s="312">
        <f>god+8</f>
        <v>2035</v>
      </c>
      <c r="BM9" s="312">
        <f>god+9</f>
        <v>2036</v>
      </c>
      <c r="BN9" s="312">
        <f>god+10</f>
        <v>2037</v>
      </c>
      <c r="BO9" s="312">
        <f>god+11</f>
        <v>2038</v>
      </c>
      <c r="BP9" s="312">
        <f>god+12</f>
        <v>2039</v>
      </c>
      <c r="BQ9" s="312">
        <f>god+13</f>
        <v>2040</v>
      </c>
      <c r="BR9" s="312">
        <f>god+14</f>
        <v>2041</v>
      </c>
      <c r="BS9" s="312">
        <f>god+15</f>
        <v>2042</v>
      </c>
      <c r="BT9" s="312">
        <f>god+16</f>
        <v>2043</v>
      </c>
      <c r="BU9" s="312">
        <f>god+17</f>
        <v>2044</v>
      </c>
      <c r="BV9" s="312">
        <f>god+18</f>
        <v>2045</v>
      </c>
      <c r="BW9" s="312">
        <f>god+19</f>
        <v>2046</v>
      </c>
      <c r="BX9" s="312" cm="1" t="str">
        <f t="array" ref="BX9:BX9">god</f>
        <v>2027</v>
      </c>
      <c r="BY9" s="312">
        <f>god+1</f>
        <v>2028</v>
      </c>
      <c r="BZ9" s="312">
        <f>god+2</f>
        <v>2029</v>
      </c>
      <c r="CA9" s="312">
        <f>god+3</f>
        <v>2030</v>
      </c>
      <c r="CB9" s="312">
        <f>god+4</f>
        <v>2031</v>
      </c>
      <c r="CC9" s="312">
        <f>god+5</f>
        <v>2032</v>
      </c>
      <c r="CD9" s="312">
        <f>god+6</f>
        <v>2033</v>
      </c>
      <c r="CE9" s="312">
        <f>god+7</f>
        <v>2034</v>
      </c>
      <c r="CF9" s="312">
        <f>god+8</f>
        <v>2035</v>
      </c>
      <c r="CG9" s="312">
        <f>god+9</f>
        <v>2036</v>
      </c>
      <c r="CH9" s="312">
        <f>god+10</f>
        <v>2037</v>
      </c>
      <c r="CI9" s="312">
        <f>god+11</f>
        <v>2038</v>
      </c>
      <c r="CJ9" s="312">
        <f>god+12</f>
        <v>2039</v>
      </c>
      <c r="CK9" s="312">
        <f>god+13</f>
        <v>2040</v>
      </c>
      <c r="CL9" s="312">
        <f>god+14</f>
        <v>2041</v>
      </c>
      <c r="CM9" s="312">
        <f>god+15</f>
        <v>2042</v>
      </c>
      <c r="CN9" s="312">
        <f>god+16</f>
        <v>2043</v>
      </c>
      <c r="CO9" s="312">
        <f>god+17</f>
        <v>2044</v>
      </c>
      <c r="CP9" s="312">
        <f>god+18</f>
        <v>2045</v>
      </c>
      <c r="CQ9" s="312">
        <f>god+19</f>
        <v>2046</v>
      </c>
      <c r="CW9" s="309"/>
      <c r="CZ9" s="1730"/>
      <c r="DA9" s="1730"/>
      <c r="DB9" s="1730"/>
      <c r="DC9" s="1730"/>
      <c r="DD9" s="1730"/>
      <c r="DE9" s="1730"/>
      <c r="DF9" s="1730"/>
      <c r="DG9" s="1730"/>
    </row>
    <row s="1143" customFormat="1" customHeight="1" ht="11.25" hidden="1">
      <c r="A10" s="309" t="s">
        <v>404</v>
      </c>
      <c r="AE10" s="312" cm="1" t="str">
        <f t="array" ref="AE10:AE10">AE25</f>
        <v>Принято органом регулирования</v>
      </c>
      <c r="AF10" s="312" cm="1" t="str">
        <f t="array" ref="AF10:AF10">AF25</f>
        <v>Факт по данным организации</v>
      </c>
      <c r="AG10" s="312" cm="1" t="str">
        <f t="array" ref="AG10:AG10">AG25</f>
        <v>Факт, принятый органом регулирования</v>
      </c>
      <c r="AH10" s="312" cm="1" t="str">
        <f t="array" ref="AH10:AH10">AH25</f>
        <v>отклонение факта по данным организации к факту принятому органом регулирования</v>
      </c>
      <c r="AI10" s="312" cm="1" t="str">
        <f t="array" ref="AI10:AI10">AI25</f>
        <v>Принято органом регулирования</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Предложение организации</v>
      </c>
      <c r="AZ10" s="312" cm="1" t="str">
        <f t="array" ref="AZ10:AZ10">AZ25</f>
        <v>Предложение организации</v>
      </c>
      <c r="BA10" s="312" cm="1" t="str">
        <f t="array" ref="BA10:BA10">BA25</f>
        <v>Предложение организации</v>
      </c>
      <c r="BB10" s="312" cm="1" t="str">
        <f t="array" ref="BB10:BB10">BB25</f>
        <v>Предложение организации</v>
      </c>
      <c r="BC10" s="312" cm="1" t="str">
        <f t="array" ref="BC10:BC10">BC25</f>
        <v>Предложение организации</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S10" s="312" cm="1" t="str">
        <f t="array" ref="BS10:BS10">BS25</f>
        <v>Принято органом регулирования</v>
      </c>
      <c r="BT10" s="312" cm="1" t="str">
        <f t="array" ref="BT10:BT10">BT25</f>
        <v>Принято органом регулирования</v>
      </c>
      <c r="BU10" s="312" cm="1" t="str">
        <f t="array" ref="BU10:BU10">BU25</f>
        <v>Принято органом регулирования</v>
      </c>
      <c r="BV10" s="312" cm="1" t="str">
        <f t="array" ref="BV10:BV10">BV25</f>
        <v>Принято органом регулирования</v>
      </c>
      <c r="BW10" s="312" cm="1" t="str">
        <f t="array" ref="BW10:BW10">BW25</f>
        <v>Принято органом регулирования</v>
      </c>
      <c r="BX10" s="312" cm="1" t="str">
        <f t="array" ref="BX10:BX10">BX25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Y10" s="312" cm="1" t="str">
        <f t="array" ref="BY10:BY10">BX10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Z10" s="312" cm="1" t="str">
        <f t="array" ref="BZ10:BZ10">BY10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A10" s="312" cm="1" t="str">
        <f t="array" ref="CA10:CA10">BZ10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B10" s="312" cm="1" t="str">
        <f t="array" ref="CB10:CB10">CA10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C10" s="312" cm="1" t="str">
        <f t="array" ref="CC10:CC10">CB10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D10" s="312" cm="1" t="str">
        <f t="array" ref="CD10:CD10">CC10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E10" s="312" cm="1" t="str">
        <f t="array" ref="CE10:CE10">CD10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F10" s="312" cm="1" t="str">
        <f t="array" ref="CF10:CF10">CE10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G10" s="312" cm="1" t="str">
        <f t="array" ref="CG10:CG10">CF10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H10" s="312" cm="1" t="str">
        <f t="array" ref="CH10:CH10">CG10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I10" s="312" cm="1" t="str">
        <f t="array" ref="CI10:CI10">CH10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J10" s="312" cm="1" t="str">
        <f t="array" ref="CJ10:CJ10">CI10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K10" s="312" cm="1" t="str">
        <f t="array" ref="CK10:CK10">CJ10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L10" s="312" cm="1" t="str">
        <f t="array" ref="CL10:CL10">CK10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M10" s="312" cm="1" t="str">
        <f t="array" ref="CM10:CM10">CL10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N10" s="312" cm="1" t="str">
        <f t="array" ref="CN10:CN10">CM10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O10" s="312" cm="1" t="str">
        <f t="array" ref="CO10:CO10">CN10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P10" s="312" cm="1" t="str">
        <f t="array" ref="CP10:CP10">CO10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Q10" s="312" cm="1" t="str">
        <f t="array" ref="CQ10:CQ10">CP10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W10" s="309"/>
      <c r="CZ10" s="1730"/>
      <c r="DA10" s="1730"/>
      <c r="DB10" s="1730"/>
      <c r="DC10" s="1730"/>
      <c r="DD10" s="1730"/>
      <c r="DE10" s="1730"/>
      <c r="DF10" s="1730"/>
      <c r="DG10" s="1730"/>
    </row>
    <row s="1143" customFormat="1" customHeight="1" ht="11.25" hidden="1">
      <c r="A11" s="309" t="s">
        <v>405</v>
      </c>
      <c r="G11" s="483"/>
      <c r="H11" s="483"/>
      <c r="I11" s="483"/>
      <c r="J11" s="483"/>
      <c r="K11" s="483"/>
      <c r="L11" s="483"/>
      <c r="M11" s="483"/>
      <c r="N11" s="483"/>
      <c r="O11" s="483"/>
      <c r="P11" s="483"/>
      <c r="Q11" s="483"/>
      <c r="R11" s="483"/>
      <c r="S11" s="483"/>
      <c r="AC11" s="326"/>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1143"/>
      <c r="BX11" s="1143"/>
      <c r="BY11" s="1143"/>
      <c r="BZ11" s="1143"/>
      <c r="CA11" s="1143"/>
      <c r="CB11" s="1143"/>
      <c r="CC11" s="1143"/>
      <c r="CD11" s="1143"/>
      <c r="CE11" s="1143"/>
      <c r="CF11" s="1143"/>
      <c r="CG11" s="1143"/>
      <c r="CH11" s="1143"/>
      <c r="CI11" s="1143"/>
      <c r="CJ11" s="1143"/>
      <c r="CK11" s="1143"/>
      <c r="CL11" s="1143"/>
      <c r="CM11" s="1143"/>
      <c r="CN11" s="1143"/>
      <c r="CO11" s="1143"/>
      <c r="CP11" s="1143"/>
      <c r="CQ11" s="1143"/>
      <c r="CR11" s="312" cm="1" t="str">
        <f t="array" ref="CR11:CR11">CR24</f>
        <v>Указание на подтверждающие документы / URL-ссылка на копии подтверждающих документов</v>
      </c>
      <c r="CS11" s="312" cm="1" t="str">
        <f t="array" ref="CS11:CS11">CS24</f>
        <v>Ссылка на правовую норму (основание для принятия показателя в расчет тарифа)</v>
      </c>
      <c r="CT11" s="312" cm="1" t="str">
        <f t="array" ref="CT11:CT11">CT24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CW11" s="309"/>
      <c r="CZ11" s="1730"/>
      <c r="DA11" s="1730"/>
      <c r="DB11" s="1730"/>
      <c r="DC11" s="1730"/>
      <c r="DD11" s="1730"/>
      <c r="DE11" s="1730"/>
      <c r="DF11" s="1730"/>
      <c r="DG11" s="1730"/>
    </row>
    <row s="1548" customFormat="1" customHeight="1" ht="11.25" hidden="1">
      <c r="A12" s="371"/>
      <c r="E12" s="180"/>
      <c r="G12" s="193"/>
      <c r="H12" s="193"/>
      <c r="I12" s="193"/>
      <c r="J12" s="193"/>
      <c r="K12" s="193"/>
      <c r="L12" s="193"/>
      <c r="M12" s="193"/>
      <c r="N12" s="193"/>
      <c r="O12" s="193"/>
      <c r="P12" s="193"/>
      <c r="Q12" s="193"/>
      <c r="R12" s="193"/>
      <c r="S12" s="193"/>
      <c r="AC12" s="176"/>
      <c r="AJ12" s="1548"/>
      <c r="AK12" s="1548"/>
      <c r="AL12" s="1548"/>
      <c r="AM12" s="1548"/>
      <c r="AN12" s="1548"/>
      <c r="AO12" s="1548"/>
      <c r="AP12" s="1548"/>
      <c r="AQ12" s="1548"/>
      <c r="AR12" s="1548"/>
      <c r="AS12" s="1548"/>
      <c r="AT12" s="1548"/>
      <c r="AU12" s="1548"/>
      <c r="AV12" s="1548"/>
      <c r="AW12" s="1548"/>
      <c r="AX12" s="1548"/>
      <c r="AY12" s="1548"/>
      <c r="AZ12" s="1548"/>
      <c r="BA12" s="1548"/>
      <c r="BB12" s="1548"/>
      <c r="BC12" s="1548"/>
      <c r="BD12" s="1548"/>
      <c r="BE12" s="1548"/>
      <c r="BF12" s="1548"/>
      <c r="BG12" s="1548"/>
      <c r="BH12" s="1548"/>
      <c r="BI12" s="1548"/>
      <c r="BJ12" s="1548"/>
      <c r="BK12" s="1548"/>
      <c r="BL12" s="1548"/>
      <c r="BM12" s="1548"/>
      <c r="BN12" s="1548"/>
      <c r="BO12" s="1548"/>
      <c r="BP12" s="1548"/>
      <c r="BQ12" s="1548"/>
      <c r="BR12" s="1548"/>
      <c r="BS12" s="1548"/>
      <c r="BT12" s="1548"/>
      <c r="BU12" s="1548"/>
      <c r="BV12" s="1548"/>
      <c r="BW12" s="1548"/>
      <c r="BX12" s="1548"/>
      <c r="BY12" s="1548"/>
      <c r="BZ12" s="1548"/>
      <c r="CA12" s="1548"/>
      <c r="CB12" s="1548"/>
      <c r="CC12" s="1548"/>
      <c r="CD12" s="1548"/>
      <c r="CE12" s="1548"/>
      <c r="CF12" s="1548"/>
      <c r="CG12" s="1548"/>
      <c r="CH12" s="1548"/>
      <c r="CI12" s="1548"/>
      <c r="CJ12" s="1548"/>
      <c r="CK12" s="1548"/>
      <c r="CL12" s="1548"/>
      <c r="CM12" s="1548"/>
      <c r="CN12" s="1548"/>
      <c r="CO12" s="1548"/>
      <c r="CP12" s="1548"/>
      <c r="CQ12" s="1548"/>
      <c r="CW12" s="309"/>
      <c r="CZ12" s="0"/>
      <c r="DA12" s="0"/>
      <c r="DB12" s="0"/>
      <c r="DC12" s="0"/>
      <c r="DD12" s="0"/>
      <c r="DE12" s="0"/>
      <c r="DF12" s="0"/>
      <c r="DG12" s="0"/>
    </row>
    <row s="1548" customFormat="1" customHeight="1" ht="11.25" hidden="1">
      <c r="A13" s="371"/>
      <c r="E13" s="180"/>
      <c r="G13" s="193"/>
      <c r="H13" s="193"/>
      <c r="I13" s="193"/>
      <c r="J13" s="193"/>
      <c r="K13" s="193"/>
      <c r="L13" s="193"/>
      <c r="M13" s="193"/>
      <c r="N13" s="193"/>
      <c r="O13" s="193"/>
      <c r="P13" s="193"/>
      <c r="Q13" s="193"/>
      <c r="R13" s="193"/>
      <c r="S13" s="193"/>
      <c r="AC13" s="176"/>
      <c r="AJ13" s="1548"/>
      <c r="AK13" s="1548"/>
      <c r="AL13" s="1548"/>
      <c r="AM13" s="1548"/>
      <c r="AN13" s="1548"/>
      <c r="AO13" s="1548"/>
      <c r="AP13" s="1548"/>
      <c r="AQ13" s="1548"/>
      <c r="AR13" s="1548"/>
      <c r="AS13" s="1548"/>
      <c r="AT13" s="1548"/>
      <c r="AU13" s="1548"/>
      <c r="AV13" s="1548"/>
      <c r="AW13" s="1548"/>
      <c r="AX13" s="1548"/>
      <c r="AY13" s="1548"/>
      <c r="AZ13" s="1548"/>
      <c r="BA13" s="1548"/>
      <c r="BB13" s="1548"/>
      <c r="BC13" s="1548"/>
      <c r="BD13" s="1548"/>
      <c r="BE13" s="1548"/>
      <c r="BF13" s="1548"/>
      <c r="BG13" s="1548"/>
      <c r="BH13" s="1548"/>
      <c r="BI13" s="1548"/>
      <c r="BJ13" s="1548"/>
      <c r="BK13" s="1548"/>
      <c r="BL13" s="1548"/>
      <c r="BM13" s="1548"/>
      <c r="BN13" s="1548"/>
      <c r="BO13" s="1548"/>
      <c r="BP13" s="1548"/>
      <c r="BQ13" s="1548"/>
      <c r="BR13" s="1548"/>
      <c r="BS13" s="1548"/>
      <c r="BT13" s="1548"/>
      <c r="BU13" s="1548"/>
      <c r="BV13" s="1548"/>
      <c r="BW13" s="1548"/>
      <c r="BX13" s="1548"/>
      <c r="BY13" s="1548"/>
      <c r="BZ13" s="1548"/>
      <c r="CA13" s="1548"/>
      <c r="CB13" s="1548"/>
      <c r="CC13" s="1548"/>
      <c r="CD13" s="1548"/>
      <c r="CE13" s="1548"/>
      <c r="CF13" s="1548"/>
      <c r="CG13" s="1548"/>
      <c r="CH13" s="1548"/>
      <c r="CI13" s="1548"/>
      <c r="CJ13" s="1548"/>
      <c r="CK13" s="1548"/>
      <c r="CL13" s="1548"/>
      <c r="CM13" s="1548"/>
      <c r="CN13" s="1548"/>
      <c r="CO13" s="1548"/>
      <c r="CP13" s="1548"/>
      <c r="CQ13" s="1548"/>
      <c r="CW13" s="309"/>
      <c r="CZ13" s="0"/>
      <c r="DA13" s="0"/>
      <c r="DB13" s="0"/>
      <c r="DC13" s="0"/>
      <c r="DD13" s="0"/>
      <c r="DE13" s="0"/>
      <c r="DF13" s="0"/>
      <c r="DG13" s="0"/>
    </row>
    <row s="1548" customFormat="1" customHeight="1" ht="11.25" hidden="1">
      <c r="A14" s="371"/>
      <c r="E14" s="180"/>
      <c r="G14" s="193"/>
      <c r="H14" s="193"/>
      <c r="I14" s="193"/>
      <c r="J14" s="193"/>
      <c r="K14" s="193"/>
      <c r="L14" s="193"/>
      <c r="M14" s="193"/>
      <c r="N14" s="193"/>
      <c r="O14" s="193"/>
      <c r="P14" s="193"/>
      <c r="Q14" s="193"/>
      <c r="R14" s="193"/>
      <c r="S14" s="193"/>
      <c r="AC14" s="176"/>
      <c r="AJ14" s="1548"/>
      <c r="AK14" s="1548"/>
      <c r="AL14" s="1548"/>
      <c r="AM14" s="1548"/>
      <c r="AN14" s="1548"/>
      <c r="AO14" s="1548"/>
      <c r="AP14" s="1548"/>
      <c r="AQ14" s="1548"/>
      <c r="AR14" s="1548"/>
      <c r="AS14" s="1548"/>
      <c r="AT14" s="1548"/>
      <c r="AU14" s="1548"/>
      <c r="AV14" s="1548"/>
      <c r="AW14" s="1548"/>
      <c r="AX14" s="1548"/>
      <c r="AY14" s="1548"/>
      <c r="AZ14" s="1548"/>
      <c r="BA14" s="1548"/>
      <c r="BB14" s="1548"/>
      <c r="BC14" s="1548"/>
      <c r="BD14" s="1548"/>
      <c r="BE14" s="1548"/>
      <c r="BF14" s="1548"/>
      <c r="BG14" s="1548"/>
      <c r="BH14" s="1548"/>
      <c r="BI14" s="1548"/>
      <c r="BJ14" s="1548"/>
      <c r="BK14" s="1548"/>
      <c r="BL14" s="1548"/>
      <c r="BM14" s="1548"/>
      <c r="BN14" s="1548"/>
      <c r="BO14" s="1548"/>
      <c r="BP14" s="1548"/>
      <c r="BQ14" s="1548"/>
      <c r="BR14" s="1548"/>
      <c r="BS14" s="1548"/>
      <c r="BT14" s="1548"/>
      <c r="BU14" s="1548"/>
      <c r="BV14" s="1548"/>
      <c r="BW14" s="1548"/>
      <c r="BX14" s="1548"/>
      <c r="BY14" s="1548"/>
      <c r="BZ14" s="1548"/>
      <c r="CA14" s="1548"/>
      <c r="CB14" s="1548"/>
      <c r="CC14" s="1548"/>
      <c r="CD14" s="1548"/>
      <c r="CE14" s="1548"/>
      <c r="CF14" s="1548"/>
      <c r="CG14" s="1548"/>
      <c r="CH14" s="1548"/>
      <c r="CI14" s="1548"/>
      <c r="CJ14" s="1548"/>
      <c r="CK14" s="1548"/>
      <c r="CL14" s="1548"/>
      <c r="CM14" s="1548"/>
      <c r="CN14" s="1548"/>
      <c r="CO14" s="1548"/>
      <c r="CP14" s="1548"/>
      <c r="CQ14" s="1548"/>
      <c r="CW14" s="309"/>
      <c r="CZ14" s="0"/>
      <c r="DA14" s="0"/>
      <c r="DB14" s="0"/>
      <c r="DC14" s="0"/>
      <c r="DD14" s="0"/>
      <c r="DE14" s="0"/>
      <c r="DF14" s="0"/>
      <c r="DG14" s="0"/>
    </row>
    <row s="1548" customFormat="1" customHeight="1" ht="11.25" hidden="1">
      <c r="A15" s="371"/>
      <c r="E15" s="180"/>
      <c r="G15" s="193"/>
      <c r="H15" s="193"/>
      <c r="I15" s="193"/>
      <c r="J15" s="193"/>
      <c r="K15" s="193"/>
      <c r="L15" s="193"/>
      <c r="M15" s="193"/>
      <c r="N15" s="193"/>
      <c r="O15" s="193"/>
      <c r="P15" s="193"/>
      <c r="Q15" s="193"/>
      <c r="R15" s="193"/>
      <c r="S15" s="193"/>
      <c r="AC15" s="176"/>
      <c r="AJ15" s="1548"/>
      <c r="AK15" s="1548"/>
      <c r="AL15" s="1548"/>
      <c r="AM15" s="1548"/>
      <c r="AN15" s="1548"/>
      <c r="AO15" s="1548"/>
      <c r="AP15" s="1548"/>
      <c r="AQ15" s="1548"/>
      <c r="AR15" s="1548"/>
      <c r="AS15" s="1548"/>
      <c r="AT15" s="1548"/>
      <c r="AU15" s="1548"/>
      <c r="AV15" s="1548"/>
      <c r="AW15" s="1548"/>
      <c r="AX15" s="1548"/>
      <c r="AY15" s="1548"/>
      <c r="AZ15" s="1548"/>
      <c r="BA15" s="1548"/>
      <c r="BB15" s="1548"/>
      <c r="BC15" s="1548"/>
      <c r="BD15" s="1548"/>
      <c r="BE15" s="1548"/>
      <c r="BF15" s="1548"/>
      <c r="BG15" s="1548"/>
      <c r="BH15" s="1548"/>
      <c r="BI15" s="1548"/>
      <c r="BJ15" s="1548"/>
      <c r="BK15" s="1548"/>
      <c r="BL15" s="1548"/>
      <c r="BM15" s="1548"/>
      <c r="BN15" s="1548"/>
      <c r="BO15" s="1548"/>
      <c r="BP15" s="1548"/>
      <c r="BQ15" s="1548"/>
      <c r="BR15" s="1548"/>
      <c r="BS15" s="1548"/>
      <c r="BT15" s="1548"/>
      <c r="BU15" s="1548"/>
      <c r="BV15" s="1548"/>
      <c r="BW15" s="1548"/>
      <c r="BX15" s="1548"/>
      <c r="BY15" s="1548"/>
      <c r="BZ15" s="1548"/>
      <c r="CA15" s="1548"/>
      <c r="CB15" s="1548"/>
      <c r="CC15" s="1548"/>
      <c r="CD15" s="1548"/>
      <c r="CE15" s="1548"/>
      <c r="CF15" s="1548"/>
      <c r="CG15" s="1548"/>
      <c r="CH15" s="1548"/>
      <c r="CI15" s="1548"/>
      <c r="CJ15" s="1548"/>
      <c r="CK15" s="1548"/>
      <c r="CL15" s="1548"/>
      <c r="CM15" s="1548"/>
      <c r="CN15" s="1548"/>
      <c r="CO15" s="1548"/>
      <c r="CP15" s="1548"/>
      <c r="CQ15" s="1548"/>
      <c r="CW15" s="309"/>
      <c r="CZ15" s="0"/>
      <c r="DA15" s="0"/>
      <c r="DB15" s="0"/>
      <c r="DC15" s="0"/>
      <c r="DD15" s="0"/>
      <c r="DE15" s="0"/>
      <c r="DF15" s="0"/>
      <c r="DG15" s="0"/>
    </row>
    <row s="1548" customFormat="1" customHeight="1" ht="11.25" hidden="1">
      <c r="A16" s="371"/>
      <c r="E16" s="180"/>
      <c r="G16" s="193"/>
      <c r="H16" s="193"/>
      <c r="I16" s="193"/>
      <c r="J16" s="193"/>
      <c r="K16" s="193"/>
      <c r="L16" s="193"/>
      <c r="M16" s="193"/>
      <c r="N16" s="193"/>
      <c r="O16" s="193"/>
      <c r="P16" s="193"/>
      <c r="Q16" s="193"/>
      <c r="R16" s="193"/>
      <c r="S16" s="193"/>
      <c r="AC16" s="176"/>
      <c r="AJ16" s="1548"/>
      <c r="AK16" s="1548"/>
      <c r="AL16" s="1548"/>
      <c r="AM16" s="1548"/>
      <c r="AN16" s="1548"/>
      <c r="AO16" s="1548"/>
      <c r="AP16" s="1548"/>
      <c r="AQ16" s="1548"/>
      <c r="AR16" s="1548"/>
      <c r="AS16" s="1548"/>
      <c r="AT16" s="1548"/>
      <c r="AU16" s="1548"/>
      <c r="AV16" s="1548"/>
      <c r="AW16" s="1548"/>
      <c r="AX16" s="1548"/>
      <c r="AY16" s="1548"/>
      <c r="AZ16" s="1548"/>
      <c r="BA16" s="1548"/>
      <c r="BB16" s="1548"/>
      <c r="BC16" s="1548"/>
      <c r="BD16" s="1548"/>
      <c r="BE16" s="1548"/>
      <c r="BF16" s="1548"/>
      <c r="BG16" s="1548"/>
      <c r="BH16" s="1548"/>
      <c r="BI16" s="1548"/>
      <c r="BJ16" s="1548"/>
      <c r="BK16" s="1548"/>
      <c r="BL16" s="1548"/>
      <c r="BM16" s="1548"/>
      <c r="BN16" s="1548"/>
      <c r="BO16" s="1548"/>
      <c r="BP16" s="1548"/>
      <c r="BQ16" s="1548"/>
      <c r="BR16" s="1548"/>
      <c r="BS16" s="1548"/>
      <c r="BT16" s="1548"/>
      <c r="BU16" s="1548"/>
      <c r="BV16" s="1548"/>
      <c r="BW16" s="1548"/>
      <c r="BX16" s="1548"/>
      <c r="BY16" s="1548"/>
      <c r="BZ16" s="1548"/>
      <c r="CA16" s="1548"/>
      <c r="CB16" s="1548"/>
      <c r="CC16" s="1548"/>
      <c r="CD16" s="1548"/>
      <c r="CE16" s="1548"/>
      <c r="CF16" s="1548"/>
      <c r="CG16" s="1548"/>
      <c r="CH16" s="1548"/>
      <c r="CI16" s="1548"/>
      <c r="CJ16" s="1548"/>
      <c r="CK16" s="1548"/>
      <c r="CL16" s="1548"/>
      <c r="CM16" s="1548"/>
      <c r="CN16" s="1548"/>
      <c r="CO16" s="1548"/>
      <c r="CP16" s="1548"/>
      <c r="CQ16" s="1548"/>
      <c r="CW16" s="309"/>
      <c r="CZ16" s="0"/>
      <c r="DA16" s="0"/>
      <c r="DB16" s="0"/>
      <c r="DC16" s="0"/>
      <c r="DD16" s="0"/>
      <c r="DE16" s="0"/>
      <c r="DF16" s="0"/>
      <c r="DG16" s="0"/>
    </row>
    <row s="1548" customFormat="1" customHeight="1" ht="11.25" hidden="1">
      <c r="A17" s="371"/>
      <c r="E17" s="180"/>
      <c r="G17" s="193"/>
      <c r="H17" s="193"/>
      <c r="I17" s="193"/>
      <c r="J17" s="193"/>
      <c r="K17" s="193"/>
      <c r="L17" s="193"/>
      <c r="M17" s="193"/>
      <c r="N17" s="193"/>
      <c r="O17" s="193"/>
      <c r="P17" s="193"/>
      <c r="Q17" s="193"/>
      <c r="R17" s="193"/>
      <c r="S17" s="193"/>
      <c r="AC17" s="176"/>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S17" s="1548"/>
      <c r="BT17" s="1548"/>
      <c r="BU17" s="1548"/>
      <c r="BV17" s="1548"/>
      <c r="BW17" s="1548"/>
      <c r="BX17" s="1548"/>
      <c r="BY17" s="1548"/>
      <c r="BZ17" s="1548"/>
      <c r="CA17" s="1548"/>
      <c r="CB17" s="1548"/>
      <c r="CC17" s="1548"/>
      <c r="CD17" s="1548"/>
      <c r="CE17" s="1548"/>
      <c r="CF17" s="1548"/>
      <c r="CG17" s="1548"/>
      <c r="CH17" s="1548"/>
      <c r="CI17" s="1548"/>
      <c r="CJ17" s="1548"/>
      <c r="CK17" s="1548"/>
      <c r="CL17" s="1548"/>
      <c r="CM17" s="1548"/>
      <c r="CN17" s="1548"/>
      <c r="CO17" s="1548"/>
      <c r="CP17" s="1548"/>
      <c r="CQ17" s="1548"/>
      <c r="CW17" s="309"/>
      <c r="CZ17" s="0"/>
      <c r="DA17" s="0"/>
      <c r="DB17" s="0"/>
      <c r="DC17" s="0"/>
      <c r="DD17" s="0"/>
      <c r="DE17" s="0"/>
      <c r="DF17" s="0"/>
      <c r="DG17" s="0"/>
    </row>
    <row s="1548" customFormat="1" customHeight="1" ht="11.25" hidden="1">
      <c r="A18" s="371"/>
      <c r="E18" s="180"/>
      <c r="G18" s="193"/>
      <c r="H18" s="193"/>
      <c r="I18" s="193"/>
      <c r="J18" s="193"/>
      <c r="K18" s="193"/>
      <c r="L18" s="193"/>
      <c r="M18" s="193"/>
      <c r="N18" s="193"/>
      <c r="O18" s="193"/>
      <c r="P18" s="193"/>
      <c r="Q18" s="193"/>
      <c r="R18" s="193"/>
      <c r="S18" s="193"/>
      <c r="AC18" s="176"/>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S18" s="1548"/>
      <c r="BT18" s="1548"/>
      <c r="BU18" s="1548"/>
      <c r="BV18" s="1548"/>
      <c r="BW18" s="1548"/>
      <c r="BX18" s="1548"/>
      <c r="BY18" s="1548"/>
      <c r="BZ18" s="1548"/>
      <c r="CA18" s="1548"/>
      <c r="CB18" s="1548"/>
      <c r="CC18" s="1548"/>
      <c r="CD18" s="1548"/>
      <c r="CE18" s="1548"/>
      <c r="CF18" s="1548"/>
      <c r="CG18" s="1548"/>
      <c r="CH18" s="1548"/>
      <c r="CI18" s="1548"/>
      <c r="CJ18" s="1548"/>
      <c r="CK18" s="1548"/>
      <c r="CL18" s="1548"/>
      <c r="CM18" s="1548"/>
      <c r="CN18" s="1548"/>
      <c r="CO18" s="1548"/>
      <c r="CP18" s="1548"/>
      <c r="CQ18" s="1548"/>
      <c r="CW18" s="309"/>
      <c r="CZ18" s="0"/>
      <c r="DA18" s="0"/>
      <c r="DB18" s="0"/>
      <c r="DC18" s="0"/>
      <c r="DD18" s="0"/>
      <c r="DE18" s="0"/>
      <c r="DF18" s="0"/>
      <c r="DG18" s="0"/>
    </row>
    <row s="1548" customFormat="1" customHeight="1" ht="11.25" hidden="1">
      <c r="A19" s="371"/>
      <c r="E19" s="180"/>
      <c r="G19" s="193"/>
      <c r="H19" s="193"/>
      <c r="I19" s="193"/>
      <c r="J19" s="193"/>
      <c r="K19" s="193"/>
      <c r="L19" s="193"/>
      <c r="M19" s="193"/>
      <c r="N19" s="193"/>
      <c r="O19" s="193"/>
      <c r="P19" s="193"/>
      <c r="Q19" s="193"/>
      <c r="R19" s="193"/>
      <c r="S19" s="193"/>
      <c r="AC19" s="176"/>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T19" s="1548"/>
      <c r="BU19" s="1548"/>
      <c r="BV19" s="1548"/>
      <c r="BW19" s="1548"/>
      <c r="BX19" s="1548"/>
      <c r="BY19" s="1548"/>
      <c r="BZ19" s="1548"/>
      <c r="CA19" s="1548"/>
      <c r="CB19" s="1548"/>
      <c r="CC19" s="1548"/>
      <c r="CD19" s="1548"/>
      <c r="CE19" s="1548"/>
      <c r="CF19" s="1548"/>
      <c r="CG19" s="1548"/>
      <c r="CH19" s="1548"/>
      <c r="CI19" s="1548"/>
      <c r="CJ19" s="1548"/>
      <c r="CK19" s="1548"/>
      <c r="CL19" s="1548"/>
      <c r="CM19" s="1548"/>
      <c r="CN19" s="1548"/>
      <c r="CO19" s="1548"/>
      <c r="CP19" s="1548"/>
      <c r="CQ19" s="1548"/>
      <c r="CW19" s="309"/>
      <c r="CZ19" s="0"/>
      <c r="DA19" s="0"/>
      <c r="DB19" s="0"/>
      <c r="DC19" s="0"/>
      <c r="DD19" s="0"/>
      <c r="DE19" s="0"/>
      <c r="DF19" s="0"/>
      <c r="DG19" s="0"/>
    </row>
    <row s="1548" customFormat="1" customHeight="1" ht="11.25" hidden="1">
      <c r="A20" s="371"/>
      <c r="E20" s="180"/>
      <c r="G20" s="193"/>
      <c r="H20" s="193"/>
      <c r="I20" s="193"/>
      <c r="J20" s="193"/>
      <c r="K20" s="193"/>
      <c r="L20" s="193"/>
      <c r="M20" s="193"/>
      <c r="N20" s="193"/>
      <c r="O20" s="193"/>
      <c r="P20" s="193"/>
      <c r="Q20" s="193"/>
      <c r="R20" s="193"/>
      <c r="S20" s="193"/>
      <c r="AC20" s="176"/>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W20" s="1548"/>
      <c r="BX20" s="1548"/>
      <c r="BY20" s="1548"/>
      <c r="BZ20" s="1548"/>
      <c r="CA20" s="1548"/>
      <c r="CB20" s="1548"/>
      <c r="CC20" s="1548"/>
      <c r="CD20" s="1548"/>
      <c r="CE20" s="1548"/>
      <c r="CF20" s="1548"/>
      <c r="CG20" s="1548"/>
      <c r="CH20" s="1548"/>
      <c r="CI20" s="1548"/>
      <c r="CJ20" s="1548"/>
      <c r="CK20" s="1548"/>
      <c r="CL20" s="1548"/>
      <c r="CM20" s="1548"/>
      <c r="CN20" s="1548"/>
      <c r="CO20" s="1548"/>
      <c r="CP20" s="1548"/>
      <c r="CQ20" s="1548"/>
      <c r="CW20" s="309"/>
      <c r="CZ20" s="0"/>
      <c r="DA20" s="0"/>
      <c r="DB20" s="0"/>
      <c r="DC20" s="0"/>
      <c r="DD20" s="0"/>
      <c r="DE20" s="0"/>
      <c r="DF20" s="0"/>
      <c r="DG20" s="0"/>
    </row>
    <row customHeight="1" ht="14.625">
      <c r="E21" s="180">
        <v>15</v>
      </c>
      <c r="AA21" s="182"/>
      <c r="AB21" s="679"/>
      <c r="AC21" s="278" cm="1" t="str">
        <f t="array" ref="AC21:AC21">tpl_title</f>
        <v>Кемеровская область / 2027 / ООО "КК-ИНВЕСТ" (ИНН:1901133713, КПП:190101001) / ДПР: 2025-2027</v>
      </c>
      <c r="AD21" s="679"/>
      <c r="AE21" s="679"/>
      <c r="AF21" s="679"/>
      <c r="AG21" s="679"/>
      <c r="AH21" s="679"/>
      <c r="AI21" s="679"/>
      <c r="AJ21" s="679"/>
      <c r="AK21" s="679"/>
      <c r="AL21" s="679"/>
      <c r="AM21" s="679"/>
      <c r="AN21" s="679"/>
      <c r="AO21" s="679"/>
      <c r="AP21" s="679"/>
      <c r="AQ21" s="679"/>
      <c r="AR21" s="679"/>
      <c r="AS21" s="679"/>
      <c r="AT21" s="679"/>
      <c r="AU21" s="679"/>
      <c r="AV21" s="679"/>
      <c r="AW21" s="679"/>
      <c r="AX21" s="679"/>
      <c r="AY21" s="679"/>
      <c r="AZ21" s="679"/>
      <c r="BA21" s="679"/>
      <c r="BB21" s="679"/>
      <c r="BC21" s="679"/>
      <c r="BD21" s="679"/>
      <c r="BE21" s="679"/>
      <c r="BF21" s="679"/>
      <c r="BG21" s="679"/>
      <c r="BH21" s="679"/>
      <c r="BI21" s="679"/>
      <c r="BJ21" s="679"/>
      <c r="BK21" s="679"/>
      <c r="BL21" s="679"/>
      <c r="BM21" s="679"/>
      <c r="BN21" s="679"/>
      <c r="BO21" s="679"/>
      <c r="BP21" s="679"/>
      <c r="BQ21" s="679"/>
      <c r="BR21" s="679"/>
      <c r="BS21" s="679"/>
      <c r="BT21" s="679"/>
      <c r="BU21" s="679"/>
      <c r="BV21" s="679"/>
      <c r="BW21" s="679"/>
      <c r="BX21" s="679"/>
      <c r="BY21" s="679"/>
      <c r="BZ21" s="679"/>
      <c r="CA21" s="679"/>
      <c r="CB21" s="679"/>
      <c r="CC21" s="679"/>
      <c r="CD21" s="679"/>
      <c r="CE21" s="679"/>
      <c r="CF21" s="679"/>
      <c r="CG21" s="679"/>
      <c r="CH21" s="679"/>
      <c r="CI21" s="679"/>
      <c r="CJ21" s="679"/>
      <c r="CK21" s="679"/>
      <c r="CL21" s="679"/>
      <c r="CM21" s="679"/>
      <c r="CN21" s="679"/>
      <c r="CO21" s="679"/>
      <c r="CP21" s="679"/>
      <c r="CQ21" s="679"/>
      <c r="CR21" s="679"/>
      <c r="CS21" s="679"/>
      <c r="CT21" s="679"/>
      <c r="CU21" s="679"/>
    </row>
    <row s="1659" customFormat="1" customHeight="1" ht="19.5">
      <c r="A22" s="371"/>
      <c r="B22" s="175"/>
      <c r="C22" s="175"/>
      <c r="D22" s="175"/>
      <c r="E22" s="180">
        <v>20</v>
      </c>
      <c r="F22" s="175"/>
      <c r="T22" s="175"/>
      <c r="U22" s="175"/>
      <c r="V22" s="175"/>
      <c r="W22" s="175"/>
      <c r="X22" s="175"/>
      <c r="Y22" s="175"/>
      <c r="Z22" s="175"/>
      <c r="AA22" s="200"/>
      <c r="AB22" s="547" t="s">
        <v>62</v>
      </c>
      <c r="AC22" s="682"/>
      <c r="AD22" s="682"/>
      <c r="AE22" s="682"/>
      <c r="AF22" s="682"/>
      <c r="AG22" s="682"/>
      <c r="AH22" s="682"/>
      <c r="AI22" s="682"/>
      <c r="AJ22" s="682"/>
      <c r="AK22" s="682"/>
      <c r="AL22" s="682"/>
      <c r="AM22" s="682"/>
      <c r="AN22" s="682"/>
      <c r="AO22" s="682"/>
      <c r="AP22" s="682"/>
      <c r="AQ22" s="682"/>
      <c r="AR22" s="682"/>
      <c r="AS22" s="682"/>
      <c r="AT22" s="682"/>
      <c r="AU22" s="682"/>
      <c r="AV22" s="682"/>
      <c r="AW22" s="682"/>
      <c r="AX22" s="682"/>
      <c r="AY22" s="682"/>
      <c r="AZ22" s="682"/>
      <c r="BA22" s="682"/>
      <c r="BB22" s="682"/>
      <c r="BC22" s="682"/>
      <c r="BD22" s="682"/>
      <c r="BE22" s="682"/>
      <c r="BF22" s="682"/>
      <c r="BG22" s="682"/>
      <c r="BH22" s="682"/>
      <c r="BI22" s="682"/>
      <c r="BJ22" s="682"/>
      <c r="BK22" s="682"/>
      <c r="BL22" s="682"/>
      <c r="BM22" s="682"/>
      <c r="BN22" s="682"/>
      <c r="BO22" s="682"/>
      <c r="BP22" s="682"/>
      <c r="BQ22" s="682"/>
      <c r="BR22" s="682"/>
      <c r="BS22" s="682"/>
      <c r="BT22" s="682"/>
      <c r="BU22" s="682"/>
      <c r="BV22" s="682"/>
      <c r="BW22" s="682"/>
      <c r="BX22" s="682"/>
      <c r="BY22" s="682"/>
      <c r="BZ22" s="682"/>
      <c r="CA22" s="682"/>
      <c r="CB22" s="682"/>
      <c r="CC22" s="682"/>
      <c r="CD22" s="682"/>
      <c r="CE22" s="682"/>
      <c r="CF22" s="682"/>
      <c r="CG22" s="682"/>
      <c r="CH22" s="682"/>
      <c r="CI22" s="682"/>
      <c r="CJ22" s="682"/>
      <c r="CK22" s="682"/>
      <c r="CL22" s="682"/>
      <c r="CM22" s="682"/>
      <c r="CN22" s="682"/>
      <c r="CO22" s="682"/>
      <c r="CP22" s="682"/>
      <c r="CQ22" s="682"/>
      <c r="CR22" s="682"/>
      <c r="CS22" s="682"/>
      <c r="CT22" s="682"/>
      <c r="CU22" s="200"/>
      <c r="CW22" s="309"/>
      <c r="CZ22" s="0"/>
      <c r="DA22" s="0"/>
      <c r="DB22" s="0"/>
      <c r="DC22" s="0"/>
      <c r="DD22" s="0"/>
      <c r="DE22" s="0"/>
      <c r="DF22" s="0"/>
      <c r="DG22" s="0"/>
    </row>
    <row s="1659" customFormat="1" customHeight="1" ht="9.75">
      <c r="A23" s="371"/>
      <c r="B23" s="175"/>
      <c r="C23" s="175"/>
      <c r="D23" s="175"/>
      <c r="E23" s="180">
        <v>10</v>
      </c>
      <c r="F23" s="175"/>
      <c r="T23" s="175"/>
      <c r="U23" s="175"/>
      <c r="V23" s="175"/>
      <c r="W23" s="175"/>
      <c r="X23" s="175"/>
      <c r="Y23" s="175"/>
      <c r="Z23" s="175"/>
      <c r="AA23" s="200"/>
      <c r="AB23" s="683"/>
      <c r="AC23" s="683"/>
      <c r="AD23" s="683"/>
      <c r="AE23" s="683"/>
      <c r="AF23" s="683"/>
      <c r="AG23" s="683"/>
      <c r="AH23" s="683"/>
      <c r="AI23" s="683"/>
      <c r="AJ23" s="683"/>
      <c r="AK23" s="683"/>
      <c r="AL23" s="683"/>
      <c r="AM23" s="683"/>
      <c r="AN23" s="683"/>
      <c r="AO23" s="683"/>
      <c r="AP23" s="683"/>
      <c r="AQ23" s="683"/>
      <c r="AR23" s="683"/>
      <c r="AS23" s="683"/>
      <c r="AT23" s="683"/>
      <c r="AU23" s="683"/>
      <c r="AV23" s="683"/>
      <c r="AW23" s="683"/>
      <c r="AX23" s="683"/>
      <c r="AY23" s="683"/>
      <c r="AZ23" s="683"/>
      <c r="BA23" s="683"/>
      <c r="BB23" s="683"/>
      <c r="BC23" s="683"/>
      <c r="BD23" s="683"/>
      <c r="BE23" s="683"/>
      <c r="BF23" s="683"/>
      <c r="BG23" s="683"/>
      <c r="BH23" s="683"/>
      <c r="BI23" s="683"/>
      <c r="BJ23" s="683"/>
      <c r="BK23" s="683"/>
      <c r="BL23" s="683"/>
      <c r="BM23" s="683"/>
      <c r="BN23" s="683"/>
      <c r="BO23" s="683"/>
      <c r="BP23" s="683"/>
      <c r="BQ23" s="683"/>
      <c r="BR23" s="683"/>
      <c r="BS23" s="683"/>
      <c r="BT23" s="683"/>
      <c r="BU23" s="683"/>
      <c r="BV23" s="683"/>
      <c r="BW23" s="683"/>
      <c r="BX23" s="683"/>
      <c r="BY23" s="683"/>
      <c r="BZ23" s="683"/>
      <c r="CA23" s="683"/>
      <c r="CB23" s="683"/>
      <c r="CC23" s="683"/>
      <c r="CD23" s="683"/>
      <c r="CE23" s="683"/>
      <c r="CF23" s="683"/>
      <c r="CG23" s="683"/>
      <c r="CH23" s="683"/>
      <c r="CI23" s="683"/>
      <c r="CJ23" s="683"/>
      <c r="CK23" s="683"/>
      <c r="CL23" s="683"/>
      <c r="CM23" s="683"/>
      <c r="CN23" s="683"/>
      <c r="CO23" s="683"/>
      <c r="CP23" s="683"/>
      <c r="CQ23" s="683"/>
      <c r="CR23" s="683"/>
      <c r="CS23" s="683"/>
      <c r="CT23" s="683"/>
      <c r="CU23" s="200"/>
      <c r="CW23" s="309"/>
      <c r="CZ23" s="0"/>
      <c r="DA23" s="0"/>
      <c r="DB23" s="0"/>
      <c r="DC23" s="0"/>
      <c r="DD23" s="0"/>
      <c r="DE23" s="0"/>
      <c r="DF23" s="0"/>
      <c r="DG23" s="0"/>
    </row>
    <row s="308" customFormat="1" customHeight="1" ht="24.375">
      <c r="A24" s="371"/>
      <c r="B24" s="176"/>
      <c r="C24" s="176"/>
      <c r="D24" s="176"/>
      <c r="E24" s="284">
        <v>25</v>
      </c>
      <c r="F24" s="176"/>
      <c r="T24" s="176"/>
      <c r="U24" s="176"/>
      <c r="V24" s="176"/>
      <c r="W24" s="176"/>
      <c r="X24" s="176"/>
      <c r="Y24" s="176"/>
      <c r="Z24" s="176"/>
      <c r="AA24" s="681"/>
      <c r="AB24" s="1679" t="s">
        <v>355</v>
      </c>
      <c r="AC24" s="1679" t="s">
        <v>412</v>
      </c>
      <c r="AD24" s="1679" t="s">
        <v>413</v>
      </c>
      <c r="AE24" s="684" t="str">
        <f>god-2&amp;" год"</f>
        <v>2025 год</v>
      </c>
      <c r="AF24" s="685" t="str">
        <f>god-2&amp;" год"</f>
        <v>2025 год</v>
      </c>
      <c r="AG24" s="684" t="str">
        <f>god-2&amp;" год"</f>
        <v>2025 год</v>
      </c>
      <c r="AH24" s="684" t="str">
        <f>god-2&amp;" год"</f>
        <v>2025 год</v>
      </c>
      <c r="AI24" s="384" t="str">
        <f>god-1&amp;" год"</f>
        <v>2026 год</v>
      </c>
      <c r="AJ24" s="329" t="str">
        <f>god&amp;" год"</f>
        <v>2027 год</v>
      </c>
      <c r="AK24" s="329" t="str">
        <f>god+1&amp;" год"</f>
        <v>2028 год</v>
      </c>
      <c r="AL24" s="329" t="str">
        <f>god+2&amp;" год"</f>
        <v>2029 год</v>
      </c>
      <c r="AM24" s="329" t="str">
        <f>god+3&amp;" год"</f>
        <v>2030 год</v>
      </c>
      <c r="AN24" s="329" t="str">
        <f>god+4&amp;" год"</f>
        <v>2031 год</v>
      </c>
      <c r="AO24" s="329" t="str">
        <f>god+5&amp;" год"</f>
        <v>2032 год</v>
      </c>
      <c r="AP24" s="329" t="str">
        <f>god+6&amp;" год"</f>
        <v>2033 год</v>
      </c>
      <c r="AQ24" s="329" t="str">
        <f>god+7&amp;" год"</f>
        <v>2034 год</v>
      </c>
      <c r="AR24" s="329" t="str">
        <f>god+8&amp;" год"</f>
        <v>2035 год</v>
      </c>
      <c r="AS24" s="329" t="str">
        <f>god+9&amp;" год"</f>
        <v>2036 год</v>
      </c>
      <c r="AT24" s="329" t="str">
        <f>god+10&amp;" год"</f>
        <v>2037 год</v>
      </c>
      <c r="AU24" s="329" t="str">
        <f>god+11&amp;" год"</f>
        <v>2038 год</v>
      </c>
      <c r="AV24" s="329" t="str">
        <f>god+12&amp;" год"</f>
        <v>2039 год</v>
      </c>
      <c r="AW24" s="329" t="str">
        <f>god+13&amp;" год"</f>
        <v>2040 год</v>
      </c>
      <c r="AX24" s="329" t="str">
        <f>god+14&amp;" год"</f>
        <v>2041 год</v>
      </c>
      <c r="AY24" s="329" t="str">
        <f>god+15&amp;" год"</f>
        <v>2042 год</v>
      </c>
      <c r="AZ24" s="329" t="str">
        <f>god+16&amp;" год"</f>
        <v>2043 год</v>
      </c>
      <c r="BA24" s="329" t="str">
        <f>god+17&amp;" год"</f>
        <v>2044 год</v>
      </c>
      <c r="BB24" s="329" t="str">
        <f>god+18&amp;" год"</f>
        <v>2045 год</v>
      </c>
      <c r="BC24" s="329" t="str">
        <f>god+19&amp;" год"</f>
        <v>2046 год</v>
      </c>
      <c r="BD24" s="328" t="str">
        <f>god&amp;" год"</f>
        <v>2027 год</v>
      </c>
      <c r="BE24" s="328" t="str">
        <f>god+1&amp;" год"</f>
        <v>2028 год</v>
      </c>
      <c r="BF24" s="328" t="str">
        <f>god+2&amp;" год"</f>
        <v>2029 год</v>
      </c>
      <c r="BG24" s="328" t="str">
        <f>god+3&amp;" год"</f>
        <v>2030 год</v>
      </c>
      <c r="BH24" s="328" t="str">
        <f>god+4&amp;" год"</f>
        <v>2031 год</v>
      </c>
      <c r="BI24" s="328" t="str">
        <f>god+5&amp;" год"</f>
        <v>2032 год</v>
      </c>
      <c r="BJ24" s="328" t="str">
        <f>god+6&amp;" год"</f>
        <v>2033 год</v>
      </c>
      <c r="BK24" s="328" t="str">
        <f>god+7&amp;" год"</f>
        <v>2034 год</v>
      </c>
      <c r="BL24" s="328" t="str">
        <f>god+8&amp;" год"</f>
        <v>2035 год</v>
      </c>
      <c r="BM24" s="328" t="str">
        <f>god+9&amp;" год"</f>
        <v>2036 год</v>
      </c>
      <c r="BN24" s="328" t="str">
        <f>god+10&amp;" год"</f>
        <v>2037 год</v>
      </c>
      <c r="BO24" s="328" t="str">
        <f>god+11&amp;" год"</f>
        <v>2038 год</v>
      </c>
      <c r="BP24" s="328" t="str">
        <f>god+12&amp;" год"</f>
        <v>2039 год</v>
      </c>
      <c r="BQ24" s="328" t="str">
        <f>god+13&amp;" год"</f>
        <v>2040 год</v>
      </c>
      <c r="BR24" s="328" t="str">
        <f>god+14&amp;" год"</f>
        <v>2041 год</v>
      </c>
      <c r="BS24" s="328" t="str">
        <f>god+15&amp;" год"</f>
        <v>2042 год</v>
      </c>
      <c r="BT24" s="328" t="str">
        <f>god+16&amp;" год"</f>
        <v>2043 год</v>
      </c>
      <c r="BU24" s="328" t="str">
        <f>god+17&amp;" год"</f>
        <v>2044 год</v>
      </c>
      <c r="BV24" s="328" t="str">
        <f>god+18&amp;" год"</f>
        <v>2045 год</v>
      </c>
      <c r="BW24" s="328" t="str">
        <f>god+19&amp;" год"</f>
        <v>2046 год</v>
      </c>
      <c r="BX24" s="328" t="str">
        <f>god&amp;" год"</f>
        <v>2027 год</v>
      </c>
      <c r="BY24" s="328" t="str">
        <f>god+1&amp;" год"</f>
        <v>2028 год</v>
      </c>
      <c r="BZ24" s="328" t="str">
        <f>god+2&amp;" год"</f>
        <v>2029 год</v>
      </c>
      <c r="CA24" s="328" t="str">
        <f>god+3&amp;" год"</f>
        <v>2030 год</v>
      </c>
      <c r="CB24" s="328" t="str">
        <f>god+4&amp;" год"</f>
        <v>2031 год</v>
      </c>
      <c r="CC24" s="328" t="str">
        <f>god+5&amp;" год"</f>
        <v>2032 год</v>
      </c>
      <c r="CD24" s="328" t="str">
        <f>god+6&amp;" год"</f>
        <v>2033 год</v>
      </c>
      <c r="CE24" s="328" t="str">
        <f>god+7&amp;" год"</f>
        <v>2034 год</v>
      </c>
      <c r="CF24" s="328" t="str">
        <f>god+8&amp;" год"</f>
        <v>2035 год</v>
      </c>
      <c r="CG24" s="328" t="str">
        <f>god+9&amp;" год"</f>
        <v>2036 год</v>
      </c>
      <c r="CH24" s="328" t="str">
        <f>god+10&amp;" год"</f>
        <v>2037 год</v>
      </c>
      <c r="CI24" s="328" t="str">
        <f>god+11&amp;" год"</f>
        <v>2038 год</v>
      </c>
      <c r="CJ24" s="328" t="str">
        <f>god+12&amp;" год"</f>
        <v>2039 год</v>
      </c>
      <c r="CK24" s="328" t="str">
        <f>god+13&amp;" год"</f>
        <v>2040 год</v>
      </c>
      <c r="CL24" s="328" t="str">
        <f>god+14&amp;" год"</f>
        <v>2041 год</v>
      </c>
      <c r="CM24" s="328" t="str">
        <f>god+15&amp;" год"</f>
        <v>2042 год</v>
      </c>
      <c r="CN24" s="328" t="str">
        <f>god+16&amp;" год"</f>
        <v>2043 год</v>
      </c>
      <c r="CO24" s="328" t="str">
        <f>god+17&amp;" год"</f>
        <v>2044 год</v>
      </c>
      <c r="CP24" s="328" t="str">
        <f>god+18&amp;" год"</f>
        <v>2045 год</v>
      </c>
      <c r="CQ24" s="328" t="str">
        <f>god+19&amp;" год"</f>
        <v>2046 год</v>
      </c>
      <c r="CR24" s="1678" t="s">
        <v>1546</v>
      </c>
      <c r="CS24" s="1678" t="s">
        <v>625</v>
      </c>
      <c r="CT24" s="1678" t="s">
        <v>1547</v>
      </c>
      <c r="CU24" s="681"/>
      <c r="CW24" s="309"/>
      <c r="CZ24" s="0"/>
      <c r="DA24" s="0"/>
      <c r="DB24" s="0"/>
      <c r="DC24" s="0"/>
      <c r="DD24" s="0"/>
      <c r="DE24" s="0"/>
      <c r="DF24" s="0"/>
      <c r="DG24" s="0"/>
    </row>
    <row s="308" customFormat="1" customHeight="1" ht="44.85">
      <c r="A25" s="371"/>
      <c r="B25" s="176"/>
      <c r="C25" s="176"/>
      <c r="D25" s="176"/>
      <c r="E25" s="284">
        <v>46</v>
      </c>
      <c r="F25" s="176"/>
      <c r="T25" s="176"/>
      <c r="U25" s="176"/>
      <c r="V25" s="176"/>
      <c r="W25" s="176"/>
      <c r="X25" s="176"/>
      <c r="Y25" s="176"/>
      <c r="Z25" s="176"/>
      <c r="AA25" s="681"/>
      <c r="AB25" s="1679"/>
      <c r="AC25" s="1679"/>
      <c r="AD25" s="1679"/>
      <c r="AE25" s="384" t="s">
        <v>415</v>
      </c>
      <c r="AF25" s="382" t="s">
        <v>626</v>
      </c>
      <c r="AG25" s="384" t="s">
        <v>627</v>
      </c>
      <c r="AH25" s="684" t="s">
        <v>1134</v>
      </c>
      <c r="AI25" s="384" t="s">
        <v>415</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331" t="s">
        <v>416</v>
      </c>
      <c r="AZ25" s="331" t="s">
        <v>416</v>
      </c>
      <c r="BA25" s="331" t="s">
        <v>416</v>
      </c>
      <c r="BB25" s="331" t="s">
        <v>416</v>
      </c>
      <c r="BC25" s="331" t="s">
        <v>416</v>
      </c>
      <c r="BD25" s="424" t="s">
        <v>415</v>
      </c>
      <c r="BE25" s="424" t="s">
        <v>415</v>
      </c>
      <c r="BF25" s="424" t="s">
        <v>415</v>
      </c>
      <c r="BG25" s="424" t="s">
        <v>415</v>
      </c>
      <c r="BH25" s="424" t="s">
        <v>415</v>
      </c>
      <c r="BI25" s="424" t="s">
        <v>415</v>
      </c>
      <c r="BJ25" s="424" t="s">
        <v>415</v>
      </c>
      <c r="BK25" s="424" t="s">
        <v>415</v>
      </c>
      <c r="BL25" s="424" t="s">
        <v>415</v>
      </c>
      <c r="BM25" s="424" t="s">
        <v>415</v>
      </c>
      <c r="BN25" s="424" t="s">
        <v>415</v>
      </c>
      <c r="BO25" s="424" t="s">
        <v>415</v>
      </c>
      <c r="BP25" s="424" t="s">
        <v>415</v>
      </c>
      <c r="BQ25" s="424" t="s">
        <v>415</v>
      </c>
      <c r="BR25" s="424" t="s">
        <v>415</v>
      </c>
      <c r="BS25" s="424" t="s">
        <v>415</v>
      </c>
      <c r="BT25" s="424" t="s">
        <v>415</v>
      </c>
      <c r="BU25" s="424" t="s">
        <v>415</v>
      </c>
      <c r="BV25" s="424" t="s">
        <v>415</v>
      </c>
      <c r="BW25" s="424" t="s">
        <v>415</v>
      </c>
      <c r="BX25" s="1678" t="s">
        <v>1548</v>
      </c>
      <c r="BY25" s="1678"/>
      <c r="BZ25" s="1678"/>
      <c r="CA25" s="1678"/>
      <c r="CB25" s="1678"/>
      <c r="CC25" s="1678"/>
      <c r="CD25" s="1678"/>
      <c r="CE25" s="1678"/>
      <c r="CF25" s="1678"/>
      <c r="CG25" s="1678"/>
      <c r="CH25" s="1678"/>
      <c r="CI25" s="1678"/>
      <c r="CJ25" s="1678"/>
      <c r="CK25" s="1678"/>
      <c r="CL25" s="1678"/>
      <c r="CM25" s="1678"/>
      <c r="CN25" s="1678"/>
      <c r="CO25" s="1678"/>
      <c r="CP25" s="1678"/>
      <c r="CQ25" s="1678"/>
      <c r="CR25" s="1678"/>
      <c r="CS25" s="1678"/>
      <c r="CT25" s="1678"/>
      <c r="CU25" s="681"/>
      <c r="CW25" s="309"/>
      <c r="CZ25" s="0"/>
      <c r="DA25" s="0"/>
      <c r="DB25" s="0"/>
      <c r="DC25" s="0"/>
      <c r="DD25" s="0"/>
      <c r="DE25" s="0"/>
      <c r="DF25" s="0"/>
      <c r="DG25" s="0"/>
    </row>
    <row s="308" customFormat="1" customHeight="1" ht="12" hidden="1">
      <c r="A26" s="371"/>
      <c r="B26" s="176"/>
      <c r="C26" s="176"/>
      <c r="D26" s="176"/>
      <c r="E26" s="966">
        <v>0</v>
      </c>
      <c r="F26" s="176"/>
      <c r="T26" s="176"/>
      <c r="U26" s="176"/>
      <c r="V26" s="176"/>
      <c r="W26" s="176"/>
      <c r="X26" s="176"/>
      <c r="Y26" s="176"/>
      <c r="Z26" s="176"/>
      <c r="AA26" s="681"/>
      <c r="AB26" s="687"/>
      <c r="AC26" s="687"/>
      <c r="AD26" s="687"/>
      <c r="AE26" s="279"/>
      <c r="AF26" s="279"/>
      <c r="AG26" s="279"/>
      <c r="AH26" s="680"/>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680"/>
      <c r="BY26" s="680"/>
      <c r="BZ26" s="680"/>
      <c r="CA26" s="680"/>
      <c r="CB26" s="680"/>
      <c r="CC26" s="680"/>
      <c r="CD26" s="680"/>
      <c r="CE26" s="680"/>
      <c r="CF26" s="680"/>
      <c r="CG26" s="680"/>
      <c r="CH26" s="680"/>
      <c r="CI26" s="680"/>
      <c r="CJ26" s="680"/>
      <c r="CK26" s="680"/>
      <c r="CL26" s="680"/>
      <c r="CM26" s="680"/>
      <c r="CN26" s="680"/>
      <c r="CO26" s="680"/>
      <c r="CP26" s="680"/>
      <c r="CQ26" s="680"/>
      <c r="CR26" s="680"/>
      <c r="CS26" s="680"/>
      <c r="CT26" s="680"/>
      <c r="CU26" s="681"/>
      <c r="CW26" s="309"/>
      <c r="CZ26" s="0"/>
      <c r="DA26" s="0"/>
      <c r="DB26" s="0"/>
      <c r="DC26" s="0"/>
      <c r="DD26" s="0"/>
      <c r="DE26" s="0"/>
      <c r="DF26" s="0"/>
      <c r="DG26" s="0"/>
    </row>
    <row s="969" customFormat="1" customHeight="1" ht="16.575" hidden="1">
      <c r="E27" s="180">
        <v>17</v>
      </c>
      <c r="F27" s="175" cm="1" t="str">
        <f t="array" ref="F27:F27">X27</f>
        <v>0</v>
      </c>
      <c r="G27" s="193" cm="1" t="str">
        <f t="array" ref="G27:G27">INDEX('Общие сведения'!$AK$169:$AK$202,MATCH($F27,'Общие сведения'!$Y$169:$Y$202,0))</f>
        <v>0</v>
      </c>
      <c r="I27" s="193" cm="1" t="str">
        <f t="array" ref="I27:I27">INDEX('Общие сведения'!$AE$169:$AE$202,MATCH($F27,'Общие сведения'!$Y$169:$Y$202,0))</f>
        <v>Теплоснабжение</v>
      </c>
      <c r="J27" s="193" cm="1" t="str">
        <f t="array" ref="J27:J27">INDEX('Общие сведения'!$AK$169:$AK$202,MATCH($F27,'Общие сведения'!$Y$169:$Y$202,0))</f>
        <v>0</v>
      </c>
      <c r="K27" s="193" cm="1" t="str">
        <f t="array" ref="K27:K27">INDEX('Общие сведения'!$AH$169:$AH$202,MATCH($F27,'Общие сведения'!$Y$169:$Y$202,0))</f>
        <v>0</v>
      </c>
      <c r="L27" s="193" cm="1" t="str">
        <f t="array" ref="L27:L27">INDEX('Общие сведения'!$AI$169:$AI$202,MATCH($F27,'Общие сведения'!$Y$169:$Y$202,0))</f>
        <v>0</v>
      </c>
      <c r="M27" s="193" cm="1" t="str">
        <f t="array" ref="M27:M27">INDEX('Общие сведения'!$AJ$169:$AJ$202,MATCH($F27,'Общие сведения'!$Y$169:$Y$202,0))</f>
        <v>0</v>
      </c>
      <c r="T27" s="753">
        <f>X27&gt;0</f>
        <v>0</v>
      </c>
      <c r="V27" s="175" t="s">
        <v>266</v>
      </c>
      <c r="X27" s="175">
        <v>0</v>
      </c>
      <c r="AB27" s="688" cm="1" t="str">
        <f t="array" ref="AB27:AB27">INDEX('Общие сведения'!$AG$169:$AG$202,MATCH($F27,'Общие сведения'!$Y$169:$Y$202,0))</f>
        <v>Тариф 0 (Теплоснабжение) - </v>
      </c>
      <c r="AC27" s="334"/>
      <c r="AD27" s="334"/>
      <c r="AE27" s="334"/>
      <c r="AF27" s="334"/>
      <c r="AG27" s="334"/>
      <c r="AH27" s="334"/>
      <c r="AI27" s="334"/>
      <c r="AJ27" s="334"/>
      <c r="AK27" s="334"/>
      <c r="AL27" s="334"/>
      <c r="AM27" s="334"/>
      <c r="AN27" s="334"/>
      <c r="AO27" s="334"/>
      <c r="AP27" s="334"/>
      <c r="AQ27" s="334"/>
      <c r="AR27" s="334"/>
      <c r="AS27" s="334"/>
      <c r="AT27" s="334"/>
      <c r="AU27" s="334"/>
      <c r="AV27" s="334"/>
      <c r="AW27" s="334"/>
      <c r="AX27" s="334"/>
      <c r="AY27" s="334"/>
      <c r="AZ27" s="334"/>
      <c r="BA27" s="334"/>
      <c r="BB27" s="334"/>
      <c r="BC27" s="334"/>
      <c r="BD27" s="334"/>
      <c r="BE27" s="334"/>
      <c r="BF27" s="334"/>
      <c r="BG27" s="334"/>
      <c r="BH27" s="334"/>
      <c r="BI27" s="334"/>
      <c r="BJ27" s="334"/>
      <c r="BK27" s="334"/>
      <c r="BL27" s="334"/>
      <c r="BM27" s="334"/>
      <c r="BN27" s="334"/>
      <c r="BO27" s="334"/>
      <c r="BP27" s="334"/>
      <c r="BQ27" s="334"/>
      <c r="BR27" s="334"/>
      <c r="BS27" s="334"/>
      <c r="BT27" s="334"/>
      <c r="BU27" s="334"/>
      <c r="BV27" s="334"/>
      <c r="BW27" s="334"/>
      <c r="BX27" s="334"/>
      <c r="BY27" s="334"/>
      <c r="BZ27" s="334"/>
      <c r="CA27" s="334"/>
      <c r="CB27" s="334"/>
      <c r="CC27" s="334"/>
      <c r="CD27" s="334"/>
      <c r="CE27" s="334"/>
      <c r="CF27" s="334"/>
      <c r="CG27" s="334"/>
      <c r="CH27" s="334"/>
      <c r="CI27" s="334"/>
      <c r="CJ27" s="334"/>
      <c r="CK27" s="334"/>
      <c r="CL27" s="334"/>
      <c r="CM27" s="334"/>
      <c r="CN27" s="334"/>
      <c r="CO27" s="334"/>
      <c r="CP27" s="334"/>
      <c r="CQ27" s="334"/>
      <c r="CR27" s="334"/>
      <c r="CS27" s="334"/>
      <c r="CT27" s="334"/>
      <c r="CW27" s="975" t="str">
        <f>IF(AND(ISNUMBER(VALUE(TRIM(SUBSTITUTE(AB28,".","")))),TRIM(SUBSTITUTE(AB28,".",""))&lt;&gt;""),"P"&amp;SUBSTITUTE(AB28,".",""),"")</f>
        <v/>
      </c>
    </row>
    <row s="969" customFormat="1" customHeight="1" ht="16.575" hidden="1">
      <c r="E28" s="180">
        <v>17</v>
      </c>
      <c r="F28" s="175" cm="1" t="str">
        <f t="array" ref="F28:F28">OFFSET(G28,-1,-1)</f>
        <v>0</v>
      </c>
      <c r="K28" s="193" t="str">
        <f>F28&amp;"komm"</f>
        <v>0komm</v>
      </c>
      <c r="L28" s="308" cm="1" t="str">
        <f t="array" ref="L28:L28">CS28</f>
        <v>0</v>
      </c>
      <c r="T28" s="753" cm="1" t="str">
        <f t="array" ref="T28:T28">T27</f>
        <v>false</v>
      </c>
      <c r="AB28" s="1680" t="s">
        <v>1685</v>
      </c>
      <c r="AC28" s="1681"/>
      <c r="AD28" s="663" t="s">
        <v>917</v>
      </c>
      <c r="AE28" s="692" cm="1" t="str">
        <f t="array" ref="AE28:AE28">AE35</f>
        <v>0</v>
      </c>
      <c r="AF28" s="692" cm="1" t="str">
        <f t="array" ref="AF28:AF28">AF35</f>
        <v>0</v>
      </c>
      <c r="AG28" s="692" cm="1" t="str">
        <f t="array" ref="AG28:AG28">AG35</f>
        <v>0</v>
      </c>
      <c r="AH28" s="692" cm="1" t="str">
        <f t="array" ref="AH28:AH28">AH35</f>
        <v>0</v>
      </c>
      <c r="AI28" s="692" cm="1" t="str">
        <f t="array" ref="AI28:AI28">AI35</f>
        <v>0</v>
      </c>
      <c r="AJ28" s="692" cm="1" t="str">
        <f t="array" ref="AJ28:AJ28">AJ35</f>
        <v>0</v>
      </c>
      <c r="AK28" s="692" cm="1" t="str">
        <f t="array" ref="AK28:AK28">AK35</f>
        <v>0</v>
      </c>
      <c r="AL28" s="692" cm="1" t="str">
        <f t="array" ref="AL28:AL28">AL35</f>
        <v>0</v>
      </c>
      <c r="AM28" s="692" cm="1" t="str">
        <f t="array" ref="AM28:AM28">AM35</f>
        <v>0</v>
      </c>
      <c r="AN28" s="692" cm="1" t="str">
        <f t="array" ref="AN28:AN28">AN35</f>
        <v>0</v>
      </c>
      <c r="AO28" s="692" cm="1" t="str">
        <f t="array" ref="AO28:AO28">AO35</f>
        <v>0</v>
      </c>
      <c r="AP28" s="692" cm="1" t="str">
        <f t="array" ref="AP28:AP28">AP35</f>
        <v>0</v>
      </c>
      <c r="AQ28" s="692" cm="1" t="str">
        <f t="array" ref="AQ28:AQ28">AQ35</f>
        <v>0</v>
      </c>
      <c r="AR28" s="692" cm="1" t="str">
        <f t="array" ref="AR28:AR28">AR35</f>
        <v>0</v>
      </c>
      <c r="AS28" s="692" cm="1" t="str">
        <f t="array" ref="AS28:AS28">AS35</f>
        <v>0</v>
      </c>
      <c r="AT28" s="692" cm="1" t="str">
        <f t="array" ref="AT28:AT28">AT35</f>
        <v>0</v>
      </c>
      <c r="AU28" s="692" cm="1" t="str">
        <f t="array" ref="AU28:AU28">AU35</f>
        <v>0</v>
      </c>
      <c r="AV28" s="692" cm="1" t="str">
        <f t="array" ref="AV28:AV28">AV35</f>
        <v>0</v>
      </c>
      <c r="AW28" s="692" cm="1" t="str">
        <f t="array" ref="AW28:AW28">AW35</f>
        <v>0</v>
      </c>
      <c r="AX28" s="692" cm="1" t="str">
        <f t="array" ref="AX28:AX28">AX35</f>
        <v>0</v>
      </c>
      <c r="AY28" s="692" cm="1" t="str">
        <f t="array" ref="AY28:AY28">AY35</f>
        <v>0</v>
      </c>
      <c r="AZ28" s="692" cm="1" t="str">
        <f t="array" ref="AZ28:AZ28">AZ35</f>
        <v>0</v>
      </c>
      <c r="BA28" s="692" cm="1" t="str">
        <f t="array" ref="BA28:BA28">BA35</f>
        <v>0</v>
      </c>
      <c r="BB28" s="692" cm="1" t="str">
        <f t="array" ref="BB28:BB28">BB35</f>
        <v>0</v>
      </c>
      <c r="BC28" s="692" cm="1" t="str">
        <f t="array" ref="BC28:BC28">BC35</f>
        <v>0</v>
      </c>
      <c r="BD28" s="692" cm="1" t="str">
        <f t="array" ref="BD28:BD28">BD35</f>
        <v>0</v>
      </c>
      <c r="BE28" s="692" cm="1" t="str">
        <f t="array" ref="BE28:BE28">BE35</f>
        <v>0</v>
      </c>
      <c r="BF28" s="692" cm="1" t="str">
        <f t="array" ref="BF28:BF28">BF35</f>
        <v>0</v>
      </c>
      <c r="BG28" s="692" cm="1" t="str">
        <f t="array" ref="BG28:BG28">BG35</f>
        <v>0</v>
      </c>
      <c r="BH28" s="692" cm="1" t="str">
        <f t="array" ref="BH28:BH28">BH35</f>
        <v>0</v>
      </c>
      <c r="BI28" s="692" cm="1" t="str">
        <f t="array" ref="BI28:BI28">BI35</f>
        <v>0</v>
      </c>
      <c r="BJ28" s="692" cm="1" t="str">
        <f t="array" ref="BJ28:BJ28">BJ35</f>
        <v>0</v>
      </c>
      <c r="BK28" s="692" cm="1" t="str">
        <f t="array" ref="BK28:BK28">BK35</f>
        <v>0</v>
      </c>
      <c r="BL28" s="692" cm="1" t="str">
        <f t="array" ref="BL28:BL28">BL35</f>
        <v>0</v>
      </c>
      <c r="BM28" s="692" cm="1" t="str">
        <f t="array" ref="BM28:BM28">BM35</f>
        <v>0</v>
      </c>
      <c r="BN28" s="692" cm="1" t="str">
        <f t="array" ref="BN28:BN28">BN35</f>
        <v>0</v>
      </c>
      <c r="BO28" s="692" cm="1" t="str">
        <f t="array" ref="BO28:BO28">BO35</f>
        <v>0</v>
      </c>
      <c r="BP28" s="692" cm="1" t="str">
        <f t="array" ref="BP28:BP28">BP35</f>
        <v>0</v>
      </c>
      <c r="BQ28" s="692" cm="1" t="str">
        <f t="array" ref="BQ28:BQ28">BQ35</f>
        <v>0</v>
      </c>
      <c r="BR28" s="692" cm="1" t="str">
        <f t="array" ref="BR28:BR28">BR35</f>
        <v>0</v>
      </c>
      <c r="BS28" s="692" cm="1" t="str">
        <f t="array" ref="BS28:BS28">BS35</f>
        <v>0</v>
      </c>
      <c r="BT28" s="692" cm="1" t="str">
        <f t="array" ref="BT28:BT28">BT35</f>
        <v>0</v>
      </c>
      <c r="BU28" s="692" cm="1" t="str">
        <f t="array" ref="BU28:BU28">BU35</f>
        <v>0</v>
      </c>
      <c r="BV28" s="692" cm="1" t="str">
        <f t="array" ref="BV28:BV28">BV35</f>
        <v>0</v>
      </c>
      <c r="BW28" s="692" cm="1" t="str">
        <f t="array" ref="BW28:BW28">BW35</f>
        <v>0</v>
      </c>
      <c r="BX28" s="692" cm="1" t="str">
        <f t="array" ref="BX28:BX28">BX35</f>
        <v>0</v>
      </c>
      <c r="BY28" s="692" cm="1" t="str">
        <f t="array" ref="BY28:BY28">BY35</f>
        <v>0</v>
      </c>
      <c r="BZ28" s="692" cm="1" t="str">
        <f t="array" ref="BZ28:BZ28">BZ35</f>
        <v>0</v>
      </c>
      <c r="CA28" s="692" cm="1" t="str">
        <f t="array" ref="CA28:CA28">CA35</f>
        <v>0</v>
      </c>
      <c r="CB28" s="692" cm="1" t="str">
        <f t="array" ref="CB28:CB28">CB35</f>
        <v>0</v>
      </c>
      <c r="CC28" s="692" cm="1" t="str">
        <f t="array" ref="CC28:CC28">CC35</f>
        <v>0</v>
      </c>
      <c r="CD28" s="692" cm="1" t="str">
        <f t="array" ref="CD28:CD28">CD35</f>
        <v>0</v>
      </c>
      <c r="CE28" s="692" cm="1" t="str">
        <f t="array" ref="CE28:CE28">CE35</f>
        <v>0</v>
      </c>
      <c r="CF28" s="692" cm="1" t="str">
        <f t="array" ref="CF28:CF28">CF35</f>
        <v>0</v>
      </c>
      <c r="CG28" s="692" cm="1" t="str">
        <f t="array" ref="CG28:CG28">CG35</f>
        <v>0</v>
      </c>
      <c r="CH28" s="692" cm="1" t="str">
        <f t="array" ref="CH28:CH28">CH35</f>
        <v>0</v>
      </c>
      <c r="CI28" s="692" cm="1" t="str">
        <f t="array" ref="CI28:CI28">CI35</f>
        <v>0</v>
      </c>
      <c r="CJ28" s="692" cm="1" t="str">
        <f t="array" ref="CJ28:CJ28">CJ35</f>
        <v>0</v>
      </c>
      <c r="CK28" s="692" cm="1" t="str">
        <f t="array" ref="CK28:CK28">CK35</f>
        <v>0</v>
      </c>
      <c r="CL28" s="692" cm="1" t="str">
        <f t="array" ref="CL28:CL28">CL35</f>
        <v>0</v>
      </c>
      <c r="CM28" s="692" cm="1" t="str">
        <f t="array" ref="CM28:CM28">CM35</f>
        <v>0</v>
      </c>
      <c r="CN28" s="692" cm="1" t="str">
        <f t="array" ref="CN28:CN28">CN35</f>
        <v>0</v>
      </c>
      <c r="CO28" s="692" cm="1" t="str">
        <f t="array" ref="CO28:CO28">CO35</f>
        <v>0</v>
      </c>
      <c r="CP28" s="692" cm="1" t="str">
        <f t="array" ref="CP28:CP28">CP35</f>
        <v>0</v>
      </c>
      <c r="CQ28" s="692" cm="1" t="str">
        <f t="array" ref="CQ28:CQ28">CQ35</f>
        <v>0</v>
      </c>
      <c r="CR28" s="83"/>
      <c r="CS28" s="83"/>
      <c r="CT28" s="83"/>
      <c r="CW28" s="975" t="s">
        <v>1686</v>
      </c>
      <c r="CZ28" s="0" cm="1" t="str">
        <f t="array" ref="CZ28:CZ28">INDEX('Общие сведения'!$N$170:$N$202,MATCH($F28,'Общие сведения'!$Y$170:$Y$202,0)+1)</f>
        <v>0</v>
      </c>
      <c r="DA28" s="0" t="s">
        <v>1687</v>
      </c>
      <c r="DE28" s="0" t="s">
        <v>303</v>
      </c>
      <c r="DF28" s="0" t="s">
        <v>1682</v>
      </c>
      <c r="DG28" s="0" t="s">
        <v>1683</v>
      </c>
    </row>
    <row customHeight="1" ht="16.575" hidden="1">
      <c r="E29" s="180">
        <v>17</v>
      </c>
      <c r="F29" s="175" cm="1" t="str">
        <f t="array" ref="F29:F29">OFFSET(G29,-1,-1)</f>
        <v>0</v>
      </c>
      <c r="G29" s="193" t="s">
        <v>1688</v>
      </c>
      <c r="T29" s="753" cm="1" t="str">
        <f t="array" ref="T29:T29">T28</f>
        <v>false</v>
      </c>
      <c r="AB29" s="339">
        <v>1</v>
      </c>
      <c r="AC29" s="754" t="s">
        <v>1689</v>
      </c>
      <c r="AD29" s="467" t="s">
        <v>1178</v>
      </c>
      <c r="AE29" s="695">
        <f>_xlfn.SUMIFS('Топливо 4.4'!AH$27:AH$275,'Топливо 4.4'!$F$27:$F$275,$F29,'Топливо 4.4'!$G$27:$G$275,$G29)</f>
        <v>0</v>
      </c>
      <c r="AF29" s="695">
        <f>_xlfn.SUMIFS('Топливо 4.4'!AI$27:AI$275,'Топливо 4.4'!$F$27:$F$275,$F29,'Топливо 4.4'!$G$27:$G$275,$G29)</f>
        <v>0</v>
      </c>
      <c r="AG29" s="695">
        <f>_xlfn.SUMIFS('Топливо 4.4'!AJ$27:AJ$275,'Топливо 4.4'!$F$27:$F$275,$F29,'Топливо 4.4'!$G$27:$G$275,$G29)</f>
        <v>0</v>
      </c>
      <c r="AH29" s="695">
        <f>AG29-AF29</f>
        <v>0</v>
      </c>
      <c r="AI29" s="695">
        <f>_xlfn.SUMIFS('Топливо 4.4'!AK$27:AK$275,'Топливо 4.4'!$F$27:$F$275,$F29,'Топливо 4.4'!$G$27:$G$275,$G29)</f>
        <v>0</v>
      </c>
      <c r="AJ29" s="695">
        <f>_xlfn.SUMIFS('Топливо 4.4'!AL$27:AL$275,'Топливо 4.4'!$F$27:$F$275,$F29,'Топливо 4.4'!$G$27:$G$275,$G29)</f>
        <v>0</v>
      </c>
      <c r="AK29" s="695">
        <f>_xlfn.SUMIFS('Топливо 4.4'!AO$27:AO$275,'Топливо 4.4'!$F$27:$F$275,$F29,'Топливо 4.4'!$G$27:$G$275,$G29)</f>
        <v>0</v>
      </c>
      <c r="AL29" s="695">
        <f>_xlfn.SUMIFS('Топливо 4.4'!AR$27:AR$275,'Топливо 4.4'!$F$27:$F$275,$F29,'Топливо 4.4'!$G$27:$G$275,$G29)</f>
        <v>0</v>
      </c>
      <c r="AM29" s="695">
        <f>_xlfn.SUMIFS('Топливо 4.4'!AU$27:AU$275,'Топливо 4.4'!$F$27:$F$275,$F29,'Топливо 4.4'!$G$27:$G$275,$G29)</f>
        <v>0</v>
      </c>
      <c r="AN29" s="695">
        <f>_xlfn.SUMIFS('Топливо 4.4'!AX$27:AX$275,'Топливо 4.4'!$F$27:$F$275,$F29,'Топливо 4.4'!$G$27:$G$275,$G29)</f>
        <v>0</v>
      </c>
      <c r="AO29" s="695">
        <f>_xlfn.SUMIFS('Топливо 4.4'!BA$27:BA$275,'Топливо 4.4'!$F$27:$F$275,$F29,'Топливо 4.4'!$G$27:$G$275,$G29)</f>
        <v>0</v>
      </c>
      <c r="AP29" s="695">
        <f>_xlfn.SUMIFS('Топливо 4.4'!BD$27:BD$275,'Топливо 4.4'!$F$27:$F$275,$F29,'Топливо 4.4'!$G$27:$G$275,$G29)</f>
        <v>0</v>
      </c>
      <c r="AQ29" s="695">
        <f>_xlfn.SUMIFS('Топливо 4.4'!BG$27:BG$275,'Топливо 4.4'!$F$27:$F$275,$F29,'Топливо 4.4'!$G$27:$G$275,$G29)</f>
        <v>0</v>
      </c>
      <c r="AR29" s="695">
        <f>_xlfn.SUMIFS('Топливо 4.4'!BJ$27:BJ$275,'Топливо 4.4'!$F$27:$F$275,$F29,'Топливо 4.4'!$G$27:$G$275,$G29)</f>
        <v>0</v>
      </c>
      <c r="AS29" s="695">
        <f>_xlfn.SUMIFS('Топливо 4.4'!BM$27:BM$275,'Топливо 4.4'!$F$27:$F$275,$F29,'Топливо 4.4'!$G$27:$G$275,$G29)</f>
        <v>0</v>
      </c>
      <c r="AT29" s="695">
        <f>_xlfn.SUMIFS('Топливо 4.4'!BP$27:BP$275,'Топливо 4.4'!$F$27:$F$275,$F29,'Топливо 4.4'!$G$27:$G$275,$G29)</f>
        <v>0</v>
      </c>
      <c r="AU29" s="695">
        <f>_xlfn.SUMIFS('Топливо 4.4'!BS$27:BS$275,'Топливо 4.4'!$F$27:$F$275,$F29,'Топливо 4.4'!$G$27:$G$275,$G29)</f>
        <v>0</v>
      </c>
      <c r="AV29" s="695">
        <f>_xlfn.SUMIFS('Топливо 4.4'!BV$27:BV$275,'Топливо 4.4'!$F$27:$F$275,$F29,'Топливо 4.4'!$G$27:$G$275,$G29)</f>
        <v>0</v>
      </c>
      <c r="AW29" s="695">
        <f>_xlfn.SUMIFS('Топливо 4.4'!BY$27:BY$275,'Топливо 4.4'!$F$27:$F$275,$F29,'Топливо 4.4'!$G$27:$G$275,$G29)</f>
        <v>0</v>
      </c>
      <c r="AX29" s="695">
        <f>_xlfn.SUMIFS('Топливо 4.4'!CB$27:CB$275,'Топливо 4.4'!$F$27:$F$275,$F29,'Топливо 4.4'!$G$27:$G$275,$G29)</f>
        <v>0</v>
      </c>
      <c r="AY29" s="695">
        <f>_xlfn.SUMIFS('Топливо 4.4'!CE$27:CE$275,'Топливо 4.4'!$F$27:$F$275,$F29,'Топливо 4.4'!$G$27:$G$275,$G29)</f>
        <v>0</v>
      </c>
      <c r="AZ29" s="695">
        <f>_xlfn.SUMIFS('Топливо 4.4'!CH$27:CH$275,'Топливо 4.4'!$F$27:$F$275,$F29,'Топливо 4.4'!$G$27:$G$275,$G29)</f>
        <v>0</v>
      </c>
      <c r="BA29" s="695">
        <f>_xlfn.SUMIFS('Топливо 4.4'!CK$27:CK$275,'Топливо 4.4'!$F$27:$F$275,$F29,'Топливо 4.4'!$G$27:$G$275,$G29)</f>
        <v>0</v>
      </c>
      <c r="BB29" s="695">
        <f>_xlfn.SUMIFS('Топливо 4.4'!CN$27:CN$275,'Топливо 4.4'!$F$27:$F$275,$F29,'Топливо 4.4'!$G$27:$G$275,$G29)</f>
        <v>0</v>
      </c>
      <c r="BC29" s="695">
        <f>_xlfn.SUMIFS('Топливо 4.4'!CQ$27:CQ$275,'Топливо 4.4'!$F$27:$F$275,$F29,'Топливо 4.4'!$G$27:$G$275,$G29)</f>
        <v>0</v>
      </c>
      <c r="BD29" s="695">
        <f>_xlfn.SUMIFS('Топливо 4.4'!CT$27:CT$275,'Топливо 4.4'!$F$27:$F$275,$F29,'Топливо 4.4'!$G$27:$G$275,$G29)</f>
        <v>0</v>
      </c>
      <c r="BE29" s="695">
        <f>_xlfn.SUMIFS('Топливо 4.4'!CW$27:CW$275,'Топливо 4.4'!$F$27:$F$275,$F29,'Топливо 4.4'!$G$27:$G$275,$G29)</f>
        <v>0</v>
      </c>
      <c r="BF29" s="695">
        <f>_xlfn.SUMIFS('Топливо 4.4'!CZ$27:CZ$275,'Топливо 4.4'!$F$27:$F$275,$F29,'Топливо 4.4'!$G$27:$G$275,$G29)</f>
        <v>0</v>
      </c>
      <c r="BG29" s="695">
        <f>_xlfn.SUMIFS('Топливо 4.4'!DC$27:DC$275,'Топливо 4.4'!$F$27:$F$275,$F29,'Топливо 4.4'!$G$27:$G$275,$G29)</f>
        <v>0</v>
      </c>
      <c r="BH29" s="695">
        <f>_xlfn.SUMIFS('Топливо 4.4'!DF$27:DF$275,'Топливо 4.4'!$F$27:$F$275,$F29,'Топливо 4.4'!$G$27:$G$275,$G29)</f>
        <v>0</v>
      </c>
      <c r="BI29" s="695">
        <f>_xlfn.SUMIFS('Топливо 4.4'!DI$27:DI$275,'Топливо 4.4'!$F$27:$F$275,$F29,'Топливо 4.4'!$G$27:$G$275,$G29)</f>
        <v>0</v>
      </c>
      <c r="BJ29" s="695">
        <f>_xlfn.SUMIFS('Топливо 4.4'!DL$27:DL$275,'Топливо 4.4'!$F$27:$F$275,$F29,'Топливо 4.4'!$G$27:$G$275,$G29)</f>
        <v>0</v>
      </c>
      <c r="BK29" s="695">
        <f>_xlfn.SUMIFS('Топливо 4.4'!DO$27:DO$275,'Топливо 4.4'!$F$27:$F$275,$F29,'Топливо 4.4'!$G$27:$G$275,$G29)</f>
        <v>0</v>
      </c>
      <c r="BL29" s="695">
        <f>_xlfn.SUMIFS('Топливо 4.4'!DR$27:DR$275,'Топливо 4.4'!$F$27:$F$275,$F29,'Топливо 4.4'!$G$27:$G$275,$G29)</f>
        <v>0</v>
      </c>
      <c r="BM29" s="695">
        <f>_xlfn.SUMIFS('Топливо 4.4'!DU$27:DU$275,'Топливо 4.4'!$F$27:$F$275,$F29,'Топливо 4.4'!$G$27:$G$275,$G29)</f>
        <v>0</v>
      </c>
      <c r="BN29" s="695">
        <f>_xlfn.SUMIFS('Топливо 4.4'!DX$27:DX$275,'Топливо 4.4'!$F$27:$F$275,$F29,'Топливо 4.4'!$G$27:$G$275,$G29)</f>
        <v>0</v>
      </c>
      <c r="BO29" s="695">
        <f>_xlfn.SUMIFS('Топливо 4.4'!EA$27:EA$275,'Топливо 4.4'!$F$27:$F$275,$F29,'Топливо 4.4'!$G$27:$G$275,$G29)</f>
        <v>0</v>
      </c>
      <c r="BP29" s="695">
        <f>_xlfn.SUMIFS('Топливо 4.4'!ED$27:ED$275,'Топливо 4.4'!$F$27:$F$275,$F29,'Топливо 4.4'!$G$27:$G$275,$G29)</f>
        <v>0</v>
      </c>
      <c r="BQ29" s="695">
        <f>_xlfn.SUMIFS('Топливо 4.4'!EG$27:EG$275,'Топливо 4.4'!$F$27:$F$275,$F29,'Топливо 4.4'!$G$27:$G$275,$G29)</f>
        <v>0</v>
      </c>
      <c r="BR29" s="695">
        <f>_xlfn.SUMIFS('Топливо 4.4'!EJ$27:EJ$275,'Топливо 4.4'!$F$27:$F$275,$F29,'Топливо 4.4'!$G$27:$G$275,$G29)</f>
        <v>0</v>
      </c>
      <c r="BS29" s="695">
        <f>_xlfn.SUMIFS('Топливо 4.4'!EM$27:EM$275,'Топливо 4.4'!$F$27:$F$275,$F29,'Топливо 4.4'!$G$27:$G$275,$G29)</f>
        <v>0</v>
      </c>
      <c r="BT29" s="695">
        <f>_xlfn.SUMIFS('Топливо 4.4'!EP$27:EP$275,'Топливо 4.4'!$F$27:$F$275,$F29,'Топливо 4.4'!$G$27:$G$275,$G29)</f>
        <v>0</v>
      </c>
      <c r="BU29" s="695">
        <f>_xlfn.SUMIFS('Топливо 4.4'!ES$27:ES$275,'Топливо 4.4'!$F$27:$F$275,$F29,'Топливо 4.4'!$G$27:$G$275,$G29)</f>
        <v>0</v>
      </c>
      <c r="BV29" s="695">
        <f>_xlfn.SUMIFS('Топливо 4.4'!EV$27:EV$275,'Топливо 4.4'!$F$27:$F$275,$F29,'Топливо 4.4'!$G$27:$G$275,$G29)</f>
        <v>0</v>
      </c>
      <c r="BW29" s="695">
        <f>_xlfn.SUMIFS('Топливо 4.4'!EY$27:EY$275,'Топливо 4.4'!$F$27:$F$275,$F29,'Топливо 4.4'!$G$27:$G$275,$G29)</f>
        <v>0</v>
      </c>
      <c r="BX29" s="695">
        <f>IF(AI29=0,0,(BD29-AI29)/AI29*100)</f>
        <v>0</v>
      </c>
      <c r="BY29" s="695">
        <f>IF(BD29=0,0,(BE29-BD29)/BD29*100)</f>
        <v>0</v>
      </c>
      <c r="BZ29" s="695">
        <f>IF(BE29=0,0,(BF29-BE29)/BE29*100)</f>
        <v>0</v>
      </c>
      <c r="CA29" s="695">
        <f>IF(BF29=0,0,(BG29-BF29)/BF29*100)</f>
        <v>0</v>
      </c>
      <c r="CB29" s="695">
        <f>IF(BG29=0,0,(BH29-BG29)/BG29*100)</f>
        <v>0</v>
      </c>
      <c r="CC29" s="695">
        <f>IF(BH29=0,0,(BI29-BH29)/BH29*100)</f>
        <v>0</v>
      </c>
      <c r="CD29" s="695">
        <f>IF(BI29=0,0,(BJ29-BI29)/BI29*100)</f>
        <v>0</v>
      </c>
      <c r="CE29" s="695">
        <f>IF(BJ29=0,0,(BK29-BJ29)/BJ29*100)</f>
        <v>0</v>
      </c>
      <c r="CF29" s="695">
        <f>IF(BK29=0,0,(BL29-BK29)/BK29*100)</f>
        <v>0</v>
      </c>
      <c r="CG29" s="695">
        <f>IF(BL29=0,0,(BM29-BL29)/BL29*100)</f>
        <v>0</v>
      </c>
      <c r="CH29" s="695">
        <f>IF(BM29=0,0,(BN29-BM29)/BM29*100)</f>
        <v>0</v>
      </c>
      <c r="CI29" s="695">
        <f>IF(BN29=0,0,(BO29-BN29)/BN29*100)</f>
        <v>0</v>
      </c>
      <c r="CJ29" s="695">
        <f>IF(BO29=0,0,(BP29-BO29)/BO29*100)</f>
        <v>0</v>
      </c>
      <c r="CK29" s="695">
        <f>IF(BP29=0,0,(BQ29-BP29)/BP29*100)</f>
        <v>0</v>
      </c>
      <c r="CL29" s="695">
        <f>IF(BQ29=0,0,(BR29-BQ29)/BQ29*100)</f>
        <v>0</v>
      </c>
      <c r="CM29" s="695">
        <f>IF(BR29=0,0,(BS29-BR29)/BR29*100)</f>
        <v>0</v>
      </c>
      <c r="CN29" s="695">
        <f>IF(BS29=0,0,(BT29-BS29)/BS29*100)</f>
        <v>0</v>
      </c>
      <c r="CO29" s="695">
        <f>IF(BT29=0,0,(BU29-BT29)/BT29*100)</f>
        <v>0</v>
      </c>
      <c r="CP29" s="695">
        <f>IF(BU29=0,0,(BV29-BU29)/BU29*100)</f>
        <v>0</v>
      </c>
      <c r="CQ29" s="695">
        <f>IF(BV29=0,0,(BW29-BV29)/BV29*100)</f>
        <v>0</v>
      </c>
      <c r="CR29" s="83"/>
      <c r="CS29" s="83"/>
      <c r="CT29" s="83"/>
      <c r="CW29" s="975" t="s">
        <v>1678</v>
      </c>
      <c r="CZ29" s="0" cm="1" t="str">
        <f t="array" ref="CZ29:CZ29">CZ28</f>
        <v>0</v>
      </c>
      <c r="DA29" s="0" t="s">
        <v>1690</v>
      </c>
      <c r="DE29" s="0" t="s">
        <v>303</v>
      </c>
      <c r="DF29" s="0" t="s">
        <v>1044</v>
      </c>
      <c r="DG29" s="0" t="s">
        <v>1045</v>
      </c>
    </row>
    <row customHeight="1" ht="16.575" hidden="1">
      <c r="E30" s="180">
        <v>17</v>
      </c>
      <c r="F30" s="175" cm="1" t="str">
        <f t="array" ref="F30:F30">OFFSET(G30,-1,-1)</f>
        <v>0</v>
      </c>
      <c r="G30" s="193" t="s">
        <v>1039</v>
      </c>
      <c r="T30" s="753" cm="1" t="str">
        <f t="array" ref="T30:T30">T29</f>
        <v>false</v>
      </c>
      <c r="AB30" s="755">
        <v>2</v>
      </c>
      <c r="AC30" s="756" t="s">
        <v>1041</v>
      </c>
      <c r="AD30" s="344" t="s">
        <v>1178</v>
      </c>
      <c r="AE30" s="695">
        <f>_xlfn.SUMIFS(ЭнергоРесурсы!AF$26:AF$112,ЭнергоРесурсы!$F$26:$F$112,$F30,ЭнергоРесурсы!$G$26:$G$112,$G30)</f>
        <v>0</v>
      </c>
      <c r="AF30" s="695">
        <f>_xlfn.SUMIFS(ЭнергоРесурсы!AG$26:AG$112,ЭнергоРесурсы!$F$26:$F$112,$F30,ЭнергоРесурсы!$G$26:$G$112,$G30)</f>
        <v>0</v>
      </c>
      <c r="AG30" s="695">
        <f>_xlfn.SUMIFS(ЭнергоРесурсы!AH$26:AH$112,ЭнергоРесурсы!$F$26:$F$112,$F30,ЭнергоРесурсы!$G$26:$G$112,$G30)</f>
        <v>0</v>
      </c>
      <c r="AH30" s="695">
        <f>AG30-AF30</f>
        <v>0</v>
      </c>
      <c r="AI30" s="695">
        <f>_xlfn.SUMIFS(ЭнергоРесурсы!AI$26:AI$112,ЭнергоРесурсы!$F$26:$F$112,$F30,ЭнергоРесурсы!$G$26:$G$112,$G30)</f>
        <v>0</v>
      </c>
      <c r="AJ30" s="695">
        <f>_xlfn.SUMIFS(ЭнергоРесурсы!AJ$26:AJ$112,ЭнергоРесурсы!$F$26:$F$112,$F30,ЭнергоРесурсы!$G$26:$G$112,$G30)</f>
        <v>0</v>
      </c>
      <c r="AK30" s="695">
        <f>_xlfn.SUMIFS(ЭнергоРесурсы!AK$26:AK$112,ЭнергоРесурсы!$F$26:$F$112,$F30,ЭнергоРесурсы!$G$26:$G$112,$G30)</f>
        <v>0</v>
      </c>
      <c r="AL30" s="695">
        <f>_xlfn.SUMIFS(ЭнергоРесурсы!AL$26:AL$112,ЭнергоРесурсы!$F$26:$F$112,$F30,ЭнергоРесурсы!$G$26:$G$112,$G30)</f>
        <v>0</v>
      </c>
      <c r="AM30" s="695">
        <f>_xlfn.SUMIFS(ЭнергоРесурсы!AM$26:AM$112,ЭнергоРесурсы!$F$26:$F$112,$F30,ЭнергоРесурсы!$G$26:$G$112,$G30)</f>
        <v>0</v>
      </c>
      <c r="AN30" s="695">
        <f>_xlfn.SUMIFS(ЭнергоРесурсы!AN$26:AN$112,ЭнергоРесурсы!$F$26:$F$112,$F30,ЭнергоРесурсы!$G$26:$G$112,$G30)</f>
        <v>0</v>
      </c>
      <c r="AO30" s="695">
        <f>_xlfn.SUMIFS(ЭнергоРесурсы!AO$26:AO$112,ЭнергоРесурсы!$F$26:$F$112,$F30,ЭнергоРесурсы!$G$26:$G$112,$G30)</f>
        <v>0</v>
      </c>
      <c r="AP30" s="695">
        <f>_xlfn.SUMIFS(ЭнергоРесурсы!AP$26:AP$112,ЭнергоРесурсы!$F$26:$F$112,$F30,ЭнергоРесурсы!$G$26:$G$112,$G30)</f>
        <v>0</v>
      </c>
      <c r="AQ30" s="695">
        <f>_xlfn.SUMIFS(ЭнергоРесурсы!AQ$26:AQ$112,ЭнергоРесурсы!$F$26:$F$112,$F30,ЭнергоРесурсы!$G$26:$G$112,$G30)</f>
        <v>0</v>
      </c>
      <c r="AR30" s="695">
        <f>_xlfn.SUMIFS(ЭнергоРесурсы!AR$26:AR$112,ЭнергоРесурсы!$F$26:$F$112,$F30,ЭнергоРесурсы!$G$26:$G$112,$G30)</f>
        <v>0</v>
      </c>
      <c r="AS30" s="695">
        <f>_xlfn.SUMIFS(ЭнергоРесурсы!AS$26:AS$112,ЭнергоРесурсы!$F$26:$F$112,$F30,ЭнергоРесурсы!$G$26:$G$112,$G30)</f>
        <v>0</v>
      </c>
      <c r="AT30" s="695">
        <f>_xlfn.SUMIFS(ЭнергоРесурсы!AT$26:AT$112,ЭнергоРесурсы!$F$26:$F$112,$F30,ЭнергоРесурсы!$G$26:$G$112,$G30)</f>
        <v>0</v>
      </c>
      <c r="AU30" s="695">
        <f>_xlfn.SUMIFS(ЭнергоРесурсы!AU$26:AU$112,ЭнергоРесурсы!$F$26:$F$112,$F30,ЭнергоРесурсы!$G$26:$G$112,$G30)</f>
        <v>0</v>
      </c>
      <c r="AV30" s="695">
        <f>_xlfn.SUMIFS(ЭнергоРесурсы!AV$26:AV$112,ЭнергоРесурсы!$F$26:$F$112,$F30,ЭнергоРесурсы!$G$26:$G$112,$G30)</f>
        <v>0</v>
      </c>
      <c r="AW30" s="695">
        <f>_xlfn.SUMIFS(ЭнергоРесурсы!AW$26:AW$112,ЭнергоРесурсы!$F$26:$F$112,$F30,ЭнергоРесурсы!$G$26:$G$112,$G30)</f>
        <v>0</v>
      </c>
      <c r="AX30" s="695">
        <f>_xlfn.SUMIFS(ЭнергоРесурсы!AX$26:AX$112,ЭнергоРесурсы!$F$26:$F$112,$F30,ЭнергоРесурсы!$G$26:$G$112,$G30)</f>
        <v>0</v>
      </c>
      <c r="AY30" s="695">
        <f>_xlfn.SUMIFS(ЭнергоРесурсы!AY$26:AY$112,ЭнергоРесурсы!$F$26:$F$112,$F30,ЭнергоРесурсы!$G$26:$G$112,$G30)</f>
        <v>0</v>
      </c>
      <c r="AZ30" s="695">
        <f>_xlfn.SUMIFS(ЭнергоРесурсы!AZ$26:AZ$112,ЭнергоРесурсы!$F$26:$F$112,$F30,ЭнергоРесурсы!$G$26:$G$112,$G30)</f>
        <v>0</v>
      </c>
      <c r="BA30" s="695">
        <f>_xlfn.SUMIFS(ЭнергоРесурсы!BA$26:BA$112,ЭнергоРесурсы!$F$26:$F$112,$F30,ЭнергоРесурсы!$G$26:$G$112,$G30)</f>
        <v>0</v>
      </c>
      <c r="BB30" s="695">
        <f>_xlfn.SUMIFS(ЭнергоРесурсы!BB$26:BB$112,ЭнергоРесурсы!$F$26:$F$112,$F30,ЭнергоРесурсы!$G$26:$G$112,$G30)</f>
        <v>0</v>
      </c>
      <c r="BC30" s="695">
        <f>_xlfn.SUMIFS(ЭнергоРесурсы!BC$26:BC$112,ЭнергоРесурсы!$F$26:$F$112,$F30,ЭнергоРесурсы!$G$26:$G$112,$G30)</f>
        <v>0</v>
      </c>
      <c r="BD30" s="695">
        <f>_xlfn.SUMIFS(ЭнергоРесурсы!BD$26:BD$112,ЭнергоРесурсы!$F$26:$F$112,$F30,ЭнергоРесурсы!$G$26:$G$112,$G30)</f>
        <v>0</v>
      </c>
      <c r="BE30" s="695">
        <f>_xlfn.SUMIFS(ЭнергоРесурсы!BE$26:BE$112,ЭнергоРесурсы!$F$26:$F$112,$F30,ЭнергоРесурсы!$G$26:$G$112,$G30)</f>
        <v>0</v>
      </c>
      <c r="BF30" s="695">
        <f>_xlfn.SUMIFS(ЭнергоРесурсы!BF$26:BF$112,ЭнергоРесурсы!$F$26:$F$112,$F30,ЭнергоРесурсы!$G$26:$G$112,$G30)</f>
        <v>0</v>
      </c>
      <c r="BG30" s="695">
        <f>_xlfn.SUMIFS(ЭнергоРесурсы!BG$26:BG$112,ЭнергоРесурсы!$F$26:$F$112,$F30,ЭнергоРесурсы!$G$26:$G$112,$G30)</f>
        <v>0</v>
      </c>
      <c r="BH30" s="695">
        <f>_xlfn.SUMIFS(ЭнергоРесурсы!BH$26:BH$112,ЭнергоРесурсы!$F$26:$F$112,$F30,ЭнергоРесурсы!$G$26:$G$112,$G30)</f>
        <v>0</v>
      </c>
      <c r="BI30" s="695">
        <f>_xlfn.SUMIFS(ЭнергоРесурсы!BI$26:BI$112,ЭнергоРесурсы!$F$26:$F$112,$F30,ЭнергоРесурсы!$G$26:$G$112,$G30)</f>
        <v>0</v>
      </c>
      <c r="BJ30" s="695">
        <f>_xlfn.SUMIFS(ЭнергоРесурсы!BJ$26:BJ$112,ЭнергоРесурсы!$F$26:$F$112,$F30,ЭнергоРесурсы!$G$26:$G$112,$G30)</f>
        <v>0</v>
      </c>
      <c r="BK30" s="695">
        <f>_xlfn.SUMIFS(ЭнергоРесурсы!BK$26:BK$112,ЭнергоРесурсы!$F$26:$F$112,$F30,ЭнергоРесурсы!$G$26:$G$112,$G30)</f>
        <v>0</v>
      </c>
      <c r="BL30" s="695">
        <f>_xlfn.SUMIFS(ЭнергоРесурсы!BL$26:BL$112,ЭнергоРесурсы!$F$26:$F$112,$F30,ЭнергоРесурсы!$G$26:$G$112,$G30)</f>
        <v>0</v>
      </c>
      <c r="BM30" s="695">
        <f>_xlfn.SUMIFS(ЭнергоРесурсы!BM$26:BM$112,ЭнергоРесурсы!$F$26:$F$112,$F30,ЭнергоРесурсы!$G$26:$G$112,$G30)</f>
        <v>0</v>
      </c>
      <c r="BN30" s="695">
        <f>_xlfn.SUMIFS(ЭнергоРесурсы!BN$26:BN$112,ЭнергоРесурсы!$F$26:$F$112,$F30,ЭнергоРесурсы!$G$26:$G$112,$G30)</f>
        <v>0</v>
      </c>
      <c r="BO30" s="695">
        <f>_xlfn.SUMIFS(ЭнергоРесурсы!BO$26:BO$112,ЭнергоРесурсы!$F$26:$F$112,$F30,ЭнергоРесурсы!$G$26:$G$112,$G30)</f>
        <v>0</v>
      </c>
      <c r="BP30" s="695">
        <f>_xlfn.SUMIFS(ЭнергоРесурсы!BP$26:BP$112,ЭнергоРесурсы!$F$26:$F$112,$F30,ЭнергоРесурсы!$G$26:$G$112,$G30)</f>
        <v>0</v>
      </c>
      <c r="BQ30" s="695">
        <f>_xlfn.SUMIFS(ЭнергоРесурсы!BQ$26:BQ$112,ЭнергоРесурсы!$F$26:$F$112,$F30,ЭнергоРесурсы!$G$26:$G$112,$G30)</f>
        <v>0</v>
      </c>
      <c r="BR30" s="695">
        <f>_xlfn.SUMIFS(ЭнергоРесурсы!BR$26:BR$112,ЭнергоРесурсы!$F$26:$F$112,$F30,ЭнергоРесурсы!$G$26:$G$112,$G30)</f>
        <v>0</v>
      </c>
      <c r="BS30" s="695">
        <f>_xlfn.SUMIFS(ЭнергоРесурсы!BS$26:BS$112,ЭнергоРесурсы!$F$26:$F$112,$F30,ЭнергоРесурсы!$G$26:$G$112,$G30)</f>
        <v>0</v>
      </c>
      <c r="BT30" s="695">
        <f>_xlfn.SUMIFS(ЭнергоРесурсы!BT$26:BT$112,ЭнергоРесурсы!$F$26:$F$112,$F30,ЭнергоРесурсы!$G$26:$G$112,$G30)</f>
        <v>0</v>
      </c>
      <c r="BU30" s="695">
        <f>_xlfn.SUMIFS(ЭнергоРесурсы!BU$26:BU$112,ЭнергоРесурсы!$F$26:$F$112,$F30,ЭнергоРесурсы!$G$26:$G$112,$G30)</f>
        <v>0</v>
      </c>
      <c r="BV30" s="695">
        <f>_xlfn.SUMIFS(ЭнергоРесурсы!BV$26:BV$112,ЭнергоРесурсы!$F$26:$F$112,$F30,ЭнергоРесурсы!$G$26:$G$112,$G30)</f>
        <v>0</v>
      </c>
      <c r="BW30" s="695">
        <f>_xlfn.SUMIFS(ЭнергоРесурсы!BW$26:BW$112,ЭнергоРесурсы!$F$26:$F$112,$F30,ЭнергоРесурсы!$G$26:$G$112,$G30)</f>
        <v>0</v>
      </c>
      <c r="BX30" s="695">
        <f>IF(AI30=0,0,(BD30-AI30)/AI30*100)</f>
        <v>0</v>
      </c>
      <c r="BY30" s="695">
        <f>IF(BD30=0,0,(BE30-BD30)/BD30*100)</f>
        <v>0</v>
      </c>
      <c r="BZ30" s="695">
        <f>IF(BE30=0,0,(BF30-BE30)/BE30*100)</f>
        <v>0</v>
      </c>
      <c r="CA30" s="695">
        <f>IF(BF30=0,0,(BG30-BF30)/BF30*100)</f>
        <v>0</v>
      </c>
      <c r="CB30" s="695">
        <f>IF(BG30=0,0,(BH30-BG30)/BG30*100)</f>
        <v>0</v>
      </c>
      <c r="CC30" s="695">
        <f>IF(BH30=0,0,(BI30-BH30)/BH30*100)</f>
        <v>0</v>
      </c>
      <c r="CD30" s="695">
        <f>IF(BI30=0,0,(BJ30-BI30)/BI30*100)</f>
        <v>0</v>
      </c>
      <c r="CE30" s="695">
        <f>IF(BJ30=0,0,(BK30-BJ30)/BJ30*100)</f>
        <v>0</v>
      </c>
      <c r="CF30" s="695">
        <f>IF(BK30=0,0,(BL30-BK30)/BK30*100)</f>
        <v>0</v>
      </c>
      <c r="CG30" s="695">
        <f>IF(BL30=0,0,(BM30-BL30)/BL30*100)</f>
        <v>0</v>
      </c>
      <c r="CH30" s="695">
        <f>IF(BM30=0,0,(BN30-BM30)/BM30*100)</f>
        <v>0</v>
      </c>
      <c r="CI30" s="695">
        <f>IF(BN30=0,0,(BO30-BN30)/BN30*100)</f>
        <v>0</v>
      </c>
      <c r="CJ30" s="695">
        <f>IF(BO30=0,0,(BP30-BO30)/BO30*100)</f>
        <v>0</v>
      </c>
      <c r="CK30" s="695">
        <f>IF(BP30=0,0,(BQ30-BP30)/BP30*100)</f>
        <v>0</v>
      </c>
      <c r="CL30" s="695">
        <f>IF(BQ30=0,0,(BR30-BQ30)/BQ30*100)</f>
        <v>0</v>
      </c>
      <c r="CM30" s="695">
        <f>IF(BR30=0,0,(BS30-BR30)/BR30*100)</f>
        <v>0</v>
      </c>
      <c r="CN30" s="695">
        <f>IF(BS30=0,0,(BT30-BS30)/BS30*100)</f>
        <v>0</v>
      </c>
      <c r="CO30" s="695">
        <f>IF(BT30=0,0,(BU30-BT30)/BT30*100)</f>
        <v>0</v>
      </c>
      <c r="CP30" s="695">
        <f>IF(BU30=0,0,(BV30-BU30)/BU30*100)</f>
        <v>0</v>
      </c>
      <c r="CQ30" s="695">
        <f>IF(BV30=0,0,(BW30-BV30)/BV30*100)</f>
        <v>0</v>
      </c>
      <c r="CR30" s="83"/>
      <c r="CS30" s="83"/>
      <c r="CT30" s="83"/>
      <c r="CW30" s="975" t="s">
        <v>1691</v>
      </c>
      <c r="CZ30" s="0" cm="1" t="str">
        <f t="array" ref="CZ30:CZ30">CZ29</f>
        <v>0</v>
      </c>
      <c r="DA30" s="0" t="s">
        <v>1043</v>
      </c>
      <c r="DE30" s="0" t="s">
        <v>303</v>
      </c>
      <c r="DF30" s="0" t="s">
        <v>1044</v>
      </c>
      <c r="DG30" s="0" t="s">
        <v>1045</v>
      </c>
    </row>
    <row customHeight="1" ht="16.575" hidden="1">
      <c r="E31" s="180">
        <v>17</v>
      </c>
      <c r="F31" s="175" cm="1" t="str">
        <f t="array" ref="F31:F31">OFFSET(G31,-1,-1)</f>
        <v>0</v>
      </c>
      <c r="G31" s="193" t="s">
        <v>1088</v>
      </c>
      <c r="T31" s="753" cm="1" t="str">
        <f t="array" ref="T31:T31">T30</f>
        <v>false</v>
      </c>
      <c r="AB31" s="360">
        <v>3</v>
      </c>
      <c r="AC31" s="757" t="s">
        <v>1113</v>
      </c>
      <c r="AD31" s="344" t="s">
        <v>1178</v>
      </c>
      <c r="AE31" s="695">
        <f>_xlfn.SUMIFS(ЭнергоРесурсы!AF$26:AF$112,ЭнергоРесурсы!$F$26:$F$112,$F31,ЭнергоРесурсы!$G$26:$G$112,$G31)</f>
        <v>0</v>
      </c>
      <c r="AF31" s="695">
        <f>_xlfn.SUMIFS(ЭнергоРесурсы!AG$26:AG$112,ЭнергоРесурсы!$F$26:$F$112,$F31,ЭнергоРесурсы!$G$26:$G$112,$G31)</f>
        <v>0</v>
      </c>
      <c r="AG31" s="695">
        <f>_xlfn.SUMIFS(ЭнергоРесурсы!AH$26:AH$112,ЭнергоРесурсы!$F$26:$F$112,$F31,ЭнергоРесурсы!$G$26:$G$112,$G31)</f>
        <v>0</v>
      </c>
      <c r="AH31" s="695">
        <f>AG31-AF31</f>
        <v>0</v>
      </c>
      <c r="AI31" s="695">
        <f>_xlfn.SUMIFS(ЭнергоРесурсы!AI$26:AI$112,ЭнергоРесурсы!$F$26:$F$112,$F31,ЭнергоРесурсы!$G$26:$G$112,$G31)</f>
        <v>0</v>
      </c>
      <c r="AJ31" s="695">
        <f>_xlfn.SUMIFS(ЭнергоРесурсы!AJ$26:AJ$112,ЭнергоРесурсы!$F$26:$F$112,$F31,ЭнергоРесурсы!$G$26:$G$112,$G31)</f>
        <v>0</v>
      </c>
      <c r="AK31" s="695">
        <f>_xlfn.SUMIFS(ЭнергоРесурсы!AK$26:AK$112,ЭнергоРесурсы!$F$26:$F$112,$F31,ЭнергоРесурсы!$G$26:$G$112,$G31)</f>
        <v>0</v>
      </c>
      <c r="AL31" s="695">
        <f>_xlfn.SUMIFS(ЭнергоРесурсы!AL$26:AL$112,ЭнергоРесурсы!$F$26:$F$112,$F31,ЭнергоРесурсы!$G$26:$G$112,$G31)</f>
        <v>0</v>
      </c>
      <c r="AM31" s="695">
        <f>_xlfn.SUMIFS(ЭнергоРесурсы!AM$26:AM$112,ЭнергоРесурсы!$F$26:$F$112,$F31,ЭнергоРесурсы!$G$26:$G$112,$G31)</f>
        <v>0</v>
      </c>
      <c r="AN31" s="695">
        <f>_xlfn.SUMIFS(ЭнергоРесурсы!AN$26:AN$112,ЭнергоРесурсы!$F$26:$F$112,$F31,ЭнергоРесурсы!$G$26:$G$112,$G31)</f>
        <v>0</v>
      </c>
      <c r="AO31" s="695">
        <f>_xlfn.SUMIFS(ЭнергоРесурсы!AO$26:AO$112,ЭнергоРесурсы!$F$26:$F$112,$F31,ЭнергоРесурсы!$G$26:$G$112,$G31)</f>
        <v>0</v>
      </c>
      <c r="AP31" s="695">
        <f>_xlfn.SUMIFS(ЭнергоРесурсы!AP$26:AP$112,ЭнергоРесурсы!$F$26:$F$112,$F31,ЭнергоРесурсы!$G$26:$G$112,$G31)</f>
        <v>0</v>
      </c>
      <c r="AQ31" s="695">
        <f>_xlfn.SUMIFS(ЭнергоРесурсы!AQ$26:AQ$112,ЭнергоРесурсы!$F$26:$F$112,$F31,ЭнергоРесурсы!$G$26:$G$112,$G31)</f>
        <v>0</v>
      </c>
      <c r="AR31" s="695">
        <f>_xlfn.SUMIFS(ЭнергоРесурсы!AR$26:AR$112,ЭнергоРесурсы!$F$26:$F$112,$F31,ЭнергоРесурсы!$G$26:$G$112,$G31)</f>
        <v>0</v>
      </c>
      <c r="AS31" s="695">
        <f>_xlfn.SUMIFS(ЭнергоРесурсы!AS$26:AS$112,ЭнергоРесурсы!$F$26:$F$112,$F31,ЭнергоРесурсы!$G$26:$G$112,$G31)</f>
        <v>0</v>
      </c>
      <c r="AT31" s="695">
        <f>_xlfn.SUMIFS(ЭнергоРесурсы!AT$26:AT$112,ЭнергоРесурсы!$F$26:$F$112,$F31,ЭнергоРесурсы!$G$26:$G$112,$G31)</f>
        <v>0</v>
      </c>
      <c r="AU31" s="695">
        <f>_xlfn.SUMIFS(ЭнергоРесурсы!AU$26:AU$112,ЭнергоРесурсы!$F$26:$F$112,$F31,ЭнергоРесурсы!$G$26:$G$112,$G31)</f>
        <v>0</v>
      </c>
      <c r="AV31" s="695">
        <f>_xlfn.SUMIFS(ЭнергоРесурсы!AV$26:AV$112,ЭнергоРесурсы!$F$26:$F$112,$F31,ЭнергоРесурсы!$G$26:$G$112,$G31)</f>
        <v>0</v>
      </c>
      <c r="AW31" s="695">
        <f>_xlfn.SUMIFS(ЭнергоРесурсы!AW$26:AW$112,ЭнергоРесурсы!$F$26:$F$112,$F31,ЭнергоРесурсы!$G$26:$G$112,$G31)</f>
        <v>0</v>
      </c>
      <c r="AX31" s="695">
        <f>_xlfn.SUMIFS(ЭнергоРесурсы!AX$26:AX$112,ЭнергоРесурсы!$F$26:$F$112,$F31,ЭнергоРесурсы!$G$26:$G$112,$G31)</f>
        <v>0</v>
      </c>
      <c r="AY31" s="695">
        <f>_xlfn.SUMIFS(ЭнергоРесурсы!AY$26:AY$112,ЭнергоРесурсы!$F$26:$F$112,$F31,ЭнергоРесурсы!$G$26:$G$112,$G31)</f>
        <v>0</v>
      </c>
      <c r="AZ31" s="695">
        <f>_xlfn.SUMIFS(ЭнергоРесурсы!AZ$26:AZ$112,ЭнергоРесурсы!$F$26:$F$112,$F31,ЭнергоРесурсы!$G$26:$G$112,$G31)</f>
        <v>0</v>
      </c>
      <c r="BA31" s="695">
        <f>_xlfn.SUMIFS(ЭнергоРесурсы!BA$26:BA$112,ЭнергоРесурсы!$F$26:$F$112,$F31,ЭнергоРесурсы!$G$26:$G$112,$G31)</f>
        <v>0</v>
      </c>
      <c r="BB31" s="695">
        <f>_xlfn.SUMIFS(ЭнергоРесурсы!BB$26:BB$112,ЭнергоРесурсы!$F$26:$F$112,$F31,ЭнергоРесурсы!$G$26:$G$112,$G31)</f>
        <v>0</v>
      </c>
      <c r="BC31" s="695">
        <f>_xlfn.SUMIFS(ЭнергоРесурсы!BC$26:BC$112,ЭнергоРесурсы!$F$26:$F$112,$F31,ЭнергоРесурсы!$G$26:$G$112,$G31)</f>
        <v>0</v>
      </c>
      <c r="BD31" s="695">
        <f>_xlfn.SUMIFS(ЭнергоРесурсы!BD$26:BD$112,ЭнергоРесурсы!$F$26:$F$112,$F31,ЭнергоРесурсы!$G$26:$G$112,$G31)</f>
        <v>0</v>
      </c>
      <c r="BE31" s="695">
        <f>_xlfn.SUMIFS(ЭнергоРесурсы!BE$26:BE$112,ЭнергоРесурсы!$F$26:$F$112,$F31,ЭнергоРесурсы!$G$26:$G$112,$G31)</f>
        <v>0</v>
      </c>
      <c r="BF31" s="695">
        <f>_xlfn.SUMIFS(ЭнергоРесурсы!BF$26:BF$112,ЭнергоРесурсы!$F$26:$F$112,$F31,ЭнергоРесурсы!$G$26:$G$112,$G31)</f>
        <v>0</v>
      </c>
      <c r="BG31" s="695">
        <f>_xlfn.SUMIFS(ЭнергоРесурсы!BG$26:BG$112,ЭнергоРесурсы!$F$26:$F$112,$F31,ЭнергоРесурсы!$G$26:$G$112,$G31)</f>
        <v>0</v>
      </c>
      <c r="BH31" s="695">
        <f>_xlfn.SUMIFS(ЭнергоРесурсы!BH$26:BH$112,ЭнергоРесурсы!$F$26:$F$112,$F31,ЭнергоРесурсы!$G$26:$G$112,$G31)</f>
        <v>0</v>
      </c>
      <c r="BI31" s="695">
        <f>_xlfn.SUMIFS(ЭнергоРесурсы!BI$26:BI$112,ЭнергоРесурсы!$F$26:$F$112,$F31,ЭнергоРесурсы!$G$26:$G$112,$G31)</f>
        <v>0</v>
      </c>
      <c r="BJ31" s="695">
        <f>_xlfn.SUMIFS(ЭнергоРесурсы!BJ$26:BJ$112,ЭнергоРесурсы!$F$26:$F$112,$F31,ЭнергоРесурсы!$G$26:$G$112,$G31)</f>
        <v>0</v>
      </c>
      <c r="BK31" s="695">
        <f>_xlfn.SUMIFS(ЭнергоРесурсы!BK$26:BK$112,ЭнергоРесурсы!$F$26:$F$112,$F31,ЭнергоРесурсы!$G$26:$G$112,$G31)</f>
        <v>0</v>
      </c>
      <c r="BL31" s="695">
        <f>_xlfn.SUMIFS(ЭнергоРесурсы!BL$26:BL$112,ЭнергоРесурсы!$F$26:$F$112,$F31,ЭнергоРесурсы!$G$26:$G$112,$G31)</f>
        <v>0</v>
      </c>
      <c r="BM31" s="695">
        <f>_xlfn.SUMIFS(ЭнергоРесурсы!BM$26:BM$112,ЭнергоРесурсы!$F$26:$F$112,$F31,ЭнергоРесурсы!$G$26:$G$112,$G31)</f>
        <v>0</v>
      </c>
      <c r="BN31" s="695">
        <f>_xlfn.SUMIFS(ЭнергоРесурсы!BN$26:BN$112,ЭнергоРесурсы!$F$26:$F$112,$F31,ЭнергоРесурсы!$G$26:$G$112,$G31)</f>
        <v>0</v>
      </c>
      <c r="BO31" s="695">
        <f>_xlfn.SUMIFS(ЭнергоРесурсы!BO$26:BO$112,ЭнергоРесурсы!$F$26:$F$112,$F31,ЭнергоРесурсы!$G$26:$G$112,$G31)</f>
        <v>0</v>
      </c>
      <c r="BP31" s="695">
        <f>_xlfn.SUMIFS(ЭнергоРесурсы!BP$26:BP$112,ЭнергоРесурсы!$F$26:$F$112,$F31,ЭнергоРесурсы!$G$26:$G$112,$G31)</f>
        <v>0</v>
      </c>
      <c r="BQ31" s="695">
        <f>_xlfn.SUMIFS(ЭнергоРесурсы!BQ$26:BQ$112,ЭнергоРесурсы!$F$26:$F$112,$F31,ЭнергоРесурсы!$G$26:$G$112,$G31)</f>
        <v>0</v>
      </c>
      <c r="BR31" s="695">
        <f>_xlfn.SUMIFS(ЭнергоРесурсы!BR$26:BR$112,ЭнергоРесурсы!$F$26:$F$112,$F31,ЭнергоРесурсы!$G$26:$G$112,$G31)</f>
        <v>0</v>
      </c>
      <c r="BS31" s="695">
        <f>_xlfn.SUMIFS(ЭнергоРесурсы!BS$26:BS$112,ЭнергоРесурсы!$F$26:$F$112,$F31,ЭнергоРесурсы!$G$26:$G$112,$G31)</f>
        <v>0</v>
      </c>
      <c r="BT31" s="695">
        <f>_xlfn.SUMIFS(ЭнергоРесурсы!BT$26:BT$112,ЭнергоРесурсы!$F$26:$F$112,$F31,ЭнергоРесурсы!$G$26:$G$112,$G31)</f>
        <v>0</v>
      </c>
      <c r="BU31" s="695">
        <f>_xlfn.SUMIFS(ЭнергоРесурсы!BU$26:BU$112,ЭнергоРесурсы!$F$26:$F$112,$F31,ЭнергоРесурсы!$G$26:$G$112,$G31)</f>
        <v>0</v>
      </c>
      <c r="BV31" s="695">
        <f>_xlfn.SUMIFS(ЭнергоРесурсы!BV$26:BV$112,ЭнергоРесурсы!$F$26:$F$112,$F31,ЭнергоРесурсы!$G$26:$G$112,$G31)</f>
        <v>0</v>
      </c>
      <c r="BW31" s="695">
        <f>_xlfn.SUMIFS(ЭнергоРесурсы!BW$26:BW$112,ЭнергоРесурсы!$F$26:$F$112,$F31,ЭнергоРесурсы!$G$26:$G$112,$G31)</f>
        <v>0</v>
      </c>
      <c r="BX31" s="695">
        <f>IF(AI31=0,0,(BD31-AI31)/AI31*100)</f>
        <v>0</v>
      </c>
      <c r="BY31" s="695">
        <f>IF(BD31=0,0,(BE31-BD31)/BD31*100)</f>
        <v>0</v>
      </c>
      <c r="BZ31" s="695">
        <f>IF(BE31=0,0,(BF31-BE31)/BE31*100)</f>
        <v>0</v>
      </c>
      <c r="CA31" s="695">
        <f>IF(BF31=0,0,(BG31-BF31)/BF31*100)</f>
        <v>0</v>
      </c>
      <c r="CB31" s="695">
        <f>IF(BG31=0,0,(BH31-BG31)/BG31*100)</f>
        <v>0</v>
      </c>
      <c r="CC31" s="695">
        <f>IF(BH31=0,0,(BI31-BH31)/BH31*100)</f>
        <v>0</v>
      </c>
      <c r="CD31" s="695">
        <f>IF(BI31=0,0,(BJ31-BI31)/BI31*100)</f>
        <v>0</v>
      </c>
      <c r="CE31" s="695">
        <f>IF(BJ31=0,0,(BK31-BJ31)/BJ31*100)</f>
        <v>0</v>
      </c>
      <c r="CF31" s="695">
        <f>IF(BK31=0,0,(BL31-BK31)/BK31*100)</f>
        <v>0</v>
      </c>
      <c r="CG31" s="695">
        <f>IF(BL31=0,0,(BM31-BL31)/BL31*100)</f>
        <v>0</v>
      </c>
      <c r="CH31" s="695">
        <f>IF(BM31=0,0,(BN31-BM31)/BM31*100)</f>
        <v>0</v>
      </c>
      <c r="CI31" s="695">
        <f>IF(BN31=0,0,(BO31-BN31)/BN31*100)</f>
        <v>0</v>
      </c>
      <c r="CJ31" s="695">
        <f>IF(BO31=0,0,(BP31-BO31)/BO31*100)</f>
        <v>0</v>
      </c>
      <c r="CK31" s="695">
        <f>IF(BP31=0,0,(BQ31-BP31)/BP31*100)</f>
        <v>0</v>
      </c>
      <c r="CL31" s="695">
        <f>IF(BQ31=0,0,(BR31-BQ31)/BQ31*100)</f>
        <v>0</v>
      </c>
      <c r="CM31" s="695">
        <f>IF(BR31=0,0,(BS31-BR31)/BR31*100)</f>
        <v>0</v>
      </c>
      <c r="CN31" s="695">
        <f>IF(BS31=0,0,(BT31-BS31)/BS31*100)</f>
        <v>0</v>
      </c>
      <c r="CO31" s="695">
        <f>IF(BT31=0,0,(BU31-BT31)/BT31*100)</f>
        <v>0</v>
      </c>
      <c r="CP31" s="695">
        <f>IF(BU31=0,0,(BV31-BU31)/BU31*100)</f>
        <v>0</v>
      </c>
      <c r="CQ31" s="695">
        <f>IF(BV31=0,0,(BW31-BV31)/BV31*100)</f>
        <v>0</v>
      </c>
      <c r="CR31" s="83"/>
      <c r="CS31" s="83"/>
      <c r="CT31" s="83"/>
      <c r="CW31" s="975" t="s">
        <v>1692</v>
      </c>
      <c r="CZ31" s="0" cm="1" t="str">
        <f t="array" ref="CZ31:CZ31">CZ30</f>
        <v>0</v>
      </c>
      <c r="DA31" s="0" t="s">
        <v>1615</v>
      </c>
      <c r="DE31" s="0" t="s">
        <v>303</v>
      </c>
      <c r="DF31" s="0" t="s">
        <v>1044</v>
      </c>
      <c r="DG31" s="0" t="s">
        <v>1045</v>
      </c>
    </row>
    <row customHeight="1" ht="16.575" hidden="1">
      <c r="E32" s="180">
        <v>17</v>
      </c>
      <c r="F32" s="175" cm="1" t="str">
        <f t="array" ref="F32:F32">OFFSET(G32,-1,-1)</f>
        <v>0</v>
      </c>
      <c r="G32" s="193" t="s">
        <v>1091</v>
      </c>
      <c r="R32" s="193" t="s">
        <v>1092</v>
      </c>
      <c r="T32" s="753">
        <f>AND(T31,G27="двухставочный")</f>
        <v>0</v>
      </c>
      <c r="AB32" s="360">
        <v>3.1</v>
      </c>
      <c r="AC32" s="758" t="s">
        <v>1094</v>
      </c>
      <c r="AD32" s="616" t="s">
        <v>917</v>
      </c>
      <c r="AE32" s="700">
        <f>_xlfn.SUMIFS(ЭнергоРесурсы!AF$26:AF$112,ЭнергоРесурсы!$F$26:$F$112,$F32,ЭнергоРесурсы!$G$26:$G$112,$G32)</f>
        <v>0</v>
      </c>
      <c r="AF32" s="700">
        <f>_xlfn.SUMIFS(ЭнергоРесурсы!AG$26:AG$112,ЭнергоРесурсы!$F$26:$F$112,$F32,ЭнергоРесурсы!$G$26:$G$112,$G32)</f>
        <v>0</v>
      </c>
      <c r="AG32" s="700">
        <f>_xlfn.SUMIFS(ЭнергоРесурсы!AH$26:AH$112,ЭнергоРесурсы!$F$26:$F$112,$F32,ЭнергоРесурсы!$G$26:$G$112,$G32)</f>
        <v>0</v>
      </c>
      <c r="AH32" s="700">
        <f>AG32-AF32</f>
        <v>0</v>
      </c>
      <c r="AI32" s="759" cm="1" t="str">
        <f t="array" ref="AI32:AI32">ЭнергоРесурсы!AI48</f>
        <v>0</v>
      </c>
      <c r="AJ32" s="759" cm="1" t="str">
        <f t="array" ref="AJ32:AJ32">ЭнергоРесурсы!AJ48</f>
        <v>0</v>
      </c>
      <c r="AK32" s="759" cm="1" t="str">
        <f t="array" ref="AK32:AK32">ЭнергоРесурсы!AK48</f>
        <v>0</v>
      </c>
      <c r="AL32" s="759" cm="1" t="str">
        <f t="array" ref="AL32:AL32">ЭнергоРесурсы!AL48</f>
        <v>0</v>
      </c>
      <c r="AM32" s="759" cm="1" t="str">
        <f t="array" ref="AM32:AM32">ЭнергоРесурсы!AM48</f>
        <v>0</v>
      </c>
      <c r="AN32" s="759" cm="1" t="str">
        <f t="array" ref="AN32:AN32">ЭнергоРесурсы!AN48</f>
        <v>0</v>
      </c>
      <c r="AO32" s="759" cm="1" t="str">
        <f t="array" ref="AO32:AO32">ЭнергоРесурсы!AO48</f>
        <v>0</v>
      </c>
      <c r="AP32" s="759" cm="1" t="str">
        <f t="array" ref="AP32:AP32">ЭнергоРесурсы!AP48</f>
        <v>0</v>
      </c>
      <c r="AQ32" s="759" cm="1" t="str">
        <f t="array" ref="AQ32:AQ32">ЭнергоРесурсы!AQ48</f>
        <v>0</v>
      </c>
      <c r="AR32" s="759" cm="1" t="str">
        <f t="array" ref="AR32:AR32">ЭнергоРесурсы!AR48</f>
        <v>0</v>
      </c>
      <c r="AS32" s="759" cm="1" t="str">
        <f t="array" ref="AS32:AS32">ЭнергоРесурсы!AS48</f>
        <v>0</v>
      </c>
      <c r="AT32" s="759" cm="1" t="str">
        <f t="array" ref="AT32:AT32">ЭнергоРесурсы!AT48</f>
        <v>0</v>
      </c>
      <c r="AU32" s="759" cm="1" t="str">
        <f t="array" ref="AU32:AU32">ЭнергоРесурсы!AU48</f>
        <v>0</v>
      </c>
      <c r="AV32" s="759" cm="1" t="str">
        <f t="array" ref="AV32:AV32">ЭнергоРесурсы!AV48</f>
        <v>0</v>
      </c>
      <c r="AW32" s="759" cm="1" t="str">
        <f t="array" ref="AW32:AW32">ЭнергоРесурсы!AW48</f>
        <v>0</v>
      </c>
      <c r="AX32" s="759" cm="1" t="str">
        <f t="array" ref="AX32:AX32">ЭнергоРесурсы!AX48</f>
        <v>0</v>
      </c>
      <c r="AY32" s="759" cm="1" t="str">
        <f t="array" ref="AY32:AY32">ЭнергоРесурсы!AY48</f>
        <v>0</v>
      </c>
      <c r="AZ32" s="759" cm="1" t="str">
        <f t="array" ref="AZ32:AZ32">ЭнергоРесурсы!AZ48</f>
        <v>0</v>
      </c>
      <c r="BA32" s="759" cm="1" t="str">
        <f t="array" ref="BA32:BA32">ЭнергоРесурсы!BA48</f>
        <v>0</v>
      </c>
      <c r="BB32" s="759" cm="1" t="str">
        <f t="array" ref="BB32:BB32">ЭнергоРесурсы!BB48</f>
        <v>0</v>
      </c>
      <c r="BC32" s="759" cm="1" t="str">
        <f t="array" ref="BC32:BC32">ЭнергоРесурсы!BC48</f>
        <v>0</v>
      </c>
      <c r="BD32" s="759" cm="1" t="str">
        <f t="array" ref="BD32:BD32">ЭнергоРесурсы!BD48</f>
        <v>0</v>
      </c>
      <c r="BE32" s="759" cm="1" t="str">
        <f t="array" ref="BE32:BE32">ЭнергоРесурсы!BE48</f>
        <v>0</v>
      </c>
      <c r="BF32" s="759" cm="1" t="str">
        <f t="array" ref="BF32:BF32">ЭнергоРесурсы!BF48</f>
        <v>0</v>
      </c>
      <c r="BG32" s="759" cm="1" t="str">
        <f t="array" ref="BG32:BG32">ЭнергоРесурсы!BG48</f>
        <v>0</v>
      </c>
      <c r="BH32" s="759" cm="1" t="str">
        <f t="array" ref="BH32:BH32">ЭнергоРесурсы!BH48</f>
        <v>0</v>
      </c>
      <c r="BI32" s="759" cm="1" t="str">
        <f t="array" ref="BI32:BI32">ЭнергоРесурсы!BI48</f>
        <v>0</v>
      </c>
      <c r="BJ32" s="759" cm="1" t="str">
        <f t="array" ref="BJ32:BJ32">ЭнергоРесурсы!BJ48</f>
        <v>0</v>
      </c>
      <c r="BK32" s="759" cm="1" t="str">
        <f t="array" ref="BK32:BK32">ЭнергоРесурсы!BK48</f>
        <v>0</v>
      </c>
      <c r="BL32" s="759" cm="1" t="str">
        <f t="array" ref="BL32:BL32">ЭнергоРесурсы!BL48</f>
        <v>0</v>
      </c>
      <c r="BM32" s="759" cm="1" t="str">
        <f t="array" ref="BM32:BM32">ЭнергоРесурсы!BM48</f>
        <v>0</v>
      </c>
      <c r="BN32" s="759" cm="1" t="str">
        <f t="array" ref="BN32:BN32">ЭнергоРесурсы!BN48</f>
        <v>0</v>
      </c>
      <c r="BO32" s="759" cm="1" t="str">
        <f t="array" ref="BO32:BO32">ЭнергоРесурсы!BO48</f>
        <v>0</v>
      </c>
      <c r="BP32" s="759" cm="1" t="str">
        <f t="array" ref="BP32:BP32">ЭнергоРесурсы!BP48</f>
        <v>0</v>
      </c>
      <c r="BQ32" s="759" cm="1" t="str">
        <f t="array" ref="BQ32:BQ32">ЭнергоРесурсы!BQ48</f>
        <v>0</v>
      </c>
      <c r="BR32" s="759" cm="1" t="str">
        <f t="array" ref="BR32:BR32">ЭнергоРесурсы!BR48</f>
        <v>0</v>
      </c>
      <c r="BS32" s="759" cm="1" t="str">
        <f t="array" ref="BS32:BS32">ЭнергоРесурсы!BS48</f>
        <v>0</v>
      </c>
      <c r="BT32" s="759" cm="1" t="str">
        <f t="array" ref="BT32:BT32">ЭнергоРесурсы!BT48</f>
        <v>0</v>
      </c>
      <c r="BU32" s="759" cm="1" t="str">
        <f t="array" ref="BU32:BU32">ЭнергоРесурсы!BU48</f>
        <v>0</v>
      </c>
      <c r="BV32" s="759" cm="1" t="str">
        <f t="array" ref="BV32:BV32">ЭнергоРесурсы!BV48</f>
        <v>0</v>
      </c>
      <c r="BW32" s="759" cm="1" t="str">
        <f t="array" ref="BW32:BW32">ЭнергоРесурсы!BW48</f>
        <v>0</v>
      </c>
      <c r="BX32" s="695">
        <f>IF(AI32=0,0,(BD32-AI32)/AI32*100)</f>
        <v>0</v>
      </c>
      <c r="BY32" s="695">
        <f>IF(BD32=0,0,(BE32-BD32)/BD32*100)</f>
        <v>0</v>
      </c>
      <c r="BZ32" s="695">
        <f>IF(BE32=0,0,(BF32-BE32)/BE32*100)</f>
        <v>0</v>
      </c>
      <c r="CA32" s="695">
        <f>IF(BF32=0,0,(BG32-BF32)/BF32*100)</f>
        <v>0</v>
      </c>
      <c r="CB32" s="695">
        <f>IF(BG32=0,0,(BH32-BG32)/BG32*100)</f>
        <v>0</v>
      </c>
      <c r="CC32" s="695">
        <f>IF(BH32=0,0,(BI32-BH32)/BH32*100)</f>
        <v>0</v>
      </c>
      <c r="CD32" s="695">
        <f>IF(BI32=0,0,(BJ32-BI32)/BI32*100)</f>
        <v>0</v>
      </c>
      <c r="CE32" s="695">
        <f>IF(BJ32=0,0,(BK32-BJ32)/BJ32*100)</f>
        <v>0</v>
      </c>
      <c r="CF32" s="695">
        <f>IF(BK32=0,0,(BL32-BK32)/BK32*100)</f>
        <v>0</v>
      </c>
      <c r="CG32" s="695">
        <f>IF(BL32=0,0,(BM32-BL32)/BL32*100)</f>
        <v>0</v>
      </c>
      <c r="CH32" s="695">
        <f>IF(BM32=0,0,(BN32-BM32)/BM32*100)</f>
        <v>0</v>
      </c>
      <c r="CI32" s="695">
        <f>IF(BN32=0,0,(BO32-BN32)/BN32*100)</f>
        <v>0</v>
      </c>
      <c r="CJ32" s="695">
        <f>IF(BO32=0,0,(BP32-BO32)/BO32*100)</f>
        <v>0</v>
      </c>
      <c r="CK32" s="695">
        <f>IF(BP32=0,0,(BQ32-BP32)/BP32*100)</f>
        <v>0</v>
      </c>
      <c r="CL32" s="695">
        <f>IF(BQ32=0,0,(BR32-BQ32)/BQ32*100)</f>
        <v>0</v>
      </c>
      <c r="CM32" s="695">
        <f>IF(BR32=0,0,(BS32-BR32)/BR32*100)</f>
        <v>0</v>
      </c>
      <c r="CN32" s="695">
        <f>IF(BS32=0,0,(BT32-BS32)/BS32*100)</f>
        <v>0</v>
      </c>
      <c r="CO32" s="695">
        <f>IF(BT32=0,0,(BU32-BT32)/BT32*100)</f>
        <v>0</v>
      </c>
      <c r="CP32" s="695">
        <f>IF(BU32=0,0,(BV32-BU32)/BU32*100)</f>
        <v>0</v>
      </c>
      <c r="CQ32" s="695">
        <f>IF(BV32=0,0,(BW32-BV32)/BV32*100)</f>
        <v>0</v>
      </c>
      <c r="CR32" s="83"/>
      <c r="CS32" s="83"/>
      <c r="CT32" s="83"/>
      <c r="CW32" s="975" t="s">
        <v>1693</v>
      </c>
      <c r="CZ32" s="0" cm="1" t="str">
        <f t="array" ref="CZ32:CZ32">CZ31</f>
        <v>0</v>
      </c>
      <c r="DA32" s="0" t="s">
        <v>1615</v>
      </c>
      <c r="DB32" s="0" t="s">
        <v>1694</v>
      </c>
      <c r="DE32" s="0" t="s">
        <v>303</v>
      </c>
      <c r="DF32" s="0" t="s">
        <v>1044</v>
      </c>
      <c r="DG32" s="0" t="s">
        <v>1045</v>
      </c>
    </row>
    <row customHeight="1" ht="16.575" hidden="1">
      <c r="E33" s="180">
        <v>17</v>
      </c>
      <c r="F33" s="175" cm="1" t="str">
        <f t="array" ref="F33:F33">OFFSET(G33,-1,-1)</f>
        <v>0</v>
      </c>
      <c r="G33" s="193" t="s">
        <v>1136</v>
      </c>
      <c r="T33" s="753" cm="1" t="str">
        <f t="array" ref="T33:T33">T31</f>
        <v>false</v>
      </c>
      <c r="AB33" s="354">
        <v>4</v>
      </c>
      <c r="AC33" s="760" t="s">
        <v>1137</v>
      </c>
      <c r="AD33" s="327" t="s">
        <v>1178</v>
      </c>
      <c r="AE33" s="695">
        <f>_xlfn.SUMIFS('ХВС, ТН'!AF$26:AF$53,'ХВС, ТН'!$F$26:$F$53,$F33,'ХВС, ТН'!$G$26:$G$53,$G33)</f>
        <v>0</v>
      </c>
      <c r="AF33" s="695">
        <f>_xlfn.SUMIFS('ХВС, ТН'!AG$26:AG$53,'ХВС, ТН'!$F$26:$F$53,$F33,'ХВС, ТН'!$G$26:$G$53,$G33)</f>
        <v>0</v>
      </c>
      <c r="AG33" s="695">
        <f>_xlfn.SUMIFS('ХВС, ТН'!AH$26:AH$53,'ХВС, ТН'!$F$26:$F$53,$F33,'ХВС, ТН'!$G$26:$G$53,$G33)</f>
        <v>0</v>
      </c>
      <c r="AH33" s="695">
        <f>AG33-AF33</f>
        <v>0</v>
      </c>
      <c r="AI33" s="761">
        <f>_xlfn.SUMIFS('ХВС, ТН'!AI$26:AI$53,'ХВС, ТН'!$F$26:$F$53,$F33,'ХВС, ТН'!$G$26:$G$53,$G33)</f>
        <v>0</v>
      </c>
      <c r="AJ33" s="761">
        <f>_xlfn.SUMIFS('ХВС, ТН'!AJ$26:AJ$53,'ХВС, ТН'!$F$26:$F$53,$F33,'ХВС, ТН'!$G$26:$G$53,$G33)</f>
        <v>0</v>
      </c>
      <c r="AK33" s="761">
        <f>_xlfn.SUMIFS('ХВС, ТН'!AK$26:AK$53,'ХВС, ТН'!$F$26:$F$53,$F33,'ХВС, ТН'!$G$26:$G$53,$G33)</f>
        <v>0</v>
      </c>
      <c r="AL33" s="761">
        <f>_xlfn.SUMIFS('ХВС, ТН'!AL$26:AL$53,'ХВС, ТН'!$F$26:$F$53,$F33,'ХВС, ТН'!$G$26:$G$53,$G33)</f>
        <v>0</v>
      </c>
      <c r="AM33" s="761">
        <f>_xlfn.SUMIFS('ХВС, ТН'!AM$26:AM$53,'ХВС, ТН'!$F$26:$F$53,$F33,'ХВС, ТН'!$G$26:$G$53,$G33)</f>
        <v>0</v>
      </c>
      <c r="AN33" s="761">
        <f>_xlfn.SUMIFS('ХВС, ТН'!AN$26:AN$53,'ХВС, ТН'!$F$26:$F$53,$F33,'ХВС, ТН'!$G$26:$G$53,$G33)</f>
        <v>0</v>
      </c>
      <c r="AO33" s="761">
        <f>_xlfn.SUMIFS('ХВС, ТН'!AO$26:AO$53,'ХВС, ТН'!$F$26:$F$53,$F33,'ХВС, ТН'!$G$26:$G$53,$G33)</f>
        <v>0</v>
      </c>
      <c r="AP33" s="761">
        <f>_xlfn.SUMIFS('ХВС, ТН'!AP$26:AP$53,'ХВС, ТН'!$F$26:$F$53,$F33,'ХВС, ТН'!$G$26:$G$53,$G33)</f>
        <v>0</v>
      </c>
      <c r="AQ33" s="761">
        <f>_xlfn.SUMIFS('ХВС, ТН'!AQ$26:AQ$53,'ХВС, ТН'!$F$26:$F$53,$F33,'ХВС, ТН'!$G$26:$G$53,$G33)</f>
        <v>0</v>
      </c>
      <c r="AR33" s="761">
        <f>_xlfn.SUMIFS('ХВС, ТН'!AR$26:AR$53,'ХВС, ТН'!$F$26:$F$53,$F33,'ХВС, ТН'!$G$26:$G$53,$G33)</f>
        <v>0</v>
      </c>
      <c r="AS33" s="761">
        <f>_xlfn.SUMIFS('ХВС, ТН'!AS$26:AS$53,'ХВС, ТН'!$F$26:$F$53,$F33,'ХВС, ТН'!$G$26:$G$53,$G33)</f>
        <v>0</v>
      </c>
      <c r="AT33" s="761">
        <f>_xlfn.SUMIFS('ХВС, ТН'!AT$26:AT$53,'ХВС, ТН'!$F$26:$F$53,$F33,'ХВС, ТН'!$G$26:$G$53,$G33)</f>
        <v>0</v>
      </c>
      <c r="AU33" s="761">
        <f>_xlfn.SUMIFS('ХВС, ТН'!AU$26:AU$53,'ХВС, ТН'!$F$26:$F$53,$F33,'ХВС, ТН'!$G$26:$G$53,$G33)</f>
        <v>0</v>
      </c>
      <c r="AV33" s="761">
        <f>_xlfn.SUMIFS('ХВС, ТН'!AV$26:AV$53,'ХВС, ТН'!$F$26:$F$53,$F33,'ХВС, ТН'!$G$26:$G$53,$G33)</f>
        <v>0</v>
      </c>
      <c r="AW33" s="761">
        <f>_xlfn.SUMIFS('ХВС, ТН'!AW$26:AW$53,'ХВС, ТН'!$F$26:$F$53,$F33,'ХВС, ТН'!$G$26:$G$53,$G33)</f>
        <v>0</v>
      </c>
      <c r="AX33" s="761">
        <f>_xlfn.SUMIFS('ХВС, ТН'!AX$26:AX$53,'ХВС, ТН'!$F$26:$F$53,$F33,'ХВС, ТН'!$G$26:$G$53,$G33)</f>
        <v>0</v>
      </c>
      <c r="AY33" s="761">
        <f>_xlfn.SUMIFS('ХВС, ТН'!AY$26:AY$53,'ХВС, ТН'!$F$26:$F$53,$F33,'ХВС, ТН'!$G$26:$G$53,$G33)</f>
        <v>0</v>
      </c>
      <c r="AZ33" s="761">
        <f>_xlfn.SUMIFS('ХВС, ТН'!AZ$26:AZ$53,'ХВС, ТН'!$F$26:$F$53,$F33,'ХВС, ТН'!$G$26:$G$53,$G33)</f>
        <v>0</v>
      </c>
      <c r="BA33" s="761">
        <f>_xlfn.SUMIFS('ХВС, ТН'!BA$26:BA$53,'ХВС, ТН'!$F$26:$F$53,$F33,'ХВС, ТН'!$G$26:$G$53,$G33)</f>
        <v>0</v>
      </c>
      <c r="BB33" s="761">
        <f>_xlfn.SUMIFS('ХВС, ТН'!BB$26:BB$53,'ХВС, ТН'!$F$26:$F$53,$F33,'ХВС, ТН'!$G$26:$G$53,$G33)</f>
        <v>0</v>
      </c>
      <c r="BC33" s="761">
        <f>_xlfn.SUMIFS('ХВС, ТН'!BC$26:BC$53,'ХВС, ТН'!$F$26:$F$53,$F33,'ХВС, ТН'!$G$26:$G$53,$G33)</f>
        <v>0</v>
      </c>
      <c r="BD33" s="761">
        <f>_xlfn.SUMIFS('ХВС, ТН'!BD$26:BD$53,'ХВС, ТН'!$F$26:$F$53,$F33,'ХВС, ТН'!$G$26:$G$53,$G33)</f>
        <v>0</v>
      </c>
      <c r="BE33" s="761">
        <f>_xlfn.SUMIFS('ХВС, ТН'!BE$26:BE$53,'ХВС, ТН'!$F$26:$F$53,$F33,'ХВС, ТН'!$G$26:$G$53,$G33)</f>
        <v>0</v>
      </c>
      <c r="BF33" s="761">
        <f>_xlfn.SUMIFS('ХВС, ТН'!BF$26:BF$53,'ХВС, ТН'!$F$26:$F$53,$F33,'ХВС, ТН'!$G$26:$G$53,$G33)</f>
        <v>0</v>
      </c>
      <c r="BG33" s="761">
        <f>_xlfn.SUMIFS('ХВС, ТН'!BG$26:BG$53,'ХВС, ТН'!$F$26:$F$53,$F33,'ХВС, ТН'!$G$26:$G$53,$G33)</f>
        <v>0</v>
      </c>
      <c r="BH33" s="761">
        <f>_xlfn.SUMIFS('ХВС, ТН'!BH$26:BH$53,'ХВС, ТН'!$F$26:$F$53,$F33,'ХВС, ТН'!$G$26:$G$53,$G33)</f>
        <v>0</v>
      </c>
      <c r="BI33" s="761">
        <f>_xlfn.SUMIFS('ХВС, ТН'!BI$26:BI$53,'ХВС, ТН'!$F$26:$F$53,$F33,'ХВС, ТН'!$G$26:$G$53,$G33)</f>
        <v>0</v>
      </c>
      <c r="BJ33" s="761">
        <f>_xlfn.SUMIFS('ХВС, ТН'!BJ$26:BJ$53,'ХВС, ТН'!$F$26:$F$53,$F33,'ХВС, ТН'!$G$26:$G$53,$G33)</f>
        <v>0</v>
      </c>
      <c r="BK33" s="761">
        <f>_xlfn.SUMIFS('ХВС, ТН'!BK$26:BK$53,'ХВС, ТН'!$F$26:$F$53,$F33,'ХВС, ТН'!$G$26:$G$53,$G33)</f>
        <v>0</v>
      </c>
      <c r="BL33" s="761">
        <f>_xlfn.SUMIFS('ХВС, ТН'!BL$26:BL$53,'ХВС, ТН'!$F$26:$F$53,$F33,'ХВС, ТН'!$G$26:$G$53,$G33)</f>
        <v>0</v>
      </c>
      <c r="BM33" s="761">
        <f>_xlfn.SUMIFS('ХВС, ТН'!BM$26:BM$53,'ХВС, ТН'!$F$26:$F$53,$F33,'ХВС, ТН'!$G$26:$G$53,$G33)</f>
        <v>0</v>
      </c>
      <c r="BN33" s="761">
        <f>_xlfn.SUMIFS('ХВС, ТН'!BN$26:BN$53,'ХВС, ТН'!$F$26:$F$53,$F33,'ХВС, ТН'!$G$26:$G$53,$G33)</f>
        <v>0</v>
      </c>
      <c r="BO33" s="761">
        <f>_xlfn.SUMIFS('ХВС, ТН'!BO$26:BO$53,'ХВС, ТН'!$F$26:$F$53,$F33,'ХВС, ТН'!$G$26:$G$53,$G33)</f>
        <v>0</v>
      </c>
      <c r="BP33" s="761">
        <f>_xlfn.SUMIFS('ХВС, ТН'!BP$26:BP$53,'ХВС, ТН'!$F$26:$F$53,$F33,'ХВС, ТН'!$G$26:$G$53,$G33)</f>
        <v>0</v>
      </c>
      <c r="BQ33" s="761">
        <f>_xlfn.SUMIFS('ХВС, ТН'!BQ$26:BQ$53,'ХВС, ТН'!$F$26:$F$53,$F33,'ХВС, ТН'!$G$26:$G$53,$G33)</f>
        <v>0</v>
      </c>
      <c r="BR33" s="761">
        <f>_xlfn.SUMIFS('ХВС, ТН'!BR$26:BR$53,'ХВС, ТН'!$F$26:$F$53,$F33,'ХВС, ТН'!$G$26:$G$53,$G33)</f>
        <v>0</v>
      </c>
      <c r="BS33" s="761">
        <f>_xlfn.SUMIFS('ХВС, ТН'!BS$26:BS$53,'ХВС, ТН'!$F$26:$F$53,$F33,'ХВС, ТН'!$G$26:$G$53,$G33)</f>
        <v>0</v>
      </c>
      <c r="BT33" s="761">
        <f>_xlfn.SUMIFS('ХВС, ТН'!BT$26:BT$53,'ХВС, ТН'!$F$26:$F$53,$F33,'ХВС, ТН'!$G$26:$G$53,$G33)</f>
        <v>0</v>
      </c>
      <c r="BU33" s="761">
        <f>_xlfn.SUMIFS('ХВС, ТН'!BU$26:BU$53,'ХВС, ТН'!$F$26:$F$53,$F33,'ХВС, ТН'!$G$26:$G$53,$G33)</f>
        <v>0</v>
      </c>
      <c r="BV33" s="761">
        <f>_xlfn.SUMIFS('ХВС, ТН'!BV$26:BV$53,'ХВС, ТН'!$F$26:$F$53,$F33,'ХВС, ТН'!$G$26:$G$53,$G33)</f>
        <v>0</v>
      </c>
      <c r="BW33" s="761">
        <f>_xlfn.SUMIFS('ХВС, ТН'!BW$26:BW$53,'ХВС, ТН'!$F$26:$F$53,$F33,'ХВС, ТН'!$G$26:$G$53,$G33)</f>
        <v>0</v>
      </c>
      <c r="BX33" s="695">
        <f>IF(AI33=0,0,(BD33-AI33)/AI33*100)</f>
        <v>0</v>
      </c>
      <c r="BY33" s="695">
        <f>IF(BD33=0,0,(BE33-BD33)/BD33*100)</f>
        <v>0</v>
      </c>
      <c r="BZ33" s="695">
        <f>IF(BE33=0,0,(BF33-BE33)/BE33*100)</f>
        <v>0</v>
      </c>
      <c r="CA33" s="695">
        <f>IF(BF33=0,0,(BG33-BF33)/BF33*100)</f>
        <v>0</v>
      </c>
      <c r="CB33" s="695">
        <f>IF(BG33=0,0,(BH33-BG33)/BG33*100)</f>
        <v>0</v>
      </c>
      <c r="CC33" s="695">
        <f>IF(BH33=0,0,(BI33-BH33)/BH33*100)</f>
        <v>0</v>
      </c>
      <c r="CD33" s="695">
        <f>IF(BI33=0,0,(BJ33-BI33)/BI33*100)</f>
        <v>0</v>
      </c>
      <c r="CE33" s="695">
        <f>IF(BJ33=0,0,(BK33-BJ33)/BJ33*100)</f>
        <v>0</v>
      </c>
      <c r="CF33" s="695">
        <f>IF(BK33=0,0,(BL33-BK33)/BK33*100)</f>
        <v>0</v>
      </c>
      <c r="CG33" s="695">
        <f>IF(BL33=0,0,(BM33-BL33)/BL33*100)</f>
        <v>0</v>
      </c>
      <c r="CH33" s="695">
        <f>IF(BM33=0,0,(BN33-BM33)/BM33*100)</f>
        <v>0</v>
      </c>
      <c r="CI33" s="695">
        <f>IF(BN33=0,0,(BO33-BN33)/BN33*100)</f>
        <v>0</v>
      </c>
      <c r="CJ33" s="695">
        <f>IF(BO33=0,0,(BP33-BO33)/BO33*100)</f>
        <v>0</v>
      </c>
      <c r="CK33" s="695">
        <f>IF(BP33=0,0,(BQ33-BP33)/BP33*100)</f>
        <v>0</v>
      </c>
      <c r="CL33" s="695">
        <f>IF(BQ33=0,0,(BR33-BQ33)/BQ33*100)</f>
        <v>0</v>
      </c>
      <c r="CM33" s="695">
        <f>IF(BR33=0,0,(BS33-BR33)/BR33*100)</f>
        <v>0</v>
      </c>
      <c r="CN33" s="695">
        <f>IF(BS33=0,0,(BT33-BS33)/BS33*100)</f>
        <v>0</v>
      </c>
      <c r="CO33" s="695">
        <f>IF(BT33=0,0,(BU33-BT33)/BT33*100)</f>
        <v>0</v>
      </c>
      <c r="CP33" s="695">
        <f>IF(BU33=0,0,(BV33-BU33)/BU33*100)</f>
        <v>0</v>
      </c>
      <c r="CQ33" s="695">
        <f>IF(BV33=0,0,(BW33-BV33)/BV33*100)</f>
        <v>0</v>
      </c>
      <c r="CR33" s="83"/>
      <c r="CS33" s="83"/>
      <c r="CT33" s="83"/>
      <c r="CW33" s="975" t="s">
        <v>1695</v>
      </c>
      <c r="CZ33" s="0" cm="1" t="str">
        <f t="array" ref="CZ33:CZ33">CZ32</f>
        <v>0</v>
      </c>
      <c r="DA33" s="0" t="s">
        <v>1139</v>
      </c>
      <c r="DE33" s="0" t="s">
        <v>303</v>
      </c>
      <c r="DF33" s="0" t="s">
        <v>1044</v>
      </c>
      <c r="DG33" s="0" t="s">
        <v>1045</v>
      </c>
    </row>
    <row customHeight="1" ht="16.575" hidden="1">
      <c r="E34" s="180">
        <v>17</v>
      </c>
      <c r="F34" s="175" cm="1" t="str">
        <f t="array" ref="F34:F34">OFFSET(G34,-1,-1)</f>
        <v>0</v>
      </c>
      <c r="G34" s="193" t="s">
        <v>1154</v>
      </c>
      <c r="T34" s="753" cm="1" t="str">
        <f t="array" ref="T34:T34">T33</f>
        <v>false</v>
      </c>
      <c r="AB34" s="354">
        <v>5</v>
      </c>
      <c r="AC34" s="760" t="s">
        <v>1155</v>
      </c>
      <c r="AD34" s="327" t="s">
        <v>1178</v>
      </c>
      <c r="AE34" s="695">
        <f>_xlfn.SUMIFS('ХВС, ТН'!AF$26:AF$53,'ХВС, ТН'!$F$26:$F$53,$F34,'ХВС, ТН'!$G$26:$G$53,$G34)</f>
        <v>0</v>
      </c>
      <c r="AF34" s="695">
        <f>_xlfn.SUMIFS('ХВС, ТН'!AG$26:AG$53,'ХВС, ТН'!$F$26:$F$53,$F34,'ХВС, ТН'!$G$26:$G$53,$G34)</f>
        <v>0</v>
      </c>
      <c r="AG34" s="695">
        <f>_xlfn.SUMIFS('ХВС, ТН'!AH$26:AH$53,'ХВС, ТН'!$F$26:$F$53,$F34,'ХВС, ТН'!$G$26:$G$53,$G34)</f>
        <v>0</v>
      </c>
      <c r="AH34" s="695">
        <f>AG34-AF34</f>
        <v>0</v>
      </c>
      <c r="AI34" s="761">
        <f>_xlfn.SUMIFS('ХВС, ТН'!AI$26:AI$53,'ХВС, ТН'!$F$26:$F$53,$F34,'ХВС, ТН'!$G$26:$G$53,$G34)</f>
        <v>0</v>
      </c>
      <c r="AJ34" s="761">
        <f>_xlfn.SUMIFS('ХВС, ТН'!AJ$26:AJ$53,'ХВС, ТН'!$F$26:$F$53,$F34,'ХВС, ТН'!$G$26:$G$53,$G34)</f>
        <v>0</v>
      </c>
      <c r="AK34" s="761">
        <f>_xlfn.SUMIFS('ХВС, ТН'!AK$26:AK$53,'ХВС, ТН'!$F$26:$F$53,$F34,'ХВС, ТН'!$G$26:$G$53,$G34)</f>
        <v>0</v>
      </c>
      <c r="AL34" s="761">
        <f>_xlfn.SUMIFS('ХВС, ТН'!AL$26:AL$53,'ХВС, ТН'!$F$26:$F$53,$F34,'ХВС, ТН'!$G$26:$G$53,$G34)</f>
        <v>0</v>
      </c>
      <c r="AM34" s="761">
        <f>_xlfn.SUMIFS('ХВС, ТН'!AM$26:AM$53,'ХВС, ТН'!$F$26:$F$53,$F34,'ХВС, ТН'!$G$26:$G$53,$G34)</f>
        <v>0</v>
      </c>
      <c r="AN34" s="761">
        <f>_xlfn.SUMIFS('ХВС, ТН'!AN$26:AN$53,'ХВС, ТН'!$F$26:$F$53,$F34,'ХВС, ТН'!$G$26:$G$53,$G34)</f>
        <v>0</v>
      </c>
      <c r="AO34" s="761">
        <f>_xlfn.SUMIFS('ХВС, ТН'!AO$26:AO$53,'ХВС, ТН'!$F$26:$F$53,$F34,'ХВС, ТН'!$G$26:$G$53,$G34)</f>
        <v>0</v>
      </c>
      <c r="AP34" s="761">
        <f>_xlfn.SUMIFS('ХВС, ТН'!AP$26:AP$53,'ХВС, ТН'!$F$26:$F$53,$F34,'ХВС, ТН'!$G$26:$G$53,$G34)</f>
        <v>0</v>
      </c>
      <c r="AQ34" s="761">
        <f>_xlfn.SUMIFS('ХВС, ТН'!AQ$26:AQ$53,'ХВС, ТН'!$F$26:$F$53,$F34,'ХВС, ТН'!$G$26:$G$53,$G34)</f>
        <v>0</v>
      </c>
      <c r="AR34" s="761">
        <f>_xlfn.SUMIFS('ХВС, ТН'!AR$26:AR$53,'ХВС, ТН'!$F$26:$F$53,$F34,'ХВС, ТН'!$G$26:$G$53,$G34)</f>
        <v>0</v>
      </c>
      <c r="AS34" s="761">
        <f>_xlfn.SUMIFS('ХВС, ТН'!AS$26:AS$53,'ХВС, ТН'!$F$26:$F$53,$F34,'ХВС, ТН'!$G$26:$G$53,$G34)</f>
        <v>0</v>
      </c>
      <c r="AT34" s="761">
        <f>_xlfn.SUMIFS('ХВС, ТН'!AT$26:AT$53,'ХВС, ТН'!$F$26:$F$53,$F34,'ХВС, ТН'!$G$26:$G$53,$G34)</f>
        <v>0</v>
      </c>
      <c r="AU34" s="761">
        <f>_xlfn.SUMIFS('ХВС, ТН'!AU$26:AU$53,'ХВС, ТН'!$F$26:$F$53,$F34,'ХВС, ТН'!$G$26:$G$53,$G34)</f>
        <v>0</v>
      </c>
      <c r="AV34" s="761">
        <f>_xlfn.SUMIFS('ХВС, ТН'!AV$26:AV$53,'ХВС, ТН'!$F$26:$F$53,$F34,'ХВС, ТН'!$G$26:$G$53,$G34)</f>
        <v>0</v>
      </c>
      <c r="AW34" s="761">
        <f>_xlfn.SUMIFS('ХВС, ТН'!AW$26:AW$53,'ХВС, ТН'!$F$26:$F$53,$F34,'ХВС, ТН'!$G$26:$G$53,$G34)</f>
        <v>0</v>
      </c>
      <c r="AX34" s="761">
        <f>_xlfn.SUMIFS('ХВС, ТН'!AX$26:AX$53,'ХВС, ТН'!$F$26:$F$53,$F34,'ХВС, ТН'!$G$26:$G$53,$G34)</f>
        <v>0</v>
      </c>
      <c r="AY34" s="761">
        <f>_xlfn.SUMIFS('ХВС, ТН'!AY$26:AY$53,'ХВС, ТН'!$F$26:$F$53,$F34,'ХВС, ТН'!$G$26:$G$53,$G34)</f>
        <v>0</v>
      </c>
      <c r="AZ34" s="761">
        <f>_xlfn.SUMIFS('ХВС, ТН'!AZ$26:AZ$53,'ХВС, ТН'!$F$26:$F$53,$F34,'ХВС, ТН'!$G$26:$G$53,$G34)</f>
        <v>0</v>
      </c>
      <c r="BA34" s="761">
        <f>_xlfn.SUMIFS('ХВС, ТН'!BA$26:BA$53,'ХВС, ТН'!$F$26:$F$53,$F34,'ХВС, ТН'!$G$26:$G$53,$G34)</f>
        <v>0</v>
      </c>
      <c r="BB34" s="761">
        <f>_xlfn.SUMIFS('ХВС, ТН'!BB$26:BB$53,'ХВС, ТН'!$F$26:$F$53,$F34,'ХВС, ТН'!$G$26:$G$53,$G34)</f>
        <v>0</v>
      </c>
      <c r="BC34" s="761">
        <f>_xlfn.SUMIFS('ХВС, ТН'!BC$26:BC$53,'ХВС, ТН'!$F$26:$F$53,$F34,'ХВС, ТН'!$G$26:$G$53,$G34)</f>
        <v>0</v>
      </c>
      <c r="BD34" s="761">
        <f>_xlfn.SUMIFS('ХВС, ТН'!BD$26:BD$53,'ХВС, ТН'!$F$26:$F$53,$F34,'ХВС, ТН'!$G$26:$G$53,$G34)</f>
        <v>0</v>
      </c>
      <c r="BE34" s="761">
        <f>_xlfn.SUMIFS('ХВС, ТН'!BE$26:BE$53,'ХВС, ТН'!$F$26:$F$53,$F34,'ХВС, ТН'!$G$26:$G$53,$G34)</f>
        <v>0</v>
      </c>
      <c r="BF34" s="761">
        <f>_xlfn.SUMIFS('ХВС, ТН'!BF$26:BF$53,'ХВС, ТН'!$F$26:$F$53,$F34,'ХВС, ТН'!$G$26:$G$53,$G34)</f>
        <v>0</v>
      </c>
      <c r="BG34" s="761">
        <f>_xlfn.SUMIFS('ХВС, ТН'!BG$26:BG$53,'ХВС, ТН'!$F$26:$F$53,$F34,'ХВС, ТН'!$G$26:$G$53,$G34)</f>
        <v>0</v>
      </c>
      <c r="BH34" s="761">
        <f>_xlfn.SUMIFS('ХВС, ТН'!BH$26:BH$53,'ХВС, ТН'!$F$26:$F$53,$F34,'ХВС, ТН'!$G$26:$G$53,$G34)</f>
        <v>0</v>
      </c>
      <c r="BI34" s="761">
        <f>_xlfn.SUMIFS('ХВС, ТН'!BI$26:BI$53,'ХВС, ТН'!$F$26:$F$53,$F34,'ХВС, ТН'!$G$26:$G$53,$G34)</f>
        <v>0</v>
      </c>
      <c r="BJ34" s="761">
        <f>_xlfn.SUMIFS('ХВС, ТН'!BJ$26:BJ$53,'ХВС, ТН'!$F$26:$F$53,$F34,'ХВС, ТН'!$G$26:$G$53,$G34)</f>
        <v>0</v>
      </c>
      <c r="BK34" s="761">
        <f>_xlfn.SUMIFS('ХВС, ТН'!BK$26:BK$53,'ХВС, ТН'!$F$26:$F$53,$F34,'ХВС, ТН'!$G$26:$G$53,$G34)</f>
        <v>0</v>
      </c>
      <c r="BL34" s="761">
        <f>_xlfn.SUMIFS('ХВС, ТН'!BL$26:BL$53,'ХВС, ТН'!$F$26:$F$53,$F34,'ХВС, ТН'!$G$26:$G$53,$G34)</f>
        <v>0</v>
      </c>
      <c r="BM34" s="761">
        <f>_xlfn.SUMIFS('ХВС, ТН'!BM$26:BM$53,'ХВС, ТН'!$F$26:$F$53,$F34,'ХВС, ТН'!$G$26:$G$53,$G34)</f>
        <v>0</v>
      </c>
      <c r="BN34" s="761">
        <f>_xlfn.SUMIFS('ХВС, ТН'!BN$26:BN$53,'ХВС, ТН'!$F$26:$F$53,$F34,'ХВС, ТН'!$G$26:$G$53,$G34)</f>
        <v>0</v>
      </c>
      <c r="BO34" s="761">
        <f>_xlfn.SUMIFS('ХВС, ТН'!BO$26:BO$53,'ХВС, ТН'!$F$26:$F$53,$F34,'ХВС, ТН'!$G$26:$G$53,$G34)</f>
        <v>0</v>
      </c>
      <c r="BP34" s="761">
        <f>_xlfn.SUMIFS('ХВС, ТН'!BP$26:BP$53,'ХВС, ТН'!$F$26:$F$53,$F34,'ХВС, ТН'!$G$26:$G$53,$G34)</f>
        <v>0</v>
      </c>
      <c r="BQ34" s="761">
        <f>_xlfn.SUMIFS('ХВС, ТН'!BQ$26:BQ$53,'ХВС, ТН'!$F$26:$F$53,$F34,'ХВС, ТН'!$G$26:$G$53,$G34)</f>
        <v>0</v>
      </c>
      <c r="BR34" s="761">
        <f>_xlfn.SUMIFS('ХВС, ТН'!BR$26:BR$53,'ХВС, ТН'!$F$26:$F$53,$F34,'ХВС, ТН'!$G$26:$G$53,$G34)</f>
        <v>0</v>
      </c>
      <c r="BS34" s="761">
        <f>_xlfn.SUMIFS('ХВС, ТН'!BS$26:BS$53,'ХВС, ТН'!$F$26:$F$53,$F34,'ХВС, ТН'!$G$26:$G$53,$G34)</f>
        <v>0</v>
      </c>
      <c r="BT34" s="761">
        <f>_xlfn.SUMIFS('ХВС, ТН'!BT$26:BT$53,'ХВС, ТН'!$F$26:$F$53,$F34,'ХВС, ТН'!$G$26:$G$53,$G34)</f>
        <v>0</v>
      </c>
      <c r="BU34" s="761">
        <f>_xlfn.SUMIFS('ХВС, ТН'!BU$26:BU$53,'ХВС, ТН'!$F$26:$F$53,$F34,'ХВС, ТН'!$G$26:$G$53,$G34)</f>
        <v>0</v>
      </c>
      <c r="BV34" s="761">
        <f>_xlfn.SUMIFS('ХВС, ТН'!BV$26:BV$53,'ХВС, ТН'!$F$26:$F$53,$F34,'ХВС, ТН'!$G$26:$G$53,$G34)</f>
        <v>0</v>
      </c>
      <c r="BW34" s="761">
        <f>_xlfn.SUMIFS('ХВС, ТН'!BW$26:BW$53,'ХВС, ТН'!$F$26:$F$53,$F34,'ХВС, ТН'!$G$26:$G$53,$G34)</f>
        <v>0</v>
      </c>
      <c r="BX34" s="695">
        <f>IF(AI34=0,0,(BD34-AI34)/AI34*100)</f>
        <v>0</v>
      </c>
      <c r="BY34" s="695">
        <f>IF(BD34=0,0,(BE34-BD34)/BD34*100)</f>
        <v>0</v>
      </c>
      <c r="BZ34" s="695">
        <f>IF(BE34=0,0,(BF34-BE34)/BE34*100)</f>
        <v>0</v>
      </c>
      <c r="CA34" s="695">
        <f>IF(BF34=0,0,(BG34-BF34)/BF34*100)</f>
        <v>0</v>
      </c>
      <c r="CB34" s="695">
        <f>IF(BG34=0,0,(BH34-BG34)/BG34*100)</f>
        <v>0</v>
      </c>
      <c r="CC34" s="695">
        <f>IF(BH34=0,0,(BI34-BH34)/BH34*100)</f>
        <v>0</v>
      </c>
      <c r="CD34" s="695">
        <f>IF(BI34=0,0,(BJ34-BI34)/BI34*100)</f>
        <v>0</v>
      </c>
      <c r="CE34" s="695">
        <f>IF(BJ34=0,0,(BK34-BJ34)/BJ34*100)</f>
        <v>0</v>
      </c>
      <c r="CF34" s="695">
        <f>IF(BK34=0,0,(BL34-BK34)/BK34*100)</f>
        <v>0</v>
      </c>
      <c r="CG34" s="695">
        <f>IF(BL34=0,0,(BM34-BL34)/BL34*100)</f>
        <v>0</v>
      </c>
      <c r="CH34" s="695">
        <f>IF(BM34=0,0,(BN34-BM34)/BM34*100)</f>
        <v>0</v>
      </c>
      <c r="CI34" s="695">
        <f>IF(BN34=0,0,(BO34-BN34)/BN34*100)</f>
        <v>0</v>
      </c>
      <c r="CJ34" s="695">
        <f>IF(BO34=0,0,(BP34-BO34)/BO34*100)</f>
        <v>0</v>
      </c>
      <c r="CK34" s="695">
        <f>IF(BP34=0,0,(BQ34-BP34)/BP34*100)</f>
        <v>0</v>
      </c>
      <c r="CL34" s="695">
        <f>IF(BQ34=0,0,(BR34-BQ34)/BQ34*100)</f>
        <v>0</v>
      </c>
      <c r="CM34" s="695">
        <f>IF(BR34=0,0,(BS34-BR34)/BR34*100)</f>
        <v>0</v>
      </c>
      <c r="CN34" s="695">
        <f>IF(BS34=0,0,(BT34-BS34)/BS34*100)</f>
        <v>0</v>
      </c>
      <c r="CO34" s="695">
        <f>IF(BT34=0,0,(BU34-BT34)/BT34*100)</f>
        <v>0</v>
      </c>
      <c r="CP34" s="695">
        <f>IF(BU34=0,0,(BV34-BU34)/BU34*100)</f>
        <v>0</v>
      </c>
      <c r="CQ34" s="695">
        <f>IF(BV34=0,0,(BW34-BV34)/BV34*100)</f>
        <v>0</v>
      </c>
      <c r="CR34" s="83"/>
      <c r="CS34" s="83"/>
      <c r="CT34" s="83"/>
      <c r="CW34" s="975" t="s">
        <v>1696</v>
      </c>
      <c r="CZ34" s="0" cm="1" t="str">
        <f t="array" ref="CZ34:CZ34">CZ33</f>
        <v>0</v>
      </c>
      <c r="DA34" s="0" t="s">
        <v>1157</v>
      </c>
      <c r="DE34" s="0" t="s">
        <v>303</v>
      </c>
      <c r="DF34" s="0" t="s">
        <v>1044</v>
      </c>
      <c r="DG34" s="0" t="s">
        <v>1045</v>
      </c>
    </row>
    <row customHeight="1" ht="16.575" hidden="1">
      <c r="E35" s="180">
        <v>17</v>
      </c>
      <c r="F35" s="175" cm="1" t="str">
        <f t="array" ref="F35:F35">OFFSET(G35,-1,-1)</f>
        <v>0</v>
      </c>
      <c r="G35" s="193" t="s">
        <v>1697</v>
      </c>
      <c r="T35" s="753" cm="1" t="str">
        <f t="array" ref="T35:T35">T34</f>
        <v>false</v>
      </c>
      <c r="AB35" s="762">
        <v>6</v>
      </c>
      <c r="AC35" s="437" t="s">
        <v>1670</v>
      </c>
      <c r="AD35" s="436" t="s">
        <v>1178</v>
      </c>
      <c r="AE35" s="692">
        <f>AE29+AE30+AE31+AE33+AE34</f>
        <v>0</v>
      </c>
      <c r="AF35" s="692">
        <f>AF29+AF30+AF31+AF33+AF34</f>
        <v>0</v>
      </c>
      <c r="AG35" s="692">
        <f>AG29+AG30+AG31+AG33+AG34</f>
        <v>0</v>
      </c>
      <c r="AH35" s="692">
        <f>AG35-AF35</f>
        <v>0</v>
      </c>
      <c r="AI35" s="763">
        <f>AI29+AI30+AI31+AI33+AI34</f>
        <v>0</v>
      </c>
      <c r="AJ35" s="764">
        <f>AJ29+AJ30+AJ31+AJ33+AJ34</f>
        <v>0</v>
      </c>
      <c r="AK35" s="764">
        <f>AK29+AK30+AK31+AK33+AK34</f>
        <v>0</v>
      </c>
      <c r="AL35" s="764">
        <f>AL29+AL30+AL31+AL33+AL34</f>
        <v>0</v>
      </c>
      <c r="AM35" s="764">
        <f>AM29+AM30+AM31+AM33+AM34</f>
        <v>0</v>
      </c>
      <c r="AN35" s="764">
        <f>AN29+AN30+AN31+AN33+AN34</f>
        <v>0</v>
      </c>
      <c r="AO35" s="764">
        <f>AO29+AO30+AO31+AO33+AO34</f>
        <v>0</v>
      </c>
      <c r="AP35" s="764">
        <f>AP29+AP30+AP31+AP33+AP34</f>
        <v>0</v>
      </c>
      <c r="AQ35" s="764">
        <f>AQ29+AQ30+AQ31+AQ33+AQ34</f>
        <v>0</v>
      </c>
      <c r="AR35" s="764">
        <f>AR29+AR30+AR31+AR33+AR34</f>
        <v>0</v>
      </c>
      <c r="AS35" s="764">
        <f>AS29+AS30+AS31+AS33+AS34</f>
        <v>0</v>
      </c>
      <c r="AT35" s="764">
        <f>AT29+AT30+AT31+AT33+AT34</f>
        <v>0</v>
      </c>
      <c r="AU35" s="764">
        <f>AU29+AU30+AU31+AU33+AU34</f>
        <v>0</v>
      </c>
      <c r="AV35" s="764">
        <f>AV29+AV30+AV31+AV33+AV34</f>
        <v>0</v>
      </c>
      <c r="AW35" s="764">
        <f>AW29+AW30+AW31+AW33+AW34</f>
        <v>0</v>
      </c>
      <c r="AX35" s="764">
        <f>AX29+AX30+AX31+AX33+AX34</f>
        <v>0</v>
      </c>
      <c r="AY35" s="764">
        <f>AY29+AY30+AY31+AY33+AY34</f>
        <v>0</v>
      </c>
      <c r="AZ35" s="764">
        <f>AZ29+AZ30+AZ31+AZ33+AZ34</f>
        <v>0</v>
      </c>
      <c r="BA35" s="764">
        <f>BA29+BA30+BA31+BA33+BA34</f>
        <v>0</v>
      </c>
      <c r="BB35" s="764">
        <f>BB29+BB30+BB31+BB33+BB34</f>
        <v>0</v>
      </c>
      <c r="BC35" s="764">
        <f>BC29+BC30+BC31+BC33+BC34</f>
        <v>0</v>
      </c>
      <c r="BD35" s="764">
        <f>BD29+BD30+BD31+BD33+BD34</f>
        <v>0</v>
      </c>
      <c r="BE35" s="764">
        <f>BE29+BE30+BE31+BE33+BE34</f>
        <v>0</v>
      </c>
      <c r="BF35" s="764">
        <f>BF29+BF30+BF31+BF33+BF34</f>
        <v>0</v>
      </c>
      <c r="BG35" s="764">
        <f>BG29+BG30+BG31+BG33+BG34</f>
        <v>0</v>
      </c>
      <c r="BH35" s="764">
        <f>BH29+BH30+BH31+BH33+BH34</f>
        <v>0</v>
      </c>
      <c r="BI35" s="764">
        <f>BI29+BI30+BI31+BI33+BI34</f>
        <v>0</v>
      </c>
      <c r="BJ35" s="764">
        <f>BJ29+BJ30+BJ31+BJ33+BJ34</f>
        <v>0</v>
      </c>
      <c r="BK35" s="764">
        <f>BK29+BK30+BK31+BK33+BK34</f>
        <v>0</v>
      </c>
      <c r="BL35" s="764">
        <f>BL29+BL30+BL31+BL33+BL34</f>
        <v>0</v>
      </c>
      <c r="BM35" s="764">
        <f>BM29+BM30+BM31+BM33+BM34</f>
        <v>0</v>
      </c>
      <c r="BN35" s="764">
        <f>BN29+BN30+BN31+BN33+BN34</f>
        <v>0</v>
      </c>
      <c r="BO35" s="764">
        <f>BO29+BO30+BO31+BO33+BO34</f>
        <v>0</v>
      </c>
      <c r="BP35" s="764">
        <f>BP29+BP30+BP31+BP33+BP34</f>
        <v>0</v>
      </c>
      <c r="BQ35" s="764">
        <f>BQ29+BQ30+BQ31+BQ33+BQ34</f>
        <v>0</v>
      </c>
      <c r="BR35" s="764">
        <f>BR29+BR30+BR31+BR33+BR34</f>
        <v>0</v>
      </c>
      <c r="BS35" s="764">
        <f>BS29+BS30+BS31+BS33+BS34</f>
        <v>0</v>
      </c>
      <c r="BT35" s="764">
        <f>BT29+BT30+BT31+BT33+BT34</f>
        <v>0</v>
      </c>
      <c r="BU35" s="764">
        <f>BU29+BU30+BU31+BU33+BU34</f>
        <v>0</v>
      </c>
      <c r="BV35" s="764">
        <f>BV29+BV30+BV31+BV33+BV34</f>
        <v>0</v>
      </c>
      <c r="BW35" s="764">
        <f>BW29+BW30+BW31+BW33+BW34</f>
        <v>0</v>
      </c>
      <c r="BX35" s="764">
        <f>IF(AI35=0,0,(BD35-AI35)/AI35*100)</f>
        <v>0</v>
      </c>
      <c r="BY35" s="764">
        <f>IF(BD35=0,0,(BE35-BD35)/BD35*100)</f>
        <v>0</v>
      </c>
      <c r="BZ35" s="764">
        <f>IF(BE35=0,0,(BF35-BE35)/BE35*100)</f>
        <v>0</v>
      </c>
      <c r="CA35" s="764">
        <f>IF(BF35=0,0,(BG35-BF35)/BF35*100)</f>
        <v>0</v>
      </c>
      <c r="CB35" s="764">
        <f>IF(BG35=0,0,(BH35-BG35)/BG35*100)</f>
        <v>0</v>
      </c>
      <c r="CC35" s="764">
        <f>IF(BH35=0,0,(BI35-BH35)/BH35*100)</f>
        <v>0</v>
      </c>
      <c r="CD35" s="764">
        <f>IF(BI35=0,0,(BJ35-BI35)/BI35*100)</f>
        <v>0</v>
      </c>
      <c r="CE35" s="764">
        <f>IF(BJ35=0,0,(BK35-BJ35)/BJ35*100)</f>
        <v>0</v>
      </c>
      <c r="CF35" s="764">
        <f>IF(BK35=0,0,(BL35-BK35)/BK35*100)</f>
        <v>0</v>
      </c>
      <c r="CG35" s="764">
        <f>IF(BL35=0,0,(BM35-BL35)/BL35*100)</f>
        <v>0</v>
      </c>
      <c r="CH35" s="764">
        <f>IF(BM35=0,0,(BN35-BM35)/BM35*100)</f>
        <v>0</v>
      </c>
      <c r="CI35" s="764">
        <f>IF(BN35=0,0,(BO35-BN35)/BN35*100)</f>
        <v>0</v>
      </c>
      <c r="CJ35" s="764">
        <f>IF(BO35=0,0,(BP35-BO35)/BO35*100)</f>
        <v>0</v>
      </c>
      <c r="CK35" s="764">
        <f>IF(BP35=0,0,(BQ35-BP35)/BP35*100)</f>
        <v>0</v>
      </c>
      <c r="CL35" s="764">
        <f>IF(BQ35=0,0,(BR35-BQ35)/BQ35*100)</f>
        <v>0</v>
      </c>
      <c r="CM35" s="764">
        <f>IF(BR35=0,0,(BS35-BR35)/BR35*100)</f>
        <v>0</v>
      </c>
      <c r="CN35" s="764">
        <f>IF(BS35=0,0,(BT35-BS35)/BS35*100)</f>
        <v>0</v>
      </c>
      <c r="CO35" s="764">
        <f>IF(BT35=0,0,(BU35-BT35)/BT35*100)</f>
        <v>0</v>
      </c>
      <c r="CP35" s="764">
        <f>IF(BU35=0,0,(BV35-BU35)/BU35*100)</f>
        <v>0</v>
      </c>
      <c r="CQ35" s="764">
        <f>IF(BV35=0,0,(BW35-BV35)/BV35*100)</f>
        <v>0</v>
      </c>
      <c r="CR35" s="84"/>
      <c r="CS35" s="84"/>
      <c r="CT35" s="84"/>
      <c r="CW35" s="975" t="s">
        <v>630</v>
      </c>
      <c r="CZ35" s="0" cm="1" t="str">
        <f t="array" ref="CZ35:CZ35">CZ34</f>
        <v>0</v>
      </c>
      <c r="DE35" s="0" t="s">
        <v>303</v>
      </c>
      <c r="DF35" s="0" t="s">
        <v>1682</v>
      </c>
      <c r="DG35" s="0" t="s">
        <v>1683</v>
      </c>
    </row>
    <row customHeight="1" ht="16.575" hidden="1">
      <c r="E36" s="180">
        <v>17</v>
      </c>
      <c r="F36" s="175" cm="1" t="str">
        <f t="array" ref="F36:F36">OFFSET(G36,-1,-1)</f>
        <v>0</v>
      </c>
      <c r="G36" s="193" t="s">
        <v>1091</v>
      </c>
      <c r="R36" s="193" t="s">
        <v>1092</v>
      </c>
      <c r="T36" s="753" cm="1" t="str">
        <f t="array" ref="T36:T36">T32</f>
        <v>false</v>
      </c>
      <c r="AB36" s="352">
        <v>6.1</v>
      </c>
      <c r="AC36" s="624" t="s">
        <v>1094</v>
      </c>
      <c r="AD36" s="320" t="s">
        <v>917</v>
      </c>
      <c r="AE36" s="695">
        <f>SUM(AE29,AE32)</f>
        <v>0</v>
      </c>
      <c r="AF36" s="695">
        <f>SUM(AF29,AF32)</f>
        <v>0</v>
      </c>
      <c r="AG36" s="695">
        <f>SUM(AG29,AG32)</f>
        <v>0</v>
      </c>
      <c r="AH36" s="695">
        <f>AG36-AF36</f>
        <v>0</v>
      </c>
      <c r="AI36" s="759">
        <f>SUM(AI29,AI32)</f>
        <v>0</v>
      </c>
      <c r="AJ36" s="695">
        <f>SUM(AJ29,AJ32)</f>
        <v>0</v>
      </c>
      <c r="AK36" s="695">
        <f>SUM(AK29,AK32)</f>
        <v>0</v>
      </c>
      <c r="AL36" s="695">
        <f>SUM(AL29,AL32)</f>
        <v>0</v>
      </c>
      <c r="AM36" s="695">
        <f>SUM(AM29,AM32)</f>
        <v>0</v>
      </c>
      <c r="AN36" s="695">
        <f>SUM(AN29,AN32)</f>
        <v>0</v>
      </c>
      <c r="AO36" s="695">
        <f>SUM(AO29,AO32)</f>
        <v>0</v>
      </c>
      <c r="AP36" s="695">
        <f>SUM(AP29,AP32)</f>
        <v>0</v>
      </c>
      <c r="AQ36" s="695">
        <f>SUM(AQ29,AQ32)</f>
        <v>0</v>
      </c>
      <c r="AR36" s="695">
        <f>SUM(AR29,AR32)</f>
        <v>0</v>
      </c>
      <c r="AS36" s="695">
        <f>SUM(AS29,AS32)</f>
        <v>0</v>
      </c>
      <c r="AT36" s="695">
        <f>SUM(AT29,AT32)</f>
        <v>0</v>
      </c>
      <c r="AU36" s="695">
        <f>SUM(AU29,AU32)</f>
        <v>0</v>
      </c>
      <c r="AV36" s="695">
        <f>SUM(AV29,AV32)</f>
        <v>0</v>
      </c>
      <c r="AW36" s="695">
        <f>SUM(AW29,AW32)</f>
        <v>0</v>
      </c>
      <c r="AX36" s="695">
        <f>SUM(AX29,AX32)</f>
        <v>0</v>
      </c>
      <c r="AY36" s="695">
        <f>SUM(AY29,AY32)</f>
        <v>0</v>
      </c>
      <c r="AZ36" s="695">
        <f>SUM(AZ29,AZ32)</f>
        <v>0</v>
      </c>
      <c r="BA36" s="695">
        <f>SUM(BA29,BA32)</f>
        <v>0</v>
      </c>
      <c r="BB36" s="695">
        <f>SUM(BB29,BB32)</f>
        <v>0</v>
      </c>
      <c r="BC36" s="695">
        <f>SUM(BC29,BC32)</f>
        <v>0</v>
      </c>
      <c r="BD36" s="695">
        <f>SUM(BD29,BD32)</f>
        <v>0</v>
      </c>
      <c r="BE36" s="695">
        <f>SUM(BE29,BE32)</f>
        <v>0</v>
      </c>
      <c r="BF36" s="695">
        <f>SUM(BF29,BF32)</f>
        <v>0</v>
      </c>
      <c r="BG36" s="695">
        <f>SUM(BG29,BG32)</f>
        <v>0</v>
      </c>
      <c r="BH36" s="695">
        <f>SUM(BH29,BH32)</f>
        <v>0</v>
      </c>
      <c r="BI36" s="695">
        <f>SUM(BI29,BI32)</f>
        <v>0</v>
      </c>
      <c r="BJ36" s="695">
        <f>SUM(BJ29,BJ32)</f>
        <v>0</v>
      </c>
      <c r="BK36" s="695">
        <f>SUM(BK29,BK32)</f>
        <v>0</v>
      </c>
      <c r="BL36" s="695">
        <f>SUM(BL29,BL32)</f>
        <v>0</v>
      </c>
      <c r="BM36" s="695">
        <f>SUM(BM29,BM32)</f>
        <v>0</v>
      </c>
      <c r="BN36" s="695">
        <f>SUM(BN29,BN32)</f>
        <v>0</v>
      </c>
      <c r="BO36" s="695">
        <f>SUM(BO29,BO32)</f>
        <v>0</v>
      </c>
      <c r="BP36" s="695">
        <f>SUM(BP29,BP32)</f>
        <v>0</v>
      </c>
      <c r="BQ36" s="695">
        <f>SUM(BQ29,BQ32)</f>
        <v>0</v>
      </c>
      <c r="BR36" s="695">
        <f>SUM(BR29,BR32)</f>
        <v>0</v>
      </c>
      <c r="BS36" s="695">
        <f>SUM(BS29,BS32)</f>
        <v>0</v>
      </c>
      <c r="BT36" s="695">
        <f>SUM(BT29,BT32)</f>
        <v>0</v>
      </c>
      <c r="BU36" s="695">
        <f>SUM(BU29,BU32)</f>
        <v>0</v>
      </c>
      <c r="BV36" s="695">
        <f>SUM(BV29,BV32)</f>
        <v>0</v>
      </c>
      <c r="BW36" s="695">
        <f>SUM(BW29,BW32)</f>
        <v>0</v>
      </c>
      <c r="BX36" s="695">
        <f>IF(AI36=0,0,(BD36-AI36)/AI36*100)</f>
        <v>0</v>
      </c>
      <c r="BY36" s="695">
        <f>IF(BD36=0,0,(BE36-BD36)/BD36*100)</f>
        <v>0</v>
      </c>
      <c r="BZ36" s="695">
        <f>IF(BE36=0,0,(BF36-BE36)/BE36*100)</f>
        <v>0</v>
      </c>
      <c r="CA36" s="695">
        <f>IF(BF36=0,0,(BG36-BF36)/BF36*100)</f>
        <v>0</v>
      </c>
      <c r="CB36" s="695">
        <f>IF(BG36=0,0,(BH36-BG36)/BG36*100)</f>
        <v>0</v>
      </c>
      <c r="CC36" s="695">
        <f>IF(BH36=0,0,(BI36-BH36)/BH36*100)</f>
        <v>0</v>
      </c>
      <c r="CD36" s="695">
        <f>IF(BI36=0,0,(BJ36-BI36)/BI36*100)</f>
        <v>0</v>
      </c>
      <c r="CE36" s="695">
        <f>IF(BJ36=0,0,(BK36-BJ36)/BJ36*100)</f>
        <v>0</v>
      </c>
      <c r="CF36" s="695">
        <f>IF(BK36=0,0,(BL36-BK36)/BK36*100)</f>
        <v>0</v>
      </c>
      <c r="CG36" s="695">
        <f>IF(BL36=0,0,(BM36-BL36)/BL36*100)</f>
        <v>0</v>
      </c>
      <c r="CH36" s="695">
        <f>IF(BM36=0,0,(BN36-BM36)/BM36*100)</f>
        <v>0</v>
      </c>
      <c r="CI36" s="695">
        <f>IF(BN36=0,0,(BO36-BN36)/BN36*100)</f>
        <v>0</v>
      </c>
      <c r="CJ36" s="695">
        <f>IF(BO36=0,0,(BP36-BO36)/BO36*100)</f>
        <v>0</v>
      </c>
      <c r="CK36" s="695">
        <f>IF(BP36=0,0,(BQ36-BP36)/BP36*100)</f>
        <v>0</v>
      </c>
      <c r="CL36" s="695">
        <f>IF(BQ36=0,0,(BR36-BQ36)/BQ36*100)</f>
        <v>0</v>
      </c>
      <c r="CM36" s="695">
        <f>IF(BR36=0,0,(BS36-BR36)/BR36*100)</f>
        <v>0</v>
      </c>
      <c r="CN36" s="695">
        <f>IF(BS36=0,0,(BT36-BS36)/BS36*100)</f>
        <v>0</v>
      </c>
      <c r="CO36" s="695">
        <f>IF(BT36=0,0,(BU36-BT36)/BT36*100)</f>
        <v>0</v>
      </c>
      <c r="CP36" s="695">
        <f>IF(BU36=0,0,(BV36-BU36)/BU36*100)</f>
        <v>0</v>
      </c>
      <c r="CQ36" s="695">
        <f>IF(BV36=0,0,(BW36-BV36)/BV36*100)</f>
        <v>0</v>
      </c>
      <c r="CR36" s="85"/>
      <c r="CS36" s="85"/>
      <c r="CT36" s="85"/>
      <c r="CW36" s="975" t="s">
        <v>1698</v>
      </c>
      <c r="CZ36" s="0" cm="1" t="str">
        <f t="array" ref="CZ36:CZ36">CZ35</f>
        <v>0</v>
      </c>
      <c r="DB36" s="0" t="s">
        <v>1694</v>
      </c>
      <c r="DC36" s="0" t="s">
        <v>1699</v>
      </c>
      <c r="DE36" s="0" t="s">
        <v>303</v>
      </c>
      <c r="DF36" s="0" t="s">
        <v>1682</v>
      </c>
      <c r="DG36" s="0" t="s">
        <v>1683</v>
      </c>
    </row>
    <row s="969" customFormat="1" customHeight="1" ht="16.5">
      <c r="A37" s="969"/>
      <c r="B37" s="969"/>
      <c r="C37" s="969"/>
      <c r="D37" s="969"/>
      <c r="E37" s="180">
        <v>17</v>
      </c>
      <c r="F37" s="175" cm="1" t="str">
        <f t="array" ref="F37:F37">X37</f>
        <v>1</v>
      </c>
      <c r="G37" s="193" cm="1" t="str">
        <f t="array" ref="G37:G37">INDEX('Общие сведения'!$AK$169:$AK$202,MATCH($F37,'Общие сведения'!$Y$169:$Y$202,0))</f>
        <v>одноставочный</v>
      </c>
      <c r="H37" s="969"/>
      <c r="I37" s="193" cm="1" t="str">
        <f t="array" ref="I37:I37">INDEX('Общие сведения'!$AE$169:$AE$202,MATCH($F37,'Общие сведения'!$Y$169:$Y$202,0))</f>
        <v>Теплоснабжение</v>
      </c>
      <c r="J37" s="193" cm="1" t="str">
        <f t="array" ref="J37:J37">INDEX('Общие сведения'!$AK$169:$AK$202,MATCH($F37,'Общие сведения'!$Y$169:$Y$202,0))</f>
        <v>одноставочный</v>
      </c>
      <c r="K37" s="193" cm="1" t="str">
        <f t="array" ref="K37:K37">INDEX('Общие сведения'!$AH$169:$AH$202,MATCH($F37,'Общие сведения'!$Y$169:$Y$202,0))</f>
        <v>0</v>
      </c>
      <c r="L37" s="193" cm="1" t="str">
        <f t="array" ref="L37:L37">INDEX('Общие сведения'!$AI$169:$AI$202,MATCH($F37,'Общие сведения'!$Y$169:$Y$202,0))</f>
        <v>вода</v>
      </c>
      <c r="M37" s="193" cm="1" t="str">
        <f t="array" ref="M37:M37">INDEX('Общие сведения'!$AJ$169:$AJ$202,MATCH($F37,'Общие сведения'!$Y$169:$Y$202,0))</f>
        <v>Доп. признак не требуется</v>
      </c>
      <c r="N37" s="969"/>
      <c r="O37" s="969"/>
      <c r="P37" s="969"/>
      <c r="Q37" s="969"/>
      <c r="R37" s="969"/>
      <c r="S37" s="969"/>
      <c r="T37" s="753">
        <f>X37&gt;0</f>
        <v>1</v>
      </c>
      <c r="U37" s="969"/>
      <c r="V37" s="175" cm="1" t="str">
        <f t="array" ref="V37:V37">'Неподконтрольные (5.3)'!$AB$49</f>
        <v>Тариф 1 (Теплоснабжение) - Тариф на тепловую энергию (мощность), поставляемую потребителям (Доп. признак не требуется)</v>
      </c>
      <c r="W37" s="969"/>
      <c r="X37" s="175" t="s">
        <v>308</v>
      </c>
      <c r="Y37" s="969"/>
      <c r="Z37" s="969"/>
      <c r="AA37" s="969"/>
      <c r="AB37" s="688" cm="1" t="str">
        <f t="array" ref="AB37:AB37">IF(ISBLANK('Неподконтрольные (5.3)'!$AB$49),"",'Неподконтрольные (5.3)'!$AB$49)</f>
        <v>Тариф 1 (Теплоснабжение) - Тариф на тепловую энергию (мощность), поставляемую потребителям (Доп. признак не требуется)</v>
      </c>
      <c r="AC37" s="334"/>
      <c r="AD37" s="334"/>
      <c r="AE37" s="334"/>
      <c r="AF37" s="334"/>
      <c r="AG37" s="334"/>
      <c r="AH37" s="334"/>
      <c r="AI37" s="334"/>
      <c r="AJ37" s="334"/>
      <c r="AK37" s="334"/>
      <c r="AL37" s="334"/>
      <c r="AM37" s="334"/>
      <c r="AN37" s="334"/>
      <c r="AO37" s="334"/>
      <c r="AP37" s="334"/>
      <c r="AQ37" s="334"/>
      <c r="AR37" s="334"/>
      <c r="AS37" s="334"/>
      <c r="AT37" s="334"/>
      <c r="AU37" s="334"/>
      <c r="AV37" s="334"/>
      <c r="AW37" s="334"/>
      <c r="AX37" s="334"/>
      <c r="AY37" s="334"/>
      <c r="AZ37" s="334"/>
      <c r="BA37" s="334"/>
      <c r="BB37" s="334"/>
      <c r="BC37" s="334"/>
      <c r="BD37" s="334"/>
      <c r="BE37" s="334"/>
      <c r="BF37" s="334"/>
      <c r="BG37" s="334"/>
      <c r="BH37" s="334"/>
      <c r="BI37" s="334"/>
      <c r="BJ37" s="334"/>
      <c r="BK37" s="334"/>
      <c r="BL37" s="334"/>
      <c r="BM37" s="334"/>
      <c r="BN37" s="334"/>
      <c r="BO37" s="334"/>
      <c r="BP37" s="334"/>
      <c r="BQ37" s="334"/>
      <c r="BR37" s="334"/>
      <c r="BS37" s="334"/>
      <c r="BT37" s="334"/>
      <c r="BU37" s="334"/>
      <c r="BV37" s="334"/>
      <c r="BW37" s="334"/>
      <c r="BX37" s="334"/>
      <c r="BY37" s="334"/>
      <c r="BZ37" s="334"/>
      <c r="CA37" s="334"/>
      <c r="CB37" s="334"/>
      <c r="CC37" s="334"/>
      <c r="CD37" s="334"/>
      <c r="CE37" s="334"/>
      <c r="CF37" s="334"/>
      <c r="CG37" s="334"/>
      <c r="CH37" s="334"/>
      <c r="CI37" s="334"/>
      <c r="CJ37" s="334"/>
      <c r="CK37" s="334"/>
      <c r="CL37" s="334"/>
      <c r="CM37" s="334"/>
      <c r="CN37" s="334"/>
      <c r="CO37" s="334"/>
      <c r="CP37" s="334"/>
      <c r="CQ37" s="334"/>
      <c r="CR37" s="334"/>
      <c r="CS37" s="334"/>
      <c r="CT37" s="334"/>
      <c r="CU37" s="969"/>
      <c r="CV37" s="969"/>
      <c r="CW37" s="975" t="str">
        <f>IF(AND(ISNUMBER(VALUE(TRIM(SUBSTITUTE(AB38,".","")))),TRIM(SUBSTITUTE(AB38,".",""))&lt;&gt;""),"P"&amp;SUBSTITUTE(AB38,".",""),"")</f>
        <v/>
      </c>
      <c r="CX37" s="969"/>
      <c r="CY37" s="969"/>
      <c r="CZ37" s="969"/>
      <c r="DA37" s="969"/>
      <c r="DB37" s="969"/>
      <c r="DC37" s="969"/>
      <c r="DD37" s="969"/>
      <c r="DE37" s="969"/>
      <c r="DF37" s="969"/>
      <c r="DG37" s="969"/>
    </row>
    <row s="969" customFormat="1" customHeight="1" ht="16.5">
      <c r="A38" s="969"/>
      <c r="B38" s="969"/>
      <c r="C38" s="969"/>
      <c r="D38" s="969"/>
      <c r="E38" s="180">
        <v>17</v>
      </c>
      <c r="F38" s="175" cm="1" t="str">
        <f t="array" ref="F38:F38">OFFSET(G38,-1,-1)</f>
        <v>1</v>
      </c>
      <c r="G38" s="969"/>
      <c r="H38" s="969"/>
      <c r="I38" s="969"/>
      <c r="J38" s="969"/>
      <c r="K38" s="193" t="str">
        <f>F38&amp;"komm"</f>
        <v>1komm</v>
      </c>
      <c r="L38" s="308" cm="1" t="str">
        <f t="array" ref="L38:L38">CS38</f>
        <v>0</v>
      </c>
      <c r="M38" s="969"/>
      <c r="N38" s="969"/>
      <c r="O38" s="969"/>
      <c r="P38" s="969"/>
      <c r="Q38" s="969"/>
      <c r="R38" s="969"/>
      <c r="S38" s="969"/>
      <c r="T38" s="753" cm="1" t="str">
        <f t="array" ref="T38:T38">T37</f>
        <v>true</v>
      </c>
      <c r="U38" s="969"/>
      <c r="V38" s="969"/>
      <c r="W38" s="969"/>
      <c r="X38" s="969"/>
      <c r="Y38" s="969"/>
      <c r="Z38" s="969"/>
      <c r="AA38" s="969"/>
      <c r="AB38" s="1680" t="s">
        <v>1685</v>
      </c>
      <c r="AC38" s="1681"/>
      <c r="AD38" s="663" t="s">
        <v>917</v>
      </c>
      <c r="AE38" s="692" cm="1" t="str">
        <f t="array" ref="AE38:AE38">AE45</f>
        <v>3700</v>
      </c>
      <c r="AF38" s="692" cm="1" t="str">
        <f t="array" ref="AF38:AF38">AF45</f>
        <v>6263.5</v>
      </c>
      <c r="AG38" s="692" cm="1" t="str">
        <f t="array" ref="AG38:AG38">AG45</f>
        <v>4202.43814247972</v>
      </c>
      <c r="AH38" s="692" cm="1" t="str">
        <f t="array" ref="AH38:AH38">AH45</f>
        <v>-2061.06185752028</v>
      </c>
      <c r="AI38" s="692" cm="1" t="str">
        <f t="array" ref="AI38:AI38">AI45</f>
        <v>4166</v>
      </c>
      <c r="AJ38" s="692" cm="1" t="str">
        <f t="array" ref="AJ38:AJ38">AJ45</f>
        <v>7339.01722300141</v>
      </c>
      <c r="AK38" s="692" cm="1" t="str">
        <f t="array" ref="AK38:AK38">AK45</f>
        <v>0</v>
      </c>
      <c r="AL38" s="692" cm="1" t="str">
        <f t="array" ref="AL38:AL38">AL45</f>
        <v>0</v>
      </c>
      <c r="AM38" s="692" cm="1" t="str">
        <f t="array" ref="AM38:AM38">AM45</f>
        <v>0</v>
      </c>
      <c r="AN38" s="692" cm="1" t="str">
        <f t="array" ref="AN38:AN38">AN45</f>
        <v>0</v>
      </c>
      <c r="AO38" s="692" cm="1" t="str">
        <f t="array" ref="AO38:AO38">AO45</f>
        <v>0</v>
      </c>
      <c r="AP38" s="692" cm="1" t="str">
        <f t="array" ref="AP38:AP38">AP45</f>
        <v>0</v>
      </c>
      <c r="AQ38" s="692" cm="1" t="str">
        <f t="array" ref="AQ38:AQ38">AQ45</f>
        <v>0</v>
      </c>
      <c r="AR38" s="692" cm="1" t="str">
        <f t="array" ref="AR38:AR38">AR45</f>
        <v>0</v>
      </c>
      <c r="AS38" s="692" cm="1" t="str">
        <f t="array" ref="AS38:AS38">AS45</f>
        <v>0</v>
      </c>
      <c r="AT38" s="692" cm="1" t="str">
        <f t="array" ref="AT38:AT38">AT45</f>
        <v>0</v>
      </c>
      <c r="AU38" s="692" cm="1" t="str">
        <f t="array" ref="AU38:AU38">AU45</f>
        <v>0</v>
      </c>
      <c r="AV38" s="692" cm="1" t="str">
        <f t="array" ref="AV38:AV38">AV45</f>
        <v>0</v>
      </c>
      <c r="AW38" s="692" cm="1" t="str">
        <f t="array" ref="AW38:AW38">AW45</f>
        <v>0</v>
      </c>
      <c r="AX38" s="692" cm="1" t="str">
        <f t="array" ref="AX38:AX38">AX45</f>
        <v>0</v>
      </c>
      <c r="AY38" s="692" cm="1" t="str">
        <f t="array" ref="AY38:AY38">AY45</f>
        <v>0</v>
      </c>
      <c r="AZ38" s="692" cm="1" t="str">
        <f t="array" ref="AZ38:AZ38">AZ45</f>
        <v>0</v>
      </c>
      <c r="BA38" s="692" cm="1" t="str">
        <f t="array" ref="BA38:BA38">BA45</f>
        <v>0</v>
      </c>
      <c r="BB38" s="692" cm="1" t="str">
        <f t="array" ref="BB38:BB38">BB45</f>
        <v>0</v>
      </c>
      <c r="BC38" s="692" cm="1" t="str">
        <f t="array" ref="BC38:BC38">BC45</f>
        <v>0</v>
      </c>
      <c r="BD38" s="692" cm="1" t="str">
        <f t="array" ref="BD38:BD38">BD45</f>
        <v>4902.81602083218</v>
      </c>
      <c r="BE38" s="692" cm="1" t="str">
        <f t="array" ref="BE38:BE38">BE45</f>
        <v>0</v>
      </c>
      <c r="BF38" s="692" cm="1" t="str">
        <f t="array" ref="BF38:BF38">BF45</f>
        <v>0</v>
      </c>
      <c r="BG38" s="692" cm="1" t="str">
        <f t="array" ref="BG38:BG38">BG45</f>
        <v>0</v>
      </c>
      <c r="BH38" s="692" cm="1" t="str">
        <f t="array" ref="BH38:BH38">BH45</f>
        <v>0</v>
      </c>
      <c r="BI38" s="692" cm="1" t="str">
        <f t="array" ref="BI38:BI38">BI45</f>
        <v>0</v>
      </c>
      <c r="BJ38" s="692" cm="1" t="str">
        <f t="array" ref="BJ38:BJ38">BJ45</f>
        <v>0</v>
      </c>
      <c r="BK38" s="692" cm="1" t="str">
        <f t="array" ref="BK38:BK38">BK45</f>
        <v>0</v>
      </c>
      <c r="BL38" s="692" cm="1" t="str">
        <f t="array" ref="BL38:BL38">BL45</f>
        <v>0</v>
      </c>
      <c r="BM38" s="692" cm="1" t="str">
        <f t="array" ref="BM38:BM38">BM45</f>
        <v>0</v>
      </c>
      <c r="BN38" s="692" cm="1" t="str">
        <f t="array" ref="BN38:BN38">BN45</f>
        <v>0</v>
      </c>
      <c r="BO38" s="692" cm="1" t="str">
        <f t="array" ref="BO38:BO38">BO45</f>
        <v>0</v>
      </c>
      <c r="BP38" s="692" cm="1" t="str">
        <f t="array" ref="BP38:BP38">BP45</f>
        <v>0</v>
      </c>
      <c r="BQ38" s="692" cm="1" t="str">
        <f t="array" ref="BQ38:BQ38">BQ45</f>
        <v>0</v>
      </c>
      <c r="BR38" s="692" cm="1" t="str">
        <f t="array" ref="BR38:BR38">BR45</f>
        <v>0</v>
      </c>
      <c r="BS38" s="692" cm="1" t="str">
        <f t="array" ref="BS38:BS38">BS45</f>
        <v>0</v>
      </c>
      <c r="BT38" s="692" cm="1" t="str">
        <f t="array" ref="BT38:BT38">BT45</f>
        <v>0</v>
      </c>
      <c r="BU38" s="692" cm="1" t="str">
        <f t="array" ref="BU38:BU38">BU45</f>
        <v>0</v>
      </c>
      <c r="BV38" s="692" cm="1" t="str">
        <f t="array" ref="BV38:BV38">BV45</f>
        <v>0</v>
      </c>
      <c r="BW38" s="692" cm="1" t="str">
        <f t="array" ref="BW38:BW38">BW45</f>
        <v>0</v>
      </c>
      <c r="BX38" s="692" cm="1" t="str">
        <f t="array" ref="BX38:BX38">BX45</f>
        <v>17.6864143262645</v>
      </c>
      <c r="BY38" s="692" cm="1" t="str">
        <f t="array" ref="BY38:BY38">BY45</f>
        <v>-100</v>
      </c>
      <c r="BZ38" s="692" cm="1" t="str">
        <f t="array" ref="BZ38:BZ38">BZ45</f>
        <v>0</v>
      </c>
      <c r="CA38" s="692" cm="1" t="str">
        <f t="array" ref="CA38:CA38">CA45</f>
        <v>0</v>
      </c>
      <c r="CB38" s="692" cm="1" t="str">
        <f t="array" ref="CB38:CB38">CB45</f>
        <v>0</v>
      </c>
      <c r="CC38" s="692" cm="1" t="str">
        <f t="array" ref="CC38:CC38">CC45</f>
        <v>0</v>
      </c>
      <c r="CD38" s="692" cm="1" t="str">
        <f t="array" ref="CD38:CD38">CD45</f>
        <v>0</v>
      </c>
      <c r="CE38" s="692" cm="1" t="str">
        <f t="array" ref="CE38:CE38">CE45</f>
        <v>0</v>
      </c>
      <c r="CF38" s="692" cm="1" t="str">
        <f t="array" ref="CF38:CF38">CF45</f>
        <v>0</v>
      </c>
      <c r="CG38" s="692" cm="1" t="str">
        <f t="array" ref="CG38:CG38">CG45</f>
        <v>0</v>
      </c>
      <c r="CH38" s="692" cm="1" t="str">
        <f t="array" ref="CH38:CH38">CH45</f>
        <v>0</v>
      </c>
      <c r="CI38" s="692" cm="1" t="str">
        <f t="array" ref="CI38:CI38">CI45</f>
        <v>0</v>
      </c>
      <c r="CJ38" s="692" cm="1" t="str">
        <f t="array" ref="CJ38:CJ38">CJ45</f>
        <v>0</v>
      </c>
      <c r="CK38" s="692" cm="1" t="str">
        <f t="array" ref="CK38:CK38">CK45</f>
        <v>0</v>
      </c>
      <c r="CL38" s="692" cm="1" t="str">
        <f t="array" ref="CL38:CL38">CL45</f>
        <v>0</v>
      </c>
      <c r="CM38" s="692" cm="1" t="str">
        <f t="array" ref="CM38:CM38">CM45</f>
        <v>0</v>
      </c>
      <c r="CN38" s="692" cm="1" t="str">
        <f t="array" ref="CN38:CN38">CN45</f>
        <v>0</v>
      </c>
      <c r="CO38" s="692" cm="1" t="str">
        <f t="array" ref="CO38:CO38">CO45</f>
        <v>0</v>
      </c>
      <c r="CP38" s="692" cm="1" t="str">
        <f t="array" ref="CP38:CP38">CP45</f>
        <v>0</v>
      </c>
      <c r="CQ38" s="692" cm="1" t="str">
        <f t="array" ref="CQ38:CQ38">CQ45</f>
        <v>0</v>
      </c>
      <c r="CR38" s="1897"/>
      <c r="CS38" s="1897"/>
      <c r="CT38" s="1897"/>
      <c r="CU38" s="969"/>
      <c r="CV38" s="969"/>
      <c r="CW38" s="975" t="s">
        <v>1686</v>
      </c>
      <c r="CX38" s="969"/>
      <c r="CY38" s="969"/>
      <c r="CZ38" s="0" cm="1" t="str">
        <f t="array" ref="CZ38:CZ38">INDEX('Общие сведения'!$N$170:$N$202,MATCH($F38,'Общие сведения'!$Y$170:$Y$202,0)+1)</f>
        <v>ТЭ.42.31656254.0001</v>
      </c>
      <c r="DA38" s="0" t="s">
        <v>1687</v>
      </c>
      <c r="DB38" s="969"/>
      <c r="DC38" s="969"/>
      <c r="DD38" s="969"/>
      <c r="DE38" s="0" t="s">
        <v>303</v>
      </c>
      <c r="DF38" s="0" t="s">
        <v>1682</v>
      </c>
      <c r="DG38" s="0" t="s">
        <v>1683</v>
      </c>
    </row>
    <row s="1751" customFormat="1" customHeight="1" ht="16.5">
      <c r="A39" s="371"/>
      <c r="B39" s="1548"/>
      <c r="C39" s="1548"/>
      <c r="D39" s="1548"/>
      <c r="E39" s="180">
        <v>17</v>
      </c>
      <c r="F39" s="175" cm="1" t="str">
        <f t="array" ref="F39:F39">OFFSET(G39,-1,-1)</f>
        <v>1</v>
      </c>
      <c r="G39" s="193" t="s">
        <v>1688</v>
      </c>
      <c r="H39" s="1659"/>
      <c r="I39" s="1659"/>
      <c r="J39" s="1659"/>
      <c r="K39" s="1659"/>
      <c r="L39" s="1659"/>
      <c r="M39" s="1659"/>
      <c r="N39" s="1659"/>
      <c r="O39" s="1659"/>
      <c r="P39" s="1659"/>
      <c r="Q39" s="1659"/>
      <c r="R39" s="1659"/>
      <c r="S39" s="1659"/>
      <c r="T39" s="753" cm="1" t="str">
        <f t="array" ref="T39:T39">T38</f>
        <v>true</v>
      </c>
      <c r="U39" s="1548"/>
      <c r="V39" s="1548"/>
      <c r="W39" s="1548"/>
      <c r="X39" s="1548"/>
      <c r="Y39" s="1548"/>
      <c r="Z39" s="1548"/>
      <c r="AA39" s="286"/>
      <c r="AB39" s="339">
        <v>1</v>
      </c>
      <c r="AC39" s="754" t="s">
        <v>1689</v>
      </c>
      <c r="AD39" s="467" t="s">
        <v>1178</v>
      </c>
      <c r="AE39" s="695">
        <f>_xlfn.SUMIFS('Топливо 4.4'!AH$27:AH$275,'Топливо 4.4'!$F$27:$F$275,$F39,'Топливо 4.4'!$G$27:$G$275,$G39)</f>
        <v>2526</v>
      </c>
      <c r="AF39" s="695">
        <f>_xlfn.SUMIFS('Топливо 4.4'!AI$27:AI$275,'Топливо 4.4'!$F$27:$F$275,$F39,'Топливо 4.4'!$G$27:$G$275,$G39)</f>
        <v>3971.15</v>
      </c>
      <c r="AG39" s="695">
        <f>_xlfn.SUMIFS('Топливо 4.4'!AJ$27:AJ$275,'Топливо 4.4'!$F$27:$F$275,$F39,'Топливо 4.4'!$G$27:$G$275,$G39)</f>
        <v>2853.98814247972</v>
      </c>
      <c r="AH39" s="695">
        <f>AG39-AF39</f>
        <v>-1117.16185752028</v>
      </c>
      <c r="AI39" s="695">
        <f>_xlfn.SUMIFS('Топливо 4.4'!AK$27:AK$275,'Топливо 4.4'!$F$27:$F$275,$F39,'Топливо 4.4'!$G$27:$G$275,$G39)</f>
        <v>2957</v>
      </c>
      <c r="AJ39" s="695">
        <f>_xlfn.SUMIFS('Топливо 4.4'!AL$27:AL$275,'Топливо 4.4'!$F$27:$F$275,$F39,'Топливо 4.4'!$G$27:$G$275,$G39)</f>
        <v>4559.01722300141</v>
      </c>
      <c r="AK39" s="695">
        <f>_xlfn.SUMIFS('Топливо 4.4'!AO$27:AO$275,'Топливо 4.4'!$F$27:$F$275,$F39,'Топливо 4.4'!$G$27:$G$275,$G39)</f>
        <v>0</v>
      </c>
      <c r="AL39" s="695">
        <f>_xlfn.SUMIFS('Топливо 4.4'!AR$27:AR$275,'Топливо 4.4'!$F$27:$F$275,$F39,'Топливо 4.4'!$G$27:$G$275,$G39)</f>
        <v>0</v>
      </c>
      <c r="AM39" s="695">
        <f>_xlfn.SUMIFS('Топливо 4.4'!AU$27:AU$275,'Топливо 4.4'!$F$27:$F$275,$F39,'Топливо 4.4'!$G$27:$G$275,$G39)</f>
        <v>0</v>
      </c>
      <c r="AN39" s="695">
        <f>_xlfn.SUMIFS('Топливо 4.4'!AX$27:AX$275,'Топливо 4.4'!$F$27:$F$275,$F39,'Топливо 4.4'!$G$27:$G$275,$G39)</f>
        <v>0</v>
      </c>
      <c r="AO39" s="695">
        <f>_xlfn.SUMIFS('Топливо 4.4'!BA$27:BA$275,'Топливо 4.4'!$F$27:$F$275,$F39,'Топливо 4.4'!$G$27:$G$275,$G39)</f>
        <v>0</v>
      </c>
      <c r="AP39" s="695">
        <f>_xlfn.SUMIFS('Топливо 4.4'!BD$27:BD$275,'Топливо 4.4'!$F$27:$F$275,$F39,'Топливо 4.4'!$G$27:$G$275,$G39)</f>
        <v>0</v>
      </c>
      <c r="AQ39" s="695">
        <f>_xlfn.SUMIFS('Топливо 4.4'!BG$27:BG$275,'Топливо 4.4'!$F$27:$F$275,$F39,'Топливо 4.4'!$G$27:$G$275,$G39)</f>
        <v>0</v>
      </c>
      <c r="AR39" s="695">
        <f>_xlfn.SUMIFS('Топливо 4.4'!BJ$27:BJ$275,'Топливо 4.4'!$F$27:$F$275,$F39,'Топливо 4.4'!$G$27:$G$275,$G39)</f>
        <v>0</v>
      </c>
      <c r="AS39" s="695">
        <f>_xlfn.SUMIFS('Топливо 4.4'!BM$27:BM$275,'Топливо 4.4'!$F$27:$F$275,$F39,'Топливо 4.4'!$G$27:$G$275,$G39)</f>
        <v>0</v>
      </c>
      <c r="AT39" s="695">
        <f>_xlfn.SUMIFS('Топливо 4.4'!BP$27:BP$275,'Топливо 4.4'!$F$27:$F$275,$F39,'Топливо 4.4'!$G$27:$G$275,$G39)</f>
        <v>0</v>
      </c>
      <c r="AU39" s="695">
        <f>_xlfn.SUMIFS('Топливо 4.4'!BS$27:BS$275,'Топливо 4.4'!$F$27:$F$275,$F39,'Топливо 4.4'!$G$27:$G$275,$G39)</f>
        <v>0</v>
      </c>
      <c r="AV39" s="695">
        <f>_xlfn.SUMIFS('Топливо 4.4'!BV$27:BV$275,'Топливо 4.4'!$F$27:$F$275,$F39,'Топливо 4.4'!$G$27:$G$275,$G39)</f>
        <v>0</v>
      </c>
      <c r="AW39" s="695">
        <f>_xlfn.SUMIFS('Топливо 4.4'!BY$27:BY$275,'Топливо 4.4'!$F$27:$F$275,$F39,'Топливо 4.4'!$G$27:$G$275,$G39)</f>
        <v>0</v>
      </c>
      <c r="AX39" s="695">
        <f>_xlfn.SUMIFS('Топливо 4.4'!CB$27:CB$275,'Топливо 4.4'!$F$27:$F$275,$F39,'Топливо 4.4'!$G$27:$G$275,$G39)</f>
        <v>0</v>
      </c>
      <c r="AY39" s="695">
        <f>_xlfn.SUMIFS('Топливо 4.4'!CE$27:CE$275,'Топливо 4.4'!$F$27:$F$275,$F39,'Топливо 4.4'!$G$27:$G$275,$G39)</f>
        <v>0</v>
      </c>
      <c r="AZ39" s="695">
        <f>_xlfn.SUMIFS('Топливо 4.4'!CH$27:CH$275,'Топливо 4.4'!$F$27:$F$275,$F39,'Топливо 4.4'!$G$27:$G$275,$G39)</f>
        <v>0</v>
      </c>
      <c r="BA39" s="695">
        <f>_xlfn.SUMIFS('Топливо 4.4'!CK$27:CK$275,'Топливо 4.4'!$F$27:$F$275,$F39,'Топливо 4.4'!$G$27:$G$275,$G39)</f>
        <v>0</v>
      </c>
      <c r="BB39" s="695">
        <f>_xlfn.SUMIFS('Топливо 4.4'!CN$27:CN$275,'Топливо 4.4'!$F$27:$F$275,$F39,'Топливо 4.4'!$G$27:$G$275,$G39)</f>
        <v>0</v>
      </c>
      <c r="BC39" s="695">
        <f>_xlfn.SUMIFS('Топливо 4.4'!CQ$27:CQ$275,'Топливо 4.4'!$F$27:$F$275,$F39,'Топливо 4.4'!$G$27:$G$275,$G39)</f>
        <v>0</v>
      </c>
      <c r="BD39" s="695">
        <f>_xlfn.SUMIFS('Топливо 4.4'!CT$27:CT$275,'Топливо 4.4'!$F$27:$F$275,$F39,'Топливо 4.4'!$G$27:$G$275,$G39)</f>
        <v>3292.57555763218</v>
      </c>
      <c r="BE39" s="695">
        <f>_xlfn.SUMIFS('Топливо 4.4'!CW$27:CW$275,'Топливо 4.4'!$F$27:$F$275,$F39,'Топливо 4.4'!$G$27:$G$275,$G39)</f>
        <v>0</v>
      </c>
      <c r="BF39" s="695">
        <f>_xlfn.SUMIFS('Топливо 4.4'!CZ$27:CZ$275,'Топливо 4.4'!$F$27:$F$275,$F39,'Топливо 4.4'!$G$27:$G$275,$G39)</f>
        <v>0</v>
      </c>
      <c r="BG39" s="695">
        <f>_xlfn.SUMIFS('Топливо 4.4'!DC$27:DC$275,'Топливо 4.4'!$F$27:$F$275,$F39,'Топливо 4.4'!$G$27:$G$275,$G39)</f>
        <v>0</v>
      </c>
      <c r="BH39" s="695">
        <f>_xlfn.SUMIFS('Топливо 4.4'!DF$27:DF$275,'Топливо 4.4'!$F$27:$F$275,$F39,'Топливо 4.4'!$G$27:$G$275,$G39)</f>
        <v>0</v>
      </c>
      <c r="BI39" s="695">
        <f>_xlfn.SUMIFS('Топливо 4.4'!DI$27:DI$275,'Топливо 4.4'!$F$27:$F$275,$F39,'Топливо 4.4'!$G$27:$G$275,$G39)</f>
        <v>0</v>
      </c>
      <c r="BJ39" s="695">
        <f>_xlfn.SUMIFS('Топливо 4.4'!DL$27:DL$275,'Топливо 4.4'!$F$27:$F$275,$F39,'Топливо 4.4'!$G$27:$G$275,$G39)</f>
        <v>0</v>
      </c>
      <c r="BK39" s="695">
        <f>_xlfn.SUMIFS('Топливо 4.4'!DO$27:DO$275,'Топливо 4.4'!$F$27:$F$275,$F39,'Топливо 4.4'!$G$27:$G$275,$G39)</f>
        <v>0</v>
      </c>
      <c r="BL39" s="695">
        <f>_xlfn.SUMIFS('Топливо 4.4'!DR$27:DR$275,'Топливо 4.4'!$F$27:$F$275,$F39,'Топливо 4.4'!$G$27:$G$275,$G39)</f>
        <v>0</v>
      </c>
      <c r="BM39" s="695">
        <f>_xlfn.SUMIFS('Топливо 4.4'!DU$27:DU$275,'Топливо 4.4'!$F$27:$F$275,$F39,'Топливо 4.4'!$G$27:$G$275,$G39)</f>
        <v>0</v>
      </c>
      <c r="BN39" s="695">
        <f>_xlfn.SUMIFS('Топливо 4.4'!DX$27:DX$275,'Топливо 4.4'!$F$27:$F$275,$F39,'Топливо 4.4'!$G$27:$G$275,$G39)</f>
        <v>0</v>
      </c>
      <c r="BO39" s="695">
        <f>_xlfn.SUMIFS('Топливо 4.4'!EA$27:EA$275,'Топливо 4.4'!$F$27:$F$275,$F39,'Топливо 4.4'!$G$27:$G$275,$G39)</f>
        <v>0</v>
      </c>
      <c r="BP39" s="695">
        <f>_xlfn.SUMIFS('Топливо 4.4'!ED$27:ED$275,'Топливо 4.4'!$F$27:$F$275,$F39,'Топливо 4.4'!$G$27:$G$275,$G39)</f>
        <v>0</v>
      </c>
      <c r="BQ39" s="695">
        <f>_xlfn.SUMIFS('Топливо 4.4'!EG$27:EG$275,'Топливо 4.4'!$F$27:$F$275,$F39,'Топливо 4.4'!$G$27:$G$275,$G39)</f>
        <v>0</v>
      </c>
      <c r="BR39" s="695">
        <f>_xlfn.SUMIFS('Топливо 4.4'!EJ$27:EJ$275,'Топливо 4.4'!$F$27:$F$275,$F39,'Топливо 4.4'!$G$27:$G$275,$G39)</f>
        <v>0</v>
      </c>
      <c r="BS39" s="695">
        <f>_xlfn.SUMIFS('Топливо 4.4'!EM$27:EM$275,'Топливо 4.4'!$F$27:$F$275,$F39,'Топливо 4.4'!$G$27:$G$275,$G39)</f>
        <v>0</v>
      </c>
      <c r="BT39" s="695">
        <f>_xlfn.SUMIFS('Топливо 4.4'!EP$27:EP$275,'Топливо 4.4'!$F$27:$F$275,$F39,'Топливо 4.4'!$G$27:$G$275,$G39)</f>
        <v>0</v>
      </c>
      <c r="BU39" s="695">
        <f>_xlfn.SUMIFS('Топливо 4.4'!ES$27:ES$275,'Топливо 4.4'!$F$27:$F$275,$F39,'Топливо 4.4'!$G$27:$G$275,$G39)</f>
        <v>0</v>
      </c>
      <c r="BV39" s="695">
        <f>_xlfn.SUMIFS('Топливо 4.4'!EV$27:EV$275,'Топливо 4.4'!$F$27:$F$275,$F39,'Топливо 4.4'!$G$27:$G$275,$G39)</f>
        <v>0</v>
      </c>
      <c r="BW39" s="695">
        <f>_xlfn.SUMIFS('Топливо 4.4'!EY$27:EY$275,'Топливо 4.4'!$F$27:$F$275,$F39,'Топливо 4.4'!$G$27:$G$275,$G39)</f>
        <v>0</v>
      </c>
      <c r="BX39" s="695">
        <f>IF(AI39=0,0,(BD39-AI39)/AI39*100)</f>
        <v>11.3485139544193</v>
      </c>
      <c r="BY39" s="695">
        <f>IF(BD39=0,0,(BE39-BD39)/BD39*100)</f>
        <v>-100</v>
      </c>
      <c r="BZ39" s="695">
        <f>IF(BE39=0,0,(BF39-BE39)/BE39*100)</f>
        <v>0</v>
      </c>
      <c r="CA39" s="695">
        <f>IF(BF39=0,0,(BG39-BF39)/BF39*100)</f>
        <v>0</v>
      </c>
      <c r="CB39" s="695">
        <f>IF(BG39=0,0,(BH39-BG39)/BG39*100)</f>
        <v>0</v>
      </c>
      <c r="CC39" s="695">
        <f>IF(BH39=0,0,(BI39-BH39)/BH39*100)</f>
        <v>0</v>
      </c>
      <c r="CD39" s="695">
        <f>IF(BI39=0,0,(BJ39-BI39)/BI39*100)</f>
        <v>0</v>
      </c>
      <c r="CE39" s="695">
        <f>IF(BJ39=0,0,(BK39-BJ39)/BJ39*100)</f>
        <v>0</v>
      </c>
      <c r="CF39" s="695">
        <f>IF(BK39=0,0,(BL39-BK39)/BK39*100)</f>
        <v>0</v>
      </c>
      <c r="CG39" s="695">
        <f>IF(BL39=0,0,(BM39-BL39)/BL39*100)</f>
        <v>0</v>
      </c>
      <c r="CH39" s="695">
        <f>IF(BM39=0,0,(BN39-BM39)/BM39*100)</f>
        <v>0</v>
      </c>
      <c r="CI39" s="695">
        <f>IF(BN39=0,0,(BO39-BN39)/BN39*100)</f>
        <v>0</v>
      </c>
      <c r="CJ39" s="695">
        <f>IF(BO39=0,0,(BP39-BO39)/BO39*100)</f>
        <v>0</v>
      </c>
      <c r="CK39" s="695">
        <f>IF(BP39=0,0,(BQ39-BP39)/BP39*100)</f>
        <v>0</v>
      </c>
      <c r="CL39" s="695">
        <f>IF(BQ39=0,0,(BR39-BQ39)/BQ39*100)</f>
        <v>0</v>
      </c>
      <c r="CM39" s="695">
        <f>IF(BR39=0,0,(BS39-BR39)/BR39*100)</f>
        <v>0</v>
      </c>
      <c r="CN39" s="695">
        <f>IF(BS39=0,0,(BT39-BS39)/BS39*100)</f>
        <v>0</v>
      </c>
      <c r="CO39" s="695">
        <f>IF(BT39=0,0,(BU39-BT39)/BT39*100)</f>
        <v>0</v>
      </c>
      <c r="CP39" s="695">
        <f>IF(BU39=0,0,(BV39-BU39)/BU39*100)</f>
        <v>0</v>
      </c>
      <c r="CQ39" s="695">
        <f>IF(BV39=0,0,(BW39-BV39)/BV39*100)</f>
        <v>0</v>
      </c>
      <c r="CR39" s="1897"/>
      <c r="CS39" s="1897"/>
      <c r="CT39" s="1897"/>
      <c r="CU39" s="286"/>
      <c r="CV39" s="1659"/>
      <c r="CW39" s="975" t="s">
        <v>1678</v>
      </c>
      <c r="CX39" s="1506"/>
      <c r="CY39" s="1506"/>
      <c r="CZ39" s="0" cm="1" t="str">
        <f t="array" ref="CZ39:CZ39">CZ38</f>
        <v>ТЭ.42.31656254.0001</v>
      </c>
      <c r="DA39" s="0" t="s">
        <v>1690</v>
      </c>
      <c r="DB39" s="1751"/>
      <c r="DC39" s="1751"/>
      <c r="DD39" s="1751"/>
      <c r="DE39" s="0" t="s">
        <v>303</v>
      </c>
      <c r="DF39" s="0" t="s">
        <v>1044</v>
      </c>
      <c r="DG39" s="0" t="s">
        <v>1045</v>
      </c>
    </row>
    <row s="1751" customFormat="1" customHeight="1" ht="16.5">
      <c r="A40" s="371"/>
      <c r="B40" s="1548"/>
      <c r="C40" s="1548"/>
      <c r="D40" s="1548"/>
      <c r="E40" s="180">
        <v>17</v>
      </c>
      <c r="F40" s="175" cm="1" t="str">
        <f t="array" ref="F40:F40">OFFSET(G40,-1,-1)</f>
        <v>1</v>
      </c>
      <c r="G40" s="193" t="s">
        <v>1039</v>
      </c>
      <c r="H40" s="1659"/>
      <c r="I40" s="1659"/>
      <c r="J40" s="1659"/>
      <c r="K40" s="1659"/>
      <c r="L40" s="1659"/>
      <c r="M40" s="1659"/>
      <c r="N40" s="1659"/>
      <c r="O40" s="1659"/>
      <c r="P40" s="1659"/>
      <c r="Q40" s="1659"/>
      <c r="R40" s="1659"/>
      <c r="S40" s="1659"/>
      <c r="T40" s="753" cm="1" t="str">
        <f t="array" ref="T40:T40">T39</f>
        <v>true</v>
      </c>
      <c r="U40" s="1548"/>
      <c r="V40" s="1548"/>
      <c r="W40" s="1548"/>
      <c r="X40" s="1548"/>
      <c r="Y40" s="1548"/>
      <c r="Z40" s="1548"/>
      <c r="AA40" s="286"/>
      <c r="AB40" s="755">
        <v>2</v>
      </c>
      <c r="AC40" s="756" t="s">
        <v>1041</v>
      </c>
      <c r="AD40" s="344" t="s">
        <v>1178</v>
      </c>
      <c r="AE40" s="695">
        <f>_xlfn.SUMIFS(ЭнергоРесурсы!AF$26:AF$112,ЭнергоРесурсы!$F$26:$F$112,$F40,ЭнергоРесурсы!$G$26:$G$112,$G40)</f>
        <v>1174</v>
      </c>
      <c r="AF40" s="695">
        <f>_xlfn.SUMIFS(ЭнергоРесурсы!AG$26:AG$112,ЭнергоРесурсы!$F$26:$F$112,$F40,ЭнергоРесурсы!$G$26:$G$112,$G40)</f>
        <v>2292.35</v>
      </c>
      <c r="AG40" s="695">
        <f>_xlfn.SUMIFS(ЭнергоРесурсы!AH$26:AH$112,ЭнергоРесурсы!$F$26:$F$112,$F40,ЭнергоРесурсы!$G$26:$G$112,$G40)</f>
        <v>1348.45</v>
      </c>
      <c r="AH40" s="695">
        <f>AG40-AF40</f>
        <v>-943.9</v>
      </c>
      <c r="AI40" s="695">
        <f>_xlfn.SUMIFS(ЭнергоРесурсы!AI$26:AI$112,ЭнергоРесурсы!$F$26:$F$112,$F40,ЭнергоРесурсы!$G$26:$G$112,$G40)</f>
        <v>1209</v>
      </c>
      <c r="AJ40" s="695">
        <f>_xlfn.SUMIFS(ЭнергоРесурсы!AJ$26:AJ$112,ЭнергоРесурсы!$F$26:$F$112,$F40,ЭнергоРесурсы!$G$26:$G$112,$G40)</f>
        <v>2780</v>
      </c>
      <c r="AK40" s="695">
        <f>_xlfn.SUMIFS(ЭнергоРесурсы!AK$26:AK$112,ЭнергоРесурсы!$F$26:$F$112,$F40,ЭнергоРесурсы!$G$26:$G$112,$G40)</f>
        <v>0</v>
      </c>
      <c r="AL40" s="695">
        <f>_xlfn.SUMIFS(ЭнергоРесурсы!AL$26:AL$112,ЭнергоРесурсы!$F$26:$F$112,$F40,ЭнергоРесурсы!$G$26:$G$112,$G40)</f>
        <v>0</v>
      </c>
      <c r="AM40" s="695">
        <f>_xlfn.SUMIFS(ЭнергоРесурсы!AM$26:AM$112,ЭнергоРесурсы!$F$26:$F$112,$F40,ЭнергоРесурсы!$G$26:$G$112,$G40)</f>
        <v>0</v>
      </c>
      <c r="AN40" s="695">
        <f>_xlfn.SUMIFS(ЭнергоРесурсы!AN$26:AN$112,ЭнергоРесурсы!$F$26:$F$112,$F40,ЭнергоРесурсы!$G$26:$G$112,$G40)</f>
        <v>0</v>
      </c>
      <c r="AO40" s="695">
        <f>_xlfn.SUMIFS(ЭнергоРесурсы!AO$26:AO$112,ЭнергоРесурсы!$F$26:$F$112,$F40,ЭнергоРесурсы!$G$26:$G$112,$G40)</f>
        <v>0</v>
      </c>
      <c r="AP40" s="695">
        <f>_xlfn.SUMIFS(ЭнергоРесурсы!AP$26:AP$112,ЭнергоРесурсы!$F$26:$F$112,$F40,ЭнергоРесурсы!$G$26:$G$112,$G40)</f>
        <v>0</v>
      </c>
      <c r="AQ40" s="695">
        <f>_xlfn.SUMIFS(ЭнергоРесурсы!AQ$26:AQ$112,ЭнергоРесурсы!$F$26:$F$112,$F40,ЭнергоРесурсы!$G$26:$G$112,$G40)</f>
        <v>0</v>
      </c>
      <c r="AR40" s="695">
        <f>_xlfn.SUMIFS(ЭнергоРесурсы!AR$26:AR$112,ЭнергоРесурсы!$F$26:$F$112,$F40,ЭнергоРесурсы!$G$26:$G$112,$G40)</f>
        <v>0</v>
      </c>
      <c r="AS40" s="695">
        <f>_xlfn.SUMIFS(ЭнергоРесурсы!AS$26:AS$112,ЭнергоРесурсы!$F$26:$F$112,$F40,ЭнергоРесурсы!$G$26:$G$112,$G40)</f>
        <v>0</v>
      </c>
      <c r="AT40" s="695">
        <f>_xlfn.SUMIFS(ЭнергоРесурсы!AT$26:AT$112,ЭнергоРесурсы!$F$26:$F$112,$F40,ЭнергоРесурсы!$G$26:$G$112,$G40)</f>
        <v>0</v>
      </c>
      <c r="AU40" s="695">
        <f>_xlfn.SUMIFS(ЭнергоРесурсы!AU$26:AU$112,ЭнергоРесурсы!$F$26:$F$112,$F40,ЭнергоРесурсы!$G$26:$G$112,$G40)</f>
        <v>0</v>
      </c>
      <c r="AV40" s="695">
        <f>_xlfn.SUMIFS(ЭнергоРесурсы!AV$26:AV$112,ЭнергоРесурсы!$F$26:$F$112,$F40,ЭнергоРесурсы!$G$26:$G$112,$G40)</f>
        <v>0</v>
      </c>
      <c r="AW40" s="695">
        <f>_xlfn.SUMIFS(ЭнергоРесурсы!AW$26:AW$112,ЭнергоРесурсы!$F$26:$F$112,$F40,ЭнергоРесурсы!$G$26:$G$112,$G40)</f>
        <v>0</v>
      </c>
      <c r="AX40" s="695">
        <f>_xlfn.SUMIFS(ЭнергоРесурсы!AX$26:AX$112,ЭнергоРесурсы!$F$26:$F$112,$F40,ЭнергоРесурсы!$G$26:$G$112,$G40)</f>
        <v>0</v>
      </c>
      <c r="AY40" s="695">
        <f>_xlfn.SUMIFS(ЭнергоРесурсы!AY$26:AY$112,ЭнергоРесурсы!$F$26:$F$112,$F40,ЭнергоРесурсы!$G$26:$G$112,$G40)</f>
        <v>0</v>
      </c>
      <c r="AZ40" s="695">
        <f>_xlfn.SUMIFS(ЭнергоРесурсы!AZ$26:AZ$112,ЭнергоРесурсы!$F$26:$F$112,$F40,ЭнергоРесурсы!$G$26:$G$112,$G40)</f>
        <v>0</v>
      </c>
      <c r="BA40" s="695">
        <f>_xlfn.SUMIFS(ЭнергоРесурсы!BA$26:BA$112,ЭнергоРесурсы!$F$26:$F$112,$F40,ЭнергоРесурсы!$G$26:$G$112,$G40)</f>
        <v>0</v>
      </c>
      <c r="BB40" s="695">
        <f>_xlfn.SUMIFS(ЭнергоРесурсы!BB$26:BB$112,ЭнергоРесурсы!$F$26:$F$112,$F40,ЭнергоРесурсы!$G$26:$G$112,$G40)</f>
        <v>0</v>
      </c>
      <c r="BC40" s="695">
        <f>_xlfn.SUMIFS(ЭнергоРесурсы!BC$26:BC$112,ЭнергоРесурсы!$F$26:$F$112,$F40,ЭнергоРесурсы!$G$26:$G$112,$G40)</f>
        <v>0</v>
      </c>
      <c r="BD40" s="695">
        <f>_xlfn.SUMIFS(ЭнергоРесурсы!BD$26:BD$112,ЭнергоРесурсы!$F$26:$F$112,$F40,ЭнергоРесурсы!$G$26:$G$112,$G40)</f>
        <v>1610.2404632</v>
      </c>
      <c r="BE40" s="695">
        <f>_xlfn.SUMIFS(ЭнергоРесурсы!BE$26:BE$112,ЭнергоРесурсы!$F$26:$F$112,$F40,ЭнергоРесурсы!$G$26:$G$112,$G40)</f>
        <v>0</v>
      </c>
      <c r="BF40" s="695">
        <f>_xlfn.SUMIFS(ЭнергоРесурсы!BF$26:BF$112,ЭнергоРесурсы!$F$26:$F$112,$F40,ЭнергоРесурсы!$G$26:$G$112,$G40)</f>
        <v>0</v>
      </c>
      <c r="BG40" s="695">
        <f>_xlfn.SUMIFS(ЭнергоРесурсы!BG$26:BG$112,ЭнергоРесурсы!$F$26:$F$112,$F40,ЭнергоРесурсы!$G$26:$G$112,$G40)</f>
        <v>0</v>
      </c>
      <c r="BH40" s="695">
        <f>_xlfn.SUMIFS(ЭнергоРесурсы!BH$26:BH$112,ЭнергоРесурсы!$F$26:$F$112,$F40,ЭнергоРесурсы!$G$26:$G$112,$G40)</f>
        <v>0</v>
      </c>
      <c r="BI40" s="695">
        <f>_xlfn.SUMIFS(ЭнергоРесурсы!BI$26:BI$112,ЭнергоРесурсы!$F$26:$F$112,$F40,ЭнергоРесурсы!$G$26:$G$112,$G40)</f>
        <v>0</v>
      </c>
      <c r="BJ40" s="695">
        <f>_xlfn.SUMIFS(ЭнергоРесурсы!BJ$26:BJ$112,ЭнергоРесурсы!$F$26:$F$112,$F40,ЭнергоРесурсы!$G$26:$G$112,$G40)</f>
        <v>0</v>
      </c>
      <c r="BK40" s="695">
        <f>_xlfn.SUMIFS(ЭнергоРесурсы!BK$26:BK$112,ЭнергоРесурсы!$F$26:$F$112,$F40,ЭнергоРесурсы!$G$26:$G$112,$G40)</f>
        <v>0</v>
      </c>
      <c r="BL40" s="695">
        <f>_xlfn.SUMIFS(ЭнергоРесурсы!BL$26:BL$112,ЭнергоРесурсы!$F$26:$F$112,$F40,ЭнергоРесурсы!$G$26:$G$112,$G40)</f>
        <v>0</v>
      </c>
      <c r="BM40" s="695">
        <f>_xlfn.SUMIFS(ЭнергоРесурсы!BM$26:BM$112,ЭнергоРесурсы!$F$26:$F$112,$F40,ЭнергоРесурсы!$G$26:$G$112,$G40)</f>
        <v>0</v>
      </c>
      <c r="BN40" s="695">
        <f>_xlfn.SUMIFS(ЭнергоРесурсы!BN$26:BN$112,ЭнергоРесурсы!$F$26:$F$112,$F40,ЭнергоРесурсы!$G$26:$G$112,$G40)</f>
        <v>0</v>
      </c>
      <c r="BO40" s="695">
        <f>_xlfn.SUMIFS(ЭнергоРесурсы!BO$26:BO$112,ЭнергоРесурсы!$F$26:$F$112,$F40,ЭнергоРесурсы!$G$26:$G$112,$G40)</f>
        <v>0</v>
      </c>
      <c r="BP40" s="695">
        <f>_xlfn.SUMIFS(ЭнергоРесурсы!BP$26:BP$112,ЭнергоРесурсы!$F$26:$F$112,$F40,ЭнергоРесурсы!$G$26:$G$112,$G40)</f>
        <v>0</v>
      </c>
      <c r="BQ40" s="695">
        <f>_xlfn.SUMIFS(ЭнергоРесурсы!BQ$26:BQ$112,ЭнергоРесурсы!$F$26:$F$112,$F40,ЭнергоРесурсы!$G$26:$G$112,$G40)</f>
        <v>0</v>
      </c>
      <c r="BR40" s="695">
        <f>_xlfn.SUMIFS(ЭнергоРесурсы!BR$26:BR$112,ЭнергоРесурсы!$F$26:$F$112,$F40,ЭнергоРесурсы!$G$26:$G$112,$G40)</f>
        <v>0</v>
      </c>
      <c r="BS40" s="695">
        <f>_xlfn.SUMIFS(ЭнергоРесурсы!BS$26:BS$112,ЭнергоРесурсы!$F$26:$F$112,$F40,ЭнергоРесурсы!$G$26:$G$112,$G40)</f>
        <v>0</v>
      </c>
      <c r="BT40" s="695">
        <f>_xlfn.SUMIFS(ЭнергоРесурсы!BT$26:BT$112,ЭнергоРесурсы!$F$26:$F$112,$F40,ЭнергоРесурсы!$G$26:$G$112,$G40)</f>
        <v>0</v>
      </c>
      <c r="BU40" s="695">
        <f>_xlfn.SUMIFS(ЭнергоРесурсы!BU$26:BU$112,ЭнергоРесурсы!$F$26:$F$112,$F40,ЭнергоРесурсы!$G$26:$G$112,$G40)</f>
        <v>0</v>
      </c>
      <c r="BV40" s="695">
        <f>_xlfn.SUMIFS(ЭнергоРесурсы!BV$26:BV$112,ЭнергоРесурсы!$F$26:$F$112,$F40,ЭнергоРесурсы!$G$26:$G$112,$G40)</f>
        <v>0</v>
      </c>
      <c r="BW40" s="695">
        <f>_xlfn.SUMIFS(ЭнергоРесурсы!BW$26:BW$112,ЭнергоРесурсы!$F$26:$F$112,$F40,ЭнергоРесурсы!$G$26:$G$112,$G40)</f>
        <v>0</v>
      </c>
      <c r="BX40" s="695">
        <f>IF(AI40=0,0,(BD40-AI40)/AI40*100)</f>
        <v>33.1877967907361</v>
      </c>
      <c r="BY40" s="695">
        <f>IF(BD40=0,0,(BE40-BD40)/BD40*100)</f>
        <v>-100</v>
      </c>
      <c r="BZ40" s="695">
        <f>IF(BE40=0,0,(BF40-BE40)/BE40*100)</f>
        <v>0</v>
      </c>
      <c r="CA40" s="695">
        <f>IF(BF40=0,0,(BG40-BF40)/BF40*100)</f>
        <v>0</v>
      </c>
      <c r="CB40" s="695">
        <f>IF(BG40=0,0,(BH40-BG40)/BG40*100)</f>
        <v>0</v>
      </c>
      <c r="CC40" s="695">
        <f>IF(BH40=0,0,(BI40-BH40)/BH40*100)</f>
        <v>0</v>
      </c>
      <c r="CD40" s="695">
        <f>IF(BI40=0,0,(BJ40-BI40)/BI40*100)</f>
        <v>0</v>
      </c>
      <c r="CE40" s="695">
        <f>IF(BJ40=0,0,(BK40-BJ40)/BJ40*100)</f>
        <v>0</v>
      </c>
      <c r="CF40" s="695">
        <f>IF(BK40=0,0,(BL40-BK40)/BK40*100)</f>
        <v>0</v>
      </c>
      <c r="CG40" s="695">
        <f>IF(BL40=0,0,(BM40-BL40)/BL40*100)</f>
        <v>0</v>
      </c>
      <c r="CH40" s="695">
        <f>IF(BM40=0,0,(BN40-BM40)/BM40*100)</f>
        <v>0</v>
      </c>
      <c r="CI40" s="695">
        <f>IF(BN40=0,0,(BO40-BN40)/BN40*100)</f>
        <v>0</v>
      </c>
      <c r="CJ40" s="695">
        <f>IF(BO40=0,0,(BP40-BO40)/BO40*100)</f>
        <v>0</v>
      </c>
      <c r="CK40" s="695">
        <f>IF(BP40=0,0,(BQ40-BP40)/BP40*100)</f>
        <v>0</v>
      </c>
      <c r="CL40" s="695">
        <f>IF(BQ40=0,0,(BR40-BQ40)/BQ40*100)</f>
        <v>0</v>
      </c>
      <c r="CM40" s="695">
        <f>IF(BR40=0,0,(BS40-BR40)/BR40*100)</f>
        <v>0</v>
      </c>
      <c r="CN40" s="695">
        <f>IF(BS40=0,0,(BT40-BS40)/BS40*100)</f>
        <v>0</v>
      </c>
      <c r="CO40" s="695">
        <f>IF(BT40=0,0,(BU40-BT40)/BT40*100)</f>
        <v>0</v>
      </c>
      <c r="CP40" s="695">
        <f>IF(BU40=0,0,(BV40-BU40)/BU40*100)</f>
        <v>0</v>
      </c>
      <c r="CQ40" s="695">
        <f>IF(BV40=0,0,(BW40-BV40)/BV40*100)</f>
        <v>0</v>
      </c>
      <c r="CR40" s="1897"/>
      <c r="CS40" s="1897"/>
      <c r="CT40" s="1897"/>
      <c r="CU40" s="286"/>
      <c r="CV40" s="1659"/>
      <c r="CW40" s="975" t="s">
        <v>1691</v>
      </c>
      <c r="CX40" s="1506"/>
      <c r="CY40" s="1506"/>
      <c r="CZ40" s="0" cm="1" t="str">
        <f t="array" ref="CZ40:CZ40">CZ39</f>
        <v>ТЭ.42.31656254.0001</v>
      </c>
      <c r="DA40" s="0" t="s">
        <v>1043</v>
      </c>
      <c r="DB40" s="1751"/>
      <c r="DC40" s="1751"/>
      <c r="DD40" s="1751"/>
      <c r="DE40" s="0" t="s">
        <v>303</v>
      </c>
      <c r="DF40" s="0" t="s">
        <v>1044</v>
      </c>
      <c r="DG40" s="0" t="s">
        <v>1045</v>
      </c>
    </row>
    <row s="1751" customFormat="1" customHeight="1" ht="16.5">
      <c r="A41" s="371"/>
      <c r="B41" s="1548"/>
      <c r="C41" s="1548"/>
      <c r="D41" s="1548"/>
      <c r="E41" s="180">
        <v>17</v>
      </c>
      <c r="F41" s="175" cm="1" t="str">
        <f t="array" ref="F41:F41">OFFSET(G41,-1,-1)</f>
        <v>1</v>
      </c>
      <c r="G41" s="193" t="s">
        <v>1088</v>
      </c>
      <c r="H41" s="1659"/>
      <c r="I41" s="1659"/>
      <c r="J41" s="1659"/>
      <c r="K41" s="1659"/>
      <c r="L41" s="1659"/>
      <c r="M41" s="1659"/>
      <c r="N41" s="1659"/>
      <c r="O41" s="1659"/>
      <c r="P41" s="1659"/>
      <c r="Q41" s="1659"/>
      <c r="R41" s="1659"/>
      <c r="S41" s="1659"/>
      <c r="T41" s="753" cm="1" t="str">
        <f t="array" ref="T41:T41">T40</f>
        <v>true</v>
      </c>
      <c r="U41" s="1548"/>
      <c r="V41" s="1548"/>
      <c r="W41" s="1548"/>
      <c r="X41" s="1548"/>
      <c r="Y41" s="1548"/>
      <c r="Z41" s="1548"/>
      <c r="AA41" s="286"/>
      <c r="AB41" s="360">
        <v>3</v>
      </c>
      <c r="AC41" s="757" t="s">
        <v>1113</v>
      </c>
      <c r="AD41" s="344" t="s">
        <v>1178</v>
      </c>
      <c r="AE41" s="695">
        <f>_xlfn.SUMIFS(ЭнергоРесурсы!AF$26:AF$112,ЭнергоРесурсы!$F$26:$F$112,$F41,ЭнергоРесурсы!$G$26:$G$112,$G41)</f>
        <v>0</v>
      </c>
      <c r="AF41" s="695">
        <f>_xlfn.SUMIFS(ЭнергоРесурсы!AG$26:AG$112,ЭнергоРесурсы!$F$26:$F$112,$F41,ЭнергоРесурсы!$G$26:$G$112,$G41)</f>
        <v>0</v>
      </c>
      <c r="AG41" s="695">
        <f>_xlfn.SUMIFS(ЭнергоРесурсы!AH$26:AH$112,ЭнергоРесурсы!$F$26:$F$112,$F41,ЭнергоРесурсы!$G$26:$G$112,$G41)</f>
        <v>0</v>
      </c>
      <c r="AH41" s="695">
        <f>AG41-AF41</f>
        <v>0</v>
      </c>
      <c r="AI41" s="695">
        <f>_xlfn.SUMIFS(ЭнергоРесурсы!AI$26:AI$112,ЭнергоРесурсы!$F$26:$F$112,$F41,ЭнергоРесурсы!$G$26:$G$112,$G41)</f>
        <v>0</v>
      </c>
      <c r="AJ41" s="695">
        <f>_xlfn.SUMIFS(ЭнергоРесурсы!AJ$26:AJ$112,ЭнергоРесурсы!$F$26:$F$112,$F41,ЭнергоРесурсы!$G$26:$G$112,$G41)</f>
        <v>0</v>
      </c>
      <c r="AK41" s="695">
        <f>_xlfn.SUMIFS(ЭнергоРесурсы!AK$26:AK$112,ЭнергоРесурсы!$F$26:$F$112,$F41,ЭнергоРесурсы!$G$26:$G$112,$G41)</f>
        <v>0</v>
      </c>
      <c r="AL41" s="695">
        <f>_xlfn.SUMIFS(ЭнергоРесурсы!AL$26:AL$112,ЭнергоРесурсы!$F$26:$F$112,$F41,ЭнергоРесурсы!$G$26:$G$112,$G41)</f>
        <v>0</v>
      </c>
      <c r="AM41" s="695">
        <f>_xlfn.SUMIFS(ЭнергоРесурсы!AM$26:AM$112,ЭнергоРесурсы!$F$26:$F$112,$F41,ЭнергоРесурсы!$G$26:$G$112,$G41)</f>
        <v>0</v>
      </c>
      <c r="AN41" s="695">
        <f>_xlfn.SUMIFS(ЭнергоРесурсы!AN$26:AN$112,ЭнергоРесурсы!$F$26:$F$112,$F41,ЭнергоРесурсы!$G$26:$G$112,$G41)</f>
        <v>0</v>
      </c>
      <c r="AO41" s="695">
        <f>_xlfn.SUMIFS(ЭнергоРесурсы!AO$26:AO$112,ЭнергоРесурсы!$F$26:$F$112,$F41,ЭнергоРесурсы!$G$26:$G$112,$G41)</f>
        <v>0</v>
      </c>
      <c r="AP41" s="695">
        <f>_xlfn.SUMIFS(ЭнергоРесурсы!AP$26:AP$112,ЭнергоРесурсы!$F$26:$F$112,$F41,ЭнергоРесурсы!$G$26:$G$112,$G41)</f>
        <v>0</v>
      </c>
      <c r="AQ41" s="695">
        <f>_xlfn.SUMIFS(ЭнергоРесурсы!AQ$26:AQ$112,ЭнергоРесурсы!$F$26:$F$112,$F41,ЭнергоРесурсы!$G$26:$G$112,$G41)</f>
        <v>0</v>
      </c>
      <c r="AR41" s="695">
        <f>_xlfn.SUMIFS(ЭнергоРесурсы!AR$26:AR$112,ЭнергоРесурсы!$F$26:$F$112,$F41,ЭнергоРесурсы!$G$26:$G$112,$G41)</f>
        <v>0</v>
      </c>
      <c r="AS41" s="695">
        <f>_xlfn.SUMIFS(ЭнергоРесурсы!AS$26:AS$112,ЭнергоРесурсы!$F$26:$F$112,$F41,ЭнергоРесурсы!$G$26:$G$112,$G41)</f>
        <v>0</v>
      </c>
      <c r="AT41" s="695">
        <f>_xlfn.SUMIFS(ЭнергоРесурсы!AT$26:AT$112,ЭнергоРесурсы!$F$26:$F$112,$F41,ЭнергоРесурсы!$G$26:$G$112,$G41)</f>
        <v>0</v>
      </c>
      <c r="AU41" s="695">
        <f>_xlfn.SUMIFS(ЭнергоРесурсы!AU$26:AU$112,ЭнергоРесурсы!$F$26:$F$112,$F41,ЭнергоРесурсы!$G$26:$G$112,$G41)</f>
        <v>0</v>
      </c>
      <c r="AV41" s="695">
        <f>_xlfn.SUMIFS(ЭнергоРесурсы!AV$26:AV$112,ЭнергоРесурсы!$F$26:$F$112,$F41,ЭнергоРесурсы!$G$26:$G$112,$G41)</f>
        <v>0</v>
      </c>
      <c r="AW41" s="695">
        <f>_xlfn.SUMIFS(ЭнергоРесурсы!AW$26:AW$112,ЭнергоРесурсы!$F$26:$F$112,$F41,ЭнергоРесурсы!$G$26:$G$112,$G41)</f>
        <v>0</v>
      </c>
      <c r="AX41" s="695">
        <f>_xlfn.SUMIFS(ЭнергоРесурсы!AX$26:AX$112,ЭнергоРесурсы!$F$26:$F$112,$F41,ЭнергоРесурсы!$G$26:$G$112,$G41)</f>
        <v>0</v>
      </c>
      <c r="AY41" s="695">
        <f>_xlfn.SUMIFS(ЭнергоРесурсы!AY$26:AY$112,ЭнергоРесурсы!$F$26:$F$112,$F41,ЭнергоРесурсы!$G$26:$G$112,$G41)</f>
        <v>0</v>
      </c>
      <c r="AZ41" s="695">
        <f>_xlfn.SUMIFS(ЭнергоРесурсы!AZ$26:AZ$112,ЭнергоРесурсы!$F$26:$F$112,$F41,ЭнергоРесурсы!$G$26:$G$112,$G41)</f>
        <v>0</v>
      </c>
      <c r="BA41" s="695">
        <f>_xlfn.SUMIFS(ЭнергоРесурсы!BA$26:BA$112,ЭнергоРесурсы!$F$26:$F$112,$F41,ЭнергоРесурсы!$G$26:$G$112,$G41)</f>
        <v>0</v>
      </c>
      <c r="BB41" s="695">
        <f>_xlfn.SUMIFS(ЭнергоРесурсы!BB$26:BB$112,ЭнергоРесурсы!$F$26:$F$112,$F41,ЭнергоРесурсы!$G$26:$G$112,$G41)</f>
        <v>0</v>
      </c>
      <c r="BC41" s="695">
        <f>_xlfn.SUMIFS(ЭнергоРесурсы!BC$26:BC$112,ЭнергоРесурсы!$F$26:$F$112,$F41,ЭнергоРесурсы!$G$26:$G$112,$G41)</f>
        <v>0</v>
      </c>
      <c r="BD41" s="695">
        <f>_xlfn.SUMIFS(ЭнергоРесурсы!BD$26:BD$112,ЭнергоРесурсы!$F$26:$F$112,$F41,ЭнергоРесурсы!$G$26:$G$112,$G41)</f>
        <v>0</v>
      </c>
      <c r="BE41" s="695">
        <f>_xlfn.SUMIFS(ЭнергоРесурсы!BE$26:BE$112,ЭнергоРесурсы!$F$26:$F$112,$F41,ЭнергоРесурсы!$G$26:$G$112,$G41)</f>
        <v>0</v>
      </c>
      <c r="BF41" s="695">
        <f>_xlfn.SUMIFS(ЭнергоРесурсы!BF$26:BF$112,ЭнергоРесурсы!$F$26:$F$112,$F41,ЭнергоРесурсы!$G$26:$G$112,$G41)</f>
        <v>0</v>
      </c>
      <c r="BG41" s="695">
        <f>_xlfn.SUMIFS(ЭнергоРесурсы!BG$26:BG$112,ЭнергоРесурсы!$F$26:$F$112,$F41,ЭнергоРесурсы!$G$26:$G$112,$G41)</f>
        <v>0</v>
      </c>
      <c r="BH41" s="695">
        <f>_xlfn.SUMIFS(ЭнергоРесурсы!BH$26:BH$112,ЭнергоРесурсы!$F$26:$F$112,$F41,ЭнергоРесурсы!$G$26:$G$112,$G41)</f>
        <v>0</v>
      </c>
      <c r="BI41" s="695">
        <f>_xlfn.SUMIFS(ЭнергоРесурсы!BI$26:BI$112,ЭнергоРесурсы!$F$26:$F$112,$F41,ЭнергоРесурсы!$G$26:$G$112,$G41)</f>
        <v>0</v>
      </c>
      <c r="BJ41" s="695">
        <f>_xlfn.SUMIFS(ЭнергоРесурсы!BJ$26:BJ$112,ЭнергоРесурсы!$F$26:$F$112,$F41,ЭнергоРесурсы!$G$26:$G$112,$G41)</f>
        <v>0</v>
      </c>
      <c r="BK41" s="695">
        <f>_xlfn.SUMIFS(ЭнергоРесурсы!BK$26:BK$112,ЭнергоРесурсы!$F$26:$F$112,$F41,ЭнергоРесурсы!$G$26:$G$112,$G41)</f>
        <v>0</v>
      </c>
      <c r="BL41" s="695">
        <f>_xlfn.SUMIFS(ЭнергоРесурсы!BL$26:BL$112,ЭнергоРесурсы!$F$26:$F$112,$F41,ЭнергоРесурсы!$G$26:$G$112,$G41)</f>
        <v>0</v>
      </c>
      <c r="BM41" s="695">
        <f>_xlfn.SUMIFS(ЭнергоРесурсы!BM$26:BM$112,ЭнергоРесурсы!$F$26:$F$112,$F41,ЭнергоРесурсы!$G$26:$G$112,$G41)</f>
        <v>0</v>
      </c>
      <c r="BN41" s="695">
        <f>_xlfn.SUMIFS(ЭнергоРесурсы!BN$26:BN$112,ЭнергоРесурсы!$F$26:$F$112,$F41,ЭнергоРесурсы!$G$26:$G$112,$G41)</f>
        <v>0</v>
      </c>
      <c r="BO41" s="695">
        <f>_xlfn.SUMIFS(ЭнергоРесурсы!BO$26:BO$112,ЭнергоРесурсы!$F$26:$F$112,$F41,ЭнергоРесурсы!$G$26:$G$112,$G41)</f>
        <v>0</v>
      </c>
      <c r="BP41" s="695">
        <f>_xlfn.SUMIFS(ЭнергоРесурсы!BP$26:BP$112,ЭнергоРесурсы!$F$26:$F$112,$F41,ЭнергоРесурсы!$G$26:$G$112,$G41)</f>
        <v>0</v>
      </c>
      <c r="BQ41" s="695">
        <f>_xlfn.SUMIFS(ЭнергоРесурсы!BQ$26:BQ$112,ЭнергоРесурсы!$F$26:$F$112,$F41,ЭнергоРесурсы!$G$26:$G$112,$G41)</f>
        <v>0</v>
      </c>
      <c r="BR41" s="695">
        <f>_xlfn.SUMIFS(ЭнергоРесурсы!BR$26:BR$112,ЭнергоРесурсы!$F$26:$F$112,$F41,ЭнергоРесурсы!$G$26:$G$112,$G41)</f>
        <v>0</v>
      </c>
      <c r="BS41" s="695">
        <f>_xlfn.SUMIFS(ЭнергоРесурсы!BS$26:BS$112,ЭнергоРесурсы!$F$26:$F$112,$F41,ЭнергоРесурсы!$G$26:$G$112,$G41)</f>
        <v>0</v>
      </c>
      <c r="BT41" s="695">
        <f>_xlfn.SUMIFS(ЭнергоРесурсы!BT$26:BT$112,ЭнергоРесурсы!$F$26:$F$112,$F41,ЭнергоРесурсы!$G$26:$G$112,$G41)</f>
        <v>0</v>
      </c>
      <c r="BU41" s="695">
        <f>_xlfn.SUMIFS(ЭнергоРесурсы!BU$26:BU$112,ЭнергоРесурсы!$F$26:$F$112,$F41,ЭнергоРесурсы!$G$26:$G$112,$G41)</f>
        <v>0</v>
      </c>
      <c r="BV41" s="695">
        <f>_xlfn.SUMIFS(ЭнергоРесурсы!BV$26:BV$112,ЭнергоРесурсы!$F$26:$F$112,$F41,ЭнергоРесурсы!$G$26:$G$112,$G41)</f>
        <v>0</v>
      </c>
      <c r="BW41" s="695">
        <f>_xlfn.SUMIFS(ЭнергоРесурсы!BW$26:BW$112,ЭнергоРесурсы!$F$26:$F$112,$F41,ЭнергоРесурсы!$G$26:$G$112,$G41)</f>
        <v>0</v>
      </c>
      <c r="BX41" s="695">
        <f>IF(AI41=0,0,(BD41-AI41)/AI41*100)</f>
        <v>0</v>
      </c>
      <c r="BY41" s="695">
        <f>IF(BD41=0,0,(BE41-BD41)/BD41*100)</f>
        <v>0</v>
      </c>
      <c r="BZ41" s="695">
        <f>IF(BE41=0,0,(BF41-BE41)/BE41*100)</f>
        <v>0</v>
      </c>
      <c r="CA41" s="695">
        <f>IF(BF41=0,0,(BG41-BF41)/BF41*100)</f>
        <v>0</v>
      </c>
      <c r="CB41" s="695">
        <f>IF(BG41=0,0,(BH41-BG41)/BG41*100)</f>
        <v>0</v>
      </c>
      <c r="CC41" s="695">
        <f>IF(BH41=0,0,(BI41-BH41)/BH41*100)</f>
        <v>0</v>
      </c>
      <c r="CD41" s="695">
        <f>IF(BI41=0,0,(BJ41-BI41)/BI41*100)</f>
        <v>0</v>
      </c>
      <c r="CE41" s="695">
        <f>IF(BJ41=0,0,(BK41-BJ41)/BJ41*100)</f>
        <v>0</v>
      </c>
      <c r="CF41" s="695">
        <f>IF(BK41=0,0,(BL41-BK41)/BK41*100)</f>
        <v>0</v>
      </c>
      <c r="CG41" s="695">
        <f>IF(BL41=0,0,(BM41-BL41)/BL41*100)</f>
        <v>0</v>
      </c>
      <c r="CH41" s="695">
        <f>IF(BM41=0,0,(BN41-BM41)/BM41*100)</f>
        <v>0</v>
      </c>
      <c r="CI41" s="695">
        <f>IF(BN41=0,0,(BO41-BN41)/BN41*100)</f>
        <v>0</v>
      </c>
      <c r="CJ41" s="695">
        <f>IF(BO41=0,0,(BP41-BO41)/BO41*100)</f>
        <v>0</v>
      </c>
      <c r="CK41" s="695">
        <f>IF(BP41=0,0,(BQ41-BP41)/BP41*100)</f>
        <v>0</v>
      </c>
      <c r="CL41" s="695">
        <f>IF(BQ41=0,0,(BR41-BQ41)/BQ41*100)</f>
        <v>0</v>
      </c>
      <c r="CM41" s="695">
        <f>IF(BR41=0,0,(BS41-BR41)/BR41*100)</f>
        <v>0</v>
      </c>
      <c r="CN41" s="695">
        <f>IF(BS41=0,0,(BT41-BS41)/BS41*100)</f>
        <v>0</v>
      </c>
      <c r="CO41" s="695">
        <f>IF(BT41=0,0,(BU41-BT41)/BT41*100)</f>
        <v>0</v>
      </c>
      <c r="CP41" s="695">
        <f>IF(BU41=0,0,(BV41-BU41)/BU41*100)</f>
        <v>0</v>
      </c>
      <c r="CQ41" s="695">
        <f>IF(BV41=0,0,(BW41-BV41)/BV41*100)</f>
        <v>0</v>
      </c>
      <c r="CR41" s="1897"/>
      <c r="CS41" s="1897"/>
      <c r="CT41" s="1897"/>
      <c r="CU41" s="286"/>
      <c r="CV41" s="1659"/>
      <c r="CW41" s="975" t="s">
        <v>1692</v>
      </c>
      <c r="CX41" s="1506"/>
      <c r="CY41" s="1506"/>
      <c r="CZ41" s="0" cm="1" t="str">
        <f t="array" ref="CZ41:CZ41">CZ40</f>
        <v>ТЭ.42.31656254.0001</v>
      </c>
      <c r="DA41" s="0" t="s">
        <v>1615</v>
      </c>
      <c r="DB41" s="1751"/>
      <c r="DC41" s="1751"/>
      <c r="DD41" s="1751"/>
      <c r="DE41" s="0" t="s">
        <v>303</v>
      </c>
      <c r="DF41" s="0" t="s">
        <v>1044</v>
      </c>
      <c r="DG41" s="0" t="s">
        <v>1045</v>
      </c>
    </row>
    <row s="1751" customFormat="1" customHeight="1" ht="16.5" hidden="1">
      <c r="A42" s="371"/>
      <c r="B42" s="1548"/>
      <c r="C42" s="1548"/>
      <c r="D42" s="1548"/>
      <c r="E42" s="180">
        <v>17</v>
      </c>
      <c r="F42" s="175" cm="1" t="str">
        <f t="array" ref="F42:F42">OFFSET(G42,-1,-1)</f>
        <v>1</v>
      </c>
      <c r="G42" s="193" t="s">
        <v>1091</v>
      </c>
      <c r="H42" s="1659"/>
      <c r="I42" s="1659"/>
      <c r="J42" s="1659"/>
      <c r="K42" s="1659"/>
      <c r="L42" s="1659"/>
      <c r="M42" s="1659"/>
      <c r="N42" s="1659"/>
      <c r="O42" s="1659"/>
      <c r="P42" s="1659"/>
      <c r="Q42" s="1659"/>
      <c r="R42" s="193" t="s">
        <v>1092</v>
      </c>
      <c r="S42" s="1659"/>
      <c r="T42" s="753">
        <f>AND(T41,G37="двухставочный")</f>
        <v>0</v>
      </c>
      <c r="U42" s="1548"/>
      <c r="V42" s="1548"/>
      <c r="W42" s="1548"/>
      <c r="X42" s="1548"/>
      <c r="Y42" s="1548"/>
      <c r="Z42" s="1548"/>
      <c r="AA42" s="286"/>
      <c r="AB42" s="360">
        <v>3.1</v>
      </c>
      <c r="AC42" s="758" t="s">
        <v>1094</v>
      </c>
      <c r="AD42" s="616" t="s">
        <v>917</v>
      </c>
      <c r="AE42" s="700">
        <f>_xlfn.SUMIFS(ЭнергоРесурсы!AF$26:AF$112,ЭнергоРесурсы!$F$26:$F$112,$F42,ЭнергоРесурсы!$G$26:$G$112,$G42)</f>
        <v>0</v>
      </c>
      <c r="AF42" s="700">
        <f>_xlfn.SUMIFS(ЭнергоРесурсы!AG$26:AG$112,ЭнергоРесурсы!$F$26:$F$112,$F42,ЭнергоРесурсы!$G$26:$G$112,$G42)</f>
        <v>0</v>
      </c>
      <c r="AG42" s="700">
        <f>_xlfn.SUMIFS(ЭнергоРесурсы!AH$26:AH$112,ЭнергоРесурсы!$F$26:$F$112,$F42,ЭнергоРесурсы!$G$26:$G$112,$G42)</f>
        <v>0</v>
      </c>
      <c r="AH42" s="700">
        <f>AG42-AF42</f>
        <v>0</v>
      </c>
      <c r="AI42" s="759" cm="1" t="str">
        <f t="array" ref="AI42:AI42">ЭнергоРесурсы!AI58</f>
        <v>0</v>
      </c>
      <c r="AJ42" s="759" cm="1" t="str">
        <f t="array" ref="AJ42:AJ42">ЭнергоРесурсы!AJ58</f>
        <v>0</v>
      </c>
      <c r="AK42" s="759" cm="1" t="str">
        <f t="array" ref="AK42:AK42">ЭнергоРесурсы!AK58</f>
        <v>0</v>
      </c>
      <c r="AL42" s="759" cm="1" t="str">
        <f t="array" ref="AL42:AL42">ЭнергоРесурсы!AL58</f>
        <v>0</v>
      </c>
      <c r="AM42" s="759" cm="1" t="str">
        <f t="array" ref="AM42:AM42">ЭнергоРесурсы!AM58</f>
        <v>0</v>
      </c>
      <c r="AN42" s="759" cm="1" t="str">
        <f t="array" ref="AN42:AN42">ЭнергоРесурсы!AN58</f>
        <v>0</v>
      </c>
      <c r="AO42" s="759" cm="1" t="str">
        <f t="array" ref="AO42:AO42">ЭнергоРесурсы!AO58</f>
        <v>0</v>
      </c>
      <c r="AP42" s="759" cm="1" t="str">
        <f t="array" ref="AP42:AP42">ЭнергоРесурсы!AP58</f>
        <v>0</v>
      </c>
      <c r="AQ42" s="759" cm="1" t="str">
        <f t="array" ref="AQ42:AQ42">ЭнергоРесурсы!AQ58</f>
        <v>0</v>
      </c>
      <c r="AR42" s="759" cm="1" t="str">
        <f t="array" ref="AR42:AR42">ЭнергоРесурсы!AR58</f>
        <v>0</v>
      </c>
      <c r="AS42" s="759" cm="1" t="str">
        <f t="array" ref="AS42:AS42">ЭнергоРесурсы!AS58</f>
        <v>0</v>
      </c>
      <c r="AT42" s="759" cm="1" t="str">
        <f t="array" ref="AT42:AT42">ЭнергоРесурсы!AT58</f>
        <v>0</v>
      </c>
      <c r="AU42" s="759" cm="1" t="str">
        <f t="array" ref="AU42:AU42">ЭнергоРесурсы!AU58</f>
        <v>0</v>
      </c>
      <c r="AV42" s="759" cm="1" t="str">
        <f t="array" ref="AV42:AV42">ЭнергоРесурсы!AV58</f>
        <v>0</v>
      </c>
      <c r="AW42" s="759" cm="1" t="str">
        <f t="array" ref="AW42:AW42">ЭнергоРесурсы!AW58</f>
        <v>0</v>
      </c>
      <c r="AX42" s="759" cm="1" t="str">
        <f t="array" ref="AX42:AX42">ЭнергоРесурсы!AX58</f>
        <v>0</v>
      </c>
      <c r="AY42" s="759" cm="1" t="str">
        <f t="array" ref="AY42:AY42">ЭнергоРесурсы!AY58</f>
        <v>0</v>
      </c>
      <c r="AZ42" s="759" cm="1" t="str">
        <f t="array" ref="AZ42:AZ42">ЭнергоРесурсы!AZ58</f>
        <v>0</v>
      </c>
      <c r="BA42" s="759" cm="1" t="str">
        <f t="array" ref="BA42:BA42">ЭнергоРесурсы!BA58</f>
        <v>0</v>
      </c>
      <c r="BB42" s="759" cm="1" t="str">
        <f t="array" ref="BB42:BB42">ЭнергоРесурсы!BB58</f>
        <v>0</v>
      </c>
      <c r="BC42" s="759" cm="1" t="str">
        <f t="array" ref="BC42:BC42">ЭнергоРесурсы!BC58</f>
        <v>0</v>
      </c>
      <c r="BD42" s="759" cm="1" t="str">
        <f t="array" ref="BD42:BD42">ЭнергоРесурсы!BD58</f>
        <v>0</v>
      </c>
      <c r="BE42" s="759" cm="1" t="str">
        <f t="array" ref="BE42:BE42">ЭнергоРесурсы!BE58</f>
        <v>0</v>
      </c>
      <c r="BF42" s="759" cm="1" t="str">
        <f t="array" ref="BF42:BF42">ЭнергоРесурсы!BF58</f>
        <v>0</v>
      </c>
      <c r="BG42" s="759" cm="1" t="str">
        <f t="array" ref="BG42:BG42">ЭнергоРесурсы!BG58</f>
        <v>0</v>
      </c>
      <c r="BH42" s="759" cm="1" t="str">
        <f t="array" ref="BH42:BH42">ЭнергоРесурсы!BH58</f>
        <v>0</v>
      </c>
      <c r="BI42" s="759" cm="1" t="str">
        <f t="array" ref="BI42:BI42">ЭнергоРесурсы!BI58</f>
        <v>0</v>
      </c>
      <c r="BJ42" s="759" cm="1" t="str">
        <f t="array" ref="BJ42:BJ42">ЭнергоРесурсы!BJ58</f>
        <v>0</v>
      </c>
      <c r="BK42" s="759" cm="1" t="str">
        <f t="array" ref="BK42:BK42">ЭнергоРесурсы!BK58</f>
        <v>0</v>
      </c>
      <c r="BL42" s="759" cm="1" t="str">
        <f t="array" ref="BL42:BL42">ЭнергоРесурсы!BL58</f>
        <v>0</v>
      </c>
      <c r="BM42" s="759" cm="1" t="str">
        <f t="array" ref="BM42:BM42">ЭнергоРесурсы!BM58</f>
        <v>0</v>
      </c>
      <c r="BN42" s="759" cm="1" t="str">
        <f t="array" ref="BN42:BN42">ЭнергоРесурсы!BN58</f>
        <v>0</v>
      </c>
      <c r="BO42" s="759" cm="1" t="str">
        <f t="array" ref="BO42:BO42">ЭнергоРесурсы!BO58</f>
        <v>0</v>
      </c>
      <c r="BP42" s="759" cm="1" t="str">
        <f t="array" ref="BP42:BP42">ЭнергоРесурсы!BP58</f>
        <v>0</v>
      </c>
      <c r="BQ42" s="759" cm="1" t="str">
        <f t="array" ref="BQ42:BQ42">ЭнергоРесурсы!BQ58</f>
        <v>0</v>
      </c>
      <c r="BR42" s="759" cm="1" t="str">
        <f t="array" ref="BR42:BR42">ЭнергоРесурсы!BR58</f>
        <v>0</v>
      </c>
      <c r="BS42" s="759" cm="1" t="str">
        <f t="array" ref="BS42:BS42">ЭнергоРесурсы!BS58</f>
        <v>0</v>
      </c>
      <c r="BT42" s="759" cm="1" t="str">
        <f t="array" ref="BT42:BT42">ЭнергоРесурсы!BT58</f>
        <v>0</v>
      </c>
      <c r="BU42" s="759" cm="1" t="str">
        <f t="array" ref="BU42:BU42">ЭнергоРесурсы!BU58</f>
        <v>0</v>
      </c>
      <c r="BV42" s="759" cm="1" t="str">
        <f t="array" ref="BV42:BV42">ЭнергоРесурсы!BV58</f>
        <v>0</v>
      </c>
      <c r="BW42" s="759" cm="1" t="str">
        <f t="array" ref="BW42:BW42">ЭнергоРесурсы!BW58</f>
        <v>0</v>
      </c>
      <c r="BX42" s="695">
        <f>IF(AI42=0,0,(BD42-AI42)/AI42*100)</f>
        <v>0</v>
      </c>
      <c r="BY42" s="695">
        <f>IF(BD42=0,0,(BE42-BD42)/BD42*100)</f>
        <v>0</v>
      </c>
      <c r="BZ42" s="695">
        <f>IF(BE42=0,0,(BF42-BE42)/BE42*100)</f>
        <v>0</v>
      </c>
      <c r="CA42" s="695">
        <f>IF(BF42=0,0,(BG42-BF42)/BF42*100)</f>
        <v>0</v>
      </c>
      <c r="CB42" s="695">
        <f>IF(BG42=0,0,(BH42-BG42)/BG42*100)</f>
        <v>0</v>
      </c>
      <c r="CC42" s="695">
        <f>IF(BH42=0,0,(BI42-BH42)/BH42*100)</f>
        <v>0</v>
      </c>
      <c r="CD42" s="695">
        <f>IF(BI42=0,0,(BJ42-BI42)/BI42*100)</f>
        <v>0</v>
      </c>
      <c r="CE42" s="695">
        <f>IF(BJ42=0,0,(BK42-BJ42)/BJ42*100)</f>
        <v>0</v>
      </c>
      <c r="CF42" s="695">
        <f>IF(BK42=0,0,(BL42-BK42)/BK42*100)</f>
        <v>0</v>
      </c>
      <c r="CG42" s="695">
        <f>IF(BL42=0,0,(BM42-BL42)/BL42*100)</f>
        <v>0</v>
      </c>
      <c r="CH42" s="695">
        <f>IF(BM42=0,0,(BN42-BM42)/BM42*100)</f>
        <v>0</v>
      </c>
      <c r="CI42" s="695">
        <f>IF(BN42=0,0,(BO42-BN42)/BN42*100)</f>
        <v>0</v>
      </c>
      <c r="CJ42" s="695">
        <f>IF(BO42=0,0,(BP42-BO42)/BO42*100)</f>
        <v>0</v>
      </c>
      <c r="CK42" s="695">
        <f>IF(BP42=0,0,(BQ42-BP42)/BP42*100)</f>
        <v>0</v>
      </c>
      <c r="CL42" s="695">
        <f>IF(BQ42=0,0,(BR42-BQ42)/BQ42*100)</f>
        <v>0</v>
      </c>
      <c r="CM42" s="695">
        <f>IF(BR42=0,0,(BS42-BR42)/BR42*100)</f>
        <v>0</v>
      </c>
      <c r="CN42" s="695">
        <f>IF(BS42=0,0,(BT42-BS42)/BS42*100)</f>
        <v>0</v>
      </c>
      <c r="CO42" s="695">
        <f>IF(BT42=0,0,(BU42-BT42)/BT42*100)</f>
        <v>0</v>
      </c>
      <c r="CP42" s="695">
        <f>IF(BU42=0,0,(BV42-BU42)/BU42*100)</f>
        <v>0</v>
      </c>
      <c r="CQ42" s="695">
        <f>IF(BV42=0,0,(BW42-BV42)/BV42*100)</f>
        <v>0</v>
      </c>
      <c r="CR42" s="83"/>
      <c r="CS42" s="83"/>
      <c r="CT42" s="83"/>
      <c r="CU42" s="286"/>
      <c r="CV42" s="1659"/>
      <c r="CW42" s="975" t="s">
        <v>1693</v>
      </c>
      <c r="CX42" s="1506"/>
      <c r="CY42" s="1506"/>
      <c r="CZ42" s="0" cm="1" t="str">
        <f t="array" ref="CZ42:CZ42">CZ41</f>
        <v>ТЭ.42.31656254.0001</v>
      </c>
      <c r="DA42" s="0" t="s">
        <v>1615</v>
      </c>
      <c r="DB42" s="0" t="s">
        <v>1694</v>
      </c>
      <c r="DC42" s="1751"/>
      <c r="DD42" s="1751"/>
      <c r="DE42" s="0" t="s">
        <v>303</v>
      </c>
      <c r="DF42" s="0" t="s">
        <v>1044</v>
      </c>
      <c r="DG42" s="0" t="s">
        <v>1045</v>
      </c>
    </row>
    <row s="1751" customFormat="1" customHeight="1" ht="16.5">
      <c r="A43" s="371"/>
      <c r="B43" s="1548"/>
      <c r="C43" s="1548"/>
      <c r="D43" s="1548"/>
      <c r="E43" s="180">
        <v>17</v>
      </c>
      <c r="F43" s="175" cm="1" t="str">
        <f t="array" ref="F43:F43">OFFSET(G43,-1,-1)</f>
        <v>1</v>
      </c>
      <c r="G43" s="193" t="s">
        <v>1136</v>
      </c>
      <c r="H43" s="1659"/>
      <c r="I43" s="1659"/>
      <c r="J43" s="1659"/>
      <c r="K43" s="1659"/>
      <c r="L43" s="1659"/>
      <c r="M43" s="1659"/>
      <c r="N43" s="1659"/>
      <c r="O43" s="1659"/>
      <c r="P43" s="1659"/>
      <c r="Q43" s="1659"/>
      <c r="R43" s="1659"/>
      <c r="S43" s="1659"/>
      <c r="T43" s="753" cm="1" t="str">
        <f t="array" ref="T43:T43">T41</f>
        <v>true</v>
      </c>
      <c r="U43" s="1548"/>
      <c r="V43" s="1548"/>
      <c r="W43" s="1548"/>
      <c r="X43" s="1548"/>
      <c r="Y43" s="1548"/>
      <c r="Z43" s="1548"/>
      <c r="AA43" s="286"/>
      <c r="AB43" s="354">
        <v>4</v>
      </c>
      <c r="AC43" s="760" t="s">
        <v>1137</v>
      </c>
      <c r="AD43" s="327" t="s">
        <v>1178</v>
      </c>
      <c r="AE43" s="695">
        <f>_xlfn.SUMIFS('ХВС, ТН'!AF$26:AF$53,'ХВС, ТН'!$F$26:$F$53,$F43,'ХВС, ТН'!$G$26:$G$53,$G43)</f>
        <v>0</v>
      </c>
      <c r="AF43" s="695">
        <f>_xlfn.SUMIFS('ХВС, ТН'!AG$26:AG$53,'ХВС, ТН'!$F$26:$F$53,$F43,'ХВС, ТН'!$G$26:$G$53,$G43)</f>
        <v>0</v>
      </c>
      <c r="AG43" s="695">
        <f>_xlfn.SUMIFS('ХВС, ТН'!AH$26:AH$53,'ХВС, ТН'!$F$26:$F$53,$F43,'ХВС, ТН'!$G$26:$G$53,$G43)</f>
        <v>0</v>
      </c>
      <c r="AH43" s="695">
        <f>AG43-AF43</f>
        <v>0</v>
      </c>
      <c r="AI43" s="761">
        <f>_xlfn.SUMIFS('ХВС, ТН'!AI$26:AI$53,'ХВС, ТН'!$F$26:$F$53,$F43,'ХВС, ТН'!$G$26:$G$53,$G43)</f>
        <v>0</v>
      </c>
      <c r="AJ43" s="761">
        <f>_xlfn.SUMIFS('ХВС, ТН'!AJ$26:AJ$53,'ХВС, ТН'!$F$26:$F$53,$F43,'ХВС, ТН'!$G$26:$G$53,$G43)</f>
        <v>0</v>
      </c>
      <c r="AK43" s="761">
        <f>_xlfn.SUMIFS('ХВС, ТН'!AK$26:AK$53,'ХВС, ТН'!$F$26:$F$53,$F43,'ХВС, ТН'!$G$26:$G$53,$G43)</f>
        <v>0</v>
      </c>
      <c r="AL43" s="761">
        <f>_xlfn.SUMIFS('ХВС, ТН'!AL$26:AL$53,'ХВС, ТН'!$F$26:$F$53,$F43,'ХВС, ТН'!$G$26:$G$53,$G43)</f>
        <v>0</v>
      </c>
      <c r="AM43" s="761">
        <f>_xlfn.SUMIFS('ХВС, ТН'!AM$26:AM$53,'ХВС, ТН'!$F$26:$F$53,$F43,'ХВС, ТН'!$G$26:$G$53,$G43)</f>
        <v>0</v>
      </c>
      <c r="AN43" s="761">
        <f>_xlfn.SUMIFS('ХВС, ТН'!AN$26:AN$53,'ХВС, ТН'!$F$26:$F$53,$F43,'ХВС, ТН'!$G$26:$G$53,$G43)</f>
        <v>0</v>
      </c>
      <c r="AO43" s="761">
        <f>_xlfn.SUMIFS('ХВС, ТН'!AO$26:AO$53,'ХВС, ТН'!$F$26:$F$53,$F43,'ХВС, ТН'!$G$26:$G$53,$G43)</f>
        <v>0</v>
      </c>
      <c r="AP43" s="761">
        <f>_xlfn.SUMIFS('ХВС, ТН'!AP$26:AP$53,'ХВС, ТН'!$F$26:$F$53,$F43,'ХВС, ТН'!$G$26:$G$53,$G43)</f>
        <v>0</v>
      </c>
      <c r="AQ43" s="761">
        <f>_xlfn.SUMIFS('ХВС, ТН'!AQ$26:AQ$53,'ХВС, ТН'!$F$26:$F$53,$F43,'ХВС, ТН'!$G$26:$G$53,$G43)</f>
        <v>0</v>
      </c>
      <c r="AR43" s="761">
        <f>_xlfn.SUMIFS('ХВС, ТН'!AR$26:AR$53,'ХВС, ТН'!$F$26:$F$53,$F43,'ХВС, ТН'!$G$26:$G$53,$G43)</f>
        <v>0</v>
      </c>
      <c r="AS43" s="761">
        <f>_xlfn.SUMIFS('ХВС, ТН'!AS$26:AS$53,'ХВС, ТН'!$F$26:$F$53,$F43,'ХВС, ТН'!$G$26:$G$53,$G43)</f>
        <v>0</v>
      </c>
      <c r="AT43" s="761">
        <f>_xlfn.SUMIFS('ХВС, ТН'!AT$26:AT$53,'ХВС, ТН'!$F$26:$F$53,$F43,'ХВС, ТН'!$G$26:$G$53,$G43)</f>
        <v>0</v>
      </c>
      <c r="AU43" s="761">
        <f>_xlfn.SUMIFS('ХВС, ТН'!AU$26:AU$53,'ХВС, ТН'!$F$26:$F$53,$F43,'ХВС, ТН'!$G$26:$G$53,$G43)</f>
        <v>0</v>
      </c>
      <c r="AV43" s="761">
        <f>_xlfn.SUMIFS('ХВС, ТН'!AV$26:AV$53,'ХВС, ТН'!$F$26:$F$53,$F43,'ХВС, ТН'!$G$26:$G$53,$G43)</f>
        <v>0</v>
      </c>
      <c r="AW43" s="761">
        <f>_xlfn.SUMIFS('ХВС, ТН'!AW$26:AW$53,'ХВС, ТН'!$F$26:$F$53,$F43,'ХВС, ТН'!$G$26:$G$53,$G43)</f>
        <v>0</v>
      </c>
      <c r="AX43" s="761">
        <f>_xlfn.SUMIFS('ХВС, ТН'!AX$26:AX$53,'ХВС, ТН'!$F$26:$F$53,$F43,'ХВС, ТН'!$G$26:$G$53,$G43)</f>
        <v>0</v>
      </c>
      <c r="AY43" s="761">
        <f>_xlfn.SUMIFS('ХВС, ТН'!AY$26:AY$53,'ХВС, ТН'!$F$26:$F$53,$F43,'ХВС, ТН'!$G$26:$G$53,$G43)</f>
        <v>0</v>
      </c>
      <c r="AZ43" s="761">
        <f>_xlfn.SUMIFS('ХВС, ТН'!AZ$26:AZ$53,'ХВС, ТН'!$F$26:$F$53,$F43,'ХВС, ТН'!$G$26:$G$53,$G43)</f>
        <v>0</v>
      </c>
      <c r="BA43" s="761">
        <f>_xlfn.SUMIFS('ХВС, ТН'!BA$26:BA$53,'ХВС, ТН'!$F$26:$F$53,$F43,'ХВС, ТН'!$G$26:$G$53,$G43)</f>
        <v>0</v>
      </c>
      <c r="BB43" s="761">
        <f>_xlfn.SUMIFS('ХВС, ТН'!BB$26:BB$53,'ХВС, ТН'!$F$26:$F$53,$F43,'ХВС, ТН'!$G$26:$G$53,$G43)</f>
        <v>0</v>
      </c>
      <c r="BC43" s="761">
        <f>_xlfn.SUMIFS('ХВС, ТН'!BC$26:BC$53,'ХВС, ТН'!$F$26:$F$53,$F43,'ХВС, ТН'!$G$26:$G$53,$G43)</f>
        <v>0</v>
      </c>
      <c r="BD43" s="761">
        <f>_xlfn.SUMIFS('ХВС, ТН'!BD$26:BD$53,'ХВС, ТН'!$F$26:$F$53,$F43,'ХВС, ТН'!$G$26:$G$53,$G43)</f>
        <v>0</v>
      </c>
      <c r="BE43" s="761">
        <f>_xlfn.SUMIFS('ХВС, ТН'!BE$26:BE$53,'ХВС, ТН'!$F$26:$F$53,$F43,'ХВС, ТН'!$G$26:$G$53,$G43)</f>
        <v>0</v>
      </c>
      <c r="BF43" s="761">
        <f>_xlfn.SUMIFS('ХВС, ТН'!BF$26:BF$53,'ХВС, ТН'!$F$26:$F$53,$F43,'ХВС, ТН'!$G$26:$G$53,$G43)</f>
        <v>0</v>
      </c>
      <c r="BG43" s="761">
        <f>_xlfn.SUMIFS('ХВС, ТН'!BG$26:BG$53,'ХВС, ТН'!$F$26:$F$53,$F43,'ХВС, ТН'!$G$26:$G$53,$G43)</f>
        <v>0</v>
      </c>
      <c r="BH43" s="761">
        <f>_xlfn.SUMIFS('ХВС, ТН'!BH$26:BH$53,'ХВС, ТН'!$F$26:$F$53,$F43,'ХВС, ТН'!$G$26:$G$53,$G43)</f>
        <v>0</v>
      </c>
      <c r="BI43" s="761">
        <f>_xlfn.SUMIFS('ХВС, ТН'!BI$26:BI$53,'ХВС, ТН'!$F$26:$F$53,$F43,'ХВС, ТН'!$G$26:$G$53,$G43)</f>
        <v>0</v>
      </c>
      <c r="BJ43" s="761">
        <f>_xlfn.SUMIFS('ХВС, ТН'!BJ$26:BJ$53,'ХВС, ТН'!$F$26:$F$53,$F43,'ХВС, ТН'!$G$26:$G$53,$G43)</f>
        <v>0</v>
      </c>
      <c r="BK43" s="761">
        <f>_xlfn.SUMIFS('ХВС, ТН'!BK$26:BK$53,'ХВС, ТН'!$F$26:$F$53,$F43,'ХВС, ТН'!$G$26:$G$53,$G43)</f>
        <v>0</v>
      </c>
      <c r="BL43" s="761">
        <f>_xlfn.SUMIFS('ХВС, ТН'!BL$26:BL$53,'ХВС, ТН'!$F$26:$F$53,$F43,'ХВС, ТН'!$G$26:$G$53,$G43)</f>
        <v>0</v>
      </c>
      <c r="BM43" s="761">
        <f>_xlfn.SUMIFS('ХВС, ТН'!BM$26:BM$53,'ХВС, ТН'!$F$26:$F$53,$F43,'ХВС, ТН'!$G$26:$G$53,$G43)</f>
        <v>0</v>
      </c>
      <c r="BN43" s="761">
        <f>_xlfn.SUMIFS('ХВС, ТН'!BN$26:BN$53,'ХВС, ТН'!$F$26:$F$53,$F43,'ХВС, ТН'!$G$26:$G$53,$G43)</f>
        <v>0</v>
      </c>
      <c r="BO43" s="761">
        <f>_xlfn.SUMIFS('ХВС, ТН'!BO$26:BO$53,'ХВС, ТН'!$F$26:$F$53,$F43,'ХВС, ТН'!$G$26:$G$53,$G43)</f>
        <v>0</v>
      </c>
      <c r="BP43" s="761">
        <f>_xlfn.SUMIFS('ХВС, ТН'!BP$26:BP$53,'ХВС, ТН'!$F$26:$F$53,$F43,'ХВС, ТН'!$G$26:$G$53,$G43)</f>
        <v>0</v>
      </c>
      <c r="BQ43" s="761">
        <f>_xlfn.SUMIFS('ХВС, ТН'!BQ$26:BQ$53,'ХВС, ТН'!$F$26:$F$53,$F43,'ХВС, ТН'!$G$26:$G$53,$G43)</f>
        <v>0</v>
      </c>
      <c r="BR43" s="761">
        <f>_xlfn.SUMIFS('ХВС, ТН'!BR$26:BR$53,'ХВС, ТН'!$F$26:$F$53,$F43,'ХВС, ТН'!$G$26:$G$53,$G43)</f>
        <v>0</v>
      </c>
      <c r="BS43" s="761">
        <f>_xlfn.SUMIFS('ХВС, ТН'!BS$26:BS$53,'ХВС, ТН'!$F$26:$F$53,$F43,'ХВС, ТН'!$G$26:$G$53,$G43)</f>
        <v>0</v>
      </c>
      <c r="BT43" s="761">
        <f>_xlfn.SUMIFS('ХВС, ТН'!BT$26:BT$53,'ХВС, ТН'!$F$26:$F$53,$F43,'ХВС, ТН'!$G$26:$G$53,$G43)</f>
        <v>0</v>
      </c>
      <c r="BU43" s="761">
        <f>_xlfn.SUMIFS('ХВС, ТН'!BU$26:BU$53,'ХВС, ТН'!$F$26:$F$53,$F43,'ХВС, ТН'!$G$26:$G$53,$G43)</f>
        <v>0</v>
      </c>
      <c r="BV43" s="761">
        <f>_xlfn.SUMIFS('ХВС, ТН'!BV$26:BV$53,'ХВС, ТН'!$F$26:$F$53,$F43,'ХВС, ТН'!$G$26:$G$53,$G43)</f>
        <v>0</v>
      </c>
      <c r="BW43" s="761">
        <f>_xlfn.SUMIFS('ХВС, ТН'!BW$26:BW$53,'ХВС, ТН'!$F$26:$F$53,$F43,'ХВС, ТН'!$G$26:$G$53,$G43)</f>
        <v>0</v>
      </c>
      <c r="BX43" s="695">
        <f>IF(AI43=0,0,(BD43-AI43)/AI43*100)</f>
        <v>0</v>
      </c>
      <c r="BY43" s="695">
        <f>IF(BD43=0,0,(BE43-BD43)/BD43*100)</f>
        <v>0</v>
      </c>
      <c r="BZ43" s="695">
        <f>IF(BE43=0,0,(BF43-BE43)/BE43*100)</f>
        <v>0</v>
      </c>
      <c r="CA43" s="695">
        <f>IF(BF43=0,0,(BG43-BF43)/BF43*100)</f>
        <v>0</v>
      </c>
      <c r="CB43" s="695">
        <f>IF(BG43=0,0,(BH43-BG43)/BG43*100)</f>
        <v>0</v>
      </c>
      <c r="CC43" s="695">
        <f>IF(BH43=0,0,(BI43-BH43)/BH43*100)</f>
        <v>0</v>
      </c>
      <c r="CD43" s="695">
        <f>IF(BI43=0,0,(BJ43-BI43)/BI43*100)</f>
        <v>0</v>
      </c>
      <c r="CE43" s="695">
        <f>IF(BJ43=0,0,(BK43-BJ43)/BJ43*100)</f>
        <v>0</v>
      </c>
      <c r="CF43" s="695">
        <f>IF(BK43=0,0,(BL43-BK43)/BK43*100)</f>
        <v>0</v>
      </c>
      <c r="CG43" s="695">
        <f>IF(BL43=0,0,(BM43-BL43)/BL43*100)</f>
        <v>0</v>
      </c>
      <c r="CH43" s="695">
        <f>IF(BM43=0,0,(BN43-BM43)/BM43*100)</f>
        <v>0</v>
      </c>
      <c r="CI43" s="695">
        <f>IF(BN43=0,0,(BO43-BN43)/BN43*100)</f>
        <v>0</v>
      </c>
      <c r="CJ43" s="695">
        <f>IF(BO43=0,0,(BP43-BO43)/BO43*100)</f>
        <v>0</v>
      </c>
      <c r="CK43" s="695">
        <f>IF(BP43=0,0,(BQ43-BP43)/BP43*100)</f>
        <v>0</v>
      </c>
      <c r="CL43" s="695">
        <f>IF(BQ43=0,0,(BR43-BQ43)/BQ43*100)</f>
        <v>0</v>
      </c>
      <c r="CM43" s="695">
        <f>IF(BR43=0,0,(BS43-BR43)/BR43*100)</f>
        <v>0</v>
      </c>
      <c r="CN43" s="695">
        <f>IF(BS43=0,0,(BT43-BS43)/BS43*100)</f>
        <v>0</v>
      </c>
      <c r="CO43" s="695">
        <f>IF(BT43=0,0,(BU43-BT43)/BT43*100)</f>
        <v>0</v>
      </c>
      <c r="CP43" s="695">
        <f>IF(BU43=0,0,(BV43-BU43)/BU43*100)</f>
        <v>0</v>
      </c>
      <c r="CQ43" s="695">
        <f>IF(BV43=0,0,(BW43-BV43)/BV43*100)</f>
        <v>0</v>
      </c>
      <c r="CR43" s="1897"/>
      <c r="CS43" s="1897"/>
      <c r="CT43" s="1897"/>
      <c r="CU43" s="286"/>
      <c r="CV43" s="1659"/>
      <c r="CW43" s="975" t="s">
        <v>1695</v>
      </c>
      <c r="CX43" s="1506"/>
      <c r="CY43" s="1506"/>
      <c r="CZ43" s="0" cm="1" t="str">
        <f t="array" ref="CZ43:CZ43">CZ42</f>
        <v>ТЭ.42.31656254.0001</v>
      </c>
      <c r="DA43" s="0" t="s">
        <v>1139</v>
      </c>
      <c r="DB43" s="1751"/>
      <c r="DC43" s="1751"/>
      <c r="DD43" s="1751"/>
      <c r="DE43" s="0" t="s">
        <v>303</v>
      </c>
      <c r="DF43" s="0" t="s">
        <v>1044</v>
      </c>
      <c r="DG43" s="0" t="s">
        <v>1045</v>
      </c>
    </row>
    <row s="1751" customFormat="1" customHeight="1" ht="16.5">
      <c r="A44" s="371"/>
      <c r="B44" s="1548"/>
      <c r="C44" s="1548"/>
      <c r="D44" s="1548"/>
      <c r="E44" s="180">
        <v>17</v>
      </c>
      <c r="F44" s="175" cm="1" t="str">
        <f t="array" ref="F44:F44">OFFSET(G44,-1,-1)</f>
        <v>1</v>
      </c>
      <c r="G44" s="193" t="s">
        <v>1154</v>
      </c>
      <c r="H44" s="1659"/>
      <c r="I44" s="1659"/>
      <c r="J44" s="1659"/>
      <c r="K44" s="1659"/>
      <c r="L44" s="1659"/>
      <c r="M44" s="1659"/>
      <c r="N44" s="1659"/>
      <c r="O44" s="1659"/>
      <c r="P44" s="1659"/>
      <c r="Q44" s="1659"/>
      <c r="R44" s="1659"/>
      <c r="S44" s="1659"/>
      <c r="T44" s="753" cm="1" t="str">
        <f t="array" ref="T44:T44">T43</f>
        <v>true</v>
      </c>
      <c r="U44" s="1548"/>
      <c r="V44" s="1548"/>
      <c r="W44" s="1548"/>
      <c r="X44" s="1548"/>
      <c r="Y44" s="1548"/>
      <c r="Z44" s="1548"/>
      <c r="AA44" s="286"/>
      <c r="AB44" s="354">
        <v>5</v>
      </c>
      <c r="AC44" s="760" t="s">
        <v>1155</v>
      </c>
      <c r="AD44" s="327" t="s">
        <v>1178</v>
      </c>
      <c r="AE44" s="695">
        <f>_xlfn.SUMIFS('ХВС, ТН'!AF$26:AF$53,'ХВС, ТН'!$F$26:$F$53,$F44,'ХВС, ТН'!$G$26:$G$53,$G44)</f>
        <v>0</v>
      </c>
      <c r="AF44" s="695">
        <f>_xlfn.SUMIFS('ХВС, ТН'!AG$26:AG$53,'ХВС, ТН'!$F$26:$F$53,$F44,'ХВС, ТН'!$G$26:$G$53,$G44)</f>
        <v>0</v>
      </c>
      <c r="AG44" s="695">
        <f>_xlfn.SUMIFS('ХВС, ТН'!AH$26:AH$53,'ХВС, ТН'!$F$26:$F$53,$F44,'ХВС, ТН'!$G$26:$G$53,$G44)</f>
        <v>0</v>
      </c>
      <c r="AH44" s="695">
        <f>AG44-AF44</f>
        <v>0</v>
      </c>
      <c r="AI44" s="761">
        <f>_xlfn.SUMIFS('ХВС, ТН'!AI$26:AI$53,'ХВС, ТН'!$F$26:$F$53,$F44,'ХВС, ТН'!$G$26:$G$53,$G44)</f>
        <v>0</v>
      </c>
      <c r="AJ44" s="761">
        <f>_xlfn.SUMIFS('ХВС, ТН'!AJ$26:AJ$53,'ХВС, ТН'!$F$26:$F$53,$F44,'ХВС, ТН'!$G$26:$G$53,$G44)</f>
        <v>0</v>
      </c>
      <c r="AK44" s="761">
        <f>_xlfn.SUMIFS('ХВС, ТН'!AK$26:AK$53,'ХВС, ТН'!$F$26:$F$53,$F44,'ХВС, ТН'!$G$26:$G$53,$G44)</f>
        <v>0</v>
      </c>
      <c r="AL44" s="761">
        <f>_xlfn.SUMIFS('ХВС, ТН'!AL$26:AL$53,'ХВС, ТН'!$F$26:$F$53,$F44,'ХВС, ТН'!$G$26:$G$53,$G44)</f>
        <v>0</v>
      </c>
      <c r="AM44" s="761">
        <f>_xlfn.SUMIFS('ХВС, ТН'!AM$26:AM$53,'ХВС, ТН'!$F$26:$F$53,$F44,'ХВС, ТН'!$G$26:$G$53,$G44)</f>
        <v>0</v>
      </c>
      <c r="AN44" s="761">
        <f>_xlfn.SUMIFS('ХВС, ТН'!AN$26:AN$53,'ХВС, ТН'!$F$26:$F$53,$F44,'ХВС, ТН'!$G$26:$G$53,$G44)</f>
        <v>0</v>
      </c>
      <c r="AO44" s="761">
        <f>_xlfn.SUMIFS('ХВС, ТН'!AO$26:AO$53,'ХВС, ТН'!$F$26:$F$53,$F44,'ХВС, ТН'!$G$26:$G$53,$G44)</f>
        <v>0</v>
      </c>
      <c r="AP44" s="761">
        <f>_xlfn.SUMIFS('ХВС, ТН'!AP$26:AP$53,'ХВС, ТН'!$F$26:$F$53,$F44,'ХВС, ТН'!$G$26:$G$53,$G44)</f>
        <v>0</v>
      </c>
      <c r="AQ44" s="761">
        <f>_xlfn.SUMIFS('ХВС, ТН'!AQ$26:AQ$53,'ХВС, ТН'!$F$26:$F$53,$F44,'ХВС, ТН'!$G$26:$G$53,$G44)</f>
        <v>0</v>
      </c>
      <c r="AR44" s="761">
        <f>_xlfn.SUMIFS('ХВС, ТН'!AR$26:AR$53,'ХВС, ТН'!$F$26:$F$53,$F44,'ХВС, ТН'!$G$26:$G$53,$G44)</f>
        <v>0</v>
      </c>
      <c r="AS44" s="761">
        <f>_xlfn.SUMIFS('ХВС, ТН'!AS$26:AS$53,'ХВС, ТН'!$F$26:$F$53,$F44,'ХВС, ТН'!$G$26:$G$53,$G44)</f>
        <v>0</v>
      </c>
      <c r="AT44" s="761">
        <f>_xlfn.SUMIFS('ХВС, ТН'!AT$26:AT$53,'ХВС, ТН'!$F$26:$F$53,$F44,'ХВС, ТН'!$G$26:$G$53,$G44)</f>
        <v>0</v>
      </c>
      <c r="AU44" s="761">
        <f>_xlfn.SUMIFS('ХВС, ТН'!AU$26:AU$53,'ХВС, ТН'!$F$26:$F$53,$F44,'ХВС, ТН'!$G$26:$G$53,$G44)</f>
        <v>0</v>
      </c>
      <c r="AV44" s="761">
        <f>_xlfn.SUMIFS('ХВС, ТН'!AV$26:AV$53,'ХВС, ТН'!$F$26:$F$53,$F44,'ХВС, ТН'!$G$26:$G$53,$G44)</f>
        <v>0</v>
      </c>
      <c r="AW44" s="761">
        <f>_xlfn.SUMIFS('ХВС, ТН'!AW$26:AW$53,'ХВС, ТН'!$F$26:$F$53,$F44,'ХВС, ТН'!$G$26:$G$53,$G44)</f>
        <v>0</v>
      </c>
      <c r="AX44" s="761">
        <f>_xlfn.SUMIFS('ХВС, ТН'!AX$26:AX$53,'ХВС, ТН'!$F$26:$F$53,$F44,'ХВС, ТН'!$G$26:$G$53,$G44)</f>
        <v>0</v>
      </c>
      <c r="AY44" s="761">
        <f>_xlfn.SUMIFS('ХВС, ТН'!AY$26:AY$53,'ХВС, ТН'!$F$26:$F$53,$F44,'ХВС, ТН'!$G$26:$G$53,$G44)</f>
        <v>0</v>
      </c>
      <c r="AZ44" s="761">
        <f>_xlfn.SUMIFS('ХВС, ТН'!AZ$26:AZ$53,'ХВС, ТН'!$F$26:$F$53,$F44,'ХВС, ТН'!$G$26:$G$53,$G44)</f>
        <v>0</v>
      </c>
      <c r="BA44" s="761">
        <f>_xlfn.SUMIFS('ХВС, ТН'!BA$26:BA$53,'ХВС, ТН'!$F$26:$F$53,$F44,'ХВС, ТН'!$G$26:$G$53,$G44)</f>
        <v>0</v>
      </c>
      <c r="BB44" s="761">
        <f>_xlfn.SUMIFS('ХВС, ТН'!BB$26:BB$53,'ХВС, ТН'!$F$26:$F$53,$F44,'ХВС, ТН'!$G$26:$G$53,$G44)</f>
        <v>0</v>
      </c>
      <c r="BC44" s="761">
        <f>_xlfn.SUMIFS('ХВС, ТН'!BC$26:BC$53,'ХВС, ТН'!$F$26:$F$53,$F44,'ХВС, ТН'!$G$26:$G$53,$G44)</f>
        <v>0</v>
      </c>
      <c r="BD44" s="761">
        <f>_xlfn.SUMIFS('ХВС, ТН'!BD$26:BD$53,'ХВС, ТН'!$F$26:$F$53,$F44,'ХВС, ТН'!$G$26:$G$53,$G44)</f>
        <v>0</v>
      </c>
      <c r="BE44" s="761">
        <f>_xlfn.SUMIFS('ХВС, ТН'!BE$26:BE$53,'ХВС, ТН'!$F$26:$F$53,$F44,'ХВС, ТН'!$G$26:$G$53,$G44)</f>
        <v>0</v>
      </c>
      <c r="BF44" s="761">
        <f>_xlfn.SUMIFS('ХВС, ТН'!BF$26:BF$53,'ХВС, ТН'!$F$26:$F$53,$F44,'ХВС, ТН'!$G$26:$G$53,$G44)</f>
        <v>0</v>
      </c>
      <c r="BG44" s="761">
        <f>_xlfn.SUMIFS('ХВС, ТН'!BG$26:BG$53,'ХВС, ТН'!$F$26:$F$53,$F44,'ХВС, ТН'!$G$26:$G$53,$G44)</f>
        <v>0</v>
      </c>
      <c r="BH44" s="761">
        <f>_xlfn.SUMIFS('ХВС, ТН'!BH$26:BH$53,'ХВС, ТН'!$F$26:$F$53,$F44,'ХВС, ТН'!$G$26:$G$53,$G44)</f>
        <v>0</v>
      </c>
      <c r="BI44" s="761">
        <f>_xlfn.SUMIFS('ХВС, ТН'!BI$26:BI$53,'ХВС, ТН'!$F$26:$F$53,$F44,'ХВС, ТН'!$G$26:$G$53,$G44)</f>
        <v>0</v>
      </c>
      <c r="BJ44" s="761">
        <f>_xlfn.SUMIFS('ХВС, ТН'!BJ$26:BJ$53,'ХВС, ТН'!$F$26:$F$53,$F44,'ХВС, ТН'!$G$26:$G$53,$G44)</f>
        <v>0</v>
      </c>
      <c r="BK44" s="761">
        <f>_xlfn.SUMIFS('ХВС, ТН'!BK$26:BK$53,'ХВС, ТН'!$F$26:$F$53,$F44,'ХВС, ТН'!$G$26:$G$53,$G44)</f>
        <v>0</v>
      </c>
      <c r="BL44" s="761">
        <f>_xlfn.SUMIFS('ХВС, ТН'!BL$26:BL$53,'ХВС, ТН'!$F$26:$F$53,$F44,'ХВС, ТН'!$G$26:$G$53,$G44)</f>
        <v>0</v>
      </c>
      <c r="BM44" s="761">
        <f>_xlfn.SUMIFS('ХВС, ТН'!BM$26:BM$53,'ХВС, ТН'!$F$26:$F$53,$F44,'ХВС, ТН'!$G$26:$G$53,$G44)</f>
        <v>0</v>
      </c>
      <c r="BN44" s="761">
        <f>_xlfn.SUMIFS('ХВС, ТН'!BN$26:BN$53,'ХВС, ТН'!$F$26:$F$53,$F44,'ХВС, ТН'!$G$26:$G$53,$G44)</f>
        <v>0</v>
      </c>
      <c r="BO44" s="761">
        <f>_xlfn.SUMIFS('ХВС, ТН'!BO$26:BO$53,'ХВС, ТН'!$F$26:$F$53,$F44,'ХВС, ТН'!$G$26:$G$53,$G44)</f>
        <v>0</v>
      </c>
      <c r="BP44" s="761">
        <f>_xlfn.SUMIFS('ХВС, ТН'!BP$26:BP$53,'ХВС, ТН'!$F$26:$F$53,$F44,'ХВС, ТН'!$G$26:$G$53,$G44)</f>
        <v>0</v>
      </c>
      <c r="BQ44" s="761">
        <f>_xlfn.SUMIFS('ХВС, ТН'!BQ$26:BQ$53,'ХВС, ТН'!$F$26:$F$53,$F44,'ХВС, ТН'!$G$26:$G$53,$G44)</f>
        <v>0</v>
      </c>
      <c r="BR44" s="761">
        <f>_xlfn.SUMIFS('ХВС, ТН'!BR$26:BR$53,'ХВС, ТН'!$F$26:$F$53,$F44,'ХВС, ТН'!$G$26:$G$53,$G44)</f>
        <v>0</v>
      </c>
      <c r="BS44" s="761">
        <f>_xlfn.SUMIFS('ХВС, ТН'!BS$26:BS$53,'ХВС, ТН'!$F$26:$F$53,$F44,'ХВС, ТН'!$G$26:$G$53,$G44)</f>
        <v>0</v>
      </c>
      <c r="BT44" s="761">
        <f>_xlfn.SUMIFS('ХВС, ТН'!BT$26:BT$53,'ХВС, ТН'!$F$26:$F$53,$F44,'ХВС, ТН'!$G$26:$G$53,$G44)</f>
        <v>0</v>
      </c>
      <c r="BU44" s="761">
        <f>_xlfn.SUMIFS('ХВС, ТН'!BU$26:BU$53,'ХВС, ТН'!$F$26:$F$53,$F44,'ХВС, ТН'!$G$26:$G$53,$G44)</f>
        <v>0</v>
      </c>
      <c r="BV44" s="761">
        <f>_xlfn.SUMIFS('ХВС, ТН'!BV$26:BV$53,'ХВС, ТН'!$F$26:$F$53,$F44,'ХВС, ТН'!$G$26:$G$53,$G44)</f>
        <v>0</v>
      </c>
      <c r="BW44" s="761">
        <f>_xlfn.SUMIFS('ХВС, ТН'!BW$26:BW$53,'ХВС, ТН'!$F$26:$F$53,$F44,'ХВС, ТН'!$G$26:$G$53,$G44)</f>
        <v>0</v>
      </c>
      <c r="BX44" s="695">
        <f>IF(AI44=0,0,(BD44-AI44)/AI44*100)</f>
        <v>0</v>
      </c>
      <c r="BY44" s="695">
        <f>IF(BD44=0,0,(BE44-BD44)/BD44*100)</f>
        <v>0</v>
      </c>
      <c r="BZ44" s="695">
        <f>IF(BE44=0,0,(BF44-BE44)/BE44*100)</f>
        <v>0</v>
      </c>
      <c r="CA44" s="695">
        <f>IF(BF44=0,0,(BG44-BF44)/BF44*100)</f>
        <v>0</v>
      </c>
      <c r="CB44" s="695">
        <f>IF(BG44=0,0,(BH44-BG44)/BG44*100)</f>
        <v>0</v>
      </c>
      <c r="CC44" s="695">
        <f>IF(BH44=0,0,(BI44-BH44)/BH44*100)</f>
        <v>0</v>
      </c>
      <c r="CD44" s="695">
        <f>IF(BI44=0,0,(BJ44-BI44)/BI44*100)</f>
        <v>0</v>
      </c>
      <c r="CE44" s="695">
        <f>IF(BJ44=0,0,(BK44-BJ44)/BJ44*100)</f>
        <v>0</v>
      </c>
      <c r="CF44" s="695">
        <f>IF(BK44=0,0,(BL44-BK44)/BK44*100)</f>
        <v>0</v>
      </c>
      <c r="CG44" s="695">
        <f>IF(BL44=0,0,(BM44-BL44)/BL44*100)</f>
        <v>0</v>
      </c>
      <c r="CH44" s="695">
        <f>IF(BM44=0,0,(BN44-BM44)/BM44*100)</f>
        <v>0</v>
      </c>
      <c r="CI44" s="695">
        <f>IF(BN44=0,0,(BO44-BN44)/BN44*100)</f>
        <v>0</v>
      </c>
      <c r="CJ44" s="695">
        <f>IF(BO44=0,0,(BP44-BO44)/BO44*100)</f>
        <v>0</v>
      </c>
      <c r="CK44" s="695">
        <f>IF(BP44=0,0,(BQ44-BP44)/BP44*100)</f>
        <v>0</v>
      </c>
      <c r="CL44" s="695">
        <f>IF(BQ44=0,0,(BR44-BQ44)/BQ44*100)</f>
        <v>0</v>
      </c>
      <c r="CM44" s="695">
        <f>IF(BR44=0,0,(BS44-BR44)/BR44*100)</f>
        <v>0</v>
      </c>
      <c r="CN44" s="695">
        <f>IF(BS44=0,0,(BT44-BS44)/BS44*100)</f>
        <v>0</v>
      </c>
      <c r="CO44" s="695">
        <f>IF(BT44=0,0,(BU44-BT44)/BT44*100)</f>
        <v>0</v>
      </c>
      <c r="CP44" s="695">
        <f>IF(BU44=0,0,(BV44-BU44)/BU44*100)</f>
        <v>0</v>
      </c>
      <c r="CQ44" s="695">
        <f>IF(BV44=0,0,(BW44-BV44)/BV44*100)</f>
        <v>0</v>
      </c>
      <c r="CR44" s="1897"/>
      <c r="CS44" s="1897"/>
      <c r="CT44" s="1897"/>
      <c r="CU44" s="286"/>
      <c r="CV44" s="1659"/>
      <c r="CW44" s="975" t="s">
        <v>1696</v>
      </c>
      <c r="CX44" s="1506"/>
      <c r="CY44" s="1506"/>
      <c r="CZ44" s="0" cm="1" t="str">
        <f t="array" ref="CZ44:CZ44">CZ43</f>
        <v>ТЭ.42.31656254.0001</v>
      </c>
      <c r="DA44" s="0" t="s">
        <v>1157</v>
      </c>
      <c r="DB44" s="1751"/>
      <c r="DC44" s="1751"/>
      <c r="DD44" s="1751"/>
      <c r="DE44" s="0" t="s">
        <v>303</v>
      </c>
      <c r="DF44" s="0" t="s">
        <v>1044</v>
      </c>
      <c r="DG44" s="0" t="s">
        <v>1045</v>
      </c>
    </row>
    <row s="1751" customFormat="1" customHeight="1" ht="16.5">
      <c r="A45" s="371"/>
      <c r="B45" s="1548"/>
      <c r="C45" s="1548"/>
      <c r="D45" s="1548"/>
      <c r="E45" s="180">
        <v>17</v>
      </c>
      <c r="F45" s="175" cm="1" t="str">
        <f t="array" ref="F45:F45">OFFSET(G45,-1,-1)</f>
        <v>1</v>
      </c>
      <c r="G45" s="193" t="s">
        <v>1697</v>
      </c>
      <c r="H45" s="1659"/>
      <c r="I45" s="1659"/>
      <c r="J45" s="1659"/>
      <c r="K45" s="1659"/>
      <c r="L45" s="1659"/>
      <c r="M45" s="1659"/>
      <c r="N45" s="1659"/>
      <c r="O45" s="1659"/>
      <c r="P45" s="1659"/>
      <c r="Q45" s="1659"/>
      <c r="R45" s="1659"/>
      <c r="S45" s="1659"/>
      <c r="T45" s="753" cm="1" t="str">
        <f t="array" ref="T45:T45">T44</f>
        <v>true</v>
      </c>
      <c r="U45" s="1548"/>
      <c r="V45" s="1548"/>
      <c r="W45" s="1548"/>
      <c r="X45" s="1548"/>
      <c r="Y45" s="1548"/>
      <c r="Z45" s="1548"/>
      <c r="AA45" s="286"/>
      <c r="AB45" s="762">
        <v>6</v>
      </c>
      <c r="AC45" s="437" t="s">
        <v>1670</v>
      </c>
      <c r="AD45" s="436" t="s">
        <v>1178</v>
      </c>
      <c r="AE45" s="692">
        <f>AE39+AE40+AE41+AE43+AE44</f>
        <v>3700</v>
      </c>
      <c r="AF45" s="692">
        <f>AF39+AF40+AF41+AF43+AF44</f>
        <v>6263.5</v>
      </c>
      <c r="AG45" s="692">
        <f>AG39+AG40+AG41+AG43+AG44</f>
        <v>4202.43814247972</v>
      </c>
      <c r="AH45" s="692">
        <f>AG45-AF45</f>
        <v>-2061.06185752028</v>
      </c>
      <c r="AI45" s="763">
        <f>AI39+AI40+AI41+AI43+AI44</f>
        <v>4166</v>
      </c>
      <c r="AJ45" s="764">
        <f>AJ39+AJ40+AJ41+AJ43+AJ44</f>
        <v>7339.01722300141</v>
      </c>
      <c r="AK45" s="764">
        <f>AK39+AK40+AK41+AK43+AK44</f>
        <v>0</v>
      </c>
      <c r="AL45" s="764">
        <f>AL39+AL40+AL41+AL43+AL44</f>
        <v>0</v>
      </c>
      <c r="AM45" s="764">
        <f>AM39+AM40+AM41+AM43+AM44</f>
        <v>0</v>
      </c>
      <c r="AN45" s="764">
        <f>AN39+AN40+AN41+AN43+AN44</f>
        <v>0</v>
      </c>
      <c r="AO45" s="764">
        <f>AO39+AO40+AO41+AO43+AO44</f>
        <v>0</v>
      </c>
      <c r="AP45" s="764">
        <f>AP39+AP40+AP41+AP43+AP44</f>
        <v>0</v>
      </c>
      <c r="AQ45" s="764">
        <f>AQ39+AQ40+AQ41+AQ43+AQ44</f>
        <v>0</v>
      </c>
      <c r="AR45" s="764">
        <f>AR39+AR40+AR41+AR43+AR44</f>
        <v>0</v>
      </c>
      <c r="AS45" s="764">
        <f>AS39+AS40+AS41+AS43+AS44</f>
        <v>0</v>
      </c>
      <c r="AT45" s="764">
        <f>AT39+AT40+AT41+AT43+AT44</f>
        <v>0</v>
      </c>
      <c r="AU45" s="764">
        <f>AU39+AU40+AU41+AU43+AU44</f>
        <v>0</v>
      </c>
      <c r="AV45" s="764">
        <f>AV39+AV40+AV41+AV43+AV44</f>
        <v>0</v>
      </c>
      <c r="AW45" s="764">
        <f>AW39+AW40+AW41+AW43+AW44</f>
        <v>0</v>
      </c>
      <c r="AX45" s="764">
        <f>AX39+AX40+AX41+AX43+AX44</f>
        <v>0</v>
      </c>
      <c r="AY45" s="764">
        <f>AY39+AY40+AY41+AY43+AY44</f>
        <v>0</v>
      </c>
      <c r="AZ45" s="764">
        <f>AZ39+AZ40+AZ41+AZ43+AZ44</f>
        <v>0</v>
      </c>
      <c r="BA45" s="764">
        <f>BA39+BA40+BA41+BA43+BA44</f>
        <v>0</v>
      </c>
      <c r="BB45" s="764">
        <f>BB39+BB40+BB41+BB43+BB44</f>
        <v>0</v>
      </c>
      <c r="BC45" s="764">
        <f>BC39+BC40+BC41+BC43+BC44</f>
        <v>0</v>
      </c>
      <c r="BD45" s="764">
        <f>BD39+BD40+BD41+BD43+BD44</f>
        <v>4902.81602083218</v>
      </c>
      <c r="BE45" s="764">
        <f>BE39+BE40+BE41+BE43+BE44</f>
        <v>0</v>
      </c>
      <c r="BF45" s="764">
        <f>BF39+BF40+BF41+BF43+BF44</f>
        <v>0</v>
      </c>
      <c r="BG45" s="764">
        <f>BG39+BG40+BG41+BG43+BG44</f>
        <v>0</v>
      </c>
      <c r="BH45" s="764">
        <f>BH39+BH40+BH41+BH43+BH44</f>
        <v>0</v>
      </c>
      <c r="BI45" s="764">
        <f>BI39+BI40+BI41+BI43+BI44</f>
        <v>0</v>
      </c>
      <c r="BJ45" s="764">
        <f>BJ39+BJ40+BJ41+BJ43+BJ44</f>
        <v>0</v>
      </c>
      <c r="BK45" s="764">
        <f>BK39+BK40+BK41+BK43+BK44</f>
        <v>0</v>
      </c>
      <c r="BL45" s="764">
        <f>BL39+BL40+BL41+BL43+BL44</f>
        <v>0</v>
      </c>
      <c r="BM45" s="764">
        <f>BM39+BM40+BM41+BM43+BM44</f>
        <v>0</v>
      </c>
      <c r="BN45" s="764">
        <f>BN39+BN40+BN41+BN43+BN44</f>
        <v>0</v>
      </c>
      <c r="BO45" s="764">
        <f>BO39+BO40+BO41+BO43+BO44</f>
        <v>0</v>
      </c>
      <c r="BP45" s="764">
        <f>BP39+BP40+BP41+BP43+BP44</f>
        <v>0</v>
      </c>
      <c r="BQ45" s="764">
        <f>BQ39+BQ40+BQ41+BQ43+BQ44</f>
        <v>0</v>
      </c>
      <c r="BR45" s="764">
        <f>BR39+BR40+BR41+BR43+BR44</f>
        <v>0</v>
      </c>
      <c r="BS45" s="764">
        <f>BS39+BS40+BS41+BS43+BS44</f>
        <v>0</v>
      </c>
      <c r="BT45" s="764">
        <f>BT39+BT40+BT41+BT43+BT44</f>
        <v>0</v>
      </c>
      <c r="BU45" s="764">
        <f>BU39+BU40+BU41+BU43+BU44</f>
        <v>0</v>
      </c>
      <c r="BV45" s="764">
        <f>BV39+BV40+BV41+BV43+BV44</f>
        <v>0</v>
      </c>
      <c r="BW45" s="764">
        <f>BW39+BW40+BW41+BW43+BW44</f>
        <v>0</v>
      </c>
      <c r="BX45" s="764">
        <f>IF(AI45=0,0,(BD45-AI45)/AI45*100)</f>
        <v>17.6864143262645</v>
      </c>
      <c r="BY45" s="764">
        <f>IF(BD45=0,0,(BE45-BD45)/BD45*100)</f>
        <v>-100</v>
      </c>
      <c r="BZ45" s="764">
        <f>IF(BE45=0,0,(BF45-BE45)/BE45*100)</f>
        <v>0</v>
      </c>
      <c r="CA45" s="764">
        <f>IF(BF45=0,0,(BG45-BF45)/BF45*100)</f>
        <v>0</v>
      </c>
      <c r="CB45" s="764">
        <f>IF(BG45=0,0,(BH45-BG45)/BG45*100)</f>
        <v>0</v>
      </c>
      <c r="CC45" s="764">
        <f>IF(BH45=0,0,(BI45-BH45)/BH45*100)</f>
        <v>0</v>
      </c>
      <c r="CD45" s="764">
        <f>IF(BI45=0,0,(BJ45-BI45)/BI45*100)</f>
        <v>0</v>
      </c>
      <c r="CE45" s="764">
        <f>IF(BJ45=0,0,(BK45-BJ45)/BJ45*100)</f>
        <v>0</v>
      </c>
      <c r="CF45" s="764">
        <f>IF(BK45=0,0,(BL45-BK45)/BK45*100)</f>
        <v>0</v>
      </c>
      <c r="CG45" s="764">
        <f>IF(BL45=0,0,(BM45-BL45)/BL45*100)</f>
        <v>0</v>
      </c>
      <c r="CH45" s="764">
        <f>IF(BM45=0,0,(BN45-BM45)/BM45*100)</f>
        <v>0</v>
      </c>
      <c r="CI45" s="764">
        <f>IF(BN45=0,0,(BO45-BN45)/BN45*100)</f>
        <v>0</v>
      </c>
      <c r="CJ45" s="764">
        <f>IF(BO45=0,0,(BP45-BO45)/BO45*100)</f>
        <v>0</v>
      </c>
      <c r="CK45" s="764">
        <f>IF(BP45=0,0,(BQ45-BP45)/BP45*100)</f>
        <v>0</v>
      </c>
      <c r="CL45" s="764">
        <f>IF(BQ45=0,0,(BR45-BQ45)/BQ45*100)</f>
        <v>0</v>
      </c>
      <c r="CM45" s="764">
        <f>IF(BR45=0,0,(BS45-BR45)/BR45*100)</f>
        <v>0</v>
      </c>
      <c r="CN45" s="764">
        <f>IF(BS45=0,0,(BT45-BS45)/BS45*100)</f>
        <v>0</v>
      </c>
      <c r="CO45" s="764">
        <f>IF(BT45=0,0,(BU45-BT45)/BT45*100)</f>
        <v>0</v>
      </c>
      <c r="CP45" s="764">
        <f>IF(BU45=0,0,(BV45-BU45)/BU45*100)</f>
        <v>0</v>
      </c>
      <c r="CQ45" s="764">
        <f>IF(BV45=0,0,(BW45-BV45)/BV45*100)</f>
        <v>0</v>
      </c>
      <c r="CR45" s="1906"/>
      <c r="CS45" s="1906"/>
      <c r="CT45" s="1906"/>
      <c r="CU45" s="286"/>
      <c r="CV45" s="1659"/>
      <c r="CW45" s="975" t="s">
        <v>630</v>
      </c>
      <c r="CX45" s="1506"/>
      <c r="CY45" s="1506"/>
      <c r="CZ45" s="0" cm="1" t="str">
        <f t="array" ref="CZ45:CZ45">CZ44</f>
        <v>ТЭ.42.31656254.0001</v>
      </c>
      <c r="DA45" s="1751"/>
      <c r="DB45" s="1751"/>
      <c r="DC45" s="1751"/>
      <c r="DD45" s="1751"/>
      <c r="DE45" s="0" t="s">
        <v>303</v>
      </c>
      <c r="DF45" s="0" t="s">
        <v>1682</v>
      </c>
      <c r="DG45" s="0" t="s">
        <v>1683</v>
      </c>
    </row>
    <row s="1751" customFormat="1" customHeight="1" ht="16.5" hidden="1">
      <c r="A46" s="371"/>
      <c r="B46" s="1548"/>
      <c r="C46" s="1548"/>
      <c r="D46" s="1548"/>
      <c r="E46" s="180">
        <v>17</v>
      </c>
      <c r="F46" s="175" cm="1" t="str">
        <f t="array" ref="F46:F46">OFFSET(G46,-1,-1)</f>
        <v>1</v>
      </c>
      <c r="G46" s="193" t="s">
        <v>1091</v>
      </c>
      <c r="H46" s="1659"/>
      <c r="I46" s="1659"/>
      <c r="J46" s="1659"/>
      <c r="K46" s="1659"/>
      <c r="L46" s="1659"/>
      <c r="M46" s="1659"/>
      <c r="N46" s="1659"/>
      <c r="O46" s="1659"/>
      <c r="P46" s="1659"/>
      <c r="Q46" s="1659"/>
      <c r="R46" s="193" t="s">
        <v>1092</v>
      </c>
      <c r="S46" s="1659"/>
      <c r="T46" s="753" cm="1" t="str">
        <f t="array" ref="T46:T46">T42</f>
        <v>false</v>
      </c>
      <c r="U46" s="1548"/>
      <c r="V46" s="1548"/>
      <c r="W46" s="1548"/>
      <c r="X46" s="1548"/>
      <c r="Y46" s="1548"/>
      <c r="Z46" s="1548"/>
      <c r="AA46" s="286"/>
      <c r="AB46" s="352">
        <v>6.1</v>
      </c>
      <c r="AC46" s="624" t="s">
        <v>1094</v>
      </c>
      <c r="AD46" s="320" t="s">
        <v>917</v>
      </c>
      <c r="AE46" s="695">
        <f>SUM(AE39,AE42)</f>
        <v>2526</v>
      </c>
      <c r="AF46" s="695">
        <f>SUM(AF39,AF42)</f>
        <v>3971.15</v>
      </c>
      <c r="AG46" s="695">
        <f>SUM(AG39,AG42)</f>
        <v>2853.98814247972</v>
      </c>
      <c r="AH46" s="695">
        <f>AG46-AF46</f>
        <v>-1117.16185752028</v>
      </c>
      <c r="AI46" s="759">
        <f>SUM(AI39,AI42)</f>
        <v>2957</v>
      </c>
      <c r="AJ46" s="695">
        <f>SUM(AJ39,AJ42)</f>
        <v>4559.01722300141</v>
      </c>
      <c r="AK46" s="695">
        <f>SUM(AK39,AK42)</f>
        <v>0</v>
      </c>
      <c r="AL46" s="695">
        <f>SUM(AL39,AL42)</f>
        <v>0</v>
      </c>
      <c r="AM46" s="695">
        <f>SUM(AM39,AM42)</f>
        <v>0</v>
      </c>
      <c r="AN46" s="695">
        <f>SUM(AN39,AN42)</f>
        <v>0</v>
      </c>
      <c r="AO46" s="695">
        <f>SUM(AO39,AO42)</f>
        <v>0</v>
      </c>
      <c r="AP46" s="695">
        <f>SUM(AP39,AP42)</f>
        <v>0</v>
      </c>
      <c r="AQ46" s="695">
        <f>SUM(AQ39,AQ42)</f>
        <v>0</v>
      </c>
      <c r="AR46" s="695">
        <f>SUM(AR39,AR42)</f>
        <v>0</v>
      </c>
      <c r="AS46" s="695">
        <f>SUM(AS39,AS42)</f>
        <v>0</v>
      </c>
      <c r="AT46" s="695">
        <f>SUM(AT39,AT42)</f>
        <v>0</v>
      </c>
      <c r="AU46" s="695">
        <f>SUM(AU39,AU42)</f>
        <v>0</v>
      </c>
      <c r="AV46" s="695">
        <f>SUM(AV39,AV42)</f>
        <v>0</v>
      </c>
      <c r="AW46" s="695">
        <f>SUM(AW39,AW42)</f>
        <v>0</v>
      </c>
      <c r="AX46" s="695">
        <f>SUM(AX39,AX42)</f>
        <v>0</v>
      </c>
      <c r="AY46" s="695">
        <f>SUM(AY39,AY42)</f>
        <v>0</v>
      </c>
      <c r="AZ46" s="695">
        <f>SUM(AZ39,AZ42)</f>
        <v>0</v>
      </c>
      <c r="BA46" s="695">
        <f>SUM(BA39,BA42)</f>
        <v>0</v>
      </c>
      <c r="BB46" s="695">
        <f>SUM(BB39,BB42)</f>
        <v>0</v>
      </c>
      <c r="BC46" s="695">
        <f>SUM(BC39,BC42)</f>
        <v>0</v>
      </c>
      <c r="BD46" s="695">
        <f>SUM(BD39,BD42)</f>
        <v>3292.57555763218</v>
      </c>
      <c r="BE46" s="695">
        <f>SUM(BE39,BE42)</f>
        <v>0</v>
      </c>
      <c r="BF46" s="695">
        <f>SUM(BF39,BF42)</f>
        <v>0</v>
      </c>
      <c r="BG46" s="695">
        <f>SUM(BG39,BG42)</f>
        <v>0</v>
      </c>
      <c r="BH46" s="695">
        <f>SUM(BH39,BH42)</f>
        <v>0</v>
      </c>
      <c r="BI46" s="695">
        <f>SUM(BI39,BI42)</f>
        <v>0</v>
      </c>
      <c r="BJ46" s="695">
        <f>SUM(BJ39,BJ42)</f>
        <v>0</v>
      </c>
      <c r="BK46" s="695">
        <f>SUM(BK39,BK42)</f>
        <v>0</v>
      </c>
      <c r="BL46" s="695">
        <f>SUM(BL39,BL42)</f>
        <v>0</v>
      </c>
      <c r="BM46" s="695">
        <f>SUM(BM39,BM42)</f>
        <v>0</v>
      </c>
      <c r="BN46" s="695">
        <f>SUM(BN39,BN42)</f>
        <v>0</v>
      </c>
      <c r="BO46" s="695">
        <f>SUM(BO39,BO42)</f>
        <v>0</v>
      </c>
      <c r="BP46" s="695">
        <f>SUM(BP39,BP42)</f>
        <v>0</v>
      </c>
      <c r="BQ46" s="695">
        <f>SUM(BQ39,BQ42)</f>
        <v>0</v>
      </c>
      <c r="BR46" s="695">
        <f>SUM(BR39,BR42)</f>
        <v>0</v>
      </c>
      <c r="BS46" s="695">
        <f>SUM(BS39,BS42)</f>
        <v>0</v>
      </c>
      <c r="BT46" s="695">
        <f>SUM(BT39,BT42)</f>
        <v>0</v>
      </c>
      <c r="BU46" s="695">
        <f>SUM(BU39,BU42)</f>
        <v>0</v>
      </c>
      <c r="BV46" s="695">
        <f>SUM(BV39,BV42)</f>
        <v>0</v>
      </c>
      <c r="BW46" s="695">
        <f>SUM(BW39,BW42)</f>
        <v>0</v>
      </c>
      <c r="BX46" s="695">
        <f>IF(AI46=0,0,(BD46-AI46)/AI46*100)</f>
        <v>11.3485139544193</v>
      </c>
      <c r="BY46" s="695">
        <f>IF(BD46=0,0,(BE46-BD46)/BD46*100)</f>
        <v>-100</v>
      </c>
      <c r="BZ46" s="695">
        <f>IF(BE46=0,0,(BF46-BE46)/BE46*100)</f>
        <v>0</v>
      </c>
      <c r="CA46" s="695">
        <f>IF(BF46=0,0,(BG46-BF46)/BF46*100)</f>
        <v>0</v>
      </c>
      <c r="CB46" s="695">
        <f>IF(BG46=0,0,(BH46-BG46)/BG46*100)</f>
        <v>0</v>
      </c>
      <c r="CC46" s="695">
        <f>IF(BH46=0,0,(BI46-BH46)/BH46*100)</f>
        <v>0</v>
      </c>
      <c r="CD46" s="695">
        <f>IF(BI46=0,0,(BJ46-BI46)/BI46*100)</f>
        <v>0</v>
      </c>
      <c r="CE46" s="695">
        <f>IF(BJ46=0,0,(BK46-BJ46)/BJ46*100)</f>
        <v>0</v>
      </c>
      <c r="CF46" s="695">
        <f>IF(BK46=0,0,(BL46-BK46)/BK46*100)</f>
        <v>0</v>
      </c>
      <c r="CG46" s="695">
        <f>IF(BL46=0,0,(BM46-BL46)/BL46*100)</f>
        <v>0</v>
      </c>
      <c r="CH46" s="695">
        <f>IF(BM46=0,0,(BN46-BM46)/BM46*100)</f>
        <v>0</v>
      </c>
      <c r="CI46" s="695">
        <f>IF(BN46=0,0,(BO46-BN46)/BN46*100)</f>
        <v>0</v>
      </c>
      <c r="CJ46" s="695">
        <f>IF(BO46=0,0,(BP46-BO46)/BO46*100)</f>
        <v>0</v>
      </c>
      <c r="CK46" s="695">
        <f>IF(BP46=0,0,(BQ46-BP46)/BP46*100)</f>
        <v>0</v>
      </c>
      <c r="CL46" s="695">
        <f>IF(BQ46=0,0,(BR46-BQ46)/BQ46*100)</f>
        <v>0</v>
      </c>
      <c r="CM46" s="695">
        <f>IF(BR46=0,0,(BS46-BR46)/BR46*100)</f>
        <v>0</v>
      </c>
      <c r="CN46" s="695">
        <f>IF(BS46=0,0,(BT46-BS46)/BS46*100)</f>
        <v>0</v>
      </c>
      <c r="CO46" s="695">
        <f>IF(BT46=0,0,(BU46-BT46)/BT46*100)</f>
        <v>0</v>
      </c>
      <c r="CP46" s="695">
        <f>IF(BU46=0,0,(BV46-BU46)/BU46*100)</f>
        <v>0</v>
      </c>
      <c r="CQ46" s="695">
        <f>IF(BV46=0,0,(BW46-BV46)/BV46*100)</f>
        <v>0</v>
      </c>
      <c r="CR46" s="85"/>
      <c r="CS46" s="85"/>
      <c r="CT46" s="85"/>
      <c r="CU46" s="286"/>
      <c r="CV46" s="1659"/>
      <c r="CW46" s="975" t="s">
        <v>1698</v>
      </c>
      <c r="CX46" s="1506"/>
      <c r="CY46" s="1506"/>
      <c r="CZ46" s="0" cm="1" t="str">
        <f t="array" ref="CZ46:CZ46">CZ45</f>
        <v>ТЭ.42.31656254.0001</v>
      </c>
      <c r="DA46" s="1751"/>
      <c r="DB46" s="0" t="s">
        <v>1694</v>
      </c>
      <c r="DC46" s="0" t="s">
        <v>1699</v>
      </c>
      <c r="DD46" s="1751"/>
      <c r="DE46" s="0" t="s">
        <v>303</v>
      </c>
      <c r="DF46" s="0" t="s">
        <v>1682</v>
      </c>
      <c r="DG46" s="0" t="s">
        <v>1683</v>
      </c>
    </row>
    <row customHeight="1" ht="9.75">
      <c r="E47" s="180">
        <v>10</v>
      </c>
      <c r="U47" s="175" t="s">
        <v>191</v>
      </c>
      <c r="V47" s="176" t="s">
        <v>1700</v>
      </c>
      <c r="AA47" s="679"/>
      <c r="AB47" s="678"/>
      <c r="AC47" s="681"/>
      <c r="AD47" s="678"/>
      <c r="AE47" s="679"/>
      <c r="AF47" s="679"/>
      <c r="AG47" s="679"/>
      <c r="AH47" s="679"/>
      <c r="AI47" s="679"/>
      <c r="AJ47" s="679"/>
      <c r="AK47" s="679"/>
      <c r="AL47" s="679"/>
      <c r="AM47" s="679"/>
      <c r="AN47" s="679"/>
      <c r="AO47" s="679"/>
      <c r="AP47" s="679"/>
      <c r="AQ47" s="679"/>
      <c r="AR47" s="679"/>
      <c r="AS47" s="679"/>
      <c r="AT47" s="679"/>
      <c r="AU47" s="679"/>
      <c r="AV47" s="679"/>
      <c r="AW47" s="679"/>
      <c r="AX47" s="679"/>
      <c r="AY47" s="679"/>
      <c r="AZ47" s="679"/>
      <c r="BA47" s="679"/>
      <c r="BB47" s="679"/>
      <c r="BC47" s="679"/>
      <c r="BD47" s="679"/>
      <c r="BE47" s="679"/>
      <c r="BF47" s="679"/>
      <c r="BG47" s="679"/>
      <c r="BH47" s="679"/>
      <c r="BI47" s="679"/>
      <c r="BJ47" s="679"/>
      <c r="BK47" s="679"/>
      <c r="BL47" s="679"/>
      <c r="BM47" s="679"/>
      <c r="BN47" s="679"/>
      <c r="BO47" s="679"/>
      <c r="BP47" s="679"/>
      <c r="BQ47" s="679"/>
      <c r="BR47" s="679"/>
      <c r="BS47" s="679"/>
      <c r="BT47" s="679"/>
      <c r="BU47" s="679"/>
      <c r="BV47" s="679"/>
      <c r="BW47" s="679"/>
      <c r="BX47" s="679"/>
      <c r="BY47" s="679"/>
      <c r="BZ47" s="679"/>
      <c r="CA47" s="679"/>
      <c r="CB47" s="679"/>
      <c r="CC47" s="679"/>
      <c r="CD47" s="679"/>
      <c r="CE47" s="679"/>
      <c r="CF47" s="679"/>
      <c r="CG47" s="679"/>
      <c r="CH47" s="679"/>
      <c r="CI47" s="679"/>
      <c r="CJ47" s="679"/>
      <c r="CK47" s="679"/>
      <c r="CL47" s="679"/>
      <c r="CM47" s="679"/>
      <c r="CN47" s="679"/>
      <c r="CO47" s="679"/>
      <c r="CP47" s="679"/>
      <c r="CQ47" s="679"/>
      <c r="CR47" s="679"/>
      <c r="CS47" s="679"/>
      <c r="CT47" s="679"/>
      <c r="CU47" s="679"/>
      <c r="CW47" s="975"/>
    </row>
    <row customHeight="1" ht="11.25" hidden="1">
      <c r="E48" s="965">
        <v>0</v>
      </c>
      <c r="AA48" s="679"/>
      <c r="AB48" s="678"/>
      <c r="AC48" s="681"/>
      <c r="AD48" s="678"/>
      <c r="AE48" s="679"/>
      <c r="AF48" s="679"/>
      <c r="AG48" s="679"/>
      <c r="AH48" s="679"/>
      <c r="AI48" s="679"/>
      <c r="AJ48" s="679"/>
      <c r="AK48" s="679"/>
      <c r="AL48" s="679"/>
      <c r="AM48" s="679"/>
      <c r="AN48" s="679"/>
      <c r="AO48" s="679"/>
      <c r="AP48" s="679"/>
      <c r="AQ48" s="679"/>
      <c r="AR48" s="679"/>
      <c r="AS48" s="679"/>
      <c r="AT48" s="679"/>
      <c r="AU48" s="679"/>
      <c r="AV48" s="679"/>
      <c r="AW48" s="679"/>
      <c r="AX48" s="679"/>
      <c r="AY48" s="679"/>
      <c r="AZ48" s="679"/>
      <c r="BA48" s="679"/>
      <c r="BB48" s="679"/>
      <c r="BC48" s="679"/>
      <c r="BD48" s="679"/>
      <c r="BE48" s="679"/>
      <c r="BF48" s="679"/>
      <c r="BG48" s="679"/>
      <c r="BH48" s="679"/>
      <c r="BI48" s="679"/>
      <c r="BJ48" s="679"/>
      <c r="BK48" s="679"/>
      <c r="BL48" s="679"/>
      <c r="BM48" s="679"/>
      <c r="BN48" s="679"/>
      <c r="BO48" s="679"/>
      <c r="BP48" s="679"/>
      <c r="BQ48" s="679"/>
      <c r="BR48" s="679"/>
      <c r="BS48" s="679"/>
      <c r="BT48" s="679"/>
      <c r="BU48" s="679"/>
      <c r="BV48" s="679"/>
      <c r="BW48" s="679"/>
      <c r="BX48" s="679"/>
      <c r="BY48" s="679"/>
      <c r="BZ48" s="679"/>
      <c r="CA48" s="679"/>
      <c r="CB48" s="679"/>
      <c r="CC48" s="679"/>
      <c r="CD48" s="679"/>
      <c r="CE48" s="679"/>
      <c r="CF48" s="679"/>
      <c r="CG48" s="679"/>
      <c r="CH48" s="679"/>
      <c r="CI48" s="679"/>
      <c r="CJ48" s="679"/>
      <c r="CK48" s="679"/>
      <c r="CL48" s="679"/>
      <c r="CM48" s="679"/>
      <c r="CN48" s="679"/>
      <c r="CO48" s="679"/>
      <c r="CP48" s="679"/>
      <c r="CQ48" s="679"/>
      <c r="CR48" s="679"/>
      <c r="CS48" s="679"/>
      <c r="CT48" s="679"/>
      <c r="CU48" s="679"/>
    </row>
    <row customHeight="1" ht="14.625">
      <c r="E49" s="180">
        <v>15</v>
      </c>
      <c r="AA49" s="679"/>
      <c r="AB49" s="1653" t="s">
        <v>765</v>
      </c>
      <c r="AC49" s="1653"/>
      <c r="AD49" s="1653"/>
      <c r="AE49" s="1653"/>
      <c r="AF49" s="1653"/>
      <c r="AG49" s="1653"/>
      <c r="AH49" s="1653"/>
      <c r="AI49" s="1653"/>
      <c r="AJ49" s="1653"/>
      <c r="AK49" s="1653"/>
      <c r="AL49" s="1653"/>
      <c r="AM49" s="1653"/>
      <c r="AN49" s="1653"/>
      <c r="AO49" s="1653"/>
      <c r="AP49" s="1653"/>
      <c r="AQ49" s="1653"/>
      <c r="AR49" s="1653"/>
      <c r="AS49" s="1653"/>
      <c r="AT49" s="1653"/>
      <c r="AU49" s="1653"/>
      <c r="AV49" s="1653"/>
      <c r="AW49" s="1653"/>
      <c r="AX49" s="1653"/>
      <c r="AY49" s="1653"/>
      <c r="AZ49" s="1653"/>
      <c r="BA49" s="1653"/>
      <c r="BB49" s="1653"/>
      <c r="BC49" s="1653"/>
      <c r="BD49" s="1653"/>
      <c r="BE49" s="1653"/>
      <c r="BF49" s="1653"/>
      <c r="BG49" s="1653"/>
      <c r="BH49" s="1653"/>
      <c r="BI49" s="1653"/>
      <c r="BJ49" s="1653"/>
      <c r="BK49" s="1653"/>
      <c r="BL49" s="1653"/>
      <c r="BM49" s="1653"/>
      <c r="BN49" s="1653"/>
      <c r="BO49" s="1653"/>
      <c r="BP49" s="1653"/>
      <c r="BQ49" s="1653"/>
      <c r="BR49" s="1653"/>
      <c r="BS49" s="1653"/>
      <c r="BT49" s="1653"/>
      <c r="BU49" s="1653"/>
      <c r="BV49" s="1653"/>
      <c r="BW49" s="1653"/>
      <c r="BX49" s="1653"/>
      <c r="BY49" s="1653"/>
      <c r="BZ49" s="1653"/>
      <c r="CA49" s="1653"/>
      <c r="CB49" s="1653"/>
      <c r="CC49" s="1653"/>
      <c r="CD49" s="1653"/>
      <c r="CE49" s="1653"/>
      <c r="CF49" s="1653"/>
      <c r="CG49" s="1653"/>
      <c r="CH49" s="1653"/>
      <c r="CI49" s="1653"/>
      <c r="CJ49" s="1653"/>
      <c r="CK49" s="1653"/>
      <c r="CL49" s="1653"/>
      <c r="CM49" s="1653"/>
      <c r="CN49" s="1653"/>
      <c r="CO49" s="1653"/>
      <c r="CP49" s="1653"/>
      <c r="CQ49" s="1653"/>
      <c r="CR49" s="1653"/>
      <c r="CS49" s="1653"/>
      <c r="CT49" s="1653"/>
      <c r="CU49" s="679"/>
    </row>
    <row customHeight="1" ht="14.625">
      <c r="E50" s="180">
        <v>15</v>
      </c>
      <c r="AA50" s="477"/>
      <c r="AB50" s="1675"/>
      <c r="AC50" s="1676"/>
      <c r="AD50" s="1676"/>
      <c r="AE50" s="1676"/>
      <c r="AF50" s="1676"/>
      <c r="AG50" s="1676"/>
      <c r="AH50" s="1676"/>
      <c r="AI50" s="1676"/>
      <c r="AJ50" s="1676"/>
      <c r="AK50" s="1676"/>
      <c r="AL50" s="1676"/>
      <c r="AM50" s="1676"/>
      <c r="AN50" s="1676"/>
      <c r="AO50" s="1676"/>
      <c r="AP50" s="1676"/>
      <c r="AQ50" s="1676"/>
      <c r="AR50" s="1676"/>
      <c r="AS50" s="1676"/>
      <c r="AT50" s="1676"/>
      <c r="AU50" s="1676"/>
      <c r="AV50" s="1676"/>
      <c r="AW50" s="1676"/>
      <c r="AX50" s="1676"/>
      <c r="AY50" s="1676"/>
      <c r="AZ50" s="1676"/>
      <c r="BA50" s="1676"/>
      <c r="BB50" s="1676"/>
      <c r="BC50" s="1676"/>
      <c r="BD50" s="1676"/>
      <c r="BE50" s="1676"/>
      <c r="BF50" s="1676"/>
      <c r="BG50" s="1676"/>
      <c r="BH50" s="1676"/>
      <c r="BI50" s="1676"/>
      <c r="BJ50" s="1676"/>
      <c r="BK50" s="1676"/>
      <c r="BL50" s="1676"/>
      <c r="BM50" s="1676"/>
      <c r="BN50" s="1676"/>
      <c r="BO50" s="1676"/>
      <c r="BP50" s="1676"/>
      <c r="BQ50" s="1676"/>
      <c r="BR50" s="1676"/>
      <c r="BS50" s="1676"/>
      <c r="BT50" s="1676"/>
      <c r="BU50" s="1676"/>
      <c r="BV50" s="1676"/>
      <c r="BW50" s="1676"/>
      <c r="BX50" s="1676"/>
      <c r="BY50" s="1676"/>
      <c r="BZ50" s="1676"/>
      <c r="CA50" s="1676"/>
      <c r="CB50" s="1676"/>
      <c r="CC50" s="1676"/>
      <c r="CD50" s="1676"/>
      <c r="CE50" s="1676"/>
      <c r="CF50" s="1676"/>
      <c r="CG50" s="1676"/>
      <c r="CH50" s="1676"/>
      <c r="CI50" s="1676"/>
      <c r="CJ50" s="1676"/>
      <c r="CK50" s="1676"/>
      <c r="CL50" s="1676"/>
      <c r="CM50" s="1676"/>
      <c r="CN50" s="1676"/>
      <c r="CO50" s="1676"/>
      <c r="CP50" s="1676"/>
      <c r="CQ50" s="1676"/>
      <c r="CR50" s="1676"/>
      <c r="CS50" s="1676"/>
      <c r="CT50" s="1676"/>
      <c r="CU50" s="679"/>
    </row>
    <row customHeight="1" ht="14.625" hidden="1">
      <c r="A51" s="371"/>
      <c r="B51" s="1548"/>
      <c r="C51" s="1548"/>
      <c r="D51" s="1548"/>
      <c r="E51" s="180">
        <v>15</v>
      </c>
      <c r="F51" s="1548"/>
      <c r="G51" s="1659"/>
      <c r="H51" s="1659"/>
      <c r="I51" s="1659"/>
      <c r="J51" s="1659"/>
      <c r="K51" s="1659"/>
      <c r="L51" s="1659"/>
      <c r="M51" s="1659"/>
      <c r="N51" s="1659"/>
      <c r="O51" s="1659"/>
      <c r="P51" s="1659"/>
      <c r="Q51" s="1659"/>
      <c r="R51" s="1659"/>
      <c r="S51" s="1659"/>
      <c r="T51" s="753">
        <f>ROW(W51)&gt;ROW(W$51)</f>
        <v>0</v>
      </c>
      <c r="U51" s="1548"/>
      <c r="V51" s="1548"/>
      <c r="W51" s="175" t="s">
        <v>189</v>
      </c>
      <c r="X51" s="1548"/>
      <c r="Y51" s="1548"/>
      <c r="Z51" s="1548"/>
      <c r="AA51" s="477" t="s">
        <v>171</v>
      </c>
      <c r="AB51" s="2334"/>
      <c r="AC51" s="1676"/>
      <c r="AD51" s="1676"/>
      <c r="AE51" s="1676"/>
      <c r="AF51" s="1676"/>
      <c r="AG51" s="1676"/>
      <c r="AH51" s="1676"/>
      <c r="AI51" s="1676"/>
      <c r="AJ51" s="1676"/>
      <c r="AK51" s="1676"/>
      <c r="AL51" s="1676"/>
      <c r="AM51" s="1676"/>
      <c r="AN51" s="1676"/>
      <c r="AO51" s="1676"/>
      <c r="AP51" s="1676"/>
      <c r="AQ51" s="1676"/>
      <c r="AR51" s="1676"/>
      <c r="AS51" s="1676"/>
      <c r="AT51" s="1676"/>
      <c r="AU51" s="1676"/>
      <c r="AV51" s="1676"/>
      <c r="AW51" s="1676"/>
      <c r="AX51" s="1676"/>
      <c r="AY51" s="1676"/>
      <c r="AZ51" s="1676"/>
      <c r="BA51" s="1676"/>
      <c r="BB51" s="1676"/>
      <c r="BC51" s="1676"/>
      <c r="BD51" s="1676"/>
      <c r="BE51" s="1676"/>
      <c r="BF51" s="1676"/>
      <c r="BG51" s="1676"/>
      <c r="BH51" s="1676"/>
      <c r="BI51" s="1676"/>
      <c r="BJ51" s="1676"/>
      <c r="BK51" s="1676"/>
      <c r="BL51" s="1676"/>
      <c r="BM51" s="1676"/>
      <c r="BN51" s="1676"/>
      <c r="BO51" s="1676"/>
      <c r="BP51" s="1676"/>
      <c r="BQ51" s="1676"/>
      <c r="BR51" s="1676"/>
      <c r="BS51" s="1676"/>
      <c r="BT51" s="1676"/>
      <c r="BU51" s="1676"/>
      <c r="BV51" s="1676"/>
      <c r="BW51" s="1676"/>
      <c r="BX51" s="1676"/>
      <c r="BY51" s="1676"/>
      <c r="BZ51" s="1676"/>
      <c r="CA51" s="1676"/>
      <c r="CB51" s="1676"/>
      <c r="CC51" s="1676"/>
      <c r="CD51" s="1676"/>
      <c r="CE51" s="1676"/>
      <c r="CF51" s="1676"/>
      <c r="CG51" s="1676"/>
      <c r="CH51" s="1676"/>
      <c r="CI51" s="1676"/>
      <c r="CJ51" s="1676"/>
      <c r="CK51" s="1676"/>
      <c r="CL51" s="1676"/>
      <c r="CM51" s="1676"/>
      <c r="CN51" s="1676"/>
      <c r="CO51" s="1676"/>
      <c r="CP51" s="1676"/>
      <c r="CQ51" s="1676"/>
      <c r="CR51" s="1676"/>
      <c r="CS51" s="1676"/>
      <c r="CT51" s="1676"/>
      <c r="CU51" s="679"/>
      <c r="CV51" s="1659"/>
      <c r="CW51" s="1142"/>
      <c r="CX51" s="1506"/>
      <c r="CY51" s="1506"/>
      <c r="CZ51" s="1752"/>
      <c r="DA51" s="1752"/>
      <c r="DB51" s="1752"/>
      <c r="DC51" s="1752"/>
      <c r="DD51" s="1752"/>
      <c r="DE51" s="1752"/>
      <c r="DF51" s="1752"/>
      <c r="DG51" s="1752"/>
    </row>
    <row customHeight="1" ht="14.625">
      <c r="E52" s="180">
        <v>15</v>
      </c>
      <c r="W52" s="176" t="s">
        <v>190</v>
      </c>
      <c r="AB52" s="1599" t="s">
        <v>766</v>
      </c>
      <c r="AC52" s="1600"/>
      <c r="AD52" s="480"/>
      <c r="AE52" s="480"/>
      <c r="AF52" s="480"/>
      <c r="AG52" s="480"/>
      <c r="AH52" s="480"/>
      <c r="AI52" s="480"/>
      <c r="AJ52" s="480"/>
      <c r="AK52" s="480"/>
      <c r="AL52" s="480"/>
      <c r="AM52" s="480"/>
      <c r="AN52" s="480"/>
      <c r="AO52" s="480"/>
      <c r="AP52" s="480"/>
      <c r="AQ52" s="480"/>
      <c r="AR52" s="480"/>
      <c r="AS52" s="480"/>
      <c r="AT52" s="480"/>
      <c r="AU52" s="480"/>
      <c r="AV52" s="480"/>
      <c r="AW52" s="480"/>
      <c r="AX52" s="480"/>
      <c r="AY52" s="480"/>
      <c r="AZ52" s="480"/>
      <c r="BA52" s="480"/>
      <c r="BB52" s="480"/>
      <c r="BC52" s="480"/>
      <c r="BD52" s="480"/>
      <c r="BE52" s="480"/>
      <c r="BF52" s="480"/>
      <c r="BG52" s="480"/>
      <c r="BH52" s="480"/>
      <c r="BI52" s="480"/>
      <c r="BJ52" s="480"/>
      <c r="BK52" s="480"/>
      <c r="BL52" s="480"/>
      <c r="BM52" s="480"/>
      <c r="BN52" s="480"/>
      <c r="BO52" s="480"/>
      <c r="BP52" s="480"/>
      <c r="BQ52" s="480"/>
      <c r="BR52" s="480"/>
      <c r="BS52" s="480"/>
      <c r="BT52" s="480"/>
      <c r="BU52" s="480"/>
      <c r="BV52" s="480"/>
      <c r="BW52" s="480"/>
      <c r="BX52" s="480"/>
      <c r="BY52" s="480"/>
      <c r="BZ52" s="480"/>
      <c r="CA52" s="480"/>
      <c r="CB52" s="480"/>
      <c r="CC52" s="480"/>
      <c r="CD52" s="480"/>
      <c r="CE52" s="480"/>
      <c r="CF52" s="480"/>
      <c r="CG52" s="480"/>
      <c r="CH52" s="480"/>
      <c r="CI52" s="480"/>
      <c r="CJ52" s="480"/>
      <c r="CK52" s="480"/>
      <c r="CL52" s="480"/>
      <c r="CM52" s="480"/>
      <c r="CN52" s="480"/>
      <c r="CO52" s="480"/>
      <c r="CP52" s="480"/>
      <c r="CQ52" s="480"/>
      <c r="CR52" s="480"/>
      <c r="CS52" s="480"/>
      <c r="CT52" s="482"/>
      <c r="CU52" s="679"/>
    </row>
    <row customHeight="1" ht="11.25">
      <c r="AA53" s="679"/>
      <c r="AB53" s="678"/>
      <c r="AC53" s="681"/>
      <c r="AD53" s="678"/>
      <c r="AE53" s="679"/>
      <c r="AF53" s="679"/>
      <c r="AG53" s="679"/>
      <c r="AH53" s="679"/>
      <c r="AI53" s="679"/>
      <c r="AJ53" s="679"/>
      <c r="AK53" s="679"/>
      <c r="AL53" s="679"/>
      <c r="AM53" s="679"/>
      <c r="AN53" s="679"/>
      <c r="AO53" s="679"/>
      <c r="AP53" s="679"/>
      <c r="AQ53" s="679"/>
      <c r="AR53" s="679"/>
      <c r="AS53" s="679"/>
      <c r="AT53" s="679"/>
      <c r="AU53" s="679"/>
      <c r="AV53" s="679"/>
      <c r="AW53" s="679"/>
      <c r="AX53" s="679"/>
      <c r="AY53" s="679"/>
      <c r="AZ53" s="679"/>
      <c r="BA53" s="679"/>
      <c r="BB53" s="679"/>
      <c r="BC53" s="679"/>
      <c r="BD53" s="679"/>
      <c r="BE53" s="679"/>
      <c r="BF53" s="679"/>
      <c r="BG53" s="679"/>
      <c r="BH53" s="679"/>
      <c r="BI53" s="679"/>
      <c r="BJ53" s="679"/>
      <c r="BK53" s="679"/>
      <c r="BL53" s="679"/>
      <c r="BM53" s="679"/>
      <c r="BN53" s="679"/>
      <c r="BO53" s="679"/>
      <c r="BP53" s="679"/>
      <c r="BQ53" s="679"/>
      <c r="BR53" s="679"/>
      <c r="BS53" s="679"/>
      <c r="BT53" s="679"/>
      <c r="BU53" s="679"/>
      <c r="BV53" s="679"/>
      <c r="BW53" s="679"/>
      <c r="BX53" s="679"/>
      <c r="BY53" s="679"/>
      <c r="BZ53" s="679"/>
      <c r="CA53" s="679"/>
      <c r="CB53" s="679"/>
      <c r="CC53" s="679"/>
      <c r="CD53" s="679"/>
      <c r="CE53" s="679"/>
      <c r="CF53" s="679"/>
      <c r="CG53" s="679"/>
      <c r="CH53" s="679"/>
      <c r="CI53" s="679"/>
      <c r="CJ53" s="679"/>
      <c r="CK53" s="679"/>
      <c r="CL53" s="679"/>
      <c r="CM53" s="679"/>
      <c r="CN53" s="679"/>
      <c r="CO53" s="679"/>
      <c r="CP53" s="679"/>
      <c r="CQ53" s="679"/>
      <c r="CR53" s="679"/>
      <c r="CS53" s="679"/>
      <c r="CT53" s="679"/>
      <c r="CU53" s="679"/>
    </row>
    <row customHeight="1" ht="11.25" hidden="1">
      <c r="AJ54" s="286"/>
      <c r="AK54" s="286"/>
      <c r="AL54" s="286"/>
      <c r="AM54" s="286"/>
      <c r="AN54" s="286"/>
      <c r="AO54" s="286"/>
      <c r="AP54" s="286"/>
      <c r="AQ54" s="286"/>
      <c r="AR54" s="286"/>
      <c r="AS54" s="286"/>
      <c r="AT54" s="286"/>
      <c r="AU54" s="286"/>
      <c r="AV54" s="286"/>
      <c r="AW54" s="286"/>
      <c r="AX54" s="286"/>
      <c r="AY54" s="286"/>
      <c r="AZ54" s="286"/>
      <c r="BA54" s="286"/>
      <c r="BB54" s="286"/>
      <c r="BC54" s="286"/>
      <c r="BD54" s="286"/>
      <c r="BE54" s="286"/>
      <c r="BF54" s="286"/>
      <c r="BG54" s="286"/>
      <c r="BH54" s="286"/>
      <c r="BI54" s="286"/>
      <c r="BJ54" s="286"/>
      <c r="BK54" s="286"/>
      <c r="BL54" s="286"/>
      <c r="BM54" s="286"/>
      <c r="BN54" s="286"/>
      <c r="BO54" s="286"/>
      <c r="BP54" s="286"/>
      <c r="BQ54" s="286"/>
      <c r="BR54" s="286"/>
      <c r="BS54" s="286"/>
      <c r="BT54" s="286"/>
      <c r="BU54" s="286"/>
      <c r="BV54" s="286"/>
      <c r="BW54" s="286"/>
      <c r="BX54" s="286"/>
      <c r="BY54" s="286"/>
      <c r="BZ54" s="286"/>
      <c r="CA54" s="286"/>
      <c r="CB54" s="286"/>
      <c r="CC54" s="286"/>
      <c r="CD54" s="286"/>
      <c r="CE54" s="286"/>
      <c r="CF54" s="286"/>
      <c r="CG54" s="286"/>
      <c r="CH54" s="286"/>
      <c r="CI54" s="286"/>
      <c r="CJ54" s="286"/>
      <c r="CK54" s="286"/>
      <c r="CL54" s="286"/>
      <c r="CM54" s="286"/>
      <c r="CN54" s="286"/>
      <c r="CO54" s="286"/>
      <c r="CP54" s="286"/>
      <c r="CQ54" s="286"/>
    </row>
    <row customHeight="1" ht="11.25" hidden="1">
      <c r="A55" s="0" t="s">
        <v>109</v>
      </c>
      <c r="AE55" s="0" t="str">
        <f>"389.0."&amp;AE$9-2010&amp;"."</f>
        <v>389.0.15.</v>
      </c>
      <c r="AF55" s="0" t="str">
        <f>"389.0."&amp;AF$9-2010&amp;"."</f>
        <v>389.0.15.</v>
      </c>
      <c r="AG55" s="0" t="str">
        <f>"389.0."&amp;AG$9-2010&amp;"."</f>
        <v>389.0.15.</v>
      </c>
      <c r="AH55" s="0" t="str">
        <f>"389.0."&amp;AH$9-2010&amp;"."</f>
        <v>389.0.15.</v>
      </c>
      <c r="AI55" s="0" t="str">
        <f>"389.0."&amp;AI$9-2010&amp;"."</f>
        <v>389.0.16.</v>
      </c>
      <c r="AJ55" s="0" t="str">
        <f>"389.0."&amp;AJ$9-2010&amp;"."</f>
        <v>389.0.17.</v>
      </c>
      <c r="AK55" s="0" t="str">
        <f>"389.0."&amp;AK$9-2010&amp;"."</f>
        <v>389.0.18.</v>
      </c>
      <c r="AL55" s="0" t="str">
        <f>"389.0."&amp;AL$9-2010&amp;"."</f>
        <v>389.0.19.</v>
      </c>
      <c r="AM55" s="0" t="str">
        <f>"389.0."&amp;AM$9-2010&amp;"."</f>
        <v>389.0.20.</v>
      </c>
      <c r="AN55" s="0" t="str">
        <f>"389.0."&amp;AN$9-2010&amp;"."</f>
        <v>389.0.21.</v>
      </c>
      <c r="AO55" s="0" t="str">
        <f>"389.0."&amp;AO$9-2010&amp;"."</f>
        <v>389.0.22.</v>
      </c>
      <c r="AP55" s="0" t="str">
        <f>"389.0."&amp;AP$9-2010&amp;"."</f>
        <v>389.0.23.</v>
      </c>
      <c r="AQ55" s="0" t="str">
        <f>"389.0."&amp;AQ$9-2010&amp;"."</f>
        <v>389.0.24.</v>
      </c>
      <c r="AR55" s="0" t="str">
        <f>"389.0."&amp;AR$9-2010&amp;"."</f>
        <v>389.0.25.</v>
      </c>
      <c r="AS55" s="0" t="str">
        <f>"389.0."&amp;AS$9-2010&amp;"."</f>
        <v>389.0.26.</v>
      </c>
      <c r="AT55" s="0" t="str">
        <f>"389.0."&amp;AT$9-2010&amp;"."</f>
        <v>389.0.27.</v>
      </c>
      <c r="AU55" s="0" t="str">
        <f>"389.0."&amp;AU$9-2010&amp;"."</f>
        <v>389.0.28.</v>
      </c>
      <c r="AV55" s="0" t="str">
        <f>"389.0."&amp;AV$9-2010&amp;"."</f>
        <v>389.0.29.</v>
      </c>
      <c r="AW55" s="0" t="str">
        <f>"389.0."&amp;AW$9-2010&amp;"."</f>
        <v>389.0.30.</v>
      </c>
      <c r="AX55" s="0" t="str">
        <f>"389.0."&amp;AX$9-2010&amp;"."</f>
        <v>389.0.31.</v>
      </c>
      <c r="AY55" s="0" t="str">
        <f>"389.0."&amp;AY$9-2010&amp;"."</f>
        <v>389.0.32.</v>
      </c>
      <c r="AZ55" s="0" t="str">
        <f>"389.0."&amp;AZ$9-2010&amp;"."</f>
        <v>389.0.33.</v>
      </c>
      <c r="BA55" s="0" t="str">
        <f>"389.0."&amp;BA$9-2010&amp;"."</f>
        <v>389.0.34.</v>
      </c>
      <c r="BB55" s="0" t="str">
        <f>"389.0."&amp;BB$9-2010&amp;"."</f>
        <v>389.0.35.</v>
      </c>
      <c r="BC55" s="0" t="str">
        <f>"389.0."&amp;BC$9-2010&amp;"."</f>
        <v>389.0.36.</v>
      </c>
      <c r="BD55" s="0" t="str">
        <f>"389.0."&amp;BD$9-2010&amp;"."</f>
        <v>389.0.17.</v>
      </c>
      <c r="BE55" s="0" t="str">
        <f>"389.0."&amp;BE$9-2010&amp;"."</f>
        <v>389.0.18.</v>
      </c>
      <c r="BF55" s="0" t="str">
        <f>"389.0."&amp;BF$9-2010&amp;"."</f>
        <v>389.0.19.</v>
      </c>
      <c r="BG55" s="0" t="str">
        <f>"389.0."&amp;BG$9-2010&amp;"."</f>
        <v>389.0.20.</v>
      </c>
      <c r="BH55" s="0" t="str">
        <f>"389.0."&amp;BH$9-2010&amp;"."</f>
        <v>389.0.21.</v>
      </c>
      <c r="BI55" s="0" t="str">
        <f>"389.0."&amp;BI$9-2010&amp;"."</f>
        <v>389.0.22.</v>
      </c>
      <c r="BJ55" s="0" t="str">
        <f>"389.0."&amp;BJ$9-2010&amp;"."</f>
        <v>389.0.23.</v>
      </c>
      <c r="BK55" s="0" t="str">
        <f>"389.0."&amp;BK$9-2010&amp;"."</f>
        <v>389.0.24.</v>
      </c>
      <c r="BL55" s="0" t="str">
        <f>"389.0."&amp;BL$9-2010&amp;"."</f>
        <v>389.0.25.</v>
      </c>
      <c r="BM55" s="0" t="str">
        <f>"389.0."&amp;BM$9-2010&amp;"."</f>
        <v>389.0.26.</v>
      </c>
      <c r="BN55" s="0" t="str">
        <f>"389.0."&amp;BN$9-2010&amp;"."</f>
        <v>389.0.27.</v>
      </c>
      <c r="BO55" s="0" t="str">
        <f>"389.0."&amp;BO$9-2010&amp;"."</f>
        <v>389.0.28.</v>
      </c>
      <c r="BP55" s="0" t="str">
        <f>"389.0."&amp;BP$9-2010&amp;"."</f>
        <v>389.0.29.</v>
      </c>
      <c r="BQ55" s="0" t="str">
        <f>"389.0."&amp;BQ$9-2010&amp;"."</f>
        <v>389.0.30.</v>
      </c>
      <c r="BR55" s="0" t="str">
        <f>"389.0."&amp;BR$9-2010&amp;"."</f>
        <v>389.0.31.</v>
      </c>
      <c r="BS55" s="0" t="str">
        <f>"389.0."&amp;BS$9-2010&amp;"."</f>
        <v>389.0.32.</v>
      </c>
      <c r="BT55" s="0" t="str">
        <f>"389.0."&amp;BT$9-2010&amp;"."</f>
        <v>389.0.33.</v>
      </c>
      <c r="BU55" s="0" t="str">
        <f>"389.0."&amp;BU$9-2010&amp;"."</f>
        <v>389.0.34.</v>
      </c>
      <c r="BV55" s="0" t="str">
        <f>"389.0."&amp;BV$9-2010&amp;"."</f>
        <v>389.0.35.</v>
      </c>
      <c r="BW55" s="0" t="str">
        <f>"389.0."&amp;BW$9-2010&amp;"."</f>
        <v>389.0.36.</v>
      </c>
      <c r="BX55" s="0" t="str">
        <f>"389.0."&amp;BX$9-2010&amp;"."</f>
        <v>389.0.17.</v>
      </c>
      <c r="BY55" s="0" t="str">
        <f>"389.0."&amp;BY$9-2010&amp;"."</f>
        <v>389.0.18.</v>
      </c>
      <c r="BZ55" s="0" t="str">
        <f>"389.0."&amp;BZ$9-2010&amp;"."</f>
        <v>389.0.19.</v>
      </c>
      <c r="CA55" s="0" t="str">
        <f>"389.0."&amp;CA$9-2010&amp;"."</f>
        <v>389.0.20.</v>
      </c>
      <c r="CB55" s="0" t="str">
        <f>"389.0."&amp;CB$9-2010&amp;"."</f>
        <v>389.0.21.</v>
      </c>
      <c r="CC55" s="0" t="str">
        <f>"389.0."&amp;CC$9-2010&amp;"."</f>
        <v>389.0.22.</v>
      </c>
      <c r="CD55" s="0" t="str">
        <f>"389.0."&amp;CD$9-2010&amp;"."</f>
        <v>389.0.23.</v>
      </c>
      <c r="CE55" s="0" t="str">
        <f>"389.0."&amp;CE$9-2010&amp;"."</f>
        <v>389.0.24.</v>
      </c>
      <c r="CF55" s="0" t="str">
        <f>"389.0."&amp;CF$9-2010&amp;"."</f>
        <v>389.0.25.</v>
      </c>
      <c r="CG55" s="0" t="str">
        <f>"389.0."&amp;CG$9-2010&amp;"."</f>
        <v>389.0.26.</v>
      </c>
      <c r="CH55" s="0" t="str">
        <f>"389.0."&amp;CH$9-2010&amp;"."</f>
        <v>389.0.27.</v>
      </c>
      <c r="CI55" s="0" t="str">
        <f>"389.0."&amp;CI$9-2010&amp;"."</f>
        <v>389.0.28.</v>
      </c>
      <c r="CJ55" s="0" t="str">
        <f>"389.0."&amp;CJ$9-2010&amp;"."</f>
        <v>389.0.29.</v>
      </c>
      <c r="CK55" s="0" t="str">
        <f>"389.0."&amp;CK$9-2010&amp;"."</f>
        <v>389.0.30.</v>
      </c>
      <c r="CL55" s="0" t="str">
        <f>"389.0."&amp;CL$9-2010&amp;"."</f>
        <v>389.0.31.</v>
      </c>
      <c r="CM55" s="0" t="str">
        <f>"389.0."&amp;CM$9-2010&amp;"."</f>
        <v>389.0.32.</v>
      </c>
      <c r="CN55" s="0" t="str">
        <f>"389.0."&amp;CN$9-2010&amp;"."</f>
        <v>389.0.33.</v>
      </c>
      <c r="CO55" s="0" t="str">
        <f>"389.0."&amp;CO$9-2010&amp;"."</f>
        <v>389.0.34.</v>
      </c>
      <c r="CP55" s="0" t="str">
        <f>"389.0."&amp;CP$9-2010&amp;"."</f>
        <v>389.0.35.</v>
      </c>
      <c r="CQ55" s="0" t="str">
        <f>"389.0."&amp;CQ$9-2010&amp;"."</f>
        <v>389.0.36.</v>
      </c>
    </row>
    <row customHeight="1" ht="11.25" hidden="1">
      <c r="A56" s="0" t="s">
        <v>406</v>
      </c>
      <c r="AE56" s="0" cm="1" t="str">
        <f t="array" ref="AE56:AE56">IF($A56="uni_org_reg_NAME",INDEX(org_reg_values,MATCH(AE$10,org_reg_codes,0),1),IF($A56="uni_pf_NAME",INDEX(pf_codes_values,MATCH(AE$10,pf_codes,0),1),""))</f>
        <v>328.0.2.</v>
      </c>
      <c r="AF56" s="0" cm="1" t="str">
        <f t="array" ref="AF56:AF56">IF($A56="uni_org_reg_NAME",INDEX(org_reg_values,MATCH(AF$10,org_reg_codes,0),1),IF($A56="uni_pf_NAME",INDEX(pf_codes_values,MATCH(AF$10,pf_codes,0),1),""))</f>
        <v>328.0.1.</v>
      </c>
      <c r="AG56" s="0" cm="1" t="str">
        <f t="array" ref="AG56:AG56">IF($A56="uni_org_reg_NAME",INDEX(org_reg_values,MATCH(AG$10,org_reg_codes,0),1),IF($A56="uni_pf_NAME",INDEX(pf_codes_values,MATCH(AG$10,pf_codes,0),1),""))</f>
        <v>328.0.2.</v>
      </c>
      <c r="AH56" s="0" cm="1" t="str">
        <f t="array" ref="AH56:AH56">IF($A56="uni_org_reg_NAME",INDEX(org_reg_values,MATCH(AH$10,org_reg_codes,0),1),IF($A56="uni_pf_NAME",INDEX(pf_codes_values,MATCH(AH$10,pf_codes,0),1),""))</f>
        <v>328.0.1.</v>
      </c>
      <c r="AI56" s="0" cm="1" t="str">
        <f t="array" ref="AI56:AI56">IF($A56="uni_org_reg_NAME",INDEX(org_reg_values,MATCH(AI$10,org_reg_codes,0),1),IF($A56="uni_pf_NAME",INDEX(pf_codes_values,MATCH(AI$10,pf_codes,0),1),""))</f>
        <v>328.0.2.</v>
      </c>
      <c r="AJ56" s="0" cm="1" t="str">
        <f t="array" ref="AJ56:AJ56">IF($A56="uni_org_reg_NAME",INDEX(org_reg_values,MATCH(AJ$10,org_reg_codes,0),1),IF($A56="uni_pf_NAME",INDEX(pf_codes_values,MATCH(AJ$10,pf_codes,0),1),""))</f>
        <v>328.0.1.</v>
      </c>
      <c r="AK56" s="0" cm="1" t="str">
        <f t="array" ref="AK56:AK56">IF($A56="uni_org_reg_NAME",INDEX(org_reg_values,MATCH(AK$10,org_reg_codes,0),1),IF($A56="uni_pf_NAME",INDEX(pf_codes_values,MATCH(AK$10,pf_codes,0),1),""))</f>
        <v>328.0.1.</v>
      </c>
      <c r="AL56" s="0" cm="1" t="str">
        <f t="array" ref="AL56:AL56">IF($A56="uni_org_reg_NAME",INDEX(org_reg_values,MATCH(AL$10,org_reg_codes,0),1),IF($A56="uni_pf_NAME",INDEX(pf_codes_values,MATCH(AL$10,pf_codes,0),1),""))</f>
        <v>328.0.1.</v>
      </c>
      <c r="AM56" s="0" cm="1" t="str">
        <f t="array" ref="AM56:AM56">IF($A56="uni_org_reg_NAME",INDEX(org_reg_values,MATCH(AM$10,org_reg_codes,0),1),IF($A56="uni_pf_NAME",INDEX(pf_codes_values,MATCH(AM$10,pf_codes,0),1),""))</f>
        <v>328.0.1.</v>
      </c>
      <c r="AN56" s="0" cm="1" t="str">
        <f t="array" ref="AN56:AN56">IF($A56="uni_org_reg_NAME",INDEX(org_reg_values,MATCH(AN$10,org_reg_codes,0),1),IF($A56="uni_pf_NAME",INDEX(pf_codes_values,MATCH(AN$10,pf_codes,0),1),""))</f>
        <v>328.0.1.</v>
      </c>
      <c r="AO56" s="0" cm="1" t="str">
        <f t="array" ref="AO56:AO56">IF($A56="uni_org_reg_NAME",INDEX(org_reg_values,MATCH(AO$10,org_reg_codes,0),1),IF($A56="uni_pf_NAME",INDEX(pf_codes_values,MATCH(AO$10,pf_codes,0),1),""))</f>
        <v>328.0.1.</v>
      </c>
      <c r="AP56" s="0" cm="1" t="str">
        <f t="array" ref="AP56:AP56">IF($A56="uni_org_reg_NAME",INDEX(org_reg_values,MATCH(AP$10,org_reg_codes,0),1),IF($A56="uni_pf_NAME",INDEX(pf_codes_values,MATCH(AP$10,pf_codes,0),1),""))</f>
        <v>328.0.1.</v>
      </c>
      <c r="AQ56" s="0" cm="1" t="str">
        <f t="array" ref="AQ56:AQ56">IF($A56="uni_org_reg_NAME",INDEX(org_reg_values,MATCH(AQ$10,org_reg_codes,0),1),IF($A56="uni_pf_NAME",INDEX(pf_codes_values,MATCH(AQ$10,pf_codes,0),1),""))</f>
        <v>328.0.1.</v>
      </c>
      <c r="AR56" s="0" cm="1" t="str">
        <f t="array" ref="AR56:AR56">IF($A56="uni_org_reg_NAME",INDEX(org_reg_values,MATCH(AR$10,org_reg_codes,0),1),IF($A56="uni_pf_NAME",INDEX(pf_codes_values,MATCH(AR$10,pf_codes,0),1),""))</f>
        <v>328.0.1.</v>
      </c>
      <c r="AS56" s="0" cm="1" t="str">
        <f t="array" ref="AS56:AS56">IF($A56="uni_org_reg_NAME",INDEX(org_reg_values,MATCH(AS$10,org_reg_codes,0),1),IF($A56="uni_pf_NAME",INDEX(pf_codes_values,MATCH(AS$10,pf_codes,0),1),""))</f>
        <v>328.0.1.</v>
      </c>
      <c r="AT56" s="0" cm="1" t="str">
        <f t="array" ref="AT56:AT56">IF($A56="uni_org_reg_NAME",INDEX(org_reg_values,MATCH(AT$10,org_reg_codes,0),1),IF($A56="uni_pf_NAME",INDEX(pf_codes_values,MATCH(AT$10,pf_codes,0),1),""))</f>
        <v>328.0.1.</v>
      </c>
      <c r="AU56" s="0" cm="1" t="str">
        <f t="array" ref="AU56:AU56">IF($A56="uni_org_reg_NAME",INDEX(org_reg_values,MATCH(AU$10,org_reg_codes,0),1),IF($A56="uni_pf_NAME",INDEX(pf_codes_values,MATCH(AU$10,pf_codes,0),1),""))</f>
        <v>328.0.1.</v>
      </c>
      <c r="AV56" s="0" cm="1" t="str">
        <f t="array" ref="AV56:AV56">IF($A56="uni_org_reg_NAME",INDEX(org_reg_values,MATCH(AV$10,org_reg_codes,0),1),IF($A56="uni_pf_NAME",INDEX(pf_codes_values,MATCH(AV$10,pf_codes,0),1),""))</f>
        <v>328.0.1.</v>
      </c>
      <c r="AW56" s="0" cm="1" t="str">
        <f t="array" ref="AW56:AW56">IF($A56="uni_org_reg_NAME",INDEX(org_reg_values,MATCH(AW$10,org_reg_codes,0),1),IF($A56="uni_pf_NAME",INDEX(pf_codes_values,MATCH(AW$10,pf_codes,0),1),""))</f>
        <v>328.0.1.</v>
      </c>
      <c r="AX56" s="0" cm="1" t="str">
        <f t="array" ref="AX56:AX56">IF($A56="uni_org_reg_NAME",INDEX(org_reg_values,MATCH(AX$10,org_reg_codes,0),1),IF($A56="uni_pf_NAME",INDEX(pf_codes_values,MATCH(AX$10,pf_codes,0),1),""))</f>
        <v>328.0.1.</v>
      </c>
      <c r="AY56" s="0" cm="1" t="str">
        <f t="array" ref="AY56:AY56">IF($A56="uni_org_reg_NAME",INDEX(org_reg_values,MATCH(AY$10,org_reg_codes,0),1),IF($A56="uni_pf_NAME",INDEX(pf_codes_values,MATCH(AY$10,pf_codes,0),1),""))</f>
        <v>328.0.1.</v>
      </c>
      <c r="AZ56" s="0" cm="1" t="str">
        <f t="array" ref="AZ56:AZ56">IF($A56="uni_org_reg_NAME",INDEX(org_reg_values,MATCH(AZ$10,org_reg_codes,0),1),IF($A56="uni_pf_NAME",INDEX(pf_codes_values,MATCH(AZ$10,pf_codes,0),1),""))</f>
        <v>328.0.1.</v>
      </c>
      <c r="BA56" s="0" cm="1" t="str">
        <f t="array" ref="BA56:BA56">IF($A56="uni_org_reg_NAME",INDEX(org_reg_values,MATCH(BA$10,org_reg_codes,0),1),IF($A56="uni_pf_NAME",INDEX(pf_codes_values,MATCH(BA$10,pf_codes,0),1),""))</f>
        <v>328.0.1.</v>
      </c>
      <c r="BB56" s="0" cm="1" t="str">
        <f t="array" ref="BB56:BB56">IF($A56="uni_org_reg_NAME",INDEX(org_reg_values,MATCH(BB$10,org_reg_codes,0),1),IF($A56="uni_pf_NAME",INDEX(pf_codes_values,MATCH(BB$10,pf_codes,0),1),""))</f>
        <v>328.0.1.</v>
      </c>
      <c r="BC56" s="0" cm="1" t="str">
        <f t="array" ref="BC56:BC56">IF($A56="uni_org_reg_NAME",INDEX(org_reg_values,MATCH(BC$10,org_reg_codes,0),1),IF($A56="uni_pf_NAME",INDEX(pf_codes_values,MATCH(BC$10,pf_codes,0),1),""))</f>
        <v>328.0.1.</v>
      </c>
      <c r="BD56" s="0" cm="1" t="str">
        <f t="array" ref="BD56:BD56">IF($A56="uni_org_reg_NAME",INDEX(org_reg_values,MATCH(BD$10,org_reg_codes,0),1),IF($A56="uni_pf_NAME",INDEX(pf_codes_values,MATCH(BD$10,pf_codes,0),1),""))</f>
        <v>328.0.2.</v>
      </c>
      <c r="BE56" s="0" cm="1" t="str">
        <f t="array" ref="BE56:BE56">IF($A56="uni_org_reg_NAME",INDEX(org_reg_values,MATCH(BE$10,org_reg_codes,0),1),IF($A56="uni_pf_NAME",INDEX(pf_codes_values,MATCH(BE$10,pf_codes,0),1),""))</f>
        <v>328.0.2.</v>
      </c>
      <c r="BF56" s="0" cm="1" t="str">
        <f t="array" ref="BF56:BF56">IF($A56="uni_org_reg_NAME",INDEX(org_reg_values,MATCH(BF$10,org_reg_codes,0),1),IF($A56="uni_pf_NAME",INDEX(pf_codes_values,MATCH(BF$10,pf_codes,0),1),""))</f>
        <v>328.0.2.</v>
      </c>
      <c r="BG56" s="0" cm="1" t="str">
        <f t="array" ref="BG56:BG56">IF($A56="uni_org_reg_NAME",INDEX(org_reg_values,MATCH(BG$10,org_reg_codes,0),1),IF($A56="uni_pf_NAME",INDEX(pf_codes_values,MATCH(BG$10,pf_codes,0),1),""))</f>
        <v>328.0.2.</v>
      </c>
      <c r="BH56" s="0" cm="1" t="str">
        <f t="array" ref="BH56:BH56">IF($A56="uni_org_reg_NAME",INDEX(org_reg_values,MATCH(BH$10,org_reg_codes,0),1),IF($A56="uni_pf_NAME",INDEX(pf_codes_values,MATCH(BH$10,pf_codes,0),1),""))</f>
        <v>328.0.2.</v>
      </c>
      <c r="BI56" s="0" cm="1" t="str">
        <f t="array" ref="BI56:BI56">IF($A56="uni_org_reg_NAME",INDEX(org_reg_values,MATCH(BI$10,org_reg_codes,0),1),IF($A56="uni_pf_NAME",INDEX(pf_codes_values,MATCH(BI$10,pf_codes,0),1),""))</f>
        <v>328.0.2.</v>
      </c>
      <c r="BJ56" s="0" cm="1" t="str">
        <f t="array" ref="BJ56:BJ56">IF($A56="uni_org_reg_NAME",INDEX(org_reg_values,MATCH(BJ$10,org_reg_codes,0),1),IF($A56="uni_pf_NAME",INDEX(pf_codes_values,MATCH(BJ$10,pf_codes,0),1),""))</f>
        <v>328.0.2.</v>
      </c>
      <c r="BK56" s="0" cm="1" t="str">
        <f t="array" ref="BK56:BK56">IF($A56="uni_org_reg_NAME",INDEX(org_reg_values,MATCH(BK$10,org_reg_codes,0),1),IF($A56="uni_pf_NAME",INDEX(pf_codes_values,MATCH(BK$10,pf_codes,0),1),""))</f>
        <v>328.0.2.</v>
      </c>
      <c r="BL56" s="0" cm="1" t="str">
        <f t="array" ref="BL56:BL56">IF($A56="uni_org_reg_NAME",INDEX(org_reg_values,MATCH(BL$10,org_reg_codes,0),1),IF($A56="uni_pf_NAME",INDEX(pf_codes_values,MATCH(BL$10,pf_codes,0),1),""))</f>
        <v>328.0.2.</v>
      </c>
      <c r="BM56" s="0" cm="1" t="str">
        <f t="array" ref="BM56:BM56">IF($A56="uni_org_reg_NAME",INDEX(org_reg_values,MATCH(BM$10,org_reg_codes,0),1),IF($A56="uni_pf_NAME",INDEX(pf_codes_values,MATCH(BM$10,pf_codes,0),1),""))</f>
        <v>328.0.2.</v>
      </c>
      <c r="BN56" s="0" cm="1" t="str">
        <f t="array" ref="BN56:BN56">IF($A56="uni_org_reg_NAME",INDEX(org_reg_values,MATCH(BN$10,org_reg_codes,0),1),IF($A56="uni_pf_NAME",INDEX(pf_codes_values,MATCH(BN$10,pf_codes,0),1),""))</f>
        <v>328.0.2.</v>
      </c>
      <c r="BO56" s="0" cm="1" t="str">
        <f t="array" ref="BO56:BO56">IF($A56="uni_org_reg_NAME",INDEX(org_reg_values,MATCH(BO$10,org_reg_codes,0),1),IF($A56="uni_pf_NAME",INDEX(pf_codes_values,MATCH(BO$10,pf_codes,0),1),""))</f>
        <v>328.0.2.</v>
      </c>
      <c r="BP56" s="0" cm="1" t="str">
        <f t="array" ref="BP56:BP56">IF($A56="uni_org_reg_NAME",INDEX(org_reg_values,MATCH(BP$10,org_reg_codes,0),1),IF($A56="uni_pf_NAME",INDEX(pf_codes_values,MATCH(BP$10,pf_codes,0),1),""))</f>
        <v>328.0.2.</v>
      </c>
      <c r="BQ56" s="0" cm="1" t="str">
        <f t="array" ref="BQ56:BQ56">IF($A56="uni_org_reg_NAME",INDEX(org_reg_values,MATCH(BQ$10,org_reg_codes,0),1),IF($A56="uni_pf_NAME",INDEX(pf_codes_values,MATCH(BQ$10,pf_codes,0),1),""))</f>
        <v>328.0.2.</v>
      </c>
      <c r="BR56" s="0" cm="1" t="str">
        <f t="array" ref="BR56:BR56">IF($A56="uni_org_reg_NAME",INDEX(org_reg_values,MATCH(BR$10,org_reg_codes,0),1),IF($A56="uni_pf_NAME",INDEX(pf_codes_values,MATCH(BR$10,pf_codes,0),1),""))</f>
        <v>328.0.2.</v>
      </c>
      <c r="BS56" s="0" cm="1" t="str">
        <f t="array" ref="BS56:BS56">IF($A56="uni_org_reg_NAME",INDEX(org_reg_values,MATCH(BS$10,org_reg_codes,0),1),IF($A56="uni_pf_NAME",INDEX(pf_codes_values,MATCH(BS$10,pf_codes,0),1),""))</f>
        <v>328.0.2.</v>
      </c>
      <c r="BT56" s="0" cm="1" t="str">
        <f t="array" ref="BT56:BT56">IF($A56="uni_org_reg_NAME",INDEX(org_reg_values,MATCH(BT$10,org_reg_codes,0),1),IF($A56="uni_pf_NAME",INDEX(pf_codes_values,MATCH(BT$10,pf_codes,0),1),""))</f>
        <v>328.0.2.</v>
      </c>
      <c r="BU56" s="0" cm="1" t="str">
        <f t="array" ref="BU56:BU56">IF($A56="uni_org_reg_NAME",INDEX(org_reg_values,MATCH(BU$10,org_reg_codes,0),1),IF($A56="uni_pf_NAME",INDEX(pf_codes_values,MATCH(BU$10,pf_codes,0),1),""))</f>
        <v>328.0.2.</v>
      </c>
      <c r="BV56" s="0" cm="1" t="str">
        <f t="array" ref="BV56:BV56">IF($A56="uni_org_reg_NAME",INDEX(org_reg_values,MATCH(BV$10,org_reg_codes,0),1),IF($A56="uni_pf_NAME",INDEX(pf_codes_values,MATCH(BV$10,pf_codes,0),1),""))</f>
        <v>328.0.2.</v>
      </c>
      <c r="BW56" s="0" cm="1" t="str">
        <f t="array" ref="BW56:BW56">IF($A56="uni_org_reg_NAME",INDEX(org_reg_values,MATCH(BW$10,org_reg_codes,0),1),IF($A56="uni_pf_NAME",INDEX(pf_codes_values,MATCH(BW$10,pf_codes,0),1),""))</f>
        <v>328.0.2.</v>
      </c>
      <c r="BX56" s="286"/>
      <c r="BY56" s="286"/>
      <c r="BZ56" s="286"/>
      <c r="CA56" s="286"/>
      <c r="CB56" s="286"/>
      <c r="CC56" s="286"/>
      <c r="CD56" s="286"/>
      <c r="CE56" s="286"/>
      <c r="CF56" s="286"/>
      <c r="CG56" s="286"/>
      <c r="CH56" s="286"/>
      <c r="CI56" s="286"/>
      <c r="CJ56" s="286"/>
      <c r="CK56" s="286"/>
      <c r="CL56" s="286"/>
      <c r="CM56" s="286"/>
      <c r="CN56" s="286"/>
      <c r="CO56" s="286"/>
      <c r="CP56" s="286"/>
      <c r="CQ56" s="286"/>
    </row>
    <row customHeight="1" ht="11.25" hidden="1">
      <c r="A57" s="0" t="s">
        <v>409</v>
      </c>
      <c r="AE57" s="0" cm="1" t="str">
        <f t="array" ref="AE57:AE57">IF($A57="uni_org_reg_NAME",INDEX(org_reg_values,MATCH(AE$10,org_reg_codes,0),1),IF($A57="uni_pf_NAME",INDEX(pf_codes_values,MATCH(AE$10,pf_codes,0),1),""))</f>
        <v>36.0.7.</v>
      </c>
      <c r="AF57" s="0" cm="1" t="str">
        <f t="array" ref="AF57:AF57">IF($A57="uni_org_reg_NAME",INDEX(org_reg_values,MATCH(AF$10,org_reg_codes,0),1),IF($A57="uni_pf_NAME",INDEX(pf_codes_values,MATCH(AF$10,pf_codes,0),1),""))</f>
        <v>36.0.1.</v>
      </c>
      <c r="AG57" s="0" cm="1" t="str">
        <f t="array" ref="AG57:AG57">IF($A57="uni_org_reg_NAME",INDEX(org_reg_values,MATCH(AG$10,org_reg_codes,0),1),IF($A57="uni_pf_NAME",INDEX(pf_codes_values,MATCH(AG$10,pf_codes,0),1),""))</f>
        <v>36.0.1.</v>
      </c>
      <c r="AI57" s="0" cm="1" t="str">
        <f t="array" ref="AI57:AI57">IF($A57="uni_org_reg_NAME",INDEX(org_reg_values,MATCH(AI$10,org_reg_codes,0),1),IF($A57="uni_pf_NAME",INDEX(pf_codes_values,MATCH(AI$10,pf_codes,0),1),""))</f>
        <v>36.0.7.</v>
      </c>
      <c r="AJ57" s="0" cm="1" t="str">
        <f t="array" ref="AJ57:AJ57">IF($A57="uni_org_reg_NAME",INDEX(org_reg_values,MATCH(AJ$10,org_reg_codes,0),1),IF($A57="uni_pf_NAME",INDEX(pf_codes_values,MATCH(AJ$10,pf_codes,0),1),""))</f>
        <v>36.0.3.</v>
      </c>
      <c r="AK57" s="0" cm="1" t="str">
        <f t="array" ref="AK57:AK57">IF($A57="uni_org_reg_NAME",INDEX(org_reg_values,MATCH(AK$10,org_reg_codes,0),1),IF($A57="uni_pf_NAME",INDEX(pf_codes_values,MATCH(AK$10,pf_codes,0),1),""))</f>
        <v>36.0.3.</v>
      </c>
      <c r="AL57" s="0" cm="1" t="str">
        <f t="array" ref="AL57:AL57">IF($A57="uni_org_reg_NAME",INDEX(org_reg_values,MATCH(AL$10,org_reg_codes,0),1),IF($A57="uni_pf_NAME",INDEX(pf_codes_values,MATCH(AL$10,pf_codes,0),1),""))</f>
        <v>36.0.3.</v>
      </c>
      <c r="AM57" s="0" cm="1" t="str">
        <f t="array" ref="AM57:AM57">IF($A57="uni_org_reg_NAME",INDEX(org_reg_values,MATCH(AM$10,org_reg_codes,0),1),IF($A57="uni_pf_NAME",INDEX(pf_codes_values,MATCH(AM$10,pf_codes,0),1),""))</f>
        <v>36.0.3.</v>
      </c>
      <c r="AN57" s="0" cm="1" t="str">
        <f t="array" ref="AN57:AN57">IF($A57="uni_org_reg_NAME",INDEX(org_reg_values,MATCH(AN$10,org_reg_codes,0),1),IF($A57="uni_pf_NAME",INDEX(pf_codes_values,MATCH(AN$10,pf_codes,0),1),""))</f>
        <v>36.0.3.</v>
      </c>
      <c r="AO57" s="0" cm="1" t="str">
        <f t="array" ref="AO57:AO57">IF($A57="uni_org_reg_NAME",INDEX(org_reg_values,MATCH(AO$10,org_reg_codes,0),1),IF($A57="uni_pf_NAME",INDEX(pf_codes_values,MATCH(AO$10,pf_codes,0),1),""))</f>
        <v>36.0.3.</v>
      </c>
      <c r="AP57" s="0" cm="1" t="str">
        <f t="array" ref="AP57:AP57">IF($A57="uni_org_reg_NAME",INDEX(org_reg_values,MATCH(AP$10,org_reg_codes,0),1),IF($A57="uni_pf_NAME",INDEX(pf_codes_values,MATCH(AP$10,pf_codes,0),1),""))</f>
        <v>36.0.3.</v>
      </c>
      <c r="AQ57" s="0" cm="1" t="str">
        <f t="array" ref="AQ57:AQ57">IF($A57="uni_org_reg_NAME",INDEX(org_reg_values,MATCH(AQ$10,org_reg_codes,0),1),IF($A57="uni_pf_NAME",INDEX(pf_codes_values,MATCH(AQ$10,pf_codes,0),1),""))</f>
        <v>36.0.3.</v>
      </c>
      <c r="AR57" s="0" cm="1" t="str">
        <f t="array" ref="AR57:AR57">IF($A57="uni_org_reg_NAME",INDEX(org_reg_values,MATCH(AR$10,org_reg_codes,0),1),IF($A57="uni_pf_NAME",INDEX(pf_codes_values,MATCH(AR$10,pf_codes,0),1),""))</f>
        <v>36.0.3.</v>
      </c>
      <c r="AS57" s="0" cm="1" t="str">
        <f t="array" ref="AS57:AS57">IF($A57="uni_org_reg_NAME",INDEX(org_reg_values,MATCH(AS$10,org_reg_codes,0),1),IF($A57="uni_pf_NAME",INDEX(pf_codes_values,MATCH(AS$10,pf_codes,0),1),""))</f>
        <v>36.0.3.</v>
      </c>
      <c r="AT57" s="0" cm="1" t="str">
        <f t="array" ref="AT57:AT57">IF($A57="uni_org_reg_NAME",INDEX(org_reg_values,MATCH(AT$10,org_reg_codes,0),1),IF($A57="uni_pf_NAME",INDEX(pf_codes_values,MATCH(AT$10,pf_codes,0),1),""))</f>
        <v>36.0.3.</v>
      </c>
      <c r="AU57" s="0" cm="1" t="str">
        <f t="array" ref="AU57:AU57">IF($A57="uni_org_reg_NAME",INDEX(org_reg_values,MATCH(AU$10,org_reg_codes,0),1),IF($A57="uni_pf_NAME",INDEX(pf_codes_values,MATCH(AU$10,pf_codes,0),1),""))</f>
        <v>36.0.3.</v>
      </c>
      <c r="AV57" s="0" cm="1" t="str">
        <f t="array" ref="AV57:AV57">IF($A57="uni_org_reg_NAME",INDEX(org_reg_values,MATCH(AV$10,org_reg_codes,0),1),IF($A57="uni_pf_NAME",INDEX(pf_codes_values,MATCH(AV$10,pf_codes,0),1),""))</f>
        <v>36.0.3.</v>
      </c>
      <c r="AW57" s="0" cm="1" t="str">
        <f t="array" ref="AW57:AW57">IF($A57="uni_org_reg_NAME",INDEX(org_reg_values,MATCH(AW$10,org_reg_codes,0),1),IF($A57="uni_pf_NAME",INDEX(pf_codes_values,MATCH(AW$10,pf_codes,0),1),""))</f>
        <v>36.0.3.</v>
      </c>
      <c r="AX57" s="0" cm="1" t="str">
        <f t="array" ref="AX57:AX57">IF($A57="uni_org_reg_NAME",INDEX(org_reg_values,MATCH(AX$10,org_reg_codes,0),1),IF($A57="uni_pf_NAME",INDEX(pf_codes_values,MATCH(AX$10,pf_codes,0),1),""))</f>
        <v>36.0.3.</v>
      </c>
      <c r="AY57" s="0" cm="1" t="str">
        <f t="array" ref="AY57:AY57">IF($A57="uni_org_reg_NAME",INDEX(org_reg_values,MATCH(AY$10,org_reg_codes,0),1),IF($A57="uni_pf_NAME",INDEX(pf_codes_values,MATCH(AY$10,pf_codes,0),1),""))</f>
        <v>36.0.3.</v>
      </c>
      <c r="AZ57" s="0" cm="1" t="str">
        <f t="array" ref="AZ57:AZ57">IF($A57="uni_org_reg_NAME",INDEX(org_reg_values,MATCH(AZ$10,org_reg_codes,0),1),IF($A57="uni_pf_NAME",INDEX(pf_codes_values,MATCH(AZ$10,pf_codes,0),1),""))</f>
        <v>36.0.3.</v>
      </c>
      <c r="BA57" s="0" cm="1" t="str">
        <f t="array" ref="BA57:BA57">IF($A57="uni_org_reg_NAME",INDEX(org_reg_values,MATCH(BA$10,org_reg_codes,0),1),IF($A57="uni_pf_NAME",INDEX(pf_codes_values,MATCH(BA$10,pf_codes,0),1),""))</f>
        <v>36.0.3.</v>
      </c>
      <c r="BB57" s="0" cm="1" t="str">
        <f t="array" ref="BB57:BB57">IF($A57="uni_org_reg_NAME",INDEX(org_reg_values,MATCH(BB$10,org_reg_codes,0),1),IF($A57="uni_pf_NAME",INDEX(pf_codes_values,MATCH(BB$10,pf_codes,0),1),""))</f>
        <v>36.0.3.</v>
      </c>
      <c r="BC57" s="0" cm="1" t="str">
        <f t="array" ref="BC57:BC57">IF($A57="uni_org_reg_NAME",INDEX(org_reg_values,MATCH(BC$10,org_reg_codes,0),1),IF($A57="uni_pf_NAME",INDEX(pf_codes_values,MATCH(BC$10,pf_codes,0),1),""))</f>
        <v>36.0.3.</v>
      </c>
      <c r="BD57" s="0" cm="1" t="str">
        <f t="array" ref="BD57:BD57">IF($A57="uni_org_reg_NAME",INDEX(org_reg_values,MATCH(BD$10,org_reg_codes,0),1),IF($A57="uni_pf_NAME",INDEX(pf_codes_values,MATCH(BD$10,pf_codes,0),1),""))</f>
        <v>36.0.7.</v>
      </c>
      <c r="BE57" s="0" cm="1" t="str">
        <f t="array" ref="BE57:BE57">IF($A57="uni_org_reg_NAME",INDEX(org_reg_values,MATCH(BE$10,org_reg_codes,0),1),IF($A57="uni_pf_NAME",INDEX(pf_codes_values,MATCH(BE$10,pf_codes,0),1),""))</f>
        <v>36.0.7.</v>
      </c>
      <c r="BF57" s="0" cm="1" t="str">
        <f t="array" ref="BF57:BF57">IF($A57="uni_org_reg_NAME",INDEX(org_reg_values,MATCH(BF$10,org_reg_codes,0),1),IF($A57="uni_pf_NAME",INDEX(pf_codes_values,MATCH(BF$10,pf_codes,0),1),""))</f>
        <v>36.0.7.</v>
      </c>
      <c r="BG57" s="0" cm="1" t="str">
        <f t="array" ref="BG57:BG57">IF($A57="uni_org_reg_NAME",INDEX(org_reg_values,MATCH(BG$10,org_reg_codes,0),1),IF($A57="uni_pf_NAME",INDEX(pf_codes_values,MATCH(BG$10,pf_codes,0),1),""))</f>
        <v>36.0.7.</v>
      </c>
      <c r="BH57" s="0" cm="1" t="str">
        <f t="array" ref="BH57:BH57">IF($A57="uni_org_reg_NAME",INDEX(org_reg_values,MATCH(BH$10,org_reg_codes,0),1),IF($A57="uni_pf_NAME",INDEX(pf_codes_values,MATCH(BH$10,pf_codes,0),1),""))</f>
        <v>36.0.7.</v>
      </c>
      <c r="BI57" s="0" cm="1" t="str">
        <f t="array" ref="BI57:BI57">IF($A57="uni_org_reg_NAME",INDEX(org_reg_values,MATCH(BI$10,org_reg_codes,0),1),IF($A57="uni_pf_NAME",INDEX(pf_codes_values,MATCH(BI$10,pf_codes,0),1),""))</f>
        <v>36.0.7.</v>
      </c>
      <c r="BJ57" s="0" cm="1" t="str">
        <f t="array" ref="BJ57:BJ57">IF($A57="uni_org_reg_NAME",INDEX(org_reg_values,MATCH(BJ$10,org_reg_codes,0),1),IF($A57="uni_pf_NAME",INDEX(pf_codes_values,MATCH(BJ$10,pf_codes,0),1),""))</f>
        <v>36.0.7.</v>
      </c>
      <c r="BK57" s="0" cm="1" t="str">
        <f t="array" ref="BK57:BK57">IF($A57="uni_org_reg_NAME",INDEX(org_reg_values,MATCH(BK$10,org_reg_codes,0),1),IF($A57="uni_pf_NAME",INDEX(pf_codes_values,MATCH(BK$10,pf_codes,0),1),""))</f>
        <v>36.0.7.</v>
      </c>
      <c r="BL57" s="0" cm="1" t="str">
        <f t="array" ref="BL57:BL57">IF($A57="uni_org_reg_NAME",INDEX(org_reg_values,MATCH(BL$10,org_reg_codes,0),1),IF($A57="uni_pf_NAME",INDEX(pf_codes_values,MATCH(BL$10,pf_codes,0),1),""))</f>
        <v>36.0.7.</v>
      </c>
      <c r="BM57" s="0" cm="1" t="str">
        <f t="array" ref="BM57:BM57">IF($A57="uni_org_reg_NAME",INDEX(org_reg_values,MATCH(BM$10,org_reg_codes,0),1),IF($A57="uni_pf_NAME",INDEX(pf_codes_values,MATCH(BM$10,pf_codes,0),1),""))</f>
        <v>36.0.7.</v>
      </c>
      <c r="BN57" s="0" cm="1" t="str">
        <f t="array" ref="BN57:BN57">IF($A57="uni_org_reg_NAME",INDEX(org_reg_values,MATCH(BN$10,org_reg_codes,0),1),IF($A57="uni_pf_NAME",INDEX(pf_codes_values,MATCH(BN$10,pf_codes,0),1),""))</f>
        <v>36.0.7.</v>
      </c>
      <c r="BO57" s="0" cm="1" t="str">
        <f t="array" ref="BO57:BO57">IF($A57="uni_org_reg_NAME",INDEX(org_reg_values,MATCH(BO$10,org_reg_codes,0),1),IF($A57="uni_pf_NAME",INDEX(pf_codes_values,MATCH(BO$10,pf_codes,0),1),""))</f>
        <v>36.0.7.</v>
      </c>
      <c r="BP57" s="0" cm="1" t="str">
        <f t="array" ref="BP57:BP57">IF($A57="uni_org_reg_NAME",INDEX(org_reg_values,MATCH(BP$10,org_reg_codes,0),1),IF($A57="uni_pf_NAME",INDEX(pf_codes_values,MATCH(BP$10,pf_codes,0),1),""))</f>
        <v>36.0.7.</v>
      </c>
      <c r="BQ57" s="0" cm="1" t="str">
        <f t="array" ref="BQ57:BQ57">IF($A57="uni_org_reg_NAME",INDEX(org_reg_values,MATCH(BQ$10,org_reg_codes,0),1),IF($A57="uni_pf_NAME",INDEX(pf_codes_values,MATCH(BQ$10,pf_codes,0),1),""))</f>
        <v>36.0.7.</v>
      </c>
      <c r="BR57" s="0" cm="1" t="str">
        <f t="array" ref="BR57:BR57">IF($A57="uni_org_reg_NAME",INDEX(org_reg_values,MATCH(BR$10,org_reg_codes,0),1),IF($A57="uni_pf_NAME",INDEX(pf_codes_values,MATCH(BR$10,pf_codes,0),1),""))</f>
        <v>36.0.7.</v>
      </c>
      <c r="BS57" s="0" cm="1" t="str">
        <f t="array" ref="BS57:BS57">IF($A57="uni_org_reg_NAME",INDEX(org_reg_values,MATCH(BS$10,org_reg_codes,0),1),IF($A57="uni_pf_NAME",INDEX(pf_codes_values,MATCH(BS$10,pf_codes,0),1),""))</f>
        <v>36.0.7.</v>
      </c>
      <c r="BT57" s="0" cm="1" t="str">
        <f t="array" ref="BT57:BT57">IF($A57="uni_org_reg_NAME",INDEX(org_reg_values,MATCH(BT$10,org_reg_codes,0),1),IF($A57="uni_pf_NAME",INDEX(pf_codes_values,MATCH(BT$10,pf_codes,0),1),""))</f>
        <v>36.0.7.</v>
      </c>
      <c r="BU57" s="0" cm="1" t="str">
        <f t="array" ref="BU57:BU57">IF($A57="uni_org_reg_NAME",INDEX(org_reg_values,MATCH(BU$10,org_reg_codes,0),1),IF($A57="uni_pf_NAME",INDEX(pf_codes_values,MATCH(BU$10,pf_codes,0),1),""))</f>
        <v>36.0.7.</v>
      </c>
      <c r="BV57" s="0" cm="1" t="str">
        <f t="array" ref="BV57:BV57">IF($A57="uni_org_reg_NAME",INDEX(org_reg_values,MATCH(BV$10,org_reg_codes,0),1),IF($A57="uni_pf_NAME",INDEX(pf_codes_values,MATCH(BV$10,pf_codes,0),1),""))</f>
        <v>36.0.7.</v>
      </c>
      <c r="BW57" s="0" cm="1" t="str">
        <f t="array" ref="BW57:BW57">IF($A57="uni_org_reg_NAME",INDEX(org_reg_values,MATCH(BW$10,org_reg_codes,0),1),IF($A57="uni_pf_NAME",INDEX(pf_codes_values,MATCH(BW$10,pf_codes,0),1),""))</f>
        <v>36.0.7.</v>
      </c>
      <c r="BX57" s="286"/>
      <c r="BY57" s="286"/>
      <c r="BZ57" s="286"/>
      <c r="CA57" s="286"/>
      <c r="CB57" s="286"/>
      <c r="CC57" s="286"/>
      <c r="CD57" s="286"/>
      <c r="CE57" s="286"/>
      <c r="CF57" s="286"/>
      <c r="CG57" s="286"/>
      <c r="CH57" s="286"/>
      <c r="CI57" s="286"/>
      <c r="CJ57" s="286"/>
      <c r="CK57" s="286"/>
      <c r="CL57" s="286"/>
      <c r="CM57" s="286"/>
      <c r="CN57" s="286"/>
      <c r="CO57" s="286"/>
      <c r="CP57" s="286"/>
      <c r="CQ57" s="286"/>
    </row>
    <row customHeight="1" ht="11.25" hidden="1">
      <c r="A58" s="0" t="s">
        <v>1600</v>
      </c>
      <c r="AJ58" s="286"/>
      <c r="AK58" s="286"/>
      <c r="AL58" s="286"/>
      <c r="AM58" s="286"/>
      <c r="AN58" s="286"/>
      <c r="AO58" s="286"/>
      <c r="AP58" s="286"/>
      <c r="AQ58" s="286"/>
      <c r="AR58" s="286"/>
      <c r="AS58" s="286"/>
      <c r="AT58" s="286"/>
      <c r="AU58" s="286"/>
      <c r="AV58" s="286"/>
      <c r="AW58" s="286"/>
      <c r="AX58" s="286"/>
      <c r="AY58" s="286"/>
      <c r="AZ58" s="286"/>
      <c r="BA58" s="286"/>
      <c r="BB58" s="286"/>
      <c r="BC58" s="286"/>
      <c r="BD58" s="286"/>
      <c r="BE58" s="286"/>
      <c r="BF58" s="286"/>
      <c r="BG58" s="286"/>
      <c r="BH58" s="286"/>
      <c r="BI58" s="286"/>
      <c r="BJ58" s="286"/>
      <c r="BK58" s="286"/>
      <c r="BL58" s="286"/>
      <c r="BM58" s="286"/>
      <c r="BN58" s="286"/>
      <c r="BO58" s="286"/>
      <c r="BP58" s="286"/>
      <c r="BQ58" s="286"/>
      <c r="BR58" s="286"/>
      <c r="BS58" s="286"/>
      <c r="BT58" s="286"/>
      <c r="BU58" s="286"/>
      <c r="BV58" s="286"/>
      <c r="BW58" s="286"/>
      <c r="BX58" s="0" t="s">
        <v>1624</v>
      </c>
      <c r="BY58" s="0" t="s">
        <v>1624</v>
      </c>
      <c r="BZ58" s="0" t="s">
        <v>1624</v>
      </c>
      <c r="CA58" s="0" t="s">
        <v>1624</v>
      </c>
      <c r="CB58" s="0" t="s">
        <v>1624</v>
      </c>
      <c r="CC58" s="0" t="s">
        <v>1624</v>
      </c>
      <c r="CD58" s="0" t="s">
        <v>1624</v>
      </c>
      <c r="CE58" s="0" t="s">
        <v>1624</v>
      </c>
      <c r="CF58" s="0" t="s">
        <v>1624</v>
      </c>
      <c r="CG58" s="0" t="s">
        <v>1624</v>
      </c>
      <c r="CH58" s="0" t="s">
        <v>1624</v>
      </c>
      <c r="CI58" s="0" t="s">
        <v>1624</v>
      </c>
      <c r="CJ58" s="0" t="s">
        <v>1624</v>
      </c>
      <c r="CK58" s="0" t="s">
        <v>1624</v>
      </c>
      <c r="CL58" s="0" t="s">
        <v>1624</v>
      </c>
      <c r="CM58" s="0" t="s">
        <v>1624</v>
      </c>
      <c r="CN58" s="0" t="s">
        <v>1624</v>
      </c>
      <c r="CO58" s="0" t="s">
        <v>1624</v>
      </c>
      <c r="CP58" s="0" t="s">
        <v>1624</v>
      </c>
      <c r="CQ58" s="0" t="s">
        <v>1624</v>
      </c>
    </row>
    <row customHeight="1" ht="11.25" hidden="1">
      <c r="A59" s="0" t="s">
        <v>351</v>
      </c>
      <c r="AJ59" s="286"/>
      <c r="AK59" s="286"/>
      <c r="AL59" s="286"/>
      <c r="AM59" s="286"/>
      <c r="AN59" s="286"/>
      <c r="AO59" s="286"/>
      <c r="AP59" s="286"/>
      <c r="AQ59" s="286"/>
      <c r="AR59" s="286"/>
      <c r="AS59" s="286"/>
      <c r="AT59" s="286"/>
      <c r="AU59" s="286"/>
      <c r="AV59" s="286"/>
      <c r="AW59" s="286"/>
      <c r="AX59" s="286"/>
      <c r="AY59" s="286"/>
      <c r="AZ59" s="286"/>
      <c r="BA59" s="286"/>
      <c r="BB59" s="286"/>
      <c r="BC59" s="286"/>
      <c r="BD59" s="286"/>
      <c r="BE59" s="286"/>
      <c r="BF59" s="286"/>
      <c r="BG59" s="286"/>
      <c r="BH59" s="286"/>
      <c r="BI59" s="286"/>
      <c r="BJ59" s="286"/>
      <c r="BK59" s="286"/>
      <c r="BL59" s="286"/>
      <c r="BM59" s="286"/>
      <c r="BN59" s="286"/>
      <c r="BO59" s="286"/>
      <c r="BP59" s="286"/>
      <c r="BQ59" s="286"/>
      <c r="BR59" s="286"/>
      <c r="BS59" s="286"/>
      <c r="BT59" s="286"/>
      <c r="BU59" s="286"/>
      <c r="BV59" s="286"/>
      <c r="BW59" s="286"/>
      <c r="BX59" s="286"/>
      <c r="BY59" s="286"/>
      <c r="BZ59" s="286"/>
      <c r="CA59" s="286"/>
      <c r="CB59" s="286"/>
      <c r="CC59" s="286"/>
      <c r="CD59" s="286"/>
      <c r="CE59" s="286"/>
      <c r="CF59" s="286"/>
      <c r="CG59" s="286"/>
      <c r="CH59" s="286"/>
      <c r="CI59" s="286"/>
      <c r="CJ59" s="286"/>
      <c r="CK59" s="286"/>
      <c r="CL59" s="286"/>
      <c r="CM59" s="286"/>
      <c r="CN59" s="286"/>
      <c r="CO59" s="286"/>
      <c r="CP59" s="286"/>
      <c r="CQ59" s="286"/>
      <c r="CR59" s="0" t="s">
        <v>178</v>
      </c>
      <c r="CS59" s="0" t="s">
        <v>178</v>
      </c>
      <c r="CT59" s="0" t="s">
        <v>178</v>
      </c>
    </row>
    <row customHeight="1" ht="11.25" hidden="1">
      <c r="A60" s="0" t="s">
        <v>352</v>
      </c>
      <c r="AJ60" s="286"/>
      <c r="AK60" s="286"/>
      <c r="AL60" s="286"/>
      <c r="AM60" s="286"/>
      <c r="AN60" s="286"/>
      <c r="AO60" s="286"/>
      <c r="AP60" s="286"/>
      <c r="AQ60" s="286"/>
      <c r="AR60" s="286"/>
      <c r="AS60" s="286"/>
      <c r="AT60" s="286"/>
      <c r="AU60" s="286"/>
      <c r="AV60" s="286"/>
      <c r="AW60" s="286"/>
      <c r="AX60" s="286"/>
      <c r="AY60" s="286"/>
      <c r="AZ60" s="286"/>
      <c r="BA60" s="286"/>
      <c r="BB60" s="286"/>
      <c r="BC60" s="286"/>
      <c r="BD60" s="286"/>
      <c r="BE60" s="286"/>
      <c r="BF60" s="286"/>
      <c r="BG60" s="286"/>
      <c r="BH60" s="286"/>
      <c r="BI60" s="286"/>
      <c r="BJ60" s="286"/>
      <c r="BK60" s="286"/>
      <c r="BL60" s="286"/>
      <c r="BM60" s="286"/>
      <c r="BN60" s="286"/>
      <c r="BO60" s="286"/>
      <c r="BP60" s="286"/>
      <c r="BQ60" s="286"/>
      <c r="BR60" s="286"/>
      <c r="BS60" s="286"/>
      <c r="BT60" s="286"/>
      <c r="BU60" s="286"/>
      <c r="BV60" s="286"/>
      <c r="BW60" s="286"/>
      <c r="BX60" s="286"/>
      <c r="BY60" s="286"/>
      <c r="BZ60" s="286"/>
      <c r="CA60" s="286"/>
      <c r="CB60" s="286"/>
      <c r="CC60" s="286"/>
      <c r="CD60" s="286"/>
      <c r="CE60" s="286"/>
      <c r="CF60" s="286"/>
      <c r="CG60" s="286"/>
      <c r="CH60" s="286"/>
      <c r="CI60" s="286"/>
      <c r="CJ60" s="286"/>
      <c r="CK60" s="286"/>
      <c r="CL60" s="286"/>
      <c r="CM60" s="286"/>
      <c r="CN60" s="286"/>
      <c r="CO60" s="286"/>
      <c r="CP60" s="286"/>
      <c r="CQ60" s="286"/>
      <c r="CR60" s="0" t="s">
        <v>798</v>
      </c>
      <c r="CS60" s="0" t="s">
        <v>622</v>
      </c>
      <c r="CT60" s="0" t="s">
        <v>1601</v>
      </c>
    </row>
    <row customHeight="1" ht="11.25" hidden="1">
      <c r="A61" s="0" t="s">
        <v>379</v>
      </c>
      <c r="AJ61" s="286"/>
      <c r="AK61" s="286"/>
      <c r="AL61" s="286"/>
      <c r="AM61" s="286"/>
      <c r="AN61" s="286"/>
      <c r="AO61" s="286"/>
      <c r="AP61" s="286"/>
      <c r="AQ61" s="286"/>
      <c r="AR61" s="286"/>
      <c r="AS61" s="286"/>
      <c r="AT61" s="286"/>
      <c r="AU61" s="286"/>
      <c r="AV61" s="286"/>
      <c r="AW61" s="286"/>
      <c r="AX61" s="286"/>
      <c r="AY61" s="286"/>
      <c r="AZ61" s="286"/>
      <c r="BA61" s="286"/>
      <c r="BB61" s="286"/>
      <c r="BC61" s="286"/>
      <c r="BD61" s="286"/>
      <c r="BE61" s="286"/>
      <c r="BF61" s="286"/>
      <c r="BG61" s="286"/>
      <c r="BH61" s="286"/>
      <c r="BI61" s="286"/>
      <c r="BJ61" s="286"/>
      <c r="BK61" s="286"/>
      <c r="BL61" s="286"/>
      <c r="BM61" s="286"/>
      <c r="BN61" s="286"/>
      <c r="BO61" s="286"/>
      <c r="BP61" s="286"/>
      <c r="BQ61" s="286"/>
      <c r="BR61" s="286"/>
      <c r="BS61" s="286"/>
      <c r="BT61" s="286"/>
      <c r="BU61" s="286"/>
      <c r="BV61" s="286"/>
      <c r="BW61" s="286"/>
      <c r="BX61" s="286"/>
      <c r="BY61" s="286"/>
      <c r="BZ61" s="286"/>
      <c r="CA61" s="286"/>
      <c r="CB61" s="286"/>
      <c r="CC61" s="286"/>
      <c r="CD61" s="286"/>
      <c r="CE61" s="286"/>
      <c r="CF61" s="286"/>
      <c r="CG61" s="286"/>
      <c r="CH61" s="286"/>
      <c r="CI61" s="286"/>
      <c r="CJ61" s="286"/>
      <c r="CK61" s="286"/>
      <c r="CL61" s="286"/>
      <c r="CM61" s="286"/>
      <c r="CN61" s="286"/>
      <c r="CO61" s="286"/>
      <c r="CP61" s="286"/>
      <c r="CQ61" s="286"/>
      <c r="CR61" s="0" t="s">
        <v>799</v>
      </c>
      <c r="CS61" s="0" t="s">
        <v>623</v>
      </c>
      <c r="CT61" s="0" t="s">
        <v>1602</v>
      </c>
    </row>
    <row customHeight="1" ht="11.25" hidden="1">
      <c r="AJ62" s="286"/>
      <c r="AK62" s="286"/>
      <c r="AL62" s="286"/>
      <c r="AM62" s="286"/>
      <c r="AN62" s="286"/>
      <c r="AO62" s="286"/>
      <c r="AP62" s="286"/>
      <c r="AQ62" s="286"/>
      <c r="AR62" s="286"/>
      <c r="AS62" s="286"/>
      <c r="AT62" s="286"/>
      <c r="AU62" s="286"/>
      <c r="AV62" s="286"/>
      <c r="AW62" s="286"/>
      <c r="AX62" s="286"/>
      <c r="AY62" s="286"/>
      <c r="AZ62" s="286"/>
      <c r="BA62" s="286"/>
      <c r="BB62" s="286"/>
      <c r="BC62" s="286"/>
      <c r="BD62" s="286"/>
      <c r="BE62" s="286"/>
      <c r="BF62" s="286"/>
      <c r="BG62" s="286"/>
      <c r="BH62" s="286"/>
      <c r="BI62" s="286"/>
      <c r="BJ62" s="286"/>
      <c r="BK62" s="286"/>
      <c r="BL62" s="286"/>
      <c r="BM62" s="286"/>
      <c r="BN62" s="286"/>
      <c r="BO62" s="286"/>
      <c r="BP62" s="286"/>
      <c r="BQ62" s="286"/>
      <c r="BR62" s="286"/>
      <c r="BS62" s="286"/>
      <c r="BT62" s="286"/>
      <c r="BU62" s="286"/>
      <c r="BV62" s="286"/>
      <c r="BW62" s="286"/>
      <c r="BX62" s="286"/>
      <c r="BY62" s="286"/>
      <c r="BZ62" s="286"/>
      <c r="CA62" s="286"/>
      <c r="CB62" s="286"/>
      <c r="CC62" s="286"/>
      <c r="CD62" s="286"/>
      <c r="CE62" s="286"/>
      <c r="CF62" s="286"/>
      <c r="CG62" s="286"/>
      <c r="CH62" s="286"/>
      <c r="CI62" s="286"/>
      <c r="CJ62" s="286"/>
      <c r="CK62" s="286"/>
      <c r="CL62" s="286"/>
      <c r="CM62" s="286"/>
      <c r="CN62" s="286"/>
      <c r="CO62" s="286"/>
      <c r="CP62" s="286"/>
      <c r="CQ62" s="286"/>
    </row>
    <row customHeight="1" ht="11.25" hidden="1">
      <c r="AJ63" s="286"/>
      <c r="AK63" s="286"/>
      <c r="AL63" s="286"/>
      <c r="AM63" s="286"/>
      <c r="AN63" s="286"/>
      <c r="AO63" s="286"/>
      <c r="AP63" s="286"/>
      <c r="AQ63" s="286"/>
      <c r="AR63" s="286"/>
      <c r="AS63" s="286"/>
      <c r="AT63" s="286"/>
      <c r="AU63" s="286"/>
      <c r="AV63" s="286"/>
      <c r="AW63" s="286"/>
      <c r="AX63" s="286"/>
      <c r="AY63" s="286"/>
      <c r="AZ63" s="286"/>
      <c r="BA63" s="286"/>
      <c r="BB63" s="286"/>
      <c r="BC63" s="286"/>
      <c r="BD63" s="286"/>
      <c r="BE63" s="286"/>
      <c r="BF63" s="286"/>
      <c r="BG63" s="286"/>
      <c r="BH63" s="286"/>
      <c r="BI63" s="286"/>
      <c r="BJ63" s="286"/>
      <c r="BK63" s="286"/>
      <c r="BL63" s="286"/>
      <c r="BM63" s="286"/>
      <c r="BN63" s="286"/>
      <c r="BO63" s="286"/>
      <c r="BP63" s="286"/>
      <c r="BQ63" s="286"/>
      <c r="BR63" s="286"/>
      <c r="BS63" s="286"/>
      <c r="BT63" s="286"/>
      <c r="BU63" s="286"/>
      <c r="BV63" s="286"/>
      <c r="BW63" s="286"/>
      <c r="BX63" s="286"/>
      <c r="BY63" s="286"/>
      <c r="BZ63" s="286"/>
      <c r="CA63" s="286"/>
      <c r="CB63" s="286"/>
      <c r="CC63" s="286"/>
      <c r="CD63" s="286"/>
      <c r="CE63" s="286"/>
      <c r="CF63" s="286"/>
      <c r="CG63" s="286"/>
      <c r="CH63" s="286"/>
      <c r="CI63" s="286"/>
      <c r="CJ63" s="286"/>
      <c r="CK63" s="286"/>
      <c r="CL63" s="286"/>
      <c r="CM63" s="286"/>
      <c r="CN63" s="286"/>
      <c r="CO63" s="286"/>
      <c r="CP63" s="286"/>
      <c r="CQ63" s="286"/>
    </row>
    <row customHeight="1" ht="11.25" hidden="1">
      <c r="AJ64" s="286"/>
      <c r="AK64" s="286"/>
      <c r="AL64" s="286"/>
      <c r="AM64" s="286"/>
      <c r="AN64" s="286"/>
      <c r="AO64" s="286"/>
      <c r="AP64" s="286"/>
      <c r="AQ64" s="286"/>
      <c r="AR64" s="286"/>
      <c r="AS64" s="286"/>
      <c r="AT64" s="286"/>
      <c r="AU64" s="286"/>
      <c r="AV64" s="286"/>
      <c r="AW64" s="286"/>
      <c r="AX64" s="286"/>
      <c r="AY64" s="286"/>
      <c r="AZ64" s="286"/>
      <c r="BA64" s="286"/>
      <c r="BB64" s="286"/>
      <c r="BC64" s="286"/>
      <c r="BD64" s="286"/>
      <c r="BE64" s="286"/>
      <c r="BF64" s="286"/>
      <c r="BG64" s="286"/>
      <c r="BH64" s="286"/>
      <c r="BI64" s="286"/>
      <c r="BJ64" s="286"/>
      <c r="BK64" s="286"/>
      <c r="BL64" s="286"/>
      <c r="BM64" s="286"/>
      <c r="BN64" s="286"/>
      <c r="BO64" s="286"/>
      <c r="BP64" s="286"/>
      <c r="BQ64" s="286"/>
      <c r="BR64" s="286"/>
      <c r="BS64" s="286"/>
      <c r="BT64" s="286"/>
      <c r="BU64" s="286"/>
      <c r="BV64" s="286"/>
      <c r="BW64" s="286"/>
      <c r="BX64" s="286"/>
      <c r="BY64" s="286"/>
      <c r="BZ64" s="286"/>
      <c r="CA64" s="286"/>
      <c r="CB64" s="286"/>
      <c r="CC64" s="286"/>
      <c r="CD64" s="286"/>
      <c r="CE64" s="286"/>
      <c r="CF64" s="286"/>
      <c r="CG64" s="286"/>
      <c r="CH64" s="286"/>
      <c r="CI64" s="286"/>
      <c r="CJ64" s="286"/>
      <c r="CK64" s="286"/>
      <c r="CL64" s="286"/>
      <c r="CM64" s="286"/>
      <c r="CN64" s="286"/>
      <c r="CO64" s="286"/>
      <c r="CP64" s="286"/>
      <c r="CQ64" s="286"/>
    </row>
  </sheetData>
  <sheetProtection formatColumns="0" formatRows="0" insertRows="0" deleteColumns="0" deleteRows="0" sort="0" autoFilter="0" insertColumns="1"/>
  <mergeCells count="17">
    <mergeCell ref="X27:X36"/>
    <mergeCell ref="Z27:Z36"/>
    <mergeCell ref="AB49:CT49"/>
    <mergeCell ref="AB50:CT50"/>
    <mergeCell ref="AB52:AC52"/>
    <mergeCell ref="CT24:CT25"/>
    <mergeCell ref="BX25:CQ25"/>
    <mergeCell ref="AB28:AC28"/>
    <mergeCell ref="AB51:CT51"/>
    <mergeCell ref="AB24:AB25"/>
    <mergeCell ref="AC24:AC25"/>
    <mergeCell ref="AD24:AD25"/>
    <mergeCell ref="CR24:CR25"/>
    <mergeCell ref="CS24:CS25"/>
    <mergeCell ref="X37:X46"/>
    <mergeCell ref="Z37:Z46"/>
    <mergeCell ref="AB38:AC38"/>
  </mergeCells>
  <printOptions horizontalCentered="1"/>
  <pageMargins left="0.35" right="0.35" top="0.40" bottom="0.40" header="0.08" footer="0.08"/>
  <pageSetup paperSize="9" scale="13"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2484F4-F458-5298-A0F8-4D35B62454A8}" mc:Ignorable="x14ac xr xr2 xr3">
  <sheetPr>
    <tabColor rgb="FF002060"/>
    <outlinePr summaryBelow="0"/>
  </sheetPr>
  <dimension ref="A1:BR122"/>
  <sheetViews>
    <sheetView showGridLines="0" zoomScale="90" workbookViewId="0">
      <pane xSplit="31" ySplit="26" topLeftCell="AF75" activePane="bottomRight" state="frozen"/>
      <selection pane="bottomLeft" activeCell="A27" sqref="A27"/>
      <selection pane="topRight" activeCell="AF1" sqref="AF1"/>
      <selection pane="bottomRight" activeCell="AG81" sqref="AG81"/>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9" style="1659" width="3.57421875" hidden="1" customWidth="1"/>
    <col min="20" max="20" style="1548" width="8.281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183" width="3.00390625" customWidth="1"/>
    <col min="28" max="28" style="307" width="15.00390625" customWidth="1"/>
    <col min="29" max="29" style="307" width="65.00390625" customWidth="1"/>
    <col min="30" max="30" style="307" width="25.00390625" customWidth="1"/>
    <col min="31" max="33" style="307" width="19.00390625" customWidth="1"/>
    <col min="34" max="34" style="765" width="19.00390625" customWidth="1"/>
    <col min="35" max="38" style="765" width="19.00390625" hidden="1" customWidth="1"/>
    <col min="39" max="40" style="765" width="19.00390625" customWidth="1"/>
    <col min="41" max="44" style="765" width="19.00390625" hidden="1" customWidth="1"/>
    <col min="45" max="45" style="765" width="19.00390625" customWidth="1"/>
    <col min="46" max="46" style="765" width="8.00390625" customWidth="1"/>
    <col min="47" max="47" style="765" width="57.00390625" customWidth="1"/>
    <col min="48" max="48" style="765" width="3.00390625" customWidth="1"/>
    <col min="49" max="51" style="969" width="9.140625" hidden="1"/>
    <col min="52" max="52" style="1125" width="9.140625" hidden="1"/>
    <col min="53" max="55" style="1506" width="9.140625" hidden="1"/>
    <col min="56" max="70" width="9.140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H1" s="1548"/>
      <c r="AI1" s="1548"/>
      <c r="AJ1" s="1548"/>
      <c r="AK1" s="1548"/>
      <c r="AL1" s="1548"/>
      <c r="AN1" s="1548"/>
      <c r="AO1" s="1548"/>
      <c r="AP1" s="1548"/>
      <c r="AQ1" s="1548"/>
      <c r="AR1" s="1548"/>
      <c r="AZ1" s="489" t="s">
        <v>336</v>
      </c>
      <c r="BD1" s="0" t="s">
        <v>94</v>
      </c>
      <c r="BE1" s="0" t="s">
        <v>1701</v>
      </c>
      <c r="BF1" s="0" t="s">
        <v>409</v>
      </c>
      <c r="BG1" s="0" t="s">
        <v>1702</v>
      </c>
      <c r="BH1" s="0" t="s">
        <v>1515</v>
      </c>
      <c r="BI1" s="0" t="s">
        <v>400</v>
      </c>
      <c r="BJ1" s="0" t="s">
        <v>1703</v>
      </c>
      <c r="BK1" s="0" t="s">
        <v>1704</v>
      </c>
      <c r="BL1" s="0" t="s">
        <v>489</v>
      </c>
      <c r="BM1" s="0" t="s">
        <v>789</v>
      </c>
      <c r="BN1" s="0" t="s">
        <v>97</v>
      </c>
      <c r="BO1" s="0" t="s">
        <v>112</v>
      </c>
      <c r="BP1" s="0" t="s">
        <v>113</v>
      </c>
      <c r="BQ1" s="0" t="s">
        <v>114</v>
      </c>
      <c r="BR1" s="0"/>
    </row>
    <row s="1548" customFormat="1" customHeight="1" ht="11.25" hidden="1">
      <c r="A2" s="371"/>
      <c r="B2" s="179" t="s">
        <v>16</v>
      </c>
      <c r="G2" s="193"/>
      <c r="H2" s="193"/>
      <c r="I2" s="193"/>
      <c r="J2" s="193"/>
      <c r="K2" s="193"/>
      <c r="L2" s="193"/>
      <c r="M2" s="193"/>
      <c r="N2" s="193"/>
      <c r="O2" s="193"/>
      <c r="P2" s="193"/>
      <c r="Q2" s="193"/>
      <c r="R2" s="193"/>
      <c r="S2" s="193"/>
      <c r="AF2" s="179" cm="1" t="str">
        <f t="array" ref="AF2:AF2">isOrgDeclare</f>
        <v>true</v>
      </c>
      <c r="AH2" s="179">
        <f>AND(AH9&lt;=last_year_vis,isOrgDeclare)</f>
        <v>1</v>
      </c>
      <c r="AI2" s="179">
        <f>AND(AI9&lt;=last_year_vis,isOrgDeclare)</f>
        <v>0</v>
      </c>
      <c r="AJ2" s="179">
        <f>AND(AJ9&lt;=last_year_vis,isOrgDeclare)</f>
        <v>0</v>
      </c>
      <c r="AK2" s="179">
        <f>AND(AK9&lt;=last_year_vis,isOrgDeclare)</f>
        <v>0</v>
      </c>
      <c r="AL2" s="179">
        <f>AND(AL9&lt;=last_year_vis,isOrgDeclare)</f>
        <v>0</v>
      </c>
      <c r="AN2" s="179">
        <f>AN9&lt;=last_year_vis</f>
        <v>1</v>
      </c>
      <c r="AO2" s="179">
        <f>AO9&lt;=last_year_vis</f>
        <v>0</v>
      </c>
      <c r="AP2" s="179">
        <f>AP9&lt;=last_year_vis</f>
        <v>0</v>
      </c>
      <c r="AQ2" s="179">
        <f>AQ9&lt;=last_year_vis</f>
        <v>0</v>
      </c>
      <c r="AR2" s="179">
        <f>AR9&lt;=last_year_vis</f>
        <v>0</v>
      </c>
      <c r="AZ2" s="489"/>
      <c r="BD2" s="0"/>
      <c r="BE2" s="0"/>
      <c r="BF2" s="0"/>
      <c r="BG2" s="0"/>
      <c r="BH2" s="0"/>
      <c r="BI2" s="0"/>
      <c r="BJ2" s="0"/>
      <c r="BK2" s="0"/>
      <c r="BL2" s="0"/>
      <c r="BM2" s="0"/>
      <c r="BN2" s="0"/>
      <c r="BO2" s="0"/>
      <c r="BP2" s="0"/>
      <c r="BQ2" s="0"/>
      <c r="BR2" s="0"/>
    </row>
    <row s="1548" customFormat="1" customHeight="1" ht="11.25" hidden="1">
      <c r="A3" s="371"/>
      <c r="G3" s="193"/>
      <c r="H3" s="193"/>
      <c r="I3" s="193"/>
      <c r="J3" s="193"/>
      <c r="K3" s="193"/>
      <c r="L3" s="193"/>
      <c r="M3" s="193"/>
      <c r="N3" s="193"/>
      <c r="O3" s="193"/>
      <c r="P3" s="193"/>
      <c r="Q3" s="193"/>
      <c r="R3" s="193"/>
      <c r="S3" s="193"/>
      <c r="AH3" s="1548"/>
      <c r="AI3" s="1548"/>
      <c r="AJ3" s="1548"/>
      <c r="AK3" s="1548"/>
      <c r="AL3" s="1548"/>
      <c r="AN3" s="1548"/>
      <c r="AO3" s="1548"/>
      <c r="AP3" s="1548"/>
      <c r="AQ3" s="1548"/>
      <c r="AR3" s="1548"/>
      <c r="AZ3" s="489"/>
      <c r="BD3" s="0"/>
      <c r="BE3" s="0"/>
      <c r="BF3" s="0"/>
      <c r="BG3" s="0"/>
      <c r="BH3" s="0"/>
      <c r="BI3" s="0"/>
      <c r="BJ3" s="0"/>
      <c r="BK3" s="0"/>
      <c r="BL3" s="0"/>
      <c r="BM3" s="0"/>
      <c r="BN3" s="0"/>
      <c r="BO3" s="0"/>
      <c r="BP3" s="0"/>
      <c r="BQ3" s="0"/>
      <c r="BR3" s="0"/>
    </row>
    <row s="1548" customFormat="1" customHeight="1" ht="11.25" hidden="1">
      <c r="A4" s="371"/>
      <c r="G4" s="193"/>
      <c r="H4" s="193"/>
      <c r="I4" s="193"/>
      <c r="J4" s="193"/>
      <c r="K4" s="193"/>
      <c r="L4" s="193"/>
      <c r="M4" s="193"/>
      <c r="N4" s="193"/>
      <c r="O4" s="193"/>
      <c r="P4" s="193"/>
      <c r="Q4" s="193"/>
      <c r="R4" s="193"/>
      <c r="S4" s="193"/>
      <c r="AH4" s="1548"/>
      <c r="AI4" s="1548"/>
      <c r="AJ4" s="1548"/>
      <c r="AK4" s="1548"/>
      <c r="AL4" s="1548"/>
      <c r="AN4" s="1548"/>
      <c r="AO4" s="1548"/>
      <c r="AP4" s="1548"/>
      <c r="AQ4" s="1548"/>
      <c r="AR4" s="1548"/>
      <c r="AZ4" s="489"/>
      <c r="BD4" s="0"/>
      <c r="BE4" s="0"/>
      <c r="BF4" s="0"/>
      <c r="BG4" s="0"/>
      <c r="BH4" s="0"/>
      <c r="BI4" s="0"/>
      <c r="BJ4" s="0"/>
      <c r="BK4" s="0"/>
      <c r="BL4" s="0"/>
      <c r="BM4" s="0"/>
      <c r="BN4" s="0"/>
      <c r="BO4" s="0"/>
      <c r="BP4" s="0"/>
      <c r="BQ4" s="0"/>
      <c r="BR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15</v>
      </c>
      <c r="AC5" s="180">
        <v>65</v>
      </c>
      <c r="AD5" s="180">
        <v>25</v>
      </c>
      <c r="AE5" s="180">
        <v>19</v>
      </c>
      <c r="AF5" s="180">
        <v>19</v>
      </c>
      <c r="AG5" s="180">
        <v>19</v>
      </c>
      <c r="AH5" s="180">
        <v>19</v>
      </c>
      <c r="AI5" s="180">
        <v>19</v>
      </c>
      <c r="AJ5" s="180">
        <v>19</v>
      </c>
      <c r="AK5" s="180">
        <v>19</v>
      </c>
      <c r="AL5" s="180">
        <v>19</v>
      </c>
      <c r="AM5" s="180">
        <v>19</v>
      </c>
      <c r="AN5" s="180">
        <v>19</v>
      </c>
      <c r="AO5" s="180">
        <v>19</v>
      </c>
      <c r="AP5" s="180">
        <v>19</v>
      </c>
      <c r="AQ5" s="180">
        <v>19</v>
      </c>
      <c r="AR5" s="180">
        <v>19</v>
      </c>
      <c r="AS5" s="180">
        <v>19</v>
      </c>
      <c r="AT5" s="180">
        <v>8</v>
      </c>
      <c r="AU5" s="180">
        <v>57</v>
      </c>
      <c r="AV5" s="180">
        <v>3</v>
      </c>
      <c r="AZ5" s="489"/>
      <c r="BD5" s="1729"/>
      <c r="BE5" s="1729"/>
      <c r="BF5" s="1729"/>
      <c r="BG5" s="1729"/>
      <c r="BH5" s="1729"/>
      <c r="BI5" s="1729"/>
      <c r="BJ5" s="1729"/>
      <c r="BK5" s="1729"/>
      <c r="BL5" s="1729"/>
      <c r="BM5" s="1729"/>
      <c r="BN5" s="1729"/>
      <c r="BO5" s="1729"/>
      <c r="BP5" s="1729"/>
      <c r="BQ5" s="1729"/>
      <c r="BR5" s="1729"/>
    </row>
    <row s="1548" customFormat="1" customHeight="1" ht="11.25" hidden="1">
      <c r="A6" s="371"/>
      <c r="E6" s="180"/>
      <c r="G6" s="193"/>
      <c r="H6" s="193"/>
      <c r="I6" s="193"/>
      <c r="J6" s="193"/>
      <c r="K6" s="193"/>
      <c r="L6" s="193"/>
      <c r="M6" s="193"/>
      <c r="N6" s="193"/>
      <c r="O6" s="193"/>
      <c r="P6" s="193"/>
      <c r="Q6" s="193"/>
      <c r="R6" s="193"/>
      <c r="S6" s="193"/>
      <c r="AH6" s="1548"/>
      <c r="AI6" s="1548"/>
      <c r="AJ6" s="1548"/>
      <c r="AK6" s="1548"/>
      <c r="AL6" s="1548"/>
      <c r="AN6" s="1548"/>
      <c r="AO6" s="1548"/>
      <c r="AP6" s="1548"/>
      <c r="AQ6" s="1548"/>
      <c r="AR6" s="1548"/>
      <c r="AZ6" s="489"/>
      <c r="BD6" s="0"/>
      <c r="BE6" s="0"/>
      <c r="BF6" s="0"/>
      <c r="BG6" s="0"/>
      <c r="BH6" s="0"/>
      <c r="BI6" s="0"/>
      <c r="BJ6" s="0"/>
      <c r="BK6" s="0"/>
      <c r="BL6" s="0"/>
      <c r="BM6" s="0"/>
      <c r="BN6" s="0"/>
      <c r="BO6" s="0"/>
      <c r="BP6" s="0"/>
      <c r="BQ6" s="0"/>
      <c r="BR6" s="0"/>
    </row>
    <row s="1659" customFormat="1" customHeight="1" ht="11.25" hidden="1">
      <c r="A7" s="371"/>
      <c r="B7" s="175"/>
      <c r="C7" s="175"/>
      <c r="D7" s="175"/>
      <c r="E7" s="180"/>
      <c r="AH7" s="1659"/>
      <c r="AI7" s="1659"/>
      <c r="AJ7" s="1659"/>
      <c r="AK7" s="1659"/>
      <c r="AL7" s="1659"/>
      <c r="AN7" s="1659"/>
      <c r="AO7" s="1659"/>
      <c r="AP7" s="1659"/>
      <c r="AQ7" s="1659"/>
      <c r="AR7" s="1659"/>
      <c r="AZ7" s="489"/>
      <c r="BD7" s="0"/>
      <c r="BE7" s="0"/>
      <c r="BF7" s="0"/>
      <c r="BG7" s="0"/>
      <c r="BH7" s="0"/>
      <c r="BI7" s="0"/>
      <c r="BJ7" s="0"/>
      <c r="BK7" s="0"/>
      <c r="BL7" s="0"/>
      <c r="BM7" s="0"/>
      <c r="BN7" s="0"/>
      <c r="BO7" s="0"/>
      <c r="BP7" s="0"/>
      <c r="BQ7" s="0"/>
      <c r="BR7" s="0"/>
    </row>
    <row s="1659" customFormat="1" customHeight="1" ht="11.25" hidden="1">
      <c r="A8" s="371"/>
      <c r="B8" s="175"/>
      <c r="C8" s="175"/>
      <c r="D8" s="175"/>
      <c r="E8" s="180"/>
      <c r="AH8" s="1659"/>
      <c r="AI8" s="1659"/>
      <c r="AJ8" s="1659"/>
      <c r="AK8" s="1659"/>
      <c r="AL8" s="1659"/>
      <c r="AN8" s="1659"/>
      <c r="AO8" s="1659"/>
      <c r="AP8" s="1659"/>
      <c r="AQ8" s="1659"/>
      <c r="AR8" s="1659"/>
      <c r="AZ8" s="489"/>
      <c r="BD8" s="0"/>
      <c r="BE8" s="0"/>
      <c r="BF8" s="0"/>
      <c r="BG8" s="0"/>
      <c r="BH8" s="0"/>
      <c r="BI8" s="0"/>
      <c r="BJ8" s="0"/>
      <c r="BK8" s="0"/>
      <c r="BL8" s="0"/>
      <c r="BM8" s="0"/>
      <c r="BN8" s="0"/>
      <c r="BO8" s="0"/>
      <c r="BP8" s="0"/>
      <c r="BQ8" s="0"/>
      <c r="BR8" s="0"/>
    </row>
    <row s="1143" customFormat="1" customHeight="1" ht="11.25" hidden="1">
      <c r="A9" s="309" t="s">
        <v>403</v>
      </c>
      <c r="AF9" s="312">
        <f>god-2</f>
        <v>2025</v>
      </c>
      <c r="AG9" s="312">
        <f>god-2</f>
        <v>2025</v>
      </c>
      <c r="AH9" s="312" cm="1" t="str">
        <f t="array" ref="AH9:AH9">god</f>
        <v>2027</v>
      </c>
      <c r="AI9" s="312">
        <f>god+1</f>
        <v>2028</v>
      </c>
      <c r="AJ9" s="312">
        <f>god+2</f>
        <v>2029</v>
      </c>
      <c r="AK9" s="312">
        <f>god+3</f>
        <v>2030</v>
      </c>
      <c r="AL9" s="312">
        <f>god+4</f>
        <v>2031</v>
      </c>
      <c r="AN9" s="312" cm="1" t="str">
        <f t="array" ref="AN9:AN9">god</f>
        <v>2027</v>
      </c>
      <c r="AO9" s="312">
        <f>god+1</f>
        <v>2028</v>
      </c>
      <c r="AP9" s="312">
        <f>god+2</f>
        <v>2029</v>
      </c>
      <c r="AQ9" s="312">
        <f>god+3</f>
        <v>2030</v>
      </c>
      <c r="AR9" s="312">
        <f>god+4</f>
        <v>2031</v>
      </c>
      <c r="AZ9" s="489"/>
      <c r="BD9" s="1730"/>
      <c r="BE9" s="1730"/>
      <c r="BF9" s="1730"/>
      <c r="BG9" s="1730"/>
      <c r="BH9" s="1730"/>
      <c r="BI9" s="1730"/>
      <c r="BJ9" s="1730"/>
      <c r="BK9" s="1730"/>
      <c r="BL9" s="1730"/>
      <c r="BM9" s="1730"/>
      <c r="BN9" s="1730"/>
      <c r="BO9" s="1730"/>
      <c r="BP9" s="1730"/>
      <c r="BQ9" s="1730"/>
      <c r="BR9" s="1730"/>
    </row>
    <row s="1143" customFormat="1" customHeight="1" ht="11.25" hidden="1">
      <c r="A10" s="309" t="s">
        <v>404</v>
      </c>
      <c r="AF10" s="312" cm="1" t="str">
        <f t="array" ref="AF10:AF10">AF26</f>
        <v>Факт по данным организации</v>
      </c>
      <c r="AG10" s="312" cm="1" t="str">
        <f t="array" ref="AG10:AG10">AG26</f>
        <v>Принято органом регулирования</v>
      </c>
      <c r="AH10" s="312" cm="1" t="str">
        <f t="array" ref="AH10:AH10">AH71</f>
        <v>Предложение организации</v>
      </c>
      <c r="AI10" s="312" cm="1" t="str">
        <f t="array" ref="AI10:AI10">AI71</f>
        <v>Предложение организации</v>
      </c>
      <c r="AJ10" s="312" cm="1" t="str">
        <f t="array" ref="AJ10:AJ10">AJ71</f>
        <v>Предложение организации</v>
      </c>
      <c r="AK10" s="312" cm="1" t="str">
        <f t="array" ref="AK10:AK10">AK71</f>
        <v>Предложение организации</v>
      </c>
      <c r="AL10" s="312" cm="1" t="str">
        <f t="array" ref="AL10:AL10">AL71</f>
        <v>Предложение организации</v>
      </c>
      <c r="AN10" s="312" cm="1" t="str">
        <f t="array" ref="AN10:AN10">AN71</f>
        <v>Принято органом регулирования</v>
      </c>
      <c r="AO10" s="312" cm="1" t="str">
        <f t="array" ref="AO10:AO10">AO71</f>
        <v>Принято органом регулирования</v>
      </c>
      <c r="AP10" s="312" cm="1" t="str">
        <f t="array" ref="AP10:AP10">AP71</f>
        <v>Принято органом регулирования</v>
      </c>
      <c r="AQ10" s="312" cm="1" t="str">
        <f t="array" ref="AQ10:AQ10">AQ71</f>
        <v>Принято органом регулирования</v>
      </c>
      <c r="AR10" s="312" cm="1" t="str">
        <f t="array" ref="AR10:AR10">AR71</f>
        <v>Принято органом регулирования</v>
      </c>
      <c r="AZ10" s="489"/>
      <c r="BD10" s="1730"/>
      <c r="BE10" s="1730"/>
      <c r="BF10" s="1730"/>
      <c r="BG10" s="1730"/>
      <c r="BH10" s="1730"/>
      <c r="BI10" s="1730"/>
      <c r="BJ10" s="1730"/>
      <c r="BK10" s="1730"/>
      <c r="BL10" s="1730"/>
      <c r="BM10" s="1730"/>
      <c r="BN10" s="1730"/>
      <c r="BO10" s="1730"/>
      <c r="BP10" s="1730"/>
      <c r="BQ10" s="1730"/>
      <c r="BR10" s="1730"/>
    </row>
    <row s="1548" customFormat="1" customHeight="1" ht="11.25" hidden="1">
      <c r="A11" s="371"/>
      <c r="E11" s="180"/>
      <c r="G11" s="193"/>
      <c r="H11" s="193"/>
      <c r="I11" s="193"/>
      <c r="J11" s="193"/>
      <c r="K11" s="193"/>
      <c r="L11" s="193"/>
      <c r="M11" s="193"/>
      <c r="N11" s="193"/>
      <c r="O11" s="193"/>
      <c r="P11" s="193"/>
      <c r="Q11" s="193"/>
      <c r="R11" s="193"/>
      <c r="S11" s="193"/>
      <c r="AH11" s="1548"/>
      <c r="AI11" s="1548"/>
      <c r="AJ11" s="1548"/>
      <c r="AK11" s="1548"/>
      <c r="AL11" s="1548"/>
      <c r="AN11" s="1548"/>
      <c r="AO11" s="1548"/>
      <c r="AP11" s="1548"/>
      <c r="AQ11" s="1548"/>
      <c r="AR11" s="1548"/>
      <c r="AZ11" s="489"/>
      <c r="BD11" s="0"/>
      <c r="BE11" s="0"/>
      <c r="BF11" s="0"/>
      <c r="BG11" s="0"/>
      <c r="BH11" s="0"/>
      <c r="BI11" s="0"/>
      <c r="BJ11" s="0"/>
      <c r="BK11" s="0"/>
      <c r="BL11" s="0"/>
      <c r="BM11" s="0"/>
      <c r="BN11" s="0"/>
      <c r="BO11" s="0"/>
      <c r="BP11" s="0"/>
      <c r="BQ11" s="0"/>
      <c r="BR11" s="0"/>
    </row>
    <row customHeight="1" ht="11.25" hidden="1">
      <c r="A12" s="0" t="s">
        <v>109</v>
      </c>
      <c r="AF12" s="0" t="str">
        <f>"389.0."&amp;AF$9-2010&amp;"."</f>
        <v>389.0.15.</v>
      </c>
      <c r="AG12" s="0" t="str">
        <f>"389.0."&amp;AG$9-2010&amp;"."</f>
        <v>389.0.15.</v>
      </c>
      <c r="AH12" s="0" t="str">
        <f>"389.0."&amp;AH$9-2010&amp;"."</f>
        <v>389.0.17.</v>
      </c>
      <c r="AI12" s="0" t="str">
        <f>"389.0."&amp;AI$9-2010&amp;"."</f>
        <v>389.0.18.</v>
      </c>
      <c r="AJ12" s="0" t="str">
        <f>"389.0."&amp;AJ$9-2010&amp;"."</f>
        <v>389.0.19.</v>
      </c>
      <c r="AK12" s="0" t="str">
        <f>"389.0."&amp;AK$9-2010&amp;"."</f>
        <v>389.0.20.</v>
      </c>
      <c r="AL12" s="0" t="str">
        <f>"389.0."&amp;AL$9-2010&amp;"."</f>
        <v>389.0.21.</v>
      </c>
      <c r="AM12" s="0" t="str">
        <f>"389.0."&amp;AM$9-2010&amp;"."</f>
        <v>389.0.-2010.</v>
      </c>
      <c r="AN12" s="0" t="str">
        <f>"389.0."&amp;AN$9-2010&amp;"."</f>
        <v>389.0.17.</v>
      </c>
      <c r="AO12" s="0" t="str">
        <f>"389.0."&amp;AO$9-2010&amp;"."</f>
        <v>389.0.18.</v>
      </c>
      <c r="AP12" s="0" t="str">
        <f>"389.0."&amp;AP$9-2010&amp;"."</f>
        <v>389.0.19.</v>
      </c>
      <c r="AQ12" s="0" t="str">
        <f>"389.0."&amp;AQ$9-2010&amp;"."</f>
        <v>389.0.20.</v>
      </c>
      <c r="AR12" s="0" t="str">
        <f>"389.0."&amp;AR$9-2010&amp;"."</f>
        <v>389.0.21.</v>
      </c>
    </row>
    <row customHeight="1" ht="11.25" hidden="1">
      <c r="A13" s="0" t="s">
        <v>406</v>
      </c>
      <c r="AF13" s="0" cm="1" t="str">
        <f t="array" ref="AF13:AF13">IF($A13="uni_org_reg_NAME",INDEX(org_reg_values,MATCH(AF$10,org_reg_codes,0),1),IF($A13="uni_pf_NAME",INDEX(pf_codes_values,MATCH(AF$10,pf_codes,0),1),""))</f>
        <v>328.0.1.</v>
      </c>
      <c r="AG13" s="0" cm="1" t="str">
        <f t="array" ref="AG13:AG13">IF($A13="uni_org_reg_NAME",INDEX(org_reg_values,MATCH(AG$10,org_reg_codes,0),1),IF($A13="uni_pf_NAME",INDEX(pf_codes_values,MATCH(AG$10,pf_codes,0),1),""))</f>
        <v>328.0.2.</v>
      </c>
      <c r="AH13" s="0" cm="1" t="str">
        <f t="array" ref="AH13:AH13">IF($A13="uni_org_reg_NAME",INDEX(org_reg_values,MATCH(AH$10,org_reg_codes,0),1),IF($A13="uni_pf_NAME",INDEX(pf_codes_values,MATCH(AH$10,pf_codes,0),1),""))</f>
        <v>328.0.1.</v>
      </c>
      <c r="AI13" s="0" cm="1" t="str">
        <f t="array" ref="AI13:AI13">IF($A13="uni_org_reg_NAME",INDEX(org_reg_values,MATCH(AI$10,org_reg_codes,0),1),IF($A13="uni_pf_NAME",INDEX(pf_codes_values,MATCH(AI$10,pf_codes,0),1),""))</f>
        <v>328.0.1.</v>
      </c>
      <c r="AJ13" s="0" cm="1" t="str">
        <f t="array" ref="AJ13:AJ13">IF($A13="uni_org_reg_NAME",INDEX(org_reg_values,MATCH(AJ$10,org_reg_codes,0),1),IF($A13="uni_pf_NAME",INDEX(pf_codes_values,MATCH(AJ$10,pf_codes,0),1),""))</f>
        <v>328.0.1.</v>
      </c>
      <c r="AK13" s="0" cm="1" t="str">
        <f t="array" ref="AK13:AK13">IF($A13="uni_org_reg_NAME",INDEX(org_reg_values,MATCH(AK$10,org_reg_codes,0),1),IF($A13="uni_pf_NAME",INDEX(pf_codes_values,MATCH(AK$10,pf_codes,0),1),""))</f>
        <v>328.0.1.</v>
      </c>
      <c r="AL13" s="0" cm="1" t="str">
        <f t="array" ref="AL13:AL13">IF($A13="uni_org_reg_NAME",INDEX(org_reg_values,MATCH(AL$10,org_reg_codes,0),1),IF($A13="uni_pf_NAME",INDEX(pf_codes_values,MATCH(AL$10,pf_codes,0),1),""))</f>
        <v>328.0.1.</v>
      </c>
      <c r="AN13" s="0" cm="1" t="str">
        <f t="array" ref="AN13:AN13">IF($A13="uni_org_reg_NAME",INDEX(org_reg_values,MATCH(AN$10,org_reg_codes,0),1),IF($A13="uni_pf_NAME",INDEX(pf_codes_values,MATCH(AN$10,pf_codes,0),1),""))</f>
        <v>328.0.2.</v>
      </c>
      <c r="AO13" s="0" cm="1" t="str">
        <f t="array" ref="AO13:AO13">IF($A13="uni_org_reg_NAME",INDEX(org_reg_values,MATCH(AO$10,org_reg_codes,0),1),IF($A13="uni_pf_NAME",INDEX(pf_codes_values,MATCH(AO$10,pf_codes,0),1),""))</f>
        <v>328.0.2.</v>
      </c>
      <c r="AP13" s="0" cm="1" t="str">
        <f t="array" ref="AP13:AP13">IF($A13="uni_org_reg_NAME",INDEX(org_reg_values,MATCH(AP$10,org_reg_codes,0),1),IF($A13="uni_pf_NAME",INDEX(pf_codes_values,MATCH(AP$10,pf_codes,0),1),""))</f>
        <v>328.0.2.</v>
      </c>
      <c r="AQ13" s="0" cm="1" t="str">
        <f t="array" ref="AQ13:AQ13">IF($A13="uni_org_reg_NAME",INDEX(org_reg_values,MATCH(AQ$10,org_reg_codes,0),1),IF($A13="uni_pf_NAME",INDEX(pf_codes_values,MATCH(AQ$10,pf_codes,0),1),""))</f>
        <v>328.0.2.</v>
      </c>
      <c r="AR13" s="0" cm="1" t="str">
        <f t="array" ref="AR13:AR13">IF($A13="uni_org_reg_NAME",INDEX(org_reg_values,MATCH(AR$10,org_reg_codes,0),1),IF($A13="uni_pf_NAME",INDEX(pf_codes_values,MATCH(AR$10,pf_codes,0),1),""))</f>
        <v>328.0.2.</v>
      </c>
    </row>
    <row customHeight="1" ht="11.25" hidden="1">
      <c r="AH14" s="765"/>
      <c r="AI14" s="765"/>
      <c r="AJ14" s="765"/>
      <c r="AK14" s="765"/>
      <c r="AL14" s="765"/>
      <c r="AN14" s="765"/>
      <c r="AO14" s="765"/>
      <c r="AP14" s="765"/>
      <c r="AQ14" s="765"/>
      <c r="AR14" s="765"/>
    </row>
    <row s="1548" customFormat="1" customHeight="1" ht="11.25" hidden="1">
      <c r="A15" s="371"/>
      <c r="E15" s="180"/>
      <c r="G15" s="193"/>
      <c r="H15" s="193"/>
      <c r="I15" s="193"/>
      <c r="J15" s="193"/>
      <c r="K15" s="193"/>
      <c r="L15" s="193"/>
      <c r="M15" s="193"/>
      <c r="N15" s="193"/>
      <c r="O15" s="193"/>
      <c r="P15" s="193"/>
      <c r="Q15" s="193"/>
      <c r="R15" s="193"/>
      <c r="S15" s="193"/>
      <c r="AH15" s="1548"/>
      <c r="AI15" s="1548"/>
      <c r="AJ15" s="1548"/>
      <c r="AK15" s="1548"/>
      <c r="AL15" s="1548"/>
      <c r="AN15" s="1548"/>
      <c r="AO15" s="1548"/>
      <c r="AP15" s="1548"/>
      <c r="AQ15" s="1548"/>
      <c r="AR15" s="1548"/>
      <c r="AZ15" s="489"/>
      <c r="BD15" s="0"/>
      <c r="BE15" s="0"/>
      <c r="BF15" s="0"/>
      <c r="BG15" s="0"/>
      <c r="BH15" s="0"/>
      <c r="BI15" s="0"/>
      <c r="BJ15" s="0"/>
      <c r="BK15" s="0"/>
      <c r="BL15" s="0"/>
      <c r="BM15" s="0"/>
      <c r="BN15" s="0"/>
      <c r="BO15" s="0"/>
      <c r="BP15" s="0"/>
      <c r="BQ15" s="0"/>
      <c r="BR15" s="0"/>
    </row>
    <row s="1548" customFormat="1" customHeight="1" ht="11.25" hidden="1">
      <c r="A16" s="371"/>
      <c r="E16" s="180"/>
      <c r="G16" s="193"/>
      <c r="H16" s="193"/>
      <c r="I16" s="193"/>
      <c r="J16" s="193"/>
      <c r="K16" s="193"/>
      <c r="L16" s="193"/>
      <c r="M16" s="193"/>
      <c r="N16" s="193"/>
      <c r="O16" s="193"/>
      <c r="P16" s="193"/>
      <c r="Q16" s="193"/>
      <c r="R16" s="193"/>
      <c r="S16" s="193"/>
      <c r="AH16" s="1548"/>
      <c r="AI16" s="1548"/>
      <c r="AJ16" s="1548"/>
      <c r="AK16" s="1548"/>
      <c r="AL16" s="1548"/>
      <c r="AN16" s="1548"/>
      <c r="AO16" s="1548"/>
      <c r="AP16" s="1548"/>
      <c r="AQ16" s="1548"/>
      <c r="AR16" s="1548"/>
      <c r="AZ16" s="489"/>
      <c r="BD16" s="0"/>
      <c r="BE16" s="0"/>
      <c r="BF16" s="0"/>
      <c r="BG16" s="0"/>
      <c r="BH16" s="0"/>
      <c r="BI16" s="0"/>
      <c r="BJ16" s="0"/>
      <c r="BK16" s="0"/>
      <c r="BL16" s="0"/>
      <c r="BM16" s="0"/>
      <c r="BN16" s="0"/>
      <c r="BO16" s="0"/>
      <c r="BP16" s="0"/>
      <c r="BQ16" s="0"/>
      <c r="BR16" s="0"/>
    </row>
    <row s="1548" customFormat="1" customHeight="1" ht="11.25" hidden="1">
      <c r="A17" s="371"/>
      <c r="E17" s="180"/>
      <c r="G17" s="193"/>
      <c r="H17" s="193"/>
      <c r="I17" s="193"/>
      <c r="J17" s="193"/>
      <c r="K17" s="193"/>
      <c r="L17" s="193"/>
      <c r="M17" s="193"/>
      <c r="N17" s="193"/>
      <c r="O17" s="193"/>
      <c r="P17" s="193"/>
      <c r="Q17" s="193"/>
      <c r="R17" s="193"/>
      <c r="S17" s="193"/>
      <c r="AH17" s="1548"/>
      <c r="AI17" s="1548"/>
      <c r="AJ17" s="1548"/>
      <c r="AK17" s="1548"/>
      <c r="AL17" s="1548"/>
      <c r="AN17" s="1548"/>
      <c r="AO17" s="1548"/>
      <c r="AP17" s="1548"/>
      <c r="AQ17" s="1548"/>
      <c r="AR17" s="1548"/>
      <c r="AZ17" s="489"/>
      <c r="BD17" s="0"/>
      <c r="BE17" s="0"/>
      <c r="BF17" s="0"/>
      <c r="BG17" s="0"/>
      <c r="BH17" s="0"/>
      <c r="BI17" s="0"/>
      <c r="BJ17" s="0"/>
      <c r="BK17" s="0"/>
      <c r="BL17" s="0"/>
      <c r="BM17" s="0"/>
      <c r="BN17" s="0"/>
      <c r="BO17" s="0"/>
      <c r="BP17" s="0"/>
      <c r="BQ17" s="0"/>
      <c r="BR17" s="0"/>
    </row>
    <row s="1548" customFormat="1" customHeight="1" ht="11.25" hidden="1">
      <c r="A18" s="371"/>
      <c r="E18" s="180"/>
      <c r="G18" s="193"/>
      <c r="H18" s="193"/>
      <c r="I18" s="193"/>
      <c r="J18" s="193"/>
      <c r="K18" s="193"/>
      <c r="L18" s="193"/>
      <c r="M18" s="193"/>
      <c r="N18" s="193"/>
      <c r="O18" s="193"/>
      <c r="P18" s="193"/>
      <c r="Q18" s="193"/>
      <c r="R18" s="193"/>
      <c r="S18" s="193"/>
      <c r="AH18" s="1548"/>
      <c r="AI18" s="1548"/>
      <c r="AJ18" s="1548"/>
      <c r="AK18" s="1548"/>
      <c r="AL18" s="1548"/>
      <c r="AN18" s="1548"/>
      <c r="AO18" s="1548"/>
      <c r="AP18" s="1548"/>
      <c r="AQ18" s="1548"/>
      <c r="AR18" s="1548"/>
      <c r="AZ18" s="489"/>
      <c r="BD18" s="0"/>
      <c r="BE18" s="0"/>
      <c r="BF18" s="0"/>
      <c r="BG18" s="0"/>
      <c r="BH18" s="0"/>
      <c r="BI18" s="0"/>
      <c r="BJ18" s="0"/>
      <c r="BK18" s="0"/>
      <c r="BL18" s="0"/>
      <c r="BM18" s="0"/>
      <c r="BN18" s="0"/>
      <c r="BO18" s="0"/>
      <c r="BP18" s="0"/>
      <c r="BQ18" s="0"/>
      <c r="BR18" s="0"/>
    </row>
    <row s="1548" customFormat="1" customHeight="1" ht="11.25" hidden="1">
      <c r="A19" s="371"/>
      <c r="E19" s="180"/>
      <c r="G19" s="193"/>
      <c r="H19" s="193"/>
      <c r="I19" s="193"/>
      <c r="J19" s="193"/>
      <c r="K19" s="193"/>
      <c r="L19" s="193"/>
      <c r="M19" s="193"/>
      <c r="N19" s="193"/>
      <c r="O19" s="193"/>
      <c r="P19" s="193"/>
      <c r="Q19" s="193"/>
      <c r="R19" s="193"/>
      <c r="S19" s="193"/>
      <c r="AH19" s="1548"/>
      <c r="AI19" s="1548"/>
      <c r="AJ19" s="1548"/>
      <c r="AK19" s="1548"/>
      <c r="AL19" s="1548"/>
      <c r="AN19" s="1548"/>
      <c r="AO19" s="1548"/>
      <c r="AP19" s="1548"/>
      <c r="AQ19" s="1548"/>
      <c r="AR19" s="1548"/>
      <c r="AZ19" s="489"/>
      <c r="BD19" s="0"/>
      <c r="BE19" s="0"/>
      <c r="BF19" s="0"/>
      <c r="BG19" s="0"/>
      <c r="BH19" s="0"/>
      <c r="BI19" s="0"/>
      <c r="BJ19" s="0"/>
      <c r="BK19" s="0"/>
      <c r="BL19" s="0"/>
      <c r="BM19" s="0"/>
      <c r="BN19" s="0"/>
      <c r="BO19" s="0"/>
      <c r="BP19" s="0"/>
      <c r="BQ19" s="0"/>
      <c r="BR19" s="0"/>
    </row>
    <row s="1548" customFormat="1" customHeight="1" ht="10.725000000000001" hidden="1">
      <c r="A20" s="371"/>
      <c r="E20" s="180">
        <v>11</v>
      </c>
      <c r="G20" s="193"/>
      <c r="H20" s="193"/>
      <c r="I20" s="193"/>
      <c r="J20" s="193"/>
      <c r="K20" s="193"/>
      <c r="L20" s="193"/>
      <c r="M20" s="193"/>
      <c r="N20" s="193"/>
      <c r="O20" s="193"/>
      <c r="P20" s="193"/>
      <c r="Q20" s="193"/>
      <c r="R20" s="193"/>
      <c r="S20" s="193"/>
      <c r="AH20" s="1548"/>
      <c r="AI20" s="1548"/>
      <c r="AJ20" s="1548"/>
      <c r="AK20" s="1548"/>
      <c r="AL20" s="1548"/>
      <c r="AN20" s="1548"/>
      <c r="AO20" s="1548"/>
      <c r="AP20" s="1548"/>
      <c r="AQ20" s="1548"/>
      <c r="AR20" s="1548"/>
      <c r="AZ20" s="489"/>
      <c r="BD20" s="0"/>
      <c r="BE20" s="0"/>
      <c r="BF20" s="0"/>
      <c r="BG20" s="0"/>
      <c r="BH20" s="0"/>
      <c r="BI20" s="0"/>
      <c r="BJ20" s="0"/>
      <c r="BK20" s="0"/>
      <c r="BL20" s="0"/>
      <c r="BM20" s="0"/>
      <c r="BN20" s="0"/>
      <c r="BO20" s="0"/>
      <c r="BP20" s="0"/>
      <c r="BQ20" s="0"/>
      <c r="BR20" s="0"/>
    </row>
    <row s="969" customFormat="1" customHeight="1" ht="10.725000000000001">
      <c r="A21" s="371"/>
      <c r="B21" s="175"/>
      <c r="C21" s="175"/>
      <c r="D21" s="175"/>
      <c r="E21" s="180">
        <v>11</v>
      </c>
      <c r="F21" s="175"/>
      <c r="G21" s="193"/>
      <c r="H21" s="193"/>
      <c r="I21" s="193"/>
      <c r="J21" s="193"/>
      <c r="K21" s="193"/>
      <c r="L21" s="193"/>
      <c r="M21" s="193"/>
      <c r="N21" s="193"/>
      <c r="O21" s="193"/>
      <c r="P21" s="193"/>
      <c r="Q21" s="193"/>
      <c r="R21" s="193"/>
      <c r="S21" s="193"/>
      <c r="T21" s="175"/>
      <c r="U21" s="175"/>
      <c r="V21" s="175"/>
      <c r="W21" s="175"/>
      <c r="X21" s="175"/>
      <c r="Y21" s="175"/>
      <c r="Z21" s="175"/>
      <c r="AA21" s="182"/>
      <c r="AB21" s="668"/>
      <c r="AC21" s="278" cm="1" t="str">
        <f t="array" ref="AC21:AC21">tpl_title</f>
        <v>Кемеровская область / 2027 / ООО "КК-ИНВЕСТ" (ИНН:1901133713, КПП:190101001) / ДПР: 2025-2027</v>
      </c>
      <c r="AD21" s="181"/>
      <c r="AE21" s="181"/>
      <c r="AF21" s="181"/>
      <c r="AG21" s="181"/>
      <c r="AH21" s="183"/>
      <c r="AI21" s="183"/>
      <c r="AJ21" s="183"/>
      <c r="AK21" s="183"/>
      <c r="AL21" s="183"/>
      <c r="AM21" s="183"/>
      <c r="AN21" s="183"/>
      <c r="AO21" s="183"/>
      <c r="AP21" s="183"/>
      <c r="AQ21" s="183"/>
      <c r="AR21" s="183"/>
      <c r="AS21" s="183"/>
      <c r="AT21" s="183"/>
      <c r="AU21" s="183"/>
      <c r="AV21" s="183"/>
      <c r="AZ21" s="489"/>
      <c r="BD21" s="0"/>
      <c r="BE21" s="0"/>
      <c r="BF21" s="0"/>
      <c r="BG21" s="0"/>
      <c r="BH21" s="0"/>
      <c r="BI21" s="0"/>
      <c r="BJ21" s="0"/>
      <c r="BK21" s="0"/>
      <c r="BL21" s="0"/>
      <c r="BM21" s="0"/>
      <c r="BN21" s="0"/>
      <c r="BO21" s="0"/>
      <c r="BP21" s="0"/>
      <c r="BQ21" s="0"/>
      <c r="BR21" s="0"/>
    </row>
    <row customHeight="1" ht="10.725000000000001">
      <c r="E22" s="180">
        <v>11</v>
      </c>
      <c r="AB22" s="430"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548"/>
      <c r="AH22" s="765"/>
      <c r="AI22" s="765"/>
      <c r="AJ22" s="765"/>
      <c r="AK22" s="765"/>
      <c r="AL22" s="765"/>
      <c r="AN22" s="765"/>
      <c r="AO22" s="765"/>
      <c r="AP22" s="765"/>
      <c r="AQ22" s="765"/>
      <c r="AR22" s="765"/>
    </row>
    <row customHeight="1" ht="10.725000000000001">
      <c r="E23" s="180">
        <v>11</v>
      </c>
      <c r="AB23" s="766"/>
      <c r="AC23" s="767"/>
      <c r="AD23" s="767"/>
      <c r="AE23" s="767"/>
      <c r="AF23" s="767"/>
      <c r="AG23" s="767"/>
      <c r="AH23" s="768"/>
      <c r="AI23" s="768"/>
      <c r="AJ23" s="768"/>
      <c r="AK23" s="765"/>
      <c r="AL23" s="765"/>
      <c r="AN23" s="765"/>
      <c r="AO23" s="765"/>
      <c r="AP23" s="765"/>
      <c r="AQ23" s="765"/>
      <c r="AR23" s="765"/>
    </row>
    <row customHeight="1" ht="10.725000000000001">
      <c r="E24" s="180">
        <v>11</v>
      </c>
      <c r="AB24" s="766"/>
      <c r="AC24" s="767"/>
      <c r="AD24" s="767"/>
      <c r="AE24" s="767"/>
      <c r="AF24" s="767"/>
      <c r="AG24" s="767"/>
      <c r="AH24" s="768"/>
      <c r="AI24" s="768"/>
      <c r="AJ24" s="768"/>
      <c r="AK24" s="765"/>
      <c r="AL24" s="765"/>
      <c r="AN24" s="765"/>
      <c r="AO24" s="765"/>
      <c r="AP24" s="765"/>
      <c r="AQ24" s="765"/>
      <c r="AR24" s="765"/>
    </row>
    <row customHeight="1" ht="10.725000000000001">
      <c r="E25" s="180">
        <v>11</v>
      </c>
      <c r="AB25" s="1683" t="s">
        <v>1705</v>
      </c>
      <c r="AC25" s="1685" t="s">
        <v>412</v>
      </c>
      <c r="AD25" s="1685" t="s">
        <v>1706</v>
      </c>
      <c r="AE25" s="1683" t="s">
        <v>1707</v>
      </c>
      <c r="AF25" s="769">
        <f>god-2</f>
        <v>2025</v>
      </c>
      <c r="AG25" s="663">
        <f>god-2</f>
        <v>2025</v>
      </c>
      <c r="AH25" s="768"/>
      <c r="AI25" s="770"/>
      <c r="AJ25" s="770"/>
      <c r="AK25" s="765"/>
      <c r="AL25" s="765"/>
      <c r="AN25" s="765"/>
      <c r="AO25" s="765"/>
      <c r="AP25" s="765"/>
      <c r="AQ25" s="765"/>
      <c r="AR25" s="765"/>
    </row>
    <row customHeight="1" ht="22.425">
      <c r="E26" s="180">
        <v>23</v>
      </c>
      <c r="AB26" s="1684"/>
      <c r="AC26" s="1686"/>
      <c r="AD26" s="1686"/>
      <c r="AE26" s="1684"/>
      <c r="AF26" s="771" t="s">
        <v>626</v>
      </c>
      <c r="AG26" s="385" t="s">
        <v>415</v>
      </c>
      <c r="AH26" s="768"/>
      <c r="AI26" s="768"/>
      <c r="AJ26" s="768"/>
      <c r="AK26" s="768"/>
      <c r="AL26" s="768"/>
      <c r="AM26" s="768"/>
      <c r="AN26" s="768"/>
      <c r="AO26" s="768"/>
      <c r="AP26" s="768"/>
      <c r="AQ26" s="768"/>
      <c r="AR26" s="768"/>
      <c r="AS26" s="768"/>
      <c r="AT26" s="768"/>
      <c r="AU26" s="768"/>
    </row>
    <row customHeight="1" ht="11.25" hidden="1">
      <c r="E27" s="965">
        <v>0</v>
      </c>
      <c r="AB27" s="333"/>
      <c r="AC27" s="772"/>
      <c r="AD27" s="772"/>
      <c r="AE27" s="333"/>
      <c r="AF27" s="333"/>
      <c r="AG27" s="333"/>
      <c r="AH27" s="768"/>
      <c r="AI27" s="768"/>
      <c r="AJ27" s="768"/>
      <c r="AK27" s="768"/>
      <c r="AL27" s="768"/>
      <c r="AM27" s="768"/>
      <c r="AN27" s="768"/>
      <c r="AO27" s="768"/>
      <c r="AP27" s="768"/>
      <c r="AQ27" s="768"/>
      <c r="AR27" s="768"/>
      <c r="AS27" s="768"/>
      <c r="AT27" s="768"/>
      <c r="AU27" s="768"/>
    </row>
    <row s="969" customFormat="1" customHeight="1" ht="10.725000000000001" hidden="1">
      <c r="E28" s="180">
        <v>11</v>
      </c>
      <c r="F28" s="175" cm="1" t="str">
        <f t="array" ref="F28:F28">X28</f>
        <v>0</v>
      </c>
      <c r="T28" s="753">
        <f>X28&gt;0</f>
        <v>0</v>
      </c>
      <c r="V28" s="175" t="s">
        <v>266</v>
      </c>
      <c r="X28" s="175">
        <v>0</v>
      </c>
      <c r="AB28" s="656" cm="1" t="str">
        <f t="array" ref="AB28:AB28">INDEX('Общие сведения'!$AG$169:$AG$202,MATCH($F28,'Общие сведения'!$Y$169:$Y$202,0))</f>
        <v>Тариф 0 (Теплоснабжение) - </v>
      </c>
      <c r="AC28" s="335"/>
      <c r="AD28" s="335"/>
      <c r="AE28" s="335"/>
      <c r="AF28" s="335"/>
      <c r="AG28" s="335"/>
      <c r="AZ28" s="489"/>
    </row>
    <row customHeight="1" ht="50.70000000000001" hidden="1">
      <c r="E29" s="180">
        <v>52</v>
      </c>
      <c r="F29" s="175" cm="1" t="str">
        <f t="array" ref="F29:F29">F28</f>
        <v>0</v>
      </c>
      <c r="T29" s="753" cm="1" t="str">
        <f t="array" ref="T29:T29">T28</f>
        <v>false</v>
      </c>
      <c r="AB29" s="436">
        <v>1</v>
      </c>
      <c r="AC29" s="773" t="s">
        <v>64</v>
      </c>
      <c r="AD29" s="774" t="s">
        <v>1708</v>
      </c>
      <c r="AE29" s="775" t="s">
        <v>1709</v>
      </c>
      <c r="AF29" s="438">
        <f>AF30-AF68</f>
        <v>0</v>
      </c>
      <c r="AG29" s="438">
        <f>AG30-AG68</f>
        <v>0</v>
      </c>
      <c r="AZ29" s="489" t="s">
        <v>1710</v>
      </c>
      <c r="BD29" s="0" cm="1" t="str">
        <f t="array" ref="BD29:BD29">INDEX('Общие сведения'!$N$170:$N$202,MATCH($F29,'Общие сведения'!$Y$170:$Y$202,0)+1)</f>
        <v>0</v>
      </c>
      <c r="BO29" s="0" t="s">
        <v>303</v>
      </c>
      <c r="BP29" s="0" t="s">
        <v>1711</v>
      </c>
      <c r="BQ29" s="0" t="s">
        <v>1712</v>
      </c>
    </row>
    <row customHeight="1" ht="50.70000000000001" hidden="1">
      <c r="E30" s="180">
        <v>52</v>
      </c>
      <c r="F30" s="175" cm="1" t="str">
        <f t="array" ref="F30:F30">F29</f>
        <v>0</v>
      </c>
      <c r="T30" s="753" cm="1" t="str">
        <f t="array" ref="T30:T30">T29</f>
        <v>false</v>
      </c>
      <c r="AB30" s="327">
        <v>1.1</v>
      </c>
      <c r="AC30" s="368" t="s">
        <v>1713</v>
      </c>
      <c r="AD30" s="774" t="s">
        <v>1714</v>
      </c>
      <c r="AE30" s="775" t="s">
        <v>1709</v>
      </c>
      <c r="AF30" s="438">
        <f>AF32+AF33+AF59+AF60+AF62+AF63+AF64+AF65-AF66+AF67</f>
        <v>0</v>
      </c>
      <c r="AG30" s="47">
        <f>AG32+AG33+AG59+AG60+AG62+AG63+AG64+AG65-AG66+AG67</f>
        <v>0</v>
      </c>
      <c r="AZ30" s="489" t="s">
        <v>1715</v>
      </c>
      <c r="BD30" s="0" cm="1" t="str">
        <f t="array" ref="BD30:BD30">BD29</f>
        <v>0</v>
      </c>
      <c r="BE30" s="0" t="s">
        <v>1716</v>
      </c>
      <c r="BF30" s="0" t="s">
        <v>621</v>
      </c>
      <c r="BO30" s="0" t="s">
        <v>303</v>
      </c>
      <c r="BP30" s="0" t="s">
        <v>1717</v>
      </c>
      <c r="BQ30" s="0" t="s">
        <v>1718</v>
      </c>
    </row>
    <row customHeight="1" ht="27.299999999999997" hidden="1">
      <c r="E31" s="180">
        <v>28</v>
      </c>
      <c r="F31" s="175" cm="1" t="str">
        <f t="array" ref="F31:F31">F30</f>
        <v>0</v>
      </c>
      <c r="T31" s="753" cm="1" t="str">
        <f t="array" ref="T31:T31">T30</f>
        <v>false</v>
      </c>
      <c r="AB31" s="327"/>
      <c r="AC31" s="778" t="s">
        <v>1719</v>
      </c>
      <c r="AD31" s="779" t="s">
        <v>1720</v>
      </c>
      <c r="AE31" s="775" t="s">
        <v>1709</v>
      </c>
      <c r="AF31" s="47"/>
      <c r="AG31" s="47"/>
      <c r="AZ31" s="489" t="s">
        <v>1721</v>
      </c>
      <c r="BD31" s="0" cm="1" t="str">
        <f t="array" ref="BD31:BD31">BD30</f>
        <v>0</v>
      </c>
      <c r="BH31" s="0" t="s">
        <v>503</v>
      </c>
      <c r="BO31" s="0" t="s">
        <v>303</v>
      </c>
      <c r="BP31" s="0" t="s">
        <v>1722</v>
      </c>
      <c r="BQ31" s="0" t="s">
        <v>1723</v>
      </c>
    </row>
    <row customHeight="1" ht="29.25" hidden="1">
      <c r="E32" s="180">
        <v>30</v>
      </c>
      <c r="F32" s="175" cm="1" t="str">
        <f t="array" ref="F32:F32">F31</f>
        <v>0</v>
      </c>
      <c r="G32" s="193" t="s">
        <v>1549</v>
      </c>
      <c r="T32" s="753" cm="1" t="str">
        <f t="array" ref="T32:T32">T31</f>
        <v>false</v>
      </c>
      <c r="AB32" s="327" t="s">
        <v>1339</v>
      </c>
      <c r="AC32" s="355" t="s">
        <v>1724</v>
      </c>
      <c r="AD32" s="781" t="s">
        <v>1725</v>
      </c>
      <c r="AE32" s="774" t="s">
        <v>1709</v>
      </c>
      <c r="AF32" s="47">
        <f>_xlfn.SUMIFS('Операционные (5.1)'!AF$26:AF$75,'Операционные (5.1)'!$F$26:$F$75,$F32,'Операционные (5.1)'!$G$26:$G$75,$G32)</f>
        <v>0</v>
      </c>
      <c r="AG32" s="47">
        <f>_xlfn.SUMIFS('Операционные (5.1)'!AG$26:AG$75,'Операционные (5.1)'!$F$26:$F$75,$F32,'Операционные (5.1)'!$G$26:$G$75,$G32)</f>
        <v>0</v>
      </c>
      <c r="AZ32" s="489" t="s">
        <v>1726</v>
      </c>
      <c r="BD32" s="0" cm="1" t="str">
        <f t="array" ref="BD32:BD32">BD31</f>
        <v>0</v>
      </c>
      <c r="BE32" s="0" t="s">
        <v>1727</v>
      </c>
      <c r="BO32" s="0" t="s">
        <v>303</v>
      </c>
      <c r="BP32" s="0" t="s">
        <v>1552</v>
      </c>
      <c r="BQ32" s="0" t="s">
        <v>1553</v>
      </c>
    </row>
    <row customHeight="1" ht="39.975" hidden="1">
      <c r="E33" s="180">
        <v>41</v>
      </c>
      <c r="F33" s="175" cm="1" t="str">
        <f t="array" ref="F33:F33">F32</f>
        <v>0</v>
      </c>
      <c r="T33" s="753" cm="1" t="str">
        <f t="array" ref="T33:T33">T32</f>
        <v>false</v>
      </c>
      <c r="AB33" s="327" t="s">
        <v>1344</v>
      </c>
      <c r="AC33" s="355" t="s">
        <v>1728</v>
      </c>
      <c r="AD33" s="781" t="s">
        <v>1729</v>
      </c>
      <c r="AE33" s="774" t="s">
        <v>1709</v>
      </c>
      <c r="AF33" s="438">
        <f>AF34+AF38</f>
        <v>0</v>
      </c>
      <c r="AG33" s="438">
        <f>AG34+AG38</f>
        <v>0</v>
      </c>
      <c r="AZ33" s="489" t="s">
        <v>1730</v>
      </c>
      <c r="BD33" s="0" cm="1" t="str">
        <f t="array" ref="BD33:BD33">BD32</f>
        <v>0</v>
      </c>
      <c r="BE33" s="0" t="s">
        <v>1727</v>
      </c>
      <c r="BF33" s="0" t="s">
        <v>621</v>
      </c>
      <c r="BG33" s="0" t="s">
        <v>1731</v>
      </c>
      <c r="BH33" s="0" t="s">
        <v>1699</v>
      </c>
      <c r="BO33" s="0" t="s">
        <v>303</v>
      </c>
      <c r="BP33" s="0" t="s">
        <v>1732</v>
      </c>
      <c r="BQ33" s="0" t="s">
        <v>1733</v>
      </c>
    </row>
    <row customHeight="1" ht="55.57500000000001" hidden="1">
      <c r="E34" s="180">
        <v>57</v>
      </c>
      <c r="F34" s="175" cm="1" t="str">
        <f t="array" ref="F34:F34">F33</f>
        <v>0</v>
      </c>
      <c r="G34" s="193" t="s">
        <v>1688</v>
      </c>
      <c r="T34" s="753" cm="1" t="str">
        <f t="array" ref="T34:T34">T33</f>
        <v>false</v>
      </c>
      <c r="AB34" s="327" t="s">
        <v>1734</v>
      </c>
      <c r="AC34" s="350" t="s">
        <v>1735</v>
      </c>
      <c r="AD34" s="384" t="s">
        <v>1736</v>
      </c>
      <c r="AE34" s="775" t="s">
        <v>1709</v>
      </c>
      <c r="AF34" s="47">
        <f>_xlfn.SUMIFS('Ресурсы (5.4)'!AF$26:AF$47,'Ресурсы (5.4)'!$F$26:$F$47,$F34,'Ресурсы (5.4)'!$G$26:$G$47,$G34)</f>
        <v>0</v>
      </c>
      <c r="AG34" s="47">
        <f>_xlfn.SUMIFS('Ресурсы (5.4)'!AG$26:AG$47,'Ресурсы (5.4)'!$F$26:$F$47,$F34,'Ресурсы (5.4)'!$G$26:$G$47,$G34)</f>
        <v>0</v>
      </c>
      <c r="AZ34" s="489" t="s">
        <v>1737</v>
      </c>
      <c r="BD34" s="0" cm="1" t="str">
        <f t="array" ref="BD34:BD34">BD33</f>
        <v>0</v>
      </c>
      <c r="BE34" s="0" t="s">
        <v>1727</v>
      </c>
      <c r="BI34" s="0" t="s">
        <v>1738</v>
      </c>
      <c r="BO34" s="0" t="s">
        <v>303</v>
      </c>
      <c r="BP34" s="0" t="s">
        <v>1739</v>
      </c>
      <c r="BQ34" s="0" t="s">
        <v>1740</v>
      </c>
    </row>
    <row customHeight="1" ht="25.350000000000005" hidden="1">
      <c r="E35" s="180">
        <v>26</v>
      </c>
      <c r="F35" s="175" cm="1" t="str">
        <f t="array" ref="F35:F35">F34</f>
        <v>0</v>
      </c>
      <c r="T35" s="753" cm="1" t="str">
        <f t="array" ref="T35:T35">T34</f>
        <v>false</v>
      </c>
      <c r="AB35" s="327" t="s">
        <v>1741</v>
      </c>
      <c r="AC35" s="782" t="s">
        <v>1742</v>
      </c>
      <c r="AD35" s="384" t="s">
        <v>1743</v>
      </c>
      <c r="AE35" s="775" t="s">
        <v>872</v>
      </c>
      <c r="AF35" s="47"/>
      <c r="AG35" s="47"/>
      <c r="AZ35" s="489" t="s">
        <v>1744</v>
      </c>
      <c r="BD35" s="0" cm="1" t="str">
        <f t="array" ref="BD35:BD35">BD34</f>
        <v>0</v>
      </c>
      <c r="BJ35" s="0" t="s">
        <v>1745</v>
      </c>
      <c r="BK35" s="0" t="s">
        <v>1746</v>
      </c>
      <c r="BO35" s="0" t="s">
        <v>303</v>
      </c>
      <c r="BP35" s="0" t="s">
        <v>1739</v>
      </c>
      <c r="BQ35" s="0" t="s">
        <v>1740</v>
      </c>
    </row>
    <row customHeight="1" ht="39" hidden="1">
      <c r="E36" s="180">
        <v>40</v>
      </c>
      <c r="F36" s="175" cm="1" t="str">
        <f t="array" ref="F36:F36">F35</f>
        <v>0</v>
      </c>
      <c r="T36" s="753" cm="1" t="str">
        <f t="array" ref="T36:T36">T35</f>
        <v>false</v>
      </c>
      <c r="AB36" s="327" t="s">
        <v>1747</v>
      </c>
      <c r="AC36" s="782" t="s">
        <v>1748</v>
      </c>
      <c r="AD36" s="384" t="s">
        <v>1749</v>
      </c>
      <c r="AE36" s="775" t="s">
        <v>629</v>
      </c>
      <c r="AF36" s="47"/>
      <c r="AG36" s="47"/>
      <c r="AZ36" s="489" t="s">
        <v>1750</v>
      </c>
      <c r="BD36" s="0" cm="1" t="str">
        <f t="array" ref="BD36:BD36">BD35</f>
        <v>0</v>
      </c>
      <c r="BF36" s="0" t="s">
        <v>621</v>
      </c>
      <c r="BL36" s="0" t="s">
        <v>1751</v>
      </c>
      <c r="BO36" s="0" t="s">
        <v>303</v>
      </c>
      <c r="BP36" s="0" t="s">
        <v>1051</v>
      </c>
      <c r="BQ36" s="0" t="s">
        <v>1052</v>
      </c>
    </row>
    <row customHeight="1" ht="23.400000000000002" hidden="1">
      <c r="E37" s="180">
        <v>24</v>
      </c>
      <c r="F37" s="175" cm="1" t="str">
        <f t="array" ref="F37:F37">F36</f>
        <v>0</v>
      </c>
      <c r="T37" s="753" cm="1" t="str">
        <f t="array" ref="T37:T37">T36</f>
        <v>false</v>
      </c>
      <c r="AB37" s="327" t="s">
        <v>1752</v>
      </c>
      <c r="AC37" s="782" t="s">
        <v>1753</v>
      </c>
      <c r="AD37" s="384" t="s">
        <v>1754</v>
      </c>
      <c r="AE37" s="775" t="s">
        <v>1755</v>
      </c>
      <c r="AF37" s="47"/>
      <c r="AG37" s="47"/>
      <c r="AZ37" s="489" t="s">
        <v>1756</v>
      </c>
      <c r="BD37" s="0" cm="1" t="str">
        <f t="array" ref="BD37:BD37">BD36</f>
        <v>0</v>
      </c>
      <c r="BO37" s="0" t="s">
        <v>303</v>
      </c>
      <c r="BP37" s="0" t="s">
        <v>914</v>
      </c>
      <c r="BQ37" s="0" t="s">
        <v>915</v>
      </c>
    </row>
    <row customHeight="1" ht="56.550000000000004" hidden="1">
      <c r="E38" s="180">
        <v>58</v>
      </c>
      <c r="F38" s="175" cm="1" t="str">
        <f t="array" ref="F38:F38">F37</f>
        <v>0</v>
      </c>
      <c r="T38" s="753" cm="1" t="str">
        <f t="array" ref="T38:T38">T37</f>
        <v>false</v>
      </c>
      <c r="AB38" s="327" t="s">
        <v>1757</v>
      </c>
      <c r="AC38" s="355" t="s">
        <v>1758</v>
      </c>
      <c r="AD38" s="384" t="s">
        <v>1759</v>
      </c>
      <c r="AE38" s="775" t="s">
        <v>1709</v>
      </c>
      <c r="AF38" s="438">
        <f>AF39+AF44+AF49+AF54</f>
        <v>0</v>
      </c>
      <c r="AG38" s="438">
        <f>AG39+AG44+AG49+AG54</f>
        <v>0</v>
      </c>
      <c r="AZ38" s="489" t="s">
        <v>1760</v>
      </c>
      <c r="BD38" s="0" cm="1" t="str">
        <f t="array" ref="BD38:BD38">BD37</f>
        <v>0</v>
      </c>
      <c r="BE38" s="0" t="s">
        <v>1727</v>
      </c>
      <c r="BO38" s="0" t="s">
        <v>303</v>
      </c>
      <c r="BP38" s="0" t="s">
        <v>1732</v>
      </c>
      <c r="BQ38" s="0" t="s">
        <v>1733</v>
      </c>
    </row>
    <row customHeight="1" ht="19.5" hidden="1">
      <c r="E39" s="180">
        <v>20</v>
      </c>
      <c r="F39" s="175" cm="1" t="str">
        <f t="array" ref="F39:F39">F38</f>
        <v>0</v>
      </c>
      <c r="G39" s="193" t="s">
        <v>1039</v>
      </c>
      <c r="T39" s="753" cm="1" t="str">
        <f t="array" ref="T39:T39">T38</f>
        <v>false</v>
      </c>
      <c r="AB39" s="327" t="s">
        <v>1761</v>
      </c>
      <c r="AC39" s="350" t="s">
        <v>1762</v>
      </c>
      <c r="AD39" s="781"/>
      <c r="AE39" s="775" t="s">
        <v>1709</v>
      </c>
      <c r="AF39" s="47">
        <f>_xlfn.SUMIFS('Ресурсы (5.4)'!AF$26:AF$47,'Ресурсы (5.4)'!$F$26:$F$47,$F39,'Ресурсы (5.4)'!$G$26:$G$47,$G39)</f>
        <v>0</v>
      </c>
      <c r="AG39" s="47">
        <f>_xlfn.SUMIFS('Ресурсы (5.4)'!AG$26:AG$47,'Ресурсы (5.4)'!$F$26:$F$47,$F39,'Ресурсы (5.4)'!$G$26:$G$47,$G39)</f>
        <v>0</v>
      </c>
      <c r="AZ39" s="489" t="s">
        <v>1763</v>
      </c>
      <c r="BD39" s="0" cm="1" t="str">
        <f t="array" ref="BD39:BD39">BD38</f>
        <v>0</v>
      </c>
      <c r="BM39" s="0" t="s">
        <v>1043</v>
      </c>
      <c r="BO39" s="0" t="s">
        <v>303</v>
      </c>
      <c r="BP39" s="0" t="s">
        <v>813</v>
      </c>
      <c r="BQ39" s="0" t="s">
        <v>814</v>
      </c>
    </row>
    <row customHeight="1" ht="27.299999999999997" hidden="1">
      <c r="E40" s="180">
        <v>28</v>
      </c>
      <c r="F40" s="175" cm="1" t="str">
        <f t="array" ref="F40:F40">F39</f>
        <v>0</v>
      </c>
      <c r="T40" s="753" cm="1" t="str">
        <f t="array" ref="T40:T40">T39</f>
        <v>false</v>
      </c>
      <c r="AB40" s="327" t="s">
        <v>1764</v>
      </c>
      <c r="AC40" s="782" t="s">
        <v>1765</v>
      </c>
      <c r="AD40" s="384" t="s">
        <v>1766</v>
      </c>
      <c r="AE40" s="385" t="s">
        <v>1767</v>
      </c>
      <c r="AF40" s="47"/>
      <c r="AG40" s="47"/>
      <c r="AZ40" s="489" t="s">
        <v>1069</v>
      </c>
      <c r="BD40" s="0" cm="1" t="str">
        <f t="array" ref="BD40:BD40">BD39</f>
        <v>0</v>
      </c>
      <c r="BE40" s="0" t="s">
        <v>1727</v>
      </c>
      <c r="BM40" s="0" t="s">
        <v>1043</v>
      </c>
      <c r="BO40" s="0" t="s">
        <v>303</v>
      </c>
      <c r="BP40" s="0" t="s">
        <v>809</v>
      </c>
      <c r="BQ40" s="0" t="s">
        <v>810</v>
      </c>
    </row>
    <row customHeight="1" ht="26.325000000000003" hidden="1">
      <c r="E41" s="180">
        <v>27</v>
      </c>
      <c r="F41" s="175" cm="1" t="str">
        <f t="array" ref="F41:F41">F40</f>
        <v>0</v>
      </c>
      <c r="T41" s="753" cm="1" t="str">
        <f t="array" ref="T41:T41">T40</f>
        <v>false</v>
      </c>
      <c r="AB41" s="327" t="s">
        <v>1768</v>
      </c>
      <c r="AC41" s="782" t="s">
        <v>1769</v>
      </c>
      <c r="AD41" s="384" t="s">
        <v>1770</v>
      </c>
      <c r="AE41" s="775" t="s">
        <v>629</v>
      </c>
      <c r="AF41" s="47"/>
      <c r="AG41" s="47"/>
      <c r="AZ41" s="489" t="s">
        <v>1771</v>
      </c>
      <c r="BD41" s="0" cm="1" t="str">
        <f t="array" ref="BD41:BD41">BD40</f>
        <v>0</v>
      </c>
      <c r="BE41" s="0" t="s">
        <v>1727</v>
      </c>
      <c r="BF41" s="0" t="s">
        <v>621</v>
      </c>
      <c r="BM41" s="0" t="s">
        <v>1043</v>
      </c>
      <c r="BO41" s="0" t="s">
        <v>303</v>
      </c>
      <c r="BP41" s="0" t="s">
        <v>1772</v>
      </c>
      <c r="BQ41" s="0" t="s">
        <v>1773</v>
      </c>
    </row>
    <row customHeight="1" ht="28.275000000000002" hidden="1">
      <c r="E42" s="180">
        <v>29</v>
      </c>
      <c r="F42" s="175" cm="1" t="str">
        <f t="array" ref="F42:F42">F41</f>
        <v>0</v>
      </c>
      <c r="T42" s="753" cm="1" t="str">
        <f t="array" ref="T42:T42">T41</f>
        <v>false</v>
      </c>
      <c r="AB42" s="327" t="s">
        <v>1774</v>
      </c>
      <c r="AC42" s="782" t="s">
        <v>1775</v>
      </c>
      <c r="AD42" s="384" t="s">
        <v>1776</v>
      </c>
      <c r="AE42" s="775" t="s">
        <v>629</v>
      </c>
      <c r="AF42" s="47"/>
      <c r="AG42" s="47"/>
      <c r="AZ42" s="489" t="s">
        <v>1777</v>
      </c>
      <c r="BD42" s="0" cm="1" t="str">
        <f t="array" ref="BD42:BD42">BD41</f>
        <v>0</v>
      </c>
      <c r="BE42" s="0" t="s">
        <v>1727</v>
      </c>
      <c r="BM42" s="0" t="s">
        <v>1043</v>
      </c>
      <c r="BO42" s="0" t="s">
        <v>303</v>
      </c>
      <c r="BP42" s="0" t="s">
        <v>1772</v>
      </c>
      <c r="BQ42" s="0" t="s">
        <v>1773</v>
      </c>
    </row>
    <row customHeight="1" ht="33.15" hidden="1">
      <c r="E43" s="180">
        <v>34</v>
      </c>
      <c r="F43" s="175" cm="1" t="str">
        <f t="array" ref="F43:F43">F42</f>
        <v>0</v>
      </c>
      <c r="T43" s="753" cm="1" t="str">
        <f t="array" ref="T43:T43">T42</f>
        <v>false</v>
      </c>
      <c r="AB43" s="327" t="s">
        <v>1778</v>
      </c>
      <c r="AC43" s="782" t="s">
        <v>1779</v>
      </c>
      <c r="AD43" s="384" t="s">
        <v>1780</v>
      </c>
      <c r="AE43" s="775" t="s">
        <v>1054</v>
      </c>
      <c r="AF43" s="47"/>
      <c r="AG43" s="47"/>
      <c r="AZ43" s="489" t="s">
        <v>1781</v>
      </c>
      <c r="BD43" s="0" cm="1" t="str">
        <f t="array" ref="BD43:BD43">BD42</f>
        <v>0</v>
      </c>
      <c r="BE43" s="0" t="s">
        <v>1727</v>
      </c>
      <c r="BF43" s="0" t="s">
        <v>621</v>
      </c>
      <c r="BM43" s="0" t="s">
        <v>1043</v>
      </c>
      <c r="BO43" s="0" t="s">
        <v>303</v>
      </c>
      <c r="BP43" s="0" t="s">
        <v>1782</v>
      </c>
      <c r="BQ43" s="0" t="s">
        <v>1783</v>
      </c>
    </row>
    <row customHeight="1" ht="16.575" hidden="1">
      <c r="E44" s="180">
        <v>17</v>
      </c>
      <c r="F44" s="175" cm="1" t="str">
        <f t="array" ref="F44:F44">F43</f>
        <v>0</v>
      </c>
      <c r="G44" s="193" t="s">
        <v>1136</v>
      </c>
      <c r="T44" s="753" cm="1" t="str">
        <f t="array" ref="T44:T44">T43</f>
        <v>false</v>
      </c>
      <c r="AB44" s="327" t="s">
        <v>1784</v>
      </c>
      <c r="AC44" s="350" t="s">
        <v>1785</v>
      </c>
      <c r="AD44" s="781"/>
      <c r="AE44" s="775" t="s">
        <v>1709</v>
      </c>
      <c r="AF44" s="47">
        <f>_xlfn.SUMIFS('Ресурсы (5.4)'!AF$26:AF$47,'Ресурсы (5.4)'!$F$26:$F$47,$F44,'Ресурсы (5.4)'!$G$26:$G$47,$G44)</f>
        <v>0</v>
      </c>
      <c r="AG44" s="47">
        <f>_xlfn.SUMIFS('Ресурсы (5.4)'!AG$26:AG$47,'Ресурсы (5.4)'!$F$26:$F$47,$F44,'Ресурсы (5.4)'!$G$26:$G$47,$G44)</f>
        <v>0</v>
      </c>
      <c r="AZ44" s="489" t="s">
        <v>1786</v>
      </c>
      <c r="BD44" s="0" cm="1" t="str">
        <f t="array" ref="BD44:BD44">BD43</f>
        <v>0</v>
      </c>
      <c r="BM44" s="0" t="s">
        <v>1139</v>
      </c>
      <c r="BO44" s="0" t="s">
        <v>303</v>
      </c>
      <c r="BP44" s="0" t="s">
        <v>1044</v>
      </c>
      <c r="BQ44" s="0" t="s">
        <v>1045</v>
      </c>
    </row>
    <row customHeight="1" ht="30.225000000000005" hidden="1">
      <c r="E45" s="180">
        <v>31</v>
      </c>
      <c r="F45" s="175" cm="1" t="str">
        <f t="array" ref="F45:F45">F44</f>
        <v>0</v>
      </c>
      <c r="T45" s="753" cm="1" t="str">
        <f t="array" ref="T45:T45">T44</f>
        <v>false</v>
      </c>
      <c r="AB45" s="327" t="s">
        <v>1787</v>
      </c>
      <c r="AC45" s="782" t="s">
        <v>1788</v>
      </c>
      <c r="AD45" s="384" t="s">
        <v>1789</v>
      </c>
      <c r="AE45" s="775" t="s">
        <v>1790</v>
      </c>
      <c r="AF45" s="47"/>
      <c r="AG45" s="47"/>
      <c r="AZ45" s="489" t="s">
        <v>1150</v>
      </c>
      <c r="BD45" s="0" cm="1" t="str">
        <f t="array" ref="BD45:BD45">BD44</f>
        <v>0</v>
      </c>
      <c r="BE45" s="0" t="s">
        <v>1727</v>
      </c>
      <c r="BM45" s="0" t="s">
        <v>1139</v>
      </c>
      <c r="BO45" s="0" t="s">
        <v>303</v>
      </c>
      <c r="BP45" s="0" t="s">
        <v>1791</v>
      </c>
      <c r="BQ45" s="0" t="s">
        <v>1792</v>
      </c>
    </row>
    <row customHeight="1" ht="30.225000000000005" hidden="1">
      <c r="E46" s="180">
        <v>31</v>
      </c>
      <c r="F46" s="175" cm="1" t="str">
        <f t="array" ref="F46:F46">F45</f>
        <v>0</v>
      </c>
      <c r="T46" s="753" cm="1" t="str">
        <f t="array" ref="T46:T46">T45</f>
        <v>false</v>
      </c>
      <c r="AB46" s="327" t="s">
        <v>1793</v>
      </c>
      <c r="AC46" s="782" t="s">
        <v>1769</v>
      </c>
      <c r="AD46" s="384" t="s">
        <v>1770</v>
      </c>
      <c r="AE46" s="775" t="s">
        <v>629</v>
      </c>
      <c r="AF46" s="47"/>
      <c r="AG46" s="47"/>
      <c r="AZ46" s="489" t="s">
        <v>1794</v>
      </c>
      <c r="BD46" s="0" cm="1" t="str">
        <f t="array" ref="BD46:BD46">BD45</f>
        <v>0</v>
      </c>
      <c r="BE46" s="0" t="s">
        <v>1727</v>
      </c>
      <c r="BF46" s="0" t="s">
        <v>621</v>
      </c>
      <c r="BM46" s="0" t="s">
        <v>1139</v>
      </c>
      <c r="BO46" s="0" t="s">
        <v>303</v>
      </c>
      <c r="BP46" s="0" t="s">
        <v>1772</v>
      </c>
      <c r="BQ46" s="0" t="s">
        <v>1773</v>
      </c>
    </row>
    <row customHeight="1" ht="29.25" hidden="1">
      <c r="E47" s="180">
        <v>30</v>
      </c>
      <c r="F47" s="175" cm="1" t="str">
        <f t="array" ref="F47:F47">F46</f>
        <v>0</v>
      </c>
      <c r="T47" s="753" cm="1" t="str">
        <f t="array" ref="T47:T47">T46</f>
        <v>false</v>
      </c>
      <c r="AB47" s="327" t="s">
        <v>1795</v>
      </c>
      <c r="AC47" s="782" t="s">
        <v>1775</v>
      </c>
      <c r="AD47" s="384" t="s">
        <v>1776</v>
      </c>
      <c r="AE47" s="775" t="s">
        <v>629</v>
      </c>
      <c r="AF47" s="47"/>
      <c r="AG47" s="47"/>
      <c r="AZ47" s="489" t="s">
        <v>1796</v>
      </c>
      <c r="BD47" s="0" cm="1" t="str">
        <f t="array" ref="BD47:BD47">BD46</f>
        <v>0</v>
      </c>
      <c r="BE47" s="0" t="s">
        <v>1727</v>
      </c>
      <c r="BM47" s="0" t="s">
        <v>1139</v>
      </c>
      <c r="BO47" s="0" t="s">
        <v>303</v>
      </c>
      <c r="BP47" s="0" t="s">
        <v>1772</v>
      </c>
      <c r="BQ47" s="0" t="s">
        <v>1773</v>
      </c>
    </row>
    <row customHeight="1" ht="21.450000000000003" hidden="1">
      <c r="E48" s="180">
        <v>22</v>
      </c>
      <c r="F48" s="175" cm="1" t="str">
        <f t="array" ref="F48:F48">F47</f>
        <v>0</v>
      </c>
      <c r="T48" s="753" cm="1" t="str">
        <f t="array" ref="T48:T48">T47</f>
        <v>false</v>
      </c>
      <c r="AB48" s="327" t="s">
        <v>1797</v>
      </c>
      <c r="AC48" s="782" t="s">
        <v>1798</v>
      </c>
      <c r="AD48" s="384" t="s">
        <v>1780</v>
      </c>
      <c r="AE48" s="775" t="s">
        <v>1799</v>
      </c>
      <c r="AF48" s="47"/>
      <c r="AG48" s="47"/>
      <c r="AZ48" s="489" t="s">
        <v>1800</v>
      </c>
      <c r="BD48" s="0" cm="1" t="str">
        <f t="array" ref="BD48:BD48">BD47</f>
        <v>0</v>
      </c>
      <c r="BF48" s="0" t="s">
        <v>621</v>
      </c>
      <c r="BM48" s="0" t="s">
        <v>1139</v>
      </c>
      <c r="BO48" s="0" t="s">
        <v>303</v>
      </c>
      <c r="BP48" s="0" t="s">
        <v>919</v>
      </c>
      <c r="BQ48" s="0" t="s">
        <v>920</v>
      </c>
    </row>
    <row customHeight="1" ht="15.600000000000001" hidden="1">
      <c r="E49" s="180">
        <v>16</v>
      </c>
      <c r="F49" s="175" cm="1" t="str">
        <f t="array" ref="F49:F49">F48</f>
        <v>0</v>
      </c>
      <c r="G49" s="193" t="s">
        <v>1088</v>
      </c>
      <c r="T49" s="753" cm="1" t="str">
        <f t="array" ref="T49:T49">T48</f>
        <v>false</v>
      </c>
      <c r="AB49" s="327" t="s">
        <v>1801</v>
      </c>
      <c r="AC49" s="350" t="s">
        <v>1802</v>
      </c>
      <c r="AD49" s="781"/>
      <c r="AE49" s="775" t="s">
        <v>1709</v>
      </c>
      <c r="AF49" s="47">
        <f>_xlfn.SUMIFS('Ресурсы (5.4)'!AF$26:AF$47,'Ресурсы (5.4)'!$F$26:$F$47,$F49,'Ресурсы (5.4)'!$G$26:$G$47,$G49)</f>
        <v>0</v>
      </c>
      <c r="AG49" s="47">
        <f>_xlfn.SUMIFS('Ресурсы (5.4)'!AG$26:AG$47,'Ресурсы (5.4)'!$F$26:$F$47,$F49,'Ресурсы (5.4)'!$G$26:$G$47,$G49)</f>
        <v>0</v>
      </c>
      <c r="AZ49" s="489" t="s">
        <v>1803</v>
      </c>
      <c r="BD49" s="0" cm="1" t="str">
        <f t="array" ref="BD49:BD49">BD48</f>
        <v>0</v>
      </c>
      <c r="BM49" s="0" t="s">
        <v>1615</v>
      </c>
      <c r="BO49" s="0" t="s">
        <v>303</v>
      </c>
      <c r="BP49" s="0" t="s">
        <v>1044</v>
      </c>
      <c r="BQ49" s="0" t="s">
        <v>1045</v>
      </c>
    </row>
    <row customHeight="1" ht="28.275000000000002" hidden="1">
      <c r="E50" s="180">
        <v>29</v>
      </c>
      <c r="F50" s="175" cm="1" t="str">
        <f t="array" ref="F50:F50">F49</f>
        <v>0</v>
      </c>
      <c r="T50" s="753" cm="1" t="str">
        <f t="array" ref="T50:T50">T49</f>
        <v>false</v>
      </c>
      <c r="AB50" s="327" t="s">
        <v>1804</v>
      </c>
      <c r="AC50" s="782" t="s">
        <v>1805</v>
      </c>
      <c r="AD50" s="384" t="s">
        <v>1806</v>
      </c>
      <c r="AE50" s="775" t="s">
        <v>629</v>
      </c>
      <c r="AF50" s="47"/>
      <c r="AG50" s="47"/>
      <c r="AZ50" s="489" t="s">
        <v>1115</v>
      </c>
      <c r="BD50" s="0" cm="1" t="str">
        <f t="array" ref="BD50:BD50">BD49</f>
        <v>0</v>
      </c>
      <c r="BE50" s="0" t="s">
        <v>1727</v>
      </c>
      <c r="BM50" s="0" t="s">
        <v>1615</v>
      </c>
      <c r="BO50" s="0" t="s">
        <v>303</v>
      </c>
      <c r="BP50" s="0" t="s">
        <v>1807</v>
      </c>
      <c r="BQ50" s="0" t="s">
        <v>1808</v>
      </c>
    </row>
    <row customHeight="1" ht="31.200000000000003" hidden="1">
      <c r="E51" s="180">
        <v>32</v>
      </c>
      <c r="F51" s="175" cm="1" t="str">
        <f t="array" ref="F51:F51">F50</f>
        <v>0</v>
      </c>
      <c r="T51" s="753" cm="1" t="str">
        <f t="array" ref="T51:T51">T50</f>
        <v>false</v>
      </c>
      <c r="AB51" s="327" t="s">
        <v>1809</v>
      </c>
      <c r="AC51" s="782" t="s">
        <v>1769</v>
      </c>
      <c r="AD51" s="384" t="s">
        <v>1770</v>
      </c>
      <c r="AE51" s="775" t="s">
        <v>629</v>
      </c>
      <c r="AF51" s="47"/>
      <c r="AG51" s="47"/>
      <c r="AZ51" s="489" t="s">
        <v>1750</v>
      </c>
      <c r="BD51" s="0" cm="1" t="str">
        <f t="array" ref="BD51:BD51">BD50</f>
        <v>0</v>
      </c>
      <c r="BE51" s="0" t="s">
        <v>1727</v>
      </c>
      <c r="BF51" s="0" t="s">
        <v>621</v>
      </c>
      <c r="BM51" s="0" t="s">
        <v>1615</v>
      </c>
      <c r="BO51" s="0" t="s">
        <v>303</v>
      </c>
      <c r="BP51" s="0" t="s">
        <v>1772</v>
      </c>
      <c r="BQ51" s="0" t="s">
        <v>1773</v>
      </c>
    </row>
    <row customHeight="1" ht="27.299999999999997" hidden="1">
      <c r="E52" s="180">
        <v>28</v>
      </c>
      <c r="F52" s="175" cm="1" t="str">
        <f t="array" ref="F52:F52">F51</f>
        <v>0</v>
      </c>
      <c r="T52" s="753" cm="1" t="str">
        <f t="array" ref="T52:T52">T51</f>
        <v>false</v>
      </c>
      <c r="AB52" s="327" t="s">
        <v>1810</v>
      </c>
      <c r="AC52" s="782" t="s">
        <v>1775</v>
      </c>
      <c r="AD52" s="384" t="s">
        <v>1776</v>
      </c>
      <c r="AE52" s="775" t="s">
        <v>629</v>
      </c>
      <c r="AF52" s="47"/>
      <c r="AG52" s="47"/>
      <c r="AZ52" s="489" t="s">
        <v>1811</v>
      </c>
      <c r="BD52" s="0" cm="1" t="str">
        <f t="array" ref="BD52:BD52">BD51</f>
        <v>0</v>
      </c>
      <c r="BE52" s="0" t="s">
        <v>1727</v>
      </c>
      <c r="BM52" s="0" t="s">
        <v>1615</v>
      </c>
      <c r="BO52" s="0" t="s">
        <v>303</v>
      </c>
      <c r="BP52" s="0" t="s">
        <v>1772</v>
      </c>
      <c r="BQ52" s="0" t="s">
        <v>1773</v>
      </c>
    </row>
    <row customHeight="1" ht="22.425" hidden="1">
      <c r="E53" s="180">
        <v>23</v>
      </c>
      <c r="F53" s="175" cm="1" t="str">
        <f t="array" ref="F53:F53">F52</f>
        <v>0</v>
      </c>
      <c r="T53" s="753" cm="1" t="str">
        <f t="array" ref="T53:T53">T52</f>
        <v>false</v>
      </c>
      <c r="AB53" s="327" t="s">
        <v>1812</v>
      </c>
      <c r="AC53" s="782" t="s">
        <v>1813</v>
      </c>
      <c r="AD53" s="384" t="s">
        <v>1780</v>
      </c>
      <c r="AE53" s="775" t="s">
        <v>1005</v>
      </c>
      <c r="AF53" s="47"/>
      <c r="AG53" s="47"/>
      <c r="AZ53" s="489" t="s">
        <v>1814</v>
      </c>
      <c r="BD53" s="0" cm="1" t="str">
        <f t="array" ref="BD53:BD53">BD52</f>
        <v>0</v>
      </c>
      <c r="BF53" s="0" t="s">
        <v>621</v>
      </c>
      <c r="BM53" s="0" t="s">
        <v>1615</v>
      </c>
      <c r="BO53" s="0" t="s">
        <v>303</v>
      </c>
      <c r="BP53" s="0" t="s">
        <v>1782</v>
      </c>
      <c r="BQ53" s="0" t="s">
        <v>1783</v>
      </c>
    </row>
    <row customHeight="1" ht="15.600000000000001" hidden="1">
      <c r="E54" s="180">
        <v>16</v>
      </c>
      <c r="F54" s="175" cm="1" t="str">
        <f t="array" ref="F54:F54">F53</f>
        <v>0</v>
      </c>
      <c r="G54" s="193" t="s">
        <v>1154</v>
      </c>
      <c r="T54" s="753" cm="1" t="str">
        <f t="array" ref="T54:T54">T53</f>
        <v>false</v>
      </c>
      <c r="AB54" s="327" t="s">
        <v>1815</v>
      </c>
      <c r="AC54" s="350" t="s">
        <v>1816</v>
      </c>
      <c r="AD54" s="781"/>
      <c r="AE54" s="775" t="s">
        <v>1709</v>
      </c>
      <c r="AF54" s="47">
        <f>_xlfn.SUMIFS('Ресурсы (5.4)'!AF$26:AF$47,'Ресурсы (5.4)'!$F$26:$F$47,$F54,'Ресурсы (5.4)'!$G$26:$G$47,$G54)</f>
        <v>0</v>
      </c>
      <c r="AG54" s="47">
        <f>_xlfn.SUMIFS('Ресурсы (5.4)'!AG$26:AG$47,'Ресурсы (5.4)'!$F$26:$F$47,$F54,'Ресурсы (5.4)'!$G$26:$G$47,$G54)</f>
        <v>0</v>
      </c>
      <c r="AZ54" s="489" t="s">
        <v>1817</v>
      </c>
      <c r="BD54" s="0" cm="1" t="str">
        <f t="array" ref="BD54:BD54">BD53</f>
        <v>0</v>
      </c>
      <c r="BM54" s="0" t="s">
        <v>1157</v>
      </c>
      <c r="BO54" s="0" t="s">
        <v>303</v>
      </c>
      <c r="BP54" s="0" t="s">
        <v>1044</v>
      </c>
      <c r="BQ54" s="0" t="s">
        <v>1045</v>
      </c>
    </row>
    <row customHeight="1" ht="28.275000000000002" hidden="1">
      <c r="E55" s="180">
        <v>29</v>
      </c>
      <c r="F55" s="175" cm="1" t="str">
        <f t="array" ref="F55:F55">F54</f>
        <v>0</v>
      </c>
      <c r="T55" s="753" cm="1" t="str">
        <f t="array" ref="T55:T55">T54</f>
        <v>false</v>
      </c>
      <c r="AB55" s="327" t="s">
        <v>1818</v>
      </c>
      <c r="AC55" s="782" t="s">
        <v>1819</v>
      </c>
      <c r="AD55" s="384" t="s">
        <v>1806</v>
      </c>
      <c r="AE55" s="775" t="s">
        <v>1790</v>
      </c>
      <c r="AF55" s="47"/>
      <c r="AG55" s="47"/>
      <c r="AZ55" s="489" t="s">
        <v>1162</v>
      </c>
      <c r="BD55" s="0" cm="1" t="str">
        <f t="array" ref="BD55:BD55">BD54</f>
        <v>0</v>
      </c>
      <c r="BE55" s="0" t="s">
        <v>1727</v>
      </c>
      <c r="BM55" s="0" t="s">
        <v>1157</v>
      </c>
      <c r="BO55" s="0" t="s">
        <v>303</v>
      </c>
      <c r="BP55" s="0" t="s">
        <v>1409</v>
      </c>
      <c r="BQ55" s="0" t="s">
        <v>1410</v>
      </c>
    </row>
    <row customHeight="1" ht="31.200000000000003" hidden="1">
      <c r="E56" s="180">
        <v>32</v>
      </c>
      <c r="F56" s="175" cm="1" t="str">
        <f t="array" ref="F56:F56">F55</f>
        <v>0</v>
      </c>
      <c r="T56" s="753" cm="1" t="str">
        <f t="array" ref="T56:T56">T55</f>
        <v>false</v>
      </c>
      <c r="AB56" s="327" t="s">
        <v>1820</v>
      </c>
      <c r="AC56" s="782" t="s">
        <v>1769</v>
      </c>
      <c r="AD56" s="384" t="s">
        <v>1770</v>
      </c>
      <c r="AE56" s="775" t="s">
        <v>629</v>
      </c>
      <c r="AF56" s="47"/>
      <c r="AG56" s="47"/>
      <c r="AZ56" s="489" t="s">
        <v>1821</v>
      </c>
      <c r="BD56" s="2308" cm="1" t="str">
        <f t="array" ref="BD56:BD56">BD55</f>
        <v>0</v>
      </c>
      <c r="BE56" s="2308" t="s">
        <v>1727</v>
      </c>
      <c r="BF56" s="2308" t="s">
        <v>621</v>
      </c>
      <c r="BM56" s="2308" t="s">
        <v>1157</v>
      </c>
      <c r="BO56" s="2308" t="s">
        <v>303</v>
      </c>
      <c r="BP56" s="2308" t="s">
        <v>1772</v>
      </c>
      <c r="BQ56" s="2308" t="s">
        <v>1773</v>
      </c>
    </row>
    <row customHeight="1" ht="27.299999999999997" hidden="1">
      <c r="E57" s="180">
        <v>28</v>
      </c>
      <c r="F57" s="175" cm="1" t="str">
        <f t="array" ref="F57:F57">F56</f>
        <v>0</v>
      </c>
      <c r="T57" s="753" cm="1" t="str">
        <f t="array" ref="T57:T57">T56</f>
        <v>false</v>
      </c>
      <c r="AB57" s="327" t="s">
        <v>1822</v>
      </c>
      <c r="AC57" s="782" t="s">
        <v>1775</v>
      </c>
      <c r="AD57" s="384" t="s">
        <v>1776</v>
      </c>
      <c r="AE57" s="775" t="s">
        <v>629</v>
      </c>
      <c r="AF57" s="47"/>
      <c r="AG57" s="47"/>
      <c r="AZ57" s="489" t="s">
        <v>1823</v>
      </c>
      <c r="BD57" s="2308" cm="1" t="str">
        <f t="array" ref="BD57:BD57">BD56</f>
        <v>0</v>
      </c>
      <c r="BE57" s="2308" t="s">
        <v>1727</v>
      </c>
      <c r="BM57" s="2308" t="s">
        <v>1157</v>
      </c>
      <c r="BO57" s="2308" t="s">
        <v>303</v>
      </c>
      <c r="BP57" s="2308" t="s">
        <v>1772</v>
      </c>
      <c r="BQ57" s="2308" t="s">
        <v>1773</v>
      </c>
    </row>
    <row customHeight="1" ht="22.425" hidden="1">
      <c r="E58" s="180">
        <v>23</v>
      </c>
      <c r="F58" s="175" cm="1" t="str">
        <f t="array" ref="F58:F58">F57</f>
        <v>0</v>
      </c>
      <c r="T58" s="753" cm="1" t="str">
        <f t="array" ref="T58:T58">T57</f>
        <v>false</v>
      </c>
      <c r="AB58" s="327" t="s">
        <v>1824</v>
      </c>
      <c r="AC58" s="782" t="s">
        <v>1825</v>
      </c>
      <c r="AD58" s="384" t="s">
        <v>1780</v>
      </c>
      <c r="AE58" s="775" t="s">
        <v>1799</v>
      </c>
      <c r="AF58" s="47"/>
      <c r="AG58" s="47"/>
      <c r="AZ58" s="489" t="s">
        <v>1826</v>
      </c>
      <c r="BD58" s="2308" cm="1" t="str">
        <f t="array" ref="BD58:BD58">BD57</f>
        <v>0</v>
      </c>
      <c r="BF58" s="2308" t="s">
        <v>621</v>
      </c>
      <c r="BM58" s="2308" t="s">
        <v>1157</v>
      </c>
      <c r="BO58" s="2308" t="s">
        <v>303</v>
      </c>
      <c r="BP58" s="2308" t="s">
        <v>919</v>
      </c>
      <c r="BQ58" s="2308" t="s">
        <v>920</v>
      </c>
    </row>
    <row customHeight="1" ht="37.05" hidden="1">
      <c r="E59" s="180">
        <v>38</v>
      </c>
      <c r="F59" s="175" cm="1" t="str">
        <f t="array" ref="F59:F59">F58</f>
        <v>0</v>
      </c>
      <c r="G59" s="193" t="s">
        <v>1628</v>
      </c>
      <c r="T59" s="753" cm="1" t="str">
        <f t="array" ref="T59:T59">T58</f>
        <v>false</v>
      </c>
      <c r="AB59" s="327" t="s">
        <v>1827</v>
      </c>
      <c r="AC59" s="355" t="s">
        <v>1828</v>
      </c>
      <c r="AD59" s="781" t="s">
        <v>1829</v>
      </c>
      <c r="AE59" s="775" t="s">
        <v>917</v>
      </c>
      <c r="AF59" s="47">
        <f>_xlfn.SUMIFS('Калькуляция (5.9)'!AF$26:AF$139,'Калькуляция (5.9)'!$F$26:$F$139,$F59,'Калькуляция (5.9)'!$G$26:$G$139,$G59)</f>
        <v>0</v>
      </c>
      <c r="AG59" s="47">
        <f>_xlfn.SUMIFS('Калькуляция (5.9)'!AG$26:AG$139,'Калькуляция (5.9)'!$F$26:$F$139,$F59,'Калькуляция (5.9)'!$G$26:$G$139,$G59)</f>
        <v>0</v>
      </c>
      <c r="AZ59" s="489" t="s">
        <v>1830</v>
      </c>
      <c r="BD59" s="2308" cm="1" t="str">
        <f t="array" ref="BD59:BD59">BD58</f>
        <v>0</v>
      </c>
      <c r="BE59" s="2308" t="s">
        <v>1716</v>
      </c>
      <c r="BF59" s="2308" t="s">
        <v>621</v>
      </c>
      <c r="BH59" s="2308" t="s">
        <v>1831</v>
      </c>
      <c r="BO59" s="2308" t="s">
        <v>303</v>
      </c>
      <c r="BP59" s="2308" t="s">
        <v>1631</v>
      </c>
      <c r="BQ59" s="2308" t="s">
        <v>1632</v>
      </c>
    </row>
    <row customHeight="1" ht="20.475" hidden="1">
      <c r="E60" s="180">
        <v>21</v>
      </c>
      <c r="F60" s="175" cm="1" t="str">
        <f t="array" ref="F60:F60">F59</f>
        <v>0</v>
      </c>
      <c r="G60" s="193" t="s">
        <v>1832</v>
      </c>
      <c r="T60" s="753" cm="1" t="str">
        <f t="array" ref="T60:T60">T59</f>
        <v>false</v>
      </c>
      <c r="AB60" s="327" t="s">
        <v>1833</v>
      </c>
      <c r="AC60" s="502" t="s">
        <v>1834</v>
      </c>
      <c r="AD60" s="775"/>
      <c r="AE60" s="775" t="s">
        <v>917</v>
      </c>
      <c r="AF60" s="47">
        <f>_xlfn.SUMIFS('Калькуляция (5.9)'!AF$26:AF$139,'Калькуляция (5.9)'!$F$26:$F$139,$F60,'Калькуляция (5.9)'!$G$26:$G$139,$G60)</f>
        <v>0</v>
      </c>
      <c r="AG60" s="47">
        <f>_xlfn.SUMIFS('Калькуляция (5.9)'!AG$26:AG$139,'Калькуляция (5.9)'!$F$26:$F$139,$F60,'Калькуляция (5.9)'!$G$26:$G$139,$G60)</f>
        <v>0</v>
      </c>
      <c r="AZ60" s="489" t="s">
        <v>1835</v>
      </c>
      <c r="BD60" s="2308" cm="1" t="str">
        <f t="array" ref="BD60:BD60">BD59</f>
        <v>0</v>
      </c>
      <c r="BO60" s="2308" t="s">
        <v>303</v>
      </c>
      <c r="BP60" s="2308" t="s">
        <v>1836</v>
      </c>
      <c r="BQ60" s="2308" t="s">
        <v>1837</v>
      </c>
    </row>
    <row customHeight="1" ht="20.475" hidden="1">
      <c r="E61" s="180">
        <v>21</v>
      </c>
      <c r="F61" s="175" cm="1" t="str">
        <f t="array" ref="F61:F61">F60</f>
        <v>0</v>
      </c>
      <c r="T61" s="753" cm="1" t="str">
        <f t="array" ref="T61:T61">T60</f>
        <v>false</v>
      </c>
      <c r="AB61" s="327" t="s">
        <v>1838</v>
      </c>
      <c r="AC61" s="784" t="s">
        <v>1839</v>
      </c>
      <c r="AD61" s="775"/>
      <c r="AE61" s="775" t="s">
        <v>495</v>
      </c>
      <c r="AF61" s="134"/>
      <c r="AG61" s="134"/>
      <c r="AZ61" s="489" t="s">
        <v>1840</v>
      </c>
      <c r="BD61" s="2308" cm="1" t="str">
        <f t="array" ref="BD61:BD61">BD60</f>
        <v>0</v>
      </c>
      <c r="BO61" s="2308" t="s">
        <v>303</v>
      </c>
      <c r="BP61" s="2308" t="s">
        <v>1841</v>
      </c>
      <c r="BQ61" s="2308" t="s">
        <v>1842</v>
      </c>
    </row>
    <row customHeight="1" ht="21.450000000000003" hidden="1">
      <c r="E62" s="180">
        <v>22</v>
      </c>
      <c r="F62" s="175" cm="1" t="str">
        <f t="array" ref="F62:F62">F60</f>
        <v>0</v>
      </c>
      <c r="G62" s="193" t="s">
        <v>1843</v>
      </c>
      <c r="T62" s="753" cm="1" t="str">
        <f t="array" ref="T62:T62">T60</f>
        <v>false</v>
      </c>
      <c r="AB62" s="327" t="s">
        <v>1844</v>
      </c>
      <c r="AC62" s="502" t="s">
        <v>1845</v>
      </c>
      <c r="AD62" s="775"/>
      <c r="AE62" s="775" t="s">
        <v>917</v>
      </c>
      <c r="AF62" s="47">
        <f>_xlfn.SUMIFS('Калькуляция (5.9)'!AF$26:AF$139,'Калькуляция (5.9)'!$F$26:$F$139,$F62,'Калькуляция (5.9)'!$G$26:$G$139,$G62)</f>
        <v>0</v>
      </c>
      <c r="AG62" s="47">
        <f>_xlfn.SUMIFS('Калькуляция (5.9)'!AG$26:AG$139,'Калькуляция (5.9)'!$F$26:$F$139,$F62,'Калькуляция (5.9)'!$G$26:$G$139,$G62)</f>
        <v>0</v>
      </c>
      <c r="AZ62" s="489" t="s">
        <v>1846</v>
      </c>
      <c r="BD62" s="2308" cm="1" t="str">
        <f t="array" ref="BD62:BD62">BD61</f>
        <v>0</v>
      </c>
      <c r="BO62" s="2308" t="s">
        <v>303</v>
      </c>
      <c r="BP62" s="2308" t="s">
        <v>1847</v>
      </c>
      <c r="BQ62" s="2308" t="s">
        <v>1848</v>
      </c>
    </row>
    <row customHeight="1" ht="22.425" hidden="1">
      <c r="E63" s="180">
        <v>23</v>
      </c>
      <c r="F63" s="175" cm="1" t="str">
        <f t="array" ref="F63:F63">F62</f>
        <v>0</v>
      </c>
      <c r="G63" s="193">
        <v>6</v>
      </c>
      <c r="T63" s="753" cm="1" t="str">
        <f t="array" ref="T63:T63">T62</f>
        <v>false</v>
      </c>
      <c r="AB63" s="327" t="s">
        <v>1849</v>
      </c>
      <c r="AC63" s="502" t="s">
        <v>1850</v>
      </c>
      <c r="AD63" s="775"/>
      <c r="AE63" s="775" t="s">
        <v>917</v>
      </c>
      <c r="AF63" s="47">
        <f>_xlfn.SUMIFS('Калькуляция (5.9)'!AF$26:AF$139,'Калькуляция (5.9)'!$F$26:$F$139,$F63,'Калькуляция (5.9)'!$G$26:$G$139,$G63)</f>
        <v>0</v>
      </c>
      <c r="AG63" s="47">
        <f>_xlfn.SUMIFS('Калькуляция (5.9)'!AG$26:AG$139,'Калькуляция (5.9)'!$F$26:$F$139,$F63,'Калькуляция (5.9)'!$G$26:$G$139,$G63)</f>
        <v>0</v>
      </c>
      <c r="AZ63" s="489" t="s">
        <v>1851</v>
      </c>
      <c r="BD63" s="2308" cm="1" t="str">
        <f t="array" ref="BD63:BD63">BD62</f>
        <v>0</v>
      </c>
      <c r="BO63" s="2308" t="s">
        <v>303</v>
      </c>
      <c r="BP63" s="2308" t="s">
        <v>1852</v>
      </c>
      <c r="BQ63" s="2308" t="s">
        <v>1853</v>
      </c>
    </row>
    <row customHeight="1" ht="29.25" hidden="1">
      <c r="E64" s="180">
        <v>30</v>
      </c>
      <c r="F64" s="175" cm="1" t="str">
        <f t="array" ref="F64:F64">F63</f>
        <v>0</v>
      </c>
      <c r="T64" s="753" cm="1" t="str">
        <f t="array" ref="T64:T64">T63</f>
        <v>false</v>
      </c>
      <c r="AB64" s="327" t="s">
        <v>1854</v>
      </c>
      <c r="AC64" s="502" t="s">
        <v>1855</v>
      </c>
      <c r="AD64" s="786"/>
      <c r="AE64" s="775" t="s">
        <v>917</v>
      </c>
      <c r="AF64" s="47"/>
      <c r="AG64" s="47"/>
      <c r="AZ64" s="489" t="s">
        <v>1856</v>
      </c>
      <c r="BD64" s="2308" cm="1" t="str">
        <f t="array" ref="BD64:BD64">BD63</f>
        <v>0</v>
      </c>
      <c r="BN64" s="2308" t="s">
        <v>601</v>
      </c>
      <c r="BO64" s="2308" t="s">
        <v>303</v>
      </c>
      <c r="BP64" s="2308" t="s">
        <v>1857</v>
      </c>
      <c r="BQ64" s="2308" t="s">
        <v>1858</v>
      </c>
    </row>
    <row customHeight="1" ht="37.05" hidden="1">
      <c r="E65" s="180">
        <v>38</v>
      </c>
      <c r="F65" s="175" cm="1" t="str">
        <f t="array" ref="F65:F65">F64</f>
        <v>0</v>
      </c>
      <c r="T65" s="753" cm="1" t="str">
        <f t="array" ref="T65:T65">T64</f>
        <v>false</v>
      </c>
      <c r="AB65" s="327" t="s">
        <v>1859</v>
      </c>
      <c r="AC65" s="502" t="s">
        <v>1860</v>
      </c>
      <c r="AD65" s="775"/>
      <c r="AE65" s="775" t="s">
        <v>917</v>
      </c>
      <c r="AF65" s="47"/>
      <c r="AG65" s="47"/>
      <c r="AZ65" s="489" t="s">
        <v>1861</v>
      </c>
      <c r="BD65" s="2308" cm="1" t="str">
        <f t="array" ref="BD65:BD65">BD64</f>
        <v>0</v>
      </c>
      <c r="BE65" s="2308" t="s">
        <v>1716</v>
      </c>
      <c r="BO65" s="2308" t="s">
        <v>303</v>
      </c>
      <c r="BP65" s="2308" t="s">
        <v>1862</v>
      </c>
      <c r="BQ65" s="2308" t="s">
        <v>1863</v>
      </c>
    </row>
    <row customHeight="1" ht="73.125" hidden="1">
      <c r="E66" s="180">
        <v>75</v>
      </c>
      <c r="F66" s="175" cm="1" t="str">
        <f t="array" ref="F66:F66">F65</f>
        <v>0</v>
      </c>
      <c r="T66" s="753" cm="1" t="str">
        <f t="array" ref="T66:T66">T65</f>
        <v>false</v>
      </c>
      <c r="AB66" s="327" t="s">
        <v>1864</v>
      </c>
      <c r="AC66" s="502" t="s">
        <v>1865</v>
      </c>
      <c r="AD66" s="775"/>
      <c r="AE66" s="775" t="s">
        <v>917</v>
      </c>
      <c r="AF66" s="47"/>
      <c r="AG66" s="47"/>
      <c r="AZ66" s="489" t="s">
        <v>1866</v>
      </c>
      <c r="BD66" s="2308" cm="1" t="str">
        <f t="array" ref="BD66:BD66">BD65</f>
        <v>0</v>
      </c>
      <c r="BE66" s="2308" t="s">
        <v>1867</v>
      </c>
      <c r="BO66" s="2308" t="s">
        <v>303</v>
      </c>
      <c r="BP66" s="2308" t="s">
        <v>1868</v>
      </c>
      <c r="BQ66" s="2308" t="s">
        <v>1869</v>
      </c>
    </row>
    <row customHeight="1" ht="72.15" hidden="1">
      <c r="E67" s="180">
        <v>74</v>
      </c>
      <c r="F67" s="175" cm="1" t="str">
        <f t="array" ref="F67:F67">F66</f>
        <v>0</v>
      </c>
      <c r="T67" s="753" cm="1" t="str">
        <f t="array" ref="T67:T67">T66</f>
        <v>false</v>
      </c>
      <c r="AB67" s="327" t="s">
        <v>1870</v>
      </c>
      <c r="AC67" s="502" t="s">
        <v>1871</v>
      </c>
      <c r="AD67" s="775"/>
      <c r="AE67" s="775" t="s">
        <v>1709</v>
      </c>
      <c r="AF67" s="47"/>
      <c r="AG67" s="47"/>
      <c r="AZ67" s="489" t="s">
        <v>1872</v>
      </c>
      <c r="BD67" s="2308" cm="1" t="str">
        <f t="array" ref="BD67:BD67">BD66</f>
        <v>0</v>
      </c>
      <c r="BO67" s="2308" t="s">
        <v>303</v>
      </c>
      <c r="BP67" s="2308" t="s">
        <v>1873</v>
      </c>
      <c r="BQ67" s="2308" t="s">
        <v>1874</v>
      </c>
    </row>
    <row customHeight="1" ht="55.57500000000001" hidden="1">
      <c r="E68" s="180">
        <v>57</v>
      </c>
      <c r="F68" s="175" cm="1" t="str">
        <f t="array" ref="F68:F68">F67</f>
        <v>0</v>
      </c>
      <c r="T68" s="753" cm="1" t="str">
        <f t="array" ref="T68:T68">T67</f>
        <v>false</v>
      </c>
      <c r="AB68" s="327">
        <v>2</v>
      </c>
      <c r="AC68" s="773" t="s">
        <v>1875</v>
      </c>
      <c r="AD68" s="384" t="s">
        <v>1876</v>
      </c>
      <c r="AE68" s="775" t="s">
        <v>1709</v>
      </c>
      <c r="AF68" s="47"/>
      <c r="AG68" s="47"/>
      <c r="AZ68" s="489" t="s">
        <v>1877</v>
      </c>
      <c r="BD68" s="2308" cm="1" t="str">
        <f t="array" ref="BD68:BD68">BD67</f>
        <v>0</v>
      </c>
      <c r="BE68" s="2308" t="s">
        <v>1716</v>
      </c>
      <c r="BF68" s="2308" t="s">
        <v>411</v>
      </c>
      <c r="BO68" s="2308" t="s">
        <v>303</v>
      </c>
      <c r="BP68" s="2308" t="s">
        <v>1878</v>
      </c>
      <c r="BQ68" s="2308" t="s">
        <v>1879</v>
      </c>
    </row>
    <row customHeight="1" ht="10.725000000000001" hidden="1">
      <c r="E69" s="180">
        <v>11</v>
      </c>
      <c r="F69" s="175" cm="1" t="str">
        <f t="array" ref="F69:F69">F68</f>
        <v>0</v>
      </c>
      <c r="T69" s="753" cm="1" t="str">
        <f t="array" ref="T69:T69">T68</f>
        <v>false</v>
      </c>
      <c r="BD69" s="2308" cm="1" t="str">
        <f t="array" ref="BD69:BD69">BD68</f>
        <v>0</v>
      </c>
      <c r="BO69" s="2308" t="s">
        <v>176</v>
      </c>
    </row>
    <row customHeight="1" ht="10.725000000000001" hidden="1">
      <c r="E70" s="180">
        <v>11</v>
      </c>
      <c r="F70" s="175" cm="1" t="str">
        <f t="array" ref="F70:F70">F69</f>
        <v>0</v>
      </c>
      <c r="T70" s="753" cm="1" t="str">
        <f t="array" ref="T70:T70">T69</f>
        <v>false</v>
      </c>
      <c r="AB70" s="356" t="s">
        <v>1705</v>
      </c>
      <c r="AC70" s="1685" t="s">
        <v>493</v>
      </c>
      <c r="AD70" s="436" t="s">
        <v>1330</v>
      </c>
      <c r="AE70" s="385">
        <f>god-2</f>
        <v>2025</v>
      </c>
      <c r="AF70" s="385">
        <f>god-1</f>
        <v>2026</v>
      </c>
      <c r="AG70" s="436" t="s">
        <v>1880</v>
      </c>
      <c r="AH70" s="663" cm="1" t="str">
        <f t="array" ref="AH70:AH70">god</f>
        <v>2027</v>
      </c>
      <c r="AI70" s="385">
        <f>god+1</f>
        <v>2028</v>
      </c>
      <c r="AJ70" s="385">
        <f>god+2</f>
        <v>2029</v>
      </c>
      <c r="AK70" s="385">
        <f>god+3</f>
        <v>2030</v>
      </c>
      <c r="AL70" s="385">
        <f>god+4</f>
        <v>2031</v>
      </c>
      <c r="AM70" s="436" t="s">
        <v>1880</v>
      </c>
      <c r="AN70" s="663" cm="1" t="str">
        <f t="array" ref="AN70:AN70">god</f>
        <v>2027</v>
      </c>
      <c r="AO70" s="385">
        <f>god+1</f>
        <v>2028</v>
      </c>
      <c r="AP70" s="385">
        <f>god+2</f>
        <v>2029</v>
      </c>
      <c r="AQ70" s="385">
        <f>god+3</f>
        <v>2030</v>
      </c>
      <c r="AR70" s="385">
        <f>god+4</f>
        <v>2031</v>
      </c>
      <c r="AU70" s="135" t="s">
        <v>1881</v>
      </c>
      <c r="BD70" s="2308" cm="1" t="str">
        <f t="array" ref="BD70:BD70">BD69</f>
        <v>0</v>
      </c>
      <c r="BO70" s="2308" t="s">
        <v>176</v>
      </c>
    </row>
    <row customHeight="1" ht="21.450000000000003" hidden="1">
      <c r="E71" s="180">
        <v>22</v>
      </c>
      <c r="F71" s="175" cm="1" t="str">
        <f t="array" ref="F71:F71">F70</f>
        <v>0</v>
      </c>
      <c r="T71" s="753" cm="1" t="str">
        <f t="array" ref="T71:T71">T70</f>
        <v>false</v>
      </c>
      <c r="AB71" s="1684"/>
      <c r="AC71" s="1686"/>
      <c r="AD71" s="436"/>
      <c r="AE71" s="327" t="s">
        <v>415</v>
      </c>
      <c r="AF71" s="327" t="s">
        <v>415</v>
      </c>
      <c r="AG71" s="436"/>
      <c r="AH71" s="327" t="s">
        <v>416</v>
      </c>
      <c r="AI71" s="327" t="s">
        <v>416</v>
      </c>
      <c r="AJ71" s="327" t="s">
        <v>416</v>
      </c>
      <c r="AK71" s="327" t="s">
        <v>416</v>
      </c>
      <c r="AL71" s="327" t="s">
        <v>416</v>
      </c>
      <c r="AM71" s="436"/>
      <c r="AN71" s="327" t="s">
        <v>415</v>
      </c>
      <c r="AO71" s="327" t="s">
        <v>415</v>
      </c>
      <c r="AP71" s="327" t="s">
        <v>415</v>
      </c>
      <c r="AQ71" s="327" t="s">
        <v>415</v>
      </c>
      <c r="AR71" s="327" t="s">
        <v>415</v>
      </c>
      <c r="AU71" s="135"/>
      <c r="BD71" s="2308" cm="1" t="str">
        <f t="array" ref="BD71:BD71">BD70</f>
        <v>0</v>
      </c>
      <c r="BO71" s="2308" t="s">
        <v>176</v>
      </c>
    </row>
    <row customHeight="1" ht="15.600000000000001" hidden="1">
      <c r="E72" s="180">
        <v>16</v>
      </c>
      <c r="F72" s="175" cm="1" t="str">
        <f t="array" ref="F72:F72">F71</f>
        <v>0</v>
      </c>
      <c r="T72" s="753" cm="1" t="str">
        <f t="array" ref="T72:T72">T71</f>
        <v>false</v>
      </c>
      <c r="AB72" s="360">
        <v>3</v>
      </c>
      <c r="AC72" s="657" t="s">
        <v>1882</v>
      </c>
      <c r="AD72" s="775" t="s">
        <v>917</v>
      </c>
      <c r="AE72" s="788" t="s">
        <v>1883</v>
      </c>
      <c r="AF72" s="788" t="s">
        <v>1883</v>
      </c>
      <c r="AG72" s="789" cm="1" t="str">
        <f t="array" ref="AG72:AG72">AF29</f>
        <v>0</v>
      </c>
      <c r="AH72" s="790"/>
      <c r="AI72" s="136"/>
      <c r="AJ72" s="136"/>
      <c r="AK72" s="136"/>
      <c r="AL72" s="136"/>
      <c r="AM72" s="789" cm="1" t="str">
        <f t="array" ref="AM72:AM72">AG29</f>
        <v>0</v>
      </c>
      <c r="AN72" s="791"/>
      <c r="AO72" s="137"/>
      <c r="AP72" s="137"/>
      <c r="AQ72" s="137"/>
      <c r="AR72" s="137"/>
      <c r="AU72" s="138"/>
      <c r="AZ72" s="489" t="s">
        <v>1884</v>
      </c>
      <c r="BD72" s="2308" cm="1" t="str">
        <f t="array" ref="BD72:BD72">BD71</f>
        <v>0</v>
      </c>
      <c r="BN72" s="2308" t="s">
        <v>1885</v>
      </c>
      <c r="BO72" s="2308" t="s">
        <v>303</v>
      </c>
      <c r="BP72" s="2308" t="s">
        <v>1857</v>
      </c>
      <c r="BQ72" s="2308" t="s">
        <v>1858</v>
      </c>
    </row>
    <row customHeight="1" ht="27.299999999999997" hidden="1">
      <c r="E73" s="180">
        <v>28</v>
      </c>
      <c r="F73" s="175" cm="1" t="str">
        <f t="array" ref="F73:F73">F72</f>
        <v>0</v>
      </c>
      <c r="T73" s="753" cm="1" t="str">
        <f t="array" ref="T73:T73">T72</f>
        <v>false</v>
      </c>
      <c r="AB73" s="360">
        <v>4</v>
      </c>
      <c r="AC73" s="793" t="s">
        <v>1886</v>
      </c>
      <c r="AD73" s="775" t="s">
        <v>917</v>
      </c>
      <c r="AE73" s="136"/>
      <c r="AF73" s="136"/>
      <c r="AG73" s="789">
        <f>SUM(AH73:AL73)</f>
        <v>0</v>
      </c>
      <c r="AH73" s="790"/>
      <c r="AI73" s="136"/>
      <c r="AJ73" s="136"/>
      <c r="AK73" s="136"/>
      <c r="AL73" s="136"/>
      <c r="AM73" s="789">
        <f>SUM(AN73:AR73)</f>
        <v>0</v>
      </c>
      <c r="AN73" s="791"/>
      <c r="AO73" s="137"/>
      <c r="AP73" s="137"/>
      <c r="AQ73" s="137"/>
      <c r="AR73" s="137"/>
      <c r="AU73" s="138"/>
      <c r="AZ73" s="489" t="s">
        <v>1887</v>
      </c>
      <c r="BD73" s="2308" cm="1" t="str">
        <f t="array" ref="BD73:BD73">BD72</f>
        <v>0</v>
      </c>
      <c r="BN73" s="2308" t="s">
        <v>601</v>
      </c>
      <c r="BO73" s="2308" t="s">
        <v>303</v>
      </c>
      <c r="BP73" s="2308" t="s">
        <v>1888</v>
      </c>
      <c r="BQ73" s="2308" t="s">
        <v>1889</v>
      </c>
    </row>
    <row customHeight="1" ht="15.600000000000001" hidden="1">
      <c r="E74" s="180">
        <v>16</v>
      </c>
      <c r="F74" s="175" cm="1" t="str">
        <f t="array" ref="F74:F74">F73</f>
        <v>0</v>
      </c>
      <c r="G74" s="193" t="s">
        <v>1890</v>
      </c>
      <c r="T74" s="753" cm="1" t="str">
        <f t="array" ref="T74:T74">T73</f>
        <v>false</v>
      </c>
      <c r="AB74" s="794">
        <v>5</v>
      </c>
      <c r="AC74" s="773" t="s">
        <v>1891</v>
      </c>
      <c r="AD74" s="775" t="s">
        <v>917</v>
      </c>
      <c r="AE74" s="789" cm="1" t="str">
        <f t="array" ref="AE74:AE74">AE73</f>
        <v>0</v>
      </c>
      <c r="AF74" s="789" cm="1" t="str">
        <f t="array" ref="AF74:AF74">AF73</f>
        <v>0</v>
      </c>
      <c r="AG74" s="789">
        <f>AG72+AG73</f>
        <v>0</v>
      </c>
      <c r="AH74" s="789">
        <f>AH72+AH73</f>
        <v>0</v>
      </c>
      <c r="AI74" s="789">
        <f>AI72+AI73</f>
        <v>0</v>
      </c>
      <c r="AJ74" s="789">
        <f>AJ72+AJ73</f>
        <v>0</v>
      </c>
      <c r="AK74" s="789">
        <f>AK72+AK73</f>
        <v>0</v>
      </c>
      <c r="AL74" s="789">
        <f>AL72+AL73</f>
        <v>0</v>
      </c>
      <c r="AM74" s="789">
        <f>AM72+AM73</f>
        <v>0</v>
      </c>
      <c r="AN74" s="789">
        <f>AN72+AN73</f>
        <v>0</v>
      </c>
      <c r="AO74" s="789">
        <f>AO72+AO73</f>
        <v>0</v>
      </c>
      <c r="AP74" s="789">
        <f>AP72+AP73</f>
        <v>0</v>
      </c>
      <c r="AQ74" s="789">
        <f>AQ72+AQ73</f>
        <v>0</v>
      </c>
      <c r="AR74" s="789">
        <f>AR72+AR73</f>
        <v>0</v>
      </c>
      <c r="AU74" s="138"/>
      <c r="AZ74" s="489" t="s">
        <v>1892</v>
      </c>
      <c r="BD74" s="2308" cm="1" t="str">
        <f t="array" ref="BD74:BD74">BD73</f>
        <v>0</v>
      </c>
      <c r="BO74" s="2308" t="s">
        <v>303</v>
      </c>
      <c r="BP74" s="2308" t="s">
        <v>1893</v>
      </c>
      <c r="BQ74" s="2308" t="s">
        <v>1894</v>
      </c>
    </row>
    <row s="969" customFormat="1" customHeight="1" ht="10.5">
      <c r="A75" s="969"/>
      <c r="B75" s="969"/>
      <c r="C75" s="969"/>
      <c r="D75" s="969"/>
      <c r="E75" s="180">
        <v>11</v>
      </c>
      <c r="F75" s="175" cm="1" t="str">
        <f t="array" ref="F75:F75">X75</f>
        <v>1</v>
      </c>
      <c r="G75" s="969"/>
      <c r="H75" s="969"/>
      <c r="I75" s="969"/>
      <c r="J75" s="969"/>
      <c r="K75" s="969"/>
      <c r="L75" s="969"/>
      <c r="M75" s="969"/>
      <c r="N75" s="969"/>
      <c r="O75" s="969"/>
      <c r="P75" s="969"/>
      <c r="Q75" s="969"/>
      <c r="R75" s="969"/>
      <c r="S75" s="969"/>
      <c r="T75" s="753">
        <f>X75&gt;0</f>
        <v>1</v>
      </c>
      <c r="U75" s="969"/>
      <c r="V75" s="175" cm="1" t="str">
        <f t="array" ref="V75:V75">'Ресурсы (5.4)'!$AB$37</f>
        <v>Тариф 1 (Теплоснабжение) - Тариф на тепловую энергию (мощность), поставляемую потребителям (Доп. признак не требуется)</v>
      </c>
      <c r="W75" s="969"/>
      <c r="X75" s="175" t="s">
        <v>308</v>
      </c>
      <c r="Y75" s="969"/>
      <c r="Z75" s="969"/>
      <c r="AA75" s="969"/>
      <c r="AB75" s="656" cm="1" t="str">
        <f t="array" ref="AB75:AB75">IF(ISBLANK('Ресурсы (5.4)'!$AB$37),"",'Ресурсы (5.4)'!$AB$37)</f>
        <v>Тариф 1 (Теплоснабжение) - Тариф на тепловую энергию (мощность), поставляемую потребителям (Доп. признак не требуется)</v>
      </c>
      <c r="AC75" s="335"/>
      <c r="AD75" s="335"/>
      <c r="AE75" s="335"/>
      <c r="AF75" s="335"/>
      <c r="AG75" s="335"/>
      <c r="AH75" s="969"/>
      <c r="AI75" s="969"/>
      <c r="AJ75" s="969"/>
      <c r="AK75" s="969"/>
      <c r="AL75" s="969"/>
      <c r="AM75" s="969"/>
      <c r="AN75" s="969"/>
      <c r="AO75" s="969"/>
      <c r="AP75" s="969"/>
      <c r="AQ75" s="969"/>
      <c r="AR75" s="969"/>
      <c r="AS75" s="969"/>
      <c r="AT75" s="969"/>
      <c r="AU75" s="969"/>
      <c r="AV75" s="969"/>
      <c r="AW75" s="969"/>
      <c r="AX75" s="969"/>
      <c r="AY75" s="969"/>
      <c r="AZ75" s="489"/>
      <c r="BA75" s="969"/>
      <c r="BB75" s="969"/>
      <c r="BC75" s="969"/>
      <c r="BD75" s="969"/>
      <c r="BE75" s="969"/>
      <c r="BF75" s="969"/>
      <c r="BG75" s="969"/>
      <c r="BH75" s="969"/>
      <c r="BI75" s="969"/>
      <c r="BJ75" s="969"/>
      <c r="BK75" s="969"/>
      <c r="BL75" s="969"/>
      <c r="BM75" s="969"/>
      <c r="BN75" s="969"/>
      <c r="BO75" s="969"/>
      <c r="BP75" s="969"/>
      <c r="BQ75" s="969"/>
      <c r="BR75" s="969"/>
    </row>
    <row s="1751" customFormat="1" customHeight="1" ht="50.25">
      <c r="A76" s="371"/>
      <c r="B76" s="1548"/>
      <c r="C76" s="1548"/>
      <c r="D76" s="1548"/>
      <c r="E76" s="180">
        <v>52</v>
      </c>
      <c r="F76" s="175" cm="1" t="str">
        <f t="array" ref="F76:F76">F75</f>
        <v>1</v>
      </c>
      <c r="G76" s="1659"/>
      <c r="H76" s="1659"/>
      <c r="I76" s="1659"/>
      <c r="J76" s="1659"/>
      <c r="K76" s="1659"/>
      <c r="L76" s="1659"/>
      <c r="M76" s="1659"/>
      <c r="N76" s="1659"/>
      <c r="O76" s="1659"/>
      <c r="P76" s="1659"/>
      <c r="Q76" s="1659"/>
      <c r="R76" s="1659"/>
      <c r="S76" s="1659"/>
      <c r="T76" s="753" cm="1" t="str">
        <f t="array" ref="T76:T76">T75</f>
        <v>true</v>
      </c>
      <c r="U76" s="1548"/>
      <c r="V76" s="1548"/>
      <c r="W76" s="1548"/>
      <c r="X76" s="1548"/>
      <c r="Y76" s="1548"/>
      <c r="Z76" s="1548"/>
      <c r="AA76" s="183"/>
      <c r="AB76" s="436">
        <v>1</v>
      </c>
      <c r="AC76" s="773" t="s">
        <v>64</v>
      </c>
      <c r="AD76" s="774" t="s">
        <v>1708</v>
      </c>
      <c r="AE76" s="775" t="s">
        <v>1709</v>
      </c>
      <c r="AF76" s="438">
        <f>AF77-AF115</f>
        <v>13403.36</v>
      </c>
      <c r="AG76" s="438">
        <f>AG77-AG115</f>
        <v>9385.86814247972</v>
      </c>
      <c r="AH76" s="765"/>
      <c r="AI76" s="765"/>
      <c r="AJ76" s="765"/>
      <c r="AK76" s="765"/>
      <c r="AL76" s="765"/>
      <c r="AM76" s="765"/>
      <c r="AN76" s="765"/>
      <c r="AO76" s="765"/>
      <c r="AP76" s="765"/>
      <c r="AQ76" s="765"/>
      <c r="AR76" s="765"/>
      <c r="AS76" s="765"/>
      <c r="AT76" s="765"/>
      <c r="AU76" s="765"/>
      <c r="AV76" s="765"/>
      <c r="AW76" s="969"/>
      <c r="AX76" s="969"/>
      <c r="AY76" s="969"/>
      <c r="AZ76" s="489" t="s">
        <v>1710</v>
      </c>
      <c r="BA76" s="1506"/>
      <c r="BB76" s="1506"/>
      <c r="BC76" s="1506"/>
      <c r="BD76" s="0" cm="1" t="str">
        <f t="array" ref="BD76:BD76">INDEX('Общие сведения'!$N$170:$N$202,MATCH($F76,'Общие сведения'!$Y$170:$Y$202,0)+1)</f>
        <v>ТЭ.42.31656254.0001</v>
      </c>
      <c r="BE76" s="1751"/>
      <c r="BF76" s="1751"/>
      <c r="BG76" s="1751"/>
      <c r="BH76" s="1751"/>
      <c r="BI76" s="1751"/>
      <c r="BJ76" s="1751"/>
      <c r="BK76" s="1751"/>
      <c r="BL76" s="1751"/>
      <c r="BM76" s="1751"/>
      <c r="BN76" s="1751"/>
      <c r="BO76" s="0" t="s">
        <v>303</v>
      </c>
      <c r="BP76" s="0" t="s">
        <v>1711</v>
      </c>
      <c r="BQ76" s="0" t="s">
        <v>1712</v>
      </c>
      <c r="BR76" s="1751"/>
    </row>
    <row s="1751" customFormat="1" customHeight="1" ht="50.25">
      <c r="A77" s="371"/>
      <c r="B77" s="1548"/>
      <c r="C77" s="1548"/>
      <c r="D77" s="1548"/>
      <c r="E77" s="180">
        <v>52</v>
      </c>
      <c r="F77" s="175" cm="1" t="str">
        <f t="array" ref="F77:F77">F76</f>
        <v>1</v>
      </c>
      <c r="G77" s="1659"/>
      <c r="H77" s="1659"/>
      <c r="I77" s="1659"/>
      <c r="J77" s="1659"/>
      <c r="K77" s="1659"/>
      <c r="L77" s="1659"/>
      <c r="M77" s="1659"/>
      <c r="N77" s="1659"/>
      <c r="O77" s="1659"/>
      <c r="P77" s="1659"/>
      <c r="Q77" s="1659"/>
      <c r="R77" s="1659"/>
      <c r="S77" s="1659"/>
      <c r="T77" s="753" cm="1" t="str">
        <f t="array" ref="T77:T77">T76</f>
        <v>true</v>
      </c>
      <c r="U77" s="1548"/>
      <c r="V77" s="1548"/>
      <c r="W77" s="1548"/>
      <c r="X77" s="1548"/>
      <c r="Y77" s="1548"/>
      <c r="Z77" s="1548"/>
      <c r="AA77" s="183"/>
      <c r="AB77" s="327">
        <v>1.1</v>
      </c>
      <c r="AC77" s="368" t="s">
        <v>1713</v>
      </c>
      <c r="AD77" s="774" t="s">
        <v>1895</v>
      </c>
      <c r="AE77" s="775" t="s">
        <v>1709</v>
      </c>
      <c r="AF77" s="438">
        <f>AF79+AF80+AF106+AF107+AF109+AF110+AF111+AF112-AF113+AF114</f>
        <v>13403.36</v>
      </c>
      <c r="AG77" s="1898">
        <f>AG79+AG80+AG106+AG107+AG109+AG110+AG111+AG112-AG113+AG114</f>
        <v>9385.86814247972</v>
      </c>
      <c r="AH77" s="765"/>
      <c r="AI77" s="765"/>
      <c r="AJ77" s="765"/>
      <c r="AK77" s="765"/>
      <c r="AL77" s="765"/>
      <c r="AM77" s="765"/>
      <c r="AN77" s="765"/>
      <c r="AO77" s="765"/>
      <c r="AP77" s="765"/>
      <c r="AQ77" s="765"/>
      <c r="AR77" s="765"/>
      <c r="AS77" s="765"/>
      <c r="AT77" s="765"/>
      <c r="AU77" s="765"/>
      <c r="AV77" s="765"/>
      <c r="AW77" s="969"/>
      <c r="AX77" s="969"/>
      <c r="AY77" s="969"/>
      <c r="AZ77" s="489" t="s">
        <v>1715</v>
      </c>
      <c r="BA77" s="1506"/>
      <c r="BB77" s="1506"/>
      <c r="BC77" s="1506"/>
      <c r="BD77" s="0" cm="1" t="str">
        <f t="array" ref="BD77:BD77">BD76</f>
        <v>ТЭ.42.31656254.0001</v>
      </c>
      <c r="BE77" s="0" t="s">
        <v>1716</v>
      </c>
      <c r="BF77" s="0" t="s">
        <v>621</v>
      </c>
      <c r="BG77" s="1751"/>
      <c r="BH77" s="1751"/>
      <c r="BI77" s="1751"/>
      <c r="BJ77" s="1751"/>
      <c r="BK77" s="1751"/>
      <c r="BL77" s="1751"/>
      <c r="BM77" s="1751"/>
      <c r="BN77" s="1751"/>
      <c r="BO77" s="0" t="s">
        <v>303</v>
      </c>
      <c r="BP77" s="0" t="s">
        <v>1717</v>
      </c>
      <c r="BQ77" s="0" t="s">
        <v>1718</v>
      </c>
      <c r="BR77" s="1751"/>
    </row>
    <row s="1751" customFormat="1" customHeight="1" ht="27">
      <c r="A78" s="371"/>
      <c r="B78" s="1548"/>
      <c r="C78" s="1548"/>
      <c r="D78" s="1548"/>
      <c r="E78" s="180">
        <v>28</v>
      </c>
      <c r="F78" s="175" cm="1" t="str">
        <f t="array" ref="F78:F78">F77</f>
        <v>1</v>
      </c>
      <c r="G78" s="1659"/>
      <c r="H78" s="1659"/>
      <c r="I78" s="1659"/>
      <c r="J78" s="1659"/>
      <c r="K78" s="1659"/>
      <c r="L78" s="1659"/>
      <c r="M78" s="1659"/>
      <c r="N78" s="1659"/>
      <c r="O78" s="1659"/>
      <c r="P78" s="1659"/>
      <c r="Q78" s="1659"/>
      <c r="R78" s="1659"/>
      <c r="S78" s="1659"/>
      <c r="T78" s="753" cm="1" t="str">
        <f t="array" ref="T78:T78">T77</f>
        <v>true</v>
      </c>
      <c r="U78" s="1548"/>
      <c r="V78" s="1548"/>
      <c r="W78" s="1548"/>
      <c r="X78" s="1548"/>
      <c r="Y78" s="1548"/>
      <c r="Z78" s="1548"/>
      <c r="AA78" s="183"/>
      <c r="AB78" s="327"/>
      <c r="AC78" s="778" t="s">
        <v>1719</v>
      </c>
      <c r="AD78" s="779" t="s">
        <v>1896</v>
      </c>
      <c r="AE78" s="775" t="s">
        <v>1709</v>
      </c>
      <c r="AF78" s="1898"/>
      <c r="AG78" s="1898"/>
      <c r="AH78" s="765"/>
      <c r="AI78" s="765"/>
      <c r="AJ78" s="765"/>
      <c r="AK78" s="765"/>
      <c r="AL78" s="765"/>
      <c r="AM78" s="765"/>
      <c r="AN78" s="765"/>
      <c r="AO78" s="765"/>
      <c r="AP78" s="765"/>
      <c r="AQ78" s="765"/>
      <c r="AR78" s="765"/>
      <c r="AS78" s="765"/>
      <c r="AT78" s="765"/>
      <c r="AU78" s="765"/>
      <c r="AV78" s="765"/>
      <c r="AW78" s="969"/>
      <c r="AX78" s="969"/>
      <c r="AY78" s="969"/>
      <c r="AZ78" s="489" t="s">
        <v>1721</v>
      </c>
      <c r="BA78" s="1506"/>
      <c r="BB78" s="1506"/>
      <c r="BC78" s="1506"/>
      <c r="BD78" s="0" cm="1" t="str">
        <f t="array" ref="BD78:BD78">BD77</f>
        <v>ТЭ.42.31656254.0001</v>
      </c>
      <c r="BE78" s="1751"/>
      <c r="BF78" s="1751"/>
      <c r="BG78" s="1751"/>
      <c r="BH78" s="0" t="s">
        <v>503</v>
      </c>
      <c r="BI78" s="1751"/>
      <c r="BJ78" s="1751"/>
      <c r="BK78" s="1751"/>
      <c r="BL78" s="1751"/>
      <c r="BM78" s="1751"/>
      <c r="BN78" s="1751"/>
      <c r="BO78" s="0" t="s">
        <v>303</v>
      </c>
      <c r="BP78" s="0" t="s">
        <v>1722</v>
      </c>
      <c r="BQ78" s="0" t="s">
        <v>1723</v>
      </c>
      <c r="BR78" s="1751"/>
    </row>
    <row s="1751" customFormat="1" customHeight="1" ht="29.25">
      <c r="A79" s="371"/>
      <c r="B79" s="1548"/>
      <c r="C79" s="1548"/>
      <c r="D79" s="1548"/>
      <c r="E79" s="180">
        <v>30</v>
      </c>
      <c r="F79" s="175" cm="1" t="str">
        <f t="array" ref="F79:F79">F78</f>
        <v>1</v>
      </c>
      <c r="G79" s="193" t="s">
        <v>1549</v>
      </c>
      <c r="H79" s="1659"/>
      <c r="I79" s="1659"/>
      <c r="J79" s="1659"/>
      <c r="K79" s="1659"/>
      <c r="L79" s="1659"/>
      <c r="M79" s="1659"/>
      <c r="N79" s="1659"/>
      <c r="O79" s="1659"/>
      <c r="P79" s="1659"/>
      <c r="Q79" s="1659"/>
      <c r="R79" s="1659"/>
      <c r="S79" s="1659"/>
      <c r="T79" s="753" cm="1" t="str">
        <f t="array" ref="T79:T79">T78</f>
        <v>true</v>
      </c>
      <c r="U79" s="1548"/>
      <c r="V79" s="1548"/>
      <c r="W79" s="1548"/>
      <c r="X79" s="1548"/>
      <c r="Y79" s="1548"/>
      <c r="Z79" s="1548"/>
      <c r="AA79" s="183"/>
      <c r="AB79" s="327" t="s">
        <v>1339</v>
      </c>
      <c r="AC79" s="355" t="s">
        <v>1724</v>
      </c>
      <c r="AD79" s="781" t="s">
        <v>1897</v>
      </c>
      <c r="AE79" s="774" t="s">
        <v>1709</v>
      </c>
      <c r="AF79" s="1898">
        <f>_xlfn.SUMIFS('Операционные (5.1)'!AF$26:AF$75,'Операционные (5.1)'!$F$26:$F$75,$F79,'Операционные (5.1)'!$G$26:$G$75,$G79)</f>
        <v>4818</v>
      </c>
      <c r="AG79" s="1898">
        <f>_xlfn.SUMIFS('Операционные (5.1)'!AG$26:AG$75,'Операционные (5.1)'!$F$26:$F$75,$F79,'Операционные (5.1)'!$G$26:$G$75,$G79)</f>
        <v>3670</v>
      </c>
      <c r="AH79" s="765"/>
      <c r="AI79" s="765"/>
      <c r="AJ79" s="765"/>
      <c r="AK79" s="765"/>
      <c r="AL79" s="765"/>
      <c r="AM79" s="765"/>
      <c r="AN79" s="765"/>
      <c r="AO79" s="765"/>
      <c r="AP79" s="765"/>
      <c r="AQ79" s="765"/>
      <c r="AR79" s="765"/>
      <c r="AS79" s="765"/>
      <c r="AT79" s="765"/>
      <c r="AU79" s="765"/>
      <c r="AV79" s="765"/>
      <c r="AW79" s="969"/>
      <c r="AX79" s="969"/>
      <c r="AY79" s="969"/>
      <c r="AZ79" s="489" t="s">
        <v>1726</v>
      </c>
      <c r="BA79" s="1506"/>
      <c r="BB79" s="1506"/>
      <c r="BC79" s="1506"/>
      <c r="BD79" s="0" cm="1" t="str">
        <f t="array" ref="BD79:BD79">BD78</f>
        <v>ТЭ.42.31656254.0001</v>
      </c>
      <c r="BE79" s="0" t="s">
        <v>1727</v>
      </c>
      <c r="BF79" s="1751"/>
      <c r="BG79" s="1751"/>
      <c r="BH79" s="1751"/>
      <c r="BI79" s="1751"/>
      <c r="BJ79" s="1751"/>
      <c r="BK79" s="1751"/>
      <c r="BL79" s="1751"/>
      <c r="BM79" s="1751"/>
      <c r="BN79" s="1751"/>
      <c r="BO79" s="0" t="s">
        <v>303</v>
      </c>
      <c r="BP79" s="0" t="s">
        <v>1552</v>
      </c>
      <c r="BQ79" s="0" t="s">
        <v>1553</v>
      </c>
      <c r="BR79" s="1751"/>
    </row>
    <row s="1751" customFormat="1" customHeight="1" ht="39.75">
      <c r="A80" s="371"/>
      <c r="B80" s="1548"/>
      <c r="C80" s="1548"/>
      <c r="D80" s="1548"/>
      <c r="E80" s="180">
        <v>41</v>
      </c>
      <c r="F80" s="175" cm="1" t="str">
        <f t="array" ref="F80:F80">F79</f>
        <v>1</v>
      </c>
      <c r="G80" s="1659"/>
      <c r="H80" s="1659"/>
      <c r="I80" s="1659"/>
      <c r="J80" s="1659"/>
      <c r="K80" s="1659"/>
      <c r="L80" s="1659"/>
      <c r="M80" s="1659"/>
      <c r="N80" s="1659"/>
      <c r="O80" s="1659"/>
      <c r="P80" s="1659"/>
      <c r="Q80" s="1659"/>
      <c r="R80" s="1659"/>
      <c r="S80" s="1659"/>
      <c r="T80" s="753" cm="1" t="str">
        <f t="array" ref="T80:T80">T79</f>
        <v>true</v>
      </c>
      <c r="U80" s="1548"/>
      <c r="V80" s="1548"/>
      <c r="W80" s="1548"/>
      <c r="X80" s="1548"/>
      <c r="Y80" s="1548"/>
      <c r="Z80" s="1548"/>
      <c r="AA80" s="183"/>
      <c r="AB80" s="327" t="s">
        <v>1344</v>
      </c>
      <c r="AC80" s="355" t="s">
        <v>1728</v>
      </c>
      <c r="AD80" s="781" t="s">
        <v>1729</v>
      </c>
      <c r="AE80" s="774" t="s">
        <v>1709</v>
      </c>
      <c r="AF80" s="438">
        <f>AF81+AF85</f>
        <v>6263.5</v>
      </c>
      <c r="AG80" s="438">
        <f>AG81+AG85</f>
        <v>4202.43814247972</v>
      </c>
      <c r="AH80" s="765"/>
      <c r="AI80" s="765"/>
      <c r="AJ80" s="765"/>
      <c r="AK80" s="765"/>
      <c r="AL80" s="765"/>
      <c r="AM80" s="765"/>
      <c r="AN80" s="765"/>
      <c r="AO80" s="765"/>
      <c r="AP80" s="765"/>
      <c r="AQ80" s="765"/>
      <c r="AR80" s="765"/>
      <c r="AS80" s="765"/>
      <c r="AT80" s="765"/>
      <c r="AU80" s="765"/>
      <c r="AV80" s="765"/>
      <c r="AW80" s="969"/>
      <c r="AX80" s="969"/>
      <c r="AY80" s="969"/>
      <c r="AZ80" s="489" t="s">
        <v>1730</v>
      </c>
      <c r="BA80" s="1506"/>
      <c r="BB80" s="1506"/>
      <c r="BC80" s="1506"/>
      <c r="BD80" s="0" cm="1" t="str">
        <f t="array" ref="BD80:BD80">BD79</f>
        <v>ТЭ.42.31656254.0001</v>
      </c>
      <c r="BE80" s="0" t="s">
        <v>1727</v>
      </c>
      <c r="BF80" s="0" t="s">
        <v>621</v>
      </c>
      <c r="BG80" s="0" t="s">
        <v>1731</v>
      </c>
      <c r="BH80" s="0" t="s">
        <v>1699</v>
      </c>
      <c r="BI80" s="1751"/>
      <c r="BJ80" s="1751"/>
      <c r="BK80" s="1751"/>
      <c r="BL80" s="1751"/>
      <c r="BM80" s="1751"/>
      <c r="BN80" s="1751"/>
      <c r="BO80" s="0" t="s">
        <v>303</v>
      </c>
      <c r="BP80" s="0" t="s">
        <v>1732</v>
      </c>
      <c r="BQ80" s="0" t="s">
        <v>1733</v>
      </c>
      <c r="BR80" s="1751"/>
    </row>
    <row s="1751" customFormat="1" customHeight="1" ht="55.5">
      <c r="A81" s="371"/>
      <c r="B81" s="1548"/>
      <c r="C81" s="1548"/>
      <c r="D81" s="1548"/>
      <c r="E81" s="180">
        <v>57</v>
      </c>
      <c r="F81" s="175" cm="1" t="str">
        <f t="array" ref="F81:F81">F80</f>
        <v>1</v>
      </c>
      <c r="G81" s="193" t="s">
        <v>1688</v>
      </c>
      <c r="H81" s="1659"/>
      <c r="I81" s="1659"/>
      <c r="J81" s="1659"/>
      <c r="K81" s="1659"/>
      <c r="L81" s="1659"/>
      <c r="M81" s="1659"/>
      <c r="N81" s="1659"/>
      <c r="O81" s="1659"/>
      <c r="P81" s="1659"/>
      <c r="Q81" s="1659"/>
      <c r="R81" s="1659"/>
      <c r="S81" s="1659"/>
      <c r="T81" s="753" cm="1" t="str">
        <f t="array" ref="T81:T81">T80</f>
        <v>true</v>
      </c>
      <c r="U81" s="1548"/>
      <c r="V81" s="1548"/>
      <c r="W81" s="1548"/>
      <c r="X81" s="1548"/>
      <c r="Y81" s="1548"/>
      <c r="Z81" s="1548"/>
      <c r="AA81" s="183"/>
      <c r="AB81" s="327" t="s">
        <v>1734</v>
      </c>
      <c r="AC81" s="350" t="s">
        <v>1735</v>
      </c>
      <c r="AD81" s="384" t="s">
        <v>1736</v>
      </c>
      <c r="AE81" s="775" t="s">
        <v>1709</v>
      </c>
      <c r="AF81" s="1898">
        <f>_xlfn.SUMIFS('Ресурсы (5.4)'!AF$26:AF$47,'Ресурсы (5.4)'!$F$26:$F$47,$F81,'Ресурсы (5.4)'!$G$26:$G$47,$G81)</f>
        <v>3971.15</v>
      </c>
      <c r="AG81" s="1898">
        <f>_xlfn.SUMIFS('Ресурсы (5.4)'!AG$26:AG$47,'Ресурсы (5.4)'!$F$26:$F$47,$F81,'Ресурсы (5.4)'!$G$26:$G$47,$G81)</f>
        <v>2853.98814247972</v>
      </c>
      <c r="AH81" s="765"/>
      <c r="AI81" s="765"/>
      <c r="AJ81" s="765"/>
      <c r="AK81" s="765"/>
      <c r="AL81" s="765"/>
      <c r="AM81" s="765"/>
      <c r="AN81" s="765"/>
      <c r="AO81" s="765"/>
      <c r="AP81" s="765"/>
      <c r="AQ81" s="765"/>
      <c r="AR81" s="765"/>
      <c r="AS81" s="765"/>
      <c r="AT81" s="765"/>
      <c r="AU81" s="765"/>
      <c r="AV81" s="765"/>
      <c r="AW81" s="969"/>
      <c r="AX81" s="969"/>
      <c r="AY81" s="969"/>
      <c r="AZ81" s="489" t="s">
        <v>1737</v>
      </c>
      <c r="BA81" s="1506"/>
      <c r="BB81" s="1506"/>
      <c r="BC81" s="1506"/>
      <c r="BD81" s="0" cm="1" t="str">
        <f t="array" ref="BD81:BD81">BD80</f>
        <v>ТЭ.42.31656254.0001</v>
      </c>
      <c r="BE81" s="0" t="s">
        <v>1727</v>
      </c>
      <c r="BF81" s="1751"/>
      <c r="BG81" s="1751"/>
      <c r="BH81" s="1751"/>
      <c r="BI81" s="0" t="s">
        <v>1738</v>
      </c>
      <c r="BJ81" s="1751"/>
      <c r="BK81" s="1751"/>
      <c r="BL81" s="1751"/>
      <c r="BM81" s="1751"/>
      <c r="BN81" s="1751"/>
      <c r="BO81" s="0" t="s">
        <v>303</v>
      </c>
      <c r="BP81" s="0" t="s">
        <v>1739</v>
      </c>
      <c r="BQ81" s="0" t="s">
        <v>1740</v>
      </c>
      <c r="BR81" s="1751"/>
    </row>
    <row s="1751" customFormat="1" customHeight="1" ht="24.75">
      <c r="A82" s="371"/>
      <c r="B82" s="1548"/>
      <c r="C82" s="1548"/>
      <c r="D82" s="1548"/>
      <c r="E82" s="180">
        <v>26</v>
      </c>
      <c r="F82" s="175" cm="1" t="str">
        <f t="array" ref="F82:F82">F81</f>
        <v>1</v>
      </c>
      <c r="G82" s="1659"/>
      <c r="H82" s="1659"/>
      <c r="I82" s="1659"/>
      <c r="J82" s="1659"/>
      <c r="K82" s="1659"/>
      <c r="L82" s="1659"/>
      <c r="M82" s="1659"/>
      <c r="N82" s="1659"/>
      <c r="O82" s="1659"/>
      <c r="P82" s="1659"/>
      <c r="Q82" s="1659"/>
      <c r="R82" s="1659"/>
      <c r="S82" s="1659"/>
      <c r="T82" s="753" cm="1" t="str">
        <f t="array" ref="T82:T82">T81</f>
        <v>true</v>
      </c>
      <c r="U82" s="1548"/>
      <c r="V82" s="1548"/>
      <c r="W82" s="1548"/>
      <c r="X82" s="1548"/>
      <c r="Y82" s="1548"/>
      <c r="Z82" s="1548"/>
      <c r="AA82" s="183"/>
      <c r="AB82" s="327" t="s">
        <v>1741</v>
      </c>
      <c r="AC82" s="782" t="s">
        <v>1742</v>
      </c>
      <c r="AD82" s="384" t="s">
        <v>1743</v>
      </c>
      <c r="AE82" s="775" t="s">
        <v>872</v>
      </c>
      <c r="AF82" s="1898"/>
      <c r="AG82" s="1898">
        <v>213.2</v>
      </c>
      <c r="AH82" s="765"/>
      <c r="AI82" s="765"/>
      <c r="AJ82" s="765"/>
      <c r="AK82" s="765"/>
      <c r="AL82" s="765"/>
      <c r="AM82" s="765"/>
      <c r="AN82" s="765"/>
      <c r="AO82" s="765"/>
      <c r="AP82" s="765"/>
      <c r="AQ82" s="765"/>
      <c r="AR82" s="765"/>
      <c r="AS82" s="765"/>
      <c r="AT82" s="765"/>
      <c r="AU82" s="765"/>
      <c r="AV82" s="765"/>
      <c r="AW82" s="969"/>
      <c r="AX82" s="969"/>
      <c r="AY82" s="969"/>
      <c r="AZ82" s="489" t="s">
        <v>1744</v>
      </c>
      <c r="BA82" s="1506"/>
      <c r="BB82" s="1506"/>
      <c r="BC82" s="1506"/>
      <c r="BD82" s="0" cm="1" t="str">
        <f t="array" ref="BD82:BD82">BD81</f>
        <v>ТЭ.42.31656254.0001</v>
      </c>
      <c r="BE82" s="1751"/>
      <c r="BF82" s="1751"/>
      <c r="BG82" s="1751"/>
      <c r="BH82" s="1751"/>
      <c r="BI82" s="1751"/>
      <c r="BJ82" s="0" t="s">
        <v>1745</v>
      </c>
      <c r="BK82" s="0" t="s">
        <v>1746</v>
      </c>
      <c r="BL82" s="1751"/>
      <c r="BM82" s="1751"/>
      <c r="BN82" s="1751"/>
      <c r="BO82" s="0" t="s">
        <v>303</v>
      </c>
      <c r="BP82" s="0" t="s">
        <v>1739</v>
      </c>
      <c r="BQ82" s="0" t="s">
        <v>1740</v>
      </c>
      <c r="BR82" s="1751"/>
    </row>
    <row s="1751" customFormat="1" customHeight="1" ht="39">
      <c r="A83" s="371"/>
      <c r="B83" s="1548"/>
      <c r="C83" s="1548"/>
      <c r="D83" s="1548"/>
      <c r="E83" s="180">
        <v>40</v>
      </c>
      <c r="F83" s="175" cm="1" t="str">
        <f t="array" ref="F83:F83">F82</f>
        <v>1</v>
      </c>
      <c r="G83" s="1659"/>
      <c r="H83" s="1659"/>
      <c r="I83" s="1659"/>
      <c r="J83" s="1659"/>
      <c r="K83" s="1659"/>
      <c r="L83" s="1659"/>
      <c r="M83" s="1659"/>
      <c r="N83" s="1659"/>
      <c r="O83" s="1659"/>
      <c r="P83" s="1659"/>
      <c r="Q83" s="1659"/>
      <c r="R83" s="1659"/>
      <c r="S83" s="1659"/>
      <c r="T83" s="753" cm="1" t="str">
        <f t="array" ref="T83:T83">T82</f>
        <v>true</v>
      </c>
      <c r="U83" s="1548"/>
      <c r="V83" s="1548"/>
      <c r="W83" s="1548"/>
      <c r="X83" s="1548"/>
      <c r="Y83" s="1548"/>
      <c r="Z83" s="1548"/>
      <c r="AA83" s="183"/>
      <c r="AB83" s="327" t="s">
        <v>1747</v>
      </c>
      <c r="AC83" s="782" t="s">
        <v>1748</v>
      </c>
      <c r="AD83" s="384" t="s">
        <v>1749</v>
      </c>
      <c r="AE83" s="775" t="s">
        <v>629</v>
      </c>
      <c r="AF83" s="1898"/>
      <c r="AG83" s="1898">
        <v>4637</v>
      </c>
      <c r="AH83" s="765"/>
      <c r="AI83" s="765"/>
      <c r="AJ83" s="765"/>
      <c r="AK83" s="765"/>
      <c r="AL83" s="765"/>
      <c r="AM83" s="765"/>
      <c r="AN83" s="765"/>
      <c r="AO83" s="765"/>
      <c r="AP83" s="765"/>
      <c r="AQ83" s="765"/>
      <c r="AR83" s="765"/>
      <c r="AS83" s="765"/>
      <c r="AT83" s="765"/>
      <c r="AU83" s="765"/>
      <c r="AV83" s="765"/>
      <c r="AW83" s="969"/>
      <c r="AX83" s="969"/>
      <c r="AY83" s="969"/>
      <c r="AZ83" s="489" t="s">
        <v>1750</v>
      </c>
      <c r="BA83" s="1506"/>
      <c r="BB83" s="1506"/>
      <c r="BC83" s="1506"/>
      <c r="BD83" s="0" cm="1" t="str">
        <f t="array" ref="BD83:BD83">BD82</f>
        <v>ТЭ.42.31656254.0001</v>
      </c>
      <c r="BE83" s="1751"/>
      <c r="BF83" s="0" t="s">
        <v>621</v>
      </c>
      <c r="BG83" s="1751"/>
      <c r="BH83" s="1751"/>
      <c r="BI83" s="1751"/>
      <c r="BJ83" s="1751"/>
      <c r="BK83" s="1751"/>
      <c r="BL83" s="0" t="s">
        <v>1751</v>
      </c>
      <c r="BM83" s="1751"/>
      <c r="BN83" s="1751"/>
      <c r="BO83" s="0" t="s">
        <v>303</v>
      </c>
      <c r="BP83" s="0" t="s">
        <v>1051</v>
      </c>
      <c r="BQ83" s="0" t="s">
        <v>1052</v>
      </c>
      <c r="BR83" s="1751"/>
    </row>
    <row s="1751" customFormat="1" customHeight="1" ht="23.25">
      <c r="A84" s="371"/>
      <c r="B84" s="1548"/>
      <c r="C84" s="1548"/>
      <c r="D84" s="1548"/>
      <c r="E84" s="180">
        <v>24</v>
      </c>
      <c r="F84" s="175" cm="1" t="str">
        <f t="array" ref="F84:F84">F83</f>
        <v>1</v>
      </c>
      <c r="G84" s="1659"/>
      <c r="H84" s="1659"/>
      <c r="I84" s="1659"/>
      <c r="J84" s="1659"/>
      <c r="K84" s="1659"/>
      <c r="L84" s="1659"/>
      <c r="M84" s="1659"/>
      <c r="N84" s="1659"/>
      <c r="O84" s="1659"/>
      <c r="P84" s="1659"/>
      <c r="Q84" s="1659"/>
      <c r="R84" s="1659"/>
      <c r="S84" s="1659"/>
      <c r="T84" s="753" cm="1" t="str">
        <f t="array" ref="T84:T84">T83</f>
        <v>true</v>
      </c>
      <c r="U84" s="1548"/>
      <c r="V84" s="1548"/>
      <c r="W84" s="1548"/>
      <c r="X84" s="1548"/>
      <c r="Y84" s="1548"/>
      <c r="Z84" s="1548"/>
      <c r="AA84" s="183"/>
      <c r="AB84" s="327" t="s">
        <v>1752</v>
      </c>
      <c r="AC84" s="782" t="s">
        <v>1753</v>
      </c>
      <c r="AD84" s="384" t="s">
        <v>1898</v>
      </c>
      <c r="AE84" s="775" t="s">
        <v>1755</v>
      </c>
      <c r="AF84" s="1898"/>
      <c r="AG84" s="1898">
        <v>2886.87</v>
      </c>
      <c r="AH84" s="765"/>
      <c r="AI84" s="765"/>
      <c r="AJ84" s="765"/>
      <c r="AK84" s="765"/>
      <c r="AL84" s="765"/>
      <c r="AM84" s="765"/>
      <c r="AN84" s="765"/>
      <c r="AO84" s="765"/>
      <c r="AP84" s="765"/>
      <c r="AQ84" s="765"/>
      <c r="AR84" s="765"/>
      <c r="AS84" s="765"/>
      <c r="AT84" s="765"/>
      <c r="AU84" s="765"/>
      <c r="AV84" s="765"/>
      <c r="AW84" s="969"/>
      <c r="AX84" s="969"/>
      <c r="AY84" s="969"/>
      <c r="AZ84" s="489" t="s">
        <v>1756</v>
      </c>
      <c r="BA84" s="1506"/>
      <c r="BB84" s="1506"/>
      <c r="BC84" s="1506"/>
      <c r="BD84" s="0" cm="1" t="str">
        <f t="array" ref="BD84:BD84">BD83</f>
        <v>ТЭ.42.31656254.0001</v>
      </c>
      <c r="BE84" s="1751"/>
      <c r="BF84" s="1751"/>
      <c r="BG84" s="1751"/>
      <c r="BH84" s="1751"/>
      <c r="BI84" s="1751"/>
      <c r="BJ84" s="1751"/>
      <c r="BK84" s="1751"/>
      <c r="BL84" s="1751"/>
      <c r="BM84" s="1751"/>
      <c r="BN84" s="1751"/>
      <c r="BO84" s="0" t="s">
        <v>303</v>
      </c>
      <c r="BP84" s="0" t="s">
        <v>914</v>
      </c>
      <c r="BQ84" s="0" t="s">
        <v>915</v>
      </c>
      <c r="BR84" s="1751"/>
    </row>
    <row s="1751" customFormat="1" customHeight="1" ht="56.25">
      <c r="A85" s="371"/>
      <c r="B85" s="1548"/>
      <c r="C85" s="1548"/>
      <c r="D85" s="1548"/>
      <c r="E85" s="180">
        <v>58</v>
      </c>
      <c r="F85" s="175" cm="1" t="str">
        <f t="array" ref="F85:F85">F84</f>
        <v>1</v>
      </c>
      <c r="G85" s="1659"/>
      <c r="H85" s="1659"/>
      <c r="I85" s="1659"/>
      <c r="J85" s="1659"/>
      <c r="K85" s="1659"/>
      <c r="L85" s="1659"/>
      <c r="M85" s="1659"/>
      <c r="N85" s="1659"/>
      <c r="O85" s="1659"/>
      <c r="P85" s="1659"/>
      <c r="Q85" s="1659"/>
      <c r="R85" s="1659"/>
      <c r="S85" s="1659"/>
      <c r="T85" s="753" cm="1" t="str">
        <f t="array" ref="T85:T85">T84</f>
        <v>true</v>
      </c>
      <c r="U85" s="1548"/>
      <c r="V85" s="1548"/>
      <c r="W85" s="1548"/>
      <c r="X85" s="1548"/>
      <c r="Y85" s="1548"/>
      <c r="Z85" s="1548"/>
      <c r="AA85" s="183"/>
      <c r="AB85" s="327" t="s">
        <v>1757</v>
      </c>
      <c r="AC85" s="355" t="s">
        <v>1758</v>
      </c>
      <c r="AD85" s="384" t="s">
        <v>1759</v>
      </c>
      <c r="AE85" s="775" t="s">
        <v>1709</v>
      </c>
      <c r="AF85" s="438">
        <f>AF86+AF91+AF96+AF101</f>
        <v>2292.35</v>
      </c>
      <c r="AG85" s="438">
        <f>AG86+AG91+AG96+AG101</f>
        <v>1348.45</v>
      </c>
      <c r="AH85" s="765"/>
      <c r="AI85" s="765"/>
      <c r="AJ85" s="765"/>
      <c r="AK85" s="765"/>
      <c r="AL85" s="765"/>
      <c r="AM85" s="765"/>
      <c r="AN85" s="765"/>
      <c r="AO85" s="765"/>
      <c r="AP85" s="765"/>
      <c r="AQ85" s="765"/>
      <c r="AR85" s="765"/>
      <c r="AS85" s="765"/>
      <c r="AT85" s="765"/>
      <c r="AU85" s="765"/>
      <c r="AV85" s="765"/>
      <c r="AW85" s="969"/>
      <c r="AX85" s="969"/>
      <c r="AY85" s="969"/>
      <c r="AZ85" s="489" t="s">
        <v>1760</v>
      </c>
      <c r="BA85" s="1506"/>
      <c r="BB85" s="1506"/>
      <c r="BC85" s="1506"/>
      <c r="BD85" s="0" cm="1" t="str">
        <f t="array" ref="BD85:BD85">BD84</f>
        <v>ТЭ.42.31656254.0001</v>
      </c>
      <c r="BE85" s="0" t="s">
        <v>1727</v>
      </c>
      <c r="BF85" s="1751"/>
      <c r="BG85" s="1751"/>
      <c r="BH85" s="1751"/>
      <c r="BI85" s="1751"/>
      <c r="BJ85" s="1751"/>
      <c r="BK85" s="1751"/>
      <c r="BL85" s="1751"/>
      <c r="BM85" s="1751"/>
      <c r="BN85" s="1751"/>
      <c r="BO85" s="0" t="s">
        <v>303</v>
      </c>
      <c r="BP85" s="0" t="s">
        <v>1732</v>
      </c>
      <c r="BQ85" s="0" t="s">
        <v>1733</v>
      </c>
      <c r="BR85" s="1751"/>
    </row>
    <row s="1751" customFormat="1" customHeight="1" ht="19.5">
      <c r="A86" s="371"/>
      <c r="B86" s="1548"/>
      <c r="C86" s="1548"/>
      <c r="D86" s="1548"/>
      <c r="E86" s="180">
        <v>20</v>
      </c>
      <c r="F86" s="175" cm="1" t="str">
        <f t="array" ref="F86:F86">F85</f>
        <v>1</v>
      </c>
      <c r="G86" s="193" t="s">
        <v>1039</v>
      </c>
      <c r="H86" s="1659"/>
      <c r="I86" s="1659"/>
      <c r="J86" s="1659"/>
      <c r="K86" s="1659"/>
      <c r="L86" s="1659"/>
      <c r="M86" s="1659"/>
      <c r="N86" s="1659"/>
      <c r="O86" s="1659"/>
      <c r="P86" s="1659"/>
      <c r="Q86" s="1659"/>
      <c r="R86" s="1659"/>
      <c r="S86" s="1659"/>
      <c r="T86" s="753" cm="1" t="str">
        <f t="array" ref="T86:T86">T85</f>
        <v>true</v>
      </c>
      <c r="U86" s="1548"/>
      <c r="V86" s="1548"/>
      <c r="W86" s="1548"/>
      <c r="X86" s="1548"/>
      <c r="Y86" s="1548"/>
      <c r="Z86" s="1548"/>
      <c r="AA86" s="183"/>
      <c r="AB86" s="327" t="s">
        <v>1761</v>
      </c>
      <c r="AC86" s="350" t="s">
        <v>1762</v>
      </c>
      <c r="AD86" s="781"/>
      <c r="AE86" s="775" t="s">
        <v>1709</v>
      </c>
      <c r="AF86" s="1898">
        <f>_xlfn.SUMIFS('Ресурсы (5.4)'!AF$26:AF$47,'Ресурсы (5.4)'!$F$26:$F$47,$F86,'Ресурсы (5.4)'!$G$26:$G$47,$G86)</f>
        <v>2292.35</v>
      </c>
      <c r="AG86" s="1898">
        <f>_xlfn.SUMIFS('Ресурсы (5.4)'!AG$26:AG$47,'Ресурсы (5.4)'!$F$26:$F$47,$F86,'Ресурсы (5.4)'!$G$26:$G$47,$G86)</f>
        <v>1348.45</v>
      </c>
      <c r="AH86" s="765"/>
      <c r="AI86" s="765"/>
      <c r="AJ86" s="765"/>
      <c r="AK86" s="765"/>
      <c r="AL86" s="765"/>
      <c r="AM86" s="765"/>
      <c r="AN86" s="765"/>
      <c r="AO86" s="765"/>
      <c r="AP86" s="765"/>
      <c r="AQ86" s="765"/>
      <c r="AR86" s="765"/>
      <c r="AS86" s="765"/>
      <c r="AT86" s="765"/>
      <c r="AU86" s="765"/>
      <c r="AV86" s="765"/>
      <c r="AW86" s="969"/>
      <c r="AX86" s="969"/>
      <c r="AY86" s="969"/>
      <c r="AZ86" s="489" t="s">
        <v>1763</v>
      </c>
      <c r="BA86" s="1506"/>
      <c r="BB86" s="1506"/>
      <c r="BC86" s="1506"/>
      <c r="BD86" s="0" cm="1" t="str">
        <f t="array" ref="BD86:BD86">BD85</f>
        <v>ТЭ.42.31656254.0001</v>
      </c>
      <c r="BE86" s="1751"/>
      <c r="BF86" s="1751"/>
      <c r="BG86" s="1751"/>
      <c r="BH86" s="1751"/>
      <c r="BI86" s="1751"/>
      <c r="BJ86" s="1751"/>
      <c r="BK86" s="1751"/>
      <c r="BL86" s="1751"/>
      <c r="BM86" s="0" t="s">
        <v>1043</v>
      </c>
      <c r="BN86" s="1751"/>
      <c r="BO86" s="0" t="s">
        <v>303</v>
      </c>
      <c r="BP86" s="0" t="s">
        <v>813</v>
      </c>
      <c r="BQ86" s="0" t="s">
        <v>814</v>
      </c>
      <c r="BR86" s="1751"/>
    </row>
    <row s="1751" customFormat="1" customHeight="1" ht="27">
      <c r="A87" s="371"/>
      <c r="B87" s="1548"/>
      <c r="C87" s="1548"/>
      <c r="D87" s="1548"/>
      <c r="E87" s="180">
        <v>28</v>
      </c>
      <c r="F87" s="175" cm="1" t="str">
        <f t="array" ref="F87:F87">F86</f>
        <v>1</v>
      </c>
      <c r="G87" s="1659"/>
      <c r="H87" s="1659"/>
      <c r="I87" s="1659"/>
      <c r="J87" s="1659"/>
      <c r="K87" s="1659"/>
      <c r="L87" s="1659"/>
      <c r="M87" s="1659"/>
      <c r="N87" s="1659"/>
      <c r="O87" s="1659"/>
      <c r="P87" s="1659"/>
      <c r="Q87" s="1659"/>
      <c r="R87" s="1659"/>
      <c r="S87" s="1659"/>
      <c r="T87" s="753" cm="1" t="str">
        <f t="array" ref="T87:T87">T86</f>
        <v>true</v>
      </c>
      <c r="U87" s="1548"/>
      <c r="V87" s="1548"/>
      <c r="W87" s="1548"/>
      <c r="X87" s="1548"/>
      <c r="Y87" s="1548"/>
      <c r="Z87" s="1548"/>
      <c r="AA87" s="183"/>
      <c r="AB87" s="327" t="s">
        <v>1764</v>
      </c>
      <c r="AC87" s="782" t="s">
        <v>1765</v>
      </c>
      <c r="AD87" s="384" t="s">
        <v>1899</v>
      </c>
      <c r="AE87" s="385" t="s">
        <v>1767</v>
      </c>
      <c r="AF87" s="1898"/>
      <c r="AG87" s="1898">
        <v>181.96</v>
      </c>
      <c r="AH87" s="765"/>
      <c r="AI87" s="765"/>
      <c r="AJ87" s="765"/>
      <c r="AK87" s="765"/>
      <c r="AL87" s="765"/>
      <c r="AM87" s="765"/>
      <c r="AN87" s="765"/>
      <c r="AO87" s="765"/>
      <c r="AP87" s="765"/>
      <c r="AQ87" s="765"/>
      <c r="AR87" s="765"/>
      <c r="AS87" s="765"/>
      <c r="AT87" s="765"/>
      <c r="AU87" s="765"/>
      <c r="AV87" s="765"/>
      <c r="AW87" s="969"/>
      <c r="AX87" s="969"/>
      <c r="AY87" s="969"/>
      <c r="AZ87" s="489" t="s">
        <v>1069</v>
      </c>
      <c r="BA87" s="1506"/>
      <c r="BB87" s="1506"/>
      <c r="BC87" s="1506"/>
      <c r="BD87" s="0" cm="1" t="str">
        <f t="array" ref="BD87:BD87">BD86</f>
        <v>ТЭ.42.31656254.0001</v>
      </c>
      <c r="BE87" s="0" t="s">
        <v>1727</v>
      </c>
      <c r="BF87" s="1751"/>
      <c r="BG87" s="1751"/>
      <c r="BH87" s="1751"/>
      <c r="BI87" s="1751"/>
      <c r="BJ87" s="1751"/>
      <c r="BK87" s="1751"/>
      <c r="BL87" s="1751"/>
      <c r="BM87" s="0" t="s">
        <v>1043</v>
      </c>
      <c r="BN87" s="1751"/>
      <c r="BO87" s="0" t="s">
        <v>303</v>
      </c>
      <c r="BP87" s="0" t="s">
        <v>809</v>
      </c>
      <c r="BQ87" s="0" t="s">
        <v>810</v>
      </c>
      <c r="BR87" s="1751"/>
    </row>
    <row s="1751" customFormat="1" customHeight="1" ht="26.25">
      <c r="A88" s="371"/>
      <c r="B88" s="1548"/>
      <c r="C88" s="1548"/>
      <c r="D88" s="1548"/>
      <c r="E88" s="180">
        <v>27</v>
      </c>
      <c r="F88" s="175" cm="1" t="str">
        <f t="array" ref="F88:F88">F87</f>
        <v>1</v>
      </c>
      <c r="G88" s="1659"/>
      <c r="H88" s="1659"/>
      <c r="I88" s="1659"/>
      <c r="J88" s="1659"/>
      <c r="K88" s="1659"/>
      <c r="L88" s="1659"/>
      <c r="M88" s="1659"/>
      <c r="N88" s="1659"/>
      <c r="O88" s="1659"/>
      <c r="P88" s="1659"/>
      <c r="Q88" s="1659"/>
      <c r="R88" s="1659"/>
      <c r="S88" s="1659"/>
      <c r="T88" s="753" cm="1" t="str">
        <f t="array" ref="T88:T88">T87</f>
        <v>true</v>
      </c>
      <c r="U88" s="1548"/>
      <c r="V88" s="1548"/>
      <c r="W88" s="1548"/>
      <c r="X88" s="1548"/>
      <c r="Y88" s="1548"/>
      <c r="Z88" s="1548"/>
      <c r="AA88" s="183"/>
      <c r="AB88" s="327" t="s">
        <v>1768</v>
      </c>
      <c r="AC88" s="782" t="s">
        <v>1769</v>
      </c>
      <c r="AD88" s="384" t="s">
        <v>1900</v>
      </c>
      <c r="AE88" s="775" t="s">
        <v>629</v>
      </c>
      <c r="AF88" s="1898"/>
      <c r="AG88" s="1898">
        <v>4637</v>
      </c>
      <c r="AH88" s="765"/>
      <c r="AI88" s="765"/>
      <c r="AJ88" s="765"/>
      <c r="AK88" s="765"/>
      <c r="AL88" s="765"/>
      <c r="AM88" s="765"/>
      <c r="AN88" s="765"/>
      <c r="AO88" s="765"/>
      <c r="AP88" s="765"/>
      <c r="AQ88" s="765"/>
      <c r="AR88" s="765"/>
      <c r="AS88" s="765"/>
      <c r="AT88" s="765"/>
      <c r="AU88" s="765"/>
      <c r="AV88" s="765"/>
      <c r="AW88" s="969"/>
      <c r="AX88" s="969"/>
      <c r="AY88" s="969"/>
      <c r="AZ88" s="489" t="s">
        <v>1771</v>
      </c>
      <c r="BA88" s="1506"/>
      <c r="BB88" s="1506"/>
      <c r="BC88" s="1506"/>
      <c r="BD88" s="0" cm="1" t="str">
        <f t="array" ref="BD88:BD88">BD87</f>
        <v>ТЭ.42.31656254.0001</v>
      </c>
      <c r="BE88" s="0" t="s">
        <v>1727</v>
      </c>
      <c r="BF88" s="0" t="s">
        <v>621</v>
      </c>
      <c r="BG88" s="1751"/>
      <c r="BH88" s="1751"/>
      <c r="BI88" s="1751"/>
      <c r="BJ88" s="1751"/>
      <c r="BK88" s="1751"/>
      <c r="BL88" s="1751"/>
      <c r="BM88" s="0" t="s">
        <v>1043</v>
      </c>
      <c r="BN88" s="1751"/>
      <c r="BO88" s="0" t="s">
        <v>303</v>
      </c>
      <c r="BP88" s="0" t="s">
        <v>1772</v>
      </c>
      <c r="BQ88" s="0" t="s">
        <v>1773</v>
      </c>
      <c r="BR88" s="1751"/>
    </row>
    <row s="1751" customFormat="1" customHeight="1" ht="27.75">
      <c r="A89" s="371"/>
      <c r="B89" s="1548"/>
      <c r="C89" s="1548"/>
      <c r="D89" s="1548"/>
      <c r="E89" s="180">
        <v>29</v>
      </c>
      <c r="F89" s="175" cm="1" t="str">
        <f t="array" ref="F89:F89">F88</f>
        <v>1</v>
      </c>
      <c r="G89" s="1659"/>
      <c r="H89" s="1659"/>
      <c r="I89" s="1659"/>
      <c r="J89" s="1659"/>
      <c r="K89" s="1659"/>
      <c r="L89" s="1659"/>
      <c r="M89" s="1659"/>
      <c r="N89" s="1659"/>
      <c r="O89" s="1659"/>
      <c r="P89" s="1659"/>
      <c r="Q89" s="1659"/>
      <c r="R89" s="1659"/>
      <c r="S89" s="1659"/>
      <c r="T89" s="753" cm="1" t="str">
        <f t="array" ref="T89:T89">T88</f>
        <v>true</v>
      </c>
      <c r="U89" s="1548"/>
      <c r="V89" s="1548"/>
      <c r="W89" s="1548"/>
      <c r="X89" s="1548"/>
      <c r="Y89" s="1548"/>
      <c r="Z89" s="1548"/>
      <c r="AA89" s="183"/>
      <c r="AB89" s="327" t="s">
        <v>1774</v>
      </c>
      <c r="AC89" s="782" t="s">
        <v>1775</v>
      </c>
      <c r="AD89" s="384" t="s">
        <v>1901</v>
      </c>
      <c r="AE89" s="775" t="s">
        <v>629</v>
      </c>
      <c r="AF89" s="1898"/>
      <c r="AG89" s="1898">
        <v>4383</v>
      </c>
      <c r="AH89" s="765"/>
      <c r="AI89" s="765"/>
      <c r="AJ89" s="765"/>
      <c r="AK89" s="765"/>
      <c r="AL89" s="765"/>
      <c r="AM89" s="765"/>
      <c r="AN89" s="765"/>
      <c r="AO89" s="765"/>
      <c r="AP89" s="765"/>
      <c r="AQ89" s="765"/>
      <c r="AR89" s="765"/>
      <c r="AS89" s="765"/>
      <c r="AT89" s="765"/>
      <c r="AU89" s="765"/>
      <c r="AV89" s="765"/>
      <c r="AW89" s="969"/>
      <c r="AX89" s="969"/>
      <c r="AY89" s="969"/>
      <c r="AZ89" s="489" t="s">
        <v>1777</v>
      </c>
      <c r="BA89" s="1506"/>
      <c r="BB89" s="1506"/>
      <c r="BC89" s="1506"/>
      <c r="BD89" s="0" cm="1" t="str">
        <f t="array" ref="BD89:BD89">BD88</f>
        <v>ТЭ.42.31656254.0001</v>
      </c>
      <c r="BE89" s="0" t="s">
        <v>1727</v>
      </c>
      <c r="BF89" s="1751"/>
      <c r="BG89" s="1751"/>
      <c r="BH89" s="1751"/>
      <c r="BI89" s="1751"/>
      <c r="BJ89" s="1751"/>
      <c r="BK89" s="1751"/>
      <c r="BL89" s="1751"/>
      <c r="BM89" s="0" t="s">
        <v>1043</v>
      </c>
      <c r="BN89" s="1751"/>
      <c r="BO89" s="0" t="s">
        <v>303</v>
      </c>
      <c r="BP89" s="0" t="s">
        <v>1772</v>
      </c>
      <c r="BQ89" s="0" t="s">
        <v>1773</v>
      </c>
      <c r="BR89" s="1751"/>
    </row>
    <row s="1751" customFormat="1" customHeight="1" ht="33">
      <c r="A90" s="371"/>
      <c r="B90" s="1548"/>
      <c r="C90" s="1548"/>
      <c r="D90" s="1548"/>
      <c r="E90" s="180">
        <v>34</v>
      </c>
      <c r="F90" s="175" cm="1" t="str">
        <f t="array" ref="F90:F90">F89</f>
        <v>1</v>
      </c>
      <c r="G90" s="1659"/>
      <c r="H90" s="1659"/>
      <c r="I90" s="1659"/>
      <c r="J90" s="1659"/>
      <c r="K90" s="1659"/>
      <c r="L90" s="1659"/>
      <c r="M90" s="1659"/>
      <c r="N90" s="1659"/>
      <c r="O90" s="1659"/>
      <c r="P90" s="1659"/>
      <c r="Q90" s="1659"/>
      <c r="R90" s="1659"/>
      <c r="S90" s="1659"/>
      <c r="T90" s="753" cm="1" t="str">
        <f t="array" ref="T90:T90">T89</f>
        <v>true</v>
      </c>
      <c r="U90" s="1548"/>
      <c r="V90" s="1548"/>
      <c r="W90" s="1548"/>
      <c r="X90" s="1548"/>
      <c r="Y90" s="1548"/>
      <c r="Z90" s="1548"/>
      <c r="AA90" s="183"/>
      <c r="AB90" s="327" t="s">
        <v>1778</v>
      </c>
      <c r="AC90" s="782" t="s">
        <v>1779</v>
      </c>
      <c r="AD90" s="384" t="s">
        <v>1902</v>
      </c>
      <c r="AE90" s="775" t="s">
        <v>1054</v>
      </c>
      <c r="AF90" s="1898"/>
      <c r="AG90" s="1898">
        <v>7.004669638836</v>
      </c>
      <c r="AH90" s="765"/>
      <c r="AI90" s="765"/>
      <c r="AJ90" s="765"/>
      <c r="AK90" s="765"/>
      <c r="AL90" s="765"/>
      <c r="AM90" s="765"/>
      <c r="AN90" s="765"/>
      <c r="AO90" s="765"/>
      <c r="AP90" s="765"/>
      <c r="AQ90" s="765"/>
      <c r="AR90" s="765"/>
      <c r="AS90" s="765"/>
      <c r="AT90" s="765"/>
      <c r="AU90" s="765"/>
      <c r="AV90" s="765"/>
      <c r="AW90" s="969"/>
      <c r="AX90" s="969"/>
      <c r="AY90" s="969"/>
      <c r="AZ90" s="489" t="s">
        <v>1781</v>
      </c>
      <c r="BA90" s="1506"/>
      <c r="BB90" s="1506"/>
      <c r="BC90" s="1506"/>
      <c r="BD90" s="0" cm="1" t="str">
        <f t="array" ref="BD90:BD90">BD89</f>
        <v>ТЭ.42.31656254.0001</v>
      </c>
      <c r="BE90" s="0" t="s">
        <v>1727</v>
      </c>
      <c r="BF90" s="0" t="s">
        <v>621</v>
      </c>
      <c r="BG90" s="1751"/>
      <c r="BH90" s="1751"/>
      <c r="BI90" s="1751"/>
      <c r="BJ90" s="1751"/>
      <c r="BK90" s="1751"/>
      <c r="BL90" s="1751"/>
      <c r="BM90" s="0" t="s">
        <v>1043</v>
      </c>
      <c r="BN90" s="1751"/>
      <c r="BO90" s="0" t="s">
        <v>303</v>
      </c>
      <c r="BP90" s="0" t="s">
        <v>1782</v>
      </c>
      <c r="BQ90" s="0" t="s">
        <v>1783</v>
      </c>
      <c r="BR90" s="1751"/>
    </row>
    <row s="1751" customFormat="1" customHeight="1" ht="16.5">
      <c r="A91" s="371"/>
      <c r="B91" s="1548"/>
      <c r="C91" s="1548"/>
      <c r="D91" s="1548"/>
      <c r="E91" s="180">
        <v>17</v>
      </c>
      <c r="F91" s="175" cm="1" t="str">
        <f t="array" ref="F91:F91">F90</f>
        <v>1</v>
      </c>
      <c r="G91" s="193" t="s">
        <v>1136</v>
      </c>
      <c r="H91" s="1659"/>
      <c r="I91" s="1659"/>
      <c r="J91" s="1659"/>
      <c r="K91" s="1659"/>
      <c r="L91" s="1659"/>
      <c r="M91" s="1659"/>
      <c r="N91" s="1659"/>
      <c r="O91" s="1659"/>
      <c r="P91" s="1659"/>
      <c r="Q91" s="1659"/>
      <c r="R91" s="1659"/>
      <c r="S91" s="1659"/>
      <c r="T91" s="753" cm="1" t="str">
        <f t="array" ref="T91:T91">T90</f>
        <v>true</v>
      </c>
      <c r="U91" s="1548"/>
      <c r="V91" s="1548"/>
      <c r="W91" s="1548"/>
      <c r="X91" s="1548"/>
      <c r="Y91" s="1548"/>
      <c r="Z91" s="1548"/>
      <c r="AA91" s="183"/>
      <c r="AB91" s="327" t="s">
        <v>1784</v>
      </c>
      <c r="AC91" s="350" t="s">
        <v>1785</v>
      </c>
      <c r="AD91" s="781"/>
      <c r="AE91" s="775" t="s">
        <v>1709</v>
      </c>
      <c r="AF91" s="1898">
        <f>_xlfn.SUMIFS('Ресурсы (5.4)'!AF$26:AF$47,'Ресурсы (5.4)'!$F$26:$F$47,$F91,'Ресурсы (5.4)'!$G$26:$G$47,$G91)</f>
        <v>0</v>
      </c>
      <c r="AG91" s="1898">
        <f>_xlfn.SUMIFS('Ресурсы (5.4)'!AG$26:AG$47,'Ресурсы (5.4)'!$F$26:$F$47,$F91,'Ресурсы (5.4)'!$G$26:$G$47,$G91)</f>
        <v>0</v>
      </c>
      <c r="AH91" s="765"/>
      <c r="AI91" s="765"/>
      <c r="AJ91" s="765"/>
      <c r="AK91" s="765"/>
      <c r="AL91" s="765"/>
      <c r="AM91" s="765"/>
      <c r="AN91" s="765"/>
      <c r="AO91" s="765"/>
      <c r="AP91" s="765"/>
      <c r="AQ91" s="765"/>
      <c r="AR91" s="765"/>
      <c r="AS91" s="765"/>
      <c r="AT91" s="765"/>
      <c r="AU91" s="765"/>
      <c r="AV91" s="765"/>
      <c r="AW91" s="969"/>
      <c r="AX91" s="969"/>
      <c r="AY91" s="969"/>
      <c r="AZ91" s="489" t="s">
        <v>1786</v>
      </c>
      <c r="BA91" s="1506"/>
      <c r="BB91" s="1506"/>
      <c r="BC91" s="1506"/>
      <c r="BD91" s="0" cm="1" t="str">
        <f t="array" ref="BD91:BD91">BD90</f>
        <v>ТЭ.42.31656254.0001</v>
      </c>
      <c r="BE91" s="1751"/>
      <c r="BF91" s="1751"/>
      <c r="BG91" s="1751"/>
      <c r="BH91" s="1751"/>
      <c r="BI91" s="1751"/>
      <c r="BJ91" s="1751"/>
      <c r="BK91" s="1751"/>
      <c r="BL91" s="1751"/>
      <c r="BM91" s="0" t="s">
        <v>1139</v>
      </c>
      <c r="BN91" s="1751"/>
      <c r="BO91" s="0" t="s">
        <v>303</v>
      </c>
      <c r="BP91" s="0" t="s">
        <v>1044</v>
      </c>
      <c r="BQ91" s="0" t="s">
        <v>1045</v>
      </c>
      <c r="BR91" s="1751"/>
    </row>
    <row s="1751" customFormat="1" customHeight="1" ht="30">
      <c r="A92" s="371"/>
      <c r="B92" s="1548"/>
      <c r="C92" s="1548"/>
      <c r="D92" s="1548"/>
      <c r="E92" s="180">
        <v>31</v>
      </c>
      <c r="F92" s="175" cm="1" t="str">
        <f t="array" ref="F92:F92">F91</f>
        <v>1</v>
      </c>
      <c r="G92" s="1659"/>
      <c r="H92" s="1659"/>
      <c r="I92" s="1659"/>
      <c r="J92" s="1659"/>
      <c r="K92" s="1659"/>
      <c r="L92" s="1659"/>
      <c r="M92" s="1659"/>
      <c r="N92" s="1659"/>
      <c r="O92" s="1659"/>
      <c r="P92" s="1659"/>
      <c r="Q92" s="1659"/>
      <c r="R92" s="1659"/>
      <c r="S92" s="1659"/>
      <c r="T92" s="753" cm="1" t="str">
        <f t="array" ref="T92:T92">T91</f>
        <v>true</v>
      </c>
      <c r="U92" s="1548"/>
      <c r="V92" s="1548"/>
      <c r="W92" s="1548"/>
      <c r="X92" s="1548"/>
      <c r="Y92" s="1548"/>
      <c r="Z92" s="1548"/>
      <c r="AA92" s="183"/>
      <c r="AB92" s="327" t="s">
        <v>1787</v>
      </c>
      <c r="AC92" s="782" t="s">
        <v>1788</v>
      </c>
      <c r="AD92" s="384" t="s">
        <v>1903</v>
      </c>
      <c r="AE92" s="775" t="s">
        <v>1790</v>
      </c>
      <c r="AF92" s="1898"/>
      <c r="AG92" s="1898"/>
      <c r="AH92" s="765"/>
      <c r="AI92" s="765"/>
      <c r="AJ92" s="765"/>
      <c r="AK92" s="765"/>
      <c r="AL92" s="765"/>
      <c r="AM92" s="765"/>
      <c r="AN92" s="765"/>
      <c r="AO92" s="765"/>
      <c r="AP92" s="765"/>
      <c r="AQ92" s="765"/>
      <c r="AR92" s="765"/>
      <c r="AS92" s="765"/>
      <c r="AT92" s="765"/>
      <c r="AU92" s="765"/>
      <c r="AV92" s="765"/>
      <c r="AW92" s="969"/>
      <c r="AX92" s="969"/>
      <c r="AY92" s="969"/>
      <c r="AZ92" s="489" t="s">
        <v>1150</v>
      </c>
      <c r="BA92" s="1506"/>
      <c r="BB92" s="1506"/>
      <c r="BC92" s="1506"/>
      <c r="BD92" s="0" cm="1" t="str">
        <f t="array" ref="BD92:BD92">BD91</f>
        <v>ТЭ.42.31656254.0001</v>
      </c>
      <c r="BE92" s="0" t="s">
        <v>1727</v>
      </c>
      <c r="BF92" s="1751"/>
      <c r="BG92" s="1751"/>
      <c r="BH92" s="1751"/>
      <c r="BI92" s="1751"/>
      <c r="BJ92" s="1751"/>
      <c r="BK92" s="1751"/>
      <c r="BL92" s="1751"/>
      <c r="BM92" s="0" t="s">
        <v>1139</v>
      </c>
      <c r="BN92" s="1751"/>
      <c r="BO92" s="0" t="s">
        <v>303</v>
      </c>
      <c r="BP92" s="0" t="s">
        <v>1791</v>
      </c>
      <c r="BQ92" s="0" t="s">
        <v>1792</v>
      </c>
      <c r="BR92" s="1751"/>
    </row>
    <row s="1751" customFormat="1" customHeight="1" ht="30">
      <c r="A93" s="371"/>
      <c r="B93" s="1548"/>
      <c r="C93" s="1548"/>
      <c r="D93" s="1548"/>
      <c r="E93" s="180">
        <v>31</v>
      </c>
      <c r="F93" s="175" cm="1" t="str">
        <f t="array" ref="F93:F93">F92</f>
        <v>1</v>
      </c>
      <c r="G93" s="1659"/>
      <c r="H93" s="1659"/>
      <c r="I93" s="1659"/>
      <c r="J93" s="1659"/>
      <c r="K93" s="1659"/>
      <c r="L93" s="1659"/>
      <c r="M93" s="1659"/>
      <c r="N93" s="1659"/>
      <c r="O93" s="1659"/>
      <c r="P93" s="1659"/>
      <c r="Q93" s="1659"/>
      <c r="R93" s="1659"/>
      <c r="S93" s="1659"/>
      <c r="T93" s="753" cm="1" t="str">
        <f t="array" ref="T93:T93">T92</f>
        <v>true</v>
      </c>
      <c r="U93" s="1548"/>
      <c r="V93" s="1548"/>
      <c r="W93" s="1548"/>
      <c r="X93" s="1548"/>
      <c r="Y93" s="1548"/>
      <c r="Z93" s="1548"/>
      <c r="AA93" s="183"/>
      <c r="AB93" s="327" t="s">
        <v>1793</v>
      </c>
      <c r="AC93" s="782" t="s">
        <v>1769</v>
      </c>
      <c r="AD93" s="384" t="s">
        <v>1900</v>
      </c>
      <c r="AE93" s="775" t="s">
        <v>629</v>
      </c>
      <c r="AF93" s="1898"/>
      <c r="AG93" s="1898"/>
      <c r="AH93" s="765"/>
      <c r="AI93" s="765"/>
      <c r="AJ93" s="765"/>
      <c r="AK93" s="765"/>
      <c r="AL93" s="765"/>
      <c r="AM93" s="765"/>
      <c r="AN93" s="765"/>
      <c r="AO93" s="765"/>
      <c r="AP93" s="765"/>
      <c r="AQ93" s="765"/>
      <c r="AR93" s="765"/>
      <c r="AS93" s="765"/>
      <c r="AT93" s="765"/>
      <c r="AU93" s="765"/>
      <c r="AV93" s="765"/>
      <c r="AW93" s="969"/>
      <c r="AX93" s="969"/>
      <c r="AY93" s="969"/>
      <c r="AZ93" s="489" t="s">
        <v>1794</v>
      </c>
      <c r="BA93" s="1506"/>
      <c r="BB93" s="1506"/>
      <c r="BC93" s="1506"/>
      <c r="BD93" s="0" cm="1" t="str">
        <f t="array" ref="BD93:BD93">BD92</f>
        <v>ТЭ.42.31656254.0001</v>
      </c>
      <c r="BE93" s="0" t="s">
        <v>1727</v>
      </c>
      <c r="BF93" s="0" t="s">
        <v>621</v>
      </c>
      <c r="BG93" s="1751"/>
      <c r="BH93" s="1751"/>
      <c r="BI93" s="1751"/>
      <c r="BJ93" s="1751"/>
      <c r="BK93" s="1751"/>
      <c r="BL93" s="1751"/>
      <c r="BM93" s="0" t="s">
        <v>1139</v>
      </c>
      <c r="BN93" s="1751"/>
      <c r="BO93" s="0" t="s">
        <v>303</v>
      </c>
      <c r="BP93" s="0" t="s">
        <v>1772</v>
      </c>
      <c r="BQ93" s="0" t="s">
        <v>1773</v>
      </c>
      <c r="BR93" s="1751"/>
    </row>
    <row s="1751" customFormat="1" customHeight="1" ht="29.25">
      <c r="A94" s="371"/>
      <c r="B94" s="1548"/>
      <c r="C94" s="1548"/>
      <c r="D94" s="1548"/>
      <c r="E94" s="180">
        <v>30</v>
      </c>
      <c r="F94" s="175" cm="1" t="str">
        <f t="array" ref="F94:F94">F93</f>
        <v>1</v>
      </c>
      <c r="G94" s="1659"/>
      <c r="H94" s="1659"/>
      <c r="I94" s="1659"/>
      <c r="J94" s="1659"/>
      <c r="K94" s="1659"/>
      <c r="L94" s="1659"/>
      <c r="M94" s="1659"/>
      <c r="N94" s="1659"/>
      <c r="O94" s="1659"/>
      <c r="P94" s="1659"/>
      <c r="Q94" s="1659"/>
      <c r="R94" s="1659"/>
      <c r="S94" s="1659"/>
      <c r="T94" s="753" cm="1" t="str">
        <f t="array" ref="T94:T94">T93</f>
        <v>true</v>
      </c>
      <c r="U94" s="1548"/>
      <c r="V94" s="1548"/>
      <c r="W94" s="1548"/>
      <c r="X94" s="1548"/>
      <c r="Y94" s="1548"/>
      <c r="Z94" s="1548"/>
      <c r="AA94" s="183"/>
      <c r="AB94" s="327" t="s">
        <v>1795</v>
      </c>
      <c r="AC94" s="782" t="s">
        <v>1775</v>
      </c>
      <c r="AD94" s="384" t="s">
        <v>1901</v>
      </c>
      <c r="AE94" s="775" t="s">
        <v>629</v>
      </c>
      <c r="AF94" s="1898"/>
      <c r="AG94" s="1898"/>
      <c r="AH94" s="765"/>
      <c r="AI94" s="765"/>
      <c r="AJ94" s="765"/>
      <c r="AK94" s="765"/>
      <c r="AL94" s="765"/>
      <c r="AM94" s="765"/>
      <c r="AN94" s="765"/>
      <c r="AO94" s="765"/>
      <c r="AP94" s="765"/>
      <c r="AQ94" s="765"/>
      <c r="AR94" s="765"/>
      <c r="AS94" s="765"/>
      <c r="AT94" s="765"/>
      <c r="AU94" s="765"/>
      <c r="AV94" s="765"/>
      <c r="AW94" s="969"/>
      <c r="AX94" s="969"/>
      <c r="AY94" s="969"/>
      <c r="AZ94" s="489" t="s">
        <v>1796</v>
      </c>
      <c r="BA94" s="1506"/>
      <c r="BB94" s="1506"/>
      <c r="BC94" s="1506"/>
      <c r="BD94" s="0" cm="1" t="str">
        <f t="array" ref="BD94:BD94">BD93</f>
        <v>ТЭ.42.31656254.0001</v>
      </c>
      <c r="BE94" s="0" t="s">
        <v>1727</v>
      </c>
      <c r="BF94" s="1751"/>
      <c r="BG94" s="1751"/>
      <c r="BH94" s="1751"/>
      <c r="BI94" s="1751"/>
      <c r="BJ94" s="1751"/>
      <c r="BK94" s="1751"/>
      <c r="BL94" s="1751"/>
      <c r="BM94" s="0" t="s">
        <v>1139</v>
      </c>
      <c r="BN94" s="1751"/>
      <c r="BO94" s="0" t="s">
        <v>303</v>
      </c>
      <c r="BP94" s="0" t="s">
        <v>1772</v>
      </c>
      <c r="BQ94" s="0" t="s">
        <v>1773</v>
      </c>
      <c r="BR94" s="1751"/>
    </row>
    <row s="1751" customFormat="1" customHeight="1" ht="21">
      <c r="A95" s="371"/>
      <c r="B95" s="1548"/>
      <c r="C95" s="1548"/>
      <c r="D95" s="1548"/>
      <c r="E95" s="180">
        <v>22</v>
      </c>
      <c r="F95" s="175" cm="1" t="str">
        <f t="array" ref="F95:F95">F94</f>
        <v>1</v>
      </c>
      <c r="G95" s="1659"/>
      <c r="H95" s="1659"/>
      <c r="I95" s="1659"/>
      <c r="J95" s="1659"/>
      <c r="K95" s="1659"/>
      <c r="L95" s="1659"/>
      <c r="M95" s="1659"/>
      <c r="N95" s="1659"/>
      <c r="O95" s="1659"/>
      <c r="P95" s="1659"/>
      <c r="Q95" s="1659"/>
      <c r="R95" s="1659"/>
      <c r="S95" s="1659"/>
      <c r="T95" s="753" cm="1" t="str">
        <f t="array" ref="T95:T95">T94</f>
        <v>true</v>
      </c>
      <c r="U95" s="1548"/>
      <c r="V95" s="1548"/>
      <c r="W95" s="1548"/>
      <c r="X95" s="1548"/>
      <c r="Y95" s="1548"/>
      <c r="Z95" s="1548"/>
      <c r="AA95" s="183"/>
      <c r="AB95" s="327" t="s">
        <v>1797</v>
      </c>
      <c r="AC95" s="782" t="s">
        <v>1798</v>
      </c>
      <c r="AD95" s="384" t="s">
        <v>1902</v>
      </c>
      <c r="AE95" s="775" t="s">
        <v>1799</v>
      </c>
      <c r="AF95" s="1898"/>
      <c r="AG95" s="1898"/>
      <c r="AH95" s="765"/>
      <c r="AI95" s="765"/>
      <c r="AJ95" s="765"/>
      <c r="AK95" s="765"/>
      <c r="AL95" s="765"/>
      <c r="AM95" s="765"/>
      <c r="AN95" s="765"/>
      <c r="AO95" s="765"/>
      <c r="AP95" s="765"/>
      <c r="AQ95" s="765"/>
      <c r="AR95" s="765"/>
      <c r="AS95" s="765"/>
      <c r="AT95" s="765"/>
      <c r="AU95" s="765"/>
      <c r="AV95" s="765"/>
      <c r="AW95" s="969"/>
      <c r="AX95" s="969"/>
      <c r="AY95" s="969"/>
      <c r="AZ95" s="489" t="s">
        <v>1800</v>
      </c>
      <c r="BA95" s="1506"/>
      <c r="BB95" s="1506"/>
      <c r="BC95" s="1506"/>
      <c r="BD95" s="0" cm="1" t="str">
        <f t="array" ref="BD95:BD95">BD94</f>
        <v>ТЭ.42.31656254.0001</v>
      </c>
      <c r="BE95" s="1751"/>
      <c r="BF95" s="0" t="s">
        <v>621</v>
      </c>
      <c r="BG95" s="1751"/>
      <c r="BH95" s="1751"/>
      <c r="BI95" s="1751"/>
      <c r="BJ95" s="1751"/>
      <c r="BK95" s="1751"/>
      <c r="BL95" s="1751"/>
      <c r="BM95" s="0" t="s">
        <v>1139</v>
      </c>
      <c r="BN95" s="1751"/>
      <c r="BO95" s="0" t="s">
        <v>303</v>
      </c>
      <c r="BP95" s="0" t="s">
        <v>919</v>
      </c>
      <c r="BQ95" s="0" t="s">
        <v>920</v>
      </c>
      <c r="BR95" s="1751"/>
    </row>
    <row s="1751" customFormat="1" customHeight="1" ht="15">
      <c r="A96" s="371"/>
      <c r="B96" s="1548"/>
      <c r="C96" s="1548"/>
      <c r="D96" s="1548"/>
      <c r="E96" s="180">
        <v>16</v>
      </c>
      <c r="F96" s="175" cm="1" t="str">
        <f t="array" ref="F96:F96">F95</f>
        <v>1</v>
      </c>
      <c r="G96" s="193" t="s">
        <v>1088</v>
      </c>
      <c r="H96" s="1659"/>
      <c r="I96" s="1659"/>
      <c r="J96" s="1659"/>
      <c r="K96" s="1659"/>
      <c r="L96" s="1659"/>
      <c r="M96" s="1659"/>
      <c r="N96" s="1659"/>
      <c r="O96" s="1659"/>
      <c r="P96" s="1659"/>
      <c r="Q96" s="1659"/>
      <c r="R96" s="1659"/>
      <c r="S96" s="1659"/>
      <c r="T96" s="753" cm="1" t="str">
        <f t="array" ref="T96:T96">T95</f>
        <v>true</v>
      </c>
      <c r="U96" s="1548"/>
      <c r="V96" s="1548"/>
      <c r="W96" s="1548"/>
      <c r="X96" s="1548"/>
      <c r="Y96" s="1548"/>
      <c r="Z96" s="1548"/>
      <c r="AA96" s="183"/>
      <c r="AB96" s="327" t="s">
        <v>1801</v>
      </c>
      <c r="AC96" s="350" t="s">
        <v>1802</v>
      </c>
      <c r="AD96" s="781"/>
      <c r="AE96" s="775" t="s">
        <v>1709</v>
      </c>
      <c r="AF96" s="1898">
        <f>_xlfn.SUMIFS('Ресурсы (5.4)'!AF$26:AF$47,'Ресурсы (5.4)'!$F$26:$F$47,$F96,'Ресурсы (5.4)'!$G$26:$G$47,$G96)</f>
        <v>0</v>
      </c>
      <c r="AG96" s="1898">
        <f>_xlfn.SUMIFS('Ресурсы (5.4)'!AG$26:AG$47,'Ресурсы (5.4)'!$F$26:$F$47,$F96,'Ресурсы (5.4)'!$G$26:$G$47,$G96)</f>
        <v>0</v>
      </c>
      <c r="AH96" s="765"/>
      <c r="AI96" s="765"/>
      <c r="AJ96" s="765"/>
      <c r="AK96" s="765"/>
      <c r="AL96" s="765"/>
      <c r="AM96" s="765"/>
      <c r="AN96" s="765"/>
      <c r="AO96" s="765"/>
      <c r="AP96" s="765"/>
      <c r="AQ96" s="765"/>
      <c r="AR96" s="765"/>
      <c r="AS96" s="765"/>
      <c r="AT96" s="765"/>
      <c r="AU96" s="765"/>
      <c r="AV96" s="765"/>
      <c r="AW96" s="969"/>
      <c r="AX96" s="969"/>
      <c r="AY96" s="969"/>
      <c r="AZ96" s="489" t="s">
        <v>1803</v>
      </c>
      <c r="BA96" s="1506"/>
      <c r="BB96" s="1506"/>
      <c r="BC96" s="1506"/>
      <c r="BD96" s="0" cm="1" t="str">
        <f t="array" ref="BD96:BD96">BD95</f>
        <v>ТЭ.42.31656254.0001</v>
      </c>
      <c r="BE96" s="1751"/>
      <c r="BF96" s="1751"/>
      <c r="BG96" s="1751"/>
      <c r="BH96" s="1751"/>
      <c r="BI96" s="1751"/>
      <c r="BJ96" s="1751"/>
      <c r="BK96" s="1751"/>
      <c r="BL96" s="1751"/>
      <c r="BM96" s="0" t="s">
        <v>1615</v>
      </c>
      <c r="BN96" s="1751"/>
      <c r="BO96" s="0" t="s">
        <v>303</v>
      </c>
      <c r="BP96" s="0" t="s">
        <v>1044</v>
      </c>
      <c r="BQ96" s="0" t="s">
        <v>1045</v>
      </c>
      <c r="BR96" s="1751"/>
    </row>
    <row s="1751" customFormat="1" customHeight="1" ht="27.75">
      <c r="A97" s="371"/>
      <c r="B97" s="1548"/>
      <c r="C97" s="1548"/>
      <c r="D97" s="1548"/>
      <c r="E97" s="180">
        <v>29</v>
      </c>
      <c r="F97" s="175" cm="1" t="str">
        <f t="array" ref="F97:F97">F96</f>
        <v>1</v>
      </c>
      <c r="G97" s="1659"/>
      <c r="H97" s="1659"/>
      <c r="I97" s="1659"/>
      <c r="J97" s="1659"/>
      <c r="K97" s="1659"/>
      <c r="L97" s="1659"/>
      <c r="M97" s="1659"/>
      <c r="N97" s="1659"/>
      <c r="O97" s="1659"/>
      <c r="P97" s="1659"/>
      <c r="Q97" s="1659"/>
      <c r="R97" s="1659"/>
      <c r="S97" s="1659"/>
      <c r="T97" s="753" cm="1" t="str">
        <f t="array" ref="T97:T97">T96</f>
        <v>true</v>
      </c>
      <c r="U97" s="1548"/>
      <c r="V97" s="1548"/>
      <c r="W97" s="1548"/>
      <c r="X97" s="1548"/>
      <c r="Y97" s="1548"/>
      <c r="Z97" s="1548"/>
      <c r="AA97" s="183"/>
      <c r="AB97" s="327" t="s">
        <v>1804</v>
      </c>
      <c r="AC97" s="782" t="s">
        <v>1805</v>
      </c>
      <c r="AD97" s="384" t="s">
        <v>1904</v>
      </c>
      <c r="AE97" s="775" t="s">
        <v>629</v>
      </c>
      <c r="AF97" s="1898"/>
      <c r="AG97" s="1898"/>
      <c r="AH97" s="765"/>
      <c r="AI97" s="765"/>
      <c r="AJ97" s="765"/>
      <c r="AK97" s="765"/>
      <c r="AL97" s="765"/>
      <c r="AM97" s="765"/>
      <c r="AN97" s="765"/>
      <c r="AO97" s="765"/>
      <c r="AP97" s="765"/>
      <c r="AQ97" s="765"/>
      <c r="AR97" s="765"/>
      <c r="AS97" s="765"/>
      <c r="AT97" s="765"/>
      <c r="AU97" s="765"/>
      <c r="AV97" s="765"/>
      <c r="AW97" s="969"/>
      <c r="AX97" s="969"/>
      <c r="AY97" s="969"/>
      <c r="AZ97" s="489" t="s">
        <v>1115</v>
      </c>
      <c r="BA97" s="1506"/>
      <c r="BB97" s="1506"/>
      <c r="BC97" s="1506"/>
      <c r="BD97" s="0" cm="1" t="str">
        <f t="array" ref="BD97:BD97">BD96</f>
        <v>ТЭ.42.31656254.0001</v>
      </c>
      <c r="BE97" s="0" t="s">
        <v>1727</v>
      </c>
      <c r="BF97" s="1751"/>
      <c r="BG97" s="1751"/>
      <c r="BH97" s="1751"/>
      <c r="BI97" s="1751"/>
      <c r="BJ97" s="1751"/>
      <c r="BK97" s="1751"/>
      <c r="BL97" s="1751"/>
      <c r="BM97" s="0" t="s">
        <v>1615</v>
      </c>
      <c r="BN97" s="1751"/>
      <c r="BO97" s="0" t="s">
        <v>303</v>
      </c>
      <c r="BP97" s="0" t="s">
        <v>1807</v>
      </c>
      <c r="BQ97" s="0" t="s">
        <v>1808</v>
      </c>
      <c r="BR97" s="1751"/>
    </row>
    <row s="1751" customFormat="1" customHeight="1" ht="30.75">
      <c r="A98" s="371"/>
      <c r="B98" s="1548"/>
      <c r="C98" s="1548"/>
      <c r="D98" s="1548"/>
      <c r="E98" s="180">
        <v>32</v>
      </c>
      <c r="F98" s="175" cm="1" t="str">
        <f t="array" ref="F98:F98">F97</f>
        <v>1</v>
      </c>
      <c r="G98" s="1659"/>
      <c r="H98" s="1659"/>
      <c r="I98" s="1659"/>
      <c r="J98" s="1659"/>
      <c r="K98" s="1659"/>
      <c r="L98" s="1659"/>
      <c r="M98" s="1659"/>
      <c r="N98" s="1659"/>
      <c r="O98" s="1659"/>
      <c r="P98" s="1659"/>
      <c r="Q98" s="1659"/>
      <c r="R98" s="1659"/>
      <c r="S98" s="1659"/>
      <c r="T98" s="753" cm="1" t="str">
        <f t="array" ref="T98:T98">T97</f>
        <v>true</v>
      </c>
      <c r="U98" s="1548"/>
      <c r="V98" s="1548"/>
      <c r="W98" s="1548"/>
      <c r="X98" s="1548"/>
      <c r="Y98" s="1548"/>
      <c r="Z98" s="1548"/>
      <c r="AA98" s="183"/>
      <c r="AB98" s="327" t="s">
        <v>1809</v>
      </c>
      <c r="AC98" s="782" t="s">
        <v>1769</v>
      </c>
      <c r="AD98" s="384" t="s">
        <v>1900</v>
      </c>
      <c r="AE98" s="775" t="s">
        <v>629</v>
      </c>
      <c r="AF98" s="1898"/>
      <c r="AG98" s="1898"/>
      <c r="AH98" s="765"/>
      <c r="AI98" s="765"/>
      <c r="AJ98" s="765"/>
      <c r="AK98" s="765"/>
      <c r="AL98" s="765"/>
      <c r="AM98" s="765"/>
      <c r="AN98" s="765"/>
      <c r="AO98" s="765"/>
      <c r="AP98" s="765"/>
      <c r="AQ98" s="765"/>
      <c r="AR98" s="765"/>
      <c r="AS98" s="765"/>
      <c r="AT98" s="765"/>
      <c r="AU98" s="765"/>
      <c r="AV98" s="765"/>
      <c r="AW98" s="969"/>
      <c r="AX98" s="969"/>
      <c r="AY98" s="969"/>
      <c r="AZ98" s="489" t="s">
        <v>1750</v>
      </c>
      <c r="BA98" s="1506"/>
      <c r="BB98" s="1506"/>
      <c r="BC98" s="1506"/>
      <c r="BD98" s="0" cm="1" t="str">
        <f t="array" ref="BD98:BD98">BD97</f>
        <v>ТЭ.42.31656254.0001</v>
      </c>
      <c r="BE98" s="0" t="s">
        <v>1727</v>
      </c>
      <c r="BF98" s="0" t="s">
        <v>621</v>
      </c>
      <c r="BG98" s="1751"/>
      <c r="BH98" s="1751"/>
      <c r="BI98" s="1751"/>
      <c r="BJ98" s="1751"/>
      <c r="BK98" s="1751"/>
      <c r="BL98" s="1751"/>
      <c r="BM98" s="0" t="s">
        <v>1615</v>
      </c>
      <c r="BN98" s="1751"/>
      <c r="BO98" s="0" t="s">
        <v>303</v>
      </c>
      <c r="BP98" s="0" t="s">
        <v>1772</v>
      </c>
      <c r="BQ98" s="0" t="s">
        <v>1773</v>
      </c>
      <c r="BR98" s="1751"/>
    </row>
    <row s="1751" customFormat="1" customHeight="1" ht="27">
      <c r="A99" s="371"/>
      <c r="B99" s="1548"/>
      <c r="C99" s="1548"/>
      <c r="D99" s="1548"/>
      <c r="E99" s="180">
        <v>28</v>
      </c>
      <c r="F99" s="175" cm="1" t="str">
        <f t="array" ref="F99:F99">F98</f>
        <v>1</v>
      </c>
      <c r="G99" s="1659"/>
      <c r="H99" s="1659"/>
      <c r="I99" s="1659"/>
      <c r="J99" s="1659"/>
      <c r="K99" s="1659"/>
      <c r="L99" s="1659"/>
      <c r="M99" s="1659"/>
      <c r="N99" s="1659"/>
      <c r="O99" s="1659"/>
      <c r="P99" s="1659"/>
      <c r="Q99" s="1659"/>
      <c r="R99" s="1659"/>
      <c r="S99" s="1659"/>
      <c r="T99" s="753" cm="1" t="str">
        <f t="array" ref="T99:T99">T98</f>
        <v>true</v>
      </c>
      <c r="U99" s="1548"/>
      <c r="V99" s="1548"/>
      <c r="W99" s="1548"/>
      <c r="X99" s="1548"/>
      <c r="Y99" s="1548"/>
      <c r="Z99" s="1548"/>
      <c r="AA99" s="183"/>
      <c r="AB99" s="327" t="s">
        <v>1810</v>
      </c>
      <c r="AC99" s="782" t="s">
        <v>1775</v>
      </c>
      <c r="AD99" s="384" t="s">
        <v>1901</v>
      </c>
      <c r="AE99" s="775" t="s">
        <v>629</v>
      </c>
      <c r="AF99" s="1898"/>
      <c r="AG99" s="1898"/>
      <c r="AH99" s="765"/>
      <c r="AI99" s="765"/>
      <c r="AJ99" s="765"/>
      <c r="AK99" s="765"/>
      <c r="AL99" s="765"/>
      <c r="AM99" s="765"/>
      <c r="AN99" s="765"/>
      <c r="AO99" s="765"/>
      <c r="AP99" s="765"/>
      <c r="AQ99" s="765"/>
      <c r="AR99" s="765"/>
      <c r="AS99" s="765"/>
      <c r="AT99" s="765"/>
      <c r="AU99" s="765"/>
      <c r="AV99" s="765"/>
      <c r="AW99" s="969"/>
      <c r="AX99" s="969"/>
      <c r="AY99" s="969"/>
      <c r="AZ99" s="489" t="s">
        <v>1811</v>
      </c>
      <c r="BA99" s="1506"/>
      <c r="BB99" s="1506"/>
      <c r="BC99" s="1506"/>
      <c r="BD99" s="0" cm="1" t="str">
        <f t="array" ref="BD99:BD99">BD98</f>
        <v>ТЭ.42.31656254.0001</v>
      </c>
      <c r="BE99" s="0" t="s">
        <v>1727</v>
      </c>
      <c r="BF99" s="1751"/>
      <c r="BG99" s="1751"/>
      <c r="BH99" s="1751"/>
      <c r="BI99" s="1751"/>
      <c r="BJ99" s="1751"/>
      <c r="BK99" s="1751"/>
      <c r="BL99" s="1751"/>
      <c r="BM99" s="0" t="s">
        <v>1615</v>
      </c>
      <c r="BN99" s="1751"/>
      <c r="BO99" s="0" t="s">
        <v>303</v>
      </c>
      <c r="BP99" s="0" t="s">
        <v>1772</v>
      </c>
      <c r="BQ99" s="0" t="s">
        <v>1773</v>
      </c>
      <c r="BR99" s="1751"/>
    </row>
    <row s="1751" customFormat="1" customHeight="1" ht="21.75">
      <c r="A100" s="371"/>
      <c r="B100" s="1548"/>
      <c r="C100" s="1548"/>
      <c r="D100" s="1548"/>
      <c r="E100" s="180">
        <v>23</v>
      </c>
      <c r="F100" s="175" cm="1" t="str">
        <f t="array" ref="F100:F100">F99</f>
        <v>1</v>
      </c>
      <c r="G100" s="1659"/>
      <c r="H100" s="1659"/>
      <c r="I100" s="1659"/>
      <c r="J100" s="1659"/>
      <c r="K100" s="1659"/>
      <c r="L100" s="1659"/>
      <c r="M100" s="1659"/>
      <c r="N100" s="1659"/>
      <c r="O100" s="1659"/>
      <c r="P100" s="1659"/>
      <c r="Q100" s="1659"/>
      <c r="R100" s="1659"/>
      <c r="S100" s="1659"/>
      <c r="T100" s="753" cm="1" t="str">
        <f t="array" ref="T100:T100">T99</f>
        <v>true</v>
      </c>
      <c r="U100" s="1548"/>
      <c r="V100" s="1548"/>
      <c r="W100" s="1548"/>
      <c r="X100" s="1548"/>
      <c r="Y100" s="1548"/>
      <c r="Z100" s="1548"/>
      <c r="AA100" s="183"/>
      <c r="AB100" s="327" t="s">
        <v>1812</v>
      </c>
      <c r="AC100" s="782" t="s">
        <v>1813</v>
      </c>
      <c r="AD100" s="384" t="s">
        <v>1902</v>
      </c>
      <c r="AE100" s="775" t="s">
        <v>1005</v>
      </c>
      <c r="AF100" s="1898"/>
      <c r="AG100" s="1898"/>
      <c r="AH100" s="765"/>
      <c r="AI100" s="765"/>
      <c r="AJ100" s="765"/>
      <c r="AK100" s="765"/>
      <c r="AL100" s="765"/>
      <c r="AM100" s="765"/>
      <c r="AN100" s="765"/>
      <c r="AO100" s="765"/>
      <c r="AP100" s="765"/>
      <c r="AQ100" s="765"/>
      <c r="AR100" s="765"/>
      <c r="AS100" s="765"/>
      <c r="AT100" s="765"/>
      <c r="AU100" s="765"/>
      <c r="AV100" s="765"/>
      <c r="AW100" s="969"/>
      <c r="AX100" s="969"/>
      <c r="AY100" s="969"/>
      <c r="AZ100" s="489" t="s">
        <v>1814</v>
      </c>
      <c r="BA100" s="1506"/>
      <c r="BB100" s="1506"/>
      <c r="BC100" s="1506"/>
      <c r="BD100" s="0" cm="1" t="str">
        <f t="array" ref="BD100:BD100">BD99</f>
        <v>ТЭ.42.31656254.0001</v>
      </c>
      <c r="BE100" s="1751"/>
      <c r="BF100" s="0" t="s">
        <v>621</v>
      </c>
      <c r="BG100" s="1751"/>
      <c r="BH100" s="1751"/>
      <c r="BI100" s="1751"/>
      <c r="BJ100" s="1751"/>
      <c r="BK100" s="1751"/>
      <c r="BL100" s="1751"/>
      <c r="BM100" s="0" t="s">
        <v>1615</v>
      </c>
      <c r="BN100" s="1751"/>
      <c r="BO100" s="0" t="s">
        <v>303</v>
      </c>
      <c r="BP100" s="0" t="s">
        <v>1782</v>
      </c>
      <c r="BQ100" s="0" t="s">
        <v>1783</v>
      </c>
      <c r="BR100" s="1751"/>
    </row>
    <row s="1751" customFormat="1" customHeight="1" ht="15">
      <c r="A101" s="371"/>
      <c r="B101" s="1548"/>
      <c r="C101" s="1548"/>
      <c r="D101" s="1548"/>
      <c r="E101" s="180">
        <v>16</v>
      </c>
      <c r="F101" s="175" cm="1" t="str">
        <f t="array" ref="F101:F101">F100</f>
        <v>1</v>
      </c>
      <c r="G101" s="193" t="s">
        <v>1154</v>
      </c>
      <c r="H101" s="1659"/>
      <c r="I101" s="1659"/>
      <c r="J101" s="1659"/>
      <c r="K101" s="1659"/>
      <c r="L101" s="1659"/>
      <c r="M101" s="1659"/>
      <c r="N101" s="1659"/>
      <c r="O101" s="1659"/>
      <c r="P101" s="1659"/>
      <c r="Q101" s="1659"/>
      <c r="R101" s="1659"/>
      <c r="S101" s="1659"/>
      <c r="T101" s="753" cm="1" t="str">
        <f t="array" ref="T101:T101">T100</f>
        <v>true</v>
      </c>
      <c r="U101" s="1548"/>
      <c r="V101" s="1548"/>
      <c r="W101" s="1548"/>
      <c r="X101" s="1548"/>
      <c r="Y101" s="1548"/>
      <c r="Z101" s="1548"/>
      <c r="AA101" s="183"/>
      <c r="AB101" s="327" t="s">
        <v>1815</v>
      </c>
      <c r="AC101" s="350" t="s">
        <v>1816</v>
      </c>
      <c r="AD101" s="781"/>
      <c r="AE101" s="775" t="s">
        <v>1709</v>
      </c>
      <c r="AF101" s="1898">
        <f>_xlfn.SUMIFS('Ресурсы (5.4)'!AF$26:AF$47,'Ресурсы (5.4)'!$F$26:$F$47,$F101,'Ресурсы (5.4)'!$G$26:$G$47,$G101)</f>
        <v>0</v>
      </c>
      <c r="AG101" s="1898">
        <f>_xlfn.SUMIFS('Ресурсы (5.4)'!AG$26:AG$47,'Ресурсы (5.4)'!$F$26:$F$47,$F101,'Ресурсы (5.4)'!$G$26:$G$47,$G101)</f>
        <v>0</v>
      </c>
      <c r="AH101" s="765"/>
      <c r="AI101" s="765"/>
      <c r="AJ101" s="765"/>
      <c r="AK101" s="765"/>
      <c r="AL101" s="765"/>
      <c r="AM101" s="765"/>
      <c r="AN101" s="765"/>
      <c r="AO101" s="765"/>
      <c r="AP101" s="765"/>
      <c r="AQ101" s="765"/>
      <c r="AR101" s="765"/>
      <c r="AS101" s="765"/>
      <c r="AT101" s="765"/>
      <c r="AU101" s="765"/>
      <c r="AV101" s="765"/>
      <c r="AW101" s="969"/>
      <c r="AX101" s="969"/>
      <c r="AY101" s="969"/>
      <c r="AZ101" s="489" t="s">
        <v>1817</v>
      </c>
      <c r="BA101" s="1506"/>
      <c r="BB101" s="1506"/>
      <c r="BC101" s="1506"/>
      <c r="BD101" s="0" cm="1" t="str">
        <f t="array" ref="BD101:BD101">BD100</f>
        <v>ТЭ.42.31656254.0001</v>
      </c>
      <c r="BE101" s="1751"/>
      <c r="BF101" s="1751"/>
      <c r="BG101" s="1751"/>
      <c r="BH101" s="1751"/>
      <c r="BI101" s="1751"/>
      <c r="BJ101" s="1751"/>
      <c r="BK101" s="1751"/>
      <c r="BL101" s="1751"/>
      <c r="BM101" s="0" t="s">
        <v>1157</v>
      </c>
      <c r="BN101" s="1751"/>
      <c r="BO101" s="0" t="s">
        <v>303</v>
      </c>
      <c r="BP101" s="0" t="s">
        <v>1044</v>
      </c>
      <c r="BQ101" s="0" t="s">
        <v>1045</v>
      </c>
      <c r="BR101" s="1751"/>
    </row>
    <row s="1751" customFormat="1" customHeight="1" ht="27.75">
      <c r="A102" s="371"/>
      <c r="B102" s="1548"/>
      <c r="C102" s="1548"/>
      <c r="D102" s="1548"/>
      <c r="E102" s="180">
        <v>29</v>
      </c>
      <c r="F102" s="175" cm="1" t="str">
        <f t="array" ref="F102:F102">F101</f>
        <v>1</v>
      </c>
      <c r="G102" s="1659"/>
      <c r="H102" s="1659"/>
      <c r="I102" s="1659"/>
      <c r="J102" s="1659"/>
      <c r="K102" s="1659"/>
      <c r="L102" s="1659"/>
      <c r="M102" s="1659"/>
      <c r="N102" s="1659"/>
      <c r="O102" s="1659"/>
      <c r="P102" s="1659"/>
      <c r="Q102" s="1659"/>
      <c r="R102" s="1659"/>
      <c r="S102" s="1659"/>
      <c r="T102" s="753" cm="1" t="str">
        <f t="array" ref="T102:T102">T101</f>
        <v>true</v>
      </c>
      <c r="U102" s="1548"/>
      <c r="V102" s="1548"/>
      <c r="W102" s="1548"/>
      <c r="X102" s="1548"/>
      <c r="Y102" s="1548"/>
      <c r="Z102" s="1548"/>
      <c r="AA102" s="183"/>
      <c r="AB102" s="327" t="s">
        <v>1818</v>
      </c>
      <c r="AC102" s="782" t="s">
        <v>1819</v>
      </c>
      <c r="AD102" s="384" t="s">
        <v>1904</v>
      </c>
      <c r="AE102" s="775" t="s">
        <v>1790</v>
      </c>
      <c r="AF102" s="1898"/>
      <c r="AG102" s="1898"/>
      <c r="AH102" s="765"/>
      <c r="AI102" s="765"/>
      <c r="AJ102" s="765"/>
      <c r="AK102" s="765"/>
      <c r="AL102" s="765"/>
      <c r="AM102" s="765"/>
      <c r="AN102" s="765"/>
      <c r="AO102" s="765"/>
      <c r="AP102" s="765"/>
      <c r="AQ102" s="765"/>
      <c r="AR102" s="765"/>
      <c r="AS102" s="765"/>
      <c r="AT102" s="765"/>
      <c r="AU102" s="765"/>
      <c r="AV102" s="765"/>
      <c r="AW102" s="969"/>
      <c r="AX102" s="969"/>
      <c r="AY102" s="969"/>
      <c r="AZ102" s="489" t="s">
        <v>1162</v>
      </c>
      <c r="BA102" s="1506"/>
      <c r="BB102" s="1506"/>
      <c r="BC102" s="1506"/>
      <c r="BD102" s="0" cm="1" t="str">
        <f t="array" ref="BD102:BD102">BD101</f>
        <v>ТЭ.42.31656254.0001</v>
      </c>
      <c r="BE102" s="0" t="s">
        <v>1727</v>
      </c>
      <c r="BF102" s="1751"/>
      <c r="BG102" s="1751"/>
      <c r="BH102" s="1751"/>
      <c r="BI102" s="1751"/>
      <c r="BJ102" s="1751"/>
      <c r="BK102" s="1751"/>
      <c r="BL102" s="1751"/>
      <c r="BM102" s="0" t="s">
        <v>1157</v>
      </c>
      <c r="BN102" s="1751"/>
      <c r="BO102" s="0" t="s">
        <v>303</v>
      </c>
      <c r="BP102" s="0" t="s">
        <v>1409</v>
      </c>
      <c r="BQ102" s="0" t="s">
        <v>1410</v>
      </c>
      <c r="BR102" s="1751"/>
    </row>
    <row s="1751" customFormat="1" customHeight="1" ht="30.75">
      <c r="A103" s="371"/>
      <c r="B103" s="1548"/>
      <c r="C103" s="1548"/>
      <c r="D103" s="1548"/>
      <c r="E103" s="180">
        <v>32</v>
      </c>
      <c r="F103" s="175" cm="1" t="str">
        <f t="array" ref="F103:F103">F102</f>
        <v>1</v>
      </c>
      <c r="G103" s="1659"/>
      <c r="H103" s="1659"/>
      <c r="I103" s="1659"/>
      <c r="J103" s="1659"/>
      <c r="K103" s="1659"/>
      <c r="L103" s="1659"/>
      <c r="M103" s="1659"/>
      <c r="N103" s="1659"/>
      <c r="O103" s="1659"/>
      <c r="P103" s="1659"/>
      <c r="Q103" s="1659"/>
      <c r="R103" s="1659"/>
      <c r="S103" s="1659"/>
      <c r="T103" s="753" cm="1" t="str">
        <f t="array" ref="T103:T103">T102</f>
        <v>true</v>
      </c>
      <c r="U103" s="1548"/>
      <c r="V103" s="1548"/>
      <c r="W103" s="1548"/>
      <c r="X103" s="1548"/>
      <c r="Y103" s="1548"/>
      <c r="Z103" s="1548"/>
      <c r="AA103" s="183"/>
      <c r="AB103" s="327" t="s">
        <v>1820</v>
      </c>
      <c r="AC103" s="782" t="s">
        <v>1769</v>
      </c>
      <c r="AD103" s="384" t="s">
        <v>1900</v>
      </c>
      <c r="AE103" s="775" t="s">
        <v>629</v>
      </c>
      <c r="AF103" s="1898"/>
      <c r="AG103" s="1898"/>
      <c r="AH103" s="765"/>
      <c r="AI103" s="765"/>
      <c r="AJ103" s="765"/>
      <c r="AK103" s="765"/>
      <c r="AL103" s="765"/>
      <c r="AM103" s="765"/>
      <c r="AN103" s="765"/>
      <c r="AO103" s="765"/>
      <c r="AP103" s="765"/>
      <c r="AQ103" s="765"/>
      <c r="AR103" s="765"/>
      <c r="AS103" s="765"/>
      <c r="AT103" s="765"/>
      <c r="AU103" s="765"/>
      <c r="AV103" s="765"/>
      <c r="AW103" s="969"/>
      <c r="AX103" s="969"/>
      <c r="AY103" s="969"/>
      <c r="AZ103" s="489" t="s">
        <v>1821</v>
      </c>
      <c r="BA103" s="1506"/>
      <c r="BB103" s="1506"/>
      <c r="BC103" s="1506"/>
      <c r="BD103" s="2312" cm="1" t="str">
        <f t="array" ref="BD103:BD103">BD102</f>
        <v>ТЭ.42.31656254.0001</v>
      </c>
      <c r="BE103" s="2312" t="s">
        <v>1727</v>
      </c>
      <c r="BF103" s="2312" t="s">
        <v>621</v>
      </c>
      <c r="BG103" s="1751"/>
      <c r="BH103" s="1751"/>
      <c r="BI103" s="1751"/>
      <c r="BJ103" s="1751"/>
      <c r="BK103" s="1751"/>
      <c r="BL103" s="1751"/>
      <c r="BM103" s="2312" t="s">
        <v>1157</v>
      </c>
      <c r="BN103" s="1751"/>
      <c r="BO103" s="2312" t="s">
        <v>303</v>
      </c>
      <c r="BP103" s="2312" t="s">
        <v>1772</v>
      </c>
      <c r="BQ103" s="2312" t="s">
        <v>1773</v>
      </c>
      <c r="BR103" s="1751"/>
    </row>
    <row s="1751" customFormat="1" customHeight="1" ht="27">
      <c r="A104" s="371"/>
      <c r="B104" s="1548"/>
      <c r="C104" s="1548"/>
      <c r="D104" s="1548"/>
      <c r="E104" s="180">
        <v>28</v>
      </c>
      <c r="F104" s="175" cm="1" t="str">
        <f t="array" ref="F104:F104">F103</f>
        <v>1</v>
      </c>
      <c r="G104" s="1659"/>
      <c r="H104" s="1659"/>
      <c r="I104" s="1659"/>
      <c r="J104" s="1659"/>
      <c r="K104" s="1659"/>
      <c r="L104" s="1659"/>
      <c r="M104" s="1659"/>
      <c r="N104" s="1659"/>
      <c r="O104" s="1659"/>
      <c r="P104" s="1659"/>
      <c r="Q104" s="1659"/>
      <c r="R104" s="1659"/>
      <c r="S104" s="1659"/>
      <c r="T104" s="753" cm="1" t="str">
        <f t="array" ref="T104:T104">T103</f>
        <v>true</v>
      </c>
      <c r="U104" s="1548"/>
      <c r="V104" s="1548"/>
      <c r="W104" s="1548"/>
      <c r="X104" s="1548"/>
      <c r="Y104" s="1548"/>
      <c r="Z104" s="1548"/>
      <c r="AA104" s="183"/>
      <c r="AB104" s="327" t="s">
        <v>1822</v>
      </c>
      <c r="AC104" s="782" t="s">
        <v>1775</v>
      </c>
      <c r="AD104" s="384" t="s">
        <v>1901</v>
      </c>
      <c r="AE104" s="775" t="s">
        <v>629</v>
      </c>
      <c r="AF104" s="1898"/>
      <c r="AG104" s="1898"/>
      <c r="AH104" s="765"/>
      <c r="AI104" s="765"/>
      <c r="AJ104" s="765"/>
      <c r="AK104" s="765"/>
      <c r="AL104" s="765"/>
      <c r="AM104" s="765"/>
      <c r="AN104" s="765"/>
      <c r="AO104" s="765"/>
      <c r="AP104" s="765"/>
      <c r="AQ104" s="765"/>
      <c r="AR104" s="765"/>
      <c r="AS104" s="765"/>
      <c r="AT104" s="765"/>
      <c r="AU104" s="765"/>
      <c r="AV104" s="765"/>
      <c r="AW104" s="969"/>
      <c r="AX104" s="969"/>
      <c r="AY104" s="969"/>
      <c r="AZ104" s="489" t="s">
        <v>1823</v>
      </c>
      <c r="BA104" s="1506"/>
      <c r="BB104" s="1506"/>
      <c r="BC104" s="1506"/>
      <c r="BD104" s="2312" cm="1" t="str">
        <f t="array" ref="BD104:BD104">BD103</f>
        <v>ТЭ.42.31656254.0001</v>
      </c>
      <c r="BE104" s="2312" t="s">
        <v>1727</v>
      </c>
      <c r="BF104" s="1751"/>
      <c r="BG104" s="1751"/>
      <c r="BH104" s="1751"/>
      <c r="BI104" s="1751"/>
      <c r="BJ104" s="1751"/>
      <c r="BK104" s="1751"/>
      <c r="BL104" s="1751"/>
      <c r="BM104" s="2312" t="s">
        <v>1157</v>
      </c>
      <c r="BN104" s="1751"/>
      <c r="BO104" s="2312" t="s">
        <v>303</v>
      </c>
      <c r="BP104" s="2312" t="s">
        <v>1772</v>
      </c>
      <c r="BQ104" s="2312" t="s">
        <v>1773</v>
      </c>
      <c r="BR104" s="1751"/>
    </row>
    <row s="1751" customFormat="1" customHeight="1" ht="21.75">
      <c r="A105" s="371"/>
      <c r="B105" s="1548"/>
      <c r="C105" s="1548"/>
      <c r="D105" s="1548"/>
      <c r="E105" s="180">
        <v>23</v>
      </c>
      <c r="F105" s="175" cm="1" t="str">
        <f t="array" ref="F105:F105">F104</f>
        <v>1</v>
      </c>
      <c r="G105" s="1659"/>
      <c r="H105" s="1659"/>
      <c r="I105" s="1659"/>
      <c r="J105" s="1659"/>
      <c r="K105" s="1659"/>
      <c r="L105" s="1659"/>
      <c r="M105" s="1659"/>
      <c r="N105" s="1659"/>
      <c r="O105" s="1659"/>
      <c r="P105" s="1659"/>
      <c r="Q105" s="1659"/>
      <c r="R105" s="1659"/>
      <c r="S105" s="1659"/>
      <c r="T105" s="753" cm="1" t="str">
        <f t="array" ref="T105:T105">T104</f>
        <v>true</v>
      </c>
      <c r="U105" s="1548"/>
      <c r="V105" s="1548"/>
      <c r="W105" s="1548"/>
      <c r="X105" s="1548"/>
      <c r="Y105" s="1548"/>
      <c r="Z105" s="1548"/>
      <c r="AA105" s="183"/>
      <c r="AB105" s="327" t="s">
        <v>1824</v>
      </c>
      <c r="AC105" s="782" t="s">
        <v>1825</v>
      </c>
      <c r="AD105" s="384" t="s">
        <v>1902</v>
      </c>
      <c r="AE105" s="775" t="s">
        <v>1799</v>
      </c>
      <c r="AF105" s="1898"/>
      <c r="AG105" s="1898"/>
      <c r="AH105" s="765"/>
      <c r="AI105" s="765"/>
      <c r="AJ105" s="765"/>
      <c r="AK105" s="765"/>
      <c r="AL105" s="765"/>
      <c r="AM105" s="765"/>
      <c r="AN105" s="765"/>
      <c r="AO105" s="765"/>
      <c r="AP105" s="765"/>
      <c r="AQ105" s="765"/>
      <c r="AR105" s="765"/>
      <c r="AS105" s="765"/>
      <c r="AT105" s="765"/>
      <c r="AU105" s="765"/>
      <c r="AV105" s="765"/>
      <c r="AW105" s="969"/>
      <c r="AX105" s="969"/>
      <c r="AY105" s="969"/>
      <c r="AZ105" s="489" t="s">
        <v>1826</v>
      </c>
      <c r="BA105" s="1506"/>
      <c r="BB105" s="1506"/>
      <c r="BC105" s="1506"/>
      <c r="BD105" s="2312" cm="1" t="str">
        <f t="array" ref="BD105:BD105">BD104</f>
        <v>ТЭ.42.31656254.0001</v>
      </c>
      <c r="BE105" s="1751"/>
      <c r="BF105" s="2312" t="s">
        <v>621</v>
      </c>
      <c r="BG105" s="1751"/>
      <c r="BH105" s="1751"/>
      <c r="BI105" s="1751"/>
      <c r="BJ105" s="1751"/>
      <c r="BK105" s="1751"/>
      <c r="BL105" s="1751"/>
      <c r="BM105" s="2312" t="s">
        <v>1157</v>
      </c>
      <c r="BN105" s="1751"/>
      <c r="BO105" s="2312" t="s">
        <v>303</v>
      </c>
      <c r="BP105" s="2312" t="s">
        <v>919</v>
      </c>
      <c r="BQ105" s="2312" t="s">
        <v>920</v>
      </c>
      <c r="BR105" s="1751"/>
    </row>
    <row s="1751" customFormat="1" customHeight="1" ht="36.75">
      <c r="A106" s="371"/>
      <c r="B106" s="1548"/>
      <c r="C106" s="1548"/>
      <c r="D106" s="1548"/>
      <c r="E106" s="180">
        <v>38</v>
      </c>
      <c r="F106" s="175" cm="1" t="str">
        <f t="array" ref="F106:F106">F105</f>
        <v>1</v>
      </c>
      <c r="G106" s="193" t="s">
        <v>1628</v>
      </c>
      <c r="H106" s="1659"/>
      <c r="I106" s="1659"/>
      <c r="J106" s="1659"/>
      <c r="K106" s="1659"/>
      <c r="L106" s="1659"/>
      <c r="M106" s="1659"/>
      <c r="N106" s="1659"/>
      <c r="O106" s="1659"/>
      <c r="P106" s="1659"/>
      <c r="Q106" s="1659"/>
      <c r="R106" s="1659"/>
      <c r="S106" s="1659"/>
      <c r="T106" s="753" cm="1" t="str">
        <f t="array" ref="T106:T106">T105</f>
        <v>true</v>
      </c>
      <c r="U106" s="1548"/>
      <c r="V106" s="1548"/>
      <c r="W106" s="1548"/>
      <c r="X106" s="1548"/>
      <c r="Y106" s="1548"/>
      <c r="Z106" s="1548"/>
      <c r="AA106" s="183"/>
      <c r="AB106" s="327" t="s">
        <v>1827</v>
      </c>
      <c r="AC106" s="355" t="s">
        <v>1828</v>
      </c>
      <c r="AD106" s="781" t="s">
        <v>1829</v>
      </c>
      <c r="AE106" s="775" t="s">
        <v>917</v>
      </c>
      <c r="AF106" s="1898">
        <f>_xlfn.SUMIFS('Калькуляция (5.9)'!AF$26:AF$139,'Калькуляция (5.9)'!$F$26:$F$139,$F106,'Калькуляция (5.9)'!$G$26:$G$139,$G106)</f>
        <v>2321.86</v>
      </c>
      <c r="AG106" s="1898">
        <f>_xlfn.SUMIFS('Калькуляция (5.9)'!AG$26:AG$139,'Калькуляция (5.9)'!$F$26:$F$139,$F106,'Калькуляция (5.9)'!$G$26:$G$139,$G106)</f>
        <v>1513.43</v>
      </c>
      <c r="AH106" s="765"/>
      <c r="AI106" s="765"/>
      <c r="AJ106" s="765"/>
      <c r="AK106" s="765"/>
      <c r="AL106" s="765"/>
      <c r="AM106" s="765"/>
      <c r="AN106" s="765"/>
      <c r="AO106" s="765"/>
      <c r="AP106" s="765"/>
      <c r="AQ106" s="765"/>
      <c r="AR106" s="765"/>
      <c r="AS106" s="765"/>
      <c r="AT106" s="765"/>
      <c r="AU106" s="765"/>
      <c r="AV106" s="765"/>
      <c r="AW106" s="969"/>
      <c r="AX106" s="969"/>
      <c r="AY106" s="969"/>
      <c r="AZ106" s="489" t="s">
        <v>1830</v>
      </c>
      <c r="BA106" s="1506"/>
      <c r="BB106" s="1506"/>
      <c r="BC106" s="1506"/>
      <c r="BD106" s="2312" cm="1" t="str">
        <f t="array" ref="BD106:BD106">BD105</f>
        <v>ТЭ.42.31656254.0001</v>
      </c>
      <c r="BE106" s="2312" t="s">
        <v>1716</v>
      </c>
      <c r="BF106" s="2312" t="s">
        <v>621</v>
      </c>
      <c r="BG106" s="1751"/>
      <c r="BH106" s="2312" t="s">
        <v>1831</v>
      </c>
      <c r="BI106" s="1751"/>
      <c r="BJ106" s="1751"/>
      <c r="BK106" s="1751"/>
      <c r="BL106" s="1751"/>
      <c r="BM106" s="1751"/>
      <c r="BN106" s="1751"/>
      <c r="BO106" s="2312" t="s">
        <v>303</v>
      </c>
      <c r="BP106" s="2312" t="s">
        <v>1631</v>
      </c>
      <c r="BQ106" s="2312" t="s">
        <v>1632</v>
      </c>
      <c r="BR106" s="1751"/>
    </row>
    <row s="1751" customFormat="1" customHeight="1" ht="20.25">
      <c r="A107" s="371"/>
      <c r="B107" s="1548"/>
      <c r="C107" s="1548"/>
      <c r="D107" s="1548"/>
      <c r="E107" s="180">
        <v>21</v>
      </c>
      <c r="F107" s="175" cm="1" t="str">
        <f t="array" ref="F107:F107">F106</f>
        <v>1</v>
      </c>
      <c r="G107" s="193" t="s">
        <v>1832</v>
      </c>
      <c r="H107" s="1659"/>
      <c r="I107" s="1659"/>
      <c r="J107" s="1659"/>
      <c r="K107" s="1659"/>
      <c r="L107" s="1659"/>
      <c r="M107" s="1659"/>
      <c r="N107" s="1659"/>
      <c r="O107" s="1659"/>
      <c r="P107" s="1659"/>
      <c r="Q107" s="1659"/>
      <c r="R107" s="1659"/>
      <c r="S107" s="1659"/>
      <c r="T107" s="753" cm="1" t="str">
        <f t="array" ref="T107:T107">T106</f>
        <v>true</v>
      </c>
      <c r="U107" s="1548"/>
      <c r="V107" s="1548"/>
      <c r="W107" s="1548"/>
      <c r="X107" s="1548"/>
      <c r="Y107" s="1548"/>
      <c r="Z107" s="1548"/>
      <c r="AA107" s="183"/>
      <c r="AB107" s="327" t="s">
        <v>1833</v>
      </c>
      <c r="AC107" s="502" t="s">
        <v>1834</v>
      </c>
      <c r="AD107" s="775"/>
      <c r="AE107" s="775" t="s">
        <v>917</v>
      </c>
      <c r="AF107" s="1898">
        <f>_xlfn.SUMIFS('Калькуляция (5.9)'!AF$26:AF$139,'Калькуляция (5.9)'!$F$26:$F$139,$F107,'Калькуляция (5.9)'!$G$26:$G$139,$G107)</f>
        <v>0</v>
      </c>
      <c r="AG107" s="1898">
        <f>_xlfn.SUMIFS('Калькуляция (5.9)'!AG$26:AG$139,'Калькуляция (5.9)'!$F$26:$F$139,$F107,'Калькуляция (5.9)'!$G$26:$G$139,$G107)</f>
        <v>0</v>
      </c>
      <c r="AH107" s="765"/>
      <c r="AI107" s="765"/>
      <c r="AJ107" s="765"/>
      <c r="AK107" s="765"/>
      <c r="AL107" s="765"/>
      <c r="AM107" s="765"/>
      <c r="AN107" s="765"/>
      <c r="AO107" s="765"/>
      <c r="AP107" s="765"/>
      <c r="AQ107" s="765"/>
      <c r="AR107" s="765"/>
      <c r="AS107" s="765"/>
      <c r="AT107" s="765"/>
      <c r="AU107" s="765"/>
      <c r="AV107" s="765"/>
      <c r="AW107" s="969"/>
      <c r="AX107" s="969"/>
      <c r="AY107" s="969"/>
      <c r="AZ107" s="489" t="s">
        <v>1835</v>
      </c>
      <c r="BA107" s="1506"/>
      <c r="BB107" s="1506"/>
      <c r="BC107" s="1506"/>
      <c r="BD107" s="2312" cm="1" t="str">
        <f t="array" ref="BD107:BD107">BD106</f>
        <v>ТЭ.42.31656254.0001</v>
      </c>
      <c r="BE107" s="1751"/>
      <c r="BF107" s="1751"/>
      <c r="BG107" s="1751"/>
      <c r="BH107" s="1751"/>
      <c r="BI107" s="1751"/>
      <c r="BJ107" s="1751"/>
      <c r="BK107" s="1751"/>
      <c r="BL107" s="1751"/>
      <c r="BM107" s="1751"/>
      <c r="BN107" s="1751"/>
      <c r="BO107" s="2312" t="s">
        <v>303</v>
      </c>
      <c r="BP107" s="2312" t="s">
        <v>1836</v>
      </c>
      <c r="BQ107" s="2312" t="s">
        <v>1837</v>
      </c>
      <c r="BR107" s="1751"/>
    </row>
    <row s="1751" customFormat="1" customHeight="1" ht="20.25">
      <c r="A108" s="371"/>
      <c r="B108" s="1548"/>
      <c r="C108" s="1548"/>
      <c r="D108" s="1548"/>
      <c r="E108" s="180">
        <v>21</v>
      </c>
      <c r="F108" s="175" cm="1" t="str">
        <f t="array" ref="F108:F108">F107</f>
        <v>1</v>
      </c>
      <c r="G108" s="1659"/>
      <c r="H108" s="1659"/>
      <c r="I108" s="1659"/>
      <c r="J108" s="1659"/>
      <c r="K108" s="1659"/>
      <c r="L108" s="1659"/>
      <c r="M108" s="1659"/>
      <c r="N108" s="1659"/>
      <c r="O108" s="1659"/>
      <c r="P108" s="1659"/>
      <c r="Q108" s="1659"/>
      <c r="R108" s="1659"/>
      <c r="S108" s="1659"/>
      <c r="T108" s="753" cm="1" t="str">
        <f t="array" ref="T108:T108">T107</f>
        <v>true</v>
      </c>
      <c r="U108" s="1548"/>
      <c r="V108" s="1548"/>
      <c r="W108" s="1548"/>
      <c r="X108" s="1548"/>
      <c r="Y108" s="1548"/>
      <c r="Z108" s="1548"/>
      <c r="AA108" s="183"/>
      <c r="AB108" s="327" t="s">
        <v>1838</v>
      </c>
      <c r="AC108" s="784" t="s">
        <v>1839</v>
      </c>
      <c r="AD108" s="775"/>
      <c r="AE108" s="775" t="s">
        <v>495</v>
      </c>
      <c r="AF108" s="2360"/>
      <c r="AG108" s="2360"/>
      <c r="AH108" s="765"/>
      <c r="AI108" s="765"/>
      <c r="AJ108" s="765"/>
      <c r="AK108" s="765"/>
      <c r="AL108" s="765"/>
      <c r="AM108" s="765"/>
      <c r="AN108" s="765"/>
      <c r="AO108" s="765"/>
      <c r="AP108" s="765"/>
      <c r="AQ108" s="765"/>
      <c r="AR108" s="765"/>
      <c r="AS108" s="765"/>
      <c r="AT108" s="765"/>
      <c r="AU108" s="765"/>
      <c r="AV108" s="765"/>
      <c r="AW108" s="969"/>
      <c r="AX108" s="969"/>
      <c r="AY108" s="969"/>
      <c r="AZ108" s="489" t="s">
        <v>1840</v>
      </c>
      <c r="BA108" s="1506"/>
      <c r="BB108" s="1506"/>
      <c r="BC108" s="1506"/>
      <c r="BD108" s="2312" cm="1" t="str">
        <f t="array" ref="BD108:BD108">BD107</f>
        <v>ТЭ.42.31656254.0001</v>
      </c>
      <c r="BE108" s="1751"/>
      <c r="BF108" s="1751"/>
      <c r="BG108" s="1751"/>
      <c r="BH108" s="1751"/>
      <c r="BI108" s="1751"/>
      <c r="BJ108" s="1751"/>
      <c r="BK108" s="1751"/>
      <c r="BL108" s="1751"/>
      <c r="BM108" s="1751"/>
      <c r="BN108" s="1751"/>
      <c r="BO108" s="2312" t="s">
        <v>303</v>
      </c>
      <c r="BP108" s="2312" t="s">
        <v>1841</v>
      </c>
      <c r="BQ108" s="2312" t="s">
        <v>1842</v>
      </c>
      <c r="BR108" s="1751"/>
    </row>
    <row s="1751" customFormat="1" customHeight="1" ht="21">
      <c r="A109" s="371"/>
      <c r="B109" s="1548"/>
      <c r="C109" s="1548"/>
      <c r="D109" s="1548"/>
      <c r="E109" s="180">
        <v>22</v>
      </c>
      <c r="F109" s="175" cm="1" t="str">
        <f t="array" ref="F109:F109">F107</f>
        <v>1</v>
      </c>
      <c r="G109" s="193" t="s">
        <v>1843</v>
      </c>
      <c r="H109" s="1659"/>
      <c r="I109" s="1659"/>
      <c r="J109" s="1659"/>
      <c r="K109" s="1659"/>
      <c r="L109" s="1659"/>
      <c r="M109" s="1659"/>
      <c r="N109" s="1659"/>
      <c r="O109" s="1659"/>
      <c r="P109" s="1659"/>
      <c r="Q109" s="1659"/>
      <c r="R109" s="1659"/>
      <c r="S109" s="1659"/>
      <c r="T109" s="753" cm="1" t="str">
        <f t="array" ref="T109:T109">T107</f>
        <v>true</v>
      </c>
      <c r="U109" s="1548"/>
      <c r="V109" s="1548"/>
      <c r="W109" s="1548"/>
      <c r="X109" s="1548"/>
      <c r="Y109" s="1548"/>
      <c r="Z109" s="1548"/>
      <c r="AA109" s="183"/>
      <c r="AB109" s="327" t="s">
        <v>1844</v>
      </c>
      <c r="AC109" s="502" t="s">
        <v>1845</v>
      </c>
      <c r="AD109" s="775"/>
      <c r="AE109" s="775" t="s">
        <v>917</v>
      </c>
      <c r="AF109" s="1898">
        <f>_xlfn.SUMIFS('Калькуляция (5.9)'!AF$26:AF$139,'Калькуляция (5.9)'!$F$26:$F$139,$F109,'Калькуляция (5.9)'!$G$26:$G$139,$G109)</f>
        <v>0</v>
      </c>
      <c r="AG109" s="1898">
        <f>_xlfn.SUMIFS('Калькуляция (5.9)'!AG$26:AG$139,'Калькуляция (5.9)'!$F$26:$F$139,$F109,'Калькуляция (5.9)'!$G$26:$G$139,$G109)</f>
        <v>0</v>
      </c>
      <c r="AH109" s="765"/>
      <c r="AI109" s="765"/>
      <c r="AJ109" s="765"/>
      <c r="AK109" s="765"/>
      <c r="AL109" s="765"/>
      <c r="AM109" s="765"/>
      <c r="AN109" s="765"/>
      <c r="AO109" s="765"/>
      <c r="AP109" s="765"/>
      <c r="AQ109" s="765"/>
      <c r="AR109" s="765"/>
      <c r="AS109" s="765"/>
      <c r="AT109" s="765"/>
      <c r="AU109" s="765"/>
      <c r="AV109" s="765"/>
      <c r="AW109" s="969"/>
      <c r="AX109" s="969"/>
      <c r="AY109" s="969"/>
      <c r="AZ109" s="489" t="s">
        <v>1846</v>
      </c>
      <c r="BA109" s="1506"/>
      <c r="BB109" s="1506"/>
      <c r="BC109" s="1506"/>
      <c r="BD109" s="2312" cm="1" t="str">
        <f t="array" ref="BD109:BD109">BD108</f>
        <v>ТЭ.42.31656254.0001</v>
      </c>
      <c r="BE109" s="1751"/>
      <c r="BF109" s="1751"/>
      <c r="BG109" s="1751"/>
      <c r="BH109" s="1751"/>
      <c r="BI109" s="1751"/>
      <c r="BJ109" s="1751"/>
      <c r="BK109" s="1751"/>
      <c r="BL109" s="1751"/>
      <c r="BM109" s="1751"/>
      <c r="BN109" s="1751"/>
      <c r="BO109" s="2312" t="s">
        <v>303</v>
      </c>
      <c r="BP109" s="2312" t="s">
        <v>1847</v>
      </c>
      <c r="BQ109" s="2312" t="s">
        <v>1848</v>
      </c>
      <c r="BR109" s="1751"/>
    </row>
    <row s="1751" customFormat="1" customHeight="1" ht="21.75">
      <c r="A110" s="371"/>
      <c r="B110" s="1548"/>
      <c r="C110" s="1548"/>
      <c r="D110" s="1548"/>
      <c r="E110" s="180">
        <v>23</v>
      </c>
      <c r="F110" s="175" cm="1" t="str">
        <f t="array" ref="F110:F110">F109</f>
        <v>1</v>
      </c>
      <c r="G110" s="193">
        <v>6</v>
      </c>
      <c r="H110" s="1659"/>
      <c r="I110" s="1659"/>
      <c r="J110" s="1659"/>
      <c r="K110" s="1659"/>
      <c r="L110" s="1659"/>
      <c r="M110" s="1659"/>
      <c r="N110" s="1659"/>
      <c r="O110" s="1659"/>
      <c r="P110" s="1659"/>
      <c r="Q110" s="1659"/>
      <c r="R110" s="1659"/>
      <c r="S110" s="1659"/>
      <c r="T110" s="753" cm="1" t="str">
        <f t="array" ref="T110:T110">T109</f>
        <v>true</v>
      </c>
      <c r="U110" s="1548"/>
      <c r="V110" s="1548"/>
      <c r="W110" s="1548"/>
      <c r="X110" s="1548"/>
      <c r="Y110" s="1548"/>
      <c r="Z110" s="1548"/>
      <c r="AA110" s="183"/>
      <c r="AB110" s="327" t="s">
        <v>1849</v>
      </c>
      <c r="AC110" s="502" t="s">
        <v>1850</v>
      </c>
      <c r="AD110" s="775"/>
      <c r="AE110" s="775" t="s">
        <v>917</v>
      </c>
      <c r="AF110" s="1898">
        <f>_xlfn.SUMIFS('Калькуляция (5.9)'!AF$26:AF$139,'Калькуляция (5.9)'!$F$26:$F$139,$F110,'Калькуляция (5.9)'!$G$26:$G$139,$G110)</f>
        <v>0</v>
      </c>
      <c r="AG110" s="1898">
        <f>_xlfn.SUMIFS('Калькуляция (5.9)'!AG$26:AG$139,'Калькуляция (5.9)'!$F$26:$F$139,$F110,'Калькуляция (5.9)'!$G$26:$G$139,$G110)</f>
        <v>0</v>
      </c>
      <c r="AH110" s="765"/>
      <c r="AI110" s="765"/>
      <c r="AJ110" s="765"/>
      <c r="AK110" s="765"/>
      <c r="AL110" s="765"/>
      <c r="AM110" s="765"/>
      <c r="AN110" s="765"/>
      <c r="AO110" s="765"/>
      <c r="AP110" s="765"/>
      <c r="AQ110" s="765"/>
      <c r="AR110" s="765"/>
      <c r="AS110" s="765"/>
      <c r="AT110" s="765"/>
      <c r="AU110" s="765"/>
      <c r="AV110" s="765"/>
      <c r="AW110" s="969"/>
      <c r="AX110" s="969"/>
      <c r="AY110" s="969"/>
      <c r="AZ110" s="489" t="s">
        <v>1851</v>
      </c>
      <c r="BA110" s="1506"/>
      <c r="BB110" s="1506"/>
      <c r="BC110" s="1506"/>
      <c r="BD110" s="2312" cm="1" t="str">
        <f t="array" ref="BD110:BD110">BD109</f>
        <v>ТЭ.42.31656254.0001</v>
      </c>
      <c r="BE110" s="1751"/>
      <c r="BF110" s="1751"/>
      <c r="BG110" s="1751"/>
      <c r="BH110" s="1751"/>
      <c r="BI110" s="1751"/>
      <c r="BJ110" s="1751"/>
      <c r="BK110" s="1751"/>
      <c r="BL110" s="1751"/>
      <c r="BM110" s="1751"/>
      <c r="BN110" s="1751"/>
      <c r="BO110" s="2312" t="s">
        <v>303</v>
      </c>
      <c r="BP110" s="2312" t="s">
        <v>1852</v>
      </c>
      <c r="BQ110" s="2312" t="s">
        <v>1853</v>
      </c>
      <c r="BR110" s="1751"/>
    </row>
    <row s="1751" customFormat="1" customHeight="1" ht="29.25">
      <c r="A111" s="371"/>
      <c r="B111" s="1548"/>
      <c r="C111" s="1548"/>
      <c r="D111" s="1548"/>
      <c r="E111" s="180">
        <v>30</v>
      </c>
      <c r="F111" s="175" cm="1" t="str">
        <f t="array" ref="F111:F111">F110</f>
        <v>1</v>
      </c>
      <c r="G111" s="1659"/>
      <c r="H111" s="1659"/>
      <c r="I111" s="1659"/>
      <c r="J111" s="1659"/>
      <c r="K111" s="1659"/>
      <c r="L111" s="1659"/>
      <c r="M111" s="1659"/>
      <c r="N111" s="1659"/>
      <c r="O111" s="1659"/>
      <c r="P111" s="1659"/>
      <c r="Q111" s="1659"/>
      <c r="R111" s="1659"/>
      <c r="S111" s="1659"/>
      <c r="T111" s="753" cm="1" t="str">
        <f t="array" ref="T111:T111">T110</f>
        <v>true</v>
      </c>
      <c r="U111" s="1548"/>
      <c r="V111" s="1548"/>
      <c r="W111" s="1548"/>
      <c r="X111" s="1548"/>
      <c r="Y111" s="1548"/>
      <c r="Z111" s="1548"/>
      <c r="AA111" s="183"/>
      <c r="AB111" s="327" t="s">
        <v>1854</v>
      </c>
      <c r="AC111" s="502" t="s">
        <v>1855</v>
      </c>
      <c r="AD111" s="786"/>
      <c r="AE111" s="775" t="s">
        <v>917</v>
      </c>
      <c r="AF111" s="1898"/>
      <c r="AG111" s="1898"/>
      <c r="AH111" s="765"/>
      <c r="AI111" s="765"/>
      <c r="AJ111" s="765"/>
      <c r="AK111" s="765"/>
      <c r="AL111" s="765"/>
      <c r="AM111" s="765"/>
      <c r="AN111" s="765"/>
      <c r="AO111" s="765"/>
      <c r="AP111" s="765"/>
      <c r="AQ111" s="765"/>
      <c r="AR111" s="765"/>
      <c r="AS111" s="765"/>
      <c r="AT111" s="765"/>
      <c r="AU111" s="765"/>
      <c r="AV111" s="765"/>
      <c r="AW111" s="969"/>
      <c r="AX111" s="969"/>
      <c r="AY111" s="969"/>
      <c r="AZ111" s="489" t="s">
        <v>1856</v>
      </c>
      <c r="BA111" s="1506"/>
      <c r="BB111" s="1506"/>
      <c r="BC111" s="1506"/>
      <c r="BD111" s="2312" cm="1" t="str">
        <f t="array" ref="BD111:BD111">BD110</f>
        <v>ТЭ.42.31656254.0001</v>
      </c>
      <c r="BE111" s="1751"/>
      <c r="BF111" s="1751"/>
      <c r="BG111" s="1751"/>
      <c r="BH111" s="1751"/>
      <c r="BI111" s="1751"/>
      <c r="BJ111" s="1751"/>
      <c r="BK111" s="1751"/>
      <c r="BL111" s="1751"/>
      <c r="BM111" s="1751"/>
      <c r="BN111" s="2312" t="s">
        <v>601</v>
      </c>
      <c r="BO111" s="2312" t="s">
        <v>303</v>
      </c>
      <c r="BP111" s="2312" t="s">
        <v>1857</v>
      </c>
      <c r="BQ111" s="2312" t="s">
        <v>1858</v>
      </c>
      <c r="BR111" s="1751"/>
    </row>
    <row s="1751" customFormat="1" customHeight="1" ht="36.75">
      <c r="A112" s="371"/>
      <c r="B112" s="1548"/>
      <c r="C112" s="1548"/>
      <c r="D112" s="1548"/>
      <c r="E112" s="180">
        <v>38</v>
      </c>
      <c r="F112" s="175" cm="1" t="str">
        <f t="array" ref="F112:F112">F111</f>
        <v>1</v>
      </c>
      <c r="G112" s="1659"/>
      <c r="H112" s="1659"/>
      <c r="I112" s="1659"/>
      <c r="J112" s="1659"/>
      <c r="K112" s="1659"/>
      <c r="L112" s="1659"/>
      <c r="M112" s="1659"/>
      <c r="N112" s="1659"/>
      <c r="O112" s="1659"/>
      <c r="P112" s="1659"/>
      <c r="Q112" s="1659"/>
      <c r="R112" s="1659"/>
      <c r="S112" s="1659"/>
      <c r="T112" s="753" cm="1" t="str">
        <f t="array" ref="T112:T112">T111</f>
        <v>true</v>
      </c>
      <c r="U112" s="1548"/>
      <c r="V112" s="1548"/>
      <c r="W112" s="1548"/>
      <c r="X112" s="1548"/>
      <c r="Y112" s="1548"/>
      <c r="Z112" s="1548"/>
      <c r="AA112" s="183"/>
      <c r="AB112" s="327" t="s">
        <v>1859</v>
      </c>
      <c r="AC112" s="502" t="s">
        <v>1860</v>
      </c>
      <c r="AD112" s="775"/>
      <c r="AE112" s="775" t="s">
        <v>917</v>
      </c>
      <c r="AF112" s="1898"/>
      <c r="AG112" s="1898"/>
      <c r="AH112" s="765"/>
      <c r="AI112" s="765"/>
      <c r="AJ112" s="765"/>
      <c r="AK112" s="765"/>
      <c r="AL112" s="765"/>
      <c r="AM112" s="765"/>
      <c r="AN112" s="765"/>
      <c r="AO112" s="765"/>
      <c r="AP112" s="765"/>
      <c r="AQ112" s="765"/>
      <c r="AR112" s="765"/>
      <c r="AS112" s="765"/>
      <c r="AT112" s="765"/>
      <c r="AU112" s="765"/>
      <c r="AV112" s="765"/>
      <c r="AW112" s="969"/>
      <c r="AX112" s="969"/>
      <c r="AY112" s="969"/>
      <c r="AZ112" s="489" t="s">
        <v>1861</v>
      </c>
      <c r="BA112" s="1506"/>
      <c r="BB112" s="1506"/>
      <c r="BC112" s="1506"/>
      <c r="BD112" s="2312" cm="1" t="str">
        <f t="array" ref="BD112:BD112">BD111</f>
        <v>ТЭ.42.31656254.0001</v>
      </c>
      <c r="BE112" s="2312" t="s">
        <v>1716</v>
      </c>
      <c r="BF112" s="1751"/>
      <c r="BG112" s="1751"/>
      <c r="BH112" s="1751"/>
      <c r="BI112" s="1751"/>
      <c r="BJ112" s="1751"/>
      <c r="BK112" s="1751"/>
      <c r="BL112" s="1751"/>
      <c r="BM112" s="1751"/>
      <c r="BN112" s="1751"/>
      <c r="BO112" s="2312" t="s">
        <v>303</v>
      </c>
      <c r="BP112" s="2312" t="s">
        <v>1862</v>
      </c>
      <c r="BQ112" s="2312" t="s">
        <v>1863</v>
      </c>
      <c r="BR112" s="1751"/>
    </row>
    <row s="1751" customFormat="1" customHeight="1" ht="72.75">
      <c r="A113" s="371"/>
      <c r="B113" s="1548"/>
      <c r="C113" s="1548"/>
      <c r="D113" s="1548"/>
      <c r="E113" s="180">
        <v>75</v>
      </c>
      <c r="F113" s="175" cm="1" t="str">
        <f t="array" ref="F113:F113">F112</f>
        <v>1</v>
      </c>
      <c r="G113" s="1659"/>
      <c r="H113" s="1659"/>
      <c r="I113" s="1659"/>
      <c r="J113" s="1659"/>
      <c r="K113" s="1659"/>
      <c r="L113" s="1659"/>
      <c r="M113" s="1659"/>
      <c r="N113" s="1659"/>
      <c r="O113" s="1659"/>
      <c r="P113" s="1659"/>
      <c r="Q113" s="1659"/>
      <c r="R113" s="1659"/>
      <c r="S113" s="1659"/>
      <c r="T113" s="753" cm="1" t="str">
        <f t="array" ref="T113:T113">T112</f>
        <v>true</v>
      </c>
      <c r="U113" s="1548"/>
      <c r="V113" s="1548"/>
      <c r="W113" s="1548"/>
      <c r="X113" s="1548"/>
      <c r="Y113" s="1548"/>
      <c r="Z113" s="1548"/>
      <c r="AA113" s="183"/>
      <c r="AB113" s="327" t="s">
        <v>1864</v>
      </c>
      <c r="AC113" s="502" t="s">
        <v>1865</v>
      </c>
      <c r="AD113" s="775"/>
      <c r="AE113" s="775" t="s">
        <v>917</v>
      </c>
      <c r="AF113" s="1898"/>
      <c r="AG113" s="1898"/>
      <c r="AH113" s="765"/>
      <c r="AI113" s="765"/>
      <c r="AJ113" s="765"/>
      <c r="AK113" s="765"/>
      <c r="AL113" s="765"/>
      <c r="AM113" s="765"/>
      <c r="AN113" s="765"/>
      <c r="AO113" s="765"/>
      <c r="AP113" s="765"/>
      <c r="AQ113" s="765"/>
      <c r="AR113" s="765"/>
      <c r="AS113" s="765"/>
      <c r="AT113" s="765"/>
      <c r="AU113" s="765"/>
      <c r="AV113" s="765"/>
      <c r="AW113" s="969"/>
      <c r="AX113" s="969"/>
      <c r="AY113" s="969"/>
      <c r="AZ113" s="489" t="s">
        <v>1866</v>
      </c>
      <c r="BA113" s="1506"/>
      <c r="BB113" s="1506"/>
      <c r="BC113" s="1506"/>
      <c r="BD113" s="2312" cm="1" t="str">
        <f t="array" ref="BD113:BD113">BD112</f>
        <v>ТЭ.42.31656254.0001</v>
      </c>
      <c r="BE113" s="2312" t="s">
        <v>1867</v>
      </c>
      <c r="BF113" s="1751"/>
      <c r="BG113" s="1751"/>
      <c r="BH113" s="1751"/>
      <c r="BI113" s="1751"/>
      <c r="BJ113" s="1751"/>
      <c r="BK113" s="1751"/>
      <c r="BL113" s="1751"/>
      <c r="BM113" s="1751"/>
      <c r="BN113" s="1751"/>
      <c r="BO113" s="2312" t="s">
        <v>303</v>
      </c>
      <c r="BP113" s="2312" t="s">
        <v>1868</v>
      </c>
      <c r="BQ113" s="2312" t="s">
        <v>1869</v>
      </c>
      <c r="BR113" s="1751"/>
    </row>
    <row s="1751" customFormat="1" customHeight="1" ht="72">
      <c r="A114" s="371"/>
      <c r="B114" s="1548"/>
      <c r="C114" s="1548"/>
      <c r="D114" s="1548"/>
      <c r="E114" s="180">
        <v>74</v>
      </c>
      <c r="F114" s="175" cm="1" t="str">
        <f t="array" ref="F114:F114">F113</f>
        <v>1</v>
      </c>
      <c r="G114" s="1659"/>
      <c r="H114" s="1659"/>
      <c r="I114" s="1659"/>
      <c r="J114" s="1659"/>
      <c r="K114" s="1659"/>
      <c r="L114" s="1659"/>
      <c r="M114" s="1659"/>
      <c r="N114" s="1659"/>
      <c r="O114" s="1659"/>
      <c r="P114" s="1659"/>
      <c r="Q114" s="1659"/>
      <c r="R114" s="1659"/>
      <c r="S114" s="1659"/>
      <c r="T114" s="753" cm="1" t="str">
        <f t="array" ref="T114:T114">T113</f>
        <v>true</v>
      </c>
      <c r="U114" s="1548"/>
      <c r="V114" s="1548"/>
      <c r="W114" s="1548"/>
      <c r="X114" s="1548"/>
      <c r="Y114" s="1548"/>
      <c r="Z114" s="1548"/>
      <c r="AA114" s="183"/>
      <c r="AB114" s="327" t="s">
        <v>1870</v>
      </c>
      <c r="AC114" s="502" t="s">
        <v>1871</v>
      </c>
      <c r="AD114" s="775"/>
      <c r="AE114" s="775" t="s">
        <v>1709</v>
      </c>
      <c r="AF114" s="1898"/>
      <c r="AG114" s="1898"/>
      <c r="AH114" s="765"/>
      <c r="AI114" s="765"/>
      <c r="AJ114" s="765"/>
      <c r="AK114" s="765"/>
      <c r="AL114" s="765"/>
      <c r="AM114" s="765"/>
      <c r="AN114" s="765"/>
      <c r="AO114" s="765"/>
      <c r="AP114" s="765"/>
      <c r="AQ114" s="765"/>
      <c r="AR114" s="765"/>
      <c r="AS114" s="765"/>
      <c r="AT114" s="765"/>
      <c r="AU114" s="765"/>
      <c r="AV114" s="765"/>
      <c r="AW114" s="969"/>
      <c r="AX114" s="969"/>
      <c r="AY114" s="969"/>
      <c r="AZ114" s="489" t="s">
        <v>1872</v>
      </c>
      <c r="BA114" s="1506"/>
      <c r="BB114" s="1506"/>
      <c r="BC114" s="1506"/>
      <c r="BD114" s="2312" cm="1" t="str">
        <f t="array" ref="BD114:BD114">BD113</f>
        <v>ТЭ.42.31656254.0001</v>
      </c>
      <c r="BE114" s="1751"/>
      <c r="BF114" s="1751"/>
      <c r="BG114" s="1751"/>
      <c r="BH114" s="1751"/>
      <c r="BI114" s="1751"/>
      <c r="BJ114" s="1751"/>
      <c r="BK114" s="1751"/>
      <c r="BL114" s="1751"/>
      <c r="BM114" s="1751"/>
      <c r="BN114" s="1751"/>
      <c r="BO114" s="2312" t="s">
        <v>303</v>
      </c>
      <c r="BP114" s="2312" t="s">
        <v>1873</v>
      </c>
      <c r="BQ114" s="2312" t="s">
        <v>1874</v>
      </c>
      <c r="BR114" s="1751"/>
    </row>
    <row s="1751" customFormat="1" customHeight="1" ht="55.5">
      <c r="A115" s="371"/>
      <c r="B115" s="1548"/>
      <c r="C115" s="1548"/>
      <c r="D115" s="1548"/>
      <c r="E115" s="180">
        <v>57</v>
      </c>
      <c r="F115" s="175" cm="1" t="str">
        <f t="array" ref="F115:F115">F114</f>
        <v>1</v>
      </c>
      <c r="G115" s="1659"/>
      <c r="H115" s="1659"/>
      <c r="I115" s="1659"/>
      <c r="J115" s="1659"/>
      <c r="K115" s="1659"/>
      <c r="L115" s="1659"/>
      <c r="M115" s="1659"/>
      <c r="N115" s="1659"/>
      <c r="O115" s="1659"/>
      <c r="P115" s="1659"/>
      <c r="Q115" s="1659"/>
      <c r="R115" s="1659"/>
      <c r="S115" s="1659"/>
      <c r="T115" s="753" cm="1" t="str">
        <f t="array" ref="T115:T115">T114</f>
        <v>true</v>
      </c>
      <c r="U115" s="1548"/>
      <c r="V115" s="1548"/>
      <c r="W115" s="1548"/>
      <c r="X115" s="1548"/>
      <c r="Y115" s="1548"/>
      <c r="Z115" s="1548"/>
      <c r="AA115" s="183"/>
      <c r="AB115" s="327">
        <v>2</v>
      </c>
      <c r="AC115" s="773" t="s">
        <v>1875</v>
      </c>
      <c r="AD115" s="384" t="s">
        <v>1905</v>
      </c>
      <c r="AE115" s="775" t="s">
        <v>1709</v>
      </c>
      <c r="AF115" s="1898"/>
      <c r="AG115" s="1898"/>
      <c r="AH115" s="765"/>
      <c r="AI115" s="765"/>
      <c r="AJ115" s="765"/>
      <c r="AK115" s="765"/>
      <c r="AL115" s="765"/>
      <c r="AM115" s="765"/>
      <c r="AN115" s="765"/>
      <c r="AO115" s="765"/>
      <c r="AP115" s="765"/>
      <c r="AQ115" s="765"/>
      <c r="AR115" s="765"/>
      <c r="AS115" s="765"/>
      <c r="AT115" s="765"/>
      <c r="AU115" s="765"/>
      <c r="AV115" s="765"/>
      <c r="AW115" s="969"/>
      <c r="AX115" s="969"/>
      <c r="AY115" s="969"/>
      <c r="AZ115" s="489" t="s">
        <v>1877</v>
      </c>
      <c r="BA115" s="1506"/>
      <c r="BB115" s="1506"/>
      <c r="BC115" s="1506"/>
      <c r="BD115" s="2312" cm="1" t="str">
        <f t="array" ref="BD115:BD115">BD114</f>
        <v>ТЭ.42.31656254.0001</v>
      </c>
      <c r="BE115" s="2312" t="s">
        <v>1716</v>
      </c>
      <c r="BF115" s="2312" t="s">
        <v>411</v>
      </c>
      <c r="BG115" s="1751"/>
      <c r="BH115" s="1751"/>
      <c r="BI115" s="1751"/>
      <c r="BJ115" s="1751"/>
      <c r="BK115" s="1751"/>
      <c r="BL115" s="1751"/>
      <c r="BM115" s="1751"/>
      <c r="BN115" s="1751"/>
      <c r="BO115" s="2312" t="s">
        <v>303</v>
      </c>
      <c r="BP115" s="2312" t="s">
        <v>1878</v>
      </c>
      <c r="BQ115" s="2312" t="s">
        <v>1879</v>
      </c>
      <c r="BR115" s="1751"/>
    </row>
    <row s="1751" customFormat="1" customHeight="1" ht="10.5">
      <c r="A116" s="371"/>
      <c r="B116" s="1548"/>
      <c r="C116" s="1548"/>
      <c r="D116" s="1548"/>
      <c r="E116" s="180">
        <v>11</v>
      </c>
      <c r="F116" s="175" cm="1" t="str">
        <f t="array" ref="F116:F116">F115</f>
        <v>1</v>
      </c>
      <c r="G116" s="1659"/>
      <c r="H116" s="1659"/>
      <c r="I116" s="1659"/>
      <c r="J116" s="1659"/>
      <c r="K116" s="1659"/>
      <c r="L116" s="1659"/>
      <c r="M116" s="1659"/>
      <c r="N116" s="1659"/>
      <c r="O116" s="1659"/>
      <c r="P116" s="1659"/>
      <c r="Q116" s="1659"/>
      <c r="R116" s="1659"/>
      <c r="S116" s="1659"/>
      <c r="T116" s="753" cm="1" t="str">
        <f t="array" ref="T116:T116">T115</f>
        <v>true</v>
      </c>
      <c r="U116" s="1548"/>
      <c r="V116" s="1548"/>
      <c r="W116" s="1548"/>
      <c r="X116" s="1548"/>
      <c r="Y116" s="1548"/>
      <c r="Z116" s="1548"/>
      <c r="AA116" s="183"/>
      <c r="AB116" s="307"/>
      <c r="AC116" s="307"/>
      <c r="AD116" s="307"/>
      <c r="AE116" s="307"/>
      <c r="AF116" s="307"/>
      <c r="AG116" s="307"/>
      <c r="AH116" s="765"/>
      <c r="AI116" s="765"/>
      <c r="AJ116" s="765"/>
      <c r="AK116" s="765"/>
      <c r="AL116" s="765"/>
      <c r="AM116" s="765"/>
      <c r="AN116" s="765"/>
      <c r="AO116" s="765"/>
      <c r="AP116" s="765"/>
      <c r="AQ116" s="765"/>
      <c r="AR116" s="765"/>
      <c r="AS116" s="765"/>
      <c r="AT116" s="765"/>
      <c r="AU116" s="765"/>
      <c r="AV116" s="765"/>
      <c r="AW116" s="969"/>
      <c r="AX116" s="969"/>
      <c r="AY116" s="969"/>
      <c r="AZ116" s="1125"/>
      <c r="BA116" s="1506"/>
      <c r="BB116" s="1506"/>
      <c r="BC116" s="1506"/>
      <c r="BD116" s="2312" cm="1" t="str">
        <f t="array" ref="BD116:BD116">BD115</f>
        <v>ТЭ.42.31656254.0001</v>
      </c>
      <c r="BE116" s="1751"/>
      <c r="BF116" s="1751"/>
      <c r="BG116" s="1751"/>
      <c r="BH116" s="1751"/>
      <c r="BI116" s="1751"/>
      <c r="BJ116" s="1751"/>
      <c r="BK116" s="1751"/>
      <c r="BL116" s="1751"/>
      <c r="BM116" s="1751"/>
      <c r="BN116" s="1751"/>
      <c r="BO116" s="2312" t="s">
        <v>176</v>
      </c>
      <c r="BP116" s="1751"/>
      <c r="BQ116" s="1751"/>
      <c r="BR116" s="1751"/>
    </row>
    <row s="1751" customFormat="1" customHeight="1" ht="10.5">
      <c r="A117" s="371"/>
      <c r="B117" s="1548"/>
      <c r="C117" s="1548"/>
      <c r="D117" s="1548"/>
      <c r="E117" s="180">
        <v>11</v>
      </c>
      <c r="F117" s="175" cm="1" t="str">
        <f t="array" ref="F117:F117">F116</f>
        <v>1</v>
      </c>
      <c r="G117" s="1659"/>
      <c r="H117" s="1659"/>
      <c r="I117" s="1659"/>
      <c r="J117" s="1659"/>
      <c r="K117" s="1659"/>
      <c r="L117" s="1659"/>
      <c r="M117" s="1659"/>
      <c r="N117" s="1659"/>
      <c r="O117" s="1659"/>
      <c r="P117" s="1659"/>
      <c r="Q117" s="1659"/>
      <c r="R117" s="1659"/>
      <c r="S117" s="1659"/>
      <c r="T117" s="753" cm="1" t="str">
        <f t="array" ref="T117:T117">T116</f>
        <v>true</v>
      </c>
      <c r="U117" s="1548"/>
      <c r="V117" s="1548"/>
      <c r="W117" s="1548"/>
      <c r="X117" s="1548"/>
      <c r="Y117" s="1548"/>
      <c r="Z117" s="1548"/>
      <c r="AA117" s="183"/>
      <c r="AB117" s="356" t="s">
        <v>1705</v>
      </c>
      <c r="AC117" s="1685" t="s">
        <v>493</v>
      </c>
      <c r="AD117" s="436" t="s">
        <v>1330</v>
      </c>
      <c r="AE117" s="385">
        <f>god-2</f>
        <v>2025</v>
      </c>
      <c r="AF117" s="385">
        <f>god-1</f>
        <v>2026</v>
      </c>
      <c r="AG117" s="436" t="s">
        <v>1880</v>
      </c>
      <c r="AH117" s="663" cm="1" t="str">
        <f t="array" ref="AH117:AH117">god</f>
        <v>2027</v>
      </c>
      <c r="AI117" s="385">
        <f>god+1</f>
        <v>2028</v>
      </c>
      <c r="AJ117" s="385">
        <f>god+2</f>
        <v>2029</v>
      </c>
      <c r="AK117" s="385">
        <f>god+3</f>
        <v>2030</v>
      </c>
      <c r="AL117" s="385">
        <f>god+4</f>
        <v>2031</v>
      </c>
      <c r="AM117" s="436" t="s">
        <v>1880</v>
      </c>
      <c r="AN117" s="663" cm="1" t="str">
        <f t="array" ref="AN117:AN117">god</f>
        <v>2027</v>
      </c>
      <c r="AO117" s="385">
        <f>god+1</f>
        <v>2028</v>
      </c>
      <c r="AP117" s="385">
        <f>god+2</f>
        <v>2029</v>
      </c>
      <c r="AQ117" s="385">
        <f>god+3</f>
        <v>2030</v>
      </c>
      <c r="AR117" s="385">
        <f>god+4</f>
        <v>2031</v>
      </c>
      <c r="AS117" s="765"/>
      <c r="AT117" s="765"/>
      <c r="AU117" s="135" t="s">
        <v>1881</v>
      </c>
      <c r="AV117" s="765"/>
      <c r="AW117" s="969"/>
      <c r="AX117" s="969"/>
      <c r="AY117" s="969"/>
      <c r="AZ117" s="1125"/>
      <c r="BA117" s="1506"/>
      <c r="BB117" s="1506"/>
      <c r="BC117" s="1506"/>
      <c r="BD117" s="2312" cm="1" t="str">
        <f t="array" ref="BD117:BD117">BD116</f>
        <v>ТЭ.42.31656254.0001</v>
      </c>
      <c r="BE117" s="1751"/>
      <c r="BF117" s="1751"/>
      <c r="BG117" s="1751"/>
      <c r="BH117" s="1751"/>
      <c r="BI117" s="1751"/>
      <c r="BJ117" s="1751"/>
      <c r="BK117" s="1751"/>
      <c r="BL117" s="1751"/>
      <c r="BM117" s="1751"/>
      <c r="BN117" s="1751"/>
      <c r="BO117" s="2312" t="s">
        <v>176</v>
      </c>
      <c r="BP117" s="1751"/>
      <c r="BQ117" s="1751"/>
      <c r="BR117" s="1751"/>
    </row>
    <row s="1751" customFormat="1" customHeight="1" ht="21">
      <c r="A118" s="371"/>
      <c r="B118" s="1548"/>
      <c r="C118" s="1548"/>
      <c r="D118" s="1548"/>
      <c r="E118" s="180">
        <v>22</v>
      </c>
      <c r="F118" s="175" cm="1" t="str">
        <f t="array" ref="F118:F118">F117</f>
        <v>1</v>
      </c>
      <c r="G118" s="1659"/>
      <c r="H118" s="1659"/>
      <c r="I118" s="1659"/>
      <c r="J118" s="1659"/>
      <c r="K118" s="1659"/>
      <c r="L118" s="1659"/>
      <c r="M118" s="1659"/>
      <c r="N118" s="1659"/>
      <c r="O118" s="1659"/>
      <c r="P118" s="1659"/>
      <c r="Q118" s="1659"/>
      <c r="R118" s="1659"/>
      <c r="S118" s="1659"/>
      <c r="T118" s="753" cm="1" t="str">
        <f t="array" ref="T118:T118">T117</f>
        <v>true</v>
      </c>
      <c r="U118" s="1548"/>
      <c r="V118" s="1548"/>
      <c r="W118" s="1548"/>
      <c r="X118" s="1548"/>
      <c r="Y118" s="1548"/>
      <c r="Z118" s="1548"/>
      <c r="AA118" s="183"/>
      <c r="AB118" s="1684"/>
      <c r="AC118" s="1686"/>
      <c r="AD118" s="436"/>
      <c r="AE118" s="327" t="s">
        <v>415</v>
      </c>
      <c r="AF118" s="327" t="s">
        <v>415</v>
      </c>
      <c r="AG118" s="436"/>
      <c r="AH118" s="327" t="s">
        <v>416</v>
      </c>
      <c r="AI118" s="327" t="s">
        <v>416</v>
      </c>
      <c r="AJ118" s="327" t="s">
        <v>416</v>
      </c>
      <c r="AK118" s="327" t="s">
        <v>416</v>
      </c>
      <c r="AL118" s="327" t="s">
        <v>416</v>
      </c>
      <c r="AM118" s="436"/>
      <c r="AN118" s="327" t="s">
        <v>415</v>
      </c>
      <c r="AO118" s="327" t="s">
        <v>415</v>
      </c>
      <c r="AP118" s="327" t="s">
        <v>415</v>
      </c>
      <c r="AQ118" s="327" t="s">
        <v>415</v>
      </c>
      <c r="AR118" s="327" t="s">
        <v>415</v>
      </c>
      <c r="AS118" s="765"/>
      <c r="AT118" s="765"/>
      <c r="AU118" s="135"/>
      <c r="AV118" s="765"/>
      <c r="AW118" s="969"/>
      <c r="AX118" s="969"/>
      <c r="AY118" s="969"/>
      <c r="AZ118" s="1125"/>
      <c r="BA118" s="1506"/>
      <c r="BB118" s="1506"/>
      <c r="BC118" s="1506"/>
      <c r="BD118" s="2312" cm="1" t="str">
        <f t="array" ref="BD118:BD118">BD117</f>
        <v>ТЭ.42.31656254.0001</v>
      </c>
      <c r="BE118" s="1751"/>
      <c r="BF118" s="1751"/>
      <c r="BG118" s="1751"/>
      <c r="BH118" s="1751"/>
      <c r="BI118" s="1751"/>
      <c r="BJ118" s="1751"/>
      <c r="BK118" s="1751"/>
      <c r="BL118" s="1751"/>
      <c r="BM118" s="1751"/>
      <c r="BN118" s="1751"/>
      <c r="BO118" s="2312" t="s">
        <v>176</v>
      </c>
      <c r="BP118" s="1751"/>
      <c r="BQ118" s="1751"/>
      <c r="BR118" s="1751"/>
    </row>
    <row s="1751" customFormat="1" customHeight="1" ht="15">
      <c r="A119" s="371"/>
      <c r="B119" s="1548"/>
      <c r="C119" s="1548"/>
      <c r="D119" s="1548"/>
      <c r="E119" s="180">
        <v>16</v>
      </c>
      <c r="F119" s="175" cm="1" t="str">
        <f t="array" ref="F119:F119">F118</f>
        <v>1</v>
      </c>
      <c r="G119" s="1659"/>
      <c r="H119" s="1659"/>
      <c r="I119" s="1659"/>
      <c r="J119" s="1659"/>
      <c r="K119" s="1659"/>
      <c r="L119" s="1659"/>
      <c r="M119" s="1659"/>
      <c r="N119" s="1659"/>
      <c r="O119" s="1659"/>
      <c r="P119" s="1659"/>
      <c r="Q119" s="1659"/>
      <c r="R119" s="1659"/>
      <c r="S119" s="1659"/>
      <c r="T119" s="753" cm="1" t="str">
        <f t="array" ref="T119:T119">T118</f>
        <v>true</v>
      </c>
      <c r="U119" s="1548"/>
      <c r="V119" s="1548"/>
      <c r="W119" s="1548"/>
      <c r="X119" s="1548"/>
      <c r="Y119" s="1548"/>
      <c r="Z119" s="1548"/>
      <c r="AA119" s="183"/>
      <c r="AB119" s="360">
        <v>3</v>
      </c>
      <c r="AC119" s="657" t="s">
        <v>1882</v>
      </c>
      <c r="AD119" s="775" t="s">
        <v>917</v>
      </c>
      <c r="AE119" s="788" t="s">
        <v>1883</v>
      </c>
      <c r="AF119" s="788" t="s">
        <v>1883</v>
      </c>
      <c r="AG119" s="789" cm="1" t="str">
        <f t="array" ref="AG119:AG119">AF76</f>
        <v>13403.36</v>
      </c>
      <c r="AH119" s="790"/>
      <c r="AI119" s="2362"/>
      <c r="AJ119" s="2362"/>
      <c r="AK119" s="2362"/>
      <c r="AL119" s="2362"/>
      <c r="AM119" s="789" cm="1" t="str">
        <f t="array" ref="AM119:AM119">AG76</f>
        <v>9385.86814247972</v>
      </c>
      <c r="AN119" s="791"/>
      <c r="AO119" s="2364"/>
      <c r="AP119" s="2364"/>
      <c r="AQ119" s="2364"/>
      <c r="AR119" s="2364"/>
      <c r="AS119" s="765"/>
      <c r="AT119" s="765"/>
      <c r="AU119" s="138"/>
      <c r="AV119" s="765"/>
      <c r="AW119" s="969"/>
      <c r="AX119" s="969"/>
      <c r="AY119" s="969"/>
      <c r="AZ119" s="489" t="s">
        <v>1884</v>
      </c>
      <c r="BA119" s="1506"/>
      <c r="BB119" s="1506"/>
      <c r="BC119" s="1506"/>
      <c r="BD119" s="2312" cm="1" t="str">
        <f t="array" ref="BD119:BD119">BD118</f>
        <v>ТЭ.42.31656254.0001</v>
      </c>
      <c r="BE119" s="1751"/>
      <c r="BF119" s="1751"/>
      <c r="BG119" s="1751"/>
      <c r="BH119" s="1751"/>
      <c r="BI119" s="1751"/>
      <c r="BJ119" s="1751"/>
      <c r="BK119" s="1751"/>
      <c r="BL119" s="1751"/>
      <c r="BM119" s="1751"/>
      <c r="BN119" s="2312" t="s">
        <v>1885</v>
      </c>
      <c r="BO119" s="2312" t="s">
        <v>303</v>
      </c>
      <c r="BP119" s="2312" t="s">
        <v>1857</v>
      </c>
      <c r="BQ119" s="2312" t="s">
        <v>1858</v>
      </c>
      <c r="BR119" s="1751"/>
    </row>
    <row s="1751" customFormat="1" customHeight="1" ht="27">
      <c r="A120" s="371"/>
      <c r="B120" s="1548"/>
      <c r="C120" s="1548"/>
      <c r="D120" s="1548"/>
      <c r="E120" s="180">
        <v>28</v>
      </c>
      <c r="F120" s="175" cm="1" t="str">
        <f t="array" ref="F120:F120">F119</f>
        <v>1</v>
      </c>
      <c r="G120" s="1659"/>
      <c r="H120" s="1659"/>
      <c r="I120" s="1659"/>
      <c r="J120" s="1659"/>
      <c r="K120" s="1659"/>
      <c r="L120" s="1659"/>
      <c r="M120" s="1659"/>
      <c r="N120" s="1659"/>
      <c r="O120" s="1659"/>
      <c r="P120" s="1659"/>
      <c r="Q120" s="1659"/>
      <c r="R120" s="1659"/>
      <c r="S120" s="1659"/>
      <c r="T120" s="753" cm="1" t="str">
        <f t="array" ref="T120:T120">T119</f>
        <v>true</v>
      </c>
      <c r="U120" s="1548"/>
      <c r="V120" s="1548"/>
      <c r="W120" s="1548"/>
      <c r="X120" s="1548"/>
      <c r="Y120" s="1548"/>
      <c r="Z120" s="1548"/>
      <c r="AA120" s="183"/>
      <c r="AB120" s="360">
        <v>4</v>
      </c>
      <c r="AC120" s="793" t="s">
        <v>1886</v>
      </c>
      <c r="AD120" s="775" t="s">
        <v>917</v>
      </c>
      <c r="AE120" s="2362"/>
      <c r="AF120" s="2362"/>
      <c r="AG120" s="789">
        <f>SUM(AH120:AL120)</f>
        <v>0</v>
      </c>
      <c r="AH120" s="790"/>
      <c r="AI120" s="2362"/>
      <c r="AJ120" s="2362"/>
      <c r="AK120" s="2362"/>
      <c r="AL120" s="2362"/>
      <c r="AM120" s="789">
        <f>SUM(AN120:AR120)</f>
        <v>0</v>
      </c>
      <c r="AN120" s="791"/>
      <c r="AO120" s="2364"/>
      <c r="AP120" s="2364"/>
      <c r="AQ120" s="2364"/>
      <c r="AR120" s="2364"/>
      <c r="AS120" s="765"/>
      <c r="AT120" s="765"/>
      <c r="AU120" s="138"/>
      <c r="AV120" s="765"/>
      <c r="AW120" s="969"/>
      <c r="AX120" s="969"/>
      <c r="AY120" s="969"/>
      <c r="AZ120" s="489" t="s">
        <v>1887</v>
      </c>
      <c r="BA120" s="1506"/>
      <c r="BB120" s="1506"/>
      <c r="BC120" s="1506"/>
      <c r="BD120" s="2312" cm="1" t="str">
        <f t="array" ref="BD120:BD120">BD119</f>
        <v>ТЭ.42.31656254.0001</v>
      </c>
      <c r="BE120" s="1751"/>
      <c r="BF120" s="1751"/>
      <c r="BG120" s="1751"/>
      <c r="BH120" s="1751"/>
      <c r="BI120" s="1751"/>
      <c r="BJ120" s="1751"/>
      <c r="BK120" s="1751"/>
      <c r="BL120" s="1751"/>
      <c r="BM120" s="1751"/>
      <c r="BN120" s="2312" t="s">
        <v>601</v>
      </c>
      <c r="BO120" s="2312" t="s">
        <v>303</v>
      </c>
      <c r="BP120" s="2312" t="s">
        <v>1888</v>
      </c>
      <c r="BQ120" s="2312" t="s">
        <v>1889</v>
      </c>
      <c r="BR120" s="1751"/>
    </row>
    <row s="1751" customFormat="1" customHeight="1" ht="15">
      <c r="A121" s="371"/>
      <c r="B121" s="1548"/>
      <c r="C121" s="1548"/>
      <c r="D121" s="1548"/>
      <c r="E121" s="180">
        <v>16</v>
      </c>
      <c r="F121" s="175" cm="1" t="str">
        <f t="array" ref="F121:F121">F120</f>
        <v>1</v>
      </c>
      <c r="G121" s="193" t="s">
        <v>1890</v>
      </c>
      <c r="H121" s="1659"/>
      <c r="I121" s="1659"/>
      <c r="J121" s="1659"/>
      <c r="K121" s="1659"/>
      <c r="L121" s="1659"/>
      <c r="M121" s="1659"/>
      <c r="N121" s="1659"/>
      <c r="O121" s="1659"/>
      <c r="P121" s="1659"/>
      <c r="Q121" s="1659"/>
      <c r="R121" s="1659"/>
      <c r="S121" s="1659"/>
      <c r="T121" s="753" cm="1" t="str">
        <f t="array" ref="T121:T121">T120</f>
        <v>true</v>
      </c>
      <c r="U121" s="1548"/>
      <c r="V121" s="1548"/>
      <c r="W121" s="1548"/>
      <c r="X121" s="1548"/>
      <c r="Y121" s="1548"/>
      <c r="Z121" s="1548"/>
      <c r="AA121" s="183"/>
      <c r="AB121" s="794">
        <v>5</v>
      </c>
      <c r="AC121" s="773" t="s">
        <v>1891</v>
      </c>
      <c r="AD121" s="775" t="s">
        <v>917</v>
      </c>
      <c r="AE121" s="789" cm="1" t="str">
        <f t="array" ref="AE121:AE121">AE120</f>
        <v>0</v>
      </c>
      <c r="AF121" s="789" cm="1" t="str">
        <f t="array" ref="AF121:AF121">AF120</f>
        <v>0</v>
      </c>
      <c r="AG121" s="789">
        <f>AG119+AG120</f>
        <v>13403.36</v>
      </c>
      <c r="AH121" s="789">
        <f>AH119+AH120</f>
        <v>0</v>
      </c>
      <c r="AI121" s="789">
        <f>AI119+AI120</f>
        <v>0</v>
      </c>
      <c r="AJ121" s="789">
        <f>AJ119+AJ120</f>
        <v>0</v>
      </c>
      <c r="AK121" s="789">
        <f>AK119+AK120</f>
        <v>0</v>
      </c>
      <c r="AL121" s="789">
        <f>AL119+AL120</f>
        <v>0</v>
      </c>
      <c r="AM121" s="789">
        <f>AM119+AM120</f>
        <v>9385.86814247972</v>
      </c>
      <c r="AN121" s="789">
        <f>AN119+AN120</f>
        <v>0</v>
      </c>
      <c r="AO121" s="789">
        <f>AO119+AO120</f>
        <v>0</v>
      </c>
      <c r="AP121" s="789">
        <f>AP119+AP120</f>
        <v>0</v>
      </c>
      <c r="AQ121" s="789">
        <f>AQ119+AQ120</f>
        <v>0</v>
      </c>
      <c r="AR121" s="789">
        <f>AR119+AR120</f>
        <v>0</v>
      </c>
      <c r="AS121" s="765"/>
      <c r="AT121" s="765"/>
      <c r="AU121" s="138"/>
      <c r="AV121" s="765"/>
      <c r="AW121" s="969"/>
      <c r="AX121" s="969"/>
      <c r="AY121" s="969"/>
      <c r="AZ121" s="489" t="s">
        <v>1892</v>
      </c>
      <c r="BA121" s="1506"/>
      <c r="BB121" s="1506"/>
      <c r="BC121" s="1506"/>
      <c r="BD121" s="2312" cm="1" t="str">
        <f t="array" ref="BD121:BD121">BD120</f>
        <v>ТЭ.42.31656254.0001</v>
      </c>
      <c r="BE121" s="1751"/>
      <c r="BF121" s="1751"/>
      <c r="BG121" s="1751"/>
      <c r="BH121" s="1751"/>
      <c r="BI121" s="1751"/>
      <c r="BJ121" s="1751"/>
      <c r="BK121" s="1751"/>
      <c r="BL121" s="1751"/>
      <c r="BM121" s="1751"/>
      <c r="BN121" s="1751"/>
      <c r="BO121" s="2312" t="s">
        <v>303</v>
      </c>
      <c r="BP121" s="2312" t="s">
        <v>1893</v>
      </c>
      <c r="BQ121" s="2312" t="s">
        <v>1894</v>
      </c>
      <c r="BR121" s="1751"/>
    </row>
    <row customHeight="1" ht="10.725000000000001">
      <c r="E122" s="180">
        <v>11</v>
      </c>
      <c r="U122" s="175" t="s">
        <v>191</v>
      </c>
      <c r="V122" s="176" t="s">
        <v>1906</v>
      </c>
      <c r="AB122" s="766"/>
      <c r="AC122" s="766"/>
      <c r="AD122" s="766"/>
      <c r="AE122" s="766"/>
      <c r="AF122" s="766"/>
      <c r="AG122" s="766"/>
      <c r="AH122" s="768"/>
      <c r="AI122" s="768"/>
      <c r="AJ122" s="768"/>
      <c r="AK122" s="765"/>
      <c r="AL122" s="765"/>
      <c r="AN122" s="765"/>
      <c r="AO122" s="765"/>
      <c r="AP122" s="765"/>
      <c r="AQ122" s="765"/>
      <c r="AR122" s="765"/>
      <c r="AV122" s="765"/>
    </row>
  </sheetData>
  <sheetProtection formatColumns="0" formatRows="0" insertRows="0" deleteColumns="0" deleteRows="0" sort="0" autoFilter="0" insertColumns="1"/>
  <mergeCells count="20">
    <mergeCell ref="AM70:AM71"/>
    <mergeCell ref="AU70:AU71"/>
    <mergeCell ref="AB70:AB71"/>
    <mergeCell ref="AC70:AC71"/>
    <mergeCell ref="AD70:AD71"/>
    <mergeCell ref="AG70:AG71"/>
    <mergeCell ref="AB25:AB26"/>
    <mergeCell ref="AC25:AC26"/>
    <mergeCell ref="AD25:AD26"/>
    <mergeCell ref="AE25:AE26"/>
    <mergeCell ref="X28:X74"/>
    <mergeCell ref="Z28:Z74"/>
    <mergeCell ref="AM117:AM118"/>
    <mergeCell ref="AU117:AU118"/>
    <mergeCell ref="AB117:AB118"/>
    <mergeCell ref="AC117:AC118"/>
    <mergeCell ref="AD117:AD118"/>
    <mergeCell ref="AG117:AG118"/>
    <mergeCell ref="X75:X121"/>
    <mergeCell ref="Z75:Z12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005B28-91A8-DB48-8528-78FA21901468}" mc:Ignorable="x14ac xr xr2 xr3">
  <sheetPr>
    <tabColor rgb="FF002060"/>
    <outlinePr summaryBelow="0"/>
  </sheetPr>
  <dimension ref="A1:AV51"/>
  <sheetViews>
    <sheetView topLeftCell="AA21" showGridLines="0" workbookViewId="0">
      <selection activeCell="AA21" sqref="AA21"/>
    </sheetView>
  </sheetViews>
  <sheetFormatPr defaultColWidth="9.140625" customHeight="1" defaultRowHeight="11.25"/>
  <cols>
    <col min="1" max="1" style="1107" width="3.57421875" hidden="1" customWidth="1"/>
    <col min="2" max="2" style="795" width="3.00390625" hidden="1" customWidth="1"/>
    <col min="3" max="4" style="263" width="3.57421875" hidden="1" customWidth="1"/>
    <col min="5" max="5" style="1718" width="3.8515625" hidden="1" customWidth="1"/>
    <col min="6" max="26" style="263" width="3.57421875" hidden="1" customWidth="1"/>
    <col min="27" max="27" style="765" width="3.00390625" customWidth="1"/>
    <col min="28" max="28" style="307" width="8.00390625" customWidth="1"/>
    <col min="29" max="29" style="307" width="65.00390625" customWidth="1"/>
    <col min="30" max="38" style="307" width="21.00390625" customWidth="1"/>
    <col min="39" max="41" style="1751" width="9.140625"/>
  </cols>
  <sheetData>
    <row s="263" customFormat="1" customHeight="1" ht="12" hidden="1">
      <c r="A1" s="1107"/>
      <c r="B1" s="795"/>
      <c r="E1" s="175"/>
      <c r="AP1" s="0" t="s">
        <v>94</v>
      </c>
      <c r="AQ1" s="0" t="s">
        <v>409</v>
      </c>
      <c r="AR1" s="0" t="s">
        <v>1907</v>
      </c>
      <c r="AS1" s="0" t="s">
        <v>112</v>
      </c>
      <c r="AT1" s="0" t="s">
        <v>113</v>
      </c>
      <c r="AU1" s="0" t="s">
        <v>114</v>
      </c>
      <c r="AV1" s="0"/>
    </row>
    <row s="795" customFormat="1" customHeight="1" ht="12" hidden="1">
      <c r="A2" s="1096"/>
      <c r="B2" s="796" t="s">
        <v>16</v>
      </c>
      <c r="E2" s="175"/>
      <c r="AP2" s="0"/>
      <c r="AQ2" s="0"/>
      <c r="AR2" s="0"/>
      <c r="AS2" s="0"/>
      <c r="AT2" s="0"/>
      <c r="AU2" s="0"/>
      <c r="AV2" s="0"/>
    </row>
    <row s="263" customFormat="1" customHeight="1" ht="12" hidden="1">
      <c r="A3" s="1107"/>
      <c r="B3" s="795"/>
      <c r="E3" s="175"/>
      <c r="AP3" s="0"/>
      <c r="AQ3" s="0"/>
      <c r="AR3" s="0"/>
      <c r="AS3" s="0"/>
      <c r="AT3" s="0"/>
      <c r="AU3" s="0"/>
      <c r="AV3" s="0"/>
    </row>
    <row s="263" customFormat="1" customHeight="1" ht="12" hidden="1">
      <c r="A4" s="1107"/>
      <c r="B4" s="795"/>
      <c r="E4" s="175"/>
      <c r="AP4" s="0"/>
      <c r="AQ4" s="0"/>
      <c r="AR4" s="0"/>
      <c r="AS4" s="0"/>
      <c r="AT4" s="0"/>
      <c r="AU4" s="0"/>
      <c r="AV4" s="0"/>
    </row>
    <row s="1718" customFormat="1" customHeight="1" ht="12" hidden="1">
      <c r="A5" s="371"/>
      <c r="B5" s="175"/>
      <c r="C5" s="175"/>
      <c r="D5" s="175"/>
      <c r="E5" s="180" t="s">
        <v>17</v>
      </c>
      <c r="AA5" s="180">
        <v>3</v>
      </c>
      <c r="AB5" s="180">
        <v>8</v>
      </c>
      <c r="AC5" s="180">
        <v>65</v>
      </c>
      <c r="AD5" s="180">
        <v>21</v>
      </c>
      <c r="AE5" s="180">
        <v>21</v>
      </c>
      <c r="AF5" s="180">
        <v>21</v>
      </c>
      <c r="AG5" s="180">
        <v>21</v>
      </c>
      <c r="AH5" s="180">
        <v>21</v>
      </c>
      <c r="AI5" s="180">
        <v>21</v>
      </c>
      <c r="AJ5" s="180">
        <v>21</v>
      </c>
      <c r="AK5" s="180">
        <v>21</v>
      </c>
      <c r="AL5" s="180">
        <v>21</v>
      </c>
      <c r="AP5" s="1729"/>
      <c r="AQ5" s="1729"/>
      <c r="AR5" s="1729"/>
      <c r="AS5" s="1729"/>
      <c r="AT5" s="1729"/>
      <c r="AU5" s="1729"/>
      <c r="AV5" s="1729"/>
    </row>
    <row s="263" customFormat="1" customHeight="1" ht="12" hidden="1">
      <c r="A6" s="1107"/>
      <c r="B6" s="795"/>
      <c r="E6" s="180"/>
      <c r="AP6" s="0"/>
      <c r="AQ6" s="0"/>
      <c r="AR6" s="0"/>
      <c r="AS6" s="0"/>
      <c r="AT6" s="0"/>
      <c r="AU6" s="0"/>
      <c r="AV6" s="0"/>
    </row>
    <row s="307" customFormat="1" customHeight="1" ht="12" hidden="1">
      <c r="A7" s="1107"/>
      <c r="B7" s="795"/>
      <c r="C7" s="263"/>
      <c r="D7" s="263"/>
      <c r="E7" s="180"/>
      <c r="AP7" s="0"/>
      <c r="AQ7" s="0"/>
      <c r="AR7" s="0"/>
      <c r="AS7" s="0"/>
      <c r="AT7" s="0"/>
      <c r="AU7" s="0"/>
      <c r="AV7" s="0"/>
    </row>
    <row s="307" customFormat="1" customHeight="1" ht="12" hidden="1">
      <c r="A8" s="1107"/>
      <c r="B8" s="795"/>
      <c r="C8" s="263"/>
      <c r="D8" s="263"/>
      <c r="E8" s="180"/>
      <c r="AP8" s="0"/>
      <c r="AQ8" s="0"/>
      <c r="AR8" s="0"/>
      <c r="AS8" s="0"/>
      <c r="AT8" s="0"/>
      <c r="AU8" s="0"/>
      <c r="AV8" s="0"/>
    </row>
    <row customHeight="1" ht="12" hidden="1">
      <c r="A9" s="0" t="s">
        <v>1908</v>
      </c>
      <c r="AD9" s="0" t="s">
        <v>1909</v>
      </c>
    </row>
    <row customHeight="1" ht="12" hidden="1">
      <c r="A10" s="0" t="s">
        <v>109</v>
      </c>
      <c r="AE10" s="0" t="str">
        <f>"389.0."&amp;AE$25-2010&amp;"."</f>
        <v>389.0.13.</v>
      </c>
      <c r="AF10" s="0" t="str">
        <f>"389.0."&amp;AF$25-2010&amp;"."</f>
        <v>389.0.14.</v>
      </c>
      <c r="AG10" s="0" t="str">
        <f>"389.0."&amp;AG$25-2010&amp;"."</f>
        <v>389.0.15.</v>
      </c>
      <c r="AI10" s="0" t="str">
        <f>"389.0."&amp;AI$25-2010&amp;"."</f>
        <v>389.0.13.</v>
      </c>
      <c r="AJ10" s="0" t="str">
        <f>"389.0."&amp;AJ$25-2010&amp;"."</f>
        <v>389.0.14.</v>
      </c>
      <c r="AK10" s="0" t="str">
        <f>"389.0."&amp;AK$25-2010&amp;"."</f>
        <v>389.0.15.</v>
      </c>
    </row>
    <row customHeight="1" ht="12" hidden="1">
      <c r="A11" s="0" t="s">
        <v>406</v>
      </c>
      <c r="AE11" s="0" cm="1" t="str">
        <f t="array" ref="AE11:AE11">IF($A11="uni_org_reg_NAME",INDEX(org_reg_values,MATCH(AE$26,org_reg_codes,0),1),IF($A11="uni_pf_NAME",INDEX(pf_codes_values,MATCH(AE$26,pf_codes,0),1),""))</f>
        <v>328.0.1.</v>
      </c>
      <c r="AF11" s="0" cm="1" t="str">
        <f t="array" ref="AF11:AF11">IF($A11="uni_org_reg_NAME",INDEX(org_reg_values,MATCH(AF$26,org_reg_codes,0),1),IF($A11="uni_pf_NAME",INDEX(pf_codes_values,MATCH(AF$26,pf_codes,0),1),""))</f>
        <v>328.0.1.</v>
      </c>
      <c r="AG11" s="0" cm="1" t="str">
        <f t="array" ref="AG11:AG11">IF($A11="uni_org_reg_NAME",INDEX(org_reg_values,MATCH(AG$26,org_reg_codes,0),1),IF($A11="uni_pf_NAME",INDEX(pf_codes_values,MATCH(AG$26,pf_codes,0),1),""))</f>
        <v>328.0.1.</v>
      </c>
      <c r="AH11" s="0" cm="1" t="str">
        <f t="array" ref="AH11:AH11">IF($A11="uni_org_reg_NAME",INDEX(org_reg_values,MATCH(AH$26,org_reg_codes,0),1),IF($A11="uni_pf_NAME",INDEX(pf_codes_values,MATCH(AH$26,pf_codes,0),1),""))</f>
        <v>328.0.1.</v>
      </c>
      <c r="AI11" s="0" cm="1" t="str">
        <f t="array" ref="AI11:AI11">IF($A11="uni_org_reg_NAME",INDEX(org_reg_values,MATCH(AI$26,org_reg_codes,0),1),IF($A11="uni_pf_NAME",INDEX(pf_codes_values,MATCH(AI$26,pf_codes,0),1),""))</f>
        <v>328.0.2.</v>
      </c>
      <c r="AJ11" s="0" cm="1" t="str">
        <f t="array" ref="AJ11:AJ11">IF($A11="uni_org_reg_NAME",INDEX(org_reg_values,MATCH(AJ$26,org_reg_codes,0),1),IF($A11="uni_pf_NAME",INDEX(pf_codes_values,MATCH(AJ$26,pf_codes,0),1),""))</f>
        <v>328.0.2.</v>
      </c>
      <c r="AK11" s="0" cm="1" t="str">
        <f t="array" ref="AK11:AK11">IF($A11="uni_org_reg_NAME",INDEX(org_reg_values,MATCH(AK$26,org_reg_codes,0),1),IF($A11="uni_pf_NAME",INDEX(pf_codes_values,MATCH(AK$26,pf_codes,0),1),""))</f>
        <v>328.0.2.</v>
      </c>
      <c r="AL11" s="0" cm="1" t="str">
        <f t="array" ref="AL11:AL11">IF($A11="uni_org_reg_NAME",INDEX(org_reg_values,MATCH(AL$26,org_reg_codes,0),1),IF($A11="uni_pf_NAME",INDEX(pf_codes_values,MATCH(AL$26,pf_codes,0),1),""))</f>
        <v>328.0.2.</v>
      </c>
    </row>
    <row s="263" customFormat="1" customHeight="1" ht="12" hidden="1">
      <c r="A12" s="1107"/>
      <c r="B12" s="795"/>
      <c r="E12" s="180"/>
      <c r="AP12" s="0"/>
      <c r="AQ12" s="0"/>
      <c r="AR12" s="0"/>
      <c r="AS12" s="0"/>
      <c r="AT12" s="0"/>
      <c r="AU12" s="0"/>
      <c r="AV12" s="0"/>
    </row>
    <row s="263" customFormat="1" customHeight="1" ht="12" hidden="1">
      <c r="A13" s="1107"/>
      <c r="B13" s="795"/>
      <c r="E13" s="180"/>
      <c r="AP13" s="0"/>
      <c r="AQ13" s="0"/>
      <c r="AR13" s="0"/>
      <c r="AS13" s="0"/>
      <c r="AT13" s="0"/>
      <c r="AU13" s="0"/>
      <c r="AV13" s="0"/>
    </row>
    <row s="263" customFormat="1" customHeight="1" ht="12" hidden="1">
      <c r="A14" s="1107"/>
      <c r="B14" s="795"/>
      <c r="E14" s="180"/>
      <c r="AP14" s="0"/>
      <c r="AQ14" s="0"/>
      <c r="AR14" s="0"/>
      <c r="AS14" s="0"/>
      <c r="AT14" s="0"/>
      <c r="AU14" s="0"/>
      <c r="AV14" s="0"/>
    </row>
    <row s="263" customFormat="1" customHeight="1" ht="12" hidden="1">
      <c r="A15" s="1107"/>
      <c r="B15" s="795"/>
      <c r="E15" s="180"/>
      <c r="AP15" s="0"/>
      <c r="AQ15" s="0"/>
      <c r="AR15" s="0"/>
      <c r="AS15" s="0"/>
      <c r="AT15" s="0"/>
      <c r="AU15" s="0"/>
      <c r="AV15" s="0"/>
    </row>
    <row s="263" customFormat="1" customHeight="1" ht="12" hidden="1">
      <c r="A16" s="1107"/>
      <c r="B16" s="795"/>
      <c r="E16" s="180"/>
      <c r="AP16" s="0"/>
      <c r="AQ16" s="0"/>
      <c r="AR16" s="0"/>
      <c r="AS16" s="0"/>
      <c r="AT16" s="0"/>
      <c r="AU16" s="0"/>
      <c r="AV16" s="0"/>
    </row>
    <row s="263" customFormat="1" customHeight="1" ht="12" hidden="1">
      <c r="A17" s="1107"/>
      <c r="B17" s="795"/>
      <c r="E17" s="180"/>
      <c r="AP17" s="0"/>
      <c r="AQ17" s="0"/>
      <c r="AR17" s="0"/>
      <c r="AS17" s="0"/>
      <c r="AT17" s="0"/>
      <c r="AU17" s="0"/>
      <c r="AV17" s="0"/>
    </row>
    <row s="263" customFormat="1" customHeight="1" ht="12" hidden="1">
      <c r="A18" s="1107"/>
      <c r="B18" s="795"/>
      <c r="E18" s="180"/>
      <c r="AP18" s="0"/>
      <c r="AQ18" s="0"/>
      <c r="AR18" s="0"/>
      <c r="AS18" s="0"/>
      <c r="AT18" s="0"/>
      <c r="AU18" s="0"/>
      <c r="AV18" s="0"/>
    </row>
    <row s="263" customFormat="1" customHeight="1" ht="12" hidden="1">
      <c r="A19" s="1107"/>
      <c r="B19" s="795"/>
      <c r="E19" s="180"/>
      <c r="AP19" s="0"/>
      <c r="AQ19" s="0"/>
      <c r="AR19" s="0"/>
      <c r="AS19" s="0"/>
      <c r="AT19" s="0"/>
      <c r="AU19" s="0"/>
      <c r="AV19" s="0"/>
    </row>
    <row s="263" customFormat="1" customHeight="1" ht="12" hidden="1">
      <c r="A20" s="1107"/>
      <c r="B20" s="795"/>
      <c r="E20" s="180"/>
      <c r="AP20" s="0"/>
      <c r="AQ20" s="0"/>
      <c r="AR20" s="0"/>
      <c r="AS20" s="0"/>
      <c r="AT20" s="0"/>
      <c r="AU20" s="0"/>
      <c r="AV20" s="0"/>
    </row>
    <row customHeight="1" ht="10.725000000000001">
      <c r="E21" s="180">
        <v>11</v>
      </c>
      <c r="AA21" s="0"/>
      <c r="AB21" s="668"/>
      <c r="AC21" s="278" cm="1" t="str">
        <f t="array" ref="AC21:AC21">tpl_title</f>
        <v>Кемеровская область / 2027 / ООО "КК-ИНВЕСТ" (ИНН:1901133713, КПП:190101001) / ДПР: 2025-2027</v>
      </c>
    </row>
    <row customHeight="1" ht="19.5">
      <c r="E22" s="180">
        <v>20</v>
      </c>
      <c r="AB22" s="430" t="str">
        <f>"23. Корректировка НВВ по исполнению инвестиционной программы "</f>
        <v>23. Корректировка НВВ по исполнению инвестиционной программы </v>
      </c>
      <c r="AC22" s="548"/>
    </row>
    <row customHeight="1" ht="10.725000000000001">
      <c r="E23" s="180">
        <v>11</v>
      </c>
      <c r="AB23" s="766"/>
      <c r="AC23" s="767"/>
      <c r="AD23" s="767"/>
      <c r="AE23" s="767"/>
      <c r="AF23" s="767"/>
      <c r="AG23" s="767"/>
      <c r="AH23" s="767"/>
      <c r="AI23" s="767"/>
      <c r="AJ23" s="767"/>
      <c r="AK23" s="767"/>
      <c r="AL23" s="767"/>
    </row>
    <row customHeight="1" ht="10.725000000000001">
      <c r="E24" s="180">
        <v>11</v>
      </c>
      <c r="AB24" s="766"/>
      <c r="AC24" s="767"/>
      <c r="AD24" s="767"/>
      <c r="AE24" s="767"/>
      <c r="AF24" s="767"/>
      <c r="AG24" s="767"/>
      <c r="AH24" s="767"/>
      <c r="AI24" s="767"/>
      <c r="AJ24" s="767"/>
      <c r="AK24" s="767"/>
      <c r="AL24" s="767"/>
    </row>
    <row s="797" customFormat="1" customHeight="1" ht="16.575">
      <c r="A25" s="1107"/>
      <c r="B25" s="795"/>
      <c r="C25" s="263"/>
      <c r="D25" s="263"/>
      <c r="E25" s="180">
        <v>17</v>
      </c>
      <c r="F25" s="263"/>
      <c r="G25" s="263"/>
      <c r="H25" s="263"/>
      <c r="I25" s="263"/>
      <c r="J25" s="263"/>
      <c r="K25" s="263"/>
      <c r="L25" s="263"/>
      <c r="M25" s="263"/>
      <c r="N25" s="263"/>
      <c r="O25" s="263"/>
      <c r="P25" s="263"/>
      <c r="Q25" s="263"/>
      <c r="R25" s="263"/>
      <c r="S25" s="263"/>
      <c r="T25" s="263"/>
      <c r="U25" s="263"/>
      <c r="V25" s="263"/>
      <c r="W25" s="263"/>
      <c r="X25" s="263"/>
      <c r="Y25" s="263"/>
      <c r="Z25" s="263"/>
      <c r="AB25" s="1588" t="s">
        <v>1705</v>
      </c>
      <c r="AC25" s="1588" t="s">
        <v>412</v>
      </c>
      <c r="AD25" s="1588" t="s">
        <v>1707</v>
      </c>
      <c r="AE25" s="769">
        <f>god-4</f>
        <v>2023</v>
      </c>
      <c r="AF25" s="769">
        <f>god-3</f>
        <v>2024</v>
      </c>
      <c r="AG25" s="769">
        <f>god-2</f>
        <v>2025</v>
      </c>
      <c r="AH25" s="663" t="s">
        <v>984</v>
      </c>
      <c r="AI25" s="663">
        <f>god-4</f>
        <v>2023</v>
      </c>
      <c r="AJ25" s="663">
        <f>god-3</f>
        <v>2024</v>
      </c>
      <c r="AK25" s="663">
        <f>god-2</f>
        <v>2025</v>
      </c>
      <c r="AL25" s="663" t="s">
        <v>984</v>
      </c>
      <c r="AP25" s="0"/>
      <c r="AQ25" s="0"/>
      <c r="AR25" s="0"/>
      <c r="AS25" s="0"/>
      <c r="AT25" s="0"/>
      <c r="AU25" s="0"/>
      <c r="AV25" s="0"/>
    </row>
    <row customHeight="1" ht="33.15">
      <c r="E26" s="180">
        <v>34</v>
      </c>
      <c r="AB26" s="1588"/>
      <c r="AC26" s="1588"/>
      <c r="AD26" s="1588"/>
      <c r="AE26" s="798" t="s">
        <v>1132</v>
      </c>
      <c r="AF26" s="798" t="s">
        <v>1132</v>
      </c>
      <c r="AG26" s="798" t="s">
        <v>1132</v>
      </c>
      <c r="AH26" s="327" t="s">
        <v>1132</v>
      </c>
      <c r="AI26" s="327" t="s">
        <v>1133</v>
      </c>
      <c r="AJ26" s="327" t="s">
        <v>1133</v>
      </c>
      <c r="AK26" s="327" t="s">
        <v>1133</v>
      </c>
      <c r="AL26" s="327" t="s">
        <v>1133</v>
      </c>
    </row>
    <row customHeight="1" ht="13.649999999999999">
      <c r="E27" s="180">
        <v>14</v>
      </c>
      <c r="AB27" s="333"/>
      <c r="AC27" s="333"/>
      <c r="AD27" s="333"/>
      <c r="AE27" s="333"/>
      <c r="AF27" s="333"/>
      <c r="AG27" s="333"/>
      <c r="AH27" s="333"/>
      <c r="AI27" s="333"/>
      <c r="AJ27" s="333"/>
      <c r="AK27" s="333"/>
      <c r="AL27" s="333"/>
    </row>
    <row s="1727" customFormat="1" customHeight="1" ht="10.725000000000001">
      <c r="A28" s="1108"/>
      <c r="B28" s="175"/>
      <c r="C28" s="277"/>
      <c r="D28" s="277"/>
      <c r="E28" s="180">
        <v>11</v>
      </c>
      <c r="F28" s="799" cm="1" t="str">
        <f t="array" ref="F28:F28">'Общие сведения'!$Y$170</f>
        <v>0</v>
      </c>
      <c r="G28" s="277"/>
      <c r="H28" s="277"/>
      <c r="I28" s="277"/>
      <c r="J28" s="277"/>
      <c r="K28" s="277"/>
      <c r="L28" s="277"/>
      <c r="M28" s="277"/>
      <c r="N28" s="277"/>
      <c r="O28" s="277"/>
      <c r="P28" s="277"/>
      <c r="Q28" s="277"/>
      <c r="R28" s="277"/>
      <c r="S28" s="277"/>
      <c r="T28" s="277"/>
      <c r="U28" s="277"/>
      <c r="V28" s="277"/>
      <c r="W28" s="277"/>
      <c r="X28" s="277"/>
      <c r="Y28" s="277"/>
      <c r="Z28" s="277"/>
      <c r="AB28" s="656" cm="1" t="str">
        <f t="array" ref="AB28:AB28">INDEX('Общие сведения'!$AG$169:$AG$202,MATCH($F28,'Общие сведения'!$Y$169:$Y$202,0))</f>
        <v>Тариф 0 (Теплоснабжение) - </v>
      </c>
      <c r="AC28" s="335"/>
      <c r="AD28" s="335"/>
      <c r="AE28" s="335"/>
      <c r="AF28" s="335"/>
      <c r="AG28" s="335"/>
      <c r="AH28" s="335"/>
      <c r="AI28" s="335"/>
      <c r="AJ28" s="335"/>
      <c r="AK28" s="335"/>
      <c r="AL28" s="335"/>
      <c r="AP28" s="0"/>
      <c r="AQ28" s="0"/>
      <c r="AR28" s="0"/>
      <c r="AS28" s="0"/>
      <c r="AT28" s="0"/>
      <c r="AU28" s="0"/>
      <c r="AV28" s="0"/>
    </row>
    <row customHeight="1" ht="33.15">
      <c r="E29" s="180">
        <v>34</v>
      </c>
      <c r="F29" s="263" cm="1" t="str">
        <f t="array" ref="F29:F29">F28</f>
        <v>0</v>
      </c>
      <c r="AB29" s="800">
        <v>1</v>
      </c>
      <c r="AC29" s="801" t="s">
        <v>1910</v>
      </c>
      <c r="AD29" s="800" t="s">
        <v>917</v>
      </c>
      <c r="AE29" s="707">
        <f>SUM(AE30:AE34)</f>
        <v>0</v>
      </c>
      <c r="AF29" s="707">
        <f>SUM(AF30:AF34)</f>
        <v>0</v>
      </c>
      <c r="AG29" s="707">
        <f>SUM(AG30:AG34)</f>
        <v>0</v>
      </c>
      <c r="AH29" s="707">
        <f>SUM(AE29:AG29)</f>
        <v>0</v>
      </c>
      <c r="AI29" s="707">
        <f>SUM(AI30:AI34)</f>
        <v>0</v>
      </c>
      <c r="AJ29" s="707">
        <f>SUM(AJ30:AJ34)</f>
        <v>0</v>
      </c>
      <c r="AK29" s="707">
        <f>SUM(AK30:AK34)</f>
        <v>0</v>
      </c>
      <c r="AL29" s="707">
        <f>SUM(AI29:AK29)</f>
        <v>0</v>
      </c>
      <c r="AP29" s="0" cm="1" t="str">
        <f t="array" ref="AP29:AP29">INDEX('Общие сведения'!$N$170:$N$202,MATCH($F29,'Общие сведения'!$Y$170:$Y$202,0)+1)</f>
        <v>0</v>
      </c>
      <c r="AR29" s="0" t="s">
        <v>1911</v>
      </c>
      <c r="AS29" s="0" t="s">
        <v>303</v>
      </c>
      <c r="AT29" s="0" t="s">
        <v>1912</v>
      </c>
      <c r="AU29" s="0" t="s">
        <v>1913</v>
      </c>
    </row>
    <row customHeight="1" ht="16.575">
      <c r="E30" s="180">
        <v>17</v>
      </c>
      <c r="F30" s="263" cm="1" t="str">
        <f t="array" ref="F30:F30">F29</f>
        <v>0</v>
      </c>
      <c r="AB30" s="794">
        <v>1.1</v>
      </c>
      <c r="AC30" s="802" t="s">
        <v>1914</v>
      </c>
      <c r="AD30" s="794" t="s">
        <v>917</v>
      </c>
      <c r="AE30" s="561"/>
      <c r="AF30" s="561"/>
      <c r="AG30" s="561"/>
      <c r="AH30" s="695">
        <f>SUM(AE30:AG30)</f>
        <v>0</v>
      </c>
      <c r="AI30" s="561" cm="1" t="str">
        <f t="array" ref="AI30:AI30">AE30</f>
        <v>0</v>
      </c>
      <c r="AJ30" s="561" cm="1" t="str">
        <f t="array" ref="AJ30:AJ30">AF30</f>
        <v>0</v>
      </c>
      <c r="AK30" s="561" cm="1" t="str">
        <f t="array" ref="AK30:AK30">AG30</f>
        <v>0</v>
      </c>
      <c r="AL30" s="695">
        <f>SUM(AI30:AK30)</f>
        <v>0</v>
      </c>
      <c r="AP30" s="0" cm="1" t="str">
        <f t="array" ref="AP30:AP30">AP29</f>
        <v>0</v>
      </c>
      <c r="AR30" s="0" t="s">
        <v>1915</v>
      </c>
      <c r="AS30" s="0" t="s">
        <v>303</v>
      </c>
      <c r="AT30" s="0" t="s">
        <v>1912</v>
      </c>
      <c r="AU30" s="0" t="s">
        <v>1913</v>
      </c>
    </row>
    <row customHeight="1" ht="16.575">
      <c r="E31" s="180">
        <v>17</v>
      </c>
      <c r="F31" s="263" cm="1" t="str">
        <f t="array" ref="F31:F31">F30</f>
        <v>0</v>
      </c>
      <c r="AB31" s="794">
        <v>1.2</v>
      </c>
      <c r="AC31" s="802" t="s">
        <v>1916</v>
      </c>
      <c r="AD31" s="794" t="s">
        <v>917</v>
      </c>
      <c r="AE31" s="561"/>
      <c r="AF31" s="561"/>
      <c r="AG31" s="561"/>
      <c r="AH31" s="695">
        <f>SUM(AE31:AG31)</f>
        <v>0</v>
      </c>
      <c r="AI31" s="561" cm="1" t="str">
        <f t="array" ref="AI31:AI31">AE31</f>
        <v>0</v>
      </c>
      <c r="AJ31" s="561" cm="1" t="str">
        <f t="array" ref="AJ31:AJ31">AF31</f>
        <v>0</v>
      </c>
      <c r="AK31" s="561" cm="1" t="str">
        <f t="array" ref="AK31:AK31">AG31</f>
        <v>0</v>
      </c>
      <c r="AL31" s="695">
        <f>SUM(AI31:AK31)</f>
        <v>0</v>
      </c>
      <c r="AP31" s="0" cm="1" t="str">
        <f t="array" ref="AP31:AP31">AP30</f>
        <v>0</v>
      </c>
      <c r="AR31" s="0" t="s">
        <v>1917</v>
      </c>
      <c r="AS31" s="0" t="s">
        <v>303</v>
      </c>
      <c r="AT31" s="0" t="s">
        <v>1912</v>
      </c>
      <c r="AU31" s="0" t="s">
        <v>1913</v>
      </c>
    </row>
    <row customHeight="1" ht="16.575">
      <c r="E32" s="180">
        <v>17</v>
      </c>
      <c r="F32" s="263" cm="1" t="str">
        <f t="array" ref="F32:F32">F31</f>
        <v>0</v>
      </c>
      <c r="AB32" s="794">
        <v>1.3</v>
      </c>
      <c r="AC32" s="802" t="s">
        <v>1918</v>
      </c>
      <c r="AD32" s="794" t="s">
        <v>917</v>
      </c>
      <c r="AE32" s="561"/>
      <c r="AF32" s="561"/>
      <c r="AG32" s="561"/>
      <c r="AH32" s="695">
        <f>SUM(AE32:AG32)</f>
        <v>0</v>
      </c>
      <c r="AI32" s="561" cm="1" t="str">
        <f t="array" ref="AI32:AI32">AE32</f>
        <v>0</v>
      </c>
      <c r="AJ32" s="561" cm="1" t="str">
        <f t="array" ref="AJ32:AJ32">AF32</f>
        <v>0</v>
      </c>
      <c r="AK32" s="561" cm="1" t="str">
        <f t="array" ref="AK32:AK32">AG32</f>
        <v>0</v>
      </c>
      <c r="AL32" s="695">
        <f>SUM(AI32:AK32)</f>
        <v>0</v>
      </c>
      <c r="AP32" s="0" cm="1" t="str">
        <f t="array" ref="AP32:AP32">AP31</f>
        <v>0</v>
      </c>
      <c r="AR32" s="0" t="s">
        <v>1919</v>
      </c>
      <c r="AS32" s="0" t="s">
        <v>303</v>
      </c>
      <c r="AT32" s="0" t="s">
        <v>1912</v>
      </c>
      <c r="AU32" s="0" t="s">
        <v>1913</v>
      </c>
    </row>
    <row customHeight="1" ht="16.575">
      <c r="E33" s="180">
        <v>17</v>
      </c>
      <c r="F33" s="263" cm="1" t="str">
        <f t="array" ref="F33:F33">F32</f>
        <v>0</v>
      </c>
      <c r="AB33" s="794">
        <v>1.4</v>
      </c>
      <c r="AC33" s="802" t="s">
        <v>1920</v>
      </c>
      <c r="AD33" s="794" t="s">
        <v>917</v>
      </c>
      <c r="AE33" s="561"/>
      <c r="AF33" s="561"/>
      <c r="AG33" s="561"/>
      <c r="AH33" s="695">
        <f>SUM(AE33:AG33)</f>
        <v>0</v>
      </c>
      <c r="AI33" s="561" cm="1" t="str">
        <f t="array" ref="AI33:AI33">AE33</f>
        <v>0</v>
      </c>
      <c r="AJ33" s="561" cm="1" t="str">
        <f t="array" ref="AJ33:AJ33">AF33</f>
        <v>0</v>
      </c>
      <c r="AK33" s="561" cm="1" t="str">
        <f t="array" ref="AK33:AK33">AG33</f>
        <v>0</v>
      </c>
      <c r="AL33" s="695">
        <f>SUM(AI33:AK33)</f>
        <v>0</v>
      </c>
      <c r="AP33" s="0" cm="1" t="str">
        <f t="array" ref="AP33:AP33">AP32</f>
        <v>0</v>
      </c>
      <c r="AR33" s="0" t="s">
        <v>1921</v>
      </c>
      <c r="AS33" s="0" t="s">
        <v>303</v>
      </c>
      <c r="AT33" s="0" t="s">
        <v>1912</v>
      </c>
      <c r="AU33" s="0" t="s">
        <v>1913</v>
      </c>
    </row>
    <row customHeight="1" ht="16.575">
      <c r="E34" s="180">
        <v>17</v>
      </c>
      <c r="F34" s="263" cm="1" t="str">
        <f t="array" ref="F34:F34">F33</f>
        <v>0</v>
      </c>
      <c r="AB34" s="794">
        <v>1.5</v>
      </c>
      <c r="AC34" s="802" t="s">
        <v>1501</v>
      </c>
      <c r="AD34" s="794" t="s">
        <v>917</v>
      </c>
      <c r="AE34" s="561"/>
      <c r="AF34" s="561"/>
      <c r="AG34" s="561"/>
      <c r="AH34" s="695">
        <f>SUM(AE34:AG34)</f>
        <v>0</v>
      </c>
      <c r="AI34" s="561" cm="1" t="str">
        <f t="array" ref="AI34:AI34">AE34</f>
        <v>0</v>
      </c>
      <c r="AJ34" s="561" cm="1" t="str">
        <f t="array" ref="AJ34:AJ34">AF34</f>
        <v>0</v>
      </c>
      <c r="AK34" s="561" cm="1" t="str">
        <f t="array" ref="AK34:AK34">AG34</f>
        <v>0</v>
      </c>
      <c r="AL34" s="695">
        <f>SUM(AI34:AK34)</f>
        <v>0</v>
      </c>
      <c r="AP34" s="0" cm="1" t="str">
        <f t="array" ref="AP34:AP34">AP33</f>
        <v>0</v>
      </c>
      <c r="AR34" s="0" t="s">
        <v>1922</v>
      </c>
      <c r="AS34" s="0" t="s">
        <v>303</v>
      </c>
      <c r="AT34" s="0" t="s">
        <v>1912</v>
      </c>
      <c r="AU34" s="0" t="s">
        <v>1913</v>
      </c>
    </row>
    <row customHeight="1" ht="33.15">
      <c r="E35" s="180">
        <v>34</v>
      </c>
      <c r="F35" s="263" cm="1" t="str">
        <f t="array" ref="F35:F35">F34</f>
        <v>0</v>
      </c>
      <c r="AB35" s="794">
        <v>2</v>
      </c>
      <c r="AC35" s="803" t="s">
        <v>1923</v>
      </c>
      <c r="AD35" s="794" t="s">
        <v>917</v>
      </c>
      <c r="AE35" s="695">
        <f>SUM(AE36:AE40)</f>
        <v>0</v>
      </c>
      <c r="AF35" s="695">
        <f>SUM(AF36:AF40)</f>
        <v>0</v>
      </c>
      <c r="AG35" s="695">
        <f>SUM(AG36:AG40)</f>
        <v>0</v>
      </c>
      <c r="AH35" s="695">
        <f>SUM(AE35:AG35)</f>
        <v>0</v>
      </c>
      <c r="AI35" s="695">
        <f>SUM(AI36:AI40)</f>
        <v>0</v>
      </c>
      <c r="AJ35" s="695">
        <f>SUM(AJ36:AJ40)</f>
        <v>0</v>
      </c>
      <c r="AK35" s="695">
        <f>SUM(AK36:AK40)</f>
        <v>0</v>
      </c>
      <c r="AL35" s="695">
        <f>SUM(AI35:AK35)</f>
        <v>0</v>
      </c>
      <c r="AP35" s="0" cm="1" t="str">
        <f t="array" ref="AP35:AP35">AP34</f>
        <v>0</v>
      </c>
      <c r="AQ35" s="0" t="s">
        <v>411</v>
      </c>
      <c r="AS35" s="0" t="s">
        <v>303</v>
      </c>
      <c r="AT35" s="0" t="s">
        <v>1924</v>
      </c>
      <c r="AU35" s="0" t="s">
        <v>1925</v>
      </c>
    </row>
    <row customHeight="1" ht="16.575">
      <c r="E36" s="180">
        <v>17</v>
      </c>
      <c r="F36" s="263" cm="1" t="str">
        <f t="array" ref="F36:F36">F35</f>
        <v>0</v>
      </c>
      <c r="AB36" s="794">
        <v>2.1</v>
      </c>
      <c r="AC36" s="802" t="s">
        <v>1914</v>
      </c>
      <c r="AD36" s="794" t="s">
        <v>917</v>
      </c>
      <c r="AE36" s="561"/>
      <c r="AF36" s="561"/>
      <c r="AG36" s="561"/>
      <c r="AH36" s="695">
        <f>SUM(AE36:AG36)</f>
        <v>0</v>
      </c>
      <c r="AI36" s="561" cm="1" t="str">
        <f t="array" ref="AI36:AI36">AE36</f>
        <v>0</v>
      </c>
      <c r="AJ36" s="561" cm="1" t="str">
        <f t="array" ref="AJ36:AJ36">AF36</f>
        <v>0</v>
      </c>
      <c r="AK36" s="561" cm="1" t="str">
        <f t="array" ref="AK36:AK36">AG36</f>
        <v>0</v>
      </c>
      <c r="AL36" s="695">
        <f>SUM(AI36:AK36)</f>
        <v>0</v>
      </c>
      <c r="AP36" s="0" cm="1" t="str">
        <f t="array" ref="AP36:AP36">AP35</f>
        <v>0</v>
      </c>
      <c r="AQ36" s="0" t="s">
        <v>411</v>
      </c>
      <c r="AR36" s="0" t="s">
        <v>1915</v>
      </c>
      <c r="AS36" s="0" t="s">
        <v>303</v>
      </c>
      <c r="AT36" s="0" t="s">
        <v>1924</v>
      </c>
      <c r="AU36" s="0" t="s">
        <v>1925</v>
      </c>
    </row>
    <row customHeight="1" ht="16.575">
      <c r="E37" s="180">
        <v>17</v>
      </c>
      <c r="F37" s="263" cm="1" t="str">
        <f t="array" ref="F37:F37">F36</f>
        <v>0</v>
      </c>
      <c r="AB37" s="794">
        <v>2.2</v>
      </c>
      <c r="AC37" s="802" t="s">
        <v>1916</v>
      </c>
      <c r="AD37" s="794" t="s">
        <v>917</v>
      </c>
      <c r="AE37" s="561"/>
      <c r="AF37" s="561"/>
      <c r="AG37" s="561"/>
      <c r="AH37" s="695">
        <f>SUM(AE37:AG37)</f>
        <v>0</v>
      </c>
      <c r="AI37" s="561" cm="1" t="str">
        <f t="array" ref="AI37:AI37">AE37</f>
        <v>0</v>
      </c>
      <c r="AJ37" s="561" cm="1" t="str">
        <f t="array" ref="AJ37:AJ37">AF37</f>
        <v>0</v>
      </c>
      <c r="AK37" s="561" cm="1" t="str">
        <f t="array" ref="AK37:AK37">AG37</f>
        <v>0</v>
      </c>
      <c r="AL37" s="695">
        <f>SUM(AI37:AK37)</f>
        <v>0</v>
      </c>
      <c r="AP37" s="0" cm="1" t="str">
        <f t="array" ref="AP37:AP37">AP36</f>
        <v>0</v>
      </c>
      <c r="AQ37" s="0" t="s">
        <v>411</v>
      </c>
      <c r="AR37" s="0" t="s">
        <v>1917</v>
      </c>
      <c r="AS37" s="0" t="s">
        <v>303</v>
      </c>
      <c r="AT37" s="0" t="s">
        <v>1924</v>
      </c>
      <c r="AU37" s="0" t="s">
        <v>1925</v>
      </c>
    </row>
    <row customHeight="1" ht="16.575">
      <c r="E38" s="180">
        <v>17</v>
      </c>
      <c r="F38" s="263" cm="1" t="str">
        <f t="array" ref="F38:F38">F37</f>
        <v>0</v>
      </c>
      <c r="AB38" s="794">
        <v>2.3</v>
      </c>
      <c r="AC38" s="802" t="s">
        <v>1918</v>
      </c>
      <c r="AD38" s="794" t="s">
        <v>917</v>
      </c>
      <c r="AE38" s="561"/>
      <c r="AF38" s="561"/>
      <c r="AG38" s="561"/>
      <c r="AH38" s="695">
        <f>SUM(AE38:AG38)</f>
        <v>0</v>
      </c>
      <c r="AI38" s="561" cm="1" t="str">
        <f t="array" ref="AI38:AI38">AE38</f>
        <v>0</v>
      </c>
      <c r="AJ38" s="561" cm="1" t="str">
        <f t="array" ref="AJ38:AJ38">AF38</f>
        <v>0</v>
      </c>
      <c r="AK38" s="561" cm="1" t="str">
        <f t="array" ref="AK38:AK38">AG38</f>
        <v>0</v>
      </c>
      <c r="AL38" s="695">
        <f>SUM(AI38:AK38)</f>
        <v>0</v>
      </c>
      <c r="AP38" s="0" cm="1" t="str">
        <f t="array" ref="AP38:AP38">AP37</f>
        <v>0</v>
      </c>
      <c r="AQ38" s="0" t="s">
        <v>411</v>
      </c>
      <c r="AR38" s="0" t="s">
        <v>1919</v>
      </c>
      <c r="AS38" s="0" t="s">
        <v>303</v>
      </c>
      <c r="AT38" s="0" t="s">
        <v>1924</v>
      </c>
      <c r="AU38" s="0" t="s">
        <v>1925</v>
      </c>
    </row>
    <row customHeight="1" ht="16.575">
      <c r="E39" s="180">
        <v>17</v>
      </c>
      <c r="F39" s="263" cm="1" t="str">
        <f t="array" ref="F39:F39">F38</f>
        <v>0</v>
      </c>
      <c r="AB39" s="794">
        <v>2.4</v>
      </c>
      <c r="AC39" s="802" t="s">
        <v>1920</v>
      </c>
      <c r="AD39" s="794" t="s">
        <v>917</v>
      </c>
      <c r="AE39" s="561"/>
      <c r="AF39" s="561"/>
      <c r="AG39" s="561"/>
      <c r="AH39" s="695">
        <f>SUM(AE39:AG39)</f>
        <v>0</v>
      </c>
      <c r="AI39" s="561" cm="1" t="str">
        <f t="array" ref="AI39:AI39">AE39</f>
        <v>0</v>
      </c>
      <c r="AJ39" s="561" cm="1" t="str">
        <f t="array" ref="AJ39:AJ39">AF39</f>
        <v>0</v>
      </c>
      <c r="AK39" s="561" cm="1" t="str">
        <f t="array" ref="AK39:AK39">AG39</f>
        <v>0</v>
      </c>
      <c r="AL39" s="695">
        <f>SUM(AI39:AK39)</f>
        <v>0</v>
      </c>
      <c r="AP39" s="0" cm="1" t="str">
        <f t="array" ref="AP39:AP39">AP38</f>
        <v>0</v>
      </c>
      <c r="AQ39" s="0" t="s">
        <v>411</v>
      </c>
      <c r="AR39" s="0" t="s">
        <v>1921</v>
      </c>
      <c r="AS39" s="0" t="s">
        <v>303</v>
      </c>
      <c r="AT39" s="0" t="s">
        <v>1924</v>
      </c>
      <c r="AU39" s="0" t="s">
        <v>1925</v>
      </c>
    </row>
    <row customHeight="1" ht="16.575">
      <c r="E40" s="180">
        <v>17</v>
      </c>
      <c r="F40" s="263" cm="1" t="str">
        <f t="array" ref="F40:F40">F39</f>
        <v>0</v>
      </c>
      <c r="AB40" s="794">
        <v>2.5</v>
      </c>
      <c r="AC40" s="802" t="s">
        <v>1501</v>
      </c>
      <c r="AD40" s="794" t="s">
        <v>917</v>
      </c>
      <c r="AE40" s="561"/>
      <c r="AF40" s="561"/>
      <c r="AG40" s="561"/>
      <c r="AH40" s="695">
        <f>SUM(AE40:AG40)</f>
        <v>0</v>
      </c>
      <c r="AI40" s="561" cm="1" t="str">
        <f t="array" ref="AI40:AI40">AE40</f>
        <v>0</v>
      </c>
      <c r="AJ40" s="561" cm="1" t="str">
        <f t="array" ref="AJ40:AJ40">AF40</f>
        <v>0</v>
      </c>
      <c r="AK40" s="561" cm="1" t="str">
        <f t="array" ref="AK40:AK40">AG40</f>
        <v>0</v>
      </c>
      <c r="AL40" s="695">
        <f>SUM(AI40:AK40)</f>
        <v>0</v>
      </c>
      <c r="AP40" s="0" cm="1" t="str">
        <f t="array" ref="AP40:AP40">AP39</f>
        <v>0</v>
      </c>
      <c r="AQ40" s="0" t="s">
        <v>411</v>
      </c>
      <c r="AR40" s="0" t="s">
        <v>1922</v>
      </c>
      <c r="AS40" s="0" t="s">
        <v>303</v>
      </c>
      <c r="AT40" s="0" t="s">
        <v>1924</v>
      </c>
      <c r="AU40" s="0" t="s">
        <v>1925</v>
      </c>
    </row>
    <row customHeight="1" ht="16.575">
      <c r="E41" s="180">
        <v>17</v>
      </c>
      <c r="F41" s="263" cm="1" t="str">
        <f t="array" ref="F41:F41">F40</f>
        <v>0</v>
      </c>
      <c r="AB41" s="794">
        <v>3</v>
      </c>
      <c r="AC41" s="803" t="s">
        <v>1926</v>
      </c>
      <c r="AD41" s="794" t="s">
        <v>1927</v>
      </c>
      <c r="AE41" s="561"/>
      <c r="AF41" s="561"/>
      <c r="AG41" s="561"/>
      <c r="AH41" s="804"/>
      <c r="AI41" s="561" cm="1" t="str">
        <f t="array" ref="AI41:AI41">AE41</f>
        <v>0</v>
      </c>
      <c r="AJ41" s="561" cm="1" t="str">
        <f t="array" ref="AJ41:AJ41">AF41</f>
        <v>0</v>
      </c>
      <c r="AK41" s="561" cm="1" t="str">
        <f t="array" ref="AK41:AK41">AG41</f>
        <v>0</v>
      </c>
      <c r="AL41" s="804"/>
      <c r="AP41" s="0" cm="1" t="str">
        <f t="array" ref="AP41:AP41">AP40</f>
        <v>0</v>
      </c>
      <c r="AQ41" s="0" t="s">
        <v>411</v>
      </c>
      <c r="AS41" s="0" t="s">
        <v>303</v>
      </c>
      <c r="AT41" s="0" t="s">
        <v>1928</v>
      </c>
      <c r="AU41" s="0" t="s">
        <v>1929</v>
      </c>
    </row>
    <row customHeight="1" ht="16.575">
      <c r="E42" s="180">
        <v>17</v>
      </c>
      <c r="F42" s="263" cm="1" t="str">
        <f t="array" ref="F42:F42">F41</f>
        <v>0</v>
      </c>
      <c r="AB42" s="794">
        <v>4</v>
      </c>
      <c r="AC42" s="803" t="s">
        <v>1930</v>
      </c>
      <c r="AD42" s="794" t="s">
        <v>1927</v>
      </c>
      <c r="AE42" s="625">
        <v>0</v>
      </c>
      <c r="AF42" s="625">
        <v>0</v>
      </c>
      <c r="AG42" s="625">
        <v>0</v>
      </c>
      <c r="AH42" s="804"/>
      <c r="AI42" s="561" cm="1" t="str">
        <f t="array" ref="AI42:AI42">AE42</f>
        <v>0</v>
      </c>
      <c r="AJ42" s="561" cm="1" t="str">
        <f t="array" ref="AJ42:AJ42">AF42</f>
        <v>0</v>
      </c>
      <c r="AK42" s="561" cm="1" t="str">
        <f t="array" ref="AK42:AK42">AG42</f>
        <v>0</v>
      </c>
      <c r="AL42" s="804"/>
      <c r="AP42" s="0" cm="1" t="str">
        <f t="array" ref="AP42:AP42">AP41</f>
        <v>0</v>
      </c>
      <c r="AQ42" s="0" t="s">
        <v>621</v>
      </c>
      <c r="AS42" s="0" t="s">
        <v>303</v>
      </c>
      <c r="AT42" s="0" t="s">
        <v>1928</v>
      </c>
      <c r="AU42" s="0" t="s">
        <v>1929</v>
      </c>
    </row>
    <row customHeight="1" ht="33.15">
      <c r="E43" s="180">
        <v>34</v>
      </c>
      <c r="F43" s="263" cm="1" t="str">
        <f t="array" ref="F43:F43">F42</f>
        <v>0</v>
      </c>
      <c r="AB43" s="794">
        <v>5</v>
      </c>
      <c r="AC43" s="803" t="s">
        <v>1931</v>
      </c>
      <c r="AD43" s="794" t="s">
        <v>917</v>
      </c>
      <c r="AE43" s="695">
        <f>SUM(AE44:AE48)</f>
        <v>0</v>
      </c>
      <c r="AF43" s="695">
        <f>SUM(AF44:AF48)</f>
        <v>0</v>
      </c>
      <c r="AG43" s="695">
        <f>SUM(AG44:AG48)</f>
        <v>0</v>
      </c>
      <c r="AH43" s="695">
        <f>SUM(AE43:AG43)</f>
        <v>0</v>
      </c>
      <c r="AI43" s="695">
        <f>SUM(AI44:AI48)</f>
        <v>0</v>
      </c>
      <c r="AJ43" s="695">
        <f>SUM(AJ44:AJ48)</f>
        <v>0</v>
      </c>
      <c r="AK43" s="695">
        <f>SUM(AK44:AK48)</f>
        <v>0</v>
      </c>
      <c r="AL43" s="695">
        <f>SUM(AI43:AK43)</f>
        <v>0</v>
      </c>
      <c r="AP43" s="0" cm="1" t="str">
        <f t="array" ref="AP43:AP43">AP42</f>
        <v>0</v>
      </c>
      <c r="AQ43" s="0" t="s">
        <v>621</v>
      </c>
      <c r="AS43" s="0" t="s">
        <v>303</v>
      </c>
      <c r="AT43" s="0" t="s">
        <v>1932</v>
      </c>
      <c r="AU43" s="0" t="s">
        <v>1933</v>
      </c>
    </row>
    <row customHeight="1" ht="16.575">
      <c r="E44" s="180">
        <v>17</v>
      </c>
      <c r="F44" s="263" cm="1" t="str">
        <f t="array" ref="F44:F44">F43</f>
        <v>0</v>
      </c>
      <c r="AB44" s="794">
        <v>5.1</v>
      </c>
      <c r="AC44" s="802" t="s">
        <v>1914</v>
      </c>
      <c r="AD44" s="794" t="s">
        <v>917</v>
      </c>
      <c r="AE44" s="561"/>
      <c r="AF44" s="561"/>
      <c r="AG44" s="561"/>
      <c r="AH44" s="695">
        <f>SUM(AE44:AG44)</f>
        <v>0</v>
      </c>
      <c r="AI44" s="561" cm="1" t="str">
        <f t="array" ref="AI44:AI44">AE44</f>
        <v>0</v>
      </c>
      <c r="AJ44" s="561" cm="1" t="str">
        <f t="array" ref="AJ44:AJ44">AF44</f>
        <v>0</v>
      </c>
      <c r="AK44" s="561" cm="1" t="str">
        <f t="array" ref="AK44:AK44">AG44</f>
        <v>0</v>
      </c>
      <c r="AL44" s="695">
        <f>SUM(AI44:AK44)</f>
        <v>0</v>
      </c>
      <c r="AP44" s="0" cm="1" t="str">
        <f t="array" ref="AP44:AP44">AP43</f>
        <v>0</v>
      </c>
      <c r="AQ44" s="0" t="s">
        <v>621</v>
      </c>
      <c r="AR44" s="0" t="s">
        <v>1915</v>
      </c>
      <c r="AS44" s="0" t="s">
        <v>303</v>
      </c>
      <c r="AT44" s="0" t="s">
        <v>1932</v>
      </c>
      <c r="AU44" s="0" t="s">
        <v>1933</v>
      </c>
    </row>
    <row customHeight="1" ht="16.575">
      <c r="E45" s="180">
        <v>17</v>
      </c>
      <c r="F45" s="263" cm="1" t="str">
        <f t="array" ref="F45:F45">F44</f>
        <v>0</v>
      </c>
      <c r="AB45" s="794">
        <v>5.2</v>
      </c>
      <c r="AC45" s="802" t="s">
        <v>1916</v>
      </c>
      <c r="AD45" s="794" t="s">
        <v>917</v>
      </c>
      <c r="AE45" s="561"/>
      <c r="AF45" s="561"/>
      <c r="AG45" s="561"/>
      <c r="AH45" s="695">
        <f>SUM(AE45:AG45)</f>
        <v>0</v>
      </c>
      <c r="AI45" s="561" cm="1" t="str">
        <f t="array" ref="AI45:AI45">AE45</f>
        <v>0</v>
      </c>
      <c r="AJ45" s="561" cm="1" t="str">
        <f t="array" ref="AJ45:AJ45">AF45</f>
        <v>0</v>
      </c>
      <c r="AK45" s="561" cm="1" t="str">
        <f t="array" ref="AK45:AK45">AG45</f>
        <v>0</v>
      </c>
      <c r="AL45" s="695">
        <f>SUM(AI45:AK45)</f>
        <v>0</v>
      </c>
      <c r="AP45" s="0" cm="1" t="str">
        <f t="array" ref="AP45:AP45">AP44</f>
        <v>0</v>
      </c>
      <c r="AQ45" s="0" t="s">
        <v>621</v>
      </c>
      <c r="AR45" s="0" t="s">
        <v>1917</v>
      </c>
      <c r="AS45" s="0" t="s">
        <v>303</v>
      </c>
      <c r="AT45" s="0" t="s">
        <v>1932</v>
      </c>
      <c r="AU45" s="0" t="s">
        <v>1933</v>
      </c>
    </row>
    <row customHeight="1" ht="16.575">
      <c r="E46" s="180">
        <v>17</v>
      </c>
      <c r="F46" s="263" cm="1" t="str">
        <f t="array" ref="F46:F46">F45</f>
        <v>0</v>
      </c>
      <c r="AB46" s="794">
        <v>5.3</v>
      </c>
      <c r="AC46" s="802" t="s">
        <v>1918</v>
      </c>
      <c r="AD46" s="794" t="s">
        <v>917</v>
      </c>
      <c r="AE46" s="561"/>
      <c r="AF46" s="561"/>
      <c r="AG46" s="561"/>
      <c r="AH46" s="695">
        <f>SUM(AE46:AG46)</f>
        <v>0</v>
      </c>
      <c r="AI46" s="561" cm="1" t="str">
        <f t="array" ref="AI46:AI46">AE46</f>
        <v>0</v>
      </c>
      <c r="AJ46" s="561" cm="1" t="str">
        <f t="array" ref="AJ46:AJ46">AF46</f>
        <v>0</v>
      </c>
      <c r="AK46" s="561" cm="1" t="str">
        <f t="array" ref="AK46:AK46">AG46</f>
        <v>0</v>
      </c>
      <c r="AL46" s="695">
        <f>SUM(AI46:AK46)</f>
        <v>0</v>
      </c>
      <c r="AP46" s="0" cm="1" t="str">
        <f t="array" ref="AP46:AP46">AP45</f>
        <v>0</v>
      </c>
      <c r="AQ46" s="0" t="s">
        <v>621</v>
      </c>
      <c r="AR46" s="0" t="s">
        <v>1919</v>
      </c>
      <c r="AS46" s="0" t="s">
        <v>303</v>
      </c>
      <c r="AT46" s="0" t="s">
        <v>1932</v>
      </c>
      <c r="AU46" s="0" t="s">
        <v>1933</v>
      </c>
    </row>
    <row customHeight="1" ht="16.575">
      <c r="E47" s="180">
        <v>17</v>
      </c>
      <c r="F47" s="263" cm="1" t="str">
        <f t="array" ref="F47:F47">F46</f>
        <v>0</v>
      </c>
      <c r="AB47" s="794">
        <v>5.4</v>
      </c>
      <c r="AC47" s="802" t="s">
        <v>1920</v>
      </c>
      <c r="AD47" s="794" t="s">
        <v>917</v>
      </c>
      <c r="AE47" s="561"/>
      <c r="AF47" s="561"/>
      <c r="AG47" s="561"/>
      <c r="AH47" s="695">
        <f>SUM(AE47:AG47)</f>
        <v>0</v>
      </c>
      <c r="AI47" s="561" cm="1" t="str">
        <f t="array" ref="AI47:AI47">AE47</f>
        <v>0</v>
      </c>
      <c r="AJ47" s="561" cm="1" t="str">
        <f t="array" ref="AJ47:AJ47">AF47</f>
        <v>0</v>
      </c>
      <c r="AK47" s="561" cm="1" t="str">
        <f t="array" ref="AK47:AK47">AG47</f>
        <v>0</v>
      </c>
      <c r="AL47" s="695">
        <f>SUM(AI47:AK47)</f>
        <v>0</v>
      </c>
      <c r="AP47" s="0" cm="1" t="str">
        <f t="array" ref="AP47:AP47">AP46</f>
        <v>0</v>
      </c>
      <c r="AQ47" s="0" t="s">
        <v>621</v>
      </c>
      <c r="AR47" s="0" t="s">
        <v>1921</v>
      </c>
      <c r="AS47" s="0" t="s">
        <v>303</v>
      </c>
      <c r="AT47" s="0" t="s">
        <v>1932</v>
      </c>
      <c r="AU47" s="0" t="s">
        <v>1933</v>
      </c>
    </row>
    <row customHeight="1" ht="16.575">
      <c r="E48" s="180">
        <v>17</v>
      </c>
      <c r="F48" s="263" cm="1" t="str">
        <f t="array" ref="F48:F48">F47</f>
        <v>0</v>
      </c>
      <c r="AB48" s="805">
        <v>5.5</v>
      </c>
      <c r="AC48" s="806" t="s">
        <v>1501</v>
      </c>
      <c r="AD48" s="805" t="s">
        <v>917</v>
      </c>
      <c r="AE48" s="699"/>
      <c r="AF48" s="699"/>
      <c r="AG48" s="699"/>
      <c r="AH48" s="700">
        <f>SUM(AE48:AG48)</f>
        <v>0</v>
      </c>
      <c r="AI48" s="699" cm="1" t="str">
        <f t="array" ref="AI48:AI48">AE48</f>
        <v>0</v>
      </c>
      <c r="AJ48" s="699" cm="1" t="str">
        <f t="array" ref="AJ48:AJ48">AF48</f>
        <v>0</v>
      </c>
      <c r="AK48" s="699" cm="1" t="str">
        <f t="array" ref="AK48:AK48">AG48</f>
        <v>0</v>
      </c>
      <c r="AL48" s="700">
        <f>SUM(AI48:AK48)</f>
        <v>0</v>
      </c>
      <c r="AP48" s="0" cm="1" t="str">
        <f t="array" ref="AP48:AP48">AP47</f>
        <v>0</v>
      </c>
      <c r="AQ48" s="0" t="s">
        <v>621</v>
      </c>
      <c r="AR48" s="0" t="s">
        <v>1922</v>
      </c>
      <c r="AS48" s="0" t="s">
        <v>303</v>
      </c>
      <c r="AT48" s="0" t="s">
        <v>1932</v>
      </c>
      <c r="AU48" s="0" t="s">
        <v>1933</v>
      </c>
    </row>
    <row customHeight="1" ht="16.575">
      <c r="E49" s="180">
        <v>17</v>
      </c>
      <c r="F49" s="263" cm="1" t="str">
        <f t="array" ref="F49:F49">F48</f>
        <v>0</v>
      </c>
      <c r="AB49" s="794">
        <v>6</v>
      </c>
      <c r="AC49" s="803" t="s">
        <v>1934</v>
      </c>
      <c r="AD49" s="794" t="s">
        <v>917</v>
      </c>
      <c r="AE49" s="695">
        <f>IF(AE41=0,0,AE42/AE41*AE35)</f>
        <v>0</v>
      </c>
      <c r="AF49" s="695">
        <f>IF(AF41=0,0,AF42/AF41*AF35)</f>
        <v>0</v>
      </c>
      <c r="AG49" s="695">
        <f>IF(AG41=0,0,AG42/AG41*AG35)</f>
        <v>0</v>
      </c>
      <c r="AH49" s="695">
        <f>SUM(AE49:AG49)</f>
        <v>0</v>
      </c>
      <c r="AI49" s="695">
        <f>IF(AI41=0,0,AI42/AI41*AI35)</f>
        <v>0</v>
      </c>
      <c r="AJ49" s="695">
        <f>IF(AJ41=0,0,AJ42/AJ41*AJ35)</f>
        <v>0</v>
      </c>
      <c r="AK49" s="695">
        <f>IF(AK41=0,0,AK42/AK41*AK35)</f>
        <v>0</v>
      </c>
      <c r="AL49" s="695">
        <f>SUM(AI49:AK49)</f>
        <v>0</v>
      </c>
      <c r="AP49" s="0" cm="1" t="str">
        <f t="array" ref="AP49:AP49">AP48</f>
        <v>0</v>
      </c>
      <c r="AS49" s="0" t="s">
        <v>303</v>
      </c>
      <c r="AT49" s="0" t="s">
        <v>1935</v>
      </c>
      <c r="AU49" s="0" t="s">
        <v>1936</v>
      </c>
    </row>
    <row customHeight="1" ht="16.575">
      <c r="E50" s="180">
        <v>17</v>
      </c>
      <c r="F50" s="263" cm="1" t="str">
        <f t="array" ref="F50:F50">F49</f>
        <v>0</v>
      </c>
      <c r="AB50" s="794">
        <v>7</v>
      </c>
      <c r="AC50" s="803" t="s">
        <v>1937</v>
      </c>
      <c r="AD50" s="794" t="s">
        <v>917</v>
      </c>
      <c r="AE50" s="695">
        <f>IF(AE49=0,0,AE29*(AE43/AE49-1))</f>
        <v>0</v>
      </c>
      <c r="AF50" s="695">
        <f>IF(AF49=0,0,AF29*(AF43/AF49-1))</f>
        <v>0</v>
      </c>
      <c r="AG50" s="695">
        <f>IF(AG49=0,0,AG29*(AG43/AG49-1))</f>
        <v>0</v>
      </c>
      <c r="AH50" s="695">
        <f>SUM(AE50:AG50)</f>
        <v>0</v>
      </c>
      <c r="AI50" s="695">
        <f>IF(AI49=0,0,AI29*(AI43/AI49-1))</f>
        <v>0</v>
      </c>
      <c r="AJ50" s="695">
        <f>IF(AJ49=0,0,AJ29*(AJ43/AJ49-1))</f>
        <v>0</v>
      </c>
      <c r="AK50" s="695">
        <f>IF(AK49=0,0,AK29*(AK43/AK49-1))</f>
        <v>0</v>
      </c>
      <c r="AL50" s="695">
        <f>SUM(AI50:AK50)</f>
        <v>0</v>
      </c>
      <c r="AP50" s="0" cm="1" t="str">
        <f t="array" ref="AP50:AP50">AP49</f>
        <v>0</v>
      </c>
      <c r="AS50" s="0" t="s">
        <v>303</v>
      </c>
      <c r="AT50" s="0" t="s">
        <v>1938</v>
      </c>
      <c r="AU50" s="0" t="s">
        <v>1939</v>
      </c>
    </row>
    <row s="765" customFormat="1" customHeight="1" ht="10.725000000000001">
      <c r="A51" s="1107"/>
      <c r="B51" s="795"/>
      <c r="C51" s="263"/>
      <c r="D51" s="263"/>
      <c r="E51" s="180">
        <v>11</v>
      </c>
      <c r="F51" s="263"/>
      <c r="G51" s="263"/>
      <c r="H51" s="263"/>
      <c r="I51" s="263"/>
      <c r="J51" s="263"/>
      <c r="K51" s="263"/>
      <c r="L51" s="263"/>
      <c r="M51" s="263"/>
      <c r="N51" s="263"/>
      <c r="O51" s="263"/>
      <c r="P51" s="263"/>
      <c r="Q51" s="263"/>
      <c r="R51" s="263"/>
      <c r="S51" s="263"/>
      <c r="T51" s="263"/>
      <c r="U51" s="263"/>
      <c r="V51" s="263"/>
      <c r="W51" s="263"/>
      <c r="X51" s="263"/>
      <c r="Y51" s="263"/>
      <c r="Z51" s="263"/>
      <c r="AB51" s="307"/>
      <c r="AC51" s="307"/>
      <c r="AD51" s="307"/>
      <c r="AE51" s="307"/>
      <c r="AF51" s="307"/>
      <c r="AG51" s="307"/>
      <c r="AH51" s="307"/>
      <c r="AI51" s="307"/>
      <c r="AJ51" s="307"/>
      <c r="AK51" s="307"/>
      <c r="AL51" s="307"/>
      <c r="AP51" s="0"/>
      <c r="AQ51" s="0"/>
      <c r="AR51" s="0"/>
      <c r="AS51" s="0"/>
      <c r="AT51" s="0"/>
      <c r="AU51" s="0"/>
      <c r="AV51" s="0"/>
    </row>
  </sheetData>
  <sheetProtection formatColumns="0" formatRows="0" insertRows="0" deleteColumns="0" deleteRows="0" sort="0" autoFilter="0" insertColumns="1"/>
  <mergeCells count="3">
    <mergeCell ref="AB25:AB26"/>
    <mergeCell ref="AC25:AC26"/>
    <mergeCell ref="AD25:AD2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5613B8-6C0A-E088-8268-9F21AAB4AC1B}" mc:Ignorable="x14ac xr xr2 xr3">
  <sheetPr>
    <tabColor rgb="FF92D050"/>
    <outlinePr summaryRight="0" summaryBelow="0"/>
    <pageSetUpPr fitToPage="1"/>
  </sheetPr>
  <dimension ref="A1:DR145"/>
  <sheetViews>
    <sheetView showGridLines="0" workbookViewId="0">
      <pane xSplit="30" ySplit="25" topLeftCell="AE108" activePane="bottomRight" state="frozen"/>
      <selection pane="bottomLeft" activeCell="A26" sqref="A26"/>
      <selection pane="topRight" activeCell="AE1" sqref="AE1"/>
      <selection pane="bottomRight" activeCell="BD124" sqref="BD124"/>
    </sheetView>
  </sheetViews>
  <sheetFormatPr defaultColWidth="9.140625" customHeight="1" defaultRowHeight="11.25"/>
  <cols>
    <col min="1" max="1" style="371" width="3.57421875" hidden="1" customWidth="1"/>
    <col min="2" max="2" style="1548" width="3.140625" hidden="1" customWidth="1"/>
    <col min="3" max="4" style="1506" width="4.57421875" hidden="1" customWidth="1"/>
    <col min="5" max="5" style="1718" width="4.00390625" hidden="1" customWidth="1"/>
    <col min="6" max="6" style="1548" width="6.421875" hidden="1" customWidth="1"/>
    <col min="7" max="12" style="1659" width="4.57421875" hidden="1" customWidth="1"/>
    <col min="13" max="19" style="1506" width="4.57421875" hidden="1" customWidth="1"/>
    <col min="20" max="20" style="1548" width="8.281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77" width="8.00390625" customWidth="1"/>
    <col min="29" max="29" style="285" width="70.00390625" customWidth="1"/>
    <col min="30" max="30" style="277" width="14.00390625" customWidth="1"/>
    <col min="31" max="33" style="286" width="13.00390625" customWidth="1"/>
    <col min="34" max="34" style="286" width="19.00390625" customWidth="1"/>
    <col min="35" max="36" style="286" width="13.00390625" customWidth="1"/>
    <col min="37" max="55" style="286" width="13.00390625" hidden="1" customWidth="1"/>
    <col min="56" max="56" style="286" width="13.00390625" customWidth="1"/>
    <col min="57" max="75" style="286" width="13.00390625" hidden="1" customWidth="1"/>
    <col min="76" max="76" style="286" width="13.00390625" customWidth="1"/>
    <col min="77" max="95" style="286" width="13.00390625" hidden="1" customWidth="1"/>
    <col min="96" max="96" style="286" width="19.00390625" customWidth="1"/>
    <col min="97" max="97" style="286" width="17.00390625" customWidth="1"/>
    <col min="98" max="98" style="286" width="31.00390625" customWidth="1"/>
    <col min="99" max="99" style="286" width="3.00390625" customWidth="1"/>
    <col min="100" max="100" style="1659" width="9.140625" hidden="1"/>
    <col min="101" max="103" style="1125" width="9.140625" hidden="1"/>
    <col min="104" max="105" style="1126" width="9.140625" hidden="1"/>
    <col min="106" max="107" style="1506" width="9.140625" hidden="1"/>
    <col min="108" max="122" width="9.140625" hidden="1"/>
  </cols>
  <sheetData>
    <row s="1548" customFormat="1" customHeight="1" ht="11.25" hidden="1">
      <c r="A1" s="371"/>
      <c r="C1" s="968"/>
      <c r="D1" s="968"/>
      <c r="F1" s="753" t="s">
        <v>84</v>
      </c>
      <c r="G1" s="193"/>
      <c r="H1" s="193"/>
      <c r="I1" s="193"/>
      <c r="J1" s="193"/>
      <c r="K1" s="193"/>
      <c r="M1" s="968"/>
      <c r="N1" s="968"/>
      <c r="O1" s="968"/>
      <c r="P1" s="968"/>
      <c r="Q1" s="968"/>
      <c r="R1" s="968"/>
      <c r="S1" s="968"/>
      <c r="T1" s="753" t="s">
        <v>85</v>
      </c>
      <c r="U1" s="753" t="s">
        <v>91</v>
      </c>
      <c r="V1" s="753" t="s">
        <v>86</v>
      </c>
      <c r="W1" s="753" t="s">
        <v>87</v>
      </c>
      <c r="X1" s="753" t="s">
        <v>88</v>
      </c>
      <c r="Y1" s="753" t="s">
        <v>89</v>
      </c>
      <c r="Z1" s="753" t="s">
        <v>93</v>
      </c>
      <c r="AA1" s="753" t="s">
        <v>90</v>
      </c>
      <c r="AB1" s="753" t="s">
        <v>92</v>
      </c>
      <c r="AC1" s="753" t="s">
        <v>92</v>
      </c>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W1" s="1548"/>
      <c r="BX1" s="1548"/>
      <c r="BY1" s="1548"/>
      <c r="BZ1" s="1548"/>
      <c r="CA1" s="1548"/>
      <c r="CB1" s="1548"/>
      <c r="CC1" s="1548"/>
      <c r="CD1" s="1548"/>
      <c r="CE1" s="1548"/>
      <c r="CF1" s="1548"/>
      <c r="CG1" s="1548"/>
      <c r="CH1" s="1548"/>
      <c r="CI1" s="1548"/>
      <c r="CJ1" s="1548"/>
      <c r="CK1" s="1548"/>
      <c r="CL1" s="1548"/>
      <c r="CM1" s="1548"/>
      <c r="CN1" s="1548"/>
      <c r="CO1" s="1548"/>
      <c r="CP1" s="1548"/>
      <c r="CQ1" s="1548"/>
      <c r="CW1" s="489" t="s">
        <v>336</v>
      </c>
      <c r="CX1" s="489" t="s">
        <v>337</v>
      </c>
      <c r="CY1" s="489" t="s">
        <v>338</v>
      </c>
      <c r="CZ1" s="546" t="s">
        <v>341</v>
      </c>
      <c r="DA1" s="546" t="s">
        <v>342</v>
      </c>
      <c r="DD1" s="0" t="s">
        <v>94</v>
      </c>
      <c r="DE1" s="0" t="s">
        <v>1940</v>
      </c>
      <c r="DF1" s="0" t="s">
        <v>1941</v>
      </c>
      <c r="DG1" s="0" t="s">
        <v>1600</v>
      </c>
      <c r="DH1" s="0" t="s">
        <v>1942</v>
      </c>
      <c r="DI1" s="0" t="s">
        <v>594</v>
      </c>
      <c r="DJ1" s="0" t="s">
        <v>794</v>
      </c>
      <c r="DK1" s="0" t="s">
        <v>1943</v>
      </c>
      <c r="DL1" s="0" t="s">
        <v>595</v>
      </c>
      <c r="DM1" s="0" t="s">
        <v>110</v>
      </c>
      <c r="DN1" s="0" t="s">
        <v>111</v>
      </c>
      <c r="DO1" s="0" t="s">
        <v>112</v>
      </c>
      <c r="DP1" s="0" t="s">
        <v>113</v>
      </c>
      <c r="DQ1" s="0" t="s">
        <v>114</v>
      </c>
      <c r="DR1" s="0"/>
    </row>
    <row s="1548" customFormat="1" customHeight="1" ht="11.25" hidden="1">
      <c r="A2" s="371"/>
      <c r="B2" s="179" t="s">
        <v>16</v>
      </c>
      <c r="C2" s="968"/>
      <c r="D2" s="968"/>
      <c r="G2" s="193"/>
      <c r="H2" s="193"/>
      <c r="I2" s="193"/>
      <c r="J2" s="193"/>
      <c r="K2" s="193"/>
      <c r="L2" s="193"/>
      <c r="M2" s="968"/>
      <c r="N2" s="968"/>
      <c r="O2" s="968"/>
      <c r="P2" s="968"/>
      <c r="Q2" s="968"/>
      <c r="R2" s="968"/>
      <c r="S2" s="968"/>
      <c r="AC2" s="176"/>
      <c r="AF2" s="179" cm="1" t="str">
        <f t="array" ref="AF2:AF2">isOrgDeclare</f>
        <v>true</v>
      </c>
      <c r="AH2" s="179" cm="1" t="str">
        <f t="array" ref="AH2:AH2">isOrgDeclare</f>
        <v>true</v>
      </c>
      <c r="AJ2" s="179">
        <f>AND(AJ9&lt;=last_year_vis,isOrgDeclare)</f>
        <v>1</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AND(BC9&lt;=last_year_vis,isOrgDeclare)</f>
        <v>0</v>
      </c>
      <c r="BD2" s="179">
        <f>BD9&lt;=last_year_vis</f>
        <v>1</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W2" s="179">
        <f>BW9&lt;=last_year_vis</f>
        <v>0</v>
      </c>
      <c r="BX2" s="179">
        <f>BX9&lt;=last_year_vis</f>
        <v>1</v>
      </c>
      <c r="BY2" s="179">
        <f>BY9&lt;=last_year_vis</f>
        <v>0</v>
      </c>
      <c r="BZ2" s="179">
        <f>BZ9&lt;=last_year_vis</f>
        <v>0</v>
      </c>
      <c r="CA2" s="179">
        <f>CA9&lt;=last_year_vis</f>
        <v>0</v>
      </c>
      <c r="CB2" s="179">
        <f>CB9&lt;=last_year_vis</f>
        <v>0</v>
      </c>
      <c r="CC2" s="179">
        <f>CC9&lt;=last_year_vis</f>
        <v>0</v>
      </c>
      <c r="CD2" s="179">
        <f>CD9&lt;=last_year_vis</f>
        <v>0</v>
      </c>
      <c r="CE2" s="179">
        <f>CE9&lt;=last_year_vis</f>
        <v>0</v>
      </c>
      <c r="CF2" s="179">
        <f>CF9&lt;=last_year_vis</f>
        <v>0</v>
      </c>
      <c r="CG2" s="179">
        <f>CG9&lt;=last_year_vis</f>
        <v>0</v>
      </c>
      <c r="CH2" s="179">
        <f>CH9&lt;=last_year_vis</f>
        <v>0</v>
      </c>
      <c r="CI2" s="179">
        <f>CI9&lt;=last_year_vis</f>
        <v>0</v>
      </c>
      <c r="CJ2" s="179">
        <f>CJ9&lt;=last_year_vis</f>
        <v>0</v>
      </c>
      <c r="CK2" s="179">
        <f>CK9&lt;=last_year_vis</f>
        <v>0</v>
      </c>
      <c r="CL2" s="179">
        <f>CL9&lt;=last_year_vis</f>
        <v>0</v>
      </c>
      <c r="CM2" s="179">
        <f>CM9&lt;=last_year_vis</f>
        <v>0</v>
      </c>
      <c r="CN2" s="179">
        <f>CN9&lt;=last_year_vis</f>
        <v>0</v>
      </c>
      <c r="CO2" s="179">
        <f>CO9&lt;=last_year_vis</f>
        <v>0</v>
      </c>
      <c r="CP2" s="179">
        <f>CP9&lt;=last_year_vis</f>
        <v>0</v>
      </c>
      <c r="CQ2" s="179">
        <f>CQ9&lt;=last_year_vis</f>
        <v>0</v>
      </c>
      <c r="CW2" s="489"/>
      <c r="CX2" s="489"/>
      <c r="CY2" s="489"/>
      <c r="CZ2" s="546"/>
      <c r="DA2" s="546"/>
      <c r="DD2" s="0"/>
      <c r="DE2" s="0"/>
      <c r="DF2" s="0"/>
      <c r="DG2" s="0"/>
      <c r="DH2" s="0"/>
      <c r="DI2" s="0"/>
      <c r="DJ2" s="0"/>
      <c r="DK2" s="0"/>
      <c r="DL2" s="0"/>
      <c r="DM2" s="0"/>
      <c r="DN2" s="0"/>
      <c r="DO2" s="0"/>
      <c r="DP2" s="0"/>
      <c r="DQ2" s="0"/>
      <c r="DR2" s="0"/>
    </row>
    <row s="1548" customFormat="1" customHeight="1" ht="11.25" hidden="1">
      <c r="A3" s="371"/>
      <c r="C3" s="968"/>
      <c r="D3" s="968"/>
      <c r="G3" s="193"/>
      <c r="H3" s="193"/>
      <c r="I3" s="193"/>
      <c r="J3" s="193"/>
      <c r="K3" s="193"/>
      <c r="L3" s="193"/>
      <c r="M3" s="968"/>
      <c r="N3" s="968"/>
      <c r="O3" s="968"/>
      <c r="P3" s="968"/>
      <c r="Q3" s="968"/>
      <c r="R3" s="968"/>
      <c r="S3" s="968"/>
      <c r="AC3" s="176"/>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W3" s="1548"/>
      <c r="BX3" s="1548"/>
      <c r="BY3" s="1548"/>
      <c r="BZ3" s="1548"/>
      <c r="CA3" s="1548"/>
      <c r="CB3" s="1548"/>
      <c r="CC3" s="1548"/>
      <c r="CD3" s="1548"/>
      <c r="CE3" s="1548"/>
      <c r="CF3" s="1548"/>
      <c r="CG3" s="1548"/>
      <c r="CH3" s="1548"/>
      <c r="CI3" s="1548"/>
      <c r="CJ3" s="1548"/>
      <c r="CK3" s="1548"/>
      <c r="CL3" s="1548"/>
      <c r="CM3" s="1548"/>
      <c r="CN3" s="1548"/>
      <c r="CO3" s="1548"/>
      <c r="CP3" s="1548"/>
      <c r="CQ3" s="1548"/>
      <c r="CW3" s="489"/>
      <c r="CX3" s="489"/>
      <c r="CY3" s="489"/>
      <c r="CZ3" s="546"/>
      <c r="DA3" s="546"/>
      <c r="DD3" s="0"/>
      <c r="DE3" s="0"/>
      <c r="DF3" s="0"/>
      <c r="DG3" s="0"/>
      <c r="DH3" s="0"/>
      <c r="DI3" s="0"/>
      <c r="DJ3" s="0"/>
      <c r="DK3" s="0"/>
      <c r="DL3" s="0"/>
      <c r="DM3" s="0"/>
      <c r="DN3" s="0"/>
      <c r="DO3" s="0"/>
      <c r="DP3" s="0"/>
      <c r="DQ3" s="0"/>
      <c r="DR3" s="0"/>
    </row>
    <row s="1548" customFormat="1" customHeight="1" ht="11.25" hidden="1">
      <c r="A4" s="371"/>
      <c r="C4" s="968"/>
      <c r="D4" s="968"/>
      <c r="G4" s="193"/>
      <c r="H4" s="193"/>
      <c r="I4" s="193"/>
      <c r="J4" s="193"/>
      <c r="K4" s="193"/>
      <c r="L4" s="193"/>
      <c r="M4" s="968"/>
      <c r="N4" s="968"/>
      <c r="O4" s="968"/>
      <c r="P4" s="968"/>
      <c r="Q4" s="968"/>
      <c r="R4" s="968"/>
      <c r="S4" s="968"/>
      <c r="AC4" s="176"/>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W4" s="1548"/>
      <c r="BX4" s="1548"/>
      <c r="BY4" s="1548"/>
      <c r="BZ4" s="1548"/>
      <c r="CA4" s="1548"/>
      <c r="CB4" s="1548"/>
      <c r="CC4" s="1548"/>
      <c r="CD4" s="1548"/>
      <c r="CE4" s="1548"/>
      <c r="CF4" s="1548"/>
      <c r="CG4" s="1548"/>
      <c r="CH4" s="1548"/>
      <c r="CI4" s="1548"/>
      <c r="CJ4" s="1548"/>
      <c r="CK4" s="1548"/>
      <c r="CL4" s="1548"/>
      <c r="CM4" s="1548"/>
      <c r="CN4" s="1548"/>
      <c r="CO4" s="1548"/>
      <c r="CP4" s="1548"/>
      <c r="CQ4" s="1548"/>
      <c r="CW4" s="489"/>
      <c r="CX4" s="489"/>
      <c r="CY4" s="489"/>
      <c r="CZ4" s="546"/>
      <c r="DA4" s="546"/>
      <c r="DD4" s="0"/>
      <c r="DE4" s="0"/>
      <c r="DF4" s="0"/>
      <c r="DG4" s="0"/>
      <c r="DH4" s="0"/>
      <c r="DI4" s="0"/>
      <c r="DJ4" s="0"/>
      <c r="DK4" s="0"/>
      <c r="DL4" s="0"/>
      <c r="DM4" s="0"/>
      <c r="DN4" s="0"/>
      <c r="DO4" s="0"/>
      <c r="DP4" s="0"/>
      <c r="DQ4" s="0"/>
      <c r="DR4" s="0"/>
    </row>
    <row s="1718" customFormat="1" customHeight="1" ht="11.25" hidden="1">
      <c r="A5" s="371"/>
      <c r="B5" s="175"/>
      <c r="C5" s="968"/>
      <c r="D5" s="968"/>
      <c r="E5" s="180" t="s">
        <v>17</v>
      </c>
      <c r="G5" s="194"/>
      <c r="H5" s="194"/>
      <c r="I5" s="194"/>
      <c r="J5" s="194"/>
      <c r="K5" s="194"/>
      <c r="L5" s="194"/>
      <c r="AA5" s="180">
        <v>3</v>
      </c>
      <c r="AB5" s="180">
        <v>8</v>
      </c>
      <c r="AC5" s="284">
        <v>70</v>
      </c>
      <c r="AD5" s="180">
        <v>14</v>
      </c>
      <c r="AE5" s="180">
        <v>13</v>
      </c>
      <c r="AF5" s="180">
        <v>13</v>
      </c>
      <c r="AG5" s="180">
        <v>13</v>
      </c>
      <c r="AH5" s="180">
        <v>19</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180">
        <v>13</v>
      </c>
      <c r="BX5" s="180">
        <v>13</v>
      </c>
      <c r="BY5" s="180">
        <v>13</v>
      </c>
      <c r="BZ5" s="180">
        <v>13</v>
      </c>
      <c r="CA5" s="180">
        <v>13</v>
      </c>
      <c r="CB5" s="180">
        <v>13</v>
      </c>
      <c r="CC5" s="180">
        <v>13</v>
      </c>
      <c r="CD5" s="180">
        <v>13</v>
      </c>
      <c r="CE5" s="180">
        <v>13</v>
      </c>
      <c r="CF5" s="180">
        <v>13</v>
      </c>
      <c r="CG5" s="180">
        <v>13</v>
      </c>
      <c r="CH5" s="180">
        <v>13</v>
      </c>
      <c r="CI5" s="180">
        <v>13</v>
      </c>
      <c r="CJ5" s="180">
        <v>13</v>
      </c>
      <c r="CK5" s="180">
        <v>13</v>
      </c>
      <c r="CL5" s="180">
        <v>13</v>
      </c>
      <c r="CM5" s="180">
        <v>13</v>
      </c>
      <c r="CN5" s="180">
        <v>13</v>
      </c>
      <c r="CO5" s="180">
        <v>13</v>
      </c>
      <c r="CP5" s="180">
        <v>13</v>
      </c>
      <c r="CQ5" s="180">
        <v>13</v>
      </c>
      <c r="CR5" s="180">
        <v>19</v>
      </c>
      <c r="CS5" s="180">
        <v>17</v>
      </c>
      <c r="CT5" s="180">
        <v>31</v>
      </c>
      <c r="CU5" s="180">
        <v>3</v>
      </c>
      <c r="CW5" s="489"/>
      <c r="CX5" s="489"/>
      <c r="CY5" s="489"/>
      <c r="CZ5" s="546"/>
      <c r="DA5" s="546"/>
      <c r="DD5" s="1729"/>
      <c r="DE5" s="1729"/>
      <c r="DF5" s="1729"/>
      <c r="DG5" s="1729"/>
      <c r="DH5" s="1729"/>
      <c r="DI5" s="1729"/>
      <c r="DJ5" s="1729"/>
      <c r="DK5" s="1729"/>
      <c r="DL5" s="1729"/>
      <c r="DM5" s="1729"/>
      <c r="DN5" s="1729"/>
      <c r="DO5" s="1729"/>
      <c r="DP5" s="1729"/>
      <c r="DQ5" s="1729"/>
      <c r="DR5" s="1729"/>
    </row>
    <row s="1548" customFormat="1" customHeight="1" ht="11.25" hidden="1">
      <c r="A6" s="371"/>
      <c r="E6" s="180"/>
      <c r="G6" s="193"/>
      <c r="H6" s="193"/>
      <c r="I6" s="193"/>
      <c r="J6" s="193"/>
      <c r="K6" s="193"/>
      <c r="L6" s="193"/>
      <c r="AC6" s="176"/>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W6" s="1548"/>
      <c r="BX6" s="1548"/>
      <c r="BY6" s="1548"/>
      <c r="BZ6" s="1548"/>
      <c r="CA6" s="1548"/>
      <c r="CB6" s="1548"/>
      <c r="CC6" s="1548"/>
      <c r="CD6" s="1548"/>
      <c r="CE6" s="1548"/>
      <c r="CF6" s="1548"/>
      <c r="CG6" s="1548"/>
      <c r="CH6" s="1548"/>
      <c r="CI6" s="1548"/>
      <c r="CJ6" s="1548"/>
      <c r="CK6" s="1548"/>
      <c r="CL6" s="1548"/>
      <c r="CM6" s="1548"/>
      <c r="CN6" s="1548"/>
      <c r="CO6" s="1548"/>
      <c r="CP6" s="1548"/>
      <c r="CQ6" s="1548"/>
      <c r="CW6" s="489"/>
      <c r="CX6" s="489"/>
      <c r="CY6" s="489"/>
      <c r="CZ6" s="546"/>
      <c r="DA6" s="546"/>
      <c r="DD6" s="0"/>
      <c r="DE6" s="0"/>
      <c r="DF6" s="0"/>
      <c r="DG6" s="0"/>
      <c r="DH6" s="0"/>
      <c r="DI6" s="0"/>
      <c r="DJ6" s="0"/>
      <c r="DK6" s="0"/>
      <c r="DL6" s="0"/>
      <c r="DM6" s="0"/>
      <c r="DN6" s="0"/>
      <c r="DO6" s="0"/>
      <c r="DP6" s="0"/>
      <c r="DQ6" s="0"/>
      <c r="DR6" s="0"/>
    </row>
    <row customHeight="1" ht="11.25" hidden="1">
      <c r="C7" s="193"/>
      <c r="D7" s="193"/>
      <c r="F7" s="193"/>
      <c r="M7" s="193"/>
      <c r="N7" s="193"/>
      <c r="O7" s="193"/>
      <c r="P7" s="193"/>
      <c r="Q7" s="193"/>
      <c r="R7" s="193"/>
      <c r="S7" s="193"/>
      <c r="T7" s="193"/>
      <c r="U7" s="193"/>
      <c r="V7" s="193"/>
      <c r="W7" s="193"/>
      <c r="X7" s="193"/>
      <c r="Y7" s="193"/>
      <c r="Z7" s="193"/>
      <c r="AA7" s="193"/>
      <c r="AB7" s="193"/>
      <c r="AC7" s="308"/>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193"/>
      <c r="BX7" s="193"/>
      <c r="BY7" s="193"/>
      <c r="BZ7" s="193"/>
      <c r="CA7" s="193"/>
      <c r="CB7" s="193"/>
      <c r="CC7" s="193"/>
      <c r="CD7" s="193"/>
      <c r="CE7" s="193"/>
      <c r="CF7" s="193"/>
      <c r="CG7" s="193"/>
      <c r="CH7" s="193"/>
      <c r="CI7" s="193"/>
      <c r="CJ7" s="193"/>
      <c r="CK7" s="193"/>
      <c r="CL7" s="193"/>
      <c r="CM7" s="193"/>
      <c r="CN7" s="193"/>
      <c r="CO7" s="193"/>
      <c r="CP7" s="193"/>
      <c r="CQ7" s="193"/>
      <c r="CR7" s="193"/>
      <c r="CS7" s="193"/>
      <c r="CT7" s="193"/>
      <c r="CU7" s="193"/>
    </row>
    <row customHeight="1" ht="11.25" hidden="1">
      <c r="C8" s="193"/>
      <c r="D8" s="193"/>
      <c r="F8" s="193"/>
      <c r="M8" s="193"/>
      <c r="N8" s="193"/>
      <c r="O8" s="193"/>
      <c r="P8" s="193"/>
      <c r="Q8" s="193"/>
      <c r="R8" s="193"/>
      <c r="S8" s="193"/>
      <c r="T8" s="193"/>
      <c r="U8" s="193"/>
      <c r="V8" s="193"/>
      <c r="W8" s="193"/>
      <c r="X8" s="193"/>
      <c r="Y8" s="193"/>
      <c r="Z8" s="193"/>
      <c r="AA8" s="193"/>
      <c r="AB8" s="193"/>
      <c r="AC8" s="308"/>
      <c r="AD8" s="193"/>
      <c r="AE8" s="193" t="str">
        <f>AE9&amp;AE10</f>
        <v>2025Принято органом регулирования</v>
      </c>
      <c r="AF8" s="193" t="str">
        <f>AF9&amp;AF10</f>
        <v>2025Факт по данным организации</v>
      </c>
      <c r="AG8" s="193" t="str">
        <f>AG9&amp;AG10</f>
        <v>2025Факт, принятый органом регулирования</v>
      </c>
      <c r="AH8" s="193" t="str">
        <f>AH9&amp;AH10</f>
        <v>2025отклонение факта по данным организации к факту принятому органом регулирования</v>
      </c>
      <c r="AI8" s="193" t="str">
        <f>AI9&amp;AI10</f>
        <v>2026Принято органом регулирования</v>
      </c>
      <c r="AJ8" s="193" t="str">
        <f>AJ9&amp;AJ10</f>
        <v>2027Предложение организации</v>
      </c>
      <c r="AK8" s="193" t="str">
        <f>AK9&amp;AK10</f>
        <v>2028Предложение организации</v>
      </c>
      <c r="AL8" s="193" t="str">
        <f>AL9&amp;AL10</f>
        <v>2029Предложение организации</v>
      </c>
      <c r="AM8" s="193" t="str">
        <f>AM9&amp;AM10</f>
        <v>2030Предложение организации</v>
      </c>
      <c r="AN8" s="193" t="str">
        <f>AN9&amp;AN10</f>
        <v>2031Предложение организации</v>
      </c>
      <c r="AO8" s="193" t="str">
        <f>AO9&amp;AO10</f>
        <v>2032Предложение организации</v>
      </c>
      <c r="AP8" s="193" t="str">
        <f>AP9&amp;AP10</f>
        <v>2033Предложение организации</v>
      </c>
      <c r="AQ8" s="193" t="str">
        <f>AQ9&amp;AQ10</f>
        <v>2034Предложение организации</v>
      </c>
      <c r="AR8" s="193" t="str">
        <f>AR9&amp;AR10</f>
        <v>2035Предложение организации</v>
      </c>
      <c r="AS8" s="193" t="str">
        <f>AS9&amp;AS10</f>
        <v>2036Предложение организации</v>
      </c>
      <c r="AT8" s="193" t="str">
        <f>AT9&amp;AT10</f>
        <v>2037Предложение организации</v>
      </c>
      <c r="AU8" s="193" t="str">
        <f>AU9&amp;AU10</f>
        <v>2038Предложение организации</v>
      </c>
      <c r="AV8" s="193" t="str">
        <f>AV9&amp;AV10</f>
        <v>2039Предложение организации</v>
      </c>
      <c r="AW8" s="193" t="str">
        <f>AW9&amp;AW10</f>
        <v>2040Предложение организации</v>
      </c>
      <c r="AX8" s="193" t="str">
        <f>AX9&amp;AX10</f>
        <v>2041Предложение организации</v>
      </c>
      <c r="AY8" s="193" t="str">
        <f>AY9&amp;AY10</f>
        <v>2042Предложение организации</v>
      </c>
      <c r="AZ8" s="193" t="str">
        <f>AZ9&amp;AZ10</f>
        <v>2043Предложение организации</v>
      </c>
      <c r="BA8" s="193" t="str">
        <f>BA9&amp;BA10</f>
        <v>2044Предложение организации</v>
      </c>
      <c r="BB8" s="193" t="str">
        <f>BB9&amp;BB10</f>
        <v>2045Предложение организации</v>
      </c>
      <c r="BC8" s="193" t="str">
        <f>BC9&amp;BC10</f>
        <v>2046Предложение организации</v>
      </c>
      <c r="BD8" s="193" t="str">
        <f>BD9&amp;BD10</f>
        <v>2027Принято органом регулирования</v>
      </c>
      <c r="BE8" s="193" t="str">
        <f>BE9&amp;BE10</f>
        <v>2028Принято органом регулирования</v>
      </c>
      <c r="BF8" s="193" t="str">
        <f>BF9&amp;BF10</f>
        <v>2029Принято органом регулирования</v>
      </c>
      <c r="BG8" s="193" t="str">
        <f>BG9&amp;BG10</f>
        <v>2030Принято органом регулирования</v>
      </c>
      <c r="BH8" s="193" t="str">
        <f>BH9&amp;BH10</f>
        <v>2031Принято органом регулирования</v>
      </c>
      <c r="BI8" s="193" t="str">
        <f>BI9&amp;BI10</f>
        <v>2032Принято органом регулирования</v>
      </c>
      <c r="BJ8" s="193" t="str">
        <f>BJ9&amp;BJ10</f>
        <v>2033Принято органом регулирования</v>
      </c>
      <c r="BK8" s="193" t="str">
        <f>BK9&amp;BK10</f>
        <v>2034Принято органом регулирования</v>
      </c>
      <c r="BL8" s="193" t="str">
        <f>BL9&amp;BL10</f>
        <v>2035Принято органом регулирования</v>
      </c>
      <c r="BM8" s="193" t="str">
        <f>BM9&amp;BM10</f>
        <v>2036Принято органом регулирования</v>
      </c>
      <c r="BN8" s="193" t="str">
        <f>BN9&amp;BN10</f>
        <v>2037Принято органом регулирования</v>
      </c>
      <c r="BO8" s="193" t="str">
        <f>BO9&amp;BO10</f>
        <v>2038Принято органом регулирования</v>
      </c>
      <c r="BP8" s="193" t="str">
        <f>BP9&amp;BP10</f>
        <v>2039Принято органом регулирования</v>
      </c>
      <c r="BQ8" s="193" t="str">
        <f>BQ9&amp;BQ10</f>
        <v>2040Принято органом регулирования</v>
      </c>
      <c r="BR8" s="193" t="str">
        <f>BR9&amp;BR10</f>
        <v>2041Принято органом регулирования</v>
      </c>
      <c r="BS8" s="193" t="str">
        <f>BS9&amp;BS10</f>
        <v>2042Принято органом регулирования</v>
      </c>
      <c r="BT8" s="193" t="str">
        <f>BT9&amp;BT10</f>
        <v>2043Принято органом регулирования</v>
      </c>
      <c r="BU8" s="193" t="str">
        <f>BU9&amp;BU10</f>
        <v>2044Принято органом регулирования</v>
      </c>
      <c r="BV8" s="193" t="str">
        <f>BV9&amp;BV10</f>
        <v>2045Принято органом регулирования</v>
      </c>
      <c r="BW8" s="193" t="str">
        <f>BW9&amp;BW10</f>
        <v>2046Принято органом регулирования</v>
      </c>
      <c r="BX8" s="193"/>
      <c r="BY8" s="193"/>
      <c r="BZ8" s="193"/>
      <c r="CA8" s="193"/>
      <c r="CB8" s="193"/>
      <c r="CC8" s="193"/>
      <c r="CD8" s="193"/>
      <c r="CE8" s="193"/>
      <c r="CF8" s="193"/>
      <c r="CG8" s="193"/>
      <c r="CH8" s="193"/>
      <c r="CI8" s="193"/>
      <c r="CJ8" s="193"/>
      <c r="CK8" s="193"/>
      <c r="CL8" s="193"/>
      <c r="CM8" s="193"/>
      <c r="CN8" s="193"/>
      <c r="CO8" s="193"/>
      <c r="CP8" s="193"/>
      <c r="CQ8" s="193"/>
      <c r="CR8" s="193"/>
      <c r="CS8" s="193"/>
      <c r="CT8" s="193"/>
      <c r="CU8" s="193"/>
    </row>
    <row s="1143" customFormat="1" customHeight="1" ht="11.25" hidden="1">
      <c r="A9" s="309" t="s">
        <v>403</v>
      </c>
      <c r="AE9" s="312">
        <f>god-2</f>
        <v>2025</v>
      </c>
      <c r="AF9" s="312">
        <f>god-2</f>
        <v>2025</v>
      </c>
      <c r="AG9" s="312">
        <f>god-2</f>
        <v>2025</v>
      </c>
      <c r="AH9" s="312">
        <f>god-2</f>
        <v>2025</v>
      </c>
      <c r="AI9" s="312">
        <f>god-1</f>
        <v>2026</v>
      </c>
      <c r="AJ9" s="312" cm="1" t="str">
        <f t="array" ref="AJ9:AJ9">god</f>
        <v>2027</v>
      </c>
      <c r="AK9" s="312">
        <f>god+1</f>
        <v>2028</v>
      </c>
      <c r="AL9" s="312">
        <f>god+2</f>
        <v>2029</v>
      </c>
      <c r="AM9" s="312">
        <f>god+3</f>
        <v>2030</v>
      </c>
      <c r="AN9" s="312">
        <f>god+4</f>
        <v>2031</v>
      </c>
      <c r="AO9" s="312">
        <f>god+5</f>
        <v>2032</v>
      </c>
      <c r="AP9" s="312">
        <f>god+6</f>
        <v>2033</v>
      </c>
      <c r="AQ9" s="312">
        <f>god+7</f>
        <v>2034</v>
      </c>
      <c r="AR9" s="312">
        <f>god+8</f>
        <v>2035</v>
      </c>
      <c r="AS9" s="312">
        <f>god+9</f>
        <v>2036</v>
      </c>
      <c r="AT9" s="312">
        <f>god+10</f>
        <v>2037</v>
      </c>
      <c r="AU9" s="312">
        <f>god+11</f>
        <v>2038</v>
      </c>
      <c r="AV9" s="312">
        <f>god+12</f>
        <v>2039</v>
      </c>
      <c r="AW9" s="312">
        <f>god+13</f>
        <v>2040</v>
      </c>
      <c r="AX9" s="312">
        <f>god+14</f>
        <v>2041</v>
      </c>
      <c r="AY9" s="312">
        <f>god+15</f>
        <v>2042</v>
      </c>
      <c r="AZ9" s="312">
        <f>god+16</f>
        <v>2043</v>
      </c>
      <c r="BA9" s="312">
        <f>god+17</f>
        <v>2044</v>
      </c>
      <c r="BB9" s="312">
        <f>god+18</f>
        <v>2045</v>
      </c>
      <c r="BC9" s="312">
        <f>god+19</f>
        <v>2046</v>
      </c>
      <c r="BD9" s="312" cm="1" t="str">
        <f t="array" ref="BD9:BD9">god</f>
        <v>2027</v>
      </c>
      <c r="BE9" s="312">
        <f>god+1</f>
        <v>2028</v>
      </c>
      <c r="BF9" s="312">
        <f>god+2</f>
        <v>2029</v>
      </c>
      <c r="BG9" s="312">
        <f>god+3</f>
        <v>2030</v>
      </c>
      <c r="BH9" s="312">
        <f>god+4</f>
        <v>2031</v>
      </c>
      <c r="BI9" s="312">
        <f>god+5</f>
        <v>2032</v>
      </c>
      <c r="BJ9" s="312">
        <f>god+6</f>
        <v>2033</v>
      </c>
      <c r="BK9" s="312">
        <f>god+7</f>
        <v>2034</v>
      </c>
      <c r="BL9" s="312">
        <f>god+8</f>
        <v>2035</v>
      </c>
      <c r="BM9" s="312">
        <f>god+9</f>
        <v>2036</v>
      </c>
      <c r="BN9" s="312">
        <f>god+10</f>
        <v>2037</v>
      </c>
      <c r="BO9" s="312">
        <f>god+11</f>
        <v>2038</v>
      </c>
      <c r="BP9" s="312">
        <f>god+12</f>
        <v>2039</v>
      </c>
      <c r="BQ9" s="312">
        <f>god+13</f>
        <v>2040</v>
      </c>
      <c r="BR9" s="312">
        <f>god+14</f>
        <v>2041</v>
      </c>
      <c r="BS9" s="312">
        <f>god+15</f>
        <v>2042</v>
      </c>
      <c r="BT9" s="312">
        <f>god+16</f>
        <v>2043</v>
      </c>
      <c r="BU9" s="312">
        <f>god+17</f>
        <v>2044</v>
      </c>
      <c r="BV9" s="312">
        <f>god+18</f>
        <v>2045</v>
      </c>
      <c r="BW9" s="312">
        <f>god+19</f>
        <v>2046</v>
      </c>
      <c r="BX9" s="312" cm="1" t="str">
        <f t="array" ref="BX9:BX9">god</f>
        <v>2027</v>
      </c>
      <c r="BY9" s="312">
        <f>god+1</f>
        <v>2028</v>
      </c>
      <c r="BZ9" s="312">
        <f>god+2</f>
        <v>2029</v>
      </c>
      <c r="CA9" s="312">
        <f>god+3</f>
        <v>2030</v>
      </c>
      <c r="CB9" s="312">
        <f>god+4</f>
        <v>2031</v>
      </c>
      <c r="CC9" s="312">
        <f>god+5</f>
        <v>2032</v>
      </c>
      <c r="CD9" s="312">
        <f>god+6</f>
        <v>2033</v>
      </c>
      <c r="CE9" s="312">
        <f>god+7</f>
        <v>2034</v>
      </c>
      <c r="CF9" s="312">
        <f>god+8</f>
        <v>2035</v>
      </c>
      <c r="CG9" s="312">
        <f>god+9</f>
        <v>2036</v>
      </c>
      <c r="CH9" s="312">
        <f>god+10</f>
        <v>2037</v>
      </c>
      <c r="CI9" s="312">
        <f>god+11</f>
        <v>2038</v>
      </c>
      <c r="CJ9" s="312">
        <f>god+12</f>
        <v>2039</v>
      </c>
      <c r="CK9" s="312">
        <f>god+13</f>
        <v>2040</v>
      </c>
      <c r="CL9" s="312">
        <f>god+14</f>
        <v>2041</v>
      </c>
      <c r="CM9" s="312">
        <f>god+15</f>
        <v>2042</v>
      </c>
      <c r="CN9" s="312">
        <f>god+16</f>
        <v>2043</v>
      </c>
      <c r="CO9" s="312">
        <f>god+17</f>
        <v>2044</v>
      </c>
      <c r="CP9" s="312">
        <f>god+18</f>
        <v>2045</v>
      </c>
      <c r="CQ9" s="312">
        <f>god+19</f>
        <v>2046</v>
      </c>
      <c r="CW9" s="489"/>
      <c r="CX9" s="489"/>
      <c r="CY9" s="489"/>
      <c r="CZ9" s="546"/>
      <c r="DA9" s="546"/>
      <c r="DD9" s="1730"/>
      <c r="DE9" s="1730"/>
      <c r="DF9" s="1730"/>
      <c r="DG9" s="1730"/>
      <c r="DH9" s="1730"/>
      <c r="DI9" s="1730"/>
      <c r="DJ9" s="1730"/>
      <c r="DK9" s="1730"/>
      <c r="DL9" s="1730"/>
      <c r="DM9" s="1730"/>
      <c r="DN9" s="1730"/>
      <c r="DO9" s="1730"/>
      <c r="DP9" s="1730"/>
      <c r="DQ9" s="1730"/>
      <c r="DR9" s="1730"/>
    </row>
    <row s="1143" customFormat="1" customHeight="1" ht="11.25" hidden="1">
      <c r="A10" s="309" t="s">
        <v>404</v>
      </c>
      <c r="AE10" s="312" cm="1" t="str">
        <f t="array" ref="AE10:AE10">AE25</f>
        <v>Принято органом регулирования</v>
      </c>
      <c r="AF10" s="312" cm="1" t="str">
        <f t="array" ref="AF10:AF10">AF25</f>
        <v>Факт по данным организации</v>
      </c>
      <c r="AG10" s="312" cm="1" t="str">
        <f t="array" ref="AG10:AG10">AG25</f>
        <v>Факт, принятый органом регулирования</v>
      </c>
      <c r="AH10" s="312" cm="1" t="str">
        <f t="array" ref="AH10:AH10">AH25</f>
        <v>отклонение факта по данным организации к факту принятому органом регулирования</v>
      </c>
      <c r="AI10" s="312" cm="1" t="str">
        <f t="array" ref="AI10:AI10">AI25</f>
        <v>Принято органом регулирования</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Предложение организации</v>
      </c>
      <c r="AZ10" s="312" cm="1" t="str">
        <f t="array" ref="AZ10:AZ10">AZ25</f>
        <v>Предложение организации</v>
      </c>
      <c r="BA10" s="312" cm="1" t="str">
        <f t="array" ref="BA10:BA10">BA25</f>
        <v>Предложение организации</v>
      </c>
      <c r="BB10" s="312" cm="1" t="str">
        <f t="array" ref="BB10:BB10">BB25</f>
        <v>Предложение организации</v>
      </c>
      <c r="BC10" s="312" cm="1" t="str">
        <f t="array" ref="BC10:BC10">BC25</f>
        <v>Предложение организации</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S10" s="312" cm="1" t="str">
        <f t="array" ref="BS10:BS10">BS25</f>
        <v>Принято органом регулирования</v>
      </c>
      <c r="BT10" s="312" cm="1" t="str">
        <f t="array" ref="BT10:BT10">BT25</f>
        <v>Принято органом регулирования</v>
      </c>
      <c r="BU10" s="312" cm="1" t="str">
        <f t="array" ref="BU10:BU10">BU25</f>
        <v>Принято органом регулирования</v>
      </c>
      <c r="BV10" s="312" cm="1" t="str">
        <f t="array" ref="BV10:BV10">BV25</f>
        <v>Принято органом регулирования</v>
      </c>
      <c r="BW10" s="312" cm="1" t="str">
        <f t="array" ref="BW10:BW10">BW25</f>
        <v>Принято органом регулирования</v>
      </c>
      <c r="BX10" s="312" cm="1" t="str">
        <f t="array" ref="BX10:BX10">BX25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Y10" s="312" cm="1" t="str">
        <f t="array" ref="BY10:BY10">BX10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Z10" s="312" cm="1" t="str">
        <f t="array" ref="BZ10:BZ10">BY10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A10" s="312" cm="1" t="str">
        <f t="array" ref="CA10:CA10">BZ10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B10" s="312" cm="1" t="str">
        <f t="array" ref="CB10:CB10">CA10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C10" s="312" cm="1" t="str">
        <f t="array" ref="CC10:CC10">CB10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D10" s="312" cm="1" t="str">
        <f t="array" ref="CD10:CD10">CC10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E10" s="312" cm="1" t="str">
        <f t="array" ref="CE10:CE10">CD10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F10" s="312" cm="1" t="str">
        <f t="array" ref="CF10:CF10">CE10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G10" s="312" cm="1" t="str">
        <f t="array" ref="CG10:CG10">CF10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H10" s="312" cm="1" t="str">
        <f t="array" ref="CH10:CH10">CG10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I10" s="312" cm="1" t="str">
        <f t="array" ref="CI10:CI10">CH10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J10" s="312" cm="1" t="str">
        <f t="array" ref="CJ10:CJ10">CI10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K10" s="312" cm="1" t="str">
        <f t="array" ref="CK10:CK10">CJ10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L10" s="312" cm="1" t="str">
        <f t="array" ref="CL10:CL10">CK10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M10" s="312" cm="1" t="str">
        <f t="array" ref="CM10:CM10">CL10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N10" s="312" cm="1" t="str">
        <f t="array" ref="CN10:CN10">CM10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O10" s="312" cm="1" t="str">
        <f t="array" ref="CO10:CO10">CN10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P10" s="312" cm="1" t="str">
        <f t="array" ref="CP10:CP10">CO10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Q10" s="312" cm="1" t="str">
        <f t="array" ref="CQ10:CQ10">CP10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CW10" s="489"/>
      <c r="CX10" s="489"/>
      <c r="CY10" s="489"/>
      <c r="CZ10" s="546"/>
      <c r="DA10" s="546"/>
      <c r="DD10" s="1730"/>
      <c r="DE10" s="1730"/>
      <c r="DF10" s="1730"/>
      <c r="DG10" s="1730"/>
      <c r="DH10" s="1730"/>
      <c r="DI10" s="1730"/>
      <c r="DJ10" s="1730"/>
      <c r="DK10" s="1730"/>
      <c r="DL10" s="1730"/>
      <c r="DM10" s="1730"/>
      <c r="DN10" s="1730"/>
      <c r="DO10" s="1730"/>
      <c r="DP10" s="1730"/>
      <c r="DQ10" s="1730"/>
      <c r="DR10" s="1730"/>
    </row>
    <row s="1143" customFormat="1" customHeight="1" ht="11.25" hidden="1">
      <c r="A11" s="309" t="s">
        <v>405</v>
      </c>
      <c r="G11" s="483"/>
      <c r="H11" s="483"/>
      <c r="I11" s="483"/>
      <c r="J11" s="483"/>
      <c r="K11" s="483"/>
      <c r="L11" s="483"/>
      <c r="AC11" s="326"/>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1143"/>
      <c r="BX11" s="1143"/>
      <c r="BY11" s="1143"/>
      <c r="BZ11" s="1143"/>
      <c r="CA11" s="1143"/>
      <c r="CB11" s="1143"/>
      <c r="CC11" s="1143"/>
      <c r="CD11" s="1143"/>
      <c r="CE11" s="1143"/>
      <c r="CF11" s="1143"/>
      <c r="CG11" s="1143"/>
      <c r="CH11" s="1143"/>
      <c r="CI11" s="1143"/>
      <c r="CJ11" s="1143"/>
      <c r="CK11" s="1143"/>
      <c r="CL11" s="1143"/>
      <c r="CM11" s="1143"/>
      <c r="CN11" s="1143"/>
      <c r="CO11" s="1143"/>
      <c r="CP11" s="1143"/>
      <c r="CQ11" s="1143"/>
      <c r="CR11" s="312" cm="1" t="str">
        <f t="array" ref="CR11:CR11">CR24</f>
        <v>Указание на подтверждающие документы / URL-ссылка на копии подтверждающих документов</v>
      </c>
      <c r="CS11" s="312" cm="1" t="str">
        <f t="array" ref="CS11:CS11">CS24</f>
        <v>Ссылка на правовую норму (основание для принятия показателя в расчет тарифа)</v>
      </c>
      <c r="CT11" s="312" cm="1" t="str">
        <f t="array" ref="CT11:CT11">CT24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CW11" s="489"/>
      <c r="CX11" s="489"/>
      <c r="CY11" s="489"/>
      <c r="CZ11" s="546"/>
      <c r="DA11" s="546"/>
      <c r="DD11" s="1730"/>
      <c r="DE11" s="1730"/>
      <c r="DF11" s="1730"/>
      <c r="DG11" s="1730"/>
      <c r="DH11" s="1730"/>
      <c r="DI11" s="1730"/>
      <c r="DJ11" s="1730"/>
      <c r="DK11" s="1730"/>
      <c r="DL11" s="1730"/>
      <c r="DM11" s="1730"/>
      <c r="DN11" s="1730"/>
      <c r="DO11" s="1730"/>
      <c r="DP11" s="1730"/>
      <c r="DQ11" s="1730"/>
      <c r="DR11" s="1730"/>
    </row>
    <row s="1143" customFormat="1" customHeight="1" ht="11.25" hidden="1">
      <c r="A12" s="309" t="s">
        <v>350</v>
      </c>
      <c r="G12" s="483"/>
      <c r="H12" s="483"/>
      <c r="I12" s="483"/>
      <c r="J12" s="483"/>
      <c r="K12" s="483"/>
      <c r="L12" s="483"/>
      <c r="AC12" s="326" t="s">
        <v>338</v>
      </c>
      <c r="AJ12" s="1143"/>
      <c r="AK12" s="1143"/>
      <c r="AL12" s="1143"/>
      <c r="AM12" s="1143"/>
      <c r="AN12" s="1143"/>
      <c r="AO12" s="1143"/>
      <c r="AP12" s="1143"/>
      <c r="AQ12" s="1143"/>
      <c r="AR12" s="1143"/>
      <c r="AS12" s="1143"/>
      <c r="AT12" s="1143"/>
      <c r="AU12" s="1143"/>
      <c r="AV12" s="1143"/>
      <c r="AW12" s="1143"/>
      <c r="AX12" s="1143"/>
      <c r="AY12" s="1143"/>
      <c r="AZ12" s="1143"/>
      <c r="BA12" s="1143"/>
      <c r="BB12" s="1143"/>
      <c r="BC12" s="1143"/>
      <c r="BD12" s="1143"/>
      <c r="BE12" s="1143"/>
      <c r="BF12" s="1143"/>
      <c r="BG12" s="1143"/>
      <c r="BH12" s="1143"/>
      <c r="BI12" s="1143"/>
      <c r="BJ12" s="1143"/>
      <c r="BK12" s="1143"/>
      <c r="BL12" s="1143"/>
      <c r="BM12" s="1143"/>
      <c r="BN12" s="1143"/>
      <c r="BO12" s="1143"/>
      <c r="BP12" s="1143"/>
      <c r="BQ12" s="1143"/>
      <c r="BR12" s="1143"/>
      <c r="BS12" s="1143"/>
      <c r="BT12" s="1143"/>
      <c r="BU12" s="1143"/>
      <c r="BV12" s="1143"/>
      <c r="BW12" s="1143"/>
      <c r="BX12" s="1143"/>
      <c r="BY12" s="1143"/>
      <c r="BZ12" s="1143"/>
      <c r="CA12" s="1143"/>
      <c r="CB12" s="1143"/>
      <c r="CC12" s="1143"/>
      <c r="CD12" s="1143"/>
      <c r="CE12" s="1143"/>
      <c r="CF12" s="1143"/>
      <c r="CG12" s="1143"/>
      <c r="CH12" s="1143"/>
      <c r="CI12" s="1143"/>
      <c r="CJ12" s="1143"/>
      <c r="CK12" s="1143"/>
      <c r="CL12" s="1143"/>
      <c r="CM12" s="1143"/>
      <c r="CN12" s="1143"/>
      <c r="CO12" s="1143"/>
      <c r="CP12" s="1143"/>
      <c r="CQ12" s="1143"/>
      <c r="CW12" s="489"/>
      <c r="CX12" s="489"/>
      <c r="CY12" s="489"/>
      <c r="CZ12" s="546"/>
      <c r="DA12" s="546"/>
      <c r="DD12" s="1730"/>
      <c r="DE12" s="1730"/>
      <c r="DF12" s="1730"/>
      <c r="DG12" s="1730"/>
      <c r="DH12" s="1730"/>
      <c r="DI12" s="1730"/>
      <c r="DJ12" s="1730"/>
      <c r="DK12" s="1730"/>
      <c r="DL12" s="1730"/>
      <c r="DM12" s="1730"/>
      <c r="DN12" s="1730"/>
      <c r="DO12" s="1730"/>
      <c r="DP12" s="1730"/>
      <c r="DQ12" s="1730"/>
      <c r="DR12" s="1730"/>
    </row>
    <row customHeight="1" ht="11.25" hidden="1">
      <c r="A13" s="0" t="s">
        <v>109</v>
      </c>
      <c r="AE13" s="0" t="str">
        <f>"389.0."&amp;AE$9-2010&amp;"."</f>
        <v>389.0.15.</v>
      </c>
      <c r="AF13" s="0" t="str">
        <f>"389.0."&amp;AF$9-2010&amp;"."</f>
        <v>389.0.15.</v>
      </c>
      <c r="AG13" s="0" t="str">
        <f>"389.0."&amp;AG$9-2010&amp;"."</f>
        <v>389.0.15.</v>
      </c>
      <c r="AH13" s="0" t="str">
        <f>"389.0."&amp;AH$9-2010&amp;"."</f>
        <v>389.0.15.</v>
      </c>
      <c r="AI13" s="0" t="str">
        <f>"389.0."&amp;AI$9-2010&amp;"."</f>
        <v>389.0.16.</v>
      </c>
      <c r="AJ13" s="0" t="str">
        <f>"389.0."&amp;AJ$9-2010&amp;"."</f>
        <v>389.0.17.</v>
      </c>
      <c r="AK13" s="0" t="str">
        <f>"389.0."&amp;AK$9-2010&amp;"."</f>
        <v>389.0.18.</v>
      </c>
      <c r="AL13" s="0" t="str">
        <f>"389.0."&amp;AL$9-2010&amp;"."</f>
        <v>389.0.19.</v>
      </c>
      <c r="AM13" s="0" t="str">
        <f>"389.0."&amp;AM$9-2010&amp;"."</f>
        <v>389.0.20.</v>
      </c>
      <c r="AN13" s="0" t="str">
        <f>"389.0."&amp;AN$9-2010&amp;"."</f>
        <v>389.0.21.</v>
      </c>
      <c r="AO13" s="0" t="str">
        <f>"389.0."&amp;AO$9-2010&amp;"."</f>
        <v>389.0.22.</v>
      </c>
      <c r="AP13" s="0" t="str">
        <f>"389.0."&amp;AP$9-2010&amp;"."</f>
        <v>389.0.23.</v>
      </c>
      <c r="AQ13" s="0" t="str">
        <f>"389.0."&amp;AQ$9-2010&amp;"."</f>
        <v>389.0.24.</v>
      </c>
      <c r="AR13" s="0" t="str">
        <f>"389.0."&amp;AR$9-2010&amp;"."</f>
        <v>389.0.25.</v>
      </c>
      <c r="AS13" s="0" t="str">
        <f>"389.0."&amp;AS$9-2010&amp;"."</f>
        <v>389.0.26.</v>
      </c>
      <c r="AT13" s="0" t="str">
        <f>"389.0."&amp;AT$9-2010&amp;"."</f>
        <v>389.0.27.</v>
      </c>
      <c r="AU13" s="0" t="str">
        <f>"389.0."&amp;AU$9-2010&amp;"."</f>
        <v>389.0.28.</v>
      </c>
      <c r="AV13" s="0" t="str">
        <f>"389.0."&amp;AV$9-2010&amp;"."</f>
        <v>389.0.29.</v>
      </c>
      <c r="AW13" s="0" t="str">
        <f>"389.0."&amp;AW$9-2010&amp;"."</f>
        <v>389.0.30.</v>
      </c>
      <c r="AX13" s="0" t="str">
        <f>"389.0."&amp;AX$9-2010&amp;"."</f>
        <v>389.0.31.</v>
      </c>
      <c r="AY13" s="0" t="str">
        <f>"389.0."&amp;AY$9-2010&amp;"."</f>
        <v>389.0.32.</v>
      </c>
      <c r="AZ13" s="0" t="str">
        <f>"389.0."&amp;AZ$9-2010&amp;"."</f>
        <v>389.0.33.</v>
      </c>
      <c r="BA13" s="0" t="str">
        <f>"389.0."&amp;BA$9-2010&amp;"."</f>
        <v>389.0.34.</v>
      </c>
      <c r="BB13" s="0" t="str">
        <f>"389.0."&amp;BB$9-2010&amp;"."</f>
        <v>389.0.35.</v>
      </c>
      <c r="BC13" s="0" t="str">
        <f>"389.0."&amp;BC$9-2010&amp;"."</f>
        <v>389.0.36.</v>
      </c>
      <c r="BD13" s="0" t="str">
        <f>"389.0."&amp;BD$9-2010&amp;"."</f>
        <v>389.0.17.</v>
      </c>
      <c r="BE13" s="0" t="str">
        <f>"389.0."&amp;BE$9-2010&amp;"."</f>
        <v>389.0.18.</v>
      </c>
      <c r="BF13" s="0" t="str">
        <f>"389.0."&amp;BF$9-2010&amp;"."</f>
        <v>389.0.19.</v>
      </c>
      <c r="BG13" s="0" t="str">
        <f>"389.0."&amp;BG$9-2010&amp;"."</f>
        <v>389.0.20.</v>
      </c>
      <c r="BH13" s="0" t="str">
        <f>"389.0."&amp;BH$9-2010&amp;"."</f>
        <v>389.0.21.</v>
      </c>
      <c r="BI13" s="0" t="str">
        <f>"389.0."&amp;BI$9-2010&amp;"."</f>
        <v>389.0.22.</v>
      </c>
      <c r="BJ13" s="0" t="str">
        <f>"389.0."&amp;BJ$9-2010&amp;"."</f>
        <v>389.0.23.</v>
      </c>
      <c r="BK13" s="0" t="str">
        <f>"389.0."&amp;BK$9-2010&amp;"."</f>
        <v>389.0.24.</v>
      </c>
      <c r="BL13" s="0" t="str">
        <f>"389.0."&amp;BL$9-2010&amp;"."</f>
        <v>389.0.25.</v>
      </c>
      <c r="BM13" s="0" t="str">
        <f>"389.0."&amp;BM$9-2010&amp;"."</f>
        <v>389.0.26.</v>
      </c>
      <c r="BN13" s="0" t="str">
        <f>"389.0."&amp;BN$9-2010&amp;"."</f>
        <v>389.0.27.</v>
      </c>
      <c r="BO13" s="0" t="str">
        <f>"389.0."&amp;BO$9-2010&amp;"."</f>
        <v>389.0.28.</v>
      </c>
      <c r="BP13" s="0" t="str">
        <f>"389.0."&amp;BP$9-2010&amp;"."</f>
        <v>389.0.29.</v>
      </c>
      <c r="BQ13" s="0" t="str">
        <f>"389.0."&amp;BQ$9-2010&amp;"."</f>
        <v>389.0.30.</v>
      </c>
      <c r="BR13" s="0" t="str">
        <f>"389.0."&amp;BR$9-2010&amp;"."</f>
        <v>389.0.31.</v>
      </c>
      <c r="BS13" s="0" t="str">
        <f>"389.0."&amp;BS$9-2010&amp;"."</f>
        <v>389.0.32.</v>
      </c>
      <c r="BT13" s="0" t="str">
        <f>"389.0."&amp;BT$9-2010&amp;"."</f>
        <v>389.0.33.</v>
      </c>
      <c r="BU13" s="0" t="str">
        <f>"389.0."&amp;BU$9-2010&amp;"."</f>
        <v>389.0.34.</v>
      </c>
      <c r="BV13" s="0" t="str">
        <f>"389.0."&amp;BV$9-2010&amp;"."</f>
        <v>389.0.35.</v>
      </c>
      <c r="BW13" s="0" t="str">
        <f>"389.0."&amp;BW$9-2010&amp;"."</f>
        <v>389.0.36.</v>
      </c>
      <c r="BX13" s="0" t="str">
        <f>"389.0."&amp;BX$9-2010&amp;"."</f>
        <v>389.0.17.</v>
      </c>
      <c r="BY13" s="0" t="str">
        <f>"389.0."&amp;BY$9-2010&amp;"."</f>
        <v>389.0.18.</v>
      </c>
      <c r="BZ13" s="0" t="str">
        <f>"389.0."&amp;BZ$9-2010&amp;"."</f>
        <v>389.0.19.</v>
      </c>
      <c r="CA13" s="0" t="str">
        <f>"389.0."&amp;CA$9-2010&amp;"."</f>
        <v>389.0.20.</v>
      </c>
      <c r="CB13" s="0" t="str">
        <f>"389.0."&amp;CB$9-2010&amp;"."</f>
        <v>389.0.21.</v>
      </c>
      <c r="CC13" s="0" t="str">
        <f>"389.0."&amp;CC$9-2010&amp;"."</f>
        <v>389.0.22.</v>
      </c>
      <c r="CD13" s="0" t="str">
        <f>"389.0."&amp;CD$9-2010&amp;"."</f>
        <v>389.0.23.</v>
      </c>
      <c r="CE13" s="0" t="str">
        <f>"389.0."&amp;CE$9-2010&amp;"."</f>
        <v>389.0.24.</v>
      </c>
      <c r="CF13" s="0" t="str">
        <f>"389.0."&amp;CF$9-2010&amp;"."</f>
        <v>389.0.25.</v>
      </c>
      <c r="CG13" s="0" t="str">
        <f>"389.0."&amp;CG$9-2010&amp;"."</f>
        <v>389.0.26.</v>
      </c>
      <c r="CH13" s="0" t="str">
        <f>"389.0."&amp;CH$9-2010&amp;"."</f>
        <v>389.0.27.</v>
      </c>
      <c r="CI13" s="0" t="str">
        <f>"389.0."&amp;CI$9-2010&amp;"."</f>
        <v>389.0.28.</v>
      </c>
      <c r="CJ13" s="0" t="str">
        <f>"389.0."&amp;CJ$9-2010&amp;"."</f>
        <v>389.0.29.</v>
      </c>
      <c r="CK13" s="0" t="str">
        <f>"389.0."&amp;CK$9-2010&amp;"."</f>
        <v>389.0.30.</v>
      </c>
      <c r="CL13" s="0" t="str">
        <f>"389.0."&amp;CL$9-2010&amp;"."</f>
        <v>389.0.31.</v>
      </c>
      <c r="CM13" s="0" t="str">
        <f>"389.0."&amp;CM$9-2010&amp;"."</f>
        <v>389.0.32.</v>
      </c>
      <c r="CN13" s="0" t="str">
        <f>"389.0."&amp;CN$9-2010&amp;"."</f>
        <v>389.0.33.</v>
      </c>
      <c r="CO13" s="0" t="str">
        <f>"389.0."&amp;CO$9-2010&amp;"."</f>
        <v>389.0.34.</v>
      </c>
      <c r="CP13" s="0" t="str">
        <f>"389.0."&amp;CP$9-2010&amp;"."</f>
        <v>389.0.35.</v>
      </c>
      <c r="CQ13" s="0" t="str">
        <f>"389.0."&amp;CQ$9-2010&amp;"."</f>
        <v>389.0.36.</v>
      </c>
    </row>
    <row customHeight="1" ht="11.25" hidden="1">
      <c r="A14" s="0" t="s">
        <v>406</v>
      </c>
      <c r="AE14" s="0" cm="1" t="str">
        <f t="array" ref="AE14:AE14">IF($A14="uni_org_reg_NAME",INDEX(org_reg_values,MATCH(AE$10,org_reg_codes,0),1),IF($A14="uni_pf_NAME",INDEX(pf_codes_values,MATCH(AE$10,pf_codes,0),1),""))</f>
        <v>328.0.2.</v>
      </c>
      <c r="AF14" s="0" cm="1" t="str">
        <f t="array" ref="AF14:AF14">IF($A14="uni_org_reg_NAME",INDEX(org_reg_values,MATCH(AF$10,org_reg_codes,0),1),IF($A14="uni_pf_NAME",INDEX(pf_codes_values,MATCH(AF$10,pf_codes,0),1),""))</f>
        <v>328.0.1.</v>
      </c>
      <c r="AG14" s="0" cm="1" t="str">
        <f t="array" ref="AG14:AG14">IF($A14="uni_org_reg_NAME",INDEX(org_reg_values,MATCH(AG$10,org_reg_codes,0),1),IF($A14="uni_pf_NAME",INDEX(pf_codes_values,MATCH(AG$10,pf_codes,0),1),""))</f>
        <v>328.0.2.</v>
      </c>
      <c r="AH14" s="0" cm="1" t="str">
        <f t="array" ref="AH14:AH14">IF($A14="uni_org_reg_NAME",INDEX(org_reg_values,MATCH(AH$10,org_reg_codes,0),1),IF($A14="uni_pf_NAME",INDEX(pf_codes_values,MATCH(AH$10,pf_codes,0),1),""))</f>
        <v>328.0.1.</v>
      </c>
      <c r="AI14" s="0" cm="1" t="str">
        <f t="array" ref="AI14:AI14">IF($A14="uni_org_reg_NAME",INDEX(org_reg_values,MATCH(AI$10,org_reg_codes,0),1),IF($A14="uni_pf_NAME",INDEX(pf_codes_values,MATCH(AI$10,pf_codes,0),1),""))</f>
        <v>328.0.2.</v>
      </c>
      <c r="AJ14" s="0" cm="1" t="str">
        <f t="array" ref="AJ14:AJ14">IF($A14="uni_org_reg_NAME",INDEX(org_reg_values,MATCH(AJ$10,org_reg_codes,0),1),IF($A14="uni_pf_NAME",INDEX(pf_codes_values,MATCH(AJ$10,pf_codes,0),1),""))</f>
        <v>328.0.1.</v>
      </c>
      <c r="AK14" s="0" cm="1" t="str">
        <f t="array" ref="AK14:AK14">IF($A14="uni_org_reg_NAME",INDEX(org_reg_values,MATCH(AK$10,org_reg_codes,0),1),IF($A14="uni_pf_NAME",INDEX(pf_codes_values,MATCH(AK$10,pf_codes,0),1),""))</f>
        <v>328.0.1.</v>
      </c>
      <c r="AL14" s="0" cm="1" t="str">
        <f t="array" ref="AL14:AL14">IF($A14="uni_org_reg_NAME",INDEX(org_reg_values,MATCH(AL$10,org_reg_codes,0),1),IF($A14="uni_pf_NAME",INDEX(pf_codes_values,MATCH(AL$10,pf_codes,0),1),""))</f>
        <v>328.0.1.</v>
      </c>
      <c r="AM14" s="0" cm="1" t="str">
        <f t="array" ref="AM14:AM14">IF($A14="uni_org_reg_NAME",INDEX(org_reg_values,MATCH(AM$10,org_reg_codes,0),1),IF($A14="uni_pf_NAME",INDEX(pf_codes_values,MATCH(AM$10,pf_codes,0),1),""))</f>
        <v>328.0.1.</v>
      </c>
      <c r="AN14" s="0" cm="1" t="str">
        <f t="array" ref="AN14:AN14">IF($A14="uni_org_reg_NAME",INDEX(org_reg_values,MATCH(AN$10,org_reg_codes,0),1),IF($A14="uni_pf_NAME",INDEX(pf_codes_values,MATCH(AN$10,pf_codes,0),1),""))</f>
        <v>328.0.1.</v>
      </c>
      <c r="AO14" s="0" cm="1" t="str">
        <f t="array" ref="AO14:AO14">IF($A14="uni_org_reg_NAME",INDEX(org_reg_values,MATCH(AO$10,org_reg_codes,0),1),IF($A14="uni_pf_NAME",INDEX(pf_codes_values,MATCH(AO$10,pf_codes,0),1),""))</f>
        <v>328.0.1.</v>
      </c>
      <c r="AP14" s="0" cm="1" t="str">
        <f t="array" ref="AP14:AP14">IF($A14="uni_org_reg_NAME",INDEX(org_reg_values,MATCH(AP$10,org_reg_codes,0),1),IF($A14="uni_pf_NAME",INDEX(pf_codes_values,MATCH(AP$10,pf_codes,0),1),""))</f>
        <v>328.0.1.</v>
      </c>
      <c r="AQ14" s="0" cm="1" t="str">
        <f t="array" ref="AQ14:AQ14">IF($A14="uni_org_reg_NAME",INDEX(org_reg_values,MATCH(AQ$10,org_reg_codes,0),1),IF($A14="uni_pf_NAME",INDEX(pf_codes_values,MATCH(AQ$10,pf_codes,0),1),""))</f>
        <v>328.0.1.</v>
      </c>
      <c r="AR14" s="0" cm="1" t="str">
        <f t="array" ref="AR14:AR14">IF($A14="uni_org_reg_NAME",INDEX(org_reg_values,MATCH(AR$10,org_reg_codes,0),1),IF($A14="uni_pf_NAME",INDEX(pf_codes_values,MATCH(AR$10,pf_codes,0),1),""))</f>
        <v>328.0.1.</v>
      </c>
      <c r="AS14" s="0" cm="1" t="str">
        <f t="array" ref="AS14:AS14">IF($A14="uni_org_reg_NAME",INDEX(org_reg_values,MATCH(AS$10,org_reg_codes,0),1),IF($A14="uni_pf_NAME",INDEX(pf_codes_values,MATCH(AS$10,pf_codes,0),1),""))</f>
        <v>328.0.1.</v>
      </c>
      <c r="AT14" s="0" cm="1" t="str">
        <f t="array" ref="AT14:AT14">IF($A14="uni_org_reg_NAME",INDEX(org_reg_values,MATCH(AT$10,org_reg_codes,0),1),IF($A14="uni_pf_NAME",INDEX(pf_codes_values,MATCH(AT$10,pf_codes,0),1),""))</f>
        <v>328.0.1.</v>
      </c>
      <c r="AU14" s="0" cm="1" t="str">
        <f t="array" ref="AU14:AU14">IF($A14="uni_org_reg_NAME",INDEX(org_reg_values,MATCH(AU$10,org_reg_codes,0),1),IF($A14="uni_pf_NAME",INDEX(pf_codes_values,MATCH(AU$10,pf_codes,0),1),""))</f>
        <v>328.0.1.</v>
      </c>
      <c r="AV14" s="0" cm="1" t="str">
        <f t="array" ref="AV14:AV14">IF($A14="uni_org_reg_NAME",INDEX(org_reg_values,MATCH(AV$10,org_reg_codes,0),1),IF($A14="uni_pf_NAME",INDEX(pf_codes_values,MATCH(AV$10,pf_codes,0),1),""))</f>
        <v>328.0.1.</v>
      </c>
      <c r="AW14" s="0" cm="1" t="str">
        <f t="array" ref="AW14:AW14">IF($A14="uni_org_reg_NAME",INDEX(org_reg_values,MATCH(AW$10,org_reg_codes,0),1),IF($A14="uni_pf_NAME",INDEX(pf_codes_values,MATCH(AW$10,pf_codes,0),1),""))</f>
        <v>328.0.1.</v>
      </c>
      <c r="AX14" s="0" cm="1" t="str">
        <f t="array" ref="AX14:AX14">IF($A14="uni_org_reg_NAME",INDEX(org_reg_values,MATCH(AX$10,org_reg_codes,0),1),IF($A14="uni_pf_NAME",INDEX(pf_codes_values,MATCH(AX$10,pf_codes,0),1),""))</f>
        <v>328.0.1.</v>
      </c>
      <c r="AY14" s="0" cm="1" t="str">
        <f t="array" ref="AY14:AY14">IF($A14="uni_org_reg_NAME",INDEX(org_reg_values,MATCH(AY$10,org_reg_codes,0),1),IF($A14="uni_pf_NAME",INDEX(pf_codes_values,MATCH(AY$10,pf_codes,0),1),""))</f>
        <v>328.0.1.</v>
      </c>
      <c r="AZ14" s="0" cm="1" t="str">
        <f t="array" ref="AZ14:AZ14">IF($A14="uni_org_reg_NAME",INDEX(org_reg_values,MATCH(AZ$10,org_reg_codes,0),1),IF($A14="uni_pf_NAME",INDEX(pf_codes_values,MATCH(AZ$10,pf_codes,0),1),""))</f>
        <v>328.0.1.</v>
      </c>
      <c r="BA14" s="0" cm="1" t="str">
        <f t="array" ref="BA14:BA14">IF($A14="uni_org_reg_NAME",INDEX(org_reg_values,MATCH(BA$10,org_reg_codes,0),1),IF($A14="uni_pf_NAME",INDEX(pf_codes_values,MATCH(BA$10,pf_codes,0),1),""))</f>
        <v>328.0.1.</v>
      </c>
      <c r="BB14" s="0" cm="1" t="str">
        <f t="array" ref="BB14:BB14">IF($A14="uni_org_reg_NAME",INDEX(org_reg_values,MATCH(BB$10,org_reg_codes,0),1),IF($A14="uni_pf_NAME",INDEX(pf_codes_values,MATCH(BB$10,pf_codes,0),1),""))</f>
        <v>328.0.1.</v>
      </c>
      <c r="BC14" s="0" cm="1" t="str">
        <f t="array" ref="BC14:BC14">IF($A14="uni_org_reg_NAME",INDEX(org_reg_values,MATCH(BC$10,org_reg_codes,0),1),IF($A14="uni_pf_NAME",INDEX(pf_codes_values,MATCH(BC$10,pf_codes,0),1),""))</f>
        <v>328.0.1.</v>
      </c>
      <c r="BD14" s="0" cm="1" t="str">
        <f t="array" ref="BD14:BD14">IF($A14="uni_org_reg_NAME",INDEX(org_reg_values,MATCH(BD$10,org_reg_codes,0),1),IF($A14="uni_pf_NAME",INDEX(pf_codes_values,MATCH(BD$10,pf_codes,0),1),""))</f>
        <v>328.0.2.</v>
      </c>
      <c r="BE14" s="0" cm="1" t="str">
        <f t="array" ref="BE14:BE14">IF($A14="uni_org_reg_NAME",INDEX(org_reg_values,MATCH(BE$10,org_reg_codes,0),1),IF($A14="uni_pf_NAME",INDEX(pf_codes_values,MATCH(BE$10,pf_codes,0),1),""))</f>
        <v>328.0.2.</v>
      </c>
      <c r="BF14" s="0" cm="1" t="str">
        <f t="array" ref="BF14:BF14">IF($A14="uni_org_reg_NAME",INDEX(org_reg_values,MATCH(BF$10,org_reg_codes,0),1),IF($A14="uni_pf_NAME",INDEX(pf_codes_values,MATCH(BF$10,pf_codes,0),1),""))</f>
        <v>328.0.2.</v>
      </c>
      <c r="BG14" s="0" cm="1" t="str">
        <f t="array" ref="BG14:BG14">IF($A14="uni_org_reg_NAME",INDEX(org_reg_values,MATCH(BG$10,org_reg_codes,0),1),IF($A14="uni_pf_NAME",INDEX(pf_codes_values,MATCH(BG$10,pf_codes,0),1),""))</f>
        <v>328.0.2.</v>
      </c>
      <c r="BH14" s="0" cm="1" t="str">
        <f t="array" ref="BH14:BH14">IF($A14="uni_org_reg_NAME",INDEX(org_reg_values,MATCH(BH$10,org_reg_codes,0),1),IF($A14="uni_pf_NAME",INDEX(pf_codes_values,MATCH(BH$10,pf_codes,0),1),""))</f>
        <v>328.0.2.</v>
      </c>
      <c r="BI14" s="0" cm="1" t="str">
        <f t="array" ref="BI14:BI14">IF($A14="uni_org_reg_NAME",INDEX(org_reg_values,MATCH(BI$10,org_reg_codes,0),1),IF($A14="uni_pf_NAME",INDEX(pf_codes_values,MATCH(BI$10,pf_codes,0),1),""))</f>
        <v>328.0.2.</v>
      </c>
      <c r="BJ14" s="0" cm="1" t="str">
        <f t="array" ref="BJ14:BJ14">IF($A14="uni_org_reg_NAME",INDEX(org_reg_values,MATCH(BJ$10,org_reg_codes,0),1),IF($A14="uni_pf_NAME",INDEX(pf_codes_values,MATCH(BJ$10,pf_codes,0),1),""))</f>
        <v>328.0.2.</v>
      </c>
      <c r="BK14" s="0" cm="1" t="str">
        <f t="array" ref="BK14:BK14">IF($A14="uni_org_reg_NAME",INDEX(org_reg_values,MATCH(BK$10,org_reg_codes,0),1),IF($A14="uni_pf_NAME",INDEX(pf_codes_values,MATCH(BK$10,pf_codes,0),1),""))</f>
        <v>328.0.2.</v>
      </c>
      <c r="BL14" s="0" cm="1" t="str">
        <f t="array" ref="BL14:BL14">IF($A14="uni_org_reg_NAME",INDEX(org_reg_values,MATCH(BL$10,org_reg_codes,0),1),IF($A14="uni_pf_NAME",INDEX(pf_codes_values,MATCH(BL$10,pf_codes,0),1),""))</f>
        <v>328.0.2.</v>
      </c>
      <c r="BM14" s="0" cm="1" t="str">
        <f t="array" ref="BM14:BM14">IF($A14="uni_org_reg_NAME",INDEX(org_reg_values,MATCH(BM$10,org_reg_codes,0),1),IF($A14="uni_pf_NAME",INDEX(pf_codes_values,MATCH(BM$10,pf_codes,0),1),""))</f>
        <v>328.0.2.</v>
      </c>
      <c r="BN14" s="0" cm="1" t="str">
        <f t="array" ref="BN14:BN14">IF($A14="uni_org_reg_NAME",INDEX(org_reg_values,MATCH(BN$10,org_reg_codes,0),1),IF($A14="uni_pf_NAME",INDEX(pf_codes_values,MATCH(BN$10,pf_codes,0),1),""))</f>
        <v>328.0.2.</v>
      </c>
      <c r="BO14" s="0" cm="1" t="str">
        <f t="array" ref="BO14:BO14">IF($A14="uni_org_reg_NAME",INDEX(org_reg_values,MATCH(BO$10,org_reg_codes,0),1),IF($A14="uni_pf_NAME",INDEX(pf_codes_values,MATCH(BO$10,pf_codes,0),1),""))</f>
        <v>328.0.2.</v>
      </c>
      <c r="BP14" s="0" cm="1" t="str">
        <f t="array" ref="BP14:BP14">IF($A14="uni_org_reg_NAME",INDEX(org_reg_values,MATCH(BP$10,org_reg_codes,0),1),IF($A14="uni_pf_NAME",INDEX(pf_codes_values,MATCH(BP$10,pf_codes,0),1),""))</f>
        <v>328.0.2.</v>
      </c>
      <c r="BQ14" s="0" cm="1" t="str">
        <f t="array" ref="BQ14:BQ14">IF($A14="uni_org_reg_NAME",INDEX(org_reg_values,MATCH(BQ$10,org_reg_codes,0),1),IF($A14="uni_pf_NAME",INDEX(pf_codes_values,MATCH(BQ$10,pf_codes,0),1),""))</f>
        <v>328.0.2.</v>
      </c>
      <c r="BR14" s="0" cm="1" t="str">
        <f t="array" ref="BR14:BR14">IF($A14="uni_org_reg_NAME",INDEX(org_reg_values,MATCH(BR$10,org_reg_codes,0),1),IF($A14="uni_pf_NAME",INDEX(pf_codes_values,MATCH(BR$10,pf_codes,0),1),""))</f>
        <v>328.0.2.</v>
      </c>
      <c r="BS14" s="0" cm="1" t="str">
        <f t="array" ref="BS14:BS14">IF($A14="uni_org_reg_NAME",INDEX(org_reg_values,MATCH(BS$10,org_reg_codes,0),1),IF($A14="uni_pf_NAME",INDEX(pf_codes_values,MATCH(BS$10,pf_codes,0),1),""))</f>
        <v>328.0.2.</v>
      </c>
      <c r="BT14" s="0" cm="1" t="str">
        <f t="array" ref="BT14:BT14">IF($A14="uni_org_reg_NAME",INDEX(org_reg_values,MATCH(BT$10,org_reg_codes,0),1),IF($A14="uni_pf_NAME",INDEX(pf_codes_values,MATCH(BT$10,pf_codes,0),1),""))</f>
        <v>328.0.2.</v>
      </c>
      <c r="BU14" s="0" cm="1" t="str">
        <f t="array" ref="BU14:BU14">IF($A14="uni_org_reg_NAME",INDEX(org_reg_values,MATCH(BU$10,org_reg_codes,0),1),IF($A14="uni_pf_NAME",INDEX(pf_codes_values,MATCH(BU$10,pf_codes,0),1),""))</f>
        <v>328.0.2.</v>
      </c>
      <c r="BV14" s="0" cm="1" t="str">
        <f t="array" ref="BV14:BV14">IF($A14="uni_org_reg_NAME",INDEX(org_reg_values,MATCH(BV$10,org_reg_codes,0),1),IF($A14="uni_pf_NAME",INDEX(pf_codes_values,MATCH(BV$10,pf_codes,0),1),""))</f>
        <v>328.0.2.</v>
      </c>
      <c r="BW14" s="0" cm="1" t="str">
        <f t="array" ref="BW14:BW14">IF($A14="uni_org_reg_NAME",INDEX(org_reg_values,MATCH(BW$10,org_reg_codes,0),1),IF($A14="uni_pf_NAME",INDEX(pf_codes_values,MATCH(BW$10,pf_codes,0),1),""))</f>
        <v>328.0.2.</v>
      </c>
      <c r="BX14" s="0" t="s">
        <v>407</v>
      </c>
      <c r="BY14" s="0" t="s">
        <v>407</v>
      </c>
      <c r="BZ14" s="0" t="s">
        <v>407</v>
      </c>
      <c r="CA14" s="0" t="s">
        <v>407</v>
      </c>
      <c r="CB14" s="0" t="s">
        <v>407</v>
      </c>
      <c r="CC14" s="0" t="s">
        <v>407</v>
      </c>
      <c r="CD14" s="0" t="s">
        <v>407</v>
      </c>
      <c r="CE14" s="0" t="s">
        <v>407</v>
      </c>
      <c r="CF14" s="0" t="s">
        <v>407</v>
      </c>
      <c r="CG14" s="0" t="s">
        <v>407</v>
      </c>
      <c r="CH14" s="0" t="s">
        <v>407</v>
      </c>
      <c r="CI14" s="0" t="s">
        <v>407</v>
      </c>
      <c r="CJ14" s="0" t="s">
        <v>407</v>
      </c>
      <c r="CK14" s="0" t="s">
        <v>407</v>
      </c>
      <c r="CL14" s="0" t="s">
        <v>407</v>
      </c>
      <c r="CM14" s="0" t="s">
        <v>407</v>
      </c>
      <c r="CN14" s="0" t="s">
        <v>407</v>
      </c>
      <c r="CO14" s="0" t="s">
        <v>407</v>
      </c>
      <c r="CP14" s="0" t="s">
        <v>407</v>
      </c>
      <c r="CQ14" s="0" t="s">
        <v>407</v>
      </c>
    </row>
    <row customHeight="1" ht="11.25" hidden="1">
      <c r="A15" s="0" t="s">
        <v>409</v>
      </c>
      <c r="AE15" s="0" cm="1" t="str">
        <f t="array" ref="AE15:AE15">IF($A15="uni_org_reg_NAME",INDEX(org_reg_values,MATCH(AE$10,org_reg_codes,0),1),IF($A15="uni_pf_NAME",INDEX(pf_codes_values,MATCH(AE$10,pf_codes,0),1),""))</f>
        <v>36.0.7.</v>
      </c>
      <c r="AF15" s="0" cm="1" t="str">
        <f t="array" ref="AF15:AF15">IF($A15="uni_org_reg_NAME",INDEX(org_reg_values,MATCH(AF$10,org_reg_codes,0),1),IF($A15="uni_pf_NAME",INDEX(pf_codes_values,MATCH(AF$10,pf_codes,0),1),""))</f>
        <v>36.0.1.</v>
      </c>
      <c r="AG15" s="0" cm="1" t="str">
        <f t="array" ref="AG15:AG15">IF($A15="uni_org_reg_NAME",INDEX(org_reg_values,MATCH(AG$10,org_reg_codes,0),1),IF($A15="uni_pf_NAME",INDEX(pf_codes_values,MATCH(AG$10,pf_codes,0),1),""))</f>
        <v>36.0.1.</v>
      </c>
      <c r="AI15" s="0" cm="1" t="str">
        <f t="array" ref="AI15:AI15">IF($A15="uni_org_reg_NAME",INDEX(org_reg_values,MATCH(AI$10,org_reg_codes,0),1),IF($A15="uni_pf_NAME",INDEX(pf_codes_values,MATCH(AI$10,pf_codes,0),1),""))</f>
        <v>36.0.7.</v>
      </c>
      <c r="AJ15" s="0" cm="1" t="str">
        <f t="array" ref="AJ15:AJ15">IF($A15="uni_org_reg_NAME",INDEX(org_reg_values,MATCH(AJ$10,org_reg_codes,0),1),IF($A15="uni_pf_NAME",INDEX(pf_codes_values,MATCH(AJ$10,pf_codes,0),1),""))</f>
        <v>36.0.3.</v>
      </c>
      <c r="AK15" s="0" cm="1" t="str">
        <f t="array" ref="AK15:AK15">IF($A15="uni_org_reg_NAME",INDEX(org_reg_values,MATCH(AK$10,org_reg_codes,0),1),IF($A15="uni_pf_NAME",INDEX(pf_codes_values,MATCH(AK$10,pf_codes,0),1),""))</f>
        <v>36.0.3.</v>
      </c>
      <c r="AL15" s="0" cm="1" t="str">
        <f t="array" ref="AL15:AL15">IF($A15="uni_org_reg_NAME",INDEX(org_reg_values,MATCH(AL$10,org_reg_codes,0),1),IF($A15="uni_pf_NAME",INDEX(pf_codes_values,MATCH(AL$10,pf_codes,0),1),""))</f>
        <v>36.0.3.</v>
      </c>
      <c r="AM15" s="0" cm="1" t="str">
        <f t="array" ref="AM15:AM15">IF($A15="uni_org_reg_NAME",INDEX(org_reg_values,MATCH(AM$10,org_reg_codes,0),1),IF($A15="uni_pf_NAME",INDEX(pf_codes_values,MATCH(AM$10,pf_codes,0),1),""))</f>
        <v>36.0.3.</v>
      </c>
      <c r="AN15" s="0" cm="1" t="str">
        <f t="array" ref="AN15:AN15">IF($A15="uni_org_reg_NAME",INDEX(org_reg_values,MATCH(AN$10,org_reg_codes,0),1),IF($A15="uni_pf_NAME",INDEX(pf_codes_values,MATCH(AN$10,pf_codes,0),1),""))</f>
        <v>36.0.3.</v>
      </c>
      <c r="AO15" s="0" cm="1" t="str">
        <f t="array" ref="AO15:AO15">IF($A15="uni_org_reg_NAME",INDEX(org_reg_values,MATCH(AO$10,org_reg_codes,0),1),IF($A15="uni_pf_NAME",INDEX(pf_codes_values,MATCH(AO$10,pf_codes,0),1),""))</f>
        <v>36.0.3.</v>
      </c>
      <c r="AP15" s="0" cm="1" t="str">
        <f t="array" ref="AP15:AP15">IF($A15="uni_org_reg_NAME",INDEX(org_reg_values,MATCH(AP$10,org_reg_codes,0),1),IF($A15="uni_pf_NAME",INDEX(pf_codes_values,MATCH(AP$10,pf_codes,0),1),""))</f>
        <v>36.0.3.</v>
      </c>
      <c r="AQ15" s="0" cm="1" t="str">
        <f t="array" ref="AQ15:AQ15">IF($A15="uni_org_reg_NAME",INDEX(org_reg_values,MATCH(AQ$10,org_reg_codes,0),1),IF($A15="uni_pf_NAME",INDEX(pf_codes_values,MATCH(AQ$10,pf_codes,0),1),""))</f>
        <v>36.0.3.</v>
      </c>
      <c r="AR15" s="0" cm="1" t="str">
        <f t="array" ref="AR15:AR15">IF($A15="uni_org_reg_NAME",INDEX(org_reg_values,MATCH(AR$10,org_reg_codes,0),1),IF($A15="uni_pf_NAME",INDEX(pf_codes_values,MATCH(AR$10,pf_codes,0),1),""))</f>
        <v>36.0.3.</v>
      </c>
      <c r="AS15" s="0" cm="1" t="str">
        <f t="array" ref="AS15:AS15">IF($A15="uni_org_reg_NAME",INDEX(org_reg_values,MATCH(AS$10,org_reg_codes,0),1),IF($A15="uni_pf_NAME",INDEX(pf_codes_values,MATCH(AS$10,pf_codes,0),1),""))</f>
        <v>36.0.3.</v>
      </c>
      <c r="AT15" s="0" cm="1" t="str">
        <f t="array" ref="AT15:AT15">IF($A15="uni_org_reg_NAME",INDEX(org_reg_values,MATCH(AT$10,org_reg_codes,0),1),IF($A15="uni_pf_NAME",INDEX(pf_codes_values,MATCH(AT$10,pf_codes,0),1),""))</f>
        <v>36.0.3.</v>
      </c>
      <c r="AU15" s="0" cm="1" t="str">
        <f t="array" ref="AU15:AU15">IF($A15="uni_org_reg_NAME",INDEX(org_reg_values,MATCH(AU$10,org_reg_codes,0),1),IF($A15="uni_pf_NAME",INDEX(pf_codes_values,MATCH(AU$10,pf_codes,0),1),""))</f>
        <v>36.0.3.</v>
      </c>
      <c r="AV15" s="0" cm="1" t="str">
        <f t="array" ref="AV15:AV15">IF($A15="uni_org_reg_NAME",INDEX(org_reg_values,MATCH(AV$10,org_reg_codes,0),1),IF($A15="uni_pf_NAME",INDEX(pf_codes_values,MATCH(AV$10,pf_codes,0),1),""))</f>
        <v>36.0.3.</v>
      </c>
      <c r="AW15" s="0" cm="1" t="str">
        <f t="array" ref="AW15:AW15">IF($A15="uni_org_reg_NAME",INDEX(org_reg_values,MATCH(AW$10,org_reg_codes,0),1),IF($A15="uni_pf_NAME",INDEX(pf_codes_values,MATCH(AW$10,pf_codes,0),1),""))</f>
        <v>36.0.3.</v>
      </c>
      <c r="AX15" s="0" cm="1" t="str">
        <f t="array" ref="AX15:AX15">IF($A15="uni_org_reg_NAME",INDEX(org_reg_values,MATCH(AX$10,org_reg_codes,0),1),IF($A15="uni_pf_NAME",INDEX(pf_codes_values,MATCH(AX$10,pf_codes,0),1),""))</f>
        <v>36.0.3.</v>
      </c>
      <c r="AY15" s="0" cm="1" t="str">
        <f t="array" ref="AY15:AY15">IF($A15="uni_org_reg_NAME",INDEX(org_reg_values,MATCH(AY$10,org_reg_codes,0),1),IF($A15="uni_pf_NAME",INDEX(pf_codes_values,MATCH(AY$10,pf_codes,0),1),""))</f>
        <v>36.0.3.</v>
      </c>
      <c r="AZ15" s="0" cm="1" t="str">
        <f t="array" ref="AZ15:AZ15">IF($A15="uni_org_reg_NAME",INDEX(org_reg_values,MATCH(AZ$10,org_reg_codes,0),1),IF($A15="uni_pf_NAME",INDEX(pf_codes_values,MATCH(AZ$10,pf_codes,0),1),""))</f>
        <v>36.0.3.</v>
      </c>
      <c r="BA15" s="0" cm="1" t="str">
        <f t="array" ref="BA15:BA15">IF($A15="uni_org_reg_NAME",INDEX(org_reg_values,MATCH(BA$10,org_reg_codes,0),1),IF($A15="uni_pf_NAME",INDEX(pf_codes_values,MATCH(BA$10,pf_codes,0),1),""))</f>
        <v>36.0.3.</v>
      </c>
      <c r="BB15" s="0" cm="1" t="str">
        <f t="array" ref="BB15:BB15">IF($A15="uni_org_reg_NAME",INDEX(org_reg_values,MATCH(BB$10,org_reg_codes,0),1),IF($A15="uni_pf_NAME",INDEX(pf_codes_values,MATCH(BB$10,pf_codes,0),1),""))</f>
        <v>36.0.3.</v>
      </c>
      <c r="BC15" s="0" cm="1" t="str">
        <f t="array" ref="BC15:BC15">IF($A15="uni_org_reg_NAME",INDEX(org_reg_values,MATCH(BC$10,org_reg_codes,0),1),IF($A15="uni_pf_NAME",INDEX(pf_codes_values,MATCH(BC$10,pf_codes,0),1),""))</f>
        <v>36.0.3.</v>
      </c>
      <c r="BD15" s="0" cm="1" t="str">
        <f t="array" ref="BD15:BD15">IF($A15="uni_org_reg_NAME",INDEX(org_reg_values,MATCH(BD$10,org_reg_codes,0),1),IF($A15="uni_pf_NAME",INDEX(pf_codes_values,MATCH(BD$10,pf_codes,0),1),""))</f>
        <v>36.0.7.</v>
      </c>
      <c r="BE15" s="0" cm="1" t="str">
        <f t="array" ref="BE15:BE15">IF($A15="uni_org_reg_NAME",INDEX(org_reg_values,MATCH(BE$10,org_reg_codes,0),1),IF($A15="uni_pf_NAME",INDEX(pf_codes_values,MATCH(BE$10,pf_codes,0),1),""))</f>
        <v>36.0.7.</v>
      </c>
      <c r="BF15" s="0" cm="1" t="str">
        <f t="array" ref="BF15:BF15">IF($A15="uni_org_reg_NAME",INDEX(org_reg_values,MATCH(BF$10,org_reg_codes,0),1),IF($A15="uni_pf_NAME",INDEX(pf_codes_values,MATCH(BF$10,pf_codes,0),1),""))</f>
        <v>36.0.7.</v>
      </c>
      <c r="BG15" s="0" cm="1" t="str">
        <f t="array" ref="BG15:BG15">IF($A15="uni_org_reg_NAME",INDEX(org_reg_values,MATCH(BG$10,org_reg_codes,0),1),IF($A15="uni_pf_NAME",INDEX(pf_codes_values,MATCH(BG$10,pf_codes,0),1),""))</f>
        <v>36.0.7.</v>
      </c>
      <c r="BH15" s="0" cm="1" t="str">
        <f t="array" ref="BH15:BH15">IF($A15="uni_org_reg_NAME",INDEX(org_reg_values,MATCH(BH$10,org_reg_codes,0),1),IF($A15="uni_pf_NAME",INDEX(pf_codes_values,MATCH(BH$10,pf_codes,0),1),""))</f>
        <v>36.0.7.</v>
      </c>
      <c r="BI15" s="0" cm="1" t="str">
        <f t="array" ref="BI15:BI15">IF($A15="uni_org_reg_NAME",INDEX(org_reg_values,MATCH(BI$10,org_reg_codes,0),1),IF($A15="uni_pf_NAME",INDEX(pf_codes_values,MATCH(BI$10,pf_codes,0),1),""))</f>
        <v>36.0.7.</v>
      </c>
      <c r="BJ15" s="0" cm="1" t="str">
        <f t="array" ref="BJ15:BJ15">IF($A15="uni_org_reg_NAME",INDEX(org_reg_values,MATCH(BJ$10,org_reg_codes,0),1),IF($A15="uni_pf_NAME",INDEX(pf_codes_values,MATCH(BJ$10,pf_codes,0),1),""))</f>
        <v>36.0.7.</v>
      </c>
      <c r="BK15" s="0" cm="1" t="str">
        <f t="array" ref="BK15:BK15">IF($A15="uni_org_reg_NAME",INDEX(org_reg_values,MATCH(BK$10,org_reg_codes,0),1),IF($A15="uni_pf_NAME",INDEX(pf_codes_values,MATCH(BK$10,pf_codes,0),1),""))</f>
        <v>36.0.7.</v>
      </c>
      <c r="BL15" s="0" cm="1" t="str">
        <f t="array" ref="BL15:BL15">IF($A15="uni_org_reg_NAME",INDEX(org_reg_values,MATCH(BL$10,org_reg_codes,0),1),IF($A15="uni_pf_NAME",INDEX(pf_codes_values,MATCH(BL$10,pf_codes,0),1),""))</f>
        <v>36.0.7.</v>
      </c>
      <c r="BM15" s="0" cm="1" t="str">
        <f t="array" ref="BM15:BM15">IF($A15="uni_org_reg_NAME",INDEX(org_reg_values,MATCH(BM$10,org_reg_codes,0),1),IF($A15="uni_pf_NAME",INDEX(pf_codes_values,MATCH(BM$10,pf_codes,0),1),""))</f>
        <v>36.0.7.</v>
      </c>
      <c r="BN15" s="0" cm="1" t="str">
        <f t="array" ref="BN15:BN15">IF($A15="uni_org_reg_NAME",INDEX(org_reg_values,MATCH(BN$10,org_reg_codes,0),1),IF($A15="uni_pf_NAME",INDEX(pf_codes_values,MATCH(BN$10,pf_codes,0),1),""))</f>
        <v>36.0.7.</v>
      </c>
      <c r="BO15" s="0" cm="1" t="str">
        <f t="array" ref="BO15:BO15">IF($A15="uni_org_reg_NAME",INDEX(org_reg_values,MATCH(BO$10,org_reg_codes,0),1),IF($A15="uni_pf_NAME",INDEX(pf_codes_values,MATCH(BO$10,pf_codes,0),1),""))</f>
        <v>36.0.7.</v>
      </c>
      <c r="BP15" s="0" cm="1" t="str">
        <f t="array" ref="BP15:BP15">IF($A15="uni_org_reg_NAME",INDEX(org_reg_values,MATCH(BP$10,org_reg_codes,0),1),IF($A15="uni_pf_NAME",INDEX(pf_codes_values,MATCH(BP$10,pf_codes,0),1),""))</f>
        <v>36.0.7.</v>
      </c>
      <c r="BQ15" s="0" cm="1" t="str">
        <f t="array" ref="BQ15:BQ15">IF($A15="uni_org_reg_NAME",INDEX(org_reg_values,MATCH(BQ$10,org_reg_codes,0),1),IF($A15="uni_pf_NAME",INDEX(pf_codes_values,MATCH(BQ$10,pf_codes,0),1),""))</f>
        <v>36.0.7.</v>
      </c>
      <c r="BR15" s="0" cm="1" t="str">
        <f t="array" ref="BR15:BR15">IF($A15="uni_org_reg_NAME",INDEX(org_reg_values,MATCH(BR$10,org_reg_codes,0),1),IF($A15="uni_pf_NAME",INDEX(pf_codes_values,MATCH(BR$10,pf_codes,0),1),""))</f>
        <v>36.0.7.</v>
      </c>
      <c r="BS15" s="0" cm="1" t="str">
        <f t="array" ref="BS15:BS15">IF($A15="uni_org_reg_NAME",INDEX(org_reg_values,MATCH(BS$10,org_reg_codes,0),1),IF($A15="uni_pf_NAME",INDEX(pf_codes_values,MATCH(BS$10,pf_codes,0),1),""))</f>
        <v>36.0.7.</v>
      </c>
      <c r="BT15" s="0" cm="1" t="str">
        <f t="array" ref="BT15:BT15">IF($A15="uni_org_reg_NAME",INDEX(org_reg_values,MATCH(BT$10,org_reg_codes,0),1),IF($A15="uni_pf_NAME",INDEX(pf_codes_values,MATCH(BT$10,pf_codes,0),1),""))</f>
        <v>36.0.7.</v>
      </c>
      <c r="BU15" s="0" cm="1" t="str">
        <f t="array" ref="BU15:BU15">IF($A15="uni_org_reg_NAME",INDEX(org_reg_values,MATCH(BU$10,org_reg_codes,0),1),IF($A15="uni_pf_NAME",INDEX(pf_codes_values,MATCH(BU$10,pf_codes,0),1),""))</f>
        <v>36.0.7.</v>
      </c>
      <c r="BV15" s="0" cm="1" t="str">
        <f t="array" ref="BV15:BV15">IF($A15="uni_org_reg_NAME",INDEX(org_reg_values,MATCH(BV$10,org_reg_codes,0),1),IF($A15="uni_pf_NAME",INDEX(pf_codes_values,MATCH(BV$10,pf_codes,0),1),""))</f>
        <v>36.0.7.</v>
      </c>
      <c r="BW15" s="0" cm="1" t="str">
        <f t="array" ref="BW15:BW15">IF($A15="uni_org_reg_NAME",INDEX(org_reg_values,MATCH(BW$10,org_reg_codes,0),1),IF($A15="uni_pf_NAME",INDEX(pf_codes_values,MATCH(BW$10,pf_codes,0),1),""))</f>
        <v>36.0.7.</v>
      </c>
      <c r="BX15" s="286"/>
      <c r="BY15" s="286"/>
      <c r="BZ15" s="286"/>
      <c r="CA15" s="286"/>
      <c r="CB15" s="286"/>
      <c r="CC15" s="286"/>
      <c r="CD15" s="286"/>
      <c r="CE15" s="286"/>
      <c r="CF15" s="286"/>
      <c r="CG15" s="286"/>
      <c r="CH15" s="286"/>
      <c r="CI15" s="286"/>
      <c r="CJ15" s="286"/>
      <c r="CK15" s="286"/>
      <c r="CL15" s="286"/>
      <c r="CM15" s="286"/>
      <c r="CN15" s="286"/>
      <c r="CO15" s="286"/>
      <c r="CP15" s="286"/>
      <c r="CQ15" s="286"/>
    </row>
    <row customHeight="1" ht="11.25" hidden="1">
      <c r="A16" s="0" t="s">
        <v>351</v>
      </c>
      <c r="AJ16" s="286"/>
      <c r="AK16" s="286"/>
      <c r="AL16" s="286"/>
      <c r="AM16" s="286"/>
      <c r="AN16" s="286"/>
      <c r="AO16" s="286"/>
      <c r="AP16" s="286"/>
      <c r="AQ16" s="286"/>
      <c r="AR16" s="286"/>
      <c r="AS16" s="286"/>
      <c r="AT16" s="286"/>
      <c r="AU16" s="286"/>
      <c r="AV16" s="286"/>
      <c r="AW16" s="286"/>
      <c r="AX16" s="286"/>
      <c r="AY16" s="286"/>
      <c r="AZ16" s="286"/>
      <c r="BA16" s="286"/>
      <c r="BB16" s="286"/>
      <c r="BC16" s="286"/>
      <c r="BD16" s="286"/>
      <c r="BE16" s="286"/>
      <c r="BF16" s="286"/>
      <c r="BG16" s="286"/>
      <c r="BH16" s="286"/>
      <c r="BI16" s="286"/>
      <c r="BJ16" s="286"/>
      <c r="BK16" s="286"/>
      <c r="BL16" s="286"/>
      <c r="BM16" s="286"/>
      <c r="BN16" s="286"/>
      <c r="BO16" s="286"/>
      <c r="BP16" s="286"/>
      <c r="BQ16" s="286"/>
      <c r="BR16" s="286"/>
      <c r="BS16" s="286"/>
      <c r="BT16" s="286"/>
      <c r="BU16" s="286"/>
      <c r="BV16" s="286"/>
      <c r="BW16" s="286"/>
      <c r="BX16" s="286"/>
      <c r="BY16" s="286"/>
      <c r="BZ16" s="286"/>
      <c r="CA16" s="286"/>
      <c r="CB16" s="286"/>
      <c r="CC16" s="286"/>
      <c r="CD16" s="286"/>
      <c r="CE16" s="286"/>
      <c r="CF16" s="286"/>
      <c r="CG16" s="286"/>
      <c r="CH16" s="286"/>
      <c r="CI16" s="286"/>
      <c r="CJ16" s="286"/>
      <c r="CK16" s="286"/>
      <c r="CL16" s="286"/>
      <c r="CM16" s="286"/>
      <c r="CN16" s="286"/>
      <c r="CO16" s="286"/>
      <c r="CP16" s="286"/>
      <c r="CQ16" s="286"/>
      <c r="CR16" s="0" t="s">
        <v>178</v>
      </c>
      <c r="CS16" s="0" t="s">
        <v>178</v>
      </c>
      <c r="CT16" s="0" t="s">
        <v>178</v>
      </c>
    </row>
    <row customHeight="1" ht="11.25" hidden="1">
      <c r="A17" s="0" t="s">
        <v>352</v>
      </c>
      <c r="AJ17" s="286"/>
      <c r="AK17" s="286"/>
      <c r="AL17" s="286"/>
      <c r="AM17" s="286"/>
      <c r="AN17" s="286"/>
      <c r="AO17" s="286"/>
      <c r="AP17" s="286"/>
      <c r="AQ17" s="286"/>
      <c r="AR17" s="286"/>
      <c r="AS17" s="286"/>
      <c r="AT17" s="286"/>
      <c r="AU17" s="286"/>
      <c r="AV17" s="286"/>
      <c r="AW17" s="286"/>
      <c r="AX17" s="286"/>
      <c r="AY17" s="286"/>
      <c r="AZ17" s="286"/>
      <c r="BA17" s="286"/>
      <c r="BB17" s="286"/>
      <c r="BC17" s="286"/>
      <c r="BD17" s="286"/>
      <c r="BE17" s="286"/>
      <c r="BF17" s="286"/>
      <c r="BG17" s="286"/>
      <c r="BH17" s="286"/>
      <c r="BI17" s="286"/>
      <c r="BJ17" s="286"/>
      <c r="BK17" s="286"/>
      <c r="BL17" s="286"/>
      <c r="BM17" s="286"/>
      <c r="BN17" s="286"/>
      <c r="BO17" s="286"/>
      <c r="BP17" s="286"/>
      <c r="BQ17" s="286"/>
      <c r="BR17" s="286"/>
      <c r="BS17" s="286"/>
      <c r="BT17" s="286"/>
      <c r="BU17" s="286"/>
      <c r="BV17" s="286"/>
      <c r="BW17" s="286"/>
      <c r="BX17" s="286"/>
      <c r="BY17" s="286"/>
      <c r="BZ17" s="286"/>
      <c r="CA17" s="286"/>
      <c r="CB17" s="286"/>
      <c r="CC17" s="286"/>
      <c r="CD17" s="286"/>
      <c r="CE17" s="286"/>
      <c r="CF17" s="286"/>
      <c r="CG17" s="286"/>
      <c r="CH17" s="286"/>
      <c r="CI17" s="286"/>
      <c r="CJ17" s="286"/>
      <c r="CK17" s="286"/>
      <c r="CL17" s="286"/>
      <c r="CM17" s="286"/>
      <c r="CN17" s="286"/>
      <c r="CO17" s="286"/>
      <c r="CP17" s="286"/>
      <c r="CQ17" s="286"/>
      <c r="CR17" s="0" t="s">
        <v>798</v>
      </c>
      <c r="CS17" s="0" t="s">
        <v>622</v>
      </c>
      <c r="CT17" s="0" t="s">
        <v>1601</v>
      </c>
    </row>
    <row customHeight="1" ht="11.25" hidden="1">
      <c r="A18" s="0" t="s">
        <v>379</v>
      </c>
      <c r="AJ18" s="286"/>
      <c r="AK18" s="286"/>
      <c r="AL18" s="286"/>
      <c r="AM18" s="286"/>
      <c r="AN18" s="286"/>
      <c r="AO18" s="286"/>
      <c r="AP18" s="286"/>
      <c r="AQ18" s="286"/>
      <c r="AR18" s="286"/>
      <c r="AS18" s="286"/>
      <c r="AT18" s="286"/>
      <c r="AU18" s="286"/>
      <c r="AV18" s="286"/>
      <c r="AW18" s="286"/>
      <c r="AX18" s="286"/>
      <c r="AY18" s="286"/>
      <c r="AZ18" s="286"/>
      <c r="BA18" s="286"/>
      <c r="BB18" s="286"/>
      <c r="BC18" s="286"/>
      <c r="BD18" s="286"/>
      <c r="BE18" s="286"/>
      <c r="BF18" s="286"/>
      <c r="BG18" s="286"/>
      <c r="BH18" s="286"/>
      <c r="BI18" s="286"/>
      <c r="BJ18" s="286"/>
      <c r="BK18" s="286"/>
      <c r="BL18" s="286"/>
      <c r="BM18" s="286"/>
      <c r="BN18" s="286"/>
      <c r="BO18" s="286"/>
      <c r="BP18" s="286"/>
      <c r="BQ18" s="286"/>
      <c r="BR18" s="286"/>
      <c r="BS18" s="286"/>
      <c r="BT18" s="286"/>
      <c r="BU18" s="286"/>
      <c r="BV18" s="286"/>
      <c r="BW18" s="286"/>
      <c r="BX18" s="286"/>
      <c r="BY18" s="286"/>
      <c r="BZ18" s="286"/>
      <c r="CA18" s="286"/>
      <c r="CB18" s="286"/>
      <c r="CC18" s="286"/>
      <c r="CD18" s="286"/>
      <c r="CE18" s="286"/>
      <c r="CF18" s="286"/>
      <c r="CG18" s="286"/>
      <c r="CH18" s="286"/>
      <c r="CI18" s="286"/>
      <c r="CJ18" s="286"/>
      <c r="CK18" s="286"/>
      <c r="CL18" s="286"/>
      <c r="CM18" s="286"/>
      <c r="CN18" s="286"/>
      <c r="CO18" s="286"/>
      <c r="CP18" s="286"/>
      <c r="CQ18" s="286"/>
      <c r="CR18" s="0" t="s">
        <v>799</v>
      </c>
      <c r="CS18" s="0" t="s">
        <v>623</v>
      </c>
      <c r="CT18" s="0" t="s">
        <v>1602</v>
      </c>
    </row>
    <row s="1548" customFormat="1" customHeight="1" ht="11.25" hidden="1">
      <c r="A19" s="371"/>
      <c r="C19" s="968"/>
      <c r="D19" s="968"/>
      <c r="E19" s="180"/>
      <c r="G19" s="193"/>
      <c r="H19" s="193"/>
      <c r="I19" s="193"/>
      <c r="J19" s="193"/>
      <c r="K19" s="193"/>
      <c r="L19" s="193"/>
      <c r="M19" s="968"/>
      <c r="N19" s="968"/>
      <c r="O19" s="968"/>
      <c r="P19" s="968"/>
      <c r="Q19" s="968"/>
      <c r="R19" s="968"/>
      <c r="S19" s="968"/>
      <c r="AC19" s="176"/>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T19" s="1548"/>
      <c r="BU19" s="1548"/>
      <c r="BV19" s="1548"/>
      <c r="BW19" s="1548"/>
      <c r="BX19" s="1548"/>
      <c r="BY19" s="1548"/>
      <c r="BZ19" s="1548"/>
      <c r="CA19" s="1548"/>
      <c r="CB19" s="1548"/>
      <c r="CC19" s="1548"/>
      <c r="CD19" s="1548"/>
      <c r="CE19" s="1548"/>
      <c r="CF19" s="1548"/>
      <c r="CG19" s="1548"/>
      <c r="CH19" s="1548"/>
      <c r="CI19" s="1548"/>
      <c r="CJ19" s="1548"/>
      <c r="CK19" s="1548"/>
      <c r="CL19" s="1548"/>
      <c r="CM19" s="1548"/>
      <c r="CN19" s="1548"/>
      <c r="CO19" s="1548"/>
      <c r="CP19" s="1548"/>
      <c r="CQ19" s="1548"/>
      <c r="CW19" s="489"/>
      <c r="CX19" s="489"/>
      <c r="CY19" s="489"/>
      <c r="CZ19" s="546"/>
      <c r="DA19" s="546"/>
      <c r="DD19" s="0"/>
      <c r="DE19" s="0"/>
      <c r="DF19" s="0"/>
      <c r="DG19" s="0"/>
      <c r="DH19" s="0"/>
      <c r="DI19" s="0"/>
      <c r="DJ19" s="0"/>
      <c r="DK19" s="0"/>
      <c r="DL19" s="0"/>
      <c r="DM19" s="0"/>
      <c r="DN19" s="0"/>
      <c r="DO19" s="0"/>
      <c r="DP19" s="0"/>
      <c r="DQ19" s="0"/>
      <c r="DR19" s="0"/>
    </row>
    <row s="1548" customFormat="1" customHeight="1" ht="11.25" hidden="1">
      <c r="A20" s="371"/>
      <c r="C20" s="968"/>
      <c r="D20" s="968"/>
      <c r="E20" s="180"/>
      <c r="G20" s="193"/>
      <c r="H20" s="193"/>
      <c r="I20" s="193"/>
      <c r="J20" s="193"/>
      <c r="K20" s="193"/>
      <c r="L20" s="193"/>
      <c r="M20" s="968"/>
      <c r="N20" s="968"/>
      <c r="O20" s="968"/>
      <c r="P20" s="968"/>
      <c r="Q20" s="968"/>
      <c r="R20" s="968"/>
      <c r="S20" s="968"/>
      <c r="AC20" s="176"/>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W20" s="1548"/>
      <c r="BX20" s="1548"/>
      <c r="BY20" s="1548"/>
      <c r="BZ20" s="1548"/>
      <c r="CA20" s="1548"/>
      <c r="CB20" s="1548"/>
      <c r="CC20" s="1548"/>
      <c r="CD20" s="1548"/>
      <c r="CE20" s="1548"/>
      <c r="CF20" s="1548"/>
      <c r="CG20" s="1548"/>
      <c r="CH20" s="1548"/>
      <c r="CI20" s="1548"/>
      <c r="CJ20" s="1548"/>
      <c r="CK20" s="1548"/>
      <c r="CL20" s="1548"/>
      <c r="CM20" s="1548"/>
      <c r="CN20" s="1548"/>
      <c r="CO20" s="1548"/>
      <c r="CP20" s="1548"/>
      <c r="CQ20" s="1548"/>
      <c r="CW20" s="489"/>
      <c r="CX20" s="489"/>
      <c r="CY20" s="489"/>
      <c r="CZ20" s="546"/>
      <c r="DA20" s="546"/>
      <c r="DD20" s="0"/>
      <c r="DE20" s="0"/>
      <c r="DF20" s="0"/>
      <c r="DG20" s="0"/>
      <c r="DH20" s="0"/>
      <c r="DI20" s="0"/>
      <c r="DJ20" s="0"/>
      <c r="DK20" s="0"/>
      <c r="DL20" s="0"/>
      <c r="DM20" s="0"/>
      <c r="DN20" s="0"/>
      <c r="DO20" s="0"/>
      <c r="DP20" s="0"/>
      <c r="DQ20" s="0"/>
      <c r="DR20" s="0"/>
    </row>
    <row customHeight="1" ht="14.625">
      <c r="E21" s="180">
        <v>15</v>
      </c>
      <c r="AA21" s="182"/>
      <c r="AB21" s="679"/>
      <c r="AC21" s="278" cm="1" t="str">
        <f t="array" ref="AC21:AC21">tpl_title</f>
        <v>Кемеровская область / 2027 / ООО "КК-ИНВЕСТ" (ИНН:1901133713, КПП:190101001) / ДПР: 2025-2027</v>
      </c>
      <c r="AD21" s="679"/>
      <c r="AE21" s="679"/>
      <c r="AF21" s="679"/>
      <c r="AG21" s="679"/>
      <c r="AH21" s="679"/>
      <c r="AI21" s="679"/>
      <c r="AJ21" s="679"/>
      <c r="AK21" s="679"/>
      <c r="AL21" s="679"/>
      <c r="AM21" s="679"/>
      <c r="AN21" s="679"/>
      <c r="AO21" s="679"/>
      <c r="AP21" s="679"/>
      <c r="AQ21" s="679"/>
      <c r="AR21" s="679"/>
      <c r="AS21" s="679"/>
      <c r="AT21" s="679"/>
      <c r="AU21" s="679"/>
      <c r="AV21" s="679"/>
      <c r="AW21" s="679"/>
      <c r="AX21" s="679"/>
      <c r="AY21" s="679"/>
      <c r="AZ21" s="679"/>
      <c r="BA21" s="679"/>
      <c r="BB21" s="679"/>
      <c r="BC21" s="679"/>
      <c r="BD21" s="679"/>
      <c r="BE21" s="679"/>
      <c r="BF21" s="679"/>
      <c r="BG21" s="679"/>
      <c r="BH21" s="679"/>
      <c r="BI21" s="679"/>
      <c r="BJ21" s="679"/>
      <c r="BK21" s="679"/>
      <c r="BL21" s="679"/>
      <c r="BM21" s="679"/>
      <c r="BN21" s="679"/>
      <c r="BO21" s="679"/>
      <c r="BP21" s="679"/>
      <c r="BQ21" s="679"/>
      <c r="BR21" s="679"/>
      <c r="BS21" s="679"/>
      <c r="BT21" s="679"/>
      <c r="BU21" s="679"/>
      <c r="BV21" s="679"/>
      <c r="BW21" s="679"/>
      <c r="BX21" s="679"/>
      <c r="BY21" s="679"/>
      <c r="BZ21" s="679"/>
      <c r="CA21" s="679"/>
      <c r="CB21" s="679"/>
      <c r="CC21" s="679"/>
      <c r="CD21" s="679"/>
      <c r="CE21" s="679"/>
      <c r="CF21" s="679"/>
      <c r="CG21" s="679"/>
      <c r="CH21" s="679"/>
      <c r="CI21" s="679"/>
      <c r="CJ21" s="679"/>
      <c r="CK21" s="679"/>
      <c r="CL21" s="679"/>
      <c r="CM21" s="679"/>
      <c r="CN21" s="679"/>
      <c r="CO21" s="679"/>
      <c r="CP21" s="679"/>
      <c r="CQ21" s="679"/>
      <c r="CR21" s="679"/>
      <c r="CS21" s="679"/>
      <c r="CT21" s="679"/>
      <c r="CU21" s="679"/>
    </row>
    <row s="1659" customFormat="1" customHeight="1" ht="19.5">
      <c r="A22" s="371"/>
      <c r="B22" s="175"/>
      <c r="C22" s="968"/>
      <c r="D22" s="968"/>
      <c r="E22" s="180">
        <v>20</v>
      </c>
      <c r="F22" s="175"/>
      <c r="M22" s="968"/>
      <c r="N22" s="968"/>
      <c r="O22" s="968"/>
      <c r="P22" s="968"/>
      <c r="Q22" s="968"/>
      <c r="R22" s="968"/>
      <c r="S22" s="968"/>
      <c r="T22" s="175"/>
      <c r="U22" s="175"/>
      <c r="V22" s="175"/>
      <c r="W22" s="175"/>
      <c r="X22" s="175"/>
      <c r="Y22" s="175"/>
      <c r="Z22" s="175"/>
      <c r="AA22" s="200"/>
      <c r="AB22" s="547" t="s">
        <v>1944</v>
      </c>
      <c r="AC22" s="682"/>
      <c r="AD22" s="682"/>
      <c r="AE22" s="682"/>
      <c r="AF22" s="682"/>
      <c r="AG22" s="682"/>
      <c r="AH22" s="682"/>
      <c r="AI22" s="682"/>
      <c r="AJ22" s="682"/>
      <c r="AK22" s="682"/>
      <c r="AL22" s="682"/>
      <c r="AM22" s="682"/>
      <c r="AN22" s="682"/>
      <c r="AO22" s="682"/>
      <c r="AP22" s="682"/>
      <c r="AQ22" s="682"/>
      <c r="AR22" s="682"/>
      <c r="AS22" s="682"/>
      <c r="AT22" s="682"/>
      <c r="AU22" s="682"/>
      <c r="AV22" s="682"/>
      <c r="AW22" s="682"/>
      <c r="AX22" s="682"/>
      <c r="AY22" s="682"/>
      <c r="AZ22" s="682"/>
      <c r="BA22" s="682"/>
      <c r="BB22" s="682"/>
      <c r="BC22" s="682"/>
      <c r="BD22" s="682"/>
      <c r="BE22" s="682"/>
      <c r="BF22" s="682"/>
      <c r="BG22" s="682"/>
      <c r="BH22" s="682"/>
      <c r="BI22" s="682"/>
      <c r="BJ22" s="682"/>
      <c r="BK22" s="682"/>
      <c r="BL22" s="682"/>
      <c r="BM22" s="682"/>
      <c r="BN22" s="682"/>
      <c r="BO22" s="682"/>
      <c r="BP22" s="682"/>
      <c r="BQ22" s="682"/>
      <c r="BR22" s="682"/>
      <c r="BS22" s="682"/>
      <c r="BT22" s="682"/>
      <c r="BU22" s="682"/>
      <c r="BV22" s="682"/>
      <c r="BW22" s="682"/>
      <c r="BX22" s="682"/>
      <c r="BY22" s="682"/>
      <c r="BZ22" s="682"/>
      <c r="CA22" s="682"/>
      <c r="CB22" s="682"/>
      <c r="CC22" s="682"/>
      <c r="CD22" s="682"/>
      <c r="CE22" s="682"/>
      <c r="CF22" s="682"/>
      <c r="CG22" s="682"/>
      <c r="CH22" s="682"/>
      <c r="CI22" s="682"/>
      <c r="CJ22" s="682"/>
      <c r="CK22" s="682"/>
      <c r="CL22" s="682"/>
      <c r="CM22" s="682"/>
      <c r="CN22" s="682"/>
      <c r="CO22" s="682"/>
      <c r="CP22" s="682"/>
      <c r="CQ22" s="682"/>
      <c r="CR22" s="682"/>
      <c r="CS22" s="682"/>
      <c r="CT22" s="682"/>
      <c r="CU22" s="200"/>
      <c r="CW22" s="489"/>
      <c r="CX22" s="489"/>
      <c r="CY22" s="489"/>
      <c r="CZ22" s="546"/>
      <c r="DA22" s="546"/>
      <c r="DD22" s="0"/>
      <c r="DE22" s="0"/>
      <c r="DF22" s="0"/>
      <c r="DG22" s="0"/>
      <c r="DH22" s="0"/>
      <c r="DI22" s="0"/>
      <c r="DJ22" s="0"/>
      <c r="DK22" s="0"/>
      <c r="DL22" s="0"/>
      <c r="DM22" s="0"/>
      <c r="DN22" s="0"/>
      <c r="DO22" s="0"/>
      <c r="DP22" s="0"/>
      <c r="DQ22" s="0"/>
      <c r="DR22" s="0"/>
    </row>
    <row s="1659" customFormat="1" customHeight="1" ht="9.75">
      <c r="A23" s="371"/>
      <c r="B23" s="175"/>
      <c r="C23" s="968"/>
      <c r="D23" s="968"/>
      <c r="E23" s="180">
        <v>10</v>
      </c>
      <c r="F23" s="175"/>
      <c r="M23" s="968"/>
      <c r="N23" s="968"/>
      <c r="O23" s="968"/>
      <c r="P23" s="968"/>
      <c r="Q23" s="968"/>
      <c r="R23" s="968"/>
      <c r="S23" s="968"/>
      <c r="T23" s="175"/>
      <c r="U23" s="175"/>
      <c r="V23" s="175"/>
      <c r="W23" s="175"/>
      <c r="X23" s="175"/>
      <c r="Y23" s="175"/>
      <c r="Z23" s="175"/>
      <c r="AA23" s="200"/>
      <c r="AB23" s="683"/>
      <c r="AC23" s="683"/>
      <c r="AD23" s="683"/>
      <c r="AE23" s="683"/>
      <c r="AF23" s="683"/>
      <c r="AG23" s="683"/>
      <c r="AH23" s="683"/>
      <c r="AI23" s="683"/>
      <c r="AJ23" s="683"/>
      <c r="AK23" s="683"/>
      <c r="AL23" s="683"/>
      <c r="AM23" s="683"/>
      <c r="AN23" s="683"/>
      <c r="AO23" s="683"/>
      <c r="AP23" s="683"/>
      <c r="AQ23" s="683"/>
      <c r="AR23" s="683"/>
      <c r="AS23" s="683"/>
      <c r="AT23" s="683"/>
      <c r="AU23" s="683"/>
      <c r="AV23" s="683"/>
      <c r="AW23" s="683"/>
      <c r="AX23" s="683"/>
      <c r="AY23" s="683"/>
      <c r="AZ23" s="683"/>
      <c r="BA23" s="683"/>
      <c r="BB23" s="683"/>
      <c r="BC23" s="683"/>
      <c r="BD23" s="683"/>
      <c r="BE23" s="683"/>
      <c r="BF23" s="683"/>
      <c r="BG23" s="683"/>
      <c r="BH23" s="683"/>
      <c r="BI23" s="683"/>
      <c r="BJ23" s="683"/>
      <c r="BK23" s="683"/>
      <c r="BL23" s="683"/>
      <c r="BM23" s="683"/>
      <c r="BN23" s="683"/>
      <c r="BO23" s="683"/>
      <c r="BP23" s="683"/>
      <c r="BQ23" s="683"/>
      <c r="BR23" s="683"/>
      <c r="BS23" s="683"/>
      <c r="BT23" s="683"/>
      <c r="BU23" s="683"/>
      <c r="BV23" s="683"/>
      <c r="BW23" s="683"/>
      <c r="BX23" s="683"/>
      <c r="BY23" s="683"/>
      <c r="BZ23" s="683"/>
      <c r="CA23" s="683"/>
      <c r="CB23" s="683"/>
      <c r="CC23" s="683"/>
      <c r="CD23" s="683"/>
      <c r="CE23" s="683"/>
      <c r="CF23" s="683"/>
      <c r="CG23" s="683"/>
      <c r="CH23" s="683"/>
      <c r="CI23" s="683"/>
      <c r="CJ23" s="683"/>
      <c r="CK23" s="683"/>
      <c r="CL23" s="683"/>
      <c r="CM23" s="683"/>
      <c r="CN23" s="683"/>
      <c r="CO23" s="683"/>
      <c r="CP23" s="683"/>
      <c r="CQ23" s="683"/>
      <c r="CR23" s="683"/>
      <c r="CS23" s="683"/>
      <c r="CT23" s="683"/>
      <c r="CU23" s="200"/>
      <c r="CW23" s="489"/>
      <c r="CX23" s="489"/>
      <c r="CY23" s="489"/>
      <c r="CZ23" s="546"/>
      <c r="DA23" s="546"/>
      <c r="DD23" s="0"/>
      <c r="DE23" s="0"/>
      <c r="DF23" s="0"/>
      <c r="DG23" s="0"/>
      <c r="DH23" s="0"/>
      <c r="DI23" s="0"/>
      <c r="DJ23" s="0"/>
      <c r="DK23" s="0"/>
      <c r="DL23" s="0"/>
      <c r="DM23" s="0"/>
      <c r="DN23" s="0"/>
      <c r="DO23" s="0"/>
      <c r="DP23" s="0"/>
      <c r="DQ23" s="0"/>
      <c r="DR23" s="0"/>
    </row>
    <row s="308" customFormat="1" customHeight="1" ht="24.375">
      <c r="A24" s="371"/>
      <c r="B24" s="176"/>
      <c r="C24" s="968"/>
      <c r="D24" s="968"/>
      <c r="E24" s="284">
        <v>25</v>
      </c>
      <c r="F24" s="176"/>
      <c r="M24" s="968"/>
      <c r="N24" s="968"/>
      <c r="O24" s="968"/>
      <c r="P24" s="968"/>
      <c r="Q24" s="968"/>
      <c r="R24" s="968"/>
      <c r="S24" s="968"/>
      <c r="T24" s="176"/>
      <c r="U24" s="176"/>
      <c r="V24" s="176"/>
      <c r="W24" s="176"/>
      <c r="X24" s="176"/>
      <c r="Y24" s="176"/>
      <c r="Z24" s="176"/>
      <c r="AA24" s="681"/>
      <c r="AB24" s="1679" t="s">
        <v>355</v>
      </c>
      <c r="AC24" s="1679" t="s">
        <v>412</v>
      </c>
      <c r="AD24" s="1679" t="s">
        <v>413</v>
      </c>
      <c r="AE24" s="684" t="str">
        <f>god-2&amp;" год"</f>
        <v>2025 год</v>
      </c>
      <c r="AF24" s="685" t="str">
        <f>god-2&amp;" год"</f>
        <v>2025 год</v>
      </c>
      <c r="AG24" s="684" t="str">
        <f>god-2&amp;" год"</f>
        <v>2025 год</v>
      </c>
      <c r="AH24" s="684" t="str">
        <f>god-2&amp;" год"</f>
        <v>2025 год</v>
      </c>
      <c r="AI24" s="384" t="str">
        <f>god-1&amp;" год"</f>
        <v>2026 год</v>
      </c>
      <c r="AJ24" s="329" t="str">
        <f>god&amp;" год"</f>
        <v>2027 год</v>
      </c>
      <c r="AK24" s="329" t="str">
        <f>god+1&amp;" год"</f>
        <v>2028 год</v>
      </c>
      <c r="AL24" s="329" t="str">
        <f>god+2&amp;" год"</f>
        <v>2029 год</v>
      </c>
      <c r="AM24" s="329" t="str">
        <f>god+3&amp;" год"</f>
        <v>2030 год</v>
      </c>
      <c r="AN24" s="329" t="str">
        <f>god+4&amp;" год"</f>
        <v>2031 год</v>
      </c>
      <c r="AO24" s="329" t="str">
        <f>god+5&amp;" год"</f>
        <v>2032 год</v>
      </c>
      <c r="AP24" s="329" t="str">
        <f>god+6&amp;" год"</f>
        <v>2033 год</v>
      </c>
      <c r="AQ24" s="329" t="str">
        <f>god+7&amp;" год"</f>
        <v>2034 год</v>
      </c>
      <c r="AR24" s="329" t="str">
        <f>god+8&amp;" год"</f>
        <v>2035 год</v>
      </c>
      <c r="AS24" s="329" t="str">
        <f>god+9&amp;" год"</f>
        <v>2036 год</v>
      </c>
      <c r="AT24" s="329" t="str">
        <f>god+10&amp;" год"</f>
        <v>2037 год</v>
      </c>
      <c r="AU24" s="329" t="str">
        <f>god+11&amp;" год"</f>
        <v>2038 год</v>
      </c>
      <c r="AV24" s="329" t="str">
        <f>god+12&amp;" год"</f>
        <v>2039 год</v>
      </c>
      <c r="AW24" s="329" t="str">
        <f>god+13&amp;" год"</f>
        <v>2040 год</v>
      </c>
      <c r="AX24" s="329" t="str">
        <f>god+14&amp;" год"</f>
        <v>2041 год</v>
      </c>
      <c r="AY24" s="329" t="str">
        <f>god+15&amp;" год"</f>
        <v>2042 год</v>
      </c>
      <c r="AZ24" s="329" t="str">
        <f>god+16&amp;" год"</f>
        <v>2043 год</v>
      </c>
      <c r="BA24" s="329" t="str">
        <f>god+17&amp;" год"</f>
        <v>2044 год</v>
      </c>
      <c r="BB24" s="329" t="str">
        <f>god+18&amp;" год"</f>
        <v>2045 год</v>
      </c>
      <c r="BC24" s="329" t="str">
        <f>god+19&amp;" год"</f>
        <v>2046 год</v>
      </c>
      <c r="BD24" s="328" t="str">
        <f>god&amp;" год"</f>
        <v>2027 год</v>
      </c>
      <c r="BE24" s="328" t="str">
        <f>god+1&amp;" год"</f>
        <v>2028 год</v>
      </c>
      <c r="BF24" s="328" t="str">
        <f>god+2&amp;" год"</f>
        <v>2029 год</v>
      </c>
      <c r="BG24" s="328" t="str">
        <f>god+3&amp;" год"</f>
        <v>2030 год</v>
      </c>
      <c r="BH24" s="328" t="str">
        <f>god+4&amp;" год"</f>
        <v>2031 год</v>
      </c>
      <c r="BI24" s="328" t="str">
        <f>god+5&amp;" год"</f>
        <v>2032 год</v>
      </c>
      <c r="BJ24" s="328" t="str">
        <f>god+6&amp;" год"</f>
        <v>2033 год</v>
      </c>
      <c r="BK24" s="328" t="str">
        <f>god+7&amp;" год"</f>
        <v>2034 год</v>
      </c>
      <c r="BL24" s="328" t="str">
        <f>god+8&amp;" год"</f>
        <v>2035 год</v>
      </c>
      <c r="BM24" s="328" t="str">
        <f>god+9&amp;" год"</f>
        <v>2036 год</v>
      </c>
      <c r="BN24" s="328" t="str">
        <f>god+10&amp;" год"</f>
        <v>2037 год</v>
      </c>
      <c r="BO24" s="328" t="str">
        <f>god+11&amp;" год"</f>
        <v>2038 год</v>
      </c>
      <c r="BP24" s="328" t="str">
        <f>god+12&amp;" год"</f>
        <v>2039 год</v>
      </c>
      <c r="BQ24" s="328" t="str">
        <f>god+13&amp;" год"</f>
        <v>2040 год</v>
      </c>
      <c r="BR24" s="328" t="str">
        <f>god+14&amp;" год"</f>
        <v>2041 год</v>
      </c>
      <c r="BS24" s="328" t="str">
        <f>god+15&amp;" год"</f>
        <v>2042 год</v>
      </c>
      <c r="BT24" s="328" t="str">
        <f>god+16&amp;" год"</f>
        <v>2043 год</v>
      </c>
      <c r="BU24" s="328" t="str">
        <f>god+17&amp;" год"</f>
        <v>2044 год</v>
      </c>
      <c r="BV24" s="328" t="str">
        <f>god+18&amp;" год"</f>
        <v>2045 год</v>
      </c>
      <c r="BW24" s="328" t="str">
        <f>god+19&amp;" год"</f>
        <v>2046 год</v>
      </c>
      <c r="BX24" s="328" t="str">
        <f>god&amp;" год"</f>
        <v>2027 год</v>
      </c>
      <c r="BY24" s="328" t="str">
        <f>god+1&amp;" год"</f>
        <v>2028 год</v>
      </c>
      <c r="BZ24" s="328" t="str">
        <f>god+2&amp;" год"</f>
        <v>2029 год</v>
      </c>
      <c r="CA24" s="328" t="str">
        <f>god+3&amp;" год"</f>
        <v>2030 год</v>
      </c>
      <c r="CB24" s="328" t="str">
        <f>god+4&amp;" год"</f>
        <v>2031 год</v>
      </c>
      <c r="CC24" s="328" t="str">
        <f>god+5&amp;" год"</f>
        <v>2032 год</v>
      </c>
      <c r="CD24" s="328" t="str">
        <f>god+6&amp;" год"</f>
        <v>2033 год</v>
      </c>
      <c r="CE24" s="328" t="str">
        <f>god+7&amp;" год"</f>
        <v>2034 год</v>
      </c>
      <c r="CF24" s="328" t="str">
        <f>god+8&amp;" год"</f>
        <v>2035 год</v>
      </c>
      <c r="CG24" s="328" t="str">
        <f>god+9&amp;" год"</f>
        <v>2036 год</v>
      </c>
      <c r="CH24" s="328" t="str">
        <f>god+10&amp;" год"</f>
        <v>2037 год</v>
      </c>
      <c r="CI24" s="328" t="str">
        <f>god+11&amp;" год"</f>
        <v>2038 год</v>
      </c>
      <c r="CJ24" s="328" t="str">
        <f>god+12&amp;" год"</f>
        <v>2039 год</v>
      </c>
      <c r="CK24" s="328" t="str">
        <f>god+13&amp;" год"</f>
        <v>2040 год</v>
      </c>
      <c r="CL24" s="328" t="str">
        <f>god+14&amp;" год"</f>
        <v>2041 год</v>
      </c>
      <c r="CM24" s="328" t="str">
        <f>god+15&amp;" год"</f>
        <v>2042 год</v>
      </c>
      <c r="CN24" s="328" t="str">
        <f>god+16&amp;" год"</f>
        <v>2043 год</v>
      </c>
      <c r="CO24" s="328" t="str">
        <f>god+17&amp;" год"</f>
        <v>2044 год</v>
      </c>
      <c r="CP24" s="328" t="str">
        <f>god+18&amp;" год"</f>
        <v>2045 год</v>
      </c>
      <c r="CQ24" s="328" t="str">
        <f>god+19&amp;" год"</f>
        <v>2046 год</v>
      </c>
      <c r="CR24" s="1678" t="s">
        <v>1546</v>
      </c>
      <c r="CS24" s="1678" t="s">
        <v>625</v>
      </c>
      <c r="CT24" s="1678" t="s">
        <v>1547</v>
      </c>
      <c r="CU24" s="681"/>
      <c r="CW24" s="489"/>
      <c r="CX24" s="984"/>
      <c r="CY24" s="984"/>
      <c r="CZ24" s="985"/>
      <c r="DA24" s="985"/>
      <c r="DD24" s="0"/>
      <c r="DE24" s="0"/>
      <c r="DF24" s="0"/>
      <c r="DG24" s="0"/>
      <c r="DH24" s="0"/>
      <c r="DI24" s="0"/>
      <c r="DJ24" s="0"/>
      <c r="DK24" s="0"/>
      <c r="DL24" s="0"/>
      <c r="DM24" s="0"/>
      <c r="DN24" s="0"/>
      <c r="DO24" s="0"/>
      <c r="DP24" s="0"/>
      <c r="DQ24" s="0"/>
      <c r="DR24" s="0"/>
    </row>
    <row s="308" customFormat="1" customHeight="1" ht="44.85">
      <c r="A25" s="371"/>
      <c r="B25" s="176"/>
      <c r="C25" s="968"/>
      <c r="D25" s="968"/>
      <c r="E25" s="284">
        <v>46</v>
      </c>
      <c r="F25" s="176"/>
      <c r="M25" s="968"/>
      <c r="N25" s="968"/>
      <c r="O25" s="968"/>
      <c r="P25" s="968"/>
      <c r="Q25" s="968"/>
      <c r="R25" s="968"/>
      <c r="S25" s="968"/>
      <c r="T25" s="176"/>
      <c r="U25" s="176"/>
      <c r="V25" s="176"/>
      <c r="W25" s="176"/>
      <c r="X25" s="176"/>
      <c r="Y25" s="176"/>
      <c r="Z25" s="176"/>
      <c r="AA25" s="681"/>
      <c r="AB25" s="1679"/>
      <c r="AC25" s="1679"/>
      <c r="AD25" s="1679"/>
      <c r="AE25" s="384" t="s">
        <v>415</v>
      </c>
      <c r="AF25" s="382" t="s">
        <v>626</v>
      </c>
      <c r="AG25" s="384" t="s">
        <v>627</v>
      </c>
      <c r="AH25" s="684" t="s">
        <v>1134</v>
      </c>
      <c r="AI25" s="384" t="s">
        <v>415</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331" t="s">
        <v>416</v>
      </c>
      <c r="AZ25" s="331" t="s">
        <v>416</v>
      </c>
      <c r="BA25" s="331" t="s">
        <v>416</v>
      </c>
      <c r="BB25" s="331" t="s">
        <v>416</v>
      </c>
      <c r="BC25" s="331" t="s">
        <v>416</v>
      </c>
      <c r="BD25" s="424" t="s">
        <v>415</v>
      </c>
      <c r="BE25" s="424" t="s">
        <v>415</v>
      </c>
      <c r="BF25" s="424" t="s">
        <v>415</v>
      </c>
      <c r="BG25" s="424" t="s">
        <v>415</v>
      </c>
      <c r="BH25" s="424" t="s">
        <v>415</v>
      </c>
      <c r="BI25" s="424" t="s">
        <v>415</v>
      </c>
      <c r="BJ25" s="424" t="s">
        <v>415</v>
      </c>
      <c r="BK25" s="424" t="s">
        <v>415</v>
      </c>
      <c r="BL25" s="424" t="s">
        <v>415</v>
      </c>
      <c r="BM25" s="424" t="s">
        <v>415</v>
      </c>
      <c r="BN25" s="424" t="s">
        <v>415</v>
      </c>
      <c r="BO25" s="424" t="s">
        <v>415</v>
      </c>
      <c r="BP25" s="424" t="s">
        <v>415</v>
      </c>
      <c r="BQ25" s="424" t="s">
        <v>415</v>
      </c>
      <c r="BR25" s="424" t="s">
        <v>415</v>
      </c>
      <c r="BS25" s="424" t="s">
        <v>415</v>
      </c>
      <c r="BT25" s="424" t="s">
        <v>415</v>
      </c>
      <c r="BU25" s="424" t="s">
        <v>415</v>
      </c>
      <c r="BV25" s="424" t="s">
        <v>415</v>
      </c>
      <c r="BW25" s="424" t="s">
        <v>415</v>
      </c>
      <c r="BX25" s="1678" t="s">
        <v>1548</v>
      </c>
      <c r="BY25" s="1678"/>
      <c r="BZ25" s="1678"/>
      <c r="CA25" s="1678"/>
      <c r="CB25" s="1678"/>
      <c r="CC25" s="1678"/>
      <c r="CD25" s="1678"/>
      <c r="CE25" s="1678"/>
      <c r="CF25" s="1678"/>
      <c r="CG25" s="1678"/>
      <c r="CH25" s="1678"/>
      <c r="CI25" s="1678"/>
      <c r="CJ25" s="1678"/>
      <c r="CK25" s="1678"/>
      <c r="CL25" s="1678"/>
      <c r="CM25" s="1678"/>
      <c r="CN25" s="1678"/>
      <c r="CO25" s="1678"/>
      <c r="CP25" s="1678"/>
      <c r="CQ25" s="1678"/>
      <c r="CR25" s="1678"/>
      <c r="CS25" s="1678"/>
      <c r="CT25" s="1678"/>
      <c r="CU25" s="681"/>
      <c r="CW25" s="489"/>
      <c r="CX25" s="984"/>
      <c r="CY25" s="984"/>
      <c r="CZ25" s="985"/>
      <c r="DA25" s="985"/>
      <c r="DD25" s="0"/>
      <c r="DE25" s="0"/>
      <c r="DF25" s="0"/>
      <c r="DG25" s="0"/>
      <c r="DH25" s="0"/>
      <c r="DI25" s="0"/>
      <c r="DJ25" s="0"/>
      <c r="DK25" s="0"/>
      <c r="DL25" s="0"/>
      <c r="DM25" s="0"/>
      <c r="DN25" s="0"/>
      <c r="DO25" s="0"/>
      <c r="DP25" s="0"/>
      <c r="DQ25" s="0"/>
      <c r="DR25" s="0"/>
    </row>
    <row s="308" customFormat="1" customHeight="1" ht="14.25" hidden="1">
      <c r="A26" s="371"/>
      <c r="B26" s="176"/>
      <c r="C26" s="968"/>
      <c r="D26" s="968"/>
      <c r="E26" s="966">
        <v>0</v>
      </c>
      <c r="F26" s="176"/>
      <c r="M26" s="968"/>
      <c r="N26" s="968"/>
      <c r="O26" s="968"/>
      <c r="P26" s="968"/>
      <c r="Q26" s="968"/>
      <c r="R26" s="968"/>
      <c r="S26" s="968"/>
      <c r="T26" s="176"/>
      <c r="U26" s="176"/>
      <c r="V26" s="176"/>
      <c r="W26" s="176"/>
      <c r="X26" s="176"/>
      <c r="Y26" s="176"/>
      <c r="Z26" s="176"/>
      <c r="AA26" s="681"/>
      <c r="AB26" s="687"/>
      <c r="AC26" s="687"/>
      <c r="AD26" s="687"/>
      <c r="AE26" s="279"/>
      <c r="AF26" s="279"/>
      <c r="AG26" s="279"/>
      <c r="AH26" s="680"/>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279"/>
      <c r="BT26" s="279"/>
      <c r="BU26" s="279"/>
      <c r="BV26" s="279"/>
      <c r="BW26" s="279"/>
      <c r="BX26" s="680"/>
      <c r="BY26" s="680"/>
      <c r="BZ26" s="680"/>
      <c r="CA26" s="680"/>
      <c r="CB26" s="680"/>
      <c r="CC26" s="680"/>
      <c r="CD26" s="680"/>
      <c r="CE26" s="680"/>
      <c r="CF26" s="680"/>
      <c r="CG26" s="680"/>
      <c r="CH26" s="680"/>
      <c r="CI26" s="680"/>
      <c r="CJ26" s="680"/>
      <c r="CK26" s="680"/>
      <c r="CL26" s="680"/>
      <c r="CM26" s="680"/>
      <c r="CN26" s="680"/>
      <c r="CO26" s="680"/>
      <c r="CP26" s="680"/>
      <c r="CQ26" s="680"/>
      <c r="CR26" s="680"/>
      <c r="CS26" s="680"/>
      <c r="CT26" s="680"/>
      <c r="CU26" s="681"/>
      <c r="CW26" s="489"/>
      <c r="CX26" s="984"/>
      <c r="CY26" s="984"/>
      <c r="CZ26" s="985"/>
      <c r="DA26" s="985"/>
      <c r="DD26" s="0"/>
      <c r="DE26" s="0"/>
      <c r="DF26" s="0"/>
      <c r="DG26" s="0"/>
      <c r="DH26" s="0"/>
      <c r="DI26" s="0"/>
      <c r="DJ26" s="0"/>
      <c r="DK26" s="0"/>
      <c r="DL26" s="0"/>
      <c r="DM26" s="0"/>
      <c r="DN26" s="0"/>
      <c r="DO26" s="0"/>
      <c r="DP26" s="0"/>
      <c r="DQ26" s="0"/>
      <c r="DR26" s="0"/>
    </row>
    <row s="969" customFormat="1" customHeight="1" ht="16.575" hidden="1">
      <c r="E27" s="180">
        <v>17</v>
      </c>
      <c r="F27" s="175" cm="1" t="str">
        <f t="array" ref="F27:F27">X27</f>
        <v>0</v>
      </c>
      <c r="G27" s="193" cm="1" t="str">
        <f t="array" ref="G27:G27">INDEX('Общие сведения'!$AK$169:$AK$202,MATCH($F27,'Общие сведения'!$Y$169:$Y$202,0))</f>
        <v>0</v>
      </c>
      <c r="I27" s="193" cm="1" t="str">
        <f t="array" ref="I27:I27">INDEX('Общие сведения'!$AE$169:$AE$202,MATCH($F27,'Общие сведения'!$Y$169:$Y$202,0))</f>
        <v>Теплоснабжение</v>
      </c>
      <c r="K27" s="193" cm="1" t="str">
        <f t="array" ref="K27:K27">INDEX('Общие сведения'!$AL$169:$AL$202,MATCH($F27,'Общие сведения'!$Y$169:$Y$202,0))</f>
        <v>0</v>
      </c>
      <c r="T27" s="753">
        <f>X27&gt;0</f>
        <v>0</v>
      </c>
      <c r="V27" s="175" t="s">
        <v>266</v>
      </c>
      <c r="X27" s="175">
        <v>0</v>
      </c>
      <c r="AB27" s="688" cm="1" t="str">
        <f t="array" ref="AB27:AB27">INDEX('Общие сведения'!$AG$169:$AG$202,MATCH($F27,'Общие сведения'!$Y$169:$Y$202,0))</f>
        <v>Тариф 0 (Теплоснабжение) - </v>
      </c>
      <c r="AC27" s="334"/>
      <c r="AD27" s="334"/>
      <c r="AE27" s="334"/>
      <c r="AF27" s="334"/>
      <c r="AG27" s="334"/>
      <c r="AH27" s="334"/>
      <c r="AI27" s="334"/>
      <c r="AJ27" s="334"/>
      <c r="AK27" s="334"/>
      <c r="AL27" s="334"/>
      <c r="AM27" s="334"/>
      <c r="AN27" s="334"/>
      <c r="AO27" s="334"/>
      <c r="AP27" s="334"/>
      <c r="AQ27" s="334"/>
      <c r="AR27" s="334"/>
      <c r="AS27" s="334"/>
      <c r="AT27" s="334"/>
      <c r="AU27" s="334"/>
      <c r="AV27" s="334"/>
      <c r="AW27" s="334"/>
      <c r="AX27" s="334"/>
      <c r="AY27" s="334"/>
      <c r="AZ27" s="334"/>
      <c r="BA27" s="334"/>
      <c r="BB27" s="334"/>
      <c r="BC27" s="334"/>
      <c r="BD27" s="334"/>
      <c r="BE27" s="334"/>
      <c r="BF27" s="334"/>
      <c r="BG27" s="334"/>
      <c r="BH27" s="334"/>
      <c r="BI27" s="334"/>
      <c r="BJ27" s="334"/>
      <c r="BK27" s="334"/>
      <c r="BL27" s="334"/>
      <c r="BM27" s="334"/>
      <c r="BN27" s="334"/>
      <c r="BO27" s="334"/>
      <c r="BP27" s="334"/>
      <c r="BQ27" s="334"/>
      <c r="BR27" s="334"/>
      <c r="BS27" s="334"/>
      <c r="BT27" s="334"/>
      <c r="BU27" s="334"/>
      <c r="BV27" s="334"/>
      <c r="BW27" s="334"/>
      <c r="BX27" s="334"/>
      <c r="BY27" s="334"/>
      <c r="BZ27" s="334"/>
      <c r="CA27" s="334"/>
      <c r="CB27" s="334"/>
      <c r="CC27" s="334"/>
      <c r="CD27" s="334"/>
      <c r="CE27" s="334"/>
      <c r="CF27" s="334"/>
      <c r="CG27" s="334"/>
      <c r="CH27" s="334"/>
      <c r="CI27" s="334"/>
      <c r="CJ27" s="334"/>
      <c r="CK27" s="334"/>
      <c r="CL27" s="334"/>
      <c r="CM27" s="334"/>
      <c r="CN27" s="334"/>
      <c r="CO27" s="334"/>
      <c r="CP27" s="334"/>
      <c r="CQ27" s="334"/>
      <c r="CR27" s="334"/>
      <c r="CS27" s="334"/>
      <c r="CT27" s="334"/>
      <c r="CW27" s="489"/>
      <c r="CX27" s="489"/>
      <c r="CY27" s="489"/>
      <c r="CZ27" s="546"/>
      <c r="DA27" s="546"/>
    </row>
    <row customHeight="1" ht="16.575" hidden="1">
      <c r="E28" s="180">
        <v>17</v>
      </c>
      <c r="F28" s="175" cm="1" t="str">
        <f t="array" ref="F28:F28">OFFSET(G28,-1,-1)</f>
        <v>0</v>
      </c>
      <c r="G28" s="193" t="s">
        <v>1549</v>
      </c>
      <c r="T28" s="753" cm="1" t="str">
        <f t="array" ref="T28:T28">T27</f>
        <v>false</v>
      </c>
      <c r="AB28" s="491">
        <v>1</v>
      </c>
      <c r="AC28" s="523" t="s">
        <v>1618</v>
      </c>
      <c r="AD28" s="467" t="s">
        <v>1178</v>
      </c>
      <c r="AE28" s="746">
        <f>_xlfn.SUMIFS('Операционные (5.1)'!AE$26:AE$75,'Операционные (5.1)'!$F$26:$F$75,$F28,'Операционные (5.1)'!$G$26:$G$75,$G28)</f>
        <v>0</v>
      </c>
      <c r="AF28" s="746">
        <f>_xlfn.SUMIFS('Операционные (5.1)'!AF$26:AF$75,'Операционные (5.1)'!$F$26:$F$75,$F28,'Операционные (5.1)'!$G$26:$G$75,$G28)</f>
        <v>0</v>
      </c>
      <c r="AG28" s="746">
        <f>_xlfn.SUMIFS('Операционные (5.1)'!AG$26:AG$75,'Операционные (5.1)'!$F$26:$F$75,$F28,'Операционные (5.1)'!$G$26:$G$75,$G28)</f>
        <v>0</v>
      </c>
      <c r="AH28" s="695">
        <f>AG28-AF28</f>
        <v>0</v>
      </c>
      <c r="AI28" s="746">
        <f>_xlfn.SUMIFS('Операционные (5.1)'!AI$26:AI$75,'Операционные (5.1)'!$F$26:$F$75,$F28,'Операционные (5.1)'!$G$26:$G$75,$G28)</f>
        <v>0</v>
      </c>
      <c r="AJ28" s="807">
        <f>_xlfn.SUMIFS(INDEX('Операционные (5.2)'!$AJ$26:$BW$45,,MATCH(AJ$8,'Операционные (5.2)'!$AJ$8:$BW$8,0)),'Операционные (5.2)'!$F$26:$F$45,$F28,'Операционные (5.2)'!$G$26:$G$45,$G28)</f>
        <v>0</v>
      </c>
      <c r="AK28" s="807">
        <f>_xlfn.SUMIFS(INDEX('Операционные (5.2)'!$AJ$26:$BW$45,,MATCH(AK$8,'Операционные (5.2)'!$AJ$8:$BW$8,0)),'Операционные (5.2)'!$F$26:$F$45,$F28,'Операционные (5.2)'!$G$26:$G$45,$G28)</f>
        <v>0</v>
      </c>
      <c r="AL28" s="807">
        <f>_xlfn.SUMIFS(INDEX('Операционные (5.2)'!$AJ$26:$BW$45,,MATCH(AL$8,'Операционные (5.2)'!$AJ$8:$BW$8,0)),'Операционные (5.2)'!$F$26:$F$45,$F28,'Операционные (5.2)'!$G$26:$G$45,$G28)</f>
        <v>0</v>
      </c>
      <c r="AM28" s="807">
        <f>_xlfn.SUMIFS(INDEX('Операционные (5.2)'!$AJ$26:$BW$45,,MATCH(AM$8,'Операционные (5.2)'!$AJ$8:$BW$8,0)),'Операционные (5.2)'!$F$26:$F$45,$F28,'Операционные (5.2)'!$G$26:$G$45,$G28)</f>
        <v>0</v>
      </c>
      <c r="AN28" s="807">
        <f>_xlfn.SUMIFS(INDEX('Операционные (5.2)'!$AJ$26:$BW$45,,MATCH(AN$8,'Операционные (5.2)'!$AJ$8:$BW$8,0)),'Операционные (5.2)'!$F$26:$F$45,$F28,'Операционные (5.2)'!$G$26:$G$45,$G28)</f>
        <v>0</v>
      </c>
      <c r="AO28" s="807">
        <f>_xlfn.SUMIFS(INDEX('Операционные (5.2)'!$AJ$26:$BW$45,,MATCH(AO$8,'Операционные (5.2)'!$AJ$8:$BW$8,0)),'Операционные (5.2)'!$F$26:$F$45,$F28,'Операционные (5.2)'!$G$26:$G$45,$G28)</f>
        <v>0</v>
      </c>
      <c r="AP28" s="807">
        <f>_xlfn.SUMIFS(INDEX('Операционные (5.2)'!$AJ$26:$BW$45,,MATCH(AP$8,'Операционные (5.2)'!$AJ$8:$BW$8,0)),'Операционные (5.2)'!$F$26:$F$45,$F28,'Операционные (5.2)'!$G$26:$G$45,$G28)</f>
        <v>0</v>
      </c>
      <c r="AQ28" s="807">
        <f>_xlfn.SUMIFS(INDEX('Операционные (5.2)'!$AJ$26:$BW$45,,MATCH(AQ$8,'Операционные (5.2)'!$AJ$8:$BW$8,0)),'Операционные (5.2)'!$F$26:$F$45,$F28,'Операционные (5.2)'!$G$26:$G$45,$G28)</f>
        <v>0</v>
      </c>
      <c r="AR28" s="807">
        <f>_xlfn.SUMIFS(INDEX('Операционные (5.2)'!$AJ$26:$BW$45,,MATCH(AR$8,'Операционные (5.2)'!$AJ$8:$BW$8,0)),'Операционные (5.2)'!$F$26:$F$45,$F28,'Операционные (5.2)'!$G$26:$G$45,$G28)</f>
        <v>0</v>
      </c>
      <c r="AS28" s="807">
        <f>_xlfn.SUMIFS(INDEX('Операционные (5.2)'!$AJ$26:$BW$45,,MATCH(AS$8,'Операционные (5.2)'!$AJ$8:$BW$8,0)),'Операционные (5.2)'!$F$26:$F$45,$F28,'Операционные (5.2)'!$G$26:$G$45,$G28)</f>
        <v>0</v>
      </c>
      <c r="AT28" s="807">
        <f>_xlfn.SUMIFS(INDEX('Операционные (5.2)'!$AJ$26:$BW$45,,MATCH(AT$8,'Операционные (5.2)'!$AJ$8:$BW$8,0)),'Операционные (5.2)'!$F$26:$F$45,$F28,'Операционные (5.2)'!$G$26:$G$45,$G28)</f>
        <v>0</v>
      </c>
      <c r="AU28" s="807">
        <f>_xlfn.SUMIFS(INDEX('Операционные (5.2)'!$AJ$26:$BW$45,,MATCH(AU$8,'Операционные (5.2)'!$AJ$8:$BW$8,0)),'Операционные (5.2)'!$F$26:$F$45,$F28,'Операционные (5.2)'!$G$26:$G$45,$G28)</f>
        <v>0</v>
      </c>
      <c r="AV28" s="807">
        <f>_xlfn.SUMIFS(INDEX('Операционные (5.2)'!$AJ$26:$BW$45,,MATCH(AV$8,'Операционные (5.2)'!$AJ$8:$BW$8,0)),'Операционные (5.2)'!$F$26:$F$45,$F28,'Операционные (5.2)'!$G$26:$G$45,$G28)</f>
        <v>0</v>
      </c>
      <c r="AW28" s="807">
        <f>_xlfn.SUMIFS(INDEX('Операционные (5.2)'!$AJ$26:$BW$45,,MATCH(AW$8,'Операционные (5.2)'!$AJ$8:$BW$8,0)),'Операционные (5.2)'!$F$26:$F$45,$F28,'Операционные (5.2)'!$G$26:$G$45,$G28)</f>
        <v>0</v>
      </c>
      <c r="AX28" s="807">
        <f>_xlfn.SUMIFS(INDEX('Операционные (5.2)'!$AJ$26:$BW$45,,MATCH(AX$8,'Операционные (5.2)'!$AJ$8:$BW$8,0)),'Операционные (5.2)'!$F$26:$F$45,$F28,'Операционные (5.2)'!$G$26:$G$45,$G28)</f>
        <v>0</v>
      </c>
      <c r="AY28" s="807">
        <f>_xlfn.SUMIFS(INDEX('Операционные (5.2)'!$AJ$26:$BW$45,,MATCH(AY$8,'Операционные (5.2)'!$AJ$8:$BW$8,0)),'Операционные (5.2)'!$F$26:$F$45,$F28,'Операционные (5.2)'!$G$26:$G$45,$G28)</f>
        <v>0</v>
      </c>
      <c r="AZ28" s="807">
        <f>_xlfn.SUMIFS(INDEX('Операционные (5.2)'!$AJ$26:$BW$45,,MATCH(AZ$8,'Операционные (5.2)'!$AJ$8:$BW$8,0)),'Операционные (5.2)'!$F$26:$F$45,$F28,'Операционные (5.2)'!$G$26:$G$45,$G28)</f>
        <v>0</v>
      </c>
      <c r="BA28" s="807">
        <f>_xlfn.SUMIFS(INDEX('Операционные (5.2)'!$AJ$26:$BW$45,,MATCH(BA$8,'Операционные (5.2)'!$AJ$8:$BW$8,0)),'Операционные (5.2)'!$F$26:$F$45,$F28,'Операционные (5.2)'!$G$26:$G$45,$G28)</f>
        <v>0</v>
      </c>
      <c r="BB28" s="807">
        <f>_xlfn.SUMIFS(INDEX('Операционные (5.2)'!$AJ$26:$BW$45,,MATCH(BB$8,'Операционные (5.2)'!$AJ$8:$BW$8,0)),'Операционные (5.2)'!$F$26:$F$45,$F28,'Операционные (5.2)'!$G$26:$G$45,$G28)</f>
        <v>0</v>
      </c>
      <c r="BC28" s="807">
        <f>_xlfn.SUMIFS(INDEX('Операционные (5.2)'!$AJ$26:$BW$45,,MATCH(BC$8,'Операционные (5.2)'!$AJ$8:$BW$8,0)),'Операционные (5.2)'!$F$26:$F$45,$F28,'Операционные (5.2)'!$G$26:$G$45,$G28)</f>
        <v>0</v>
      </c>
      <c r="BD28" s="807">
        <f>_xlfn.SUMIFS(INDEX('Операционные (5.2)'!$AJ$26:$BW$45,,MATCH(BD$8,'Операционные (5.2)'!$AJ$8:$BW$8,0)),'Операционные (5.2)'!$F$26:$F$45,$F28,'Операционные (5.2)'!$G$26:$G$45,$G28)</f>
        <v>0</v>
      </c>
      <c r="BE28" s="807">
        <f>_xlfn.SUMIFS(INDEX('Операционные (5.2)'!$AJ$26:$BW$45,,MATCH(BE$8,'Операционные (5.2)'!$AJ$8:$BW$8,0)),'Операционные (5.2)'!$F$26:$F$45,$F28,'Операционные (5.2)'!$G$26:$G$45,$G28)</f>
        <v>0</v>
      </c>
      <c r="BF28" s="807">
        <f>_xlfn.SUMIFS(INDEX('Операционные (5.2)'!$AJ$26:$BW$45,,MATCH(BF$8,'Операционные (5.2)'!$AJ$8:$BW$8,0)),'Операционные (5.2)'!$F$26:$F$45,$F28,'Операционные (5.2)'!$G$26:$G$45,$G28)</f>
        <v>0</v>
      </c>
      <c r="BG28" s="807">
        <f>_xlfn.SUMIFS(INDEX('Операционные (5.2)'!$AJ$26:$BW$45,,MATCH(BG$8,'Операционные (5.2)'!$AJ$8:$BW$8,0)),'Операционные (5.2)'!$F$26:$F$45,$F28,'Операционные (5.2)'!$G$26:$G$45,$G28)</f>
        <v>0</v>
      </c>
      <c r="BH28" s="807">
        <f>_xlfn.SUMIFS(INDEX('Операционные (5.2)'!$AJ$26:$BW$45,,MATCH(BH$8,'Операционные (5.2)'!$AJ$8:$BW$8,0)),'Операционные (5.2)'!$F$26:$F$45,$F28,'Операционные (5.2)'!$G$26:$G$45,$G28)</f>
        <v>0</v>
      </c>
      <c r="BI28" s="807">
        <f>_xlfn.SUMIFS(INDEX('Операционные (5.2)'!$AJ$26:$BW$45,,MATCH(BI$8,'Операционные (5.2)'!$AJ$8:$BW$8,0)),'Операционные (5.2)'!$F$26:$F$45,$F28,'Операционные (5.2)'!$G$26:$G$45,$G28)</f>
        <v>0</v>
      </c>
      <c r="BJ28" s="807">
        <f>_xlfn.SUMIFS(INDEX('Операционные (5.2)'!$AJ$26:$BW$45,,MATCH(BJ$8,'Операционные (5.2)'!$AJ$8:$BW$8,0)),'Операционные (5.2)'!$F$26:$F$45,$F28,'Операционные (5.2)'!$G$26:$G$45,$G28)</f>
        <v>0</v>
      </c>
      <c r="BK28" s="807">
        <f>_xlfn.SUMIFS(INDEX('Операционные (5.2)'!$AJ$26:$BW$45,,MATCH(BK$8,'Операционные (5.2)'!$AJ$8:$BW$8,0)),'Операционные (5.2)'!$F$26:$F$45,$F28,'Операционные (5.2)'!$G$26:$G$45,$G28)</f>
        <v>0</v>
      </c>
      <c r="BL28" s="807">
        <f>_xlfn.SUMIFS(INDEX('Операционные (5.2)'!$AJ$26:$BW$45,,MATCH(BL$8,'Операционные (5.2)'!$AJ$8:$BW$8,0)),'Операционные (5.2)'!$F$26:$F$45,$F28,'Операционные (5.2)'!$G$26:$G$45,$G28)</f>
        <v>0</v>
      </c>
      <c r="BM28" s="807">
        <f>_xlfn.SUMIFS(INDEX('Операционные (5.2)'!$AJ$26:$BW$45,,MATCH(BM$8,'Операционные (5.2)'!$AJ$8:$BW$8,0)),'Операционные (5.2)'!$F$26:$F$45,$F28,'Операционные (5.2)'!$G$26:$G$45,$G28)</f>
        <v>0</v>
      </c>
      <c r="BN28" s="807">
        <f>_xlfn.SUMIFS(INDEX('Операционные (5.2)'!$AJ$26:$BW$45,,MATCH(BN$8,'Операционные (5.2)'!$AJ$8:$BW$8,0)),'Операционные (5.2)'!$F$26:$F$45,$F28,'Операционные (5.2)'!$G$26:$G$45,$G28)</f>
        <v>0</v>
      </c>
      <c r="BO28" s="807">
        <f>_xlfn.SUMIFS(INDEX('Операционные (5.2)'!$AJ$26:$BW$45,,MATCH(BO$8,'Операционные (5.2)'!$AJ$8:$BW$8,0)),'Операционные (5.2)'!$F$26:$F$45,$F28,'Операционные (5.2)'!$G$26:$G$45,$G28)</f>
        <v>0</v>
      </c>
      <c r="BP28" s="807">
        <f>_xlfn.SUMIFS(INDEX('Операционные (5.2)'!$AJ$26:$BW$45,,MATCH(BP$8,'Операционные (5.2)'!$AJ$8:$BW$8,0)),'Операционные (5.2)'!$F$26:$F$45,$F28,'Операционные (5.2)'!$G$26:$G$45,$G28)</f>
        <v>0</v>
      </c>
      <c r="BQ28" s="807">
        <f>_xlfn.SUMIFS(INDEX('Операционные (5.2)'!$AJ$26:$BW$45,,MATCH(BQ$8,'Операционные (5.2)'!$AJ$8:$BW$8,0)),'Операционные (5.2)'!$F$26:$F$45,$F28,'Операционные (5.2)'!$G$26:$G$45,$G28)</f>
        <v>0</v>
      </c>
      <c r="BR28" s="807">
        <f>_xlfn.SUMIFS(INDEX('Операционные (5.2)'!$AJ$26:$BW$45,,MATCH(BR$8,'Операционные (5.2)'!$AJ$8:$BW$8,0)),'Операционные (5.2)'!$F$26:$F$45,$F28,'Операционные (5.2)'!$G$26:$G$45,$G28)</f>
        <v>0</v>
      </c>
      <c r="BS28" s="807">
        <f>_xlfn.SUMIFS(INDEX('Операционные (5.2)'!$AJ$26:$BW$45,,MATCH(BS$8,'Операционные (5.2)'!$AJ$8:$BW$8,0)),'Операционные (5.2)'!$F$26:$F$45,$F28,'Операционные (5.2)'!$G$26:$G$45,$G28)</f>
        <v>0</v>
      </c>
      <c r="BT28" s="807">
        <f>_xlfn.SUMIFS(INDEX('Операционные (5.2)'!$AJ$26:$BW$45,,MATCH(BT$8,'Операционные (5.2)'!$AJ$8:$BW$8,0)),'Операционные (5.2)'!$F$26:$F$45,$F28,'Операционные (5.2)'!$G$26:$G$45,$G28)</f>
        <v>0</v>
      </c>
      <c r="BU28" s="807">
        <f>_xlfn.SUMIFS(INDEX('Операционные (5.2)'!$AJ$26:$BW$45,,MATCH(BU$8,'Операционные (5.2)'!$AJ$8:$BW$8,0)),'Операционные (5.2)'!$F$26:$F$45,$F28,'Операционные (5.2)'!$G$26:$G$45,$G28)</f>
        <v>0</v>
      </c>
      <c r="BV28" s="807">
        <f>_xlfn.SUMIFS(INDEX('Операционные (5.2)'!$AJ$26:$BW$45,,MATCH(BV$8,'Операционные (5.2)'!$AJ$8:$BW$8,0)),'Операционные (5.2)'!$F$26:$F$45,$F28,'Операционные (5.2)'!$G$26:$G$45,$G28)</f>
        <v>0</v>
      </c>
      <c r="BW28" s="807">
        <f>_xlfn.SUMIFS(INDEX('Операционные (5.2)'!$AJ$26:$BW$45,,MATCH(BW$8,'Операционные (5.2)'!$AJ$8:$BW$8,0)),'Операционные (5.2)'!$F$26:$F$45,$F28,'Операционные (5.2)'!$G$26:$G$45,$G28)</f>
        <v>0</v>
      </c>
      <c r="BX28" s="695">
        <f>IF(AI28=0,0,(BD28-AI28)/AI28*100)</f>
        <v>0</v>
      </c>
      <c r="BY28" s="695">
        <f>IF(BD28=0,0,(BE28-BD28)/BD28*100)</f>
        <v>0</v>
      </c>
      <c r="BZ28" s="695">
        <f>IF(BE28=0,0,(BF28-BE28)/BE28*100)</f>
        <v>0</v>
      </c>
      <c r="CA28" s="695">
        <f>IF(BF28=0,0,(BG28-BF28)/BF28*100)</f>
        <v>0</v>
      </c>
      <c r="CB28" s="695">
        <f>IF(BG28=0,0,(BH28-BG28)/BG28*100)</f>
        <v>0</v>
      </c>
      <c r="CC28" s="695">
        <f>IF(BH28=0,0,(BI28-BH28)/BH28*100)</f>
        <v>0</v>
      </c>
      <c r="CD28" s="695">
        <f>IF(BI28=0,0,(BJ28-BI28)/BI28*100)</f>
        <v>0</v>
      </c>
      <c r="CE28" s="695">
        <f>IF(BJ28=0,0,(BK28-BJ28)/BJ28*100)</f>
        <v>0</v>
      </c>
      <c r="CF28" s="695">
        <f>IF(BK28=0,0,(BL28-BK28)/BK28*100)</f>
        <v>0</v>
      </c>
      <c r="CG28" s="695">
        <f>IF(BL28=0,0,(BM28-BL28)/BL28*100)</f>
        <v>0</v>
      </c>
      <c r="CH28" s="695">
        <f>IF(BM28=0,0,(BN28-BM28)/BM28*100)</f>
        <v>0</v>
      </c>
      <c r="CI28" s="695">
        <f>IF(BN28=0,0,(BO28-BN28)/BN28*100)</f>
        <v>0</v>
      </c>
      <c r="CJ28" s="695">
        <f>IF(BO28=0,0,(BP28-BO28)/BO28*100)</f>
        <v>0</v>
      </c>
      <c r="CK28" s="695">
        <f>IF(BP28=0,0,(BQ28-BP28)/BP28*100)</f>
        <v>0</v>
      </c>
      <c r="CL28" s="695">
        <f>IF(BQ28=0,0,(BR28-BQ28)/BQ28*100)</f>
        <v>0</v>
      </c>
      <c r="CM28" s="695">
        <f>IF(BR28=0,0,(BS28-BR28)/BR28*100)</f>
        <v>0</v>
      </c>
      <c r="CN28" s="695">
        <f>IF(BS28=0,0,(BT28-BS28)/BS28*100)</f>
        <v>0</v>
      </c>
      <c r="CO28" s="695">
        <f>IF(BT28=0,0,(BU28-BT28)/BT28*100)</f>
        <v>0</v>
      </c>
      <c r="CP28" s="695">
        <f>IF(BU28=0,0,(BV28-BU28)/BU28*100)</f>
        <v>0</v>
      </c>
      <c r="CQ28" s="695">
        <f>IF(BV28=0,0,(BW28-BV28)/BV28*100)</f>
        <v>0</v>
      </c>
      <c r="CR28" s="83"/>
      <c r="CS28" s="83"/>
      <c r="CT28" s="83"/>
      <c r="CW28" s="489" t="s">
        <v>1945</v>
      </c>
      <c r="DD28" s="0" cm="1" t="str">
        <f t="array" ref="DD28:DD28">INDEX('Общие сведения'!$N$170:$N$202,MATCH($F28,'Общие сведения'!$Y$170:$Y$202,0)+1)</f>
        <v>0</v>
      </c>
      <c r="DM28" s="0" t="s">
        <v>219</v>
      </c>
      <c r="DO28" s="0" t="s">
        <v>303</v>
      </c>
      <c r="DP28" s="0" t="s">
        <v>1552</v>
      </c>
      <c r="DQ28" s="0" t="s">
        <v>1553</v>
      </c>
    </row>
    <row customHeight="1" ht="16.575" hidden="1">
      <c r="E29" s="180">
        <v>17</v>
      </c>
      <c r="F29" s="175" cm="1" t="str">
        <f t="array" ref="F29:F29">OFFSET(G29,-1,-1)</f>
        <v>0</v>
      </c>
      <c r="G29" s="193" t="s">
        <v>1628</v>
      </c>
      <c r="T29" s="753" cm="1" t="str">
        <f t="array" ref="T29:T29">T28</f>
        <v>false</v>
      </c>
      <c r="AB29" s="491">
        <v>2</v>
      </c>
      <c r="AC29" s="808" t="s">
        <v>1946</v>
      </c>
      <c r="AD29" s="467" t="s">
        <v>1178</v>
      </c>
      <c r="AE29" s="746">
        <f>_xlfn.SUMIFS('Неподконтрольные (5.3)'!AE$26:AE$71,'Неподконтрольные (5.3)'!$F$26:$F$71,$F29,'Неподконтрольные (5.3)'!$G$26:$G$71,$G29)</f>
        <v>0</v>
      </c>
      <c r="AF29" s="746">
        <f>_xlfn.SUMIFS('Неподконтрольные (5.3)'!AF$26:AF$71,'Неподконтрольные (5.3)'!$F$26:$F$71,$F29,'Неподконтрольные (5.3)'!$G$26:$G$71,$G29)</f>
        <v>0</v>
      </c>
      <c r="AG29" s="746">
        <f>_xlfn.SUMIFS('Неподконтрольные (5.3)'!AG$26:AG$71,'Неподконтрольные (5.3)'!$F$26:$F$71,$F29,'Неподконтрольные (5.3)'!$G$26:$G$71,$G29)</f>
        <v>0</v>
      </c>
      <c r="AH29" s="695">
        <f>AG29-AF29</f>
        <v>0</v>
      </c>
      <c r="AI29" s="746">
        <f>_xlfn.SUMIFS('Неподконтрольные (5.3)'!AI$26:AI$71,'Неподконтрольные (5.3)'!$F$26:$F$71,$F29,'Неподконтрольные (5.3)'!$G$26:$G$71,$G29)</f>
        <v>0</v>
      </c>
      <c r="AJ29" s="746">
        <f>_xlfn.SUMIFS('Неподконтрольные (5.3)'!AJ$26:AJ$71,'Неподконтрольные (5.3)'!$F$26:$F$71,$F29,'Неподконтрольные (5.3)'!$G$26:$G$71,$G29)</f>
        <v>0</v>
      </c>
      <c r="AK29" s="746">
        <f>_xlfn.SUMIFS('Неподконтрольные (5.3)'!AK$26:AK$71,'Неподконтрольные (5.3)'!$F$26:$F$71,$F29,'Неподконтрольные (5.3)'!$G$26:$G$71,$G29)</f>
        <v>0</v>
      </c>
      <c r="AL29" s="746">
        <f>_xlfn.SUMIFS('Неподконтрольные (5.3)'!AL$26:AL$71,'Неподконтрольные (5.3)'!$F$26:$F$71,$F29,'Неподконтрольные (5.3)'!$G$26:$G$71,$G29)</f>
        <v>0</v>
      </c>
      <c r="AM29" s="746">
        <f>_xlfn.SUMIFS('Неподконтрольные (5.3)'!AM$26:AM$71,'Неподконтрольные (5.3)'!$F$26:$F$71,$F29,'Неподконтрольные (5.3)'!$G$26:$G$71,$G29)</f>
        <v>0</v>
      </c>
      <c r="AN29" s="746">
        <f>_xlfn.SUMIFS('Неподконтрольные (5.3)'!AN$26:AN$71,'Неподконтрольные (5.3)'!$F$26:$F$71,$F29,'Неподконтрольные (5.3)'!$G$26:$G$71,$G29)</f>
        <v>0</v>
      </c>
      <c r="AO29" s="746">
        <f>_xlfn.SUMIFS('Неподконтрольные (5.3)'!AO$26:AO$71,'Неподконтрольные (5.3)'!$F$26:$F$71,$F29,'Неподконтрольные (5.3)'!$G$26:$G$71,$G29)</f>
        <v>0</v>
      </c>
      <c r="AP29" s="746">
        <f>_xlfn.SUMIFS('Неподконтрольные (5.3)'!AP$26:AP$71,'Неподконтрольные (5.3)'!$F$26:$F$71,$F29,'Неподконтрольные (5.3)'!$G$26:$G$71,$G29)</f>
        <v>0</v>
      </c>
      <c r="AQ29" s="746">
        <f>_xlfn.SUMIFS('Неподконтрольные (5.3)'!AQ$26:AQ$71,'Неподконтрольные (5.3)'!$F$26:$F$71,$F29,'Неподконтрольные (5.3)'!$G$26:$G$71,$G29)</f>
        <v>0</v>
      </c>
      <c r="AR29" s="746">
        <f>_xlfn.SUMIFS('Неподконтрольные (5.3)'!AR$26:AR$71,'Неподконтрольные (5.3)'!$F$26:$F$71,$F29,'Неподконтрольные (5.3)'!$G$26:$G$71,$G29)</f>
        <v>0</v>
      </c>
      <c r="AS29" s="746">
        <f>_xlfn.SUMIFS('Неподконтрольные (5.3)'!AS$26:AS$71,'Неподконтрольные (5.3)'!$F$26:$F$71,$F29,'Неподконтрольные (5.3)'!$G$26:$G$71,$G29)</f>
        <v>0</v>
      </c>
      <c r="AT29" s="746">
        <f>_xlfn.SUMIFS('Неподконтрольные (5.3)'!AT$26:AT$71,'Неподконтрольные (5.3)'!$F$26:$F$71,$F29,'Неподконтрольные (5.3)'!$G$26:$G$71,$G29)</f>
        <v>0</v>
      </c>
      <c r="AU29" s="746">
        <f>_xlfn.SUMIFS('Неподконтрольные (5.3)'!AU$26:AU$71,'Неподконтрольные (5.3)'!$F$26:$F$71,$F29,'Неподконтрольные (5.3)'!$G$26:$G$71,$G29)</f>
        <v>0</v>
      </c>
      <c r="AV29" s="746">
        <f>_xlfn.SUMIFS('Неподконтрольные (5.3)'!AV$26:AV$71,'Неподконтрольные (5.3)'!$F$26:$F$71,$F29,'Неподконтрольные (5.3)'!$G$26:$G$71,$G29)</f>
        <v>0</v>
      </c>
      <c r="AW29" s="746">
        <f>_xlfn.SUMIFS('Неподконтрольные (5.3)'!AW$26:AW$71,'Неподконтрольные (5.3)'!$F$26:$F$71,$F29,'Неподконтрольные (5.3)'!$G$26:$G$71,$G29)</f>
        <v>0</v>
      </c>
      <c r="AX29" s="746">
        <f>_xlfn.SUMIFS('Неподконтрольные (5.3)'!AX$26:AX$71,'Неподконтрольные (5.3)'!$F$26:$F$71,$F29,'Неподконтрольные (5.3)'!$G$26:$G$71,$G29)</f>
        <v>0</v>
      </c>
      <c r="AY29" s="746">
        <f>_xlfn.SUMIFS('Неподконтрольные (5.3)'!AY$26:AY$71,'Неподконтрольные (5.3)'!$F$26:$F$71,$F29,'Неподконтрольные (5.3)'!$G$26:$G$71,$G29)</f>
        <v>0</v>
      </c>
      <c r="AZ29" s="746">
        <f>_xlfn.SUMIFS('Неподконтрольные (5.3)'!AZ$26:AZ$71,'Неподконтрольные (5.3)'!$F$26:$F$71,$F29,'Неподконтрольные (5.3)'!$G$26:$G$71,$G29)</f>
        <v>0</v>
      </c>
      <c r="BA29" s="746">
        <f>_xlfn.SUMIFS('Неподконтрольные (5.3)'!BA$26:BA$71,'Неподконтрольные (5.3)'!$F$26:$F$71,$F29,'Неподконтрольные (5.3)'!$G$26:$G$71,$G29)</f>
        <v>0</v>
      </c>
      <c r="BB29" s="746">
        <f>_xlfn.SUMIFS('Неподконтрольные (5.3)'!BB$26:BB$71,'Неподконтрольные (5.3)'!$F$26:$F$71,$F29,'Неподконтрольные (5.3)'!$G$26:$G$71,$G29)</f>
        <v>0</v>
      </c>
      <c r="BC29" s="746">
        <f>_xlfn.SUMIFS('Неподконтрольные (5.3)'!BC$26:BC$71,'Неподконтрольные (5.3)'!$F$26:$F$71,$F29,'Неподконтрольные (5.3)'!$G$26:$G$71,$G29)</f>
        <v>0</v>
      </c>
      <c r="BD29" s="746">
        <f>_xlfn.SUMIFS('Неподконтрольные (5.3)'!BD$26:BD$71,'Неподконтрольные (5.3)'!$F$26:$F$71,$F29,'Неподконтрольные (5.3)'!$G$26:$G$71,$G29)</f>
        <v>0</v>
      </c>
      <c r="BE29" s="746">
        <f>_xlfn.SUMIFS('Неподконтрольные (5.3)'!BE$26:BE$71,'Неподконтрольные (5.3)'!$F$26:$F$71,$F29,'Неподконтрольные (5.3)'!$G$26:$G$71,$G29)</f>
        <v>0</v>
      </c>
      <c r="BF29" s="746">
        <f>_xlfn.SUMIFS('Неподконтрольные (5.3)'!BF$26:BF$71,'Неподконтрольные (5.3)'!$F$26:$F$71,$F29,'Неподконтрольные (5.3)'!$G$26:$G$71,$G29)</f>
        <v>0</v>
      </c>
      <c r="BG29" s="746">
        <f>_xlfn.SUMIFS('Неподконтрольные (5.3)'!BG$26:BG$71,'Неподконтрольные (5.3)'!$F$26:$F$71,$F29,'Неподконтрольные (5.3)'!$G$26:$G$71,$G29)</f>
        <v>0</v>
      </c>
      <c r="BH29" s="746">
        <f>_xlfn.SUMIFS('Неподконтрольные (5.3)'!BH$26:BH$71,'Неподконтрольные (5.3)'!$F$26:$F$71,$F29,'Неподконтрольные (5.3)'!$G$26:$G$71,$G29)</f>
        <v>0</v>
      </c>
      <c r="BI29" s="746">
        <f>_xlfn.SUMIFS('Неподконтрольные (5.3)'!BI$26:BI$71,'Неподконтрольные (5.3)'!$F$26:$F$71,$F29,'Неподконтрольные (5.3)'!$G$26:$G$71,$G29)</f>
        <v>0</v>
      </c>
      <c r="BJ29" s="746">
        <f>_xlfn.SUMIFS('Неподконтрольные (5.3)'!BJ$26:BJ$71,'Неподконтрольные (5.3)'!$F$26:$F$71,$F29,'Неподконтрольные (5.3)'!$G$26:$G$71,$G29)</f>
        <v>0</v>
      </c>
      <c r="BK29" s="746">
        <f>_xlfn.SUMIFS('Неподконтрольные (5.3)'!BK$26:BK$71,'Неподконтрольные (5.3)'!$F$26:$F$71,$F29,'Неподконтрольные (5.3)'!$G$26:$G$71,$G29)</f>
        <v>0</v>
      </c>
      <c r="BL29" s="746">
        <f>_xlfn.SUMIFS('Неподконтрольные (5.3)'!BL$26:BL$71,'Неподконтрольные (5.3)'!$F$26:$F$71,$F29,'Неподконтрольные (5.3)'!$G$26:$G$71,$G29)</f>
        <v>0</v>
      </c>
      <c r="BM29" s="746">
        <f>_xlfn.SUMIFS('Неподконтрольные (5.3)'!BM$26:BM$71,'Неподконтрольные (5.3)'!$F$26:$F$71,$F29,'Неподконтрольные (5.3)'!$G$26:$G$71,$G29)</f>
        <v>0</v>
      </c>
      <c r="BN29" s="746">
        <f>_xlfn.SUMIFS('Неподконтрольные (5.3)'!BN$26:BN$71,'Неподконтрольные (5.3)'!$F$26:$F$71,$F29,'Неподконтрольные (5.3)'!$G$26:$G$71,$G29)</f>
        <v>0</v>
      </c>
      <c r="BO29" s="746">
        <f>_xlfn.SUMIFS('Неподконтрольные (5.3)'!BO$26:BO$71,'Неподконтрольные (5.3)'!$F$26:$F$71,$F29,'Неподконтрольные (5.3)'!$G$26:$G$71,$G29)</f>
        <v>0</v>
      </c>
      <c r="BP29" s="746">
        <f>_xlfn.SUMIFS('Неподконтрольные (5.3)'!BP$26:BP$71,'Неподконтрольные (5.3)'!$F$26:$F$71,$F29,'Неподконтрольные (5.3)'!$G$26:$G$71,$G29)</f>
        <v>0</v>
      </c>
      <c r="BQ29" s="746">
        <f>_xlfn.SUMIFS('Неподконтрольные (5.3)'!BQ$26:BQ$71,'Неподконтрольные (5.3)'!$F$26:$F$71,$F29,'Неподконтрольные (5.3)'!$G$26:$G$71,$G29)</f>
        <v>0</v>
      </c>
      <c r="BR29" s="746">
        <f>_xlfn.SUMIFS('Неподконтрольные (5.3)'!BR$26:BR$71,'Неподконтрольные (5.3)'!$F$26:$F$71,$F29,'Неподконтрольные (5.3)'!$G$26:$G$71,$G29)</f>
        <v>0</v>
      </c>
      <c r="BS29" s="746">
        <f>_xlfn.SUMIFS('Неподконтрольные (5.3)'!BS$26:BS$71,'Неподконтрольные (5.3)'!$F$26:$F$71,$F29,'Неподконтрольные (5.3)'!$G$26:$G$71,$G29)</f>
        <v>0</v>
      </c>
      <c r="BT29" s="746">
        <f>_xlfn.SUMIFS('Неподконтрольные (5.3)'!BT$26:BT$71,'Неподконтрольные (5.3)'!$F$26:$F$71,$F29,'Неподконтрольные (5.3)'!$G$26:$G$71,$G29)</f>
        <v>0</v>
      </c>
      <c r="BU29" s="746">
        <f>_xlfn.SUMIFS('Неподконтрольные (5.3)'!BU$26:BU$71,'Неподконтрольные (5.3)'!$F$26:$F$71,$F29,'Неподконтрольные (5.3)'!$G$26:$G$71,$G29)</f>
        <v>0</v>
      </c>
      <c r="BV29" s="746">
        <f>_xlfn.SUMIFS('Неподконтрольные (5.3)'!BV$26:BV$71,'Неподконтрольные (5.3)'!$F$26:$F$71,$F29,'Неподконтрольные (5.3)'!$G$26:$G$71,$G29)</f>
        <v>0</v>
      </c>
      <c r="BW29" s="746">
        <f>_xlfn.SUMIFS('Неподконтрольные (5.3)'!BW$26:BW$71,'Неподконтрольные (5.3)'!$F$26:$F$71,$F29,'Неподконтрольные (5.3)'!$G$26:$G$71,$G29)</f>
        <v>0</v>
      </c>
      <c r="BX29" s="695">
        <f>IF(AI29=0,0,(BD29-AI29)/AI29*100)</f>
        <v>0</v>
      </c>
      <c r="BY29" s="695">
        <f>IF(BD29=0,0,(BE29-BD29)/BD29*100)</f>
        <v>0</v>
      </c>
      <c r="BZ29" s="695">
        <f>IF(BE29=0,0,(BF29-BE29)/BE29*100)</f>
        <v>0</v>
      </c>
      <c r="CA29" s="695">
        <f>IF(BF29=0,0,(BG29-BF29)/BF29*100)</f>
        <v>0</v>
      </c>
      <c r="CB29" s="695">
        <f>IF(BG29=0,0,(BH29-BG29)/BG29*100)</f>
        <v>0</v>
      </c>
      <c r="CC29" s="695">
        <f>IF(BH29=0,0,(BI29-BH29)/BH29*100)</f>
        <v>0</v>
      </c>
      <c r="CD29" s="695">
        <f>IF(BI29=0,0,(BJ29-BI29)/BI29*100)</f>
        <v>0</v>
      </c>
      <c r="CE29" s="695">
        <f>IF(BJ29=0,0,(BK29-BJ29)/BJ29*100)</f>
        <v>0</v>
      </c>
      <c r="CF29" s="695">
        <f>IF(BK29=0,0,(BL29-BK29)/BK29*100)</f>
        <v>0</v>
      </c>
      <c r="CG29" s="695">
        <f>IF(BL29=0,0,(BM29-BL29)/BL29*100)</f>
        <v>0</v>
      </c>
      <c r="CH29" s="695">
        <f>IF(BM29=0,0,(BN29-BM29)/BM29*100)</f>
        <v>0</v>
      </c>
      <c r="CI29" s="695">
        <f>IF(BN29=0,0,(BO29-BN29)/BN29*100)</f>
        <v>0</v>
      </c>
      <c r="CJ29" s="695">
        <f>IF(BO29=0,0,(BP29-BO29)/BO29*100)</f>
        <v>0</v>
      </c>
      <c r="CK29" s="695">
        <f>IF(BP29=0,0,(BQ29-BP29)/BP29*100)</f>
        <v>0</v>
      </c>
      <c r="CL29" s="695">
        <f>IF(BQ29=0,0,(BR29-BQ29)/BQ29*100)</f>
        <v>0</v>
      </c>
      <c r="CM29" s="695">
        <f>IF(BR29=0,0,(BS29-BR29)/BR29*100)</f>
        <v>0</v>
      </c>
      <c r="CN29" s="695">
        <f>IF(BS29=0,0,(BT29-BS29)/BS29*100)</f>
        <v>0</v>
      </c>
      <c r="CO29" s="695">
        <f>IF(BT29=0,0,(BU29-BT29)/BT29*100)</f>
        <v>0</v>
      </c>
      <c r="CP29" s="695">
        <f>IF(BU29=0,0,(BV29-BU29)/BU29*100)</f>
        <v>0</v>
      </c>
      <c r="CQ29" s="695">
        <f>IF(BV29=0,0,(BW29-BV29)/BV29*100)</f>
        <v>0</v>
      </c>
      <c r="CR29" s="83"/>
      <c r="CS29" s="83"/>
      <c r="CT29" s="83"/>
      <c r="CW29" s="489" t="s">
        <v>1947</v>
      </c>
      <c r="DD29" s="0" cm="1" t="str">
        <f t="array" ref="DD29:DD29">DD28</f>
        <v>0</v>
      </c>
      <c r="DM29" s="0" t="s">
        <v>255</v>
      </c>
      <c r="DO29" s="0" t="s">
        <v>303</v>
      </c>
      <c r="DP29" s="0" t="s">
        <v>1631</v>
      </c>
      <c r="DQ29" s="0" t="s">
        <v>1632</v>
      </c>
    </row>
    <row customHeight="1" ht="25.350000000000005" hidden="1">
      <c r="E30" s="180">
        <v>26</v>
      </c>
      <c r="F30" s="175" cm="1" t="str">
        <f t="array" ref="F30:F30">OFFSET(G30,-1,-1)</f>
        <v>0</v>
      </c>
      <c r="G30" s="193" t="s">
        <v>1697</v>
      </c>
      <c r="T30" s="753" cm="1" t="str">
        <f t="array" ref="T30:T30">T29</f>
        <v>false</v>
      </c>
      <c r="AB30" s="491">
        <v>3</v>
      </c>
      <c r="AC30" s="808" t="s">
        <v>1948</v>
      </c>
      <c r="AD30" s="467" t="s">
        <v>1178</v>
      </c>
      <c r="AE30" s="746">
        <f>_xlfn.SUMIFS('Ресурсы (5.4)'!AE$26:AE$47,'Ресурсы (5.4)'!$F$26:$F$47,$F30,'Ресурсы (5.4)'!$G$26:$G$47,$G30)</f>
        <v>0</v>
      </c>
      <c r="AF30" s="746">
        <f>_xlfn.SUMIFS('Ресурсы (5.4)'!AF$26:AF$47,'Ресурсы (5.4)'!$F$26:$F$47,$F30,'Ресурсы (5.4)'!$G$26:$G$47,$G30)</f>
        <v>0</v>
      </c>
      <c r="AG30" s="746">
        <f>_xlfn.SUMIFS('Ресурсы (5.4)'!AG$26:AG$47,'Ресурсы (5.4)'!$F$26:$F$47,$F30,'Ресурсы (5.4)'!$G$26:$G$47,$G30)</f>
        <v>0</v>
      </c>
      <c r="AH30" s="695">
        <f>AG30-AF30</f>
        <v>0</v>
      </c>
      <c r="AI30" s="746">
        <f>_xlfn.SUMIFS('Ресурсы (5.4)'!AI$26:AI$47,'Ресурсы (5.4)'!$F$26:$F$47,$F30,'Ресурсы (5.4)'!$G$26:$G$47,$G30)</f>
        <v>0</v>
      </c>
      <c r="AJ30" s="746">
        <f>_xlfn.SUMIFS('Ресурсы (5.4)'!AJ$26:AJ$47,'Ресурсы (5.4)'!$F$26:$F$47,$F30,'Ресурсы (5.4)'!$G$26:$G$47,$G30)</f>
        <v>0</v>
      </c>
      <c r="AK30" s="746">
        <f>_xlfn.SUMIFS('Ресурсы (5.4)'!AK$26:AK$47,'Ресурсы (5.4)'!$F$26:$F$47,$F30,'Ресурсы (5.4)'!$G$26:$G$47,$G30)</f>
        <v>0</v>
      </c>
      <c r="AL30" s="746">
        <f>_xlfn.SUMIFS('Ресурсы (5.4)'!AL$26:AL$47,'Ресурсы (5.4)'!$F$26:$F$47,$F30,'Ресурсы (5.4)'!$G$26:$G$47,$G30)</f>
        <v>0</v>
      </c>
      <c r="AM30" s="746">
        <f>_xlfn.SUMIFS('Ресурсы (5.4)'!AM$26:AM$47,'Ресурсы (5.4)'!$F$26:$F$47,$F30,'Ресурсы (5.4)'!$G$26:$G$47,$G30)</f>
        <v>0</v>
      </c>
      <c r="AN30" s="746">
        <f>_xlfn.SUMIFS('Ресурсы (5.4)'!AN$26:AN$47,'Ресурсы (5.4)'!$F$26:$F$47,$F30,'Ресурсы (5.4)'!$G$26:$G$47,$G30)</f>
        <v>0</v>
      </c>
      <c r="AO30" s="746">
        <f>_xlfn.SUMIFS('Ресурсы (5.4)'!AO$26:AO$47,'Ресурсы (5.4)'!$F$26:$F$47,$F30,'Ресурсы (5.4)'!$G$26:$G$47,$G30)</f>
        <v>0</v>
      </c>
      <c r="AP30" s="746">
        <f>_xlfn.SUMIFS('Ресурсы (5.4)'!AP$26:AP$47,'Ресурсы (5.4)'!$F$26:$F$47,$F30,'Ресурсы (5.4)'!$G$26:$G$47,$G30)</f>
        <v>0</v>
      </c>
      <c r="AQ30" s="746">
        <f>_xlfn.SUMIFS('Ресурсы (5.4)'!AQ$26:AQ$47,'Ресурсы (5.4)'!$F$26:$F$47,$F30,'Ресурсы (5.4)'!$G$26:$G$47,$G30)</f>
        <v>0</v>
      </c>
      <c r="AR30" s="746">
        <f>_xlfn.SUMIFS('Ресурсы (5.4)'!AR$26:AR$47,'Ресурсы (5.4)'!$F$26:$F$47,$F30,'Ресурсы (5.4)'!$G$26:$G$47,$G30)</f>
        <v>0</v>
      </c>
      <c r="AS30" s="746">
        <f>_xlfn.SUMIFS('Ресурсы (5.4)'!AS$26:AS$47,'Ресурсы (5.4)'!$F$26:$F$47,$F30,'Ресурсы (5.4)'!$G$26:$G$47,$G30)</f>
        <v>0</v>
      </c>
      <c r="AT30" s="746">
        <f>_xlfn.SUMIFS('Ресурсы (5.4)'!AT$26:AT$47,'Ресурсы (5.4)'!$F$26:$F$47,$F30,'Ресурсы (5.4)'!$G$26:$G$47,$G30)</f>
        <v>0</v>
      </c>
      <c r="AU30" s="746">
        <f>_xlfn.SUMIFS('Ресурсы (5.4)'!AU$26:AU$47,'Ресурсы (5.4)'!$F$26:$F$47,$F30,'Ресурсы (5.4)'!$G$26:$G$47,$G30)</f>
        <v>0</v>
      </c>
      <c r="AV30" s="746">
        <f>_xlfn.SUMIFS('Ресурсы (5.4)'!AV$26:AV$47,'Ресурсы (5.4)'!$F$26:$F$47,$F30,'Ресурсы (5.4)'!$G$26:$G$47,$G30)</f>
        <v>0</v>
      </c>
      <c r="AW30" s="746">
        <f>_xlfn.SUMIFS('Ресурсы (5.4)'!AW$26:AW$47,'Ресурсы (5.4)'!$F$26:$F$47,$F30,'Ресурсы (5.4)'!$G$26:$G$47,$G30)</f>
        <v>0</v>
      </c>
      <c r="AX30" s="746">
        <f>_xlfn.SUMIFS('Ресурсы (5.4)'!AX$26:AX$47,'Ресурсы (5.4)'!$F$26:$F$47,$F30,'Ресурсы (5.4)'!$G$26:$G$47,$G30)</f>
        <v>0</v>
      </c>
      <c r="AY30" s="746">
        <f>_xlfn.SUMIFS('Ресурсы (5.4)'!AY$26:AY$47,'Ресурсы (5.4)'!$F$26:$F$47,$F30,'Ресурсы (5.4)'!$G$26:$G$47,$G30)</f>
        <v>0</v>
      </c>
      <c r="AZ30" s="746">
        <f>_xlfn.SUMIFS('Ресурсы (5.4)'!AZ$26:AZ$47,'Ресурсы (5.4)'!$F$26:$F$47,$F30,'Ресурсы (5.4)'!$G$26:$G$47,$G30)</f>
        <v>0</v>
      </c>
      <c r="BA30" s="746">
        <f>_xlfn.SUMIFS('Ресурсы (5.4)'!BA$26:BA$47,'Ресурсы (5.4)'!$F$26:$F$47,$F30,'Ресурсы (5.4)'!$G$26:$G$47,$G30)</f>
        <v>0</v>
      </c>
      <c r="BB30" s="746">
        <f>_xlfn.SUMIFS('Ресурсы (5.4)'!BB$26:BB$47,'Ресурсы (5.4)'!$F$26:$F$47,$F30,'Ресурсы (5.4)'!$G$26:$G$47,$G30)</f>
        <v>0</v>
      </c>
      <c r="BC30" s="746">
        <f>_xlfn.SUMIFS('Ресурсы (5.4)'!BC$26:BC$47,'Ресурсы (5.4)'!$F$26:$F$47,$F30,'Ресурсы (5.4)'!$G$26:$G$47,$G30)</f>
        <v>0</v>
      </c>
      <c r="BD30" s="746">
        <f>_xlfn.SUMIFS('Ресурсы (5.4)'!BD$26:BD$47,'Ресурсы (5.4)'!$F$26:$F$47,$F30,'Ресурсы (5.4)'!$G$26:$G$47,$G30)</f>
        <v>0</v>
      </c>
      <c r="BE30" s="746">
        <f>_xlfn.SUMIFS('Ресурсы (5.4)'!BE$26:BE$47,'Ресурсы (5.4)'!$F$26:$F$47,$F30,'Ресурсы (5.4)'!$G$26:$G$47,$G30)</f>
        <v>0</v>
      </c>
      <c r="BF30" s="746">
        <f>_xlfn.SUMIFS('Ресурсы (5.4)'!BF$26:BF$47,'Ресурсы (5.4)'!$F$26:$F$47,$F30,'Ресурсы (5.4)'!$G$26:$G$47,$G30)</f>
        <v>0</v>
      </c>
      <c r="BG30" s="746">
        <f>_xlfn.SUMIFS('Ресурсы (5.4)'!BG$26:BG$47,'Ресурсы (5.4)'!$F$26:$F$47,$F30,'Ресурсы (5.4)'!$G$26:$G$47,$G30)</f>
        <v>0</v>
      </c>
      <c r="BH30" s="746">
        <f>_xlfn.SUMIFS('Ресурсы (5.4)'!BH$26:BH$47,'Ресурсы (5.4)'!$F$26:$F$47,$F30,'Ресурсы (5.4)'!$G$26:$G$47,$G30)</f>
        <v>0</v>
      </c>
      <c r="BI30" s="746">
        <f>_xlfn.SUMIFS('Ресурсы (5.4)'!BI$26:BI$47,'Ресурсы (5.4)'!$F$26:$F$47,$F30,'Ресурсы (5.4)'!$G$26:$G$47,$G30)</f>
        <v>0</v>
      </c>
      <c r="BJ30" s="746">
        <f>_xlfn.SUMIFS('Ресурсы (5.4)'!BJ$26:BJ$47,'Ресурсы (5.4)'!$F$26:$F$47,$F30,'Ресурсы (5.4)'!$G$26:$G$47,$G30)</f>
        <v>0</v>
      </c>
      <c r="BK30" s="746">
        <f>_xlfn.SUMIFS('Ресурсы (5.4)'!BK$26:BK$47,'Ресурсы (5.4)'!$F$26:$F$47,$F30,'Ресурсы (5.4)'!$G$26:$G$47,$G30)</f>
        <v>0</v>
      </c>
      <c r="BL30" s="746">
        <f>_xlfn.SUMIFS('Ресурсы (5.4)'!BL$26:BL$47,'Ресурсы (5.4)'!$F$26:$F$47,$F30,'Ресурсы (5.4)'!$G$26:$G$47,$G30)</f>
        <v>0</v>
      </c>
      <c r="BM30" s="746">
        <f>_xlfn.SUMIFS('Ресурсы (5.4)'!BM$26:BM$47,'Ресурсы (5.4)'!$F$26:$F$47,$F30,'Ресурсы (5.4)'!$G$26:$G$47,$G30)</f>
        <v>0</v>
      </c>
      <c r="BN30" s="746">
        <f>_xlfn.SUMIFS('Ресурсы (5.4)'!BN$26:BN$47,'Ресурсы (5.4)'!$F$26:$F$47,$F30,'Ресурсы (5.4)'!$G$26:$G$47,$G30)</f>
        <v>0</v>
      </c>
      <c r="BO30" s="746">
        <f>_xlfn.SUMIFS('Ресурсы (5.4)'!BO$26:BO$47,'Ресурсы (5.4)'!$F$26:$F$47,$F30,'Ресурсы (5.4)'!$G$26:$G$47,$G30)</f>
        <v>0</v>
      </c>
      <c r="BP30" s="746">
        <f>_xlfn.SUMIFS('Ресурсы (5.4)'!BP$26:BP$47,'Ресурсы (5.4)'!$F$26:$F$47,$F30,'Ресурсы (5.4)'!$G$26:$G$47,$G30)</f>
        <v>0</v>
      </c>
      <c r="BQ30" s="746">
        <f>_xlfn.SUMIFS('Ресурсы (5.4)'!BQ$26:BQ$47,'Ресурсы (5.4)'!$F$26:$F$47,$F30,'Ресурсы (5.4)'!$G$26:$G$47,$G30)</f>
        <v>0</v>
      </c>
      <c r="BR30" s="746">
        <f>_xlfn.SUMIFS('Ресурсы (5.4)'!BR$26:BR$47,'Ресурсы (5.4)'!$F$26:$F$47,$F30,'Ресурсы (5.4)'!$G$26:$G$47,$G30)</f>
        <v>0</v>
      </c>
      <c r="BS30" s="746">
        <f>_xlfn.SUMIFS('Ресурсы (5.4)'!BS$26:BS$47,'Ресурсы (5.4)'!$F$26:$F$47,$F30,'Ресурсы (5.4)'!$G$26:$G$47,$G30)</f>
        <v>0</v>
      </c>
      <c r="BT30" s="746">
        <f>_xlfn.SUMIFS('Ресурсы (5.4)'!BT$26:BT$47,'Ресурсы (5.4)'!$F$26:$F$47,$F30,'Ресурсы (5.4)'!$G$26:$G$47,$G30)</f>
        <v>0</v>
      </c>
      <c r="BU30" s="746">
        <f>_xlfn.SUMIFS('Ресурсы (5.4)'!BU$26:BU$47,'Ресурсы (5.4)'!$F$26:$F$47,$F30,'Ресурсы (5.4)'!$G$26:$G$47,$G30)</f>
        <v>0</v>
      </c>
      <c r="BV30" s="746">
        <f>_xlfn.SUMIFS('Ресурсы (5.4)'!BV$26:BV$47,'Ресурсы (5.4)'!$F$26:$F$47,$F30,'Ресурсы (5.4)'!$G$26:$G$47,$G30)</f>
        <v>0</v>
      </c>
      <c r="BW30" s="746">
        <f>_xlfn.SUMIFS('Ресурсы (5.4)'!BW$26:BW$47,'Ресурсы (5.4)'!$F$26:$F$47,$F30,'Ресурсы (5.4)'!$G$26:$G$47,$G30)</f>
        <v>0</v>
      </c>
      <c r="BX30" s="695">
        <f>IF(AI30=0,0,(BD30-AI30)/AI30*100)</f>
        <v>0</v>
      </c>
      <c r="BY30" s="695">
        <f>IF(BD30=0,0,(BE30-BD30)/BD30*100)</f>
        <v>0</v>
      </c>
      <c r="BZ30" s="695">
        <f>IF(BE30=0,0,(BF30-BE30)/BE30*100)</f>
        <v>0</v>
      </c>
      <c r="CA30" s="695">
        <f>IF(BF30=0,0,(BG30-BF30)/BF30*100)</f>
        <v>0</v>
      </c>
      <c r="CB30" s="695">
        <f>IF(BG30=0,0,(BH30-BG30)/BG30*100)</f>
        <v>0</v>
      </c>
      <c r="CC30" s="695">
        <f>IF(BH30=0,0,(BI30-BH30)/BH30*100)</f>
        <v>0</v>
      </c>
      <c r="CD30" s="695">
        <f>IF(BI30=0,0,(BJ30-BI30)/BI30*100)</f>
        <v>0</v>
      </c>
      <c r="CE30" s="695">
        <f>IF(BJ30=0,0,(BK30-BJ30)/BJ30*100)</f>
        <v>0</v>
      </c>
      <c r="CF30" s="695">
        <f>IF(BK30=0,0,(BL30-BK30)/BK30*100)</f>
        <v>0</v>
      </c>
      <c r="CG30" s="695">
        <f>IF(BL30=0,0,(BM30-BL30)/BL30*100)</f>
        <v>0</v>
      </c>
      <c r="CH30" s="695">
        <f>IF(BM30=0,0,(BN30-BM30)/BM30*100)</f>
        <v>0</v>
      </c>
      <c r="CI30" s="695">
        <f>IF(BN30=0,0,(BO30-BN30)/BN30*100)</f>
        <v>0</v>
      </c>
      <c r="CJ30" s="695">
        <f>IF(BO30=0,0,(BP30-BO30)/BO30*100)</f>
        <v>0</v>
      </c>
      <c r="CK30" s="695">
        <f>IF(BP30=0,0,(BQ30-BP30)/BP30*100)</f>
        <v>0</v>
      </c>
      <c r="CL30" s="695">
        <f>IF(BQ30=0,0,(BR30-BQ30)/BQ30*100)</f>
        <v>0</v>
      </c>
      <c r="CM30" s="695">
        <f>IF(BR30=0,0,(BS30-BR30)/BR30*100)</f>
        <v>0</v>
      </c>
      <c r="CN30" s="695">
        <f>IF(BS30=0,0,(BT30-BS30)/BS30*100)</f>
        <v>0</v>
      </c>
      <c r="CO30" s="695">
        <f>IF(BT30=0,0,(BU30-BT30)/BT30*100)</f>
        <v>0</v>
      </c>
      <c r="CP30" s="695">
        <f>IF(BU30=0,0,(BV30-BU30)/BU30*100)</f>
        <v>0</v>
      </c>
      <c r="CQ30" s="695">
        <f>IF(BV30=0,0,(BW30-BV30)/BV30*100)</f>
        <v>0</v>
      </c>
      <c r="CR30" s="83"/>
      <c r="CS30" s="83"/>
      <c r="CT30" s="83"/>
      <c r="CW30" s="489" t="s">
        <v>1949</v>
      </c>
      <c r="DD30" s="0" cm="1" t="str">
        <f t="array" ref="DD30:DD30">DD29</f>
        <v>0</v>
      </c>
      <c r="DM30" s="0" t="s">
        <v>449</v>
      </c>
      <c r="DO30" s="0" t="s">
        <v>303</v>
      </c>
      <c r="DP30" s="0" t="s">
        <v>1732</v>
      </c>
      <c r="DQ30" s="0" t="s">
        <v>1733</v>
      </c>
    </row>
    <row customHeight="1" ht="16.575" hidden="1">
      <c r="E31" s="180">
        <v>17</v>
      </c>
      <c r="F31" s="175" cm="1" t="str">
        <f t="array" ref="F31:F31">OFFSET(G31,-1,-1)</f>
        <v>0</v>
      </c>
      <c r="T31" s="753">
        <f>AND(F31&gt;0,method_reg="Метод обеспечения доходности инвестированного капитала")</f>
        <v>0</v>
      </c>
      <c r="AB31" s="794">
        <v>4</v>
      </c>
      <c r="AC31" s="413" t="s">
        <v>1950</v>
      </c>
      <c r="AD31" s="666" t="s">
        <v>917</v>
      </c>
      <c r="AE31" s="132"/>
      <c r="AF31" s="132"/>
      <c r="AG31" s="132"/>
      <c r="AH31" s="695">
        <f>AG31-AF31</f>
        <v>0</v>
      </c>
      <c r="AI31" s="132"/>
      <c r="AJ31" s="749"/>
      <c r="AK31" s="132"/>
      <c r="AL31" s="132"/>
      <c r="AM31" s="132"/>
      <c r="AN31" s="132"/>
      <c r="AO31" s="132"/>
      <c r="AP31" s="132"/>
      <c r="AQ31" s="132"/>
      <c r="AR31" s="132"/>
      <c r="AS31" s="132"/>
      <c r="AT31" s="132"/>
      <c r="AU31" s="132"/>
      <c r="AV31" s="132"/>
      <c r="AW31" s="132"/>
      <c r="AX31" s="132"/>
      <c r="AY31" s="132"/>
      <c r="AZ31" s="132"/>
      <c r="BA31" s="132"/>
      <c r="BB31" s="132"/>
      <c r="BC31" s="132"/>
      <c r="BD31" s="749"/>
      <c r="BE31" s="132"/>
      <c r="BF31" s="132"/>
      <c r="BG31" s="132"/>
      <c r="BH31" s="132"/>
      <c r="BI31" s="132"/>
      <c r="BJ31" s="132"/>
      <c r="BK31" s="132"/>
      <c r="BL31" s="132"/>
      <c r="BM31" s="132"/>
      <c r="BN31" s="132"/>
      <c r="BO31" s="132"/>
      <c r="BP31" s="132"/>
      <c r="BQ31" s="132"/>
      <c r="BR31" s="132"/>
      <c r="BS31" s="132"/>
      <c r="BT31" s="132"/>
      <c r="BU31" s="132"/>
      <c r="BV31" s="132"/>
      <c r="BW31" s="132"/>
      <c r="BX31" s="695">
        <f>IF(AI31=0,0,(BD31-AI31)/AI31*100)</f>
        <v>0</v>
      </c>
      <c r="BY31" s="695">
        <f>IF(BD31=0,0,(BE31-BD31)/BD31*100)</f>
        <v>0</v>
      </c>
      <c r="BZ31" s="695">
        <f>IF(BE31=0,0,(BF31-BE31)/BE31*100)</f>
        <v>0</v>
      </c>
      <c r="CA31" s="695">
        <f>IF(BF31=0,0,(BG31-BF31)/BF31*100)</f>
        <v>0</v>
      </c>
      <c r="CB31" s="695">
        <f>IF(BG31=0,0,(BH31-BG31)/BG31*100)</f>
        <v>0</v>
      </c>
      <c r="CC31" s="695">
        <f>IF(BH31=0,0,(BI31-BH31)/BH31*100)</f>
        <v>0</v>
      </c>
      <c r="CD31" s="695">
        <f>IF(BI31=0,0,(BJ31-BI31)/BI31*100)</f>
        <v>0</v>
      </c>
      <c r="CE31" s="695">
        <f>IF(BJ31=0,0,(BK31-BJ31)/BJ31*100)</f>
        <v>0</v>
      </c>
      <c r="CF31" s="695">
        <f>IF(BK31=0,0,(BL31-BK31)/BK31*100)</f>
        <v>0</v>
      </c>
      <c r="CG31" s="695">
        <f>IF(BL31=0,0,(BM31-BL31)/BL31*100)</f>
        <v>0</v>
      </c>
      <c r="CH31" s="695">
        <f>IF(BM31=0,0,(BN31-BM31)/BM31*100)</f>
        <v>0</v>
      </c>
      <c r="CI31" s="695">
        <f>IF(BN31=0,0,(BO31-BN31)/BN31*100)</f>
        <v>0</v>
      </c>
      <c r="CJ31" s="695">
        <f>IF(BO31=0,0,(BP31-BO31)/BO31*100)</f>
        <v>0</v>
      </c>
      <c r="CK31" s="695">
        <f>IF(BP31=0,0,(BQ31-BP31)/BP31*100)</f>
        <v>0</v>
      </c>
      <c r="CL31" s="695">
        <f>IF(BQ31=0,0,(BR31-BQ31)/BQ31*100)</f>
        <v>0</v>
      </c>
      <c r="CM31" s="695">
        <f>IF(BR31=0,0,(BS31-BR31)/BR31*100)</f>
        <v>0</v>
      </c>
      <c r="CN31" s="695">
        <f>IF(BS31=0,0,(BT31-BS31)/BS31*100)</f>
        <v>0</v>
      </c>
      <c r="CO31" s="695">
        <f>IF(BT31=0,0,(BU31-BT31)/BT31*100)</f>
        <v>0</v>
      </c>
      <c r="CP31" s="695">
        <f>IF(BU31=0,0,(BV31-BU31)/BU31*100)</f>
        <v>0</v>
      </c>
      <c r="CQ31" s="695">
        <f>IF(BV31=0,0,(BW31-BV31)/BV31*100)</f>
        <v>0</v>
      </c>
      <c r="CR31" s="83"/>
      <c r="CS31" s="83"/>
      <c r="CT31" s="83"/>
      <c r="CW31" s="489" t="s">
        <v>1951</v>
      </c>
      <c r="DD31" s="0" cm="1" t="str">
        <f t="array" ref="DD31:DD31">DD30</f>
        <v>0</v>
      </c>
      <c r="DM31" s="0" t="s">
        <v>883</v>
      </c>
      <c r="DO31" s="0" t="s">
        <v>303</v>
      </c>
      <c r="DP31" s="0" t="s">
        <v>1952</v>
      </c>
      <c r="DQ31" s="0" t="s">
        <v>1953</v>
      </c>
    </row>
    <row customHeight="1" ht="16.575" hidden="1">
      <c r="E32" s="180">
        <v>17</v>
      </c>
      <c r="F32" s="175" cm="1" t="str">
        <f t="array" ref="F32:F32">OFFSET(G32,-1,-1)</f>
        <v>0</v>
      </c>
      <c r="T32" s="753">
        <f>AND(F32&gt;0,method_reg="Метод обеспечения доходности инвестированного капитала")</f>
        <v>0</v>
      </c>
      <c r="AB32" s="794">
        <v>4.1</v>
      </c>
      <c r="AC32" s="842" t="s">
        <v>1954</v>
      </c>
      <c r="AD32" s="666" t="s">
        <v>917</v>
      </c>
      <c r="AE32" s="132"/>
      <c r="AF32" s="132"/>
      <c r="AG32" s="132"/>
      <c r="AH32" s="695">
        <f>AG32-AF32</f>
        <v>0</v>
      </c>
      <c r="AI32" s="132"/>
      <c r="AJ32" s="749"/>
      <c r="AK32" s="132"/>
      <c r="AL32" s="132"/>
      <c r="AM32" s="132"/>
      <c r="AN32" s="132"/>
      <c r="AO32" s="132"/>
      <c r="AP32" s="132"/>
      <c r="AQ32" s="132"/>
      <c r="AR32" s="132"/>
      <c r="AS32" s="132"/>
      <c r="AT32" s="132"/>
      <c r="AU32" s="132"/>
      <c r="AV32" s="132"/>
      <c r="AW32" s="132"/>
      <c r="AX32" s="132"/>
      <c r="AY32" s="132"/>
      <c r="AZ32" s="132"/>
      <c r="BA32" s="132"/>
      <c r="BB32" s="132"/>
      <c r="BC32" s="132"/>
      <c r="BD32" s="749"/>
      <c r="BE32" s="132"/>
      <c r="BF32" s="132"/>
      <c r="BG32" s="132"/>
      <c r="BH32" s="132"/>
      <c r="BI32" s="132"/>
      <c r="BJ32" s="132"/>
      <c r="BK32" s="132"/>
      <c r="BL32" s="132"/>
      <c r="BM32" s="132"/>
      <c r="BN32" s="132"/>
      <c r="BO32" s="132"/>
      <c r="BP32" s="132"/>
      <c r="BQ32" s="132"/>
      <c r="BR32" s="132"/>
      <c r="BS32" s="132"/>
      <c r="BT32" s="132"/>
      <c r="BU32" s="132"/>
      <c r="BV32" s="132"/>
      <c r="BW32" s="132"/>
      <c r="BX32" s="695">
        <f>IF(AI32=0,0,(BD32-AI32)/AI32*100)</f>
        <v>0</v>
      </c>
      <c r="BY32" s="695">
        <f>IF(BD32=0,0,(BE32-BD32)/BD32*100)</f>
        <v>0</v>
      </c>
      <c r="BZ32" s="695">
        <f>IF(BE32=0,0,(BF32-BE32)/BE32*100)</f>
        <v>0</v>
      </c>
      <c r="CA32" s="695">
        <f>IF(BF32=0,0,(BG32-BF32)/BF32*100)</f>
        <v>0</v>
      </c>
      <c r="CB32" s="695">
        <f>IF(BG32=0,0,(BH32-BG32)/BG32*100)</f>
        <v>0</v>
      </c>
      <c r="CC32" s="695">
        <f>IF(BH32=0,0,(BI32-BH32)/BH32*100)</f>
        <v>0</v>
      </c>
      <c r="CD32" s="695">
        <f>IF(BI32=0,0,(BJ32-BI32)/BI32*100)</f>
        <v>0</v>
      </c>
      <c r="CE32" s="695">
        <f>IF(BJ32=0,0,(BK32-BJ32)/BJ32*100)</f>
        <v>0</v>
      </c>
      <c r="CF32" s="695">
        <f>IF(BK32=0,0,(BL32-BK32)/BK32*100)</f>
        <v>0</v>
      </c>
      <c r="CG32" s="695">
        <f>IF(BL32=0,0,(BM32-BL32)/BL32*100)</f>
        <v>0</v>
      </c>
      <c r="CH32" s="695">
        <f>IF(BM32=0,0,(BN32-BM32)/BM32*100)</f>
        <v>0</v>
      </c>
      <c r="CI32" s="695">
        <f>IF(BN32=0,0,(BO32-BN32)/BN32*100)</f>
        <v>0</v>
      </c>
      <c r="CJ32" s="695">
        <f>IF(BO32=0,0,(BP32-BO32)/BO32*100)</f>
        <v>0</v>
      </c>
      <c r="CK32" s="695">
        <f>IF(BP32=0,0,(BQ32-BP32)/BP32*100)</f>
        <v>0</v>
      </c>
      <c r="CL32" s="695">
        <f>IF(BQ32=0,0,(BR32-BQ32)/BQ32*100)</f>
        <v>0</v>
      </c>
      <c r="CM32" s="695">
        <f>IF(BR32=0,0,(BS32-BR32)/BR32*100)</f>
        <v>0</v>
      </c>
      <c r="CN32" s="695">
        <f>IF(BS32=0,0,(BT32-BS32)/BS32*100)</f>
        <v>0</v>
      </c>
      <c r="CO32" s="695">
        <f>IF(BT32=0,0,(BU32-BT32)/BT32*100)</f>
        <v>0</v>
      </c>
      <c r="CP32" s="695">
        <f>IF(BU32=0,0,(BV32-BU32)/BU32*100)</f>
        <v>0</v>
      </c>
      <c r="CQ32" s="695">
        <f>IF(BV32=0,0,(BW32-BV32)/BV32*100)</f>
        <v>0</v>
      </c>
      <c r="CR32" s="83"/>
      <c r="CS32" s="83"/>
      <c r="CT32" s="83"/>
      <c r="CW32" s="489" t="s">
        <v>1955</v>
      </c>
      <c r="DD32" s="0" cm="1" t="str">
        <f t="array" ref="DD32:DD32">DD31</f>
        <v>0</v>
      </c>
      <c r="DM32" s="0" t="s">
        <v>886</v>
      </c>
      <c r="DO32" s="0" t="s">
        <v>303</v>
      </c>
      <c r="DP32" s="0" t="s">
        <v>1956</v>
      </c>
      <c r="DQ32" s="0" t="s">
        <v>1957</v>
      </c>
    </row>
    <row customHeight="1" ht="16.575" hidden="1">
      <c r="E33" s="180">
        <v>17</v>
      </c>
      <c r="F33" s="175" cm="1" t="str">
        <f t="array" ref="F33:F33">OFFSET(G33,-1,-1)</f>
        <v>0</v>
      </c>
      <c r="T33" s="753">
        <f>AND(F33&gt;0,method_reg="Метод обеспечения доходности инвестированного капитала")</f>
        <v>0</v>
      </c>
      <c r="AB33" s="794">
        <v>4.2</v>
      </c>
      <c r="AC33" s="842" t="s">
        <v>1958</v>
      </c>
      <c r="AD33" s="666" t="s">
        <v>1959</v>
      </c>
      <c r="AE33" s="132"/>
      <c r="AF33" s="132"/>
      <c r="AG33" s="132"/>
      <c r="AH33" s="695">
        <f>AG33-AF33</f>
        <v>0</v>
      </c>
      <c r="AI33" s="132"/>
      <c r="AJ33" s="749"/>
      <c r="AK33" s="132"/>
      <c r="AL33" s="132"/>
      <c r="AM33" s="132"/>
      <c r="AN33" s="132"/>
      <c r="AO33" s="132"/>
      <c r="AP33" s="132"/>
      <c r="AQ33" s="132"/>
      <c r="AR33" s="132"/>
      <c r="AS33" s="132"/>
      <c r="AT33" s="132"/>
      <c r="AU33" s="132"/>
      <c r="AV33" s="132"/>
      <c r="AW33" s="132"/>
      <c r="AX33" s="132"/>
      <c r="AY33" s="132"/>
      <c r="AZ33" s="132"/>
      <c r="BA33" s="132"/>
      <c r="BB33" s="132"/>
      <c r="BC33" s="132"/>
      <c r="BD33" s="749"/>
      <c r="BE33" s="132"/>
      <c r="BF33" s="132"/>
      <c r="BG33" s="132"/>
      <c r="BH33" s="132"/>
      <c r="BI33" s="132"/>
      <c r="BJ33" s="132"/>
      <c r="BK33" s="132"/>
      <c r="BL33" s="132"/>
      <c r="BM33" s="132"/>
      <c r="BN33" s="132"/>
      <c r="BO33" s="132"/>
      <c r="BP33" s="132"/>
      <c r="BQ33" s="132"/>
      <c r="BR33" s="132"/>
      <c r="BS33" s="132"/>
      <c r="BT33" s="132"/>
      <c r="BU33" s="132"/>
      <c r="BV33" s="132"/>
      <c r="BW33" s="132"/>
      <c r="BX33" s="695">
        <f>IF(AI33=0,0,(BD33-AI33)/AI33*100)</f>
        <v>0</v>
      </c>
      <c r="BY33" s="695">
        <f>IF(BD33=0,0,(BE33-BD33)/BD33*100)</f>
        <v>0</v>
      </c>
      <c r="BZ33" s="695">
        <f>IF(BE33=0,0,(BF33-BE33)/BE33*100)</f>
        <v>0</v>
      </c>
      <c r="CA33" s="695">
        <f>IF(BF33=0,0,(BG33-BF33)/BF33*100)</f>
        <v>0</v>
      </c>
      <c r="CB33" s="695">
        <f>IF(BG33=0,0,(BH33-BG33)/BG33*100)</f>
        <v>0</v>
      </c>
      <c r="CC33" s="695">
        <f>IF(BH33=0,0,(BI33-BH33)/BH33*100)</f>
        <v>0</v>
      </c>
      <c r="CD33" s="695">
        <f>IF(BI33=0,0,(BJ33-BI33)/BI33*100)</f>
        <v>0</v>
      </c>
      <c r="CE33" s="695">
        <f>IF(BJ33=0,0,(BK33-BJ33)/BJ33*100)</f>
        <v>0</v>
      </c>
      <c r="CF33" s="695">
        <f>IF(BK33=0,0,(BL33-BK33)/BK33*100)</f>
        <v>0</v>
      </c>
      <c r="CG33" s="695">
        <f>IF(BL33=0,0,(BM33-BL33)/BL33*100)</f>
        <v>0</v>
      </c>
      <c r="CH33" s="695">
        <f>IF(BM33=0,0,(BN33-BM33)/BM33*100)</f>
        <v>0</v>
      </c>
      <c r="CI33" s="695">
        <f>IF(BN33=0,0,(BO33-BN33)/BN33*100)</f>
        <v>0</v>
      </c>
      <c r="CJ33" s="695">
        <f>IF(BO33=0,0,(BP33-BO33)/BO33*100)</f>
        <v>0</v>
      </c>
      <c r="CK33" s="695">
        <f>IF(BP33=0,0,(BQ33-BP33)/BP33*100)</f>
        <v>0</v>
      </c>
      <c r="CL33" s="695">
        <f>IF(BQ33=0,0,(BR33-BQ33)/BQ33*100)</f>
        <v>0</v>
      </c>
      <c r="CM33" s="695">
        <f>IF(BR33=0,0,(BS33-BR33)/BR33*100)</f>
        <v>0</v>
      </c>
      <c r="CN33" s="695">
        <f>IF(BS33=0,0,(BT33-BS33)/BS33*100)</f>
        <v>0</v>
      </c>
      <c r="CO33" s="695">
        <f>IF(BT33=0,0,(BU33-BT33)/BT33*100)</f>
        <v>0</v>
      </c>
      <c r="CP33" s="695">
        <f>IF(BU33=0,0,(BV33-BU33)/BU33*100)</f>
        <v>0</v>
      </c>
      <c r="CQ33" s="695">
        <f>IF(BV33=0,0,(BW33-BV33)/BV33*100)</f>
        <v>0</v>
      </c>
      <c r="CR33" s="83"/>
      <c r="CS33" s="83"/>
      <c r="CT33" s="83"/>
      <c r="CW33" s="489" t="s">
        <v>1960</v>
      </c>
      <c r="DD33" s="0" cm="1" t="str">
        <f t="array" ref="DD33:DD33">DD32</f>
        <v>0</v>
      </c>
      <c r="DM33" s="0" t="s">
        <v>1290</v>
      </c>
      <c r="DO33" s="0" t="s">
        <v>303</v>
      </c>
      <c r="DP33" s="0" t="s">
        <v>1961</v>
      </c>
      <c r="DQ33" s="0" t="s">
        <v>1962</v>
      </c>
    </row>
    <row customHeight="1" ht="16.575" hidden="1">
      <c r="E34" s="180">
        <v>17</v>
      </c>
      <c r="F34" s="175" cm="1" t="str">
        <f t="array" ref="F34:F34">OFFSET(G34,-1,-1)</f>
        <v>0</v>
      </c>
      <c r="T34" s="753">
        <f>AND(F34&gt;0,method_reg="Метод обеспечения доходности инвестированного капитала")</f>
        <v>0</v>
      </c>
      <c r="AB34" s="794">
        <v>5</v>
      </c>
      <c r="AC34" s="413" t="s">
        <v>1963</v>
      </c>
      <c r="AD34" s="666" t="s">
        <v>917</v>
      </c>
      <c r="AE34" s="132"/>
      <c r="AF34" s="132"/>
      <c r="AG34" s="132"/>
      <c r="AH34" s="695">
        <f>AG34-AF34</f>
        <v>0</v>
      </c>
      <c r="AI34" s="132"/>
      <c r="AJ34" s="749"/>
      <c r="AK34" s="132"/>
      <c r="AL34" s="132"/>
      <c r="AM34" s="132"/>
      <c r="AN34" s="132"/>
      <c r="AO34" s="132"/>
      <c r="AP34" s="132"/>
      <c r="AQ34" s="132"/>
      <c r="AR34" s="132"/>
      <c r="AS34" s="132"/>
      <c r="AT34" s="132"/>
      <c r="AU34" s="132"/>
      <c r="AV34" s="132"/>
      <c r="AW34" s="132"/>
      <c r="AX34" s="132"/>
      <c r="AY34" s="132"/>
      <c r="AZ34" s="132"/>
      <c r="BA34" s="132"/>
      <c r="BB34" s="132"/>
      <c r="BC34" s="132"/>
      <c r="BD34" s="749"/>
      <c r="BE34" s="132"/>
      <c r="BF34" s="132"/>
      <c r="BG34" s="132"/>
      <c r="BH34" s="132"/>
      <c r="BI34" s="132"/>
      <c r="BJ34" s="132"/>
      <c r="BK34" s="132"/>
      <c r="BL34" s="132"/>
      <c r="BM34" s="132"/>
      <c r="BN34" s="132"/>
      <c r="BO34" s="132"/>
      <c r="BP34" s="132"/>
      <c r="BQ34" s="132"/>
      <c r="BR34" s="132"/>
      <c r="BS34" s="132"/>
      <c r="BT34" s="132"/>
      <c r="BU34" s="132"/>
      <c r="BV34" s="132"/>
      <c r="BW34" s="132"/>
      <c r="BX34" s="695">
        <f>IF(AI34=0,0,(BD34-AI34)/AI34*100)</f>
        <v>0</v>
      </c>
      <c r="BY34" s="695">
        <f>IF(BD34=0,0,(BE34-BD34)/BD34*100)</f>
        <v>0</v>
      </c>
      <c r="BZ34" s="695">
        <f>IF(BE34=0,0,(BF34-BE34)/BE34*100)</f>
        <v>0</v>
      </c>
      <c r="CA34" s="695">
        <f>IF(BF34=0,0,(BG34-BF34)/BF34*100)</f>
        <v>0</v>
      </c>
      <c r="CB34" s="695">
        <f>IF(BG34=0,0,(BH34-BG34)/BG34*100)</f>
        <v>0</v>
      </c>
      <c r="CC34" s="695">
        <f>IF(BH34=0,0,(BI34-BH34)/BH34*100)</f>
        <v>0</v>
      </c>
      <c r="CD34" s="695">
        <f>IF(BI34=0,0,(BJ34-BI34)/BI34*100)</f>
        <v>0</v>
      </c>
      <c r="CE34" s="695">
        <f>IF(BJ34=0,0,(BK34-BJ34)/BJ34*100)</f>
        <v>0</v>
      </c>
      <c r="CF34" s="695">
        <f>IF(BK34=0,0,(BL34-BK34)/BK34*100)</f>
        <v>0</v>
      </c>
      <c r="CG34" s="695">
        <f>IF(BL34=0,0,(BM34-BL34)/BL34*100)</f>
        <v>0</v>
      </c>
      <c r="CH34" s="695">
        <f>IF(BM34=0,0,(BN34-BM34)/BM34*100)</f>
        <v>0</v>
      </c>
      <c r="CI34" s="695">
        <f>IF(BN34=0,0,(BO34-BN34)/BN34*100)</f>
        <v>0</v>
      </c>
      <c r="CJ34" s="695">
        <f>IF(BO34=0,0,(BP34-BO34)/BO34*100)</f>
        <v>0</v>
      </c>
      <c r="CK34" s="695">
        <f>IF(BP34=0,0,(BQ34-BP34)/BP34*100)</f>
        <v>0</v>
      </c>
      <c r="CL34" s="695">
        <f>IF(BQ34=0,0,(BR34-BQ34)/BQ34*100)</f>
        <v>0</v>
      </c>
      <c r="CM34" s="695">
        <f>IF(BR34=0,0,(BS34-BR34)/BR34*100)</f>
        <v>0</v>
      </c>
      <c r="CN34" s="695">
        <f>IF(BS34=0,0,(BT34-BS34)/BS34*100)</f>
        <v>0</v>
      </c>
      <c r="CO34" s="695">
        <f>IF(BT34=0,0,(BU34-BT34)/BT34*100)</f>
        <v>0</v>
      </c>
      <c r="CP34" s="695">
        <f>IF(BU34=0,0,(BV34-BU34)/BU34*100)</f>
        <v>0</v>
      </c>
      <c r="CQ34" s="695">
        <f>IF(BV34=0,0,(BW34-BV34)/BV34*100)</f>
        <v>0</v>
      </c>
      <c r="CR34" s="83"/>
      <c r="CS34" s="83"/>
      <c r="CT34" s="83"/>
      <c r="CW34" s="489" t="s">
        <v>1964</v>
      </c>
      <c r="DD34" s="0" cm="1" t="str">
        <f t="array" ref="DD34:DD34">DD33</f>
        <v>0</v>
      </c>
      <c r="DM34" s="0" t="s">
        <v>1308</v>
      </c>
      <c r="DO34" s="0" t="s">
        <v>303</v>
      </c>
      <c r="DP34" s="0" t="s">
        <v>1965</v>
      </c>
      <c r="DQ34" s="0" t="s">
        <v>1966</v>
      </c>
    </row>
    <row customHeight="1" ht="16.575" hidden="1">
      <c r="E35" s="180">
        <v>17</v>
      </c>
      <c r="F35" s="175" cm="1" t="str">
        <f t="array" ref="F35:F35">OFFSET(G35,-1,-1)</f>
        <v>0</v>
      </c>
      <c r="T35" s="753">
        <f>AND(F35&gt;0,method_reg="Метод обеспечения доходности инвестированного капитала")</f>
        <v>0</v>
      </c>
      <c r="AB35" s="794">
        <v>5.1</v>
      </c>
      <c r="AC35" s="842" t="s">
        <v>1967</v>
      </c>
      <c r="AD35" s="666" t="s">
        <v>917</v>
      </c>
      <c r="AE35" s="132"/>
      <c r="AF35" s="132"/>
      <c r="AG35" s="132"/>
      <c r="AH35" s="695">
        <f>AG35-AF35</f>
        <v>0</v>
      </c>
      <c r="AI35" s="132"/>
      <c r="AJ35" s="749"/>
      <c r="AK35" s="132"/>
      <c r="AL35" s="132"/>
      <c r="AM35" s="132"/>
      <c r="AN35" s="132"/>
      <c r="AO35" s="132"/>
      <c r="AP35" s="132"/>
      <c r="AQ35" s="132"/>
      <c r="AR35" s="132"/>
      <c r="AS35" s="132"/>
      <c r="AT35" s="132"/>
      <c r="AU35" s="132"/>
      <c r="AV35" s="132"/>
      <c r="AW35" s="132"/>
      <c r="AX35" s="132"/>
      <c r="AY35" s="132"/>
      <c r="AZ35" s="132"/>
      <c r="BA35" s="132"/>
      <c r="BB35" s="132"/>
      <c r="BC35" s="132"/>
      <c r="BD35" s="749"/>
      <c r="BE35" s="132"/>
      <c r="BF35" s="132"/>
      <c r="BG35" s="132"/>
      <c r="BH35" s="132"/>
      <c r="BI35" s="132"/>
      <c r="BJ35" s="132"/>
      <c r="BK35" s="132"/>
      <c r="BL35" s="132"/>
      <c r="BM35" s="132"/>
      <c r="BN35" s="132"/>
      <c r="BO35" s="132"/>
      <c r="BP35" s="132"/>
      <c r="BQ35" s="132"/>
      <c r="BR35" s="132"/>
      <c r="BS35" s="132"/>
      <c r="BT35" s="132"/>
      <c r="BU35" s="132"/>
      <c r="BV35" s="132"/>
      <c r="BW35" s="132"/>
      <c r="BX35" s="695">
        <f>IF(AI35=0,0,(BD35-AI35)/AI35*100)</f>
        <v>0</v>
      </c>
      <c r="BY35" s="695">
        <f>IF(BD35=0,0,(BE35-BD35)/BD35*100)</f>
        <v>0</v>
      </c>
      <c r="BZ35" s="695">
        <f>IF(BE35=0,0,(BF35-BE35)/BE35*100)</f>
        <v>0</v>
      </c>
      <c r="CA35" s="695">
        <f>IF(BF35=0,0,(BG35-BF35)/BF35*100)</f>
        <v>0</v>
      </c>
      <c r="CB35" s="695">
        <f>IF(BG35=0,0,(BH35-BG35)/BG35*100)</f>
        <v>0</v>
      </c>
      <c r="CC35" s="695">
        <f>IF(BH35=0,0,(BI35-BH35)/BH35*100)</f>
        <v>0</v>
      </c>
      <c r="CD35" s="695">
        <f>IF(BI35=0,0,(BJ35-BI35)/BI35*100)</f>
        <v>0</v>
      </c>
      <c r="CE35" s="695">
        <f>IF(BJ35=0,0,(BK35-BJ35)/BJ35*100)</f>
        <v>0</v>
      </c>
      <c r="CF35" s="695">
        <f>IF(BK35=0,0,(BL35-BK35)/BK35*100)</f>
        <v>0</v>
      </c>
      <c r="CG35" s="695">
        <f>IF(BL35=0,0,(BM35-BL35)/BL35*100)</f>
        <v>0</v>
      </c>
      <c r="CH35" s="695">
        <f>IF(BM35=0,0,(BN35-BM35)/BM35*100)</f>
        <v>0</v>
      </c>
      <c r="CI35" s="695">
        <f>IF(BN35=0,0,(BO35-BN35)/BN35*100)</f>
        <v>0</v>
      </c>
      <c r="CJ35" s="695">
        <f>IF(BO35=0,0,(BP35-BO35)/BO35*100)</f>
        <v>0</v>
      </c>
      <c r="CK35" s="695">
        <f>IF(BP35=0,0,(BQ35-BP35)/BP35*100)</f>
        <v>0</v>
      </c>
      <c r="CL35" s="695">
        <f>IF(BQ35=0,0,(BR35-BQ35)/BQ35*100)</f>
        <v>0</v>
      </c>
      <c r="CM35" s="695">
        <f>IF(BR35=0,0,(BS35-BR35)/BR35*100)</f>
        <v>0</v>
      </c>
      <c r="CN35" s="695">
        <f>IF(BS35=0,0,(BT35-BS35)/BS35*100)</f>
        <v>0</v>
      </c>
      <c r="CO35" s="695">
        <f>IF(BT35=0,0,(BU35-BT35)/BT35*100)</f>
        <v>0</v>
      </c>
      <c r="CP35" s="695">
        <f>IF(BU35=0,0,(BV35-BU35)/BU35*100)</f>
        <v>0</v>
      </c>
      <c r="CQ35" s="695">
        <f>IF(BV35=0,0,(BW35-BV35)/BV35*100)</f>
        <v>0</v>
      </c>
      <c r="CR35" s="83"/>
      <c r="CS35" s="83"/>
      <c r="CT35" s="83"/>
      <c r="CW35" s="489" t="s">
        <v>1968</v>
      </c>
      <c r="DD35" s="0" cm="1" t="str">
        <f t="array" ref="DD35:DD35">DD34</f>
        <v>0</v>
      </c>
      <c r="DM35" s="0" t="s">
        <v>1327</v>
      </c>
      <c r="DO35" s="0" t="s">
        <v>303</v>
      </c>
      <c r="DP35" s="0" t="s">
        <v>1969</v>
      </c>
      <c r="DQ35" s="0" t="s">
        <v>1970</v>
      </c>
    </row>
    <row customHeight="1" ht="16.575" hidden="1">
      <c r="E36" s="180">
        <v>17</v>
      </c>
      <c r="F36" s="175" cm="1" t="str">
        <f t="array" ref="F36:F36">OFFSET(G36,-1,-1)</f>
        <v>0</v>
      </c>
      <c r="T36" s="753">
        <f>AND(F36&gt;0,method_reg="Метод обеспечения доходности инвестированного капитала")</f>
        <v>0</v>
      </c>
      <c r="AB36" s="794">
        <v>5.2</v>
      </c>
      <c r="AC36" s="842" t="s">
        <v>1971</v>
      </c>
      <c r="AD36" s="666" t="s">
        <v>495</v>
      </c>
      <c r="AE36" s="132"/>
      <c r="AF36" s="132"/>
      <c r="AG36" s="132"/>
      <c r="AH36" s="695">
        <f>AG36-AF36</f>
        <v>0</v>
      </c>
      <c r="AI36" s="132"/>
      <c r="AJ36" s="749"/>
      <c r="AK36" s="132"/>
      <c r="AL36" s="132"/>
      <c r="AM36" s="132"/>
      <c r="AN36" s="132"/>
      <c r="AO36" s="132"/>
      <c r="AP36" s="132"/>
      <c r="AQ36" s="132"/>
      <c r="AR36" s="132"/>
      <c r="AS36" s="132"/>
      <c r="AT36" s="132"/>
      <c r="AU36" s="132"/>
      <c r="AV36" s="132"/>
      <c r="AW36" s="132"/>
      <c r="AX36" s="132"/>
      <c r="AY36" s="132"/>
      <c r="AZ36" s="132"/>
      <c r="BA36" s="132"/>
      <c r="BB36" s="132"/>
      <c r="BC36" s="132"/>
      <c r="BD36" s="749"/>
      <c r="BE36" s="132"/>
      <c r="BF36" s="132"/>
      <c r="BG36" s="132"/>
      <c r="BH36" s="132"/>
      <c r="BI36" s="132"/>
      <c r="BJ36" s="132"/>
      <c r="BK36" s="132"/>
      <c r="BL36" s="132"/>
      <c r="BM36" s="132"/>
      <c r="BN36" s="132"/>
      <c r="BO36" s="132"/>
      <c r="BP36" s="132"/>
      <c r="BQ36" s="132"/>
      <c r="BR36" s="132"/>
      <c r="BS36" s="132"/>
      <c r="BT36" s="132"/>
      <c r="BU36" s="132"/>
      <c r="BV36" s="132"/>
      <c r="BW36" s="132"/>
      <c r="BX36" s="695">
        <f>IF(AI36=0,0,(BD36-AI36)/AI36*100)</f>
        <v>0</v>
      </c>
      <c r="BY36" s="695">
        <f>IF(BD36=0,0,(BE36-BD36)/BD36*100)</f>
        <v>0</v>
      </c>
      <c r="BZ36" s="695">
        <f>IF(BE36=0,0,(BF36-BE36)/BE36*100)</f>
        <v>0</v>
      </c>
      <c r="CA36" s="695">
        <f>IF(BF36=0,0,(BG36-BF36)/BF36*100)</f>
        <v>0</v>
      </c>
      <c r="CB36" s="695">
        <f>IF(BG36=0,0,(BH36-BG36)/BG36*100)</f>
        <v>0</v>
      </c>
      <c r="CC36" s="695">
        <f>IF(BH36=0,0,(BI36-BH36)/BH36*100)</f>
        <v>0</v>
      </c>
      <c r="CD36" s="695">
        <f>IF(BI36=0,0,(BJ36-BI36)/BI36*100)</f>
        <v>0</v>
      </c>
      <c r="CE36" s="695">
        <f>IF(BJ36=0,0,(BK36-BJ36)/BJ36*100)</f>
        <v>0</v>
      </c>
      <c r="CF36" s="695">
        <f>IF(BK36=0,0,(BL36-BK36)/BK36*100)</f>
        <v>0</v>
      </c>
      <c r="CG36" s="695">
        <f>IF(BL36=0,0,(BM36-BL36)/BL36*100)</f>
        <v>0</v>
      </c>
      <c r="CH36" s="695">
        <f>IF(BM36=0,0,(BN36-BM36)/BM36*100)</f>
        <v>0</v>
      </c>
      <c r="CI36" s="695">
        <f>IF(BN36=0,0,(BO36-BN36)/BN36*100)</f>
        <v>0</v>
      </c>
      <c r="CJ36" s="695">
        <f>IF(BO36=0,0,(BP36-BO36)/BO36*100)</f>
        <v>0</v>
      </c>
      <c r="CK36" s="695">
        <f>IF(BP36=0,0,(BQ36-BP36)/BP36*100)</f>
        <v>0</v>
      </c>
      <c r="CL36" s="695">
        <f>IF(BQ36=0,0,(BR36-BQ36)/BQ36*100)</f>
        <v>0</v>
      </c>
      <c r="CM36" s="695">
        <f>IF(BR36=0,0,(BS36-BR36)/BR36*100)</f>
        <v>0</v>
      </c>
      <c r="CN36" s="695">
        <f>IF(BS36=0,0,(BT36-BS36)/BS36*100)</f>
        <v>0</v>
      </c>
      <c r="CO36" s="695">
        <f>IF(BT36=0,0,(BU36-BT36)/BT36*100)</f>
        <v>0</v>
      </c>
      <c r="CP36" s="695">
        <f>IF(BU36=0,0,(BV36-BU36)/BU36*100)</f>
        <v>0</v>
      </c>
      <c r="CQ36" s="695">
        <f>IF(BV36=0,0,(BW36-BV36)/BV36*100)</f>
        <v>0</v>
      </c>
      <c r="CR36" s="83"/>
      <c r="CS36" s="83"/>
      <c r="CT36" s="83"/>
      <c r="CW36" s="489" t="s">
        <v>1972</v>
      </c>
      <c r="DD36" s="0" cm="1" t="str">
        <f t="array" ref="DD36:DD36">DD35</f>
        <v>0</v>
      </c>
      <c r="DM36" s="0" t="s">
        <v>1973</v>
      </c>
      <c r="DO36" s="0" t="s">
        <v>303</v>
      </c>
      <c r="DP36" s="0" t="s">
        <v>1974</v>
      </c>
      <c r="DQ36" s="0" t="s">
        <v>1975</v>
      </c>
    </row>
    <row customHeight="1" ht="16.575" hidden="1">
      <c r="E37" s="180">
        <v>17</v>
      </c>
      <c r="F37" s="175" cm="1" t="str">
        <f t="array" ref="F37:F37">OFFSET(G37,-1,-1)</f>
        <v>0</v>
      </c>
      <c r="T37" s="753">
        <f>AND(F37&gt;0,method_reg="Метод обеспечения доходности инвестированного капитала")</f>
        <v>0</v>
      </c>
      <c r="AB37" s="794">
        <v>5.3</v>
      </c>
      <c r="AC37" s="139" t="s">
        <v>1976</v>
      </c>
      <c r="AD37" s="666" t="s">
        <v>917</v>
      </c>
      <c r="AE37" s="132"/>
      <c r="AF37" s="132"/>
      <c r="AG37" s="132"/>
      <c r="AH37" s="695">
        <f>AG37-AF37</f>
        <v>0</v>
      </c>
      <c r="AI37" s="132"/>
      <c r="AJ37" s="749"/>
      <c r="AK37" s="132"/>
      <c r="AL37" s="132"/>
      <c r="AM37" s="132"/>
      <c r="AN37" s="132"/>
      <c r="AO37" s="132"/>
      <c r="AP37" s="132"/>
      <c r="AQ37" s="132"/>
      <c r="AR37" s="132"/>
      <c r="AS37" s="132"/>
      <c r="AT37" s="132"/>
      <c r="AU37" s="132"/>
      <c r="AV37" s="132"/>
      <c r="AW37" s="132"/>
      <c r="AX37" s="132"/>
      <c r="AY37" s="132"/>
      <c r="AZ37" s="132"/>
      <c r="BA37" s="132"/>
      <c r="BB37" s="132"/>
      <c r="BC37" s="132"/>
      <c r="BD37" s="749"/>
      <c r="BE37" s="132"/>
      <c r="BF37" s="132"/>
      <c r="BG37" s="132"/>
      <c r="BH37" s="132"/>
      <c r="BI37" s="132"/>
      <c r="BJ37" s="132"/>
      <c r="BK37" s="132"/>
      <c r="BL37" s="132"/>
      <c r="BM37" s="132"/>
      <c r="BN37" s="132"/>
      <c r="BO37" s="132"/>
      <c r="BP37" s="132"/>
      <c r="BQ37" s="132"/>
      <c r="BR37" s="132"/>
      <c r="BS37" s="132"/>
      <c r="BT37" s="132"/>
      <c r="BU37" s="132"/>
      <c r="BV37" s="132"/>
      <c r="BW37" s="132"/>
      <c r="BX37" s="695">
        <f>IF(AI37=0,0,(BD37-AI37)/AI37*100)</f>
        <v>0</v>
      </c>
      <c r="BY37" s="695">
        <f>IF(BD37=0,0,(BE37-BD37)/BD37*100)</f>
        <v>0</v>
      </c>
      <c r="BZ37" s="695">
        <f>IF(BE37=0,0,(BF37-BE37)/BE37*100)</f>
        <v>0</v>
      </c>
      <c r="CA37" s="695">
        <f>IF(BF37=0,0,(BG37-BF37)/BF37*100)</f>
        <v>0</v>
      </c>
      <c r="CB37" s="695">
        <f>IF(BG37=0,0,(BH37-BG37)/BG37*100)</f>
        <v>0</v>
      </c>
      <c r="CC37" s="695">
        <f>IF(BH37=0,0,(BI37-BH37)/BH37*100)</f>
        <v>0</v>
      </c>
      <c r="CD37" s="695">
        <f>IF(BI37=0,0,(BJ37-BI37)/BI37*100)</f>
        <v>0</v>
      </c>
      <c r="CE37" s="695">
        <f>IF(BJ37=0,0,(BK37-BJ37)/BJ37*100)</f>
        <v>0</v>
      </c>
      <c r="CF37" s="695">
        <f>IF(BK37=0,0,(BL37-BK37)/BK37*100)</f>
        <v>0</v>
      </c>
      <c r="CG37" s="695">
        <f>IF(BL37=0,0,(BM37-BL37)/BL37*100)</f>
        <v>0</v>
      </c>
      <c r="CH37" s="695">
        <f>IF(BM37=0,0,(BN37-BM37)/BM37*100)</f>
        <v>0</v>
      </c>
      <c r="CI37" s="695">
        <f>IF(BN37=0,0,(BO37-BN37)/BN37*100)</f>
        <v>0</v>
      </c>
      <c r="CJ37" s="695">
        <f>IF(BO37=0,0,(BP37-BO37)/BO37*100)</f>
        <v>0</v>
      </c>
      <c r="CK37" s="695">
        <f>IF(BP37=0,0,(BQ37-BP37)/BP37*100)</f>
        <v>0</v>
      </c>
      <c r="CL37" s="695">
        <f>IF(BQ37=0,0,(BR37-BQ37)/BQ37*100)</f>
        <v>0</v>
      </c>
      <c r="CM37" s="695">
        <f>IF(BR37=0,0,(BS37-BR37)/BR37*100)</f>
        <v>0</v>
      </c>
      <c r="CN37" s="695">
        <f>IF(BS37=0,0,(BT37-BS37)/BS37*100)</f>
        <v>0</v>
      </c>
      <c r="CO37" s="695">
        <f>IF(BT37=0,0,(BU37-BT37)/BT37*100)</f>
        <v>0</v>
      </c>
      <c r="CP37" s="695">
        <f>IF(BU37=0,0,(BV37-BU37)/BU37*100)</f>
        <v>0</v>
      </c>
      <c r="CQ37" s="695">
        <f>IF(BV37=0,0,(BW37-BV37)/BV37*100)</f>
        <v>0</v>
      </c>
      <c r="CR37" s="83"/>
      <c r="CS37" s="83"/>
      <c r="CT37" s="83"/>
      <c r="CW37" s="489" t="s">
        <v>1977</v>
      </c>
      <c r="DD37" s="0" cm="1" t="str">
        <f t="array" ref="DD37:DD37">DD36</f>
        <v>0</v>
      </c>
      <c r="DM37" s="0" t="s">
        <v>1978</v>
      </c>
      <c r="DO37" s="0" t="s">
        <v>303</v>
      </c>
      <c r="DP37" s="0" t="s">
        <v>1979</v>
      </c>
      <c r="DQ37" s="0" t="s">
        <v>1980</v>
      </c>
    </row>
    <row customHeight="1" ht="16.575" hidden="1">
      <c r="E38" s="180">
        <v>17</v>
      </c>
      <c r="F38" s="175" cm="1" t="str">
        <f t="array" ref="F38:F38">OFFSET(G38,-1,-1)</f>
        <v>0</v>
      </c>
      <c r="T38" s="753">
        <f>AND(F38&gt;0,method_reg="Метод обеспечения доходности инвестированного капитала")</f>
        <v>0</v>
      </c>
      <c r="AB38" s="794">
        <v>5.4</v>
      </c>
      <c r="AC38" s="139" t="s">
        <v>1981</v>
      </c>
      <c r="AD38" s="666" t="s">
        <v>917</v>
      </c>
      <c r="AE38" s="132"/>
      <c r="AF38" s="132"/>
      <c r="AG38" s="132"/>
      <c r="AH38" s="695">
        <f>AG38-AF38</f>
        <v>0</v>
      </c>
      <c r="AI38" s="132"/>
      <c r="AJ38" s="749"/>
      <c r="AK38" s="132"/>
      <c r="AL38" s="132"/>
      <c r="AM38" s="132"/>
      <c r="AN38" s="132"/>
      <c r="AO38" s="132"/>
      <c r="AP38" s="132"/>
      <c r="AQ38" s="132"/>
      <c r="AR38" s="132"/>
      <c r="AS38" s="132"/>
      <c r="AT38" s="132"/>
      <c r="AU38" s="132"/>
      <c r="AV38" s="132"/>
      <c r="AW38" s="132"/>
      <c r="AX38" s="132"/>
      <c r="AY38" s="132"/>
      <c r="AZ38" s="132"/>
      <c r="BA38" s="132"/>
      <c r="BB38" s="132"/>
      <c r="BC38" s="132"/>
      <c r="BD38" s="749"/>
      <c r="BE38" s="132"/>
      <c r="BF38" s="132"/>
      <c r="BG38" s="132"/>
      <c r="BH38" s="132"/>
      <c r="BI38" s="132"/>
      <c r="BJ38" s="132"/>
      <c r="BK38" s="132"/>
      <c r="BL38" s="132"/>
      <c r="BM38" s="132"/>
      <c r="BN38" s="132"/>
      <c r="BO38" s="132"/>
      <c r="BP38" s="132"/>
      <c r="BQ38" s="132"/>
      <c r="BR38" s="132"/>
      <c r="BS38" s="132"/>
      <c r="BT38" s="132"/>
      <c r="BU38" s="132"/>
      <c r="BV38" s="132"/>
      <c r="BW38" s="132"/>
      <c r="BX38" s="695">
        <f>IF(AI38=0,0,(BD38-AI38)/AI38*100)</f>
        <v>0</v>
      </c>
      <c r="BY38" s="695">
        <f>IF(BD38=0,0,(BE38-BD38)/BD38*100)</f>
        <v>0</v>
      </c>
      <c r="BZ38" s="695">
        <f>IF(BE38=0,0,(BF38-BE38)/BE38*100)</f>
        <v>0</v>
      </c>
      <c r="CA38" s="695">
        <f>IF(BF38=0,0,(BG38-BF38)/BF38*100)</f>
        <v>0</v>
      </c>
      <c r="CB38" s="695">
        <f>IF(BG38=0,0,(BH38-BG38)/BG38*100)</f>
        <v>0</v>
      </c>
      <c r="CC38" s="695">
        <f>IF(BH38=0,0,(BI38-BH38)/BH38*100)</f>
        <v>0</v>
      </c>
      <c r="CD38" s="695">
        <f>IF(BI38=0,0,(BJ38-BI38)/BI38*100)</f>
        <v>0</v>
      </c>
      <c r="CE38" s="695">
        <f>IF(BJ38=0,0,(BK38-BJ38)/BJ38*100)</f>
        <v>0</v>
      </c>
      <c r="CF38" s="695">
        <f>IF(BK38=0,0,(BL38-BK38)/BK38*100)</f>
        <v>0</v>
      </c>
      <c r="CG38" s="695">
        <f>IF(BL38=0,0,(BM38-BL38)/BL38*100)</f>
        <v>0</v>
      </c>
      <c r="CH38" s="695">
        <f>IF(BM38=0,0,(BN38-BM38)/BM38*100)</f>
        <v>0</v>
      </c>
      <c r="CI38" s="695">
        <f>IF(BN38=0,0,(BO38-BN38)/BN38*100)</f>
        <v>0</v>
      </c>
      <c r="CJ38" s="695">
        <f>IF(BO38=0,0,(BP38-BO38)/BO38*100)</f>
        <v>0</v>
      </c>
      <c r="CK38" s="695">
        <f>IF(BP38=0,0,(BQ38-BP38)/BP38*100)</f>
        <v>0</v>
      </c>
      <c r="CL38" s="695">
        <f>IF(BQ38=0,0,(BR38-BQ38)/BQ38*100)</f>
        <v>0</v>
      </c>
      <c r="CM38" s="695">
        <f>IF(BR38=0,0,(BS38-BR38)/BR38*100)</f>
        <v>0</v>
      </c>
      <c r="CN38" s="695">
        <f>IF(BS38=0,0,(BT38-BS38)/BS38*100)</f>
        <v>0</v>
      </c>
      <c r="CO38" s="695">
        <f>IF(BT38=0,0,(BU38-BT38)/BT38*100)</f>
        <v>0</v>
      </c>
      <c r="CP38" s="695">
        <f>IF(BU38=0,0,(BV38-BU38)/BU38*100)</f>
        <v>0</v>
      </c>
      <c r="CQ38" s="695">
        <f>IF(BV38=0,0,(BW38-BV38)/BV38*100)</f>
        <v>0</v>
      </c>
      <c r="CR38" s="83"/>
      <c r="CS38" s="83"/>
      <c r="CT38" s="83"/>
      <c r="CW38" s="489" t="s">
        <v>1982</v>
      </c>
      <c r="DD38" s="0" cm="1" t="str">
        <f t="array" ref="DD38:DD38">DD37</f>
        <v>0</v>
      </c>
      <c r="DM38" s="0" t="s">
        <v>1983</v>
      </c>
      <c r="DO38" s="0" t="s">
        <v>303</v>
      </c>
      <c r="DP38" s="0" t="s">
        <v>1984</v>
      </c>
      <c r="DQ38" s="0" t="s">
        <v>1985</v>
      </c>
    </row>
    <row customHeight="1" ht="16.575" hidden="1">
      <c r="E39" s="180">
        <v>17</v>
      </c>
      <c r="F39" s="175" cm="1" t="str">
        <f t="array" ref="F39:F39">OFFSET(G39,-1,-1)</f>
        <v>0</v>
      </c>
      <c r="T39" s="753">
        <f>AND(F39&gt;0,method_reg="Метод обеспечения доходности инвестированного капитала")</f>
        <v>0</v>
      </c>
      <c r="AB39" s="794" t="s">
        <v>1986</v>
      </c>
      <c r="AC39" s="140" t="s">
        <v>1987</v>
      </c>
      <c r="AD39" s="666" t="s">
        <v>495</v>
      </c>
      <c r="AE39" s="132"/>
      <c r="AF39" s="132"/>
      <c r="AG39" s="132"/>
      <c r="AH39" s="695">
        <f>AG39-AF39</f>
        <v>0</v>
      </c>
      <c r="AI39" s="132"/>
      <c r="AJ39" s="749"/>
      <c r="AK39" s="132"/>
      <c r="AL39" s="132"/>
      <c r="AM39" s="132"/>
      <c r="AN39" s="132"/>
      <c r="AO39" s="132"/>
      <c r="AP39" s="132"/>
      <c r="AQ39" s="132"/>
      <c r="AR39" s="132"/>
      <c r="AS39" s="132"/>
      <c r="AT39" s="132"/>
      <c r="AU39" s="132"/>
      <c r="AV39" s="132"/>
      <c r="AW39" s="132"/>
      <c r="AX39" s="132"/>
      <c r="AY39" s="132"/>
      <c r="AZ39" s="132"/>
      <c r="BA39" s="132"/>
      <c r="BB39" s="132"/>
      <c r="BC39" s="132"/>
      <c r="BD39" s="749"/>
      <c r="BE39" s="132"/>
      <c r="BF39" s="132"/>
      <c r="BG39" s="132"/>
      <c r="BH39" s="132"/>
      <c r="BI39" s="132"/>
      <c r="BJ39" s="132"/>
      <c r="BK39" s="132"/>
      <c r="BL39" s="132"/>
      <c r="BM39" s="132"/>
      <c r="BN39" s="132"/>
      <c r="BO39" s="132"/>
      <c r="BP39" s="132"/>
      <c r="BQ39" s="132"/>
      <c r="BR39" s="132"/>
      <c r="BS39" s="132"/>
      <c r="BT39" s="132"/>
      <c r="BU39" s="132"/>
      <c r="BV39" s="132"/>
      <c r="BW39" s="132"/>
      <c r="BX39" s="695">
        <f>IF(AI39=0,0,(BD39-AI39)/AI39*100)</f>
        <v>0</v>
      </c>
      <c r="BY39" s="695">
        <f>IF(BD39=0,0,(BE39-BD39)/BD39*100)</f>
        <v>0</v>
      </c>
      <c r="BZ39" s="695">
        <f>IF(BE39=0,0,(BF39-BE39)/BE39*100)</f>
        <v>0</v>
      </c>
      <c r="CA39" s="695">
        <f>IF(BF39=0,0,(BG39-BF39)/BF39*100)</f>
        <v>0</v>
      </c>
      <c r="CB39" s="695">
        <f>IF(BG39=0,0,(BH39-BG39)/BG39*100)</f>
        <v>0</v>
      </c>
      <c r="CC39" s="695">
        <f>IF(BH39=0,0,(BI39-BH39)/BH39*100)</f>
        <v>0</v>
      </c>
      <c r="CD39" s="695">
        <f>IF(BI39=0,0,(BJ39-BI39)/BI39*100)</f>
        <v>0</v>
      </c>
      <c r="CE39" s="695">
        <f>IF(BJ39=0,0,(BK39-BJ39)/BJ39*100)</f>
        <v>0</v>
      </c>
      <c r="CF39" s="695">
        <f>IF(BK39=0,0,(BL39-BK39)/BK39*100)</f>
        <v>0</v>
      </c>
      <c r="CG39" s="695">
        <f>IF(BL39=0,0,(BM39-BL39)/BL39*100)</f>
        <v>0</v>
      </c>
      <c r="CH39" s="695">
        <f>IF(BM39=0,0,(BN39-BM39)/BM39*100)</f>
        <v>0</v>
      </c>
      <c r="CI39" s="695">
        <f>IF(BN39=0,0,(BO39-BN39)/BN39*100)</f>
        <v>0</v>
      </c>
      <c r="CJ39" s="695">
        <f>IF(BO39=0,0,(BP39-BO39)/BO39*100)</f>
        <v>0</v>
      </c>
      <c r="CK39" s="695">
        <f>IF(BP39=0,0,(BQ39-BP39)/BP39*100)</f>
        <v>0</v>
      </c>
      <c r="CL39" s="695">
        <f>IF(BQ39=0,0,(BR39-BQ39)/BQ39*100)</f>
        <v>0</v>
      </c>
      <c r="CM39" s="695">
        <f>IF(BR39=0,0,(BS39-BR39)/BR39*100)</f>
        <v>0</v>
      </c>
      <c r="CN39" s="695">
        <f>IF(BS39=0,0,(BT39-BS39)/BS39*100)</f>
        <v>0</v>
      </c>
      <c r="CO39" s="695">
        <f>IF(BT39=0,0,(BU39-BT39)/BT39*100)</f>
        <v>0</v>
      </c>
      <c r="CP39" s="695">
        <f>IF(BU39=0,0,(BV39-BU39)/BU39*100)</f>
        <v>0</v>
      </c>
      <c r="CQ39" s="695">
        <f>IF(BV39=0,0,(BW39-BV39)/BV39*100)</f>
        <v>0</v>
      </c>
      <c r="CR39" s="83"/>
      <c r="CS39" s="83"/>
      <c r="CT39" s="83"/>
      <c r="CW39" s="489" t="s">
        <v>1988</v>
      </c>
      <c r="DD39" s="0" cm="1" t="str">
        <f t="array" ref="DD39:DD39">DD38</f>
        <v>0</v>
      </c>
      <c r="DM39" s="0" t="s">
        <v>1989</v>
      </c>
      <c r="DO39" s="0" t="s">
        <v>303</v>
      </c>
      <c r="DP39" s="0" t="s">
        <v>1990</v>
      </c>
      <c r="DQ39" s="0" t="s">
        <v>1991</v>
      </c>
    </row>
    <row customHeight="1" ht="16.575" hidden="1">
      <c r="E40" s="180">
        <v>17</v>
      </c>
      <c r="F40" s="175" cm="1" t="str">
        <f t="array" ref="F40:F40">OFFSET(G40,-1,-1)</f>
        <v>0</v>
      </c>
      <c r="T40" s="753">
        <f>AND(F40&gt;0,method_reg="Метод обеспечения доходности инвестированного капитала")</f>
        <v>0</v>
      </c>
      <c r="AB40" s="794">
        <v>5.5</v>
      </c>
      <c r="AC40" s="139" t="s">
        <v>1992</v>
      </c>
      <c r="AD40" s="666" t="s">
        <v>495</v>
      </c>
      <c r="AE40" s="132"/>
      <c r="AF40" s="132"/>
      <c r="AG40" s="132"/>
      <c r="AH40" s="695">
        <f>AG40-AF40</f>
        <v>0</v>
      </c>
      <c r="AI40" s="132"/>
      <c r="AJ40" s="749"/>
      <c r="AK40" s="132"/>
      <c r="AL40" s="132"/>
      <c r="AM40" s="132"/>
      <c r="AN40" s="132"/>
      <c r="AO40" s="132"/>
      <c r="AP40" s="132"/>
      <c r="AQ40" s="132"/>
      <c r="AR40" s="132"/>
      <c r="AS40" s="132"/>
      <c r="AT40" s="132"/>
      <c r="AU40" s="132"/>
      <c r="AV40" s="132"/>
      <c r="AW40" s="132"/>
      <c r="AX40" s="132"/>
      <c r="AY40" s="132"/>
      <c r="AZ40" s="132"/>
      <c r="BA40" s="132"/>
      <c r="BB40" s="132"/>
      <c r="BC40" s="132"/>
      <c r="BD40" s="749"/>
      <c r="BE40" s="132"/>
      <c r="BF40" s="132"/>
      <c r="BG40" s="132"/>
      <c r="BH40" s="132"/>
      <c r="BI40" s="132"/>
      <c r="BJ40" s="132"/>
      <c r="BK40" s="132"/>
      <c r="BL40" s="132"/>
      <c r="BM40" s="132"/>
      <c r="BN40" s="132"/>
      <c r="BO40" s="132"/>
      <c r="BP40" s="132"/>
      <c r="BQ40" s="132"/>
      <c r="BR40" s="132"/>
      <c r="BS40" s="132"/>
      <c r="BT40" s="132"/>
      <c r="BU40" s="132"/>
      <c r="BV40" s="132"/>
      <c r="BW40" s="132"/>
      <c r="BX40" s="695">
        <f>IF(AI40=0,0,(BD40-AI40)/AI40*100)</f>
        <v>0</v>
      </c>
      <c r="BY40" s="695">
        <f>IF(BD40=0,0,(BE40-BD40)/BD40*100)</f>
        <v>0</v>
      </c>
      <c r="BZ40" s="695">
        <f>IF(BE40=0,0,(BF40-BE40)/BE40*100)</f>
        <v>0</v>
      </c>
      <c r="CA40" s="695">
        <f>IF(BF40=0,0,(BG40-BF40)/BF40*100)</f>
        <v>0</v>
      </c>
      <c r="CB40" s="695">
        <f>IF(BG40=0,0,(BH40-BG40)/BG40*100)</f>
        <v>0</v>
      </c>
      <c r="CC40" s="695">
        <f>IF(BH40=0,0,(BI40-BH40)/BH40*100)</f>
        <v>0</v>
      </c>
      <c r="CD40" s="695">
        <f>IF(BI40=0,0,(BJ40-BI40)/BI40*100)</f>
        <v>0</v>
      </c>
      <c r="CE40" s="695">
        <f>IF(BJ40=0,0,(BK40-BJ40)/BJ40*100)</f>
        <v>0</v>
      </c>
      <c r="CF40" s="695">
        <f>IF(BK40=0,0,(BL40-BK40)/BK40*100)</f>
        <v>0</v>
      </c>
      <c r="CG40" s="695">
        <f>IF(BL40=0,0,(BM40-BL40)/BL40*100)</f>
        <v>0</v>
      </c>
      <c r="CH40" s="695">
        <f>IF(BM40=0,0,(BN40-BM40)/BM40*100)</f>
        <v>0</v>
      </c>
      <c r="CI40" s="695">
        <f>IF(BN40=0,0,(BO40-BN40)/BN40*100)</f>
        <v>0</v>
      </c>
      <c r="CJ40" s="695">
        <f>IF(BO40=0,0,(BP40-BO40)/BO40*100)</f>
        <v>0</v>
      </c>
      <c r="CK40" s="695">
        <f>IF(BP40=0,0,(BQ40-BP40)/BP40*100)</f>
        <v>0</v>
      </c>
      <c r="CL40" s="695">
        <f>IF(BQ40=0,0,(BR40-BQ40)/BQ40*100)</f>
        <v>0</v>
      </c>
      <c r="CM40" s="695">
        <f>IF(BR40=0,0,(BS40-BR40)/BR40*100)</f>
        <v>0</v>
      </c>
      <c r="CN40" s="695">
        <f>IF(BS40=0,0,(BT40-BS40)/BS40*100)</f>
        <v>0</v>
      </c>
      <c r="CO40" s="695">
        <f>IF(BT40=0,0,(BU40-BT40)/BT40*100)</f>
        <v>0</v>
      </c>
      <c r="CP40" s="695">
        <f>IF(BU40=0,0,(BV40-BU40)/BU40*100)</f>
        <v>0</v>
      </c>
      <c r="CQ40" s="695">
        <f>IF(BV40=0,0,(BW40-BV40)/BV40*100)</f>
        <v>0</v>
      </c>
      <c r="CR40" s="83"/>
      <c r="CS40" s="83"/>
      <c r="CT40" s="83"/>
      <c r="CW40" s="489" t="s">
        <v>1993</v>
      </c>
      <c r="DD40" s="0" cm="1" t="str">
        <f t="array" ref="DD40:DD40">DD39</f>
        <v>0</v>
      </c>
      <c r="DM40" s="0" t="s">
        <v>1994</v>
      </c>
      <c r="DO40" s="0" t="s">
        <v>303</v>
      </c>
      <c r="DP40" s="0" t="s">
        <v>1995</v>
      </c>
      <c r="DQ40" s="0" t="s">
        <v>1996</v>
      </c>
    </row>
    <row customHeight="1" ht="16.575" hidden="1">
      <c r="E41" s="180">
        <v>17</v>
      </c>
      <c r="F41" s="175" cm="1" t="str">
        <f t="array" ref="F41:F41">OFFSET(G41,-1,-1)</f>
        <v>0</v>
      </c>
      <c r="T41" s="753">
        <f>AND(F41&gt;0,method_reg="Метод обеспечения доходности инвестированного капитала")</f>
        <v>0</v>
      </c>
      <c r="AB41" s="794" t="s">
        <v>1997</v>
      </c>
      <c r="AC41" s="140" t="s">
        <v>1998</v>
      </c>
      <c r="AD41" s="666" t="s">
        <v>495</v>
      </c>
      <c r="AE41" s="132"/>
      <c r="AF41" s="132"/>
      <c r="AG41" s="132"/>
      <c r="AH41" s="695">
        <f>AG41-AF41</f>
        <v>0</v>
      </c>
      <c r="AI41" s="132"/>
      <c r="AJ41" s="749"/>
      <c r="AK41" s="132"/>
      <c r="AL41" s="132"/>
      <c r="AM41" s="132"/>
      <c r="AN41" s="132"/>
      <c r="AO41" s="132"/>
      <c r="AP41" s="132"/>
      <c r="AQ41" s="132"/>
      <c r="AR41" s="132"/>
      <c r="AS41" s="132"/>
      <c r="AT41" s="132"/>
      <c r="AU41" s="132"/>
      <c r="AV41" s="132"/>
      <c r="AW41" s="132"/>
      <c r="AX41" s="132"/>
      <c r="AY41" s="132"/>
      <c r="AZ41" s="132"/>
      <c r="BA41" s="132"/>
      <c r="BB41" s="132"/>
      <c r="BC41" s="132"/>
      <c r="BD41" s="749"/>
      <c r="BE41" s="132"/>
      <c r="BF41" s="132"/>
      <c r="BG41" s="132"/>
      <c r="BH41" s="132"/>
      <c r="BI41" s="132"/>
      <c r="BJ41" s="132"/>
      <c r="BK41" s="132"/>
      <c r="BL41" s="132"/>
      <c r="BM41" s="132"/>
      <c r="BN41" s="132"/>
      <c r="BO41" s="132"/>
      <c r="BP41" s="132"/>
      <c r="BQ41" s="132"/>
      <c r="BR41" s="132"/>
      <c r="BS41" s="132"/>
      <c r="BT41" s="132"/>
      <c r="BU41" s="132"/>
      <c r="BV41" s="132"/>
      <c r="BW41" s="132"/>
      <c r="BX41" s="695">
        <f>IF(AI41=0,0,(BD41-AI41)/AI41*100)</f>
        <v>0</v>
      </c>
      <c r="BY41" s="695">
        <f>IF(BD41=0,0,(BE41-BD41)/BD41*100)</f>
        <v>0</v>
      </c>
      <c r="BZ41" s="695">
        <f>IF(BE41=0,0,(BF41-BE41)/BE41*100)</f>
        <v>0</v>
      </c>
      <c r="CA41" s="695">
        <f>IF(BF41=0,0,(BG41-BF41)/BF41*100)</f>
        <v>0</v>
      </c>
      <c r="CB41" s="695">
        <f>IF(BG41=0,0,(BH41-BG41)/BG41*100)</f>
        <v>0</v>
      </c>
      <c r="CC41" s="695">
        <f>IF(BH41=0,0,(BI41-BH41)/BH41*100)</f>
        <v>0</v>
      </c>
      <c r="CD41" s="695">
        <f>IF(BI41=0,0,(BJ41-BI41)/BI41*100)</f>
        <v>0</v>
      </c>
      <c r="CE41" s="695">
        <f>IF(BJ41=0,0,(BK41-BJ41)/BJ41*100)</f>
        <v>0</v>
      </c>
      <c r="CF41" s="695">
        <f>IF(BK41=0,0,(BL41-BK41)/BK41*100)</f>
        <v>0</v>
      </c>
      <c r="CG41" s="695">
        <f>IF(BL41=0,0,(BM41-BL41)/BL41*100)</f>
        <v>0</v>
      </c>
      <c r="CH41" s="695">
        <f>IF(BM41=0,0,(BN41-BM41)/BM41*100)</f>
        <v>0</v>
      </c>
      <c r="CI41" s="695">
        <f>IF(BN41=0,0,(BO41-BN41)/BN41*100)</f>
        <v>0</v>
      </c>
      <c r="CJ41" s="695">
        <f>IF(BO41=0,0,(BP41-BO41)/BO41*100)</f>
        <v>0</v>
      </c>
      <c r="CK41" s="695">
        <f>IF(BP41=0,0,(BQ41-BP41)/BP41*100)</f>
        <v>0</v>
      </c>
      <c r="CL41" s="695">
        <f>IF(BQ41=0,0,(BR41-BQ41)/BQ41*100)</f>
        <v>0</v>
      </c>
      <c r="CM41" s="695">
        <f>IF(BR41=0,0,(BS41-BR41)/BR41*100)</f>
        <v>0</v>
      </c>
      <c r="CN41" s="695">
        <f>IF(BS41=0,0,(BT41-BS41)/BS41*100)</f>
        <v>0</v>
      </c>
      <c r="CO41" s="695">
        <f>IF(BT41=0,0,(BU41-BT41)/BT41*100)</f>
        <v>0</v>
      </c>
      <c r="CP41" s="695">
        <f>IF(BU41=0,0,(BV41-BU41)/BU41*100)</f>
        <v>0</v>
      </c>
      <c r="CQ41" s="695">
        <f>IF(BV41=0,0,(BW41-BV41)/BV41*100)</f>
        <v>0</v>
      </c>
      <c r="CR41" s="83"/>
      <c r="CS41" s="83"/>
      <c r="CT41" s="83"/>
      <c r="CW41" s="489" t="s">
        <v>1999</v>
      </c>
      <c r="DD41" s="0" cm="1" t="str">
        <f t="array" ref="DD41:DD41">DD40</f>
        <v>0</v>
      </c>
      <c r="DM41" s="0" t="s">
        <v>2000</v>
      </c>
      <c r="DO41" s="0" t="s">
        <v>303</v>
      </c>
      <c r="DP41" s="0" t="s">
        <v>2001</v>
      </c>
      <c r="DQ41" s="0" t="s">
        <v>2002</v>
      </c>
    </row>
    <row customHeight="1" ht="16.575" hidden="1">
      <c r="E42" s="180">
        <v>17</v>
      </c>
      <c r="F42" s="175" cm="1" t="str">
        <f t="array" ref="F42:F42">OFFSET(G42,-1,-1)</f>
        <v>0</v>
      </c>
      <c r="T42" s="753">
        <f>AND(F42&gt;0,method_reg="Метод обеспечения доходности инвестированного капитала")</f>
        <v>0</v>
      </c>
      <c r="AB42" s="794" t="s">
        <v>2003</v>
      </c>
      <c r="AC42" s="140" t="s">
        <v>2004</v>
      </c>
      <c r="AD42" s="666" t="s">
        <v>495</v>
      </c>
      <c r="AE42" s="132"/>
      <c r="AF42" s="132"/>
      <c r="AG42" s="132"/>
      <c r="AH42" s="695">
        <f>AG42-AF42</f>
        <v>0</v>
      </c>
      <c r="AI42" s="132"/>
      <c r="AJ42" s="749"/>
      <c r="AK42" s="132"/>
      <c r="AL42" s="132"/>
      <c r="AM42" s="132"/>
      <c r="AN42" s="132"/>
      <c r="AO42" s="132"/>
      <c r="AP42" s="132"/>
      <c r="AQ42" s="132"/>
      <c r="AR42" s="132"/>
      <c r="AS42" s="132"/>
      <c r="AT42" s="132"/>
      <c r="AU42" s="132"/>
      <c r="AV42" s="132"/>
      <c r="AW42" s="132"/>
      <c r="AX42" s="132"/>
      <c r="AY42" s="132"/>
      <c r="AZ42" s="132"/>
      <c r="BA42" s="132"/>
      <c r="BB42" s="132"/>
      <c r="BC42" s="132"/>
      <c r="BD42" s="749"/>
      <c r="BE42" s="132"/>
      <c r="BF42" s="132"/>
      <c r="BG42" s="132"/>
      <c r="BH42" s="132"/>
      <c r="BI42" s="132"/>
      <c r="BJ42" s="132"/>
      <c r="BK42" s="132"/>
      <c r="BL42" s="132"/>
      <c r="BM42" s="132"/>
      <c r="BN42" s="132"/>
      <c r="BO42" s="132"/>
      <c r="BP42" s="132"/>
      <c r="BQ42" s="132"/>
      <c r="BR42" s="132"/>
      <c r="BS42" s="132"/>
      <c r="BT42" s="132"/>
      <c r="BU42" s="132"/>
      <c r="BV42" s="132"/>
      <c r="BW42" s="132"/>
      <c r="BX42" s="695">
        <f>IF(AI42=0,0,(BD42-AI42)/AI42*100)</f>
        <v>0</v>
      </c>
      <c r="BY42" s="695">
        <f>IF(BD42=0,0,(BE42-BD42)/BD42*100)</f>
        <v>0</v>
      </c>
      <c r="BZ42" s="695">
        <f>IF(BE42=0,0,(BF42-BE42)/BE42*100)</f>
        <v>0</v>
      </c>
      <c r="CA42" s="695">
        <f>IF(BF42=0,0,(BG42-BF42)/BF42*100)</f>
        <v>0</v>
      </c>
      <c r="CB42" s="695">
        <f>IF(BG42=0,0,(BH42-BG42)/BG42*100)</f>
        <v>0</v>
      </c>
      <c r="CC42" s="695">
        <f>IF(BH42=0,0,(BI42-BH42)/BH42*100)</f>
        <v>0</v>
      </c>
      <c r="CD42" s="695">
        <f>IF(BI42=0,0,(BJ42-BI42)/BI42*100)</f>
        <v>0</v>
      </c>
      <c r="CE42" s="695">
        <f>IF(BJ42=0,0,(BK42-BJ42)/BJ42*100)</f>
        <v>0</v>
      </c>
      <c r="CF42" s="695">
        <f>IF(BK42=0,0,(BL42-BK42)/BK42*100)</f>
        <v>0</v>
      </c>
      <c r="CG42" s="695">
        <f>IF(BL42=0,0,(BM42-BL42)/BL42*100)</f>
        <v>0</v>
      </c>
      <c r="CH42" s="695">
        <f>IF(BM42=0,0,(BN42-BM42)/BM42*100)</f>
        <v>0</v>
      </c>
      <c r="CI42" s="695">
        <f>IF(BN42=0,0,(BO42-BN42)/BN42*100)</f>
        <v>0</v>
      </c>
      <c r="CJ42" s="695">
        <f>IF(BO42=0,0,(BP42-BO42)/BO42*100)</f>
        <v>0</v>
      </c>
      <c r="CK42" s="695">
        <f>IF(BP42=0,0,(BQ42-BP42)/BP42*100)</f>
        <v>0</v>
      </c>
      <c r="CL42" s="695">
        <f>IF(BQ42=0,0,(BR42-BQ42)/BQ42*100)</f>
        <v>0</v>
      </c>
      <c r="CM42" s="695">
        <f>IF(BR42=0,0,(BS42-BR42)/BR42*100)</f>
        <v>0</v>
      </c>
      <c r="CN42" s="695">
        <f>IF(BS42=0,0,(BT42-BS42)/BS42*100)</f>
        <v>0</v>
      </c>
      <c r="CO42" s="695">
        <f>IF(BT42=0,0,(BU42-BT42)/BT42*100)</f>
        <v>0</v>
      </c>
      <c r="CP42" s="695">
        <f>IF(BU42=0,0,(BV42-BU42)/BU42*100)</f>
        <v>0</v>
      </c>
      <c r="CQ42" s="695">
        <f>IF(BV42=0,0,(BW42-BV42)/BV42*100)</f>
        <v>0</v>
      </c>
      <c r="CR42" s="83"/>
      <c r="CS42" s="83"/>
      <c r="CT42" s="83"/>
      <c r="CW42" s="489" t="s">
        <v>2005</v>
      </c>
      <c r="DD42" s="0" cm="1" t="str">
        <f t="array" ref="DD42:DD42">DD41</f>
        <v>0</v>
      </c>
      <c r="DM42" s="0" t="s">
        <v>2006</v>
      </c>
      <c r="DO42" s="0" t="s">
        <v>303</v>
      </c>
      <c r="DP42" s="0" t="s">
        <v>2007</v>
      </c>
      <c r="DQ42" s="0" t="s">
        <v>2008</v>
      </c>
    </row>
    <row customHeight="1" ht="16.575" hidden="1">
      <c r="E43" s="180">
        <v>17</v>
      </c>
      <c r="F43" s="175" cm="1" t="str">
        <f t="array" ref="F43:F43">OFFSET(G43,-1,-1)</f>
        <v>0</v>
      </c>
      <c r="G43" s="193" t="s">
        <v>1832</v>
      </c>
      <c r="T43" s="753">
        <f>AND(F43&gt;0,method_reg="Метод индексации")</f>
        <v>0</v>
      </c>
      <c r="AB43" s="491">
        <v>4</v>
      </c>
      <c r="AC43" s="815" t="s">
        <v>1834</v>
      </c>
      <c r="AD43" s="467" t="s">
        <v>1178</v>
      </c>
      <c r="AE43" s="132">
        <f>AE44+AE45+AE46+AE47</f>
        <v>0</v>
      </c>
      <c r="AF43" s="132">
        <f>AF44+AF45+AF46+AF47</f>
        <v>0</v>
      </c>
      <c r="AG43" s="132">
        <f>AG44+AG45+AG46+AG47</f>
        <v>0</v>
      </c>
      <c r="AH43" s="695">
        <f>AG43-AF43</f>
        <v>0</v>
      </c>
      <c r="AI43" s="132">
        <f>AI44+AI45+AI46+AI47</f>
        <v>0</v>
      </c>
      <c r="AJ43" s="749">
        <f>AJ44+AJ45+AJ46+AJ47</f>
        <v>0</v>
      </c>
      <c r="AK43" s="132">
        <f>AK44+AK45+AK46+AK47</f>
        <v>0</v>
      </c>
      <c r="AL43" s="132">
        <f>AL44+AL45+AL46+AL47</f>
        <v>0</v>
      </c>
      <c r="AM43" s="132">
        <f>AM44+AM45+AM46+AM47</f>
        <v>0</v>
      </c>
      <c r="AN43" s="132">
        <f>AN44+AN45+AN46+AN47</f>
        <v>0</v>
      </c>
      <c r="AO43" s="132">
        <f>AO44+AO45+AO46+AO47</f>
        <v>0</v>
      </c>
      <c r="AP43" s="132">
        <f>AP44+AP45+AP46+AP47</f>
        <v>0</v>
      </c>
      <c r="AQ43" s="132">
        <f>AQ44+AQ45+AQ46+AQ47</f>
        <v>0</v>
      </c>
      <c r="AR43" s="132">
        <f>AR44+AR45+AR46+AR47</f>
        <v>0</v>
      </c>
      <c r="AS43" s="132">
        <f>AS44+AS45+AS46+AS47</f>
        <v>0</v>
      </c>
      <c r="AT43" s="132">
        <f>AT44+AT45+AT46+AT47</f>
        <v>0</v>
      </c>
      <c r="AU43" s="132">
        <f>AU44+AU45+AU46+AU47</f>
        <v>0</v>
      </c>
      <c r="AV43" s="132">
        <f>AV44+AV45+AV46+AV47</f>
        <v>0</v>
      </c>
      <c r="AW43" s="132">
        <f>AW44+AW45+AW46+AW47</f>
        <v>0</v>
      </c>
      <c r="AX43" s="132">
        <f>AX44+AX45+AX46+AX47</f>
        <v>0</v>
      </c>
      <c r="AY43" s="132">
        <f>AY44+AY45+AY46+AY47</f>
        <v>0</v>
      </c>
      <c r="AZ43" s="132">
        <f>AZ44+AZ45+AZ46+AZ47</f>
        <v>0</v>
      </c>
      <c r="BA43" s="132">
        <f>BA44+BA45+BA46+BA47</f>
        <v>0</v>
      </c>
      <c r="BB43" s="132">
        <f>BB44+BB45+BB46+BB47</f>
        <v>0</v>
      </c>
      <c r="BC43" s="132">
        <f>BC44+BC45+BC46+BC47</f>
        <v>0</v>
      </c>
      <c r="BD43" s="749">
        <f>BD44+BD45+BD46+BD47</f>
        <v>0</v>
      </c>
      <c r="BE43" s="132">
        <f>BE44+BE45+BE46+BE47</f>
        <v>0</v>
      </c>
      <c r="BF43" s="132">
        <f>BF44+BF45+BF46+BF47</f>
        <v>0</v>
      </c>
      <c r="BG43" s="132">
        <f>BG44+BG45+BG46+BG47</f>
        <v>0</v>
      </c>
      <c r="BH43" s="132">
        <f>BH44+BH45+BH46+BH47</f>
        <v>0</v>
      </c>
      <c r="BI43" s="132">
        <f>BI44+BI45+BI46+BI47</f>
        <v>0</v>
      </c>
      <c r="BJ43" s="132">
        <f>BJ44+BJ45+BJ46+BJ47</f>
        <v>0</v>
      </c>
      <c r="BK43" s="132">
        <f>BK44+BK45+BK46+BK47</f>
        <v>0</v>
      </c>
      <c r="BL43" s="132">
        <f>BL44+BL45+BL46+BL47</f>
        <v>0</v>
      </c>
      <c r="BM43" s="132">
        <f>BM44+BM45+BM46+BM47</f>
        <v>0</v>
      </c>
      <c r="BN43" s="132">
        <f>BN44+BN45+BN46+BN47</f>
        <v>0</v>
      </c>
      <c r="BO43" s="132">
        <f>BO44+BO45+BO46+BO47</f>
        <v>0</v>
      </c>
      <c r="BP43" s="132">
        <f>BP44+BP45+BP46+BP47</f>
        <v>0</v>
      </c>
      <c r="BQ43" s="132">
        <f>BQ44+BQ45+BQ46+BQ47</f>
        <v>0</v>
      </c>
      <c r="BR43" s="132">
        <f>BR44+BR45+BR46+BR47</f>
        <v>0</v>
      </c>
      <c r="BS43" s="132">
        <f>BS44+BS45+BS46+BS47</f>
        <v>0</v>
      </c>
      <c r="BT43" s="132">
        <f>BT44+BT45+BT46+BT47</f>
        <v>0</v>
      </c>
      <c r="BU43" s="132">
        <f>BU44+BU45+BU46+BU47</f>
        <v>0</v>
      </c>
      <c r="BV43" s="132">
        <f>BV44+BV45+BV46+BV47</f>
        <v>0</v>
      </c>
      <c r="BW43" s="132">
        <f>BW44+BW45+BW46+BW47</f>
        <v>0</v>
      </c>
      <c r="BX43" s="695">
        <f>IF(AI43=0,0,(BD43-AI43)/AI43*100)</f>
        <v>0</v>
      </c>
      <c r="BY43" s="695">
        <f>IF(BD43=0,0,(BE43-BD43)/BD43*100)</f>
        <v>0</v>
      </c>
      <c r="BZ43" s="695">
        <f>IF(BE43=0,0,(BF43-BE43)/BE43*100)</f>
        <v>0</v>
      </c>
      <c r="CA43" s="695">
        <f>IF(BF43=0,0,(BG43-BF43)/BF43*100)</f>
        <v>0</v>
      </c>
      <c r="CB43" s="695">
        <f>IF(BG43=0,0,(BH43-BG43)/BG43*100)</f>
        <v>0</v>
      </c>
      <c r="CC43" s="695">
        <f>IF(BH43=0,0,(BI43-BH43)/BH43*100)</f>
        <v>0</v>
      </c>
      <c r="CD43" s="695">
        <f>IF(BI43=0,0,(BJ43-BI43)/BI43*100)</f>
        <v>0</v>
      </c>
      <c r="CE43" s="695">
        <f>IF(BJ43=0,0,(BK43-BJ43)/BJ43*100)</f>
        <v>0</v>
      </c>
      <c r="CF43" s="695">
        <f>IF(BK43=0,0,(BL43-BK43)/BK43*100)</f>
        <v>0</v>
      </c>
      <c r="CG43" s="695">
        <f>IF(BL43=0,0,(BM43-BL43)/BL43*100)</f>
        <v>0</v>
      </c>
      <c r="CH43" s="695">
        <f>IF(BM43=0,0,(BN43-BM43)/BM43*100)</f>
        <v>0</v>
      </c>
      <c r="CI43" s="695">
        <f>IF(BN43=0,0,(BO43-BN43)/BN43*100)</f>
        <v>0</v>
      </c>
      <c r="CJ43" s="695">
        <f>IF(BO43=0,0,(BP43-BO43)/BO43*100)</f>
        <v>0</v>
      </c>
      <c r="CK43" s="695">
        <f>IF(BP43=0,0,(BQ43-BP43)/BP43*100)</f>
        <v>0</v>
      </c>
      <c r="CL43" s="695">
        <f>IF(BQ43=0,0,(BR43-BQ43)/BQ43*100)</f>
        <v>0</v>
      </c>
      <c r="CM43" s="695">
        <f>IF(BR43=0,0,(BS43-BR43)/BR43*100)</f>
        <v>0</v>
      </c>
      <c r="CN43" s="695">
        <f>IF(BS43=0,0,(BT43-BS43)/BS43*100)</f>
        <v>0</v>
      </c>
      <c r="CO43" s="695">
        <f>IF(BT43=0,0,(BU43-BT43)/BT43*100)</f>
        <v>0</v>
      </c>
      <c r="CP43" s="695">
        <f>IF(BU43=0,0,(BV43-BU43)/BU43*100)</f>
        <v>0</v>
      </c>
      <c r="CQ43" s="695">
        <f>IF(BV43=0,0,(BW43-BV43)/BV43*100)</f>
        <v>0</v>
      </c>
      <c r="CR43" s="83"/>
      <c r="CS43" s="83"/>
      <c r="CT43" s="83"/>
      <c r="CW43" s="489" t="s">
        <v>1835</v>
      </c>
      <c r="DD43" s="0" cm="1" t="str">
        <f t="array" ref="DD43:DD43">DD42</f>
        <v>0</v>
      </c>
      <c r="DM43" s="0" t="s">
        <v>2009</v>
      </c>
      <c r="DO43" s="0" t="s">
        <v>303</v>
      </c>
      <c r="DP43" s="0" t="s">
        <v>1836</v>
      </c>
      <c r="DQ43" s="0" t="s">
        <v>1837</v>
      </c>
    </row>
    <row customHeight="1" ht="58.5" hidden="1">
      <c r="E44" s="180">
        <v>60</v>
      </c>
      <c r="F44" s="175" cm="1" t="str">
        <f t="array" ref="F44:F44">OFFSET(G44,-1,-1)</f>
        <v>0</v>
      </c>
      <c r="T44" s="753">
        <f>AND(F44&gt;0,method_reg="Метод индексации")</f>
        <v>0</v>
      </c>
      <c r="AB44" s="491">
        <v>4.1</v>
      </c>
      <c r="AC44" s="816" t="s">
        <v>2010</v>
      </c>
      <c r="AD44" s="467" t="s">
        <v>1709</v>
      </c>
      <c r="AE44" s="132"/>
      <c r="AF44" s="132"/>
      <c r="AG44" s="132"/>
      <c r="AH44" s="695">
        <f>AG44-AF44</f>
        <v>0</v>
      </c>
      <c r="AI44" s="132"/>
      <c r="AJ44" s="749"/>
      <c r="AK44" s="132"/>
      <c r="AL44" s="132"/>
      <c r="AM44" s="132"/>
      <c r="AN44" s="132"/>
      <c r="AO44" s="132"/>
      <c r="AP44" s="132"/>
      <c r="AQ44" s="132"/>
      <c r="AR44" s="132"/>
      <c r="AS44" s="132"/>
      <c r="AT44" s="132"/>
      <c r="AU44" s="132"/>
      <c r="AV44" s="132"/>
      <c r="AW44" s="132"/>
      <c r="AX44" s="132"/>
      <c r="AY44" s="132"/>
      <c r="AZ44" s="132"/>
      <c r="BA44" s="132"/>
      <c r="BB44" s="132"/>
      <c r="BC44" s="132"/>
      <c r="BD44" s="749"/>
      <c r="BE44" s="132"/>
      <c r="BF44" s="132"/>
      <c r="BG44" s="132"/>
      <c r="BH44" s="132"/>
      <c r="BI44" s="132"/>
      <c r="BJ44" s="132"/>
      <c r="BK44" s="132"/>
      <c r="BL44" s="132"/>
      <c r="BM44" s="132"/>
      <c r="BN44" s="132"/>
      <c r="BO44" s="132"/>
      <c r="BP44" s="132"/>
      <c r="BQ44" s="132"/>
      <c r="BR44" s="132"/>
      <c r="BS44" s="132"/>
      <c r="BT44" s="132"/>
      <c r="BU44" s="132"/>
      <c r="BV44" s="132"/>
      <c r="BW44" s="132"/>
      <c r="BX44" s="695">
        <f>IF(AI44=0,0,(BD44-AI44)/AI44*100)</f>
        <v>0</v>
      </c>
      <c r="BY44" s="695">
        <f>IF(BD44=0,0,(BE44-BD44)/BD44*100)</f>
        <v>0</v>
      </c>
      <c r="BZ44" s="695">
        <f>IF(BE44=0,0,(BF44-BE44)/BE44*100)</f>
        <v>0</v>
      </c>
      <c r="CA44" s="695">
        <f>IF(BF44=0,0,(BG44-BF44)/BF44*100)</f>
        <v>0</v>
      </c>
      <c r="CB44" s="695">
        <f>IF(BG44=0,0,(BH44-BG44)/BG44*100)</f>
        <v>0</v>
      </c>
      <c r="CC44" s="695">
        <f>IF(BH44=0,0,(BI44-BH44)/BH44*100)</f>
        <v>0</v>
      </c>
      <c r="CD44" s="695">
        <f>IF(BI44=0,0,(BJ44-BI44)/BI44*100)</f>
        <v>0</v>
      </c>
      <c r="CE44" s="695">
        <f>IF(BJ44=0,0,(BK44-BJ44)/BJ44*100)</f>
        <v>0</v>
      </c>
      <c r="CF44" s="695">
        <f>IF(BK44=0,0,(BL44-BK44)/BK44*100)</f>
        <v>0</v>
      </c>
      <c r="CG44" s="695">
        <f>IF(BL44=0,0,(BM44-BL44)/BL44*100)</f>
        <v>0</v>
      </c>
      <c r="CH44" s="695">
        <f>IF(BM44=0,0,(BN44-BM44)/BM44*100)</f>
        <v>0</v>
      </c>
      <c r="CI44" s="695">
        <f>IF(BN44=0,0,(BO44-BN44)/BN44*100)</f>
        <v>0</v>
      </c>
      <c r="CJ44" s="695">
        <f>IF(BO44=0,0,(BP44-BO44)/BO44*100)</f>
        <v>0</v>
      </c>
      <c r="CK44" s="695">
        <f>IF(BP44=0,0,(BQ44-BP44)/BP44*100)</f>
        <v>0</v>
      </c>
      <c r="CL44" s="695">
        <f>IF(BQ44=0,0,(BR44-BQ44)/BQ44*100)</f>
        <v>0</v>
      </c>
      <c r="CM44" s="695">
        <f>IF(BR44=0,0,(BS44-BR44)/BR44*100)</f>
        <v>0</v>
      </c>
      <c r="CN44" s="695">
        <f>IF(BS44=0,0,(BT44-BS44)/BS44*100)</f>
        <v>0</v>
      </c>
      <c r="CO44" s="695">
        <f>IF(BT44=0,0,(BU44-BT44)/BT44*100)</f>
        <v>0</v>
      </c>
      <c r="CP44" s="695">
        <f>IF(BU44=0,0,(BV44-BU44)/BU44*100)</f>
        <v>0</v>
      </c>
      <c r="CQ44" s="695">
        <f>IF(BV44=0,0,(BW44-BV44)/BV44*100)</f>
        <v>0</v>
      </c>
      <c r="CR44" s="83"/>
      <c r="CS44" s="83"/>
      <c r="CT44" s="83"/>
      <c r="CW44" s="489" t="s">
        <v>2011</v>
      </c>
      <c r="DD44" s="0" cm="1" t="str">
        <f t="array" ref="DD44:DD44">DD43</f>
        <v>0</v>
      </c>
      <c r="DE44" s="0" t="s">
        <v>2012</v>
      </c>
      <c r="DO44" s="0" t="s">
        <v>303</v>
      </c>
      <c r="DP44" s="0" t="s">
        <v>2013</v>
      </c>
      <c r="DQ44" s="0" t="s">
        <v>2014</v>
      </c>
    </row>
    <row customHeight="1" ht="29.25" hidden="1">
      <c r="E45" s="180">
        <v>30</v>
      </c>
      <c r="F45" s="175" cm="1" t="str">
        <f t="array" ref="F45:F45">OFFSET(G45,-1,-1)</f>
        <v>0</v>
      </c>
      <c r="T45" s="753">
        <f>AND(F45&gt;0,method_reg="Метод индексации")</f>
        <v>0</v>
      </c>
      <c r="AB45" s="491">
        <v>4.2</v>
      </c>
      <c r="AC45" s="815" t="s">
        <v>2015</v>
      </c>
      <c r="AD45" s="467" t="s">
        <v>1709</v>
      </c>
      <c r="AE45" s="132"/>
      <c r="AF45" s="132"/>
      <c r="AG45" s="132"/>
      <c r="AH45" s="695">
        <f>AG45-AF45</f>
        <v>0</v>
      </c>
      <c r="AI45" s="132"/>
      <c r="AJ45" s="749"/>
      <c r="AK45" s="132"/>
      <c r="AL45" s="132"/>
      <c r="AM45" s="132"/>
      <c r="AN45" s="132"/>
      <c r="AO45" s="132"/>
      <c r="AP45" s="132"/>
      <c r="AQ45" s="132"/>
      <c r="AR45" s="132"/>
      <c r="AS45" s="132"/>
      <c r="AT45" s="132"/>
      <c r="AU45" s="132"/>
      <c r="AV45" s="132"/>
      <c r="AW45" s="132"/>
      <c r="AX45" s="132"/>
      <c r="AY45" s="132"/>
      <c r="AZ45" s="132"/>
      <c r="BA45" s="132"/>
      <c r="BB45" s="132"/>
      <c r="BC45" s="132"/>
      <c r="BD45" s="749"/>
      <c r="BE45" s="132"/>
      <c r="BF45" s="132"/>
      <c r="BG45" s="132"/>
      <c r="BH45" s="132"/>
      <c r="BI45" s="132"/>
      <c r="BJ45" s="132"/>
      <c r="BK45" s="132"/>
      <c r="BL45" s="132"/>
      <c r="BM45" s="132"/>
      <c r="BN45" s="132"/>
      <c r="BO45" s="132"/>
      <c r="BP45" s="132"/>
      <c r="BQ45" s="132"/>
      <c r="BR45" s="132"/>
      <c r="BS45" s="132"/>
      <c r="BT45" s="132"/>
      <c r="BU45" s="132"/>
      <c r="BV45" s="132"/>
      <c r="BW45" s="132"/>
      <c r="BX45" s="695">
        <f>IF(AI45=0,0,(BD45-AI45)/AI45*100)</f>
        <v>0</v>
      </c>
      <c r="BY45" s="695">
        <f>IF(BD45=0,0,(BE45-BD45)/BD45*100)</f>
        <v>0</v>
      </c>
      <c r="BZ45" s="695">
        <f>IF(BE45=0,0,(BF45-BE45)/BE45*100)</f>
        <v>0</v>
      </c>
      <c r="CA45" s="695">
        <f>IF(BF45=0,0,(BG45-BF45)/BF45*100)</f>
        <v>0</v>
      </c>
      <c r="CB45" s="695">
        <f>IF(BG45=0,0,(BH45-BG45)/BG45*100)</f>
        <v>0</v>
      </c>
      <c r="CC45" s="695">
        <f>IF(BH45=0,0,(BI45-BH45)/BH45*100)</f>
        <v>0</v>
      </c>
      <c r="CD45" s="695">
        <f>IF(BI45=0,0,(BJ45-BI45)/BI45*100)</f>
        <v>0</v>
      </c>
      <c r="CE45" s="695">
        <f>IF(BJ45=0,0,(BK45-BJ45)/BJ45*100)</f>
        <v>0</v>
      </c>
      <c r="CF45" s="695">
        <f>IF(BK45=0,0,(BL45-BK45)/BK45*100)</f>
        <v>0</v>
      </c>
      <c r="CG45" s="695">
        <f>IF(BL45=0,0,(BM45-BL45)/BL45*100)</f>
        <v>0</v>
      </c>
      <c r="CH45" s="695">
        <f>IF(BM45=0,0,(BN45-BM45)/BM45*100)</f>
        <v>0</v>
      </c>
      <c r="CI45" s="695">
        <f>IF(BN45=0,0,(BO45-BN45)/BN45*100)</f>
        <v>0</v>
      </c>
      <c r="CJ45" s="695">
        <f>IF(BO45=0,0,(BP45-BO45)/BO45*100)</f>
        <v>0</v>
      </c>
      <c r="CK45" s="695">
        <f>IF(BP45=0,0,(BQ45-BP45)/BP45*100)</f>
        <v>0</v>
      </c>
      <c r="CL45" s="695">
        <f>IF(BQ45=0,0,(BR45-BQ45)/BQ45*100)</f>
        <v>0</v>
      </c>
      <c r="CM45" s="695">
        <f>IF(BR45=0,0,(BS45-BR45)/BR45*100)</f>
        <v>0</v>
      </c>
      <c r="CN45" s="695">
        <f>IF(BS45=0,0,(BT45-BS45)/BS45*100)</f>
        <v>0</v>
      </c>
      <c r="CO45" s="695">
        <f>IF(BT45=0,0,(BU45-BT45)/BT45*100)</f>
        <v>0</v>
      </c>
      <c r="CP45" s="695">
        <f>IF(BU45=0,0,(BV45-BU45)/BU45*100)</f>
        <v>0</v>
      </c>
      <c r="CQ45" s="695">
        <f>IF(BV45=0,0,(BW45-BV45)/BV45*100)</f>
        <v>0</v>
      </c>
      <c r="CR45" s="83"/>
      <c r="CS45" s="83"/>
      <c r="CT45" s="83"/>
      <c r="CW45" s="489" t="s">
        <v>2016</v>
      </c>
      <c r="DD45" s="0" cm="1" t="str">
        <f t="array" ref="DD45:DD45">DD44</f>
        <v>0</v>
      </c>
      <c r="DM45" s="0" t="s">
        <v>2017</v>
      </c>
      <c r="DO45" s="0" t="s">
        <v>303</v>
      </c>
      <c r="DP45" s="0" t="s">
        <v>2018</v>
      </c>
      <c r="DQ45" s="0" t="s">
        <v>2019</v>
      </c>
    </row>
    <row customHeight="1" ht="43.875" hidden="1">
      <c r="E46" s="180">
        <v>45</v>
      </c>
      <c r="F46" s="175" cm="1" t="str">
        <f t="array" ref="F46:F46">OFFSET(G46,-1,-1)</f>
        <v>0</v>
      </c>
      <c r="T46" s="753">
        <f>AND(F46&gt;0,method_reg="Метод индексации")</f>
        <v>0</v>
      </c>
      <c r="AB46" s="491">
        <v>4.3</v>
      </c>
      <c r="AC46" s="815" t="s">
        <v>2020</v>
      </c>
      <c r="AD46" s="467" t="s">
        <v>1709</v>
      </c>
      <c r="AE46" s="132"/>
      <c r="AF46" s="132"/>
      <c r="AG46" s="132"/>
      <c r="AH46" s="695">
        <f>AG46-AF46</f>
        <v>0</v>
      </c>
      <c r="AI46" s="132"/>
      <c r="AJ46" s="749"/>
      <c r="AK46" s="132"/>
      <c r="AL46" s="132"/>
      <c r="AM46" s="132"/>
      <c r="AN46" s="132"/>
      <c r="AO46" s="132"/>
      <c r="AP46" s="132"/>
      <c r="AQ46" s="132"/>
      <c r="AR46" s="132"/>
      <c r="AS46" s="132"/>
      <c r="AT46" s="132"/>
      <c r="AU46" s="132"/>
      <c r="AV46" s="132"/>
      <c r="AW46" s="132"/>
      <c r="AX46" s="132"/>
      <c r="AY46" s="132"/>
      <c r="AZ46" s="132"/>
      <c r="BA46" s="132"/>
      <c r="BB46" s="132"/>
      <c r="BC46" s="132"/>
      <c r="BD46" s="749"/>
      <c r="BE46" s="132"/>
      <c r="BF46" s="132"/>
      <c r="BG46" s="132"/>
      <c r="BH46" s="132"/>
      <c r="BI46" s="132"/>
      <c r="BJ46" s="132"/>
      <c r="BK46" s="132"/>
      <c r="BL46" s="132"/>
      <c r="BM46" s="132"/>
      <c r="BN46" s="132"/>
      <c r="BO46" s="132"/>
      <c r="BP46" s="132"/>
      <c r="BQ46" s="132"/>
      <c r="BR46" s="132"/>
      <c r="BS46" s="132"/>
      <c r="BT46" s="132"/>
      <c r="BU46" s="132"/>
      <c r="BV46" s="132"/>
      <c r="BW46" s="132"/>
      <c r="BX46" s="695">
        <f>IF(AI46=0,0,(BD46-AI46)/AI46*100)</f>
        <v>0</v>
      </c>
      <c r="BY46" s="695">
        <f>IF(BD46=0,0,(BE46-BD46)/BD46*100)</f>
        <v>0</v>
      </c>
      <c r="BZ46" s="695">
        <f>IF(BE46=0,0,(BF46-BE46)/BE46*100)</f>
        <v>0</v>
      </c>
      <c r="CA46" s="695">
        <f>IF(BF46=0,0,(BG46-BF46)/BF46*100)</f>
        <v>0</v>
      </c>
      <c r="CB46" s="695">
        <f>IF(BG46=0,0,(BH46-BG46)/BG46*100)</f>
        <v>0</v>
      </c>
      <c r="CC46" s="695">
        <f>IF(BH46=0,0,(BI46-BH46)/BH46*100)</f>
        <v>0</v>
      </c>
      <c r="CD46" s="695">
        <f>IF(BI46=0,0,(BJ46-BI46)/BI46*100)</f>
        <v>0</v>
      </c>
      <c r="CE46" s="695">
        <f>IF(BJ46=0,0,(BK46-BJ46)/BJ46*100)</f>
        <v>0</v>
      </c>
      <c r="CF46" s="695">
        <f>IF(BK46=0,0,(BL46-BK46)/BK46*100)</f>
        <v>0</v>
      </c>
      <c r="CG46" s="695">
        <f>IF(BL46=0,0,(BM46-BL46)/BL46*100)</f>
        <v>0</v>
      </c>
      <c r="CH46" s="695">
        <f>IF(BM46=0,0,(BN46-BM46)/BM46*100)</f>
        <v>0</v>
      </c>
      <c r="CI46" s="695">
        <f>IF(BN46=0,0,(BO46-BN46)/BN46*100)</f>
        <v>0</v>
      </c>
      <c r="CJ46" s="695">
        <f>IF(BO46=0,0,(BP46-BO46)/BO46*100)</f>
        <v>0</v>
      </c>
      <c r="CK46" s="695">
        <f>IF(BP46=0,0,(BQ46-BP46)/BP46*100)</f>
        <v>0</v>
      </c>
      <c r="CL46" s="695">
        <f>IF(BQ46=0,0,(BR46-BQ46)/BQ46*100)</f>
        <v>0</v>
      </c>
      <c r="CM46" s="695">
        <f>IF(BR46=0,0,(BS46-BR46)/BR46*100)</f>
        <v>0</v>
      </c>
      <c r="CN46" s="695">
        <f>IF(BS46=0,0,(BT46-BS46)/BS46*100)</f>
        <v>0</v>
      </c>
      <c r="CO46" s="695">
        <f>IF(BT46=0,0,(BU46-BT46)/BT46*100)</f>
        <v>0</v>
      </c>
      <c r="CP46" s="695">
        <f>IF(BU46=0,0,(BV46-BU46)/BU46*100)</f>
        <v>0</v>
      </c>
      <c r="CQ46" s="695">
        <f>IF(BV46=0,0,(BW46-BV46)/BV46*100)</f>
        <v>0</v>
      </c>
      <c r="CR46" s="83"/>
      <c r="CS46" s="83"/>
      <c r="CT46" s="83"/>
      <c r="CW46" s="489" t="s">
        <v>2021</v>
      </c>
      <c r="DD46" s="0" cm="1" t="str">
        <f t="array" ref="DD46:DD46">DD45</f>
        <v>0</v>
      </c>
      <c r="DM46" s="0" t="s">
        <v>2022</v>
      </c>
      <c r="DO46" s="0" t="s">
        <v>303</v>
      </c>
      <c r="DP46" s="0" t="s">
        <v>2023</v>
      </c>
      <c r="DQ46" s="0" t="s">
        <v>2024</v>
      </c>
    </row>
    <row customHeight="1" ht="14.625" hidden="1">
      <c r="E47" s="180">
        <v>15</v>
      </c>
      <c r="F47" s="175" cm="1" t="str">
        <f t="array" ref="F47:F47">OFFSET(G47,-1,-1)</f>
        <v>0</v>
      </c>
      <c r="T47" s="753">
        <f>AND(F47&gt;0,method_reg="Метод индексации")</f>
        <v>0</v>
      </c>
      <c r="AB47" s="491">
        <v>4.4</v>
      </c>
      <c r="AC47" s="815" t="s">
        <v>2025</v>
      </c>
      <c r="AD47" s="467" t="s">
        <v>1178</v>
      </c>
      <c r="AE47" s="132"/>
      <c r="AF47" s="132"/>
      <c r="AG47" s="132"/>
      <c r="AH47" s="695">
        <f>AG47-AF47</f>
        <v>0</v>
      </c>
      <c r="AI47" s="132"/>
      <c r="AJ47" s="749"/>
      <c r="AK47" s="132"/>
      <c r="AL47" s="132"/>
      <c r="AM47" s="132"/>
      <c r="AN47" s="132"/>
      <c r="AO47" s="132"/>
      <c r="AP47" s="132"/>
      <c r="AQ47" s="132"/>
      <c r="AR47" s="132"/>
      <c r="AS47" s="132"/>
      <c r="AT47" s="132"/>
      <c r="AU47" s="132"/>
      <c r="AV47" s="132"/>
      <c r="AW47" s="132"/>
      <c r="AX47" s="132"/>
      <c r="AY47" s="132"/>
      <c r="AZ47" s="132"/>
      <c r="BA47" s="132"/>
      <c r="BB47" s="132"/>
      <c r="BC47" s="132"/>
      <c r="BD47" s="749"/>
      <c r="BE47" s="132"/>
      <c r="BF47" s="132"/>
      <c r="BG47" s="132"/>
      <c r="BH47" s="132"/>
      <c r="BI47" s="132"/>
      <c r="BJ47" s="132"/>
      <c r="BK47" s="132"/>
      <c r="BL47" s="132"/>
      <c r="BM47" s="132"/>
      <c r="BN47" s="132"/>
      <c r="BO47" s="132"/>
      <c r="BP47" s="132"/>
      <c r="BQ47" s="132"/>
      <c r="BR47" s="132"/>
      <c r="BS47" s="132"/>
      <c r="BT47" s="132"/>
      <c r="BU47" s="132"/>
      <c r="BV47" s="132"/>
      <c r="BW47" s="132"/>
      <c r="BX47" s="695">
        <f>IF(AI47=0,0,(BD47-AI47)/AI47*100)</f>
        <v>0</v>
      </c>
      <c r="BY47" s="695">
        <f>IF(BD47=0,0,(BE47-BD47)/BD47*100)</f>
        <v>0</v>
      </c>
      <c r="BZ47" s="695">
        <f>IF(BE47=0,0,(BF47-BE47)/BE47*100)</f>
        <v>0</v>
      </c>
      <c r="CA47" s="695">
        <f>IF(BF47=0,0,(BG47-BF47)/BF47*100)</f>
        <v>0</v>
      </c>
      <c r="CB47" s="695">
        <f>IF(BG47=0,0,(BH47-BG47)/BG47*100)</f>
        <v>0</v>
      </c>
      <c r="CC47" s="695">
        <f>IF(BH47=0,0,(BI47-BH47)/BH47*100)</f>
        <v>0</v>
      </c>
      <c r="CD47" s="695">
        <f>IF(BI47=0,0,(BJ47-BI47)/BI47*100)</f>
        <v>0</v>
      </c>
      <c r="CE47" s="695">
        <f>IF(BJ47=0,0,(BK47-BJ47)/BJ47*100)</f>
        <v>0</v>
      </c>
      <c r="CF47" s="695">
        <f>IF(BK47=0,0,(BL47-BK47)/BK47*100)</f>
        <v>0</v>
      </c>
      <c r="CG47" s="695">
        <f>IF(BL47=0,0,(BM47-BL47)/BL47*100)</f>
        <v>0</v>
      </c>
      <c r="CH47" s="695">
        <f>IF(BM47=0,0,(BN47-BM47)/BM47*100)</f>
        <v>0</v>
      </c>
      <c r="CI47" s="695">
        <f>IF(BN47=0,0,(BO47-BN47)/BN47*100)</f>
        <v>0</v>
      </c>
      <c r="CJ47" s="695">
        <f>IF(BO47=0,0,(BP47-BO47)/BO47*100)</f>
        <v>0</v>
      </c>
      <c r="CK47" s="695">
        <f>IF(BP47=0,0,(BQ47-BP47)/BP47*100)</f>
        <v>0</v>
      </c>
      <c r="CL47" s="695">
        <f>IF(BQ47=0,0,(BR47-BQ47)/BQ47*100)</f>
        <v>0</v>
      </c>
      <c r="CM47" s="695">
        <f>IF(BR47=0,0,(BS47-BR47)/BR47*100)</f>
        <v>0</v>
      </c>
      <c r="CN47" s="695">
        <f>IF(BS47=0,0,(BT47-BS47)/BS47*100)</f>
        <v>0</v>
      </c>
      <c r="CO47" s="695">
        <f>IF(BT47=0,0,(BU47-BT47)/BT47*100)</f>
        <v>0</v>
      </c>
      <c r="CP47" s="695">
        <f>IF(BU47=0,0,(BV47-BU47)/BU47*100)</f>
        <v>0</v>
      </c>
      <c r="CQ47" s="695">
        <f>IF(BV47=0,0,(BW47-BV47)/BV47*100)</f>
        <v>0</v>
      </c>
      <c r="CR47" s="83"/>
      <c r="CS47" s="83"/>
      <c r="CT47" s="83"/>
      <c r="CW47" s="489" t="s">
        <v>2026</v>
      </c>
      <c r="DD47" s="0" cm="1" t="str">
        <f t="array" ref="DD47:DD47">DD46</f>
        <v>0</v>
      </c>
    </row>
    <row customHeight="1" ht="14.625" hidden="1">
      <c r="E48" s="180">
        <v>15</v>
      </c>
      <c r="F48" s="175" cm="1" t="str">
        <f t="array" ref="F48:F48">OFFSET(G48,-1,-1)</f>
        <v>0</v>
      </c>
      <c r="G48" s="193" t="s">
        <v>1843</v>
      </c>
      <c r="T48" s="753">
        <f>AND(F48&gt;0,method_reg="Метод индексации")</f>
        <v>0</v>
      </c>
      <c r="AB48" s="491">
        <v>5</v>
      </c>
      <c r="AC48" s="815" t="s">
        <v>1845</v>
      </c>
      <c r="AD48" s="467" t="s">
        <v>1178</v>
      </c>
      <c r="AE48" s="132"/>
      <c r="AF48" s="132"/>
      <c r="AG48" s="132"/>
      <c r="AH48" s="695">
        <f>AG48-AF48</f>
        <v>0</v>
      </c>
      <c r="AI48" s="132"/>
      <c r="AJ48" s="749"/>
      <c r="AK48" s="132"/>
      <c r="AL48" s="132"/>
      <c r="AM48" s="132"/>
      <c r="AN48" s="132"/>
      <c r="AO48" s="132"/>
      <c r="AP48" s="132"/>
      <c r="AQ48" s="132"/>
      <c r="AR48" s="132"/>
      <c r="AS48" s="132"/>
      <c r="AT48" s="132"/>
      <c r="AU48" s="132"/>
      <c r="AV48" s="132"/>
      <c r="AW48" s="132"/>
      <c r="AX48" s="132"/>
      <c r="AY48" s="132"/>
      <c r="AZ48" s="132"/>
      <c r="BA48" s="132"/>
      <c r="BB48" s="132"/>
      <c r="BC48" s="132"/>
      <c r="BD48" s="749"/>
      <c r="BE48" s="132"/>
      <c r="BF48" s="132"/>
      <c r="BG48" s="132"/>
      <c r="BH48" s="132"/>
      <c r="BI48" s="132"/>
      <c r="BJ48" s="132"/>
      <c r="BK48" s="132"/>
      <c r="BL48" s="132"/>
      <c r="BM48" s="132"/>
      <c r="BN48" s="132"/>
      <c r="BO48" s="132"/>
      <c r="BP48" s="132"/>
      <c r="BQ48" s="132"/>
      <c r="BR48" s="132"/>
      <c r="BS48" s="132"/>
      <c r="BT48" s="132"/>
      <c r="BU48" s="132"/>
      <c r="BV48" s="132"/>
      <c r="BW48" s="132"/>
      <c r="BX48" s="695">
        <f>IF(AI48=0,0,(BD48-AI48)/AI48*100)</f>
        <v>0</v>
      </c>
      <c r="BY48" s="695">
        <f>IF(BD48=0,0,(BE48-BD48)/BD48*100)</f>
        <v>0</v>
      </c>
      <c r="BZ48" s="695">
        <f>IF(BE48=0,0,(BF48-BE48)/BE48*100)</f>
        <v>0</v>
      </c>
      <c r="CA48" s="695">
        <f>IF(BF48=0,0,(BG48-BF48)/BF48*100)</f>
        <v>0</v>
      </c>
      <c r="CB48" s="695">
        <f>IF(BG48=0,0,(BH48-BG48)/BG48*100)</f>
        <v>0</v>
      </c>
      <c r="CC48" s="695">
        <f>IF(BH48=0,0,(BI48-BH48)/BH48*100)</f>
        <v>0</v>
      </c>
      <c r="CD48" s="695">
        <f>IF(BI48=0,0,(BJ48-BI48)/BI48*100)</f>
        <v>0</v>
      </c>
      <c r="CE48" s="695">
        <f>IF(BJ48=0,0,(BK48-BJ48)/BJ48*100)</f>
        <v>0</v>
      </c>
      <c r="CF48" s="695">
        <f>IF(BK48=0,0,(BL48-BK48)/BK48*100)</f>
        <v>0</v>
      </c>
      <c r="CG48" s="695">
        <f>IF(BL48=0,0,(BM48-BL48)/BL48*100)</f>
        <v>0</v>
      </c>
      <c r="CH48" s="695">
        <f>IF(BM48=0,0,(BN48-BM48)/BM48*100)</f>
        <v>0</v>
      </c>
      <c r="CI48" s="695">
        <f>IF(BN48=0,0,(BO48-BN48)/BN48*100)</f>
        <v>0</v>
      </c>
      <c r="CJ48" s="695">
        <f>IF(BO48=0,0,(BP48-BO48)/BO48*100)</f>
        <v>0</v>
      </c>
      <c r="CK48" s="695">
        <f>IF(BP48=0,0,(BQ48-BP48)/BP48*100)</f>
        <v>0</v>
      </c>
      <c r="CL48" s="695">
        <f>IF(BQ48=0,0,(BR48-BQ48)/BQ48*100)</f>
        <v>0</v>
      </c>
      <c r="CM48" s="695">
        <f>IF(BR48=0,0,(BS48-BR48)/BR48*100)</f>
        <v>0</v>
      </c>
      <c r="CN48" s="695">
        <f>IF(BS48=0,0,(BT48-BS48)/BS48*100)</f>
        <v>0</v>
      </c>
      <c r="CO48" s="695">
        <f>IF(BT48=0,0,(BU48-BT48)/BT48*100)</f>
        <v>0</v>
      </c>
      <c r="CP48" s="695">
        <f>IF(BU48=0,0,(BV48-BU48)/BU48*100)</f>
        <v>0</v>
      </c>
      <c r="CQ48" s="695">
        <f>IF(BV48=0,0,(BW48-BV48)/BV48*100)</f>
        <v>0</v>
      </c>
      <c r="CR48" s="83"/>
      <c r="CS48" s="83"/>
      <c r="CT48" s="83"/>
      <c r="CW48" s="489" t="s">
        <v>2027</v>
      </c>
      <c r="DD48" s="0" cm="1" t="str">
        <f t="array" ref="DD48:DD48">DD47</f>
        <v>0</v>
      </c>
      <c r="DM48" s="0" t="s">
        <v>2028</v>
      </c>
      <c r="DO48" s="0" t="s">
        <v>303</v>
      </c>
      <c r="DP48" s="0" t="s">
        <v>1847</v>
      </c>
      <c r="DQ48" s="0" t="s">
        <v>2029</v>
      </c>
    </row>
    <row customHeight="1" ht="14.625" hidden="1">
      <c r="E49" s="180">
        <v>15</v>
      </c>
      <c r="F49" s="175" cm="1" t="str">
        <f t="array" ref="F49:F49">OFFSET(G49,-1,-1)</f>
        <v>0</v>
      </c>
      <c r="T49" s="753">
        <f>AND(F49&gt;0,method_reg="Метод индексации")</f>
        <v>0</v>
      </c>
      <c r="AB49" s="491">
        <v>5.1</v>
      </c>
      <c r="AC49" s="501" t="s">
        <v>1839</v>
      </c>
      <c r="AD49" s="467" t="s">
        <v>495</v>
      </c>
      <c r="AE49" s="125"/>
      <c r="AF49" s="125"/>
      <c r="AG49" s="125"/>
      <c r="AH49" s="695">
        <f>AG49-AF49</f>
        <v>0</v>
      </c>
      <c r="AI49" s="125"/>
      <c r="AJ49" s="716"/>
      <c r="AK49" s="125"/>
      <c r="AL49" s="125"/>
      <c r="AM49" s="125"/>
      <c r="AN49" s="125"/>
      <c r="AO49" s="125"/>
      <c r="AP49" s="125"/>
      <c r="AQ49" s="125"/>
      <c r="AR49" s="125"/>
      <c r="AS49" s="125"/>
      <c r="AT49" s="125"/>
      <c r="AU49" s="125"/>
      <c r="AV49" s="125"/>
      <c r="AW49" s="125"/>
      <c r="AX49" s="125"/>
      <c r="AY49" s="125"/>
      <c r="AZ49" s="125"/>
      <c r="BA49" s="125"/>
      <c r="BB49" s="125"/>
      <c r="BC49" s="125"/>
      <c r="BD49" s="716"/>
      <c r="BE49" s="125"/>
      <c r="BF49" s="125"/>
      <c r="BG49" s="125"/>
      <c r="BH49" s="125"/>
      <c r="BI49" s="125"/>
      <c r="BJ49" s="125"/>
      <c r="BK49" s="125"/>
      <c r="BL49" s="125"/>
      <c r="BM49" s="125"/>
      <c r="BN49" s="125"/>
      <c r="BO49" s="125"/>
      <c r="BP49" s="125"/>
      <c r="BQ49" s="125"/>
      <c r="BR49" s="125"/>
      <c r="BS49" s="125"/>
      <c r="BT49" s="125"/>
      <c r="BU49" s="125"/>
      <c r="BV49" s="125"/>
      <c r="BW49" s="125"/>
      <c r="BX49" s="695">
        <f>IF(AI49=0,0,(BD49-AI49)/AI49*100)</f>
        <v>0</v>
      </c>
      <c r="BY49" s="695">
        <f>IF(BD49=0,0,(BE49-BD49)/BD49*100)</f>
        <v>0</v>
      </c>
      <c r="BZ49" s="695">
        <f>IF(BE49=0,0,(BF49-BE49)/BE49*100)</f>
        <v>0</v>
      </c>
      <c r="CA49" s="695">
        <f>IF(BF49=0,0,(BG49-BF49)/BF49*100)</f>
        <v>0</v>
      </c>
      <c r="CB49" s="695">
        <f>IF(BG49=0,0,(BH49-BG49)/BG49*100)</f>
        <v>0</v>
      </c>
      <c r="CC49" s="695">
        <f>IF(BH49=0,0,(BI49-BH49)/BH49*100)</f>
        <v>0</v>
      </c>
      <c r="CD49" s="695">
        <f>IF(BI49=0,0,(BJ49-BI49)/BI49*100)</f>
        <v>0</v>
      </c>
      <c r="CE49" s="695">
        <f>IF(BJ49=0,0,(BK49-BJ49)/BJ49*100)</f>
        <v>0</v>
      </c>
      <c r="CF49" s="695">
        <f>IF(BK49=0,0,(BL49-BK49)/BK49*100)</f>
        <v>0</v>
      </c>
      <c r="CG49" s="695">
        <f>IF(BL49=0,0,(BM49-BL49)/BL49*100)</f>
        <v>0</v>
      </c>
      <c r="CH49" s="695">
        <f>IF(BM49=0,0,(BN49-BM49)/BM49*100)</f>
        <v>0</v>
      </c>
      <c r="CI49" s="695">
        <f>IF(BN49=0,0,(BO49-BN49)/BN49*100)</f>
        <v>0</v>
      </c>
      <c r="CJ49" s="695">
        <f>IF(BO49=0,0,(BP49-BO49)/BO49*100)</f>
        <v>0</v>
      </c>
      <c r="CK49" s="695">
        <f>IF(BP49=0,0,(BQ49-BP49)/BP49*100)</f>
        <v>0</v>
      </c>
      <c r="CL49" s="695">
        <f>IF(BQ49=0,0,(BR49-BQ49)/BQ49*100)</f>
        <v>0</v>
      </c>
      <c r="CM49" s="695">
        <f>IF(BR49=0,0,(BS49-BR49)/BR49*100)</f>
        <v>0</v>
      </c>
      <c r="CN49" s="695">
        <f>IF(BS49=0,0,(BT49-BS49)/BS49*100)</f>
        <v>0</v>
      </c>
      <c r="CO49" s="695">
        <f>IF(BT49=0,0,(BU49-BT49)/BT49*100)</f>
        <v>0</v>
      </c>
      <c r="CP49" s="695">
        <f>IF(BU49=0,0,(BV49-BU49)/BU49*100)</f>
        <v>0</v>
      </c>
      <c r="CQ49" s="695">
        <f>IF(BV49=0,0,(BW49-BV49)/BV49*100)</f>
        <v>0</v>
      </c>
      <c r="CR49" s="83"/>
      <c r="CS49" s="83"/>
      <c r="CT49" s="83"/>
      <c r="CW49" s="489" t="s">
        <v>2030</v>
      </c>
      <c r="DD49" s="0" cm="1" t="str">
        <f t="array" ref="DD49:DD49">DD48</f>
        <v>0</v>
      </c>
      <c r="DM49" s="0" t="s">
        <v>2031</v>
      </c>
      <c r="DO49" s="0" t="s">
        <v>303</v>
      </c>
      <c r="DP49" s="0" t="s">
        <v>2032</v>
      </c>
      <c r="DQ49" s="0" t="s">
        <v>1853</v>
      </c>
    </row>
    <row customHeight="1" ht="28.275000000000002" hidden="1">
      <c r="E50" s="180">
        <v>29</v>
      </c>
      <c r="F50" s="175" cm="1" t="str">
        <f t="array" ref="F50:F50">OFFSET(G50,-1,-1)</f>
        <v>0</v>
      </c>
      <c r="G50" s="193">
        <v>6</v>
      </c>
      <c r="T50" s="753">
        <f>F50&gt;0</f>
        <v>0</v>
      </c>
      <c r="AB50" s="491">
        <v>6</v>
      </c>
      <c r="AC50" s="815" t="s">
        <v>1850</v>
      </c>
      <c r="AD50" s="467" t="s">
        <v>1178</v>
      </c>
      <c r="AE50" s="132"/>
      <c r="AF50" s="132"/>
      <c r="AG50" s="132"/>
      <c r="AH50" s="695">
        <f>AG50-AF50</f>
        <v>0</v>
      </c>
      <c r="AI50" s="132"/>
      <c r="AJ50" s="749"/>
      <c r="AK50" s="132"/>
      <c r="AL50" s="132"/>
      <c r="AM50" s="132"/>
      <c r="AN50" s="132"/>
      <c r="AO50" s="132"/>
      <c r="AP50" s="132"/>
      <c r="AQ50" s="132"/>
      <c r="AR50" s="132"/>
      <c r="AS50" s="132"/>
      <c r="AT50" s="132"/>
      <c r="AU50" s="132"/>
      <c r="AV50" s="132"/>
      <c r="AW50" s="132"/>
      <c r="AX50" s="132"/>
      <c r="AY50" s="132"/>
      <c r="AZ50" s="132"/>
      <c r="BA50" s="132"/>
      <c r="BB50" s="132"/>
      <c r="BC50" s="132"/>
      <c r="BD50" s="749"/>
      <c r="BE50" s="132"/>
      <c r="BF50" s="132"/>
      <c r="BG50" s="132"/>
      <c r="BH50" s="132"/>
      <c r="BI50" s="132"/>
      <c r="BJ50" s="132"/>
      <c r="BK50" s="132"/>
      <c r="BL50" s="132"/>
      <c r="BM50" s="132"/>
      <c r="BN50" s="132"/>
      <c r="BO50" s="132"/>
      <c r="BP50" s="132"/>
      <c r="BQ50" s="132"/>
      <c r="BR50" s="132"/>
      <c r="BS50" s="132"/>
      <c r="BT50" s="132"/>
      <c r="BU50" s="132"/>
      <c r="BV50" s="132"/>
      <c r="BW50" s="132"/>
      <c r="BX50" s="695">
        <f>IF(AI50=0,0,(BD50-AI50)/AI50*100)</f>
        <v>0</v>
      </c>
      <c r="BY50" s="695">
        <f>IF(BD50=0,0,(BE50-BD50)/BD50*100)</f>
        <v>0</v>
      </c>
      <c r="BZ50" s="695">
        <f>IF(BE50=0,0,(BF50-BE50)/BE50*100)</f>
        <v>0</v>
      </c>
      <c r="CA50" s="695">
        <f>IF(BF50=0,0,(BG50-BF50)/BF50*100)</f>
        <v>0</v>
      </c>
      <c r="CB50" s="695">
        <f>IF(BG50=0,0,(BH50-BG50)/BG50*100)</f>
        <v>0</v>
      </c>
      <c r="CC50" s="695">
        <f>IF(BH50=0,0,(BI50-BH50)/BH50*100)</f>
        <v>0</v>
      </c>
      <c r="CD50" s="695">
        <f>IF(BI50=0,0,(BJ50-BI50)/BI50*100)</f>
        <v>0</v>
      </c>
      <c r="CE50" s="695">
        <f>IF(BJ50=0,0,(BK50-BJ50)/BJ50*100)</f>
        <v>0</v>
      </c>
      <c r="CF50" s="695">
        <f>IF(BK50=0,0,(BL50-BK50)/BK50*100)</f>
        <v>0</v>
      </c>
      <c r="CG50" s="695">
        <f>IF(BL50=0,0,(BM50-BL50)/BL50*100)</f>
        <v>0</v>
      </c>
      <c r="CH50" s="695">
        <f>IF(BM50=0,0,(BN50-BM50)/BM50*100)</f>
        <v>0</v>
      </c>
      <c r="CI50" s="695">
        <f>IF(BN50=0,0,(BO50-BN50)/BN50*100)</f>
        <v>0</v>
      </c>
      <c r="CJ50" s="695">
        <f>IF(BO50=0,0,(BP50-BO50)/BO50*100)</f>
        <v>0</v>
      </c>
      <c r="CK50" s="695">
        <f>IF(BP50=0,0,(BQ50-BP50)/BP50*100)</f>
        <v>0</v>
      </c>
      <c r="CL50" s="695">
        <f>IF(BQ50=0,0,(BR50-BQ50)/BQ50*100)</f>
        <v>0</v>
      </c>
      <c r="CM50" s="695">
        <f>IF(BR50=0,0,(BS50-BR50)/BR50*100)</f>
        <v>0</v>
      </c>
      <c r="CN50" s="695">
        <f>IF(BS50=0,0,(BT50-BS50)/BS50*100)</f>
        <v>0</v>
      </c>
      <c r="CO50" s="695">
        <f>IF(BT50=0,0,(BU50-BT50)/BT50*100)</f>
        <v>0</v>
      </c>
      <c r="CP50" s="695">
        <f>IF(BU50=0,0,(BV50-BU50)/BU50*100)</f>
        <v>0</v>
      </c>
      <c r="CQ50" s="695">
        <f>IF(BV50=0,0,(BW50-BV50)/BV50*100)</f>
        <v>0</v>
      </c>
      <c r="CR50" s="83"/>
      <c r="CS50" s="83"/>
      <c r="CT50" s="83"/>
      <c r="CW50" s="489" t="s">
        <v>2033</v>
      </c>
      <c r="DD50" s="0" cm="1" t="str">
        <f t="array" ref="DD50:DD50">DD49</f>
        <v>0</v>
      </c>
      <c r="DM50" s="0" t="s">
        <v>2034</v>
      </c>
      <c r="DO50" s="0" t="s">
        <v>303</v>
      </c>
      <c r="DP50" s="0" t="s">
        <v>1852</v>
      </c>
      <c r="DQ50" s="0" t="s">
        <v>2035</v>
      </c>
    </row>
    <row customHeight="1" ht="28.275000000000002" hidden="1">
      <c r="E51" s="180">
        <v>29</v>
      </c>
      <c r="F51" s="175" cm="1" t="str">
        <f t="array" ref="F51:F51">OFFSET(G51,-1,-1)</f>
        <v>0</v>
      </c>
      <c r="G51" s="193" t="s">
        <v>1890</v>
      </c>
      <c r="T51" s="753" cm="1" t="str">
        <f t="array" ref="T51:T51">T50</f>
        <v>false</v>
      </c>
      <c r="AB51" s="491">
        <v>7</v>
      </c>
      <c r="AC51" s="523" t="s">
        <v>2036</v>
      </c>
      <c r="AD51" s="467" t="s">
        <v>1178</v>
      </c>
      <c r="AE51" s="132"/>
      <c r="AF51" s="132"/>
      <c r="AG51" s="132"/>
      <c r="AH51" s="695">
        <f>AG51-AF51</f>
        <v>0</v>
      </c>
      <c r="AI51" s="132"/>
      <c r="AJ51" s="749">
        <f>_xlfn.SUMIFS('Корр Факт'!AH$27:AH$122,'Корр Факт'!$F$27:$F$122,$F51,'Корр Факт'!$G$27:$G$122,$G51)</f>
        <v>0</v>
      </c>
      <c r="AK51" s="132"/>
      <c r="AL51" s="132"/>
      <c r="AM51" s="132"/>
      <c r="AN51" s="132"/>
      <c r="AO51" s="132"/>
      <c r="AP51" s="132"/>
      <c r="AQ51" s="132"/>
      <c r="AR51" s="132"/>
      <c r="AS51" s="132"/>
      <c r="AT51" s="132"/>
      <c r="AU51" s="132"/>
      <c r="AV51" s="132"/>
      <c r="AW51" s="132"/>
      <c r="AX51" s="132"/>
      <c r="AY51" s="132"/>
      <c r="AZ51" s="132"/>
      <c r="BA51" s="132"/>
      <c r="BB51" s="132"/>
      <c r="BC51" s="132"/>
      <c r="BD51" s="749">
        <f>_xlfn.SUMIFS('Корр Факт'!AN$27:AN$122,'Корр Факт'!$F$27:$F$122,$F51,'Корр Факт'!$G$27:$G$122,$G51)</f>
        <v>0</v>
      </c>
      <c r="BE51" s="132"/>
      <c r="BF51" s="132"/>
      <c r="BG51" s="132"/>
      <c r="BH51" s="132"/>
      <c r="BI51" s="132"/>
      <c r="BJ51" s="132"/>
      <c r="BK51" s="132"/>
      <c r="BL51" s="132"/>
      <c r="BM51" s="132"/>
      <c r="BN51" s="132"/>
      <c r="BO51" s="132"/>
      <c r="BP51" s="132"/>
      <c r="BQ51" s="132"/>
      <c r="BR51" s="132"/>
      <c r="BS51" s="132"/>
      <c r="BT51" s="132"/>
      <c r="BU51" s="132"/>
      <c r="BV51" s="132"/>
      <c r="BW51" s="132"/>
      <c r="BX51" s="695">
        <f>IF(AI51=0,0,(BD51-AI51)/AI51*100)</f>
        <v>0</v>
      </c>
      <c r="BY51" s="695">
        <f>IF(BD51=0,0,(BE51-BD51)/BD51*100)</f>
        <v>0</v>
      </c>
      <c r="BZ51" s="695">
        <f>IF(BE51=0,0,(BF51-BE51)/BE51*100)</f>
        <v>0</v>
      </c>
      <c r="CA51" s="695">
        <f>IF(BF51=0,0,(BG51-BF51)/BF51*100)</f>
        <v>0</v>
      </c>
      <c r="CB51" s="695">
        <f>IF(BG51=0,0,(BH51-BG51)/BG51*100)</f>
        <v>0</v>
      </c>
      <c r="CC51" s="695">
        <f>IF(BH51=0,0,(BI51-BH51)/BH51*100)</f>
        <v>0</v>
      </c>
      <c r="CD51" s="695">
        <f>IF(BI51=0,0,(BJ51-BI51)/BI51*100)</f>
        <v>0</v>
      </c>
      <c r="CE51" s="695">
        <f>IF(BJ51=0,0,(BK51-BJ51)/BJ51*100)</f>
        <v>0</v>
      </c>
      <c r="CF51" s="695">
        <f>IF(BK51=0,0,(BL51-BK51)/BK51*100)</f>
        <v>0</v>
      </c>
      <c r="CG51" s="695">
        <f>IF(BL51=0,0,(BM51-BL51)/BL51*100)</f>
        <v>0</v>
      </c>
      <c r="CH51" s="695">
        <f>IF(BM51=0,0,(BN51-BM51)/BM51*100)</f>
        <v>0</v>
      </c>
      <c r="CI51" s="695">
        <f>IF(BN51=0,0,(BO51-BN51)/BN51*100)</f>
        <v>0</v>
      </c>
      <c r="CJ51" s="695">
        <f>IF(BO51=0,0,(BP51-BO51)/BO51*100)</f>
        <v>0</v>
      </c>
      <c r="CK51" s="695">
        <f>IF(BP51=0,0,(BQ51-BP51)/BP51*100)</f>
        <v>0</v>
      </c>
      <c r="CL51" s="695">
        <f>IF(BQ51=0,0,(BR51-BQ51)/BQ51*100)</f>
        <v>0</v>
      </c>
      <c r="CM51" s="695">
        <f>IF(BR51=0,0,(BS51-BR51)/BR51*100)</f>
        <v>0</v>
      </c>
      <c r="CN51" s="695">
        <f>IF(BS51=0,0,(BT51-BS51)/BS51*100)</f>
        <v>0</v>
      </c>
      <c r="CO51" s="695">
        <f>IF(BT51=0,0,(BU51-BT51)/BT51*100)</f>
        <v>0</v>
      </c>
      <c r="CP51" s="695">
        <f>IF(BU51=0,0,(BV51-BU51)/BU51*100)</f>
        <v>0</v>
      </c>
      <c r="CQ51" s="695">
        <f>IF(BV51=0,0,(BW51-BV51)/BV51*100)</f>
        <v>0</v>
      </c>
      <c r="CR51" s="83"/>
      <c r="CS51" s="83"/>
      <c r="CT51" s="83"/>
      <c r="CW51" s="489" t="s">
        <v>2037</v>
      </c>
      <c r="DD51" s="0" cm="1" t="str">
        <f t="array" ref="DD51:DD51">DD50</f>
        <v>0</v>
      </c>
      <c r="DF51" s="0" t="s">
        <v>2038</v>
      </c>
      <c r="DO51" s="0" t="s">
        <v>303</v>
      </c>
      <c r="DP51" s="0" t="s">
        <v>2039</v>
      </c>
      <c r="DQ51" s="0" t="s">
        <v>2040</v>
      </c>
    </row>
    <row s="972" customFormat="1" customHeight="1" ht="64.35" hidden="1">
      <c r="E52" s="180">
        <v>66</v>
      </c>
      <c r="F52" s="175" cm="1" t="str">
        <f t="array" ref="F52:F52">OFFSET(G52,-1,-1)</f>
        <v>0</v>
      </c>
      <c r="T52" s="753" cm="1" t="str">
        <f t="array" ref="T52:T52">T51</f>
        <v>false</v>
      </c>
      <c r="AB52" s="491">
        <v>8</v>
      </c>
      <c r="AC52" s="815" t="s">
        <v>2041</v>
      </c>
      <c r="AD52" s="467" t="s">
        <v>1178</v>
      </c>
      <c r="AE52" s="132"/>
      <c r="AF52" s="132"/>
      <c r="AG52" s="132"/>
      <c r="AH52" s="695">
        <f>AG52-AF52</f>
        <v>0</v>
      </c>
      <c r="AI52" s="132"/>
      <c r="AJ52" s="749"/>
      <c r="AK52" s="132"/>
      <c r="AL52" s="132"/>
      <c r="AM52" s="132"/>
      <c r="AN52" s="132"/>
      <c r="AO52" s="132"/>
      <c r="AP52" s="132"/>
      <c r="AQ52" s="132"/>
      <c r="AR52" s="132"/>
      <c r="AS52" s="132"/>
      <c r="AT52" s="132"/>
      <c r="AU52" s="132"/>
      <c r="AV52" s="132"/>
      <c r="AW52" s="132"/>
      <c r="AX52" s="132"/>
      <c r="AY52" s="132"/>
      <c r="AZ52" s="132"/>
      <c r="BA52" s="132"/>
      <c r="BB52" s="132"/>
      <c r="BC52" s="132"/>
      <c r="BD52" s="749"/>
      <c r="BE52" s="132"/>
      <c r="BF52" s="132"/>
      <c r="BG52" s="132"/>
      <c r="BH52" s="132"/>
      <c r="BI52" s="132"/>
      <c r="BJ52" s="132"/>
      <c r="BK52" s="132"/>
      <c r="BL52" s="132"/>
      <c r="BM52" s="132"/>
      <c r="BN52" s="132"/>
      <c r="BO52" s="132"/>
      <c r="BP52" s="132"/>
      <c r="BQ52" s="132"/>
      <c r="BR52" s="132"/>
      <c r="BS52" s="132"/>
      <c r="BT52" s="132"/>
      <c r="BU52" s="132"/>
      <c r="BV52" s="132"/>
      <c r="BW52" s="132"/>
      <c r="BX52" s="695">
        <f>IF(AI52=0,0,(BD52-AI52)/AI52*100)</f>
        <v>0</v>
      </c>
      <c r="BY52" s="695">
        <f>IF(BD52=0,0,(BE52-BD52)/BD52*100)</f>
        <v>0</v>
      </c>
      <c r="BZ52" s="695">
        <f>IF(BE52=0,0,(BF52-BE52)/BE52*100)</f>
        <v>0</v>
      </c>
      <c r="CA52" s="695">
        <f>IF(BF52=0,0,(BG52-BF52)/BF52*100)</f>
        <v>0</v>
      </c>
      <c r="CB52" s="695">
        <f>IF(BG52=0,0,(BH52-BG52)/BG52*100)</f>
        <v>0</v>
      </c>
      <c r="CC52" s="695">
        <f>IF(BH52=0,0,(BI52-BH52)/BH52*100)</f>
        <v>0</v>
      </c>
      <c r="CD52" s="695">
        <f>IF(BI52=0,0,(BJ52-BI52)/BI52*100)</f>
        <v>0</v>
      </c>
      <c r="CE52" s="695">
        <f>IF(BJ52=0,0,(BK52-BJ52)/BJ52*100)</f>
        <v>0</v>
      </c>
      <c r="CF52" s="695">
        <f>IF(BK52=0,0,(BL52-BK52)/BK52*100)</f>
        <v>0</v>
      </c>
      <c r="CG52" s="695">
        <f>IF(BL52=0,0,(BM52-BL52)/BL52*100)</f>
        <v>0</v>
      </c>
      <c r="CH52" s="695">
        <f>IF(BM52=0,0,(BN52-BM52)/BM52*100)</f>
        <v>0</v>
      </c>
      <c r="CI52" s="695">
        <f>IF(BN52=0,0,(BO52-BN52)/BN52*100)</f>
        <v>0</v>
      </c>
      <c r="CJ52" s="695">
        <f>IF(BO52=0,0,(BP52-BO52)/BO52*100)</f>
        <v>0</v>
      </c>
      <c r="CK52" s="695">
        <f>IF(BP52=0,0,(BQ52-BP52)/BP52*100)</f>
        <v>0</v>
      </c>
      <c r="CL52" s="695">
        <f>IF(BQ52=0,0,(BR52-BQ52)/BQ52*100)</f>
        <v>0</v>
      </c>
      <c r="CM52" s="695">
        <f>IF(BR52=0,0,(BS52-BR52)/BR52*100)</f>
        <v>0</v>
      </c>
      <c r="CN52" s="695">
        <f>IF(BS52=0,0,(BT52-BS52)/BS52*100)</f>
        <v>0</v>
      </c>
      <c r="CO52" s="695">
        <f>IF(BT52=0,0,(BU52-BT52)/BT52*100)</f>
        <v>0</v>
      </c>
      <c r="CP52" s="695">
        <f>IF(BU52=0,0,(BV52-BU52)/BU52*100)</f>
        <v>0</v>
      </c>
      <c r="CQ52" s="695">
        <f>IF(BV52=0,0,(BW52-BV52)/BV52*100)</f>
        <v>0</v>
      </c>
      <c r="CR52" s="83"/>
      <c r="CS52" s="83"/>
      <c r="CT52" s="83"/>
      <c r="CW52" s="489" t="s">
        <v>1856</v>
      </c>
      <c r="CX52" s="992"/>
      <c r="CY52" s="992"/>
      <c r="CZ52" s="993"/>
      <c r="DA52" s="993"/>
      <c r="DD52" s="0" cm="1" t="str">
        <f t="array" ref="DD52:DD52">DD51</f>
        <v>0</v>
      </c>
      <c r="DG52" s="0" t="s">
        <v>1624</v>
      </c>
      <c r="DM52" s="0" t="s">
        <v>219</v>
      </c>
      <c r="DO52" s="0" t="s">
        <v>303</v>
      </c>
      <c r="DP52" s="0" t="s">
        <v>2042</v>
      </c>
      <c r="DQ52" s="0" t="s">
        <v>1863</v>
      </c>
    </row>
    <row s="972" customFormat="1" customHeight="1" ht="33.15" hidden="1">
      <c r="E53" s="180">
        <v>34</v>
      </c>
      <c r="F53" s="175" cm="1" t="str">
        <f t="array" ref="F53:F53">OFFSET(G53,-1,-1)</f>
        <v>0</v>
      </c>
      <c r="T53" s="753" cm="1" t="str">
        <f t="array" ref="T53:T53">T52</f>
        <v>false</v>
      </c>
      <c r="AB53" s="491">
        <v>9</v>
      </c>
      <c r="AC53" s="815" t="s">
        <v>2043</v>
      </c>
      <c r="AD53" s="467" t="s">
        <v>1178</v>
      </c>
      <c r="AE53" s="132"/>
      <c r="AF53" s="132"/>
      <c r="AG53" s="132"/>
      <c r="AH53" s="695">
        <f>AG53-AF53</f>
        <v>0</v>
      </c>
      <c r="AI53" s="132"/>
      <c r="AJ53" s="749"/>
      <c r="AK53" s="132"/>
      <c r="AL53" s="132"/>
      <c r="AM53" s="132"/>
      <c r="AN53" s="132"/>
      <c r="AO53" s="132"/>
      <c r="AP53" s="132"/>
      <c r="AQ53" s="132"/>
      <c r="AR53" s="132"/>
      <c r="AS53" s="132"/>
      <c r="AT53" s="132"/>
      <c r="AU53" s="132"/>
      <c r="AV53" s="132"/>
      <c r="AW53" s="132"/>
      <c r="AX53" s="132"/>
      <c r="AY53" s="132"/>
      <c r="AZ53" s="132"/>
      <c r="BA53" s="132"/>
      <c r="BB53" s="132"/>
      <c r="BC53" s="132"/>
      <c r="BD53" s="749"/>
      <c r="BE53" s="132"/>
      <c r="BF53" s="132"/>
      <c r="BG53" s="132"/>
      <c r="BH53" s="132"/>
      <c r="BI53" s="132"/>
      <c r="BJ53" s="132"/>
      <c r="BK53" s="132"/>
      <c r="BL53" s="132"/>
      <c r="BM53" s="132"/>
      <c r="BN53" s="132"/>
      <c r="BO53" s="132"/>
      <c r="BP53" s="132"/>
      <c r="BQ53" s="132"/>
      <c r="BR53" s="132"/>
      <c r="BS53" s="132"/>
      <c r="BT53" s="132"/>
      <c r="BU53" s="132"/>
      <c r="BV53" s="132"/>
      <c r="BW53" s="132"/>
      <c r="BX53" s="695">
        <f>IF(AI53=0,0,(BD53-AI53)/AI53*100)</f>
        <v>0</v>
      </c>
      <c r="BY53" s="695">
        <f>IF(BD53=0,0,(BE53-BD53)/BD53*100)</f>
        <v>0</v>
      </c>
      <c r="BZ53" s="695">
        <f>IF(BE53=0,0,(BF53-BE53)/BE53*100)</f>
        <v>0</v>
      </c>
      <c r="CA53" s="695">
        <f>IF(BF53=0,0,(BG53-BF53)/BF53*100)</f>
        <v>0</v>
      </c>
      <c r="CB53" s="695">
        <f>IF(BG53=0,0,(BH53-BG53)/BG53*100)</f>
        <v>0</v>
      </c>
      <c r="CC53" s="695">
        <f>IF(BH53=0,0,(BI53-BH53)/BH53*100)</f>
        <v>0</v>
      </c>
      <c r="CD53" s="695">
        <f>IF(BI53=0,0,(BJ53-BI53)/BI53*100)</f>
        <v>0</v>
      </c>
      <c r="CE53" s="695">
        <f>IF(BJ53=0,0,(BK53-BJ53)/BJ53*100)</f>
        <v>0</v>
      </c>
      <c r="CF53" s="695">
        <f>IF(BK53=0,0,(BL53-BK53)/BK53*100)</f>
        <v>0</v>
      </c>
      <c r="CG53" s="695">
        <f>IF(BL53=0,0,(BM53-BL53)/BL53*100)</f>
        <v>0</v>
      </c>
      <c r="CH53" s="695">
        <f>IF(BM53=0,0,(BN53-BM53)/BM53*100)</f>
        <v>0</v>
      </c>
      <c r="CI53" s="695">
        <f>IF(BN53=0,0,(BO53-BN53)/BN53*100)</f>
        <v>0</v>
      </c>
      <c r="CJ53" s="695">
        <f>IF(BO53=0,0,(BP53-BO53)/BO53*100)</f>
        <v>0</v>
      </c>
      <c r="CK53" s="695">
        <f>IF(BP53=0,0,(BQ53-BP53)/BP53*100)</f>
        <v>0</v>
      </c>
      <c r="CL53" s="695">
        <f>IF(BQ53=0,0,(BR53-BQ53)/BQ53*100)</f>
        <v>0</v>
      </c>
      <c r="CM53" s="695">
        <f>IF(BR53=0,0,(BS53-BR53)/BR53*100)</f>
        <v>0</v>
      </c>
      <c r="CN53" s="695">
        <f>IF(BS53=0,0,(BT53-BS53)/BS53*100)</f>
        <v>0</v>
      </c>
      <c r="CO53" s="695">
        <f>IF(BT53=0,0,(BU53-BT53)/BT53*100)</f>
        <v>0</v>
      </c>
      <c r="CP53" s="695">
        <f>IF(BU53=0,0,(BV53-BU53)/BU53*100)</f>
        <v>0</v>
      </c>
      <c r="CQ53" s="695">
        <f>IF(BV53=0,0,(BW53-BV53)/BV53*100)</f>
        <v>0</v>
      </c>
      <c r="CR53" s="83"/>
      <c r="CS53" s="83"/>
      <c r="CT53" s="83"/>
      <c r="CW53" s="489" t="s">
        <v>2044</v>
      </c>
      <c r="CX53" s="992"/>
      <c r="CY53" s="992"/>
      <c r="CZ53" s="993"/>
      <c r="DA53" s="993"/>
      <c r="DD53" s="0" cm="1" t="str">
        <f t="array" ref="DD53:DD53">DD52</f>
        <v>0</v>
      </c>
      <c r="DH53" s="0" t="s">
        <v>2045</v>
      </c>
      <c r="DO53" s="0" t="s">
        <v>303</v>
      </c>
      <c r="DP53" s="0" t="s">
        <v>1862</v>
      </c>
      <c r="DQ53" s="0" t="s">
        <v>1874</v>
      </c>
    </row>
    <row customHeight="1" ht="62.400000000000006" hidden="1">
      <c r="E54" s="180">
        <v>64</v>
      </c>
      <c r="F54" s="175" cm="1" t="str">
        <f t="array" ref="F54:F54">OFFSET(G54,-1,-1)</f>
        <v>0</v>
      </c>
      <c r="T54" s="753" cm="1" t="str">
        <f t="array" ref="T54:T54">T53</f>
        <v>false</v>
      </c>
      <c r="AB54" s="697">
        <v>10</v>
      </c>
      <c r="AC54" s="817" t="s">
        <v>2046</v>
      </c>
      <c r="AD54" s="344" t="s">
        <v>1178</v>
      </c>
      <c r="AE54" s="141"/>
      <c r="AF54" s="132"/>
      <c r="AG54" s="132"/>
      <c r="AH54" s="695">
        <f>AG54-AF54</f>
        <v>0</v>
      </c>
      <c r="AI54" s="132"/>
      <c r="AJ54" s="749"/>
      <c r="AK54" s="132"/>
      <c r="AL54" s="132"/>
      <c r="AM54" s="132"/>
      <c r="AN54" s="132"/>
      <c r="AO54" s="132"/>
      <c r="AP54" s="132"/>
      <c r="AQ54" s="132"/>
      <c r="AR54" s="132"/>
      <c r="AS54" s="132"/>
      <c r="AT54" s="132"/>
      <c r="AU54" s="132"/>
      <c r="AV54" s="132"/>
      <c r="AW54" s="132"/>
      <c r="AX54" s="132"/>
      <c r="AY54" s="132"/>
      <c r="AZ54" s="132"/>
      <c r="BA54" s="132"/>
      <c r="BB54" s="132"/>
      <c r="BC54" s="132"/>
      <c r="BD54" s="749"/>
      <c r="BE54" s="132"/>
      <c r="BF54" s="132"/>
      <c r="BG54" s="132"/>
      <c r="BH54" s="132"/>
      <c r="BI54" s="132"/>
      <c r="BJ54" s="132"/>
      <c r="BK54" s="132"/>
      <c r="BL54" s="132"/>
      <c r="BM54" s="132"/>
      <c r="BN54" s="132"/>
      <c r="BO54" s="132"/>
      <c r="BP54" s="132"/>
      <c r="BQ54" s="132"/>
      <c r="BR54" s="132"/>
      <c r="BS54" s="132"/>
      <c r="BT54" s="132"/>
      <c r="BU54" s="132"/>
      <c r="BV54" s="132"/>
      <c r="BW54" s="132"/>
      <c r="BX54" s="695">
        <f>IF(AI54=0,0,(BD54-AI54)/AI54*100)</f>
        <v>0</v>
      </c>
      <c r="BY54" s="695">
        <f>IF(BD54=0,0,(BE54-BD54)/BD54*100)</f>
        <v>0</v>
      </c>
      <c r="BZ54" s="695">
        <f>IF(BE54=0,0,(BF54-BE54)/BE54*100)</f>
        <v>0</v>
      </c>
      <c r="CA54" s="695">
        <f>IF(BF54=0,0,(BG54-BF54)/BF54*100)</f>
        <v>0</v>
      </c>
      <c r="CB54" s="695">
        <f>IF(BG54=0,0,(BH54-BG54)/BG54*100)</f>
        <v>0</v>
      </c>
      <c r="CC54" s="695">
        <f>IF(BH54=0,0,(BI54-BH54)/BH54*100)</f>
        <v>0</v>
      </c>
      <c r="CD54" s="695">
        <f>IF(BI54=0,0,(BJ54-BI54)/BI54*100)</f>
        <v>0</v>
      </c>
      <c r="CE54" s="695">
        <f>IF(BJ54=0,0,(BK54-BJ54)/BJ54*100)</f>
        <v>0</v>
      </c>
      <c r="CF54" s="695">
        <f>IF(BK54=0,0,(BL54-BK54)/BK54*100)</f>
        <v>0</v>
      </c>
      <c r="CG54" s="695">
        <f>IF(BL54=0,0,(BM54-BL54)/BL54*100)</f>
        <v>0</v>
      </c>
      <c r="CH54" s="695">
        <f>IF(BM54=0,0,(BN54-BM54)/BM54*100)</f>
        <v>0</v>
      </c>
      <c r="CI54" s="695">
        <f>IF(BN54=0,0,(BO54-BN54)/BN54*100)</f>
        <v>0</v>
      </c>
      <c r="CJ54" s="695">
        <f>IF(BO54=0,0,(BP54-BO54)/BO54*100)</f>
        <v>0</v>
      </c>
      <c r="CK54" s="695">
        <f>IF(BP54=0,0,(BQ54-BP54)/BP54*100)</f>
        <v>0</v>
      </c>
      <c r="CL54" s="695">
        <f>IF(BQ54=0,0,(BR54-BQ54)/BQ54*100)</f>
        <v>0</v>
      </c>
      <c r="CM54" s="695">
        <f>IF(BR54=0,0,(BS54-BR54)/BR54*100)</f>
        <v>0</v>
      </c>
      <c r="CN54" s="695">
        <f>IF(BS54=0,0,(BT54-BS54)/BS54*100)</f>
        <v>0</v>
      </c>
      <c r="CO54" s="695">
        <f>IF(BT54=0,0,(BU54-BT54)/BT54*100)</f>
        <v>0</v>
      </c>
      <c r="CP54" s="695">
        <f>IF(BU54=0,0,(BV54-BU54)/BU54*100)</f>
        <v>0</v>
      </c>
      <c r="CQ54" s="695">
        <f>IF(BV54=0,0,(BW54-BV54)/BV54*100)</f>
        <v>0</v>
      </c>
      <c r="CR54" s="84"/>
      <c r="CS54" s="84"/>
      <c r="CT54" s="84"/>
      <c r="CW54" s="489" t="s">
        <v>2047</v>
      </c>
      <c r="DD54" s="0" cm="1" t="str">
        <f t="array" ref="DD54:DD54">DD53</f>
        <v>0</v>
      </c>
      <c r="DG54" s="0" t="s">
        <v>1624</v>
      </c>
      <c r="DM54" s="0" t="s">
        <v>255</v>
      </c>
      <c r="DO54" s="0" t="s">
        <v>303</v>
      </c>
      <c r="DP54" s="0" t="s">
        <v>1873</v>
      </c>
      <c r="DQ54" s="0" t="s">
        <v>2048</v>
      </c>
    </row>
    <row s="1506" customFormat="1" customHeight="1" ht="16.575" hidden="1">
      <c r="E55" s="180">
        <v>17</v>
      </c>
      <c r="F55" s="175" cm="1" t="str">
        <f t="array" ref="F55:F55">OFFSET(G55,-1,-1)</f>
        <v>0</v>
      </c>
      <c r="T55" s="753" cm="1" t="str">
        <f t="array" ref="T55:T55">T54</f>
        <v>false</v>
      </c>
      <c r="AB55" s="491">
        <v>11</v>
      </c>
      <c r="AC55" s="815" t="s">
        <v>2049</v>
      </c>
      <c r="AD55" s="819" t="s">
        <v>1178</v>
      </c>
      <c r="AE55" s="746">
        <f>SUM(AE56:AE58)</f>
        <v>0</v>
      </c>
      <c r="AF55" s="746">
        <f>SUM(AF56:AF58)</f>
        <v>0</v>
      </c>
      <c r="AG55" s="820">
        <f>SUM(AG56:AG58)</f>
        <v>0</v>
      </c>
      <c r="AH55" s="695">
        <f>AG55-AF55</f>
        <v>0</v>
      </c>
      <c r="AI55" s="821">
        <f>SUM(AI56:AI58)</f>
        <v>0</v>
      </c>
      <c r="AJ55" s="746">
        <f>SUM(AJ56:AJ58)</f>
        <v>0</v>
      </c>
      <c r="AK55" s="746">
        <f>SUM(AK56:AK58)</f>
        <v>0</v>
      </c>
      <c r="AL55" s="746">
        <f>SUM(AL56:AL58)</f>
        <v>0</v>
      </c>
      <c r="AM55" s="746">
        <f>SUM(AM56:AM58)</f>
        <v>0</v>
      </c>
      <c r="AN55" s="746">
        <f>SUM(AN56:AN58)</f>
        <v>0</v>
      </c>
      <c r="AO55" s="746">
        <f>SUM(AO56:AO58)</f>
        <v>0</v>
      </c>
      <c r="AP55" s="746">
        <f>SUM(AP56:AP58)</f>
        <v>0</v>
      </c>
      <c r="AQ55" s="746">
        <f>SUM(AQ56:AQ58)</f>
        <v>0</v>
      </c>
      <c r="AR55" s="746">
        <f>SUM(AR56:AR58)</f>
        <v>0</v>
      </c>
      <c r="AS55" s="746">
        <f>SUM(AS56:AS58)</f>
        <v>0</v>
      </c>
      <c r="AT55" s="746">
        <f>SUM(AT56:AT58)</f>
        <v>0</v>
      </c>
      <c r="AU55" s="746">
        <f>SUM(AU56:AU58)</f>
        <v>0</v>
      </c>
      <c r="AV55" s="746">
        <f>SUM(AV56:AV58)</f>
        <v>0</v>
      </c>
      <c r="AW55" s="746">
        <f>SUM(AW56:AW58)</f>
        <v>0</v>
      </c>
      <c r="AX55" s="746">
        <f>SUM(AX56:AX58)</f>
        <v>0</v>
      </c>
      <c r="AY55" s="746">
        <f>SUM(AY56:AY58)</f>
        <v>0</v>
      </c>
      <c r="AZ55" s="746">
        <f>SUM(AZ56:AZ58)</f>
        <v>0</v>
      </c>
      <c r="BA55" s="746">
        <f>SUM(BA56:BA58)</f>
        <v>0</v>
      </c>
      <c r="BB55" s="746">
        <f>SUM(BB56:BB58)</f>
        <v>0</v>
      </c>
      <c r="BC55" s="746">
        <f>SUM(BC56:BC58)</f>
        <v>0</v>
      </c>
      <c r="BD55" s="746">
        <f>SUM(BD56:BD58)</f>
        <v>0</v>
      </c>
      <c r="BE55" s="746">
        <f>SUM(BE56:BE58)</f>
        <v>0</v>
      </c>
      <c r="BF55" s="746">
        <f>SUM(BF56:BF58)</f>
        <v>0</v>
      </c>
      <c r="BG55" s="746">
        <f>SUM(BG56:BG58)</f>
        <v>0</v>
      </c>
      <c r="BH55" s="746">
        <f>SUM(BH56:BH58)</f>
        <v>0</v>
      </c>
      <c r="BI55" s="746">
        <f>SUM(BI56:BI58)</f>
        <v>0</v>
      </c>
      <c r="BJ55" s="746">
        <f>SUM(BJ56:BJ58)</f>
        <v>0</v>
      </c>
      <c r="BK55" s="746">
        <f>SUM(BK56:BK58)</f>
        <v>0</v>
      </c>
      <c r="BL55" s="746">
        <f>SUM(BL56:BL58)</f>
        <v>0</v>
      </c>
      <c r="BM55" s="746">
        <f>SUM(BM56:BM58)</f>
        <v>0</v>
      </c>
      <c r="BN55" s="746">
        <f>SUM(BN56:BN58)</f>
        <v>0</v>
      </c>
      <c r="BO55" s="746">
        <f>SUM(BO56:BO58)</f>
        <v>0</v>
      </c>
      <c r="BP55" s="746">
        <f>SUM(BP56:BP58)</f>
        <v>0</v>
      </c>
      <c r="BQ55" s="746">
        <f>SUM(BQ56:BQ58)</f>
        <v>0</v>
      </c>
      <c r="BR55" s="746">
        <f>SUM(BR56:BR58)</f>
        <v>0</v>
      </c>
      <c r="BS55" s="746">
        <f>SUM(BS56:BS58)</f>
        <v>0</v>
      </c>
      <c r="BT55" s="746">
        <f>SUM(BT56:BT58)</f>
        <v>0</v>
      </c>
      <c r="BU55" s="746">
        <f>SUM(BU56:BU58)</f>
        <v>0</v>
      </c>
      <c r="BV55" s="746">
        <f>SUM(BV56:BV58)</f>
        <v>0</v>
      </c>
      <c r="BW55" s="746">
        <f>SUM(BW56:BW58)</f>
        <v>0</v>
      </c>
      <c r="BX55" s="695">
        <f>IF(AI55=0,0,(BD55-AI55)/AI55*100)</f>
        <v>0</v>
      </c>
      <c r="BY55" s="695">
        <f>IF(BD55=0,0,(BE55-BD55)/BD55*100)</f>
        <v>0</v>
      </c>
      <c r="BZ55" s="695">
        <f>IF(BE55=0,0,(BF55-BE55)/BE55*100)</f>
        <v>0</v>
      </c>
      <c r="CA55" s="695">
        <f>IF(BF55=0,0,(BG55-BF55)/BF55*100)</f>
        <v>0</v>
      </c>
      <c r="CB55" s="695">
        <f>IF(BG55=0,0,(BH55-BG55)/BG55*100)</f>
        <v>0</v>
      </c>
      <c r="CC55" s="695">
        <f>IF(BH55=0,0,(BI55-BH55)/BH55*100)</f>
        <v>0</v>
      </c>
      <c r="CD55" s="695">
        <f>IF(BI55=0,0,(BJ55-BI55)/BI55*100)</f>
        <v>0</v>
      </c>
      <c r="CE55" s="695">
        <f>IF(BJ55=0,0,(BK55-BJ55)/BJ55*100)</f>
        <v>0</v>
      </c>
      <c r="CF55" s="695">
        <f>IF(BK55=0,0,(BL55-BK55)/BK55*100)</f>
        <v>0</v>
      </c>
      <c r="CG55" s="695">
        <f>IF(BL55=0,0,(BM55-BL55)/BL55*100)</f>
        <v>0</v>
      </c>
      <c r="CH55" s="695">
        <f>IF(BM55=0,0,(BN55-BM55)/BM55*100)</f>
        <v>0</v>
      </c>
      <c r="CI55" s="695">
        <f>IF(BN55=0,0,(BO55-BN55)/BN55*100)</f>
        <v>0</v>
      </c>
      <c r="CJ55" s="695">
        <f>IF(BO55=0,0,(BP55-BO55)/BO55*100)</f>
        <v>0</v>
      </c>
      <c r="CK55" s="695">
        <f>IF(BP55=0,0,(BQ55-BP55)/BP55*100)</f>
        <v>0</v>
      </c>
      <c r="CL55" s="695">
        <f>IF(BQ55=0,0,(BR55-BQ55)/BQ55*100)</f>
        <v>0</v>
      </c>
      <c r="CM55" s="695">
        <f>IF(BR55=0,0,(BS55-BR55)/BR55*100)</f>
        <v>0</v>
      </c>
      <c r="CN55" s="695">
        <f>IF(BS55=0,0,(BT55-BS55)/BS55*100)</f>
        <v>0</v>
      </c>
      <c r="CO55" s="695">
        <f>IF(BT55=0,0,(BU55-BT55)/BT55*100)</f>
        <v>0</v>
      </c>
      <c r="CP55" s="695">
        <f>IF(BU55=0,0,(BV55-BU55)/BU55*100)</f>
        <v>0</v>
      </c>
      <c r="CQ55" s="695">
        <f>IF(BV55=0,0,(BW55-BV55)/BV55*100)</f>
        <v>0</v>
      </c>
      <c r="CR55" s="85"/>
      <c r="CS55" s="142"/>
      <c r="CT55" s="143"/>
      <c r="CW55" s="489" t="s">
        <v>1509</v>
      </c>
      <c r="CX55" s="489"/>
      <c r="CY55" s="489"/>
      <c r="CZ55" s="546"/>
      <c r="DA55" s="546"/>
      <c r="DD55" s="0" cm="1" t="str">
        <f t="array" ref="DD55:DD55">DD54</f>
        <v>0</v>
      </c>
      <c r="DI55" s="0" t="s">
        <v>2050</v>
      </c>
      <c r="DO55" s="0" t="s">
        <v>303</v>
      </c>
      <c r="DP55" s="0" t="s">
        <v>2051</v>
      </c>
    </row>
    <row s="1659" customFormat="1" customHeight="1" ht="17.25" hidden="1">
      <c r="E56" s="965">
        <v>0</v>
      </c>
      <c r="F56" s="175" cm="1" t="str">
        <f t="array" ref="F56:F56">OFFSET(G56,-1,-1)</f>
        <v>0</v>
      </c>
      <c r="T56" s="753" cm="1" t="str">
        <f t="array" ref="T56:T56">T55</f>
        <v>false</v>
      </c>
      <c r="AB56" s="507"/>
      <c r="AC56" s="808"/>
      <c r="AD56" s="352"/>
      <c r="AE56" s="714"/>
      <c r="AF56" s="714"/>
      <c r="AG56" s="144"/>
      <c r="AH56" s="714"/>
      <c r="AI56" s="872"/>
      <c r="AJ56" s="714"/>
      <c r="AK56" s="714"/>
      <c r="AL56" s="714"/>
      <c r="AM56" s="714"/>
      <c r="AN56" s="714"/>
      <c r="AO56" s="714"/>
      <c r="AP56" s="714"/>
      <c r="AQ56" s="714"/>
      <c r="AR56" s="714"/>
      <c r="AS56" s="714"/>
      <c r="AT56" s="714"/>
      <c r="AU56" s="714"/>
      <c r="AV56" s="714"/>
      <c r="AW56" s="714"/>
      <c r="AX56" s="714"/>
      <c r="AY56" s="714"/>
      <c r="AZ56" s="714"/>
      <c r="BA56" s="714"/>
      <c r="BB56" s="714"/>
      <c r="BC56" s="714"/>
      <c r="BD56" s="714"/>
      <c r="BE56" s="714"/>
      <c r="BF56" s="714"/>
      <c r="BG56" s="714"/>
      <c r="BH56" s="714"/>
      <c r="BI56" s="714"/>
      <c r="BJ56" s="714"/>
      <c r="BK56" s="714"/>
      <c r="BL56" s="714"/>
      <c r="BM56" s="714"/>
      <c r="BN56" s="714"/>
      <c r="BO56" s="714"/>
      <c r="BP56" s="714"/>
      <c r="BQ56" s="714"/>
      <c r="BR56" s="714"/>
      <c r="BS56" s="714"/>
      <c r="BT56" s="714"/>
      <c r="BU56" s="714"/>
      <c r="BV56" s="714"/>
      <c r="BW56" s="714"/>
      <c r="BX56" s="825"/>
      <c r="BY56" s="825"/>
      <c r="BZ56" s="825"/>
      <c r="CA56" s="825"/>
      <c r="CB56" s="825"/>
      <c r="CC56" s="825"/>
      <c r="CD56" s="825"/>
      <c r="CE56" s="825"/>
      <c r="CF56" s="825"/>
      <c r="CG56" s="825"/>
      <c r="CH56" s="825"/>
      <c r="CI56" s="825"/>
      <c r="CJ56" s="825"/>
      <c r="CK56" s="825"/>
      <c r="CL56" s="825"/>
      <c r="CM56" s="825"/>
      <c r="CN56" s="825"/>
      <c r="CO56" s="825"/>
      <c r="CP56" s="825"/>
      <c r="CQ56" s="825"/>
      <c r="CR56" s="413"/>
      <c r="CS56" s="145"/>
      <c r="CT56" s="146"/>
      <c r="CW56" s="489" t="str">
        <f>IF(AND(ISNUMBER(VALUE(TRIM(SUBSTITUTE(AB56,".","")))),TRIM(SUBSTITUTE(AB56,".",""))&lt;&gt;""),"P"&amp;SUBSTITUTE(AB56,".",""),"")</f>
        <v/>
      </c>
      <c r="CX56" s="489"/>
      <c r="CY56" s="489"/>
      <c r="CZ56" s="546"/>
      <c r="DA56" s="546"/>
      <c r="DD56" s="0" cm="1" t="str">
        <f t="array" ref="DD56:DD56">DD55</f>
        <v>0</v>
      </c>
    </row>
    <row s="1506" customFormat="1" customHeight="1" ht="16.575" hidden="1">
      <c r="E57" s="180">
        <v>17</v>
      </c>
      <c r="F57" s="175" cm="1" t="str">
        <f t="array" ref="F57:F57">OFFSET(G57,-1,-1)</f>
        <v>0</v>
      </c>
      <c r="T57" s="753">
        <f>AND(F57&gt;0,Y57&gt;0)</f>
        <v>0</v>
      </c>
      <c r="W57" s="175" t="s">
        <v>189</v>
      </c>
      <c r="Y57" s="175">
        <v>0</v>
      </c>
      <c r="AA57" s="957" t="s">
        <v>171</v>
      </c>
      <c r="AB57" s="697" t="str">
        <f>"11."&amp;Y57</f>
        <v>11.0</v>
      </c>
      <c r="AC57" s="147"/>
      <c r="AD57" s="819" t="s">
        <v>1178</v>
      </c>
      <c r="AE57" s="141"/>
      <c r="AF57" s="141"/>
      <c r="AG57" s="148"/>
      <c r="AH57" s="700">
        <f>AG57-AF57</f>
        <v>0</v>
      </c>
      <c r="AI57" s="149"/>
      <c r="AJ57" s="818"/>
      <c r="AK57" s="141"/>
      <c r="AL57" s="141"/>
      <c r="AM57" s="141"/>
      <c r="AN57" s="141"/>
      <c r="AO57" s="141"/>
      <c r="AP57" s="141"/>
      <c r="AQ57" s="141"/>
      <c r="AR57" s="141"/>
      <c r="AS57" s="141"/>
      <c r="AT57" s="141"/>
      <c r="AU57" s="141"/>
      <c r="AV57" s="141"/>
      <c r="AW57" s="141"/>
      <c r="AX57" s="141"/>
      <c r="AY57" s="141"/>
      <c r="AZ57" s="141"/>
      <c r="BA57" s="141"/>
      <c r="BB57" s="141"/>
      <c r="BC57" s="141"/>
      <c r="BD57" s="818"/>
      <c r="BE57" s="141"/>
      <c r="BF57" s="141"/>
      <c r="BG57" s="141"/>
      <c r="BH57" s="141"/>
      <c r="BI57" s="141"/>
      <c r="BJ57" s="141"/>
      <c r="BK57" s="141"/>
      <c r="BL57" s="141"/>
      <c r="BM57" s="141"/>
      <c r="BN57" s="141"/>
      <c r="BO57" s="141"/>
      <c r="BP57" s="141"/>
      <c r="BQ57" s="141"/>
      <c r="BR57" s="141"/>
      <c r="BS57" s="141"/>
      <c r="BT57" s="141"/>
      <c r="BU57" s="141"/>
      <c r="BV57" s="141"/>
      <c r="BW57" s="141"/>
      <c r="BX57" s="700">
        <f>IF(AI57=0,0,(BD57-AI57)/AI57*100)</f>
        <v>0</v>
      </c>
      <c r="BY57" s="700">
        <f>IF(BD57=0,0,(BE57-BD57)/BD57*100)</f>
        <v>0</v>
      </c>
      <c r="BZ57" s="700">
        <f>IF(BE57=0,0,(BF57-BE57)/BE57*100)</f>
        <v>0</v>
      </c>
      <c r="CA57" s="700">
        <f>IF(BF57=0,0,(BG57-BF57)/BF57*100)</f>
        <v>0</v>
      </c>
      <c r="CB57" s="700">
        <f>IF(BG57=0,0,(BH57-BG57)/BG57*100)</f>
        <v>0</v>
      </c>
      <c r="CC57" s="700">
        <f>IF(BH57=0,0,(BI57-BH57)/BH57*100)</f>
        <v>0</v>
      </c>
      <c r="CD57" s="700">
        <f>IF(BI57=0,0,(BJ57-BI57)/BI57*100)</f>
        <v>0</v>
      </c>
      <c r="CE57" s="700">
        <f>IF(BJ57=0,0,(BK57-BJ57)/BJ57*100)</f>
        <v>0</v>
      </c>
      <c r="CF57" s="700">
        <f>IF(BK57=0,0,(BL57-BK57)/BK57*100)</f>
        <v>0</v>
      </c>
      <c r="CG57" s="700">
        <f>IF(BL57=0,0,(BM57-BL57)/BL57*100)</f>
        <v>0</v>
      </c>
      <c r="CH57" s="700">
        <f>IF(BM57=0,0,(BN57-BM57)/BM57*100)</f>
        <v>0</v>
      </c>
      <c r="CI57" s="700">
        <f>IF(BN57=0,0,(BO57-BN57)/BN57*100)</f>
        <v>0</v>
      </c>
      <c r="CJ57" s="700">
        <f>IF(BO57=0,0,(BP57-BO57)/BO57*100)</f>
        <v>0</v>
      </c>
      <c r="CK57" s="700">
        <f>IF(BP57=0,0,(BQ57-BP57)/BP57*100)</f>
        <v>0</v>
      </c>
      <c r="CL57" s="700">
        <f>IF(BQ57=0,0,(BR57-BQ57)/BQ57*100)</f>
        <v>0</v>
      </c>
      <c r="CM57" s="700">
        <f>IF(BR57=0,0,(BS57-BR57)/BR57*100)</f>
        <v>0</v>
      </c>
      <c r="CN57" s="700">
        <f>IF(BS57=0,0,(BT57-BS57)/BS57*100)</f>
        <v>0</v>
      </c>
      <c r="CO57" s="700">
        <f>IF(BT57=0,0,(BU57-BT57)/BT57*100)</f>
        <v>0</v>
      </c>
      <c r="CP57" s="700">
        <f>IF(BU57=0,0,(BV57-BU57)/BU57*100)</f>
        <v>0</v>
      </c>
      <c r="CQ57" s="700">
        <f>IF(BV57=0,0,(BW57-BV57)/BV57*100)</f>
        <v>0</v>
      </c>
      <c r="CR57" s="150"/>
      <c r="CS57" s="151"/>
      <c r="CT57" s="152"/>
      <c r="CW57" s="489" t="s">
        <v>1509</v>
      </c>
      <c r="CX57" s="489" t="s">
        <v>1406</v>
      </c>
      <c r="CY57" s="489" cm="1" t="str">
        <f t="array" ref="CY57:CY57">AC57</f>
        <v>0</v>
      </c>
      <c r="CZ57" s="546"/>
      <c r="DA57" s="546" t="b">
        <v>1</v>
      </c>
      <c r="DD57" s="0" cm="1" t="str">
        <f t="array" ref="DD57:DD57">OFFSET(DE57,-1,-1)</f>
        <v>0</v>
      </c>
      <c r="DI57" s="0" t="s">
        <v>2050</v>
      </c>
      <c r="DN57" s="0" cm="1" t="str">
        <f t="array" ref="DN57:DN57">$AC57</f>
        <v>0</v>
      </c>
      <c r="DO57" s="0" t="s">
        <v>303</v>
      </c>
      <c r="DP57" s="0" t="s">
        <v>1142</v>
      </c>
      <c r="DQ57" s="0" t="s">
        <v>1143</v>
      </c>
    </row>
    <row s="1659" customFormat="1" customHeight="1" ht="16.575" hidden="1">
      <c r="E58" s="180">
        <v>17</v>
      </c>
      <c r="F58" s="175" cm="1" t="str">
        <f t="array" ref="F58:F58">OFFSET(G58,-1,-1)</f>
        <v>0</v>
      </c>
      <c r="T58" s="753">
        <f>F58&gt;0</f>
        <v>0</v>
      </c>
      <c r="W58" s="176" t="s">
        <v>2052</v>
      </c>
      <c r="AB58" s="1137"/>
      <c r="AC58" s="1138" t="s">
        <v>191</v>
      </c>
      <c r="AD58" s="1139"/>
      <c r="AE58" s="1139"/>
      <c r="AF58" s="1139"/>
      <c r="AG58" s="1139"/>
      <c r="AH58" s="1139"/>
      <c r="AI58" s="1139"/>
      <c r="AJ58" s="1139"/>
      <c r="AK58" s="1139"/>
      <c r="AL58" s="1139"/>
      <c r="AM58" s="1139"/>
      <c r="AN58" s="1139"/>
      <c r="AO58" s="1139"/>
      <c r="AP58" s="1139"/>
      <c r="AQ58" s="1139"/>
      <c r="AR58" s="1139"/>
      <c r="AS58" s="1139"/>
      <c r="AT58" s="1139"/>
      <c r="AU58" s="1139"/>
      <c r="AV58" s="1139"/>
      <c r="AW58" s="1139"/>
      <c r="AX58" s="1139"/>
      <c r="AY58" s="1139"/>
      <c r="AZ58" s="1139"/>
      <c r="BA58" s="1139"/>
      <c r="BB58" s="1139"/>
      <c r="BC58" s="1139"/>
      <c r="BD58" s="1139"/>
      <c r="BE58" s="1139"/>
      <c r="BF58" s="1139"/>
      <c r="BG58" s="1139"/>
      <c r="BH58" s="1139"/>
      <c r="BI58" s="1139"/>
      <c r="BJ58" s="1139"/>
      <c r="BK58" s="1139"/>
      <c r="BL58" s="1139"/>
      <c r="BM58" s="1139"/>
      <c r="BN58" s="1139"/>
      <c r="BO58" s="1139"/>
      <c r="BP58" s="1139"/>
      <c r="BQ58" s="1139"/>
      <c r="BR58" s="1139"/>
      <c r="BS58" s="1139"/>
      <c r="BT58" s="1139"/>
      <c r="BU58" s="1139"/>
      <c r="BV58" s="1139"/>
      <c r="BW58" s="1139"/>
      <c r="BX58" s="1139"/>
      <c r="BY58" s="1139"/>
      <c r="BZ58" s="1139"/>
      <c r="CA58" s="1139"/>
      <c r="CB58" s="1139"/>
      <c r="CC58" s="1139"/>
      <c r="CD58" s="1139"/>
      <c r="CE58" s="1139"/>
      <c r="CF58" s="1139"/>
      <c r="CG58" s="1139"/>
      <c r="CH58" s="1139"/>
      <c r="CI58" s="1139"/>
      <c r="CJ58" s="1139"/>
      <c r="CK58" s="1139"/>
      <c r="CL58" s="1139"/>
      <c r="CM58" s="1139"/>
      <c r="CN58" s="1139"/>
      <c r="CO58" s="1139"/>
      <c r="CP58" s="1139"/>
      <c r="CQ58" s="1139"/>
      <c r="CR58" s="1140"/>
      <c r="CS58" s="1140"/>
      <c r="CT58" s="1141"/>
      <c r="CW58" s="489" t="str">
        <f>IF(AND(ISNUMBER(VALUE(TRIM(SUBSTITUTE(AB58,".","")))),TRIM(SUBSTITUTE(AB58,".",""))&lt;&gt;""),"P"&amp;SUBSTITUTE(AB58,".",""),"")</f>
        <v/>
      </c>
      <c r="CX58" s="489"/>
      <c r="CY58" s="489"/>
      <c r="CZ58" s="546" t="s">
        <v>1406</v>
      </c>
      <c r="DA58" s="546"/>
      <c r="DD58" s="0" cm="1" t="str">
        <f t="array" ref="DD58:DD58">OFFSET(DE58,-1,-1)</f>
        <v>0</v>
      </c>
    </row>
    <row s="1506" customFormat="1" customHeight="1" ht="14.625" hidden="1">
      <c r="E59" s="180">
        <v>15</v>
      </c>
      <c r="F59" s="175" cm="1" t="str">
        <f t="array" ref="F59:F59">OFFSET(G59,-1,-1)</f>
        <v>0</v>
      </c>
      <c r="T59" s="753" cm="1" t="str">
        <f t="array" ref="T59:T59">T58</f>
        <v>false</v>
      </c>
      <c r="AB59" s="829">
        <v>12</v>
      </c>
      <c r="AC59" s="830" t="s">
        <v>2053</v>
      </c>
      <c r="AD59" s="831" t="s">
        <v>1178</v>
      </c>
      <c r="AE59" s="835">
        <f>AE28+AE29+AE30+IF(method_reg="Метод индексации",AE43+AE48,AE31+AE34)+AE50+AE51+AE52+AE53+AE54+AE55</f>
        <v>0</v>
      </c>
      <c r="AF59" s="835">
        <f>AF28+AF29+AF30+IF(method_reg="Метод индексации",AF43+AF48,AF31+AF34)+AF50+AF51+AF52+AF53+AF54+AF55</f>
        <v>0</v>
      </c>
      <c r="AG59" s="835">
        <f>AG28+AG29+AG30+IF(method_reg="Метод индексации",AG43+AG48,AG31+AG34)+AG50+AG51+AG52+AG53+AG54+AG55</f>
        <v>0</v>
      </c>
      <c r="AH59" s="707">
        <f>AG59-AF59</f>
        <v>0</v>
      </c>
      <c r="AI59" s="835">
        <f>AI28+AI29+AI30+IF(method_reg="Метод индексации",AI43+AI48,AI31+AI34)+AI50+AI51+AI52+AI53+AI54+AI55</f>
        <v>0</v>
      </c>
      <c r="AJ59" s="835">
        <f>AJ28+AJ29+AJ30+IF(method_reg="Метод индексации",AJ43+AJ48,AJ31+AJ34)+AJ50+AJ51+AJ52+AJ53+AJ54+AJ55</f>
        <v>0</v>
      </c>
      <c r="AK59" s="835">
        <f>AK28+AK29+AK30+IF(method_reg="Метод индексации",AK43+AK48,AK31+AK34)+AK50+AK51+AK52+AK53+AK54+AK55</f>
        <v>0</v>
      </c>
      <c r="AL59" s="835">
        <f>AL28+AL29+AL30+IF(method_reg="Метод индексации",AL43+AL48,AL31+AL34)+AL50+AL51+AL52+AL53+AL54+AL55</f>
        <v>0</v>
      </c>
      <c r="AM59" s="835">
        <f>AM28+AM29+AM30+IF(method_reg="Метод индексации",AM43+AM48,AM31+AM34)+AM50+AM51+AM52+AM53+AM54+AM55</f>
        <v>0</v>
      </c>
      <c r="AN59" s="835">
        <f>AN28+AN29+AN30+IF(method_reg="Метод индексации",AN43+AN48,AN31+AN34)+AN50+AN51+AN52+AN53+AN54+AN55</f>
        <v>0</v>
      </c>
      <c r="AO59" s="835">
        <f>AO28+AO29+AO30+IF(method_reg="Метод индексации",AO43+AO48,AO31+AO34)+AO50+AO51+AO52+AO53+AO54+AO55</f>
        <v>0</v>
      </c>
      <c r="AP59" s="835">
        <f>AP28+AP29+AP30+IF(method_reg="Метод индексации",AP43+AP48,AP31+AP34)+AP50+AP51+AP52+AP53+AP54+AP55</f>
        <v>0</v>
      </c>
      <c r="AQ59" s="835">
        <f>AQ28+AQ29+AQ30+IF(method_reg="Метод индексации",AQ43+AQ48,AQ31+AQ34)+AQ50+AQ51+AQ52+AQ53+AQ54+AQ55</f>
        <v>0</v>
      </c>
      <c r="AR59" s="835">
        <f>AR28+AR29+AR30+IF(method_reg="Метод индексации",AR43+AR48,AR31+AR34)+AR50+AR51+AR52+AR53+AR54+AR55</f>
        <v>0</v>
      </c>
      <c r="AS59" s="835">
        <f>AS28+AS29+AS30+IF(method_reg="Метод индексации",AS43+AS48,AS31+AS34)+AS50+AS51+AS52+AS53+AS54+AS55</f>
        <v>0</v>
      </c>
      <c r="AT59" s="835">
        <f>AT28+AT29+AT30+IF(method_reg="Метод индексации",AT43+AT48,AT31+AT34)+AT50+AT51+AT52+AT53+AT54+AT55</f>
        <v>0</v>
      </c>
      <c r="AU59" s="835">
        <f>AU28+AU29+AU30+IF(method_reg="Метод индексации",AU43+AU48,AU31+AU34)+AU50+AU51+AU52+AU53+AU54+AU55</f>
        <v>0</v>
      </c>
      <c r="AV59" s="835">
        <f>AV28+AV29+AV30+IF(method_reg="Метод индексации",AV43+AV48,AV31+AV34)+AV50+AV51+AV52+AV53+AV54+AV55</f>
        <v>0</v>
      </c>
      <c r="AW59" s="835">
        <f>AW28+AW29+AW30+IF(method_reg="Метод индексации",AW43+AW48,AW31+AW34)+AW50+AW51+AW52+AW53+AW54+AW55</f>
        <v>0</v>
      </c>
      <c r="AX59" s="835">
        <f>AX28+AX29+AX30+IF(method_reg="Метод индексации",AX43+AX48,AX31+AX34)+AX50+AX51+AX52+AX53+AX54+AX55</f>
        <v>0</v>
      </c>
      <c r="AY59" s="835">
        <f>AY28+AY29+AY30+IF(method_reg="Метод индексации",AY43+AY48,AY31+AY34)+AY50+AY51+AY52+AY53+AY54+AY55</f>
        <v>0</v>
      </c>
      <c r="AZ59" s="835">
        <f>AZ28+AZ29+AZ30+IF(method_reg="Метод индексации",AZ43+AZ48,AZ31+AZ34)+AZ50+AZ51+AZ52+AZ53+AZ54+AZ55</f>
        <v>0</v>
      </c>
      <c r="BA59" s="835">
        <f>BA28+BA29+BA30+IF(method_reg="Метод индексации",BA43+BA48,BA31+BA34)+BA50+BA51+BA52+BA53+BA54+BA55</f>
        <v>0</v>
      </c>
      <c r="BB59" s="835">
        <f>BB28+BB29+BB30+IF(method_reg="Метод индексации",BB43+BB48,BB31+BB34)+BB50+BB51+BB52+BB53+BB54+BB55</f>
        <v>0</v>
      </c>
      <c r="BC59" s="835">
        <f>BC28+BC29+BC30+IF(method_reg="Метод индексации",BC43+BC48,BC31+BC34)+BC50+BC51+BC52+BC53+BC54+BC55</f>
        <v>0</v>
      </c>
      <c r="BD59" s="835">
        <f>BD28+BD29+BD30+IF(method_reg="Метод индексации",BD43+BD48,BD31+BD34)+BD50+BD51+BD52+BD53+BD54+BD55</f>
        <v>0</v>
      </c>
      <c r="BE59" s="835">
        <f>BE28+BE29+BE30+IF(method_reg="Метод индексации",BE43+BE48,BE31+BE34)+BE50+BE51+BE52+BE53+BE54+BE55</f>
        <v>0</v>
      </c>
      <c r="BF59" s="835">
        <f>BF28+BF29+BF30+IF(method_reg="Метод индексации",BF43+BF48,BF31+BF34)+BF50+BF51+BF52+BF53+BF54+BF55</f>
        <v>0</v>
      </c>
      <c r="BG59" s="835">
        <f>BG28+BG29+BG30+IF(method_reg="Метод индексации",BG43+BG48,BG31+BG34)+BG50+BG51+BG52+BG53+BG54+BG55</f>
        <v>0</v>
      </c>
      <c r="BH59" s="835">
        <f>BH28+BH29+BH30+IF(method_reg="Метод индексации",BH43+BH48,BH31+BH34)+BH50+BH51+BH52+BH53+BH54+BH55</f>
        <v>0</v>
      </c>
      <c r="BI59" s="835">
        <f>BI28+BI29+BI30+IF(method_reg="Метод индексации",BI43+BI48,BI31+BI34)+BI50+BI51+BI52+BI53+BI54+BI55</f>
        <v>0</v>
      </c>
      <c r="BJ59" s="835">
        <f>BJ28+BJ29+BJ30+IF(method_reg="Метод индексации",BJ43+BJ48,BJ31+BJ34)+BJ50+BJ51+BJ52+BJ53+BJ54+BJ55</f>
        <v>0</v>
      </c>
      <c r="BK59" s="835">
        <f>BK28+BK29+BK30+IF(method_reg="Метод индексации",BK43+BK48,BK31+BK34)+BK50+BK51+BK52+BK53+BK54+BK55</f>
        <v>0</v>
      </c>
      <c r="BL59" s="835">
        <f>BL28+BL29+BL30+IF(method_reg="Метод индексации",BL43+BL48,BL31+BL34)+BL50+BL51+BL52+BL53+BL54+BL55</f>
        <v>0</v>
      </c>
      <c r="BM59" s="835">
        <f>BM28+BM29+BM30+IF(method_reg="Метод индексации",BM43+BM48,BM31+BM34)+BM50+BM51+BM52+BM53+BM54+BM55</f>
        <v>0</v>
      </c>
      <c r="BN59" s="835">
        <f>BN28+BN29+BN30+IF(method_reg="Метод индексации",BN43+BN48,BN31+BN34)+BN50+BN51+BN52+BN53+BN54+BN55</f>
        <v>0</v>
      </c>
      <c r="BO59" s="835">
        <f>BO28+BO29+BO30+IF(method_reg="Метод индексации",BO43+BO48,BO31+BO34)+BO50+BO51+BO52+BO53+BO54+BO55</f>
        <v>0</v>
      </c>
      <c r="BP59" s="835">
        <f>BP28+BP29+BP30+IF(method_reg="Метод индексации",BP43+BP48,BP31+BP34)+BP50+BP51+BP52+BP53+BP54+BP55</f>
        <v>0</v>
      </c>
      <c r="BQ59" s="835">
        <f>BQ28+BQ29+BQ30+IF(method_reg="Метод индексации",BQ43+BQ48,BQ31+BQ34)+BQ50+BQ51+BQ52+BQ53+BQ54+BQ55</f>
        <v>0</v>
      </c>
      <c r="BR59" s="835">
        <f>BR28+BR29+BR30+IF(method_reg="Метод индексации",BR43+BR48,BR31+BR34)+BR50+BR51+BR52+BR53+BR54+BR55</f>
        <v>0</v>
      </c>
      <c r="BS59" s="835">
        <f>BS28+BS29+BS30+IF(method_reg="Метод индексации",BS43+BS48,BS31+BS34)+BS50+BS51+BS52+BS53+BS54+BS55</f>
        <v>0</v>
      </c>
      <c r="BT59" s="835">
        <f>BT28+BT29+BT30+IF(method_reg="Метод индексации",BT43+BT48,BT31+BT34)+BT50+BT51+BT52+BT53+BT54+BT55</f>
        <v>0</v>
      </c>
      <c r="BU59" s="835">
        <f>BU28+BU29+BU30+IF(method_reg="Метод индексации",BU43+BU48,BU31+BU34)+BU50+BU51+BU52+BU53+BU54+BU55</f>
        <v>0</v>
      </c>
      <c r="BV59" s="835">
        <f>BV28+BV29+BV30+IF(method_reg="Метод индексации",BV43+BV48,BV31+BV34)+BV50+BV51+BV52+BV53+BV54+BV55</f>
        <v>0</v>
      </c>
      <c r="BW59" s="835">
        <f>BW28+BW29+BW30+IF(method_reg="Метод индексации",BW43+BW48,BW31+BW34)+BW50+BW51+BW52+BW53+BW54+BW55</f>
        <v>0</v>
      </c>
      <c r="BX59" s="707">
        <f>IF(AI59=0,0,(BD59-AI59)/AI59*100)</f>
        <v>0</v>
      </c>
      <c r="BY59" s="707">
        <f>IF(BD59=0,0,(BE59-BD59)/BD59*100)</f>
        <v>0</v>
      </c>
      <c r="BZ59" s="707">
        <f>IF(BE59=0,0,(BF59-BE59)/BE59*100)</f>
        <v>0</v>
      </c>
      <c r="CA59" s="707">
        <f>IF(BF59=0,0,(BG59-BF59)/BF59*100)</f>
        <v>0</v>
      </c>
      <c r="CB59" s="707">
        <f>IF(BG59=0,0,(BH59-BG59)/BG59*100)</f>
        <v>0</v>
      </c>
      <c r="CC59" s="707">
        <f>IF(BH59=0,0,(BI59-BH59)/BH59*100)</f>
        <v>0</v>
      </c>
      <c r="CD59" s="707">
        <f>IF(BI59=0,0,(BJ59-BI59)/BI59*100)</f>
        <v>0</v>
      </c>
      <c r="CE59" s="707">
        <f>IF(BJ59=0,0,(BK59-BJ59)/BJ59*100)</f>
        <v>0</v>
      </c>
      <c r="CF59" s="707">
        <f>IF(BK59=0,0,(BL59-BK59)/BK59*100)</f>
        <v>0</v>
      </c>
      <c r="CG59" s="707">
        <f>IF(BL59=0,0,(BM59-BL59)/BL59*100)</f>
        <v>0</v>
      </c>
      <c r="CH59" s="707">
        <f>IF(BM59=0,0,(BN59-BM59)/BM59*100)</f>
        <v>0</v>
      </c>
      <c r="CI59" s="707">
        <f>IF(BN59=0,0,(BO59-BN59)/BN59*100)</f>
        <v>0</v>
      </c>
      <c r="CJ59" s="707">
        <f>IF(BO59=0,0,(BP59-BO59)/BO59*100)</f>
        <v>0</v>
      </c>
      <c r="CK59" s="707">
        <f>IF(BP59=0,0,(BQ59-BP59)/BP59*100)</f>
        <v>0</v>
      </c>
      <c r="CL59" s="707">
        <f>IF(BQ59=0,0,(BR59-BQ59)/BQ59*100)</f>
        <v>0</v>
      </c>
      <c r="CM59" s="707">
        <f>IF(BR59=0,0,(BS59-BR59)/BR59*100)</f>
        <v>0</v>
      </c>
      <c r="CN59" s="707">
        <f>IF(BS59=0,0,(BT59-BS59)/BS59*100)</f>
        <v>0</v>
      </c>
      <c r="CO59" s="707">
        <f>IF(BT59=0,0,(BU59-BT59)/BT59*100)</f>
        <v>0</v>
      </c>
      <c r="CP59" s="707">
        <f>IF(BU59=0,0,(BV59-BU59)/BU59*100)</f>
        <v>0</v>
      </c>
      <c r="CQ59" s="707">
        <f>IF(BV59=0,0,(BW59-BV59)/BV59*100)</f>
        <v>0</v>
      </c>
      <c r="CR59" s="86"/>
      <c r="CS59" s="153"/>
      <c r="CT59" s="154"/>
      <c r="CW59" s="489" t="s">
        <v>2054</v>
      </c>
      <c r="CX59" s="489"/>
      <c r="CY59" s="489"/>
      <c r="CZ59" s="546"/>
      <c r="DA59" s="546"/>
      <c r="DD59" s="0" cm="1" t="str">
        <f t="array" ref="DD59:DD59">DD57</f>
        <v>0</v>
      </c>
      <c r="DM59" s="0" t="s">
        <v>2055</v>
      </c>
      <c r="DO59" s="0" t="s">
        <v>303</v>
      </c>
      <c r="DP59" s="0" t="s">
        <v>1717</v>
      </c>
      <c r="DQ59" s="0" t="s">
        <v>1718</v>
      </c>
    </row>
    <row customHeight="1" ht="48.75" hidden="1">
      <c r="E60" s="180">
        <v>50</v>
      </c>
      <c r="F60" s="175" cm="1" t="str">
        <f t="array" ref="F60:F60">OFFSET(G60,-1,-1)</f>
        <v>0</v>
      </c>
      <c r="T60" s="753" cm="1" t="str">
        <f t="array" ref="T60:T60">T59</f>
        <v>false</v>
      </c>
      <c r="AB60" s="512">
        <v>13</v>
      </c>
      <c r="AC60" s="832" t="s">
        <v>2056</v>
      </c>
      <c r="AD60" s="819" t="s">
        <v>1178</v>
      </c>
      <c r="AE60" s="155"/>
      <c r="AF60" s="155"/>
      <c r="AG60" s="155"/>
      <c r="AH60" s="695">
        <f>AG60-AF60</f>
        <v>0</v>
      </c>
      <c r="AI60" s="155"/>
      <c r="AJ60" s="833"/>
      <c r="AK60" s="155"/>
      <c r="AL60" s="155"/>
      <c r="AM60" s="155"/>
      <c r="AN60" s="155"/>
      <c r="AO60" s="155"/>
      <c r="AP60" s="155"/>
      <c r="AQ60" s="155"/>
      <c r="AR60" s="155"/>
      <c r="AS60" s="155"/>
      <c r="AT60" s="155"/>
      <c r="AU60" s="155"/>
      <c r="AV60" s="155"/>
      <c r="AW60" s="155"/>
      <c r="AX60" s="155"/>
      <c r="AY60" s="155"/>
      <c r="AZ60" s="155"/>
      <c r="BA60" s="155"/>
      <c r="BB60" s="155"/>
      <c r="BC60" s="155"/>
      <c r="BD60" s="833"/>
      <c r="BE60" s="155"/>
      <c r="BF60" s="155"/>
      <c r="BG60" s="155"/>
      <c r="BH60" s="155"/>
      <c r="BI60" s="155"/>
      <c r="BJ60" s="155"/>
      <c r="BK60" s="155"/>
      <c r="BL60" s="155"/>
      <c r="BM60" s="155"/>
      <c r="BN60" s="155"/>
      <c r="BO60" s="155"/>
      <c r="BP60" s="155"/>
      <c r="BQ60" s="155"/>
      <c r="BR60" s="155"/>
      <c r="BS60" s="155"/>
      <c r="BT60" s="155"/>
      <c r="BU60" s="155"/>
      <c r="BV60" s="155"/>
      <c r="BW60" s="155"/>
      <c r="BX60" s="695">
        <f>IF(AI60=0,0,(BD60-AI60)/AI60*100)</f>
        <v>0</v>
      </c>
      <c r="BY60" s="695">
        <f>IF(BD60=0,0,(BE60-BD60)/BD60*100)</f>
        <v>0</v>
      </c>
      <c r="BZ60" s="695">
        <f>IF(BE60=0,0,(BF60-BE60)/BE60*100)</f>
        <v>0</v>
      </c>
      <c r="CA60" s="695">
        <f>IF(BF60=0,0,(BG60-BF60)/BF60*100)</f>
        <v>0</v>
      </c>
      <c r="CB60" s="695">
        <f>IF(BG60=0,0,(BH60-BG60)/BG60*100)</f>
        <v>0</v>
      </c>
      <c r="CC60" s="695">
        <f>IF(BH60=0,0,(BI60-BH60)/BH60*100)</f>
        <v>0</v>
      </c>
      <c r="CD60" s="695">
        <f>IF(BI60=0,0,(BJ60-BI60)/BI60*100)</f>
        <v>0</v>
      </c>
      <c r="CE60" s="695">
        <f>IF(BJ60=0,0,(BK60-BJ60)/BJ60*100)</f>
        <v>0</v>
      </c>
      <c r="CF60" s="695">
        <f>IF(BK60=0,0,(BL60-BK60)/BK60*100)</f>
        <v>0</v>
      </c>
      <c r="CG60" s="695">
        <f>IF(BL60=0,0,(BM60-BL60)/BL60*100)</f>
        <v>0</v>
      </c>
      <c r="CH60" s="695">
        <f>IF(BM60=0,0,(BN60-BM60)/BM60*100)</f>
        <v>0</v>
      </c>
      <c r="CI60" s="695">
        <f>IF(BN60=0,0,(BO60-BN60)/BN60*100)</f>
        <v>0</v>
      </c>
      <c r="CJ60" s="695">
        <f>IF(BO60=0,0,(BP60-BO60)/BO60*100)</f>
        <v>0</v>
      </c>
      <c r="CK60" s="695">
        <f>IF(BP60=0,0,(BQ60-BP60)/BP60*100)</f>
        <v>0</v>
      </c>
      <c r="CL60" s="695">
        <f>IF(BQ60=0,0,(BR60-BQ60)/BQ60*100)</f>
        <v>0</v>
      </c>
      <c r="CM60" s="695">
        <f>IF(BR60=0,0,(BS60-BR60)/BR60*100)</f>
        <v>0</v>
      </c>
      <c r="CN60" s="695">
        <f>IF(BS60=0,0,(BT60-BS60)/BS60*100)</f>
        <v>0</v>
      </c>
      <c r="CO60" s="695">
        <f>IF(BT60=0,0,(BU60-BT60)/BT60*100)</f>
        <v>0</v>
      </c>
      <c r="CP60" s="695">
        <f>IF(BU60=0,0,(BV60-BU60)/BU60*100)</f>
        <v>0</v>
      </c>
      <c r="CQ60" s="695">
        <f>IF(BV60=0,0,(BW60-BV60)/BV60*100)</f>
        <v>0</v>
      </c>
      <c r="CR60" s="86"/>
      <c r="CS60" s="86"/>
      <c r="CT60" s="86"/>
      <c r="CW60" s="489" t="s">
        <v>2057</v>
      </c>
      <c r="DD60" s="0" cm="1" t="str">
        <f t="array" ref="DD60:DD60">DD59</f>
        <v>0</v>
      </c>
      <c r="DM60" s="0" t="s">
        <v>2058</v>
      </c>
      <c r="DO60" s="0" t="s">
        <v>303</v>
      </c>
      <c r="DP60" s="0" t="s">
        <v>2059</v>
      </c>
      <c r="DQ60" s="0" t="s">
        <v>2060</v>
      </c>
    </row>
    <row customHeight="1" ht="14.625" hidden="1">
      <c r="E61" s="180">
        <v>15</v>
      </c>
      <c r="F61" s="175" cm="1" t="str">
        <f t="array" ref="F61:F61">OFFSET(G61,-1,-1)</f>
        <v>0</v>
      </c>
      <c r="G61" s="193" t="s">
        <v>2061</v>
      </c>
      <c r="T61" s="753" cm="1" t="str">
        <f t="array" ref="T61:T61">T60</f>
        <v>false</v>
      </c>
      <c r="AB61" s="829">
        <v>14</v>
      </c>
      <c r="AC61" s="834" t="s">
        <v>2062</v>
      </c>
      <c r="AD61" s="819" t="s">
        <v>1178</v>
      </c>
      <c r="AE61" s="835">
        <f>AE59+AE60</f>
        <v>0</v>
      </c>
      <c r="AF61" s="835">
        <f>AF59+AF60</f>
        <v>0</v>
      </c>
      <c r="AG61" s="835">
        <f>AG59+AG60</f>
        <v>0</v>
      </c>
      <c r="AH61" s="695">
        <f>AG61-AF61</f>
        <v>0</v>
      </c>
      <c r="AI61" s="835">
        <f>AI59+AI60</f>
        <v>0</v>
      </c>
      <c r="AJ61" s="835">
        <f>AJ59+AJ60</f>
        <v>0</v>
      </c>
      <c r="AK61" s="835">
        <f>AK59+AK60</f>
        <v>0</v>
      </c>
      <c r="AL61" s="835">
        <f>AL59+AL60</f>
        <v>0</v>
      </c>
      <c r="AM61" s="835">
        <f>AM59+AM60</f>
        <v>0</v>
      </c>
      <c r="AN61" s="835">
        <f>AN59+AN60</f>
        <v>0</v>
      </c>
      <c r="AO61" s="835">
        <f>AO59+AO60</f>
        <v>0</v>
      </c>
      <c r="AP61" s="835">
        <f>AP59+AP60</f>
        <v>0</v>
      </c>
      <c r="AQ61" s="835">
        <f>AQ59+AQ60</f>
        <v>0</v>
      </c>
      <c r="AR61" s="835">
        <f>AR59+AR60</f>
        <v>0</v>
      </c>
      <c r="AS61" s="835">
        <f>AS59+AS60</f>
        <v>0</v>
      </c>
      <c r="AT61" s="835">
        <f>AT59+AT60</f>
        <v>0</v>
      </c>
      <c r="AU61" s="835">
        <f>AU59+AU60</f>
        <v>0</v>
      </c>
      <c r="AV61" s="835">
        <f>AV59+AV60</f>
        <v>0</v>
      </c>
      <c r="AW61" s="835">
        <f>AW59+AW60</f>
        <v>0</v>
      </c>
      <c r="AX61" s="835">
        <f>AX59+AX60</f>
        <v>0</v>
      </c>
      <c r="AY61" s="835">
        <f>AY59+AY60</f>
        <v>0</v>
      </c>
      <c r="AZ61" s="835">
        <f>AZ59+AZ60</f>
        <v>0</v>
      </c>
      <c r="BA61" s="835">
        <f>BA59+BA60</f>
        <v>0</v>
      </c>
      <c r="BB61" s="835">
        <f>BB59+BB60</f>
        <v>0</v>
      </c>
      <c r="BC61" s="835">
        <f>BC59+BC60</f>
        <v>0</v>
      </c>
      <c r="BD61" s="835">
        <f>BD59+BD60</f>
        <v>0</v>
      </c>
      <c r="BE61" s="835">
        <f>BE59+BE60</f>
        <v>0</v>
      </c>
      <c r="BF61" s="835">
        <f>BF59+BF60</f>
        <v>0</v>
      </c>
      <c r="BG61" s="835">
        <f>BG59+BG60</f>
        <v>0</v>
      </c>
      <c r="BH61" s="835">
        <f>BH59+BH60</f>
        <v>0</v>
      </c>
      <c r="BI61" s="835">
        <f>BI59+BI60</f>
        <v>0</v>
      </c>
      <c r="BJ61" s="835">
        <f>BJ59+BJ60</f>
        <v>0</v>
      </c>
      <c r="BK61" s="835">
        <f>BK59+BK60</f>
        <v>0</v>
      </c>
      <c r="BL61" s="835">
        <f>BL59+BL60</f>
        <v>0</v>
      </c>
      <c r="BM61" s="835">
        <f>BM59+BM60</f>
        <v>0</v>
      </c>
      <c r="BN61" s="835">
        <f>BN59+BN60</f>
        <v>0</v>
      </c>
      <c r="BO61" s="835">
        <f>BO59+BO60</f>
        <v>0</v>
      </c>
      <c r="BP61" s="835">
        <f>BP59+BP60</f>
        <v>0</v>
      </c>
      <c r="BQ61" s="835">
        <f>BQ59+BQ60</f>
        <v>0</v>
      </c>
      <c r="BR61" s="835">
        <f>BR59+BR60</f>
        <v>0</v>
      </c>
      <c r="BS61" s="835">
        <f>BS59+BS60</f>
        <v>0</v>
      </c>
      <c r="BT61" s="835">
        <f>BT59+BT60</f>
        <v>0</v>
      </c>
      <c r="BU61" s="835">
        <f>BU59+BU60</f>
        <v>0</v>
      </c>
      <c r="BV61" s="835">
        <f>BV59+BV60</f>
        <v>0</v>
      </c>
      <c r="BW61" s="835">
        <f>BW59+BW60</f>
        <v>0</v>
      </c>
      <c r="BX61" s="695">
        <f>IF(AI61=0,0,(BD61-AI61)/AI61*100)</f>
        <v>0</v>
      </c>
      <c r="BY61" s="695">
        <f>IF(BD61=0,0,(BE61-BD61)/BD61*100)</f>
        <v>0</v>
      </c>
      <c r="BZ61" s="695">
        <f>IF(BE61=0,0,(BF61-BE61)/BE61*100)</f>
        <v>0</v>
      </c>
      <c r="CA61" s="695">
        <f>IF(BF61=0,0,(BG61-BF61)/BF61*100)</f>
        <v>0</v>
      </c>
      <c r="CB61" s="695">
        <f>IF(BG61=0,0,(BH61-BG61)/BG61*100)</f>
        <v>0</v>
      </c>
      <c r="CC61" s="695">
        <f>IF(BH61=0,0,(BI61-BH61)/BH61*100)</f>
        <v>0</v>
      </c>
      <c r="CD61" s="695">
        <f>IF(BI61=0,0,(BJ61-BI61)/BI61*100)</f>
        <v>0</v>
      </c>
      <c r="CE61" s="695">
        <f>IF(BJ61=0,0,(BK61-BJ61)/BJ61*100)</f>
        <v>0</v>
      </c>
      <c r="CF61" s="695">
        <f>IF(BK61=0,0,(BL61-BK61)/BK61*100)</f>
        <v>0</v>
      </c>
      <c r="CG61" s="695">
        <f>IF(BL61=0,0,(BM61-BL61)/BL61*100)</f>
        <v>0</v>
      </c>
      <c r="CH61" s="695">
        <f>IF(BM61=0,0,(BN61-BM61)/BM61*100)</f>
        <v>0</v>
      </c>
      <c r="CI61" s="695">
        <f>IF(BN61=0,0,(BO61-BN61)/BN61*100)</f>
        <v>0</v>
      </c>
      <c r="CJ61" s="695">
        <f>IF(BO61=0,0,(BP61-BO61)/BO61*100)</f>
        <v>0</v>
      </c>
      <c r="CK61" s="695">
        <f>IF(BP61=0,0,(BQ61-BP61)/BP61*100)</f>
        <v>0</v>
      </c>
      <c r="CL61" s="695">
        <f>IF(BQ61=0,0,(BR61-BQ61)/BQ61*100)</f>
        <v>0</v>
      </c>
      <c r="CM61" s="695">
        <f>IF(BR61=0,0,(BS61-BR61)/BR61*100)</f>
        <v>0</v>
      </c>
      <c r="CN61" s="695">
        <f>IF(BS61=0,0,(BT61-BS61)/BS61*100)</f>
        <v>0</v>
      </c>
      <c r="CO61" s="695">
        <f>IF(BT61=0,0,(BU61-BT61)/BT61*100)</f>
        <v>0</v>
      </c>
      <c r="CP61" s="695">
        <f>IF(BU61=0,0,(BV61-BU61)/BU61*100)</f>
        <v>0</v>
      </c>
      <c r="CQ61" s="695">
        <f>IF(BV61=0,0,(BW61-BV61)/BV61*100)</f>
        <v>0</v>
      </c>
      <c r="CR61" s="86"/>
      <c r="CS61" s="86"/>
      <c r="CT61" s="86"/>
      <c r="CW61" s="489" t="s">
        <v>2063</v>
      </c>
      <c r="DD61" s="0" cm="1" t="str">
        <f t="array" ref="DD61:DD61">DD60</f>
        <v>0</v>
      </c>
      <c r="DM61" s="0" t="s">
        <v>2064</v>
      </c>
      <c r="DO61" s="0" t="s">
        <v>303</v>
      </c>
      <c r="DP61" s="0" t="s">
        <v>2065</v>
      </c>
      <c r="DQ61" s="0" t="s">
        <v>2066</v>
      </c>
    </row>
    <row customHeight="1" ht="14.625" hidden="1">
      <c r="E62" s="180">
        <v>15</v>
      </c>
      <c r="F62" s="175" cm="1" t="str">
        <f t="array" ref="F62:F62">OFFSET(G62,-1,-1)</f>
        <v>0</v>
      </c>
      <c r="G62" s="193" t="s">
        <v>1091</v>
      </c>
      <c r="L62" s="193" t="s">
        <v>2067</v>
      </c>
      <c r="T62" s="753">
        <f>AND(F62&gt;0,G27="двухставочный")</f>
        <v>0</v>
      </c>
      <c r="AB62" s="836" t="str">
        <f>AB61&amp;".1"</f>
        <v>14.1</v>
      </c>
      <c r="AC62" s="837" t="s">
        <v>2068</v>
      </c>
      <c r="AD62" s="666" t="s">
        <v>917</v>
      </c>
      <c r="AE62" s="132">
        <f>_xlfn.SUMIFS('Ресурсы (5.4)'!AE$26:AE$47,'Ресурсы (5.4)'!$F$26:$F$47,$F62,'Ресурсы (5.4)'!$AB$26:$AB$47,"6.1")</f>
        <v>0</v>
      </c>
      <c r="AF62" s="132">
        <f>_xlfn.SUMIFS('Ресурсы (5.4)'!AF$26:AF$47,'Ресурсы (5.4)'!$F$26:$F$47,$F62,'Ресурсы (5.4)'!$AB$26:$AB$47,"6.1")</f>
        <v>0</v>
      </c>
      <c r="AG62" s="132">
        <f>_xlfn.SUMIFS('Ресурсы (5.4)'!AG$26:AG$47,'Ресурсы (5.4)'!$F$26:$F$47,$F62,'Ресурсы (5.4)'!$AB$26:$AB$47,"6.1")</f>
        <v>0</v>
      </c>
      <c r="AH62" s="695">
        <f>AG62-AF62</f>
        <v>0</v>
      </c>
      <c r="AI62" s="132">
        <f>_xlfn.SUMIFS('Ресурсы (5.4)'!AI$26:AI$47,'Ресурсы (5.4)'!$F$26:$F$47,$F62,'Ресурсы (5.4)'!$AB$26:$AB$47,"6.1")</f>
        <v>0</v>
      </c>
      <c r="AJ62" s="749">
        <f>_xlfn.SUMIFS('Ресурсы (5.4)'!AJ$26:AJ$47,'Ресурсы (5.4)'!$F$26:$F$47,$F62,'Ресурсы (5.4)'!$AB$26:$AB$47,"6.1")</f>
        <v>0</v>
      </c>
      <c r="AK62" s="132">
        <f>_xlfn.SUMIFS('Ресурсы (5.4)'!AK$26:AK$47,'Ресурсы (5.4)'!$F$26:$F$47,$F62,'Ресурсы (5.4)'!$AB$26:$AB$47,"6.1")</f>
        <v>0</v>
      </c>
      <c r="AL62" s="132">
        <f>_xlfn.SUMIFS('Ресурсы (5.4)'!AL$26:AL$47,'Ресурсы (5.4)'!$F$26:$F$47,$F62,'Ресурсы (5.4)'!$AB$26:$AB$47,"6.1")</f>
        <v>0</v>
      </c>
      <c r="AM62" s="132">
        <f>_xlfn.SUMIFS('Ресурсы (5.4)'!AM$26:AM$47,'Ресурсы (5.4)'!$F$26:$F$47,$F62,'Ресурсы (5.4)'!$AB$26:$AB$47,"6.1")</f>
        <v>0</v>
      </c>
      <c r="AN62" s="132">
        <f>_xlfn.SUMIFS('Ресурсы (5.4)'!AN$26:AN$47,'Ресурсы (5.4)'!$F$26:$F$47,$F62,'Ресурсы (5.4)'!$AB$26:$AB$47,"6.1")</f>
        <v>0</v>
      </c>
      <c r="AO62" s="132">
        <f>_xlfn.SUMIFS('Ресурсы (5.4)'!AO$26:AO$47,'Ресурсы (5.4)'!$F$26:$F$47,$F62,'Ресурсы (5.4)'!$AB$26:$AB$47,"6.1")</f>
        <v>0</v>
      </c>
      <c r="AP62" s="132">
        <f>_xlfn.SUMIFS('Ресурсы (5.4)'!AP$26:AP$47,'Ресурсы (5.4)'!$F$26:$F$47,$F62,'Ресурсы (5.4)'!$AB$26:$AB$47,"6.1")</f>
        <v>0</v>
      </c>
      <c r="AQ62" s="132">
        <f>_xlfn.SUMIFS('Ресурсы (5.4)'!AQ$26:AQ$47,'Ресурсы (5.4)'!$F$26:$F$47,$F62,'Ресурсы (5.4)'!$AB$26:$AB$47,"6.1")</f>
        <v>0</v>
      </c>
      <c r="AR62" s="132">
        <f>_xlfn.SUMIFS('Ресурсы (5.4)'!AR$26:AR$47,'Ресурсы (5.4)'!$F$26:$F$47,$F62,'Ресурсы (5.4)'!$AB$26:$AB$47,"6.1")</f>
        <v>0</v>
      </c>
      <c r="AS62" s="132">
        <f>_xlfn.SUMIFS('Ресурсы (5.4)'!AS$26:AS$47,'Ресурсы (5.4)'!$F$26:$F$47,$F62,'Ресурсы (5.4)'!$AB$26:$AB$47,"6.1")</f>
        <v>0</v>
      </c>
      <c r="AT62" s="132">
        <f>_xlfn.SUMIFS('Ресурсы (5.4)'!AT$26:AT$47,'Ресурсы (5.4)'!$F$26:$F$47,$F62,'Ресурсы (5.4)'!$AB$26:$AB$47,"6.1")</f>
        <v>0</v>
      </c>
      <c r="AU62" s="132">
        <f>_xlfn.SUMIFS('Ресурсы (5.4)'!AU$26:AU$47,'Ресурсы (5.4)'!$F$26:$F$47,$F62,'Ресурсы (5.4)'!$AB$26:$AB$47,"6.1")</f>
        <v>0</v>
      </c>
      <c r="AV62" s="132">
        <f>_xlfn.SUMIFS('Ресурсы (5.4)'!AV$26:AV$47,'Ресурсы (5.4)'!$F$26:$F$47,$F62,'Ресурсы (5.4)'!$AB$26:$AB$47,"6.1")</f>
        <v>0</v>
      </c>
      <c r="AW62" s="132">
        <f>_xlfn.SUMIFS('Ресурсы (5.4)'!AW$26:AW$47,'Ресурсы (5.4)'!$F$26:$F$47,$F62,'Ресурсы (5.4)'!$AB$26:$AB$47,"6.1")</f>
        <v>0</v>
      </c>
      <c r="AX62" s="132">
        <f>_xlfn.SUMIFS('Ресурсы (5.4)'!AX$26:AX$47,'Ресурсы (5.4)'!$F$26:$F$47,$F62,'Ресурсы (5.4)'!$AB$26:$AB$47,"6.1")</f>
        <v>0</v>
      </c>
      <c r="AY62" s="132">
        <f>_xlfn.SUMIFS('Ресурсы (5.4)'!AY$26:AY$47,'Ресурсы (5.4)'!$F$26:$F$47,$F62,'Ресурсы (5.4)'!$AB$26:$AB$47,"6.1")</f>
        <v>0</v>
      </c>
      <c r="AZ62" s="132">
        <f>_xlfn.SUMIFS('Ресурсы (5.4)'!AZ$26:AZ$47,'Ресурсы (5.4)'!$F$26:$F$47,$F62,'Ресурсы (5.4)'!$AB$26:$AB$47,"6.1")</f>
        <v>0</v>
      </c>
      <c r="BA62" s="132">
        <f>_xlfn.SUMIFS('Ресурсы (5.4)'!BA$26:BA$47,'Ресурсы (5.4)'!$F$26:$F$47,$F62,'Ресурсы (5.4)'!$AB$26:$AB$47,"6.1")</f>
        <v>0</v>
      </c>
      <c r="BB62" s="132">
        <f>_xlfn.SUMIFS('Ресурсы (5.4)'!BB$26:BB$47,'Ресурсы (5.4)'!$F$26:$F$47,$F62,'Ресурсы (5.4)'!$AB$26:$AB$47,"6.1")</f>
        <v>0</v>
      </c>
      <c r="BC62" s="132">
        <f>_xlfn.SUMIFS('Ресурсы (5.4)'!BC$26:BC$47,'Ресурсы (5.4)'!$F$26:$F$47,$F62,'Ресурсы (5.4)'!$AB$26:$AB$47,"6.1")</f>
        <v>0</v>
      </c>
      <c r="BD62" s="749">
        <f>_xlfn.SUMIFS('Ресурсы (5.4)'!BD$26:BD$47,'Ресурсы (5.4)'!$F$26:$F$47,$F62,'Ресурсы (5.4)'!$AB$26:$AB$47,"6.1")</f>
        <v>0</v>
      </c>
      <c r="BE62" s="132">
        <f>_xlfn.SUMIFS('Ресурсы (5.4)'!BE$26:BE$47,'Ресурсы (5.4)'!$F$26:$F$47,$F62,'Ресурсы (5.4)'!$AB$26:$AB$47,"6.1")</f>
        <v>0</v>
      </c>
      <c r="BF62" s="132">
        <f>_xlfn.SUMIFS('Ресурсы (5.4)'!BF$26:BF$47,'Ресурсы (5.4)'!$F$26:$F$47,$F62,'Ресурсы (5.4)'!$AB$26:$AB$47,"6.1")</f>
        <v>0</v>
      </c>
      <c r="BG62" s="132">
        <f>_xlfn.SUMIFS('Ресурсы (5.4)'!BG$26:BG$47,'Ресурсы (5.4)'!$F$26:$F$47,$F62,'Ресурсы (5.4)'!$AB$26:$AB$47,"6.1")</f>
        <v>0</v>
      </c>
      <c r="BH62" s="132">
        <f>_xlfn.SUMIFS('Ресурсы (5.4)'!BH$26:BH$47,'Ресурсы (5.4)'!$F$26:$F$47,$F62,'Ресурсы (5.4)'!$AB$26:$AB$47,"6.1")</f>
        <v>0</v>
      </c>
      <c r="BI62" s="132">
        <f>_xlfn.SUMIFS('Ресурсы (5.4)'!BI$26:BI$47,'Ресурсы (5.4)'!$F$26:$F$47,$F62,'Ресурсы (5.4)'!$AB$26:$AB$47,"6.1")</f>
        <v>0</v>
      </c>
      <c r="BJ62" s="132">
        <f>_xlfn.SUMIFS('Ресурсы (5.4)'!BJ$26:BJ$47,'Ресурсы (5.4)'!$F$26:$F$47,$F62,'Ресурсы (5.4)'!$AB$26:$AB$47,"6.1")</f>
        <v>0</v>
      </c>
      <c r="BK62" s="132">
        <f>_xlfn.SUMIFS('Ресурсы (5.4)'!BK$26:BK$47,'Ресурсы (5.4)'!$F$26:$F$47,$F62,'Ресурсы (5.4)'!$AB$26:$AB$47,"6.1")</f>
        <v>0</v>
      </c>
      <c r="BL62" s="132">
        <f>_xlfn.SUMIFS('Ресурсы (5.4)'!BL$26:BL$47,'Ресурсы (5.4)'!$F$26:$F$47,$F62,'Ресурсы (5.4)'!$AB$26:$AB$47,"6.1")</f>
        <v>0</v>
      </c>
      <c r="BM62" s="132">
        <f>_xlfn.SUMIFS('Ресурсы (5.4)'!BM$26:BM$47,'Ресурсы (5.4)'!$F$26:$F$47,$F62,'Ресурсы (5.4)'!$AB$26:$AB$47,"6.1")</f>
        <v>0</v>
      </c>
      <c r="BN62" s="132">
        <f>_xlfn.SUMIFS('Ресурсы (5.4)'!BN$26:BN$47,'Ресурсы (5.4)'!$F$26:$F$47,$F62,'Ресурсы (5.4)'!$AB$26:$AB$47,"6.1")</f>
        <v>0</v>
      </c>
      <c r="BO62" s="132">
        <f>_xlfn.SUMIFS('Ресурсы (5.4)'!BO$26:BO$47,'Ресурсы (5.4)'!$F$26:$F$47,$F62,'Ресурсы (5.4)'!$AB$26:$AB$47,"6.1")</f>
        <v>0</v>
      </c>
      <c r="BP62" s="132">
        <f>_xlfn.SUMIFS('Ресурсы (5.4)'!BP$26:BP$47,'Ресурсы (5.4)'!$F$26:$F$47,$F62,'Ресурсы (5.4)'!$AB$26:$AB$47,"6.1")</f>
        <v>0</v>
      </c>
      <c r="BQ62" s="132">
        <f>_xlfn.SUMIFS('Ресурсы (5.4)'!BQ$26:BQ$47,'Ресурсы (5.4)'!$F$26:$F$47,$F62,'Ресурсы (5.4)'!$AB$26:$AB$47,"6.1")</f>
        <v>0</v>
      </c>
      <c r="BR62" s="132">
        <f>_xlfn.SUMIFS('Ресурсы (5.4)'!BR$26:BR$47,'Ресурсы (5.4)'!$F$26:$F$47,$F62,'Ресурсы (5.4)'!$AB$26:$AB$47,"6.1")</f>
        <v>0</v>
      </c>
      <c r="BS62" s="132">
        <f>_xlfn.SUMIFS('Ресурсы (5.4)'!BS$26:BS$47,'Ресурсы (5.4)'!$F$26:$F$47,$F62,'Ресурсы (5.4)'!$AB$26:$AB$47,"6.1")</f>
        <v>0</v>
      </c>
      <c r="BT62" s="132">
        <f>_xlfn.SUMIFS('Ресурсы (5.4)'!BT$26:BT$47,'Ресурсы (5.4)'!$F$26:$F$47,$F62,'Ресурсы (5.4)'!$AB$26:$AB$47,"6.1")</f>
        <v>0</v>
      </c>
      <c r="BU62" s="132">
        <f>_xlfn.SUMIFS('Ресурсы (5.4)'!BU$26:BU$47,'Ресурсы (5.4)'!$F$26:$F$47,$F62,'Ресурсы (5.4)'!$AB$26:$AB$47,"6.1")</f>
        <v>0</v>
      </c>
      <c r="BV62" s="132">
        <f>_xlfn.SUMIFS('Ресурсы (5.4)'!BV$26:BV$47,'Ресурсы (5.4)'!$F$26:$F$47,$F62,'Ресурсы (5.4)'!$AB$26:$AB$47,"6.1")</f>
        <v>0</v>
      </c>
      <c r="BW62" s="132">
        <f>_xlfn.SUMIFS('Ресурсы (5.4)'!BW$26:BW$47,'Ресурсы (5.4)'!$F$26:$F$47,$F62,'Ресурсы (5.4)'!$AB$26:$AB$47,"6.1")</f>
        <v>0</v>
      </c>
      <c r="BX62" s="695">
        <f>IF(AI62=0,0,(BD62-AI62)/AI62*100)</f>
        <v>0</v>
      </c>
      <c r="BY62" s="695">
        <f>IF(BD62=0,0,(BE62-BD62)/BD62*100)</f>
        <v>0</v>
      </c>
      <c r="BZ62" s="695">
        <f>IF(BE62=0,0,(BF62-BE62)/BE62*100)</f>
        <v>0</v>
      </c>
      <c r="CA62" s="695">
        <f>IF(BF62=0,0,(BG62-BF62)/BF62*100)</f>
        <v>0</v>
      </c>
      <c r="CB62" s="695">
        <f>IF(BG62=0,0,(BH62-BG62)/BG62*100)</f>
        <v>0</v>
      </c>
      <c r="CC62" s="695">
        <f>IF(BH62=0,0,(BI62-BH62)/BH62*100)</f>
        <v>0</v>
      </c>
      <c r="CD62" s="695">
        <f>IF(BI62=0,0,(BJ62-BI62)/BI62*100)</f>
        <v>0</v>
      </c>
      <c r="CE62" s="695">
        <f>IF(BJ62=0,0,(BK62-BJ62)/BJ62*100)</f>
        <v>0</v>
      </c>
      <c r="CF62" s="695">
        <f>IF(BK62=0,0,(BL62-BK62)/BK62*100)</f>
        <v>0</v>
      </c>
      <c r="CG62" s="695">
        <f>IF(BL62=0,0,(BM62-BL62)/BL62*100)</f>
        <v>0</v>
      </c>
      <c r="CH62" s="695">
        <f>IF(BM62=0,0,(BN62-BM62)/BM62*100)</f>
        <v>0</v>
      </c>
      <c r="CI62" s="695">
        <f>IF(BN62=0,0,(BO62-BN62)/BN62*100)</f>
        <v>0</v>
      </c>
      <c r="CJ62" s="695">
        <f>IF(BO62=0,0,(BP62-BO62)/BO62*100)</f>
        <v>0</v>
      </c>
      <c r="CK62" s="695">
        <f>IF(BP62=0,0,(BQ62-BP62)/BP62*100)</f>
        <v>0</v>
      </c>
      <c r="CL62" s="695">
        <f>IF(BQ62=0,0,(BR62-BQ62)/BQ62*100)</f>
        <v>0</v>
      </c>
      <c r="CM62" s="695">
        <f>IF(BR62=0,0,(BS62-BR62)/BR62*100)</f>
        <v>0</v>
      </c>
      <c r="CN62" s="695">
        <f>IF(BS62=0,0,(BT62-BS62)/BS62*100)</f>
        <v>0</v>
      </c>
      <c r="CO62" s="695">
        <f>IF(BT62=0,0,(BU62-BT62)/BT62*100)</f>
        <v>0</v>
      </c>
      <c r="CP62" s="695">
        <f>IF(BU62=0,0,(BV62-BU62)/BU62*100)</f>
        <v>0</v>
      </c>
      <c r="CQ62" s="695">
        <f>IF(BV62=0,0,(BW62-BV62)/BV62*100)</f>
        <v>0</v>
      </c>
      <c r="CR62" s="83"/>
      <c r="CS62" s="83"/>
      <c r="CT62" s="83"/>
      <c r="CW62" s="489" t="s">
        <v>2069</v>
      </c>
      <c r="DD62" s="0" cm="1" t="str">
        <f t="array" ref="DD62:DD62">DD61</f>
        <v>0</v>
      </c>
      <c r="DM62" s="0" t="s">
        <v>333</v>
      </c>
      <c r="DO62" s="0" t="s">
        <v>303</v>
      </c>
      <c r="DP62" s="0" t="s">
        <v>2070</v>
      </c>
      <c r="DQ62" s="0" t="s">
        <v>2071</v>
      </c>
    </row>
    <row customHeight="1" ht="14.625" hidden="1">
      <c r="E63" s="180">
        <v>15</v>
      </c>
      <c r="F63" s="175" cm="1" t="str">
        <f t="array" ref="F63:F63">OFFSET(G63,-1,-1)</f>
        <v>0</v>
      </c>
      <c r="L63" s="193" t="s">
        <v>2067</v>
      </c>
      <c r="T63" s="753" cm="1" t="str">
        <f t="array" ref="T63:T63">T62</f>
        <v>false</v>
      </c>
      <c r="AB63" s="836" t="str">
        <f>AB61&amp;".2"</f>
        <v>14.2</v>
      </c>
      <c r="AC63" s="837" t="s">
        <v>2072</v>
      </c>
      <c r="AD63" s="666" t="s">
        <v>917</v>
      </c>
      <c r="AE63" s="746">
        <f>AE61-AE62</f>
        <v>0</v>
      </c>
      <c r="AF63" s="746">
        <f>AF61-AF62</f>
        <v>0</v>
      </c>
      <c r="AG63" s="746">
        <f>AG61-AG62</f>
        <v>0</v>
      </c>
      <c r="AH63" s="695">
        <f>AG63-AF63</f>
        <v>0</v>
      </c>
      <c r="AI63" s="746">
        <f>AI61-AI62</f>
        <v>0</v>
      </c>
      <c r="AJ63" s="746">
        <f>AJ61-AJ62</f>
        <v>0</v>
      </c>
      <c r="AK63" s="746">
        <f>AK61-AK62</f>
        <v>0</v>
      </c>
      <c r="AL63" s="746">
        <f>AL61-AL62</f>
        <v>0</v>
      </c>
      <c r="AM63" s="746">
        <f>AM61-AM62</f>
        <v>0</v>
      </c>
      <c r="AN63" s="746">
        <f>AN61-AN62</f>
        <v>0</v>
      </c>
      <c r="AO63" s="746">
        <f>AO61-AO62</f>
        <v>0</v>
      </c>
      <c r="AP63" s="746">
        <f>AP61-AP62</f>
        <v>0</v>
      </c>
      <c r="AQ63" s="746">
        <f>AQ61-AQ62</f>
        <v>0</v>
      </c>
      <c r="AR63" s="746">
        <f>AR61-AR62</f>
        <v>0</v>
      </c>
      <c r="AS63" s="746">
        <f>AS61-AS62</f>
        <v>0</v>
      </c>
      <c r="AT63" s="746">
        <f>AT61-AT62</f>
        <v>0</v>
      </c>
      <c r="AU63" s="746">
        <f>AU61-AU62</f>
        <v>0</v>
      </c>
      <c r="AV63" s="746">
        <f>AV61-AV62</f>
        <v>0</v>
      </c>
      <c r="AW63" s="746">
        <f>AW61-AW62</f>
        <v>0</v>
      </c>
      <c r="AX63" s="746">
        <f>AX61-AX62</f>
        <v>0</v>
      </c>
      <c r="AY63" s="746">
        <f>AY61-AY62</f>
        <v>0</v>
      </c>
      <c r="AZ63" s="746">
        <f>AZ61-AZ62</f>
        <v>0</v>
      </c>
      <c r="BA63" s="746">
        <f>BA61-BA62</f>
        <v>0</v>
      </c>
      <c r="BB63" s="746">
        <f>BB61-BB62</f>
        <v>0</v>
      </c>
      <c r="BC63" s="746">
        <f>BC61-BC62</f>
        <v>0</v>
      </c>
      <c r="BD63" s="746">
        <f>BD61-BD62</f>
        <v>0</v>
      </c>
      <c r="BE63" s="746">
        <f>BE61-BE62</f>
        <v>0</v>
      </c>
      <c r="BF63" s="746">
        <f>BF61-BF62</f>
        <v>0</v>
      </c>
      <c r="BG63" s="746">
        <f>BG61-BG62</f>
        <v>0</v>
      </c>
      <c r="BH63" s="746">
        <f>BH61-BH62</f>
        <v>0</v>
      </c>
      <c r="BI63" s="746">
        <f>BI61-BI62</f>
        <v>0</v>
      </c>
      <c r="BJ63" s="746">
        <f>BJ61-BJ62</f>
        <v>0</v>
      </c>
      <c r="BK63" s="746">
        <f>BK61-BK62</f>
        <v>0</v>
      </c>
      <c r="BL63" s="746">
        <f>BL61-BL62</f>
        <v>0</v>
      </c>
      <c r="BM63" s="746">
        <f>BM61-BM62</f>
        <v>0</v>
      </c>
      <c r="BN63" s="746">
        <f>BN61-BN62</f>
        <v>0</v>
      </c>
      <c r="BO63" s="746">
        <f>BO61-BO62</f>
        <v>0</v>
      </c>
      <c r="BP63" s="746">
        <f>BP61-BP62</f>
        <v>0</v>
      </c>
      <c r="BQ63" s="746">
        <f>BQ61-BQ62</f>
        <v>0</v>
      </c>
      <c r="BR63" s="746">
        <f>BR61-BR62</f>
        <v>0</v>
      </c>
      <c r="BS63" s="746">
        <f>BS61-BS62</f>
        <v>0</v>
      </c>
      <c r="BT63" s="746">
        <f>BT61-BT62</f>
        <v>0</v>
      </c>
      <c r="BU63" s="746">
        <f>BU61-BU62</f>
        <v>0</v>
      </c>
      <c r="BV63" s="746">
        <f>BV61-BV62</f>
        <v>0</v>
      </c>
      <c r="BW63" s="746">
        <f>BW61-BW62</f>
        <v>0</v>
      </c>
      <c r="BX63" s="695">
        <f>IF(AI63=0,0,(BD63-AI63)/AI63*100)</f>
        <v>0</v>
      </c>
      <c r="BY63" s="695">
        <f>IF(BD63=0,0,(BE63-BD63)/BD63*100)</f>
        <v>0</v>
      </c>
      <c r="BZ63" s="695">
        <f>IF(BE63=0,0,(BF63-BE63)/BE63*100)</f>
        <v>0</v>
      </c>
      <c r="CA63" s="695">
        <f>IF(BF63=0,0,(BG63-BF63)/BF63*100)</f>
        <v>0</v>
      </c>
      <c r="CB63" s="695">
        <f>IF(BG63=0,0,(BH63-BG63)/BG63*100)</f>
        <v>0</v>
      </c>
      <c r="CC63" s="695">
        <f>IF(BH63=0,0,(BI63-BH63)/BH63*100)</f>
        <v>0</v>
      </c>
      <c r="CD63" s="695">
        <f>IF(BI63=0,0,(BJ63-BI63)/BI63*100)</f>
        <v>0</v>
      </c>
      <c r="CE63" s="695">
        <f>IF(BJ63=0,0,(BK63-BJ63)/BJ63*100)</f>
        <v>0</v>
      </c>
      <c r="CF63" s="695">
        <f>IF(BK63=0,0,(BL63-BK63)/BK63*100)</f>
        <v>0</v>
      </c>
      <c r="CG63" s="695">
        <f>IF(BL63=0,0,(BM63-BL63)/BL63*100)</f>
        <v>0</v>
      </c>
      <c r="CH63" s="695">
        <f>IF(BM63=0,0,(BN63-BM63)/BM63*100)</f>
        <v>0</v>
      </c>
      <c r="CI63" s="695">
        <f>IF(BN63=0,0,(BO63-BN63)/BN63*100)</f>
        <v>0</v>
      </c>
      <c r="CJ63" s="695">
        <f>IF(BO63=0,0,(BP63-BO63)/BO63*100)</f>
        <v>0</v>
      </c>
      <c r="CK63" s="695">
        <f>IF(BP63=0,0,(BQ63-BP63)/BP63*100)</f>
        <v>0</v>
      </c>
      <c r="CL63" s="695">
        <f>IF(BQ63=0,0,(BR63-BQ63)/BQ63*100)</f>
        <v>0</v>
      </c>
      <c r="CM63" s="695">
        <f>IF(BR63=0,0,(BS63-BR63)/BR63*100)</f>
        <v>0</v>
      </c>
      <c r="CN63" s="695">
        <f>IF(BS63=0,0,(BT63-BS63)/BS63*100)</f>
        <v>0</v>
      </c>
      <c r="CO63" s="695">
        <f>IF(BT63=0,0,(BU63-BT63)/BT63*100)</f>
        <v>0</v>
      </c>
      <c r="CP63" s="695">
        <f>IF(BU63=0,0,(BV63-BU63)/BU63*100)</f>
        <v>0</v>
      </c>
      <c r="CQ63" s="695">
        <f>IF(BV63=0,0,(BW63-BV63)/BV63*100)</f>
        <v>0</v>
      </c>
      <c r="CR63" s="83"/>
      <c r="CS63" s="83"/>
      <c r="CT63" s="83"/>
      <c r="CW63" s="489" t="s">
        <v>2073</v>
      </c>
      <c r="DD63" s="0" cm="1" t="str">
        <f t="array" ref="DD63:DD63">DD62</f>
        <v>0</v>
      </c>
      <c r="DM63" s="0" t="s">
        <v>335</v>
      </c>
      <c r="DO63" s="0" t="s">
        <v>303</v>
      </c>
      <c r="DP63" s="0" t="s">
        <v>2074</v>
      </c>
      <c r="DQ63" s="0" t="s">
        <v>2075</v>
      </c>
    </row>
    <row customHeight="1" ht="14.625" hidden="1">
      <c r="E64" s="180">
        <v>15</v>
      </c>
      <c r="F64" s="175" cm="1" t="str">
        <f t="array" ref="F64:F64">OFFSET(G64,-1,-1)</f>
        <v>0</v>
      </c>
      <c r="T64" s="753" cm="1" t="str">
        <f t="array" ref="T64:T64">T61</f>
        <v>false</v>
      </c>
      <c r="AB64" s="838">
        <v>15</v>
      </c>
      <c r="AC64" s="839" t="s">
        <v>2076</v>
      </c>
      <c r="AD64" s="840" t="s">
        <v>629</v>
      </c>
      <c r="AE64" s="100">
        <f>IF($K27="передача тепловой энергии",_xlfn.SUMIFS('Баланс Тр'!AE$27:AE$43,'Баланс Тр'!$F$27:$F$43,$F64,'Баланс Тр'!$AB$27:$AB$43,"3"),_xlfn.SUMIFS('Баланс Пр'!AE$27:AE$165,'Баланс Пр'!$F$27:$F$165,$F64,'Баланс Пр'!$AB$27:$AB$165,"9.1"))</f>
        <v>0</v>
      </c>
      <c r="AF64" s="714"/>
      <c r="AG64" s="714"/>
      <c r="AH64" s="714"/>
      <c r="AI64" s="100">
        <f>IF($K27="передача тепловой энергии",_xlfn.SUMIFS('Баланс Тр'!AH$27:AH$43,'Баланс Тр'!$F$27:$F$43,$F64,'Баланс Тр'!$AB$27:$AB$43,"3"),_xlfn.SUMIFS('Баланс Пр'!AH$27:AH$165,'Баланс Пр'!$F$27:$F$165,$F64,'Баланс Пр'!$AB$27:$AB$165,"9.1"))</f>
        <v>0</v>
      </c>
      <c r="AJ64" s="561">
        <f>IF($K27="передача тепловой энергии",_xlfn.SUMIFS('Баланс Тр'!AI$27:AI$43,'Баланс Тр'!$F$27:$F$43,$F64,'Баланс Тр'!$AB$27:$AB$43,"3"),_xlfn.SUMIFS('Баланс Пр'!AI$27:AI$165,'Баланс Пр'!$F$27:$F$165,$F64,'Баланс Пр'!$AB$27:$AB$165,"9.1"))</f>
        <v>0</v>
      </c>
      <c r="AK64" s="100">
        <f>IF($K27="передача тепловой энергии",_xlfn.SUMIFS('Баланс Тр'!AJ$27:AJ$43,'Баланс Тр'!$F$27:$F$43,$F64,'Баланс Тр'!$AB$27:$AB$43,"3"),_xlfn.SUMIFS('Баланс Пр'!AJ$27:AJ$165,'Баланс Пр'!$F$27:$F$165,$F64,'Баланс Пр'!$AB$27:$AB$165,"9.1"))</f>
        <v>0</v>
      </c>
      <c r="AL64" s="100">
        <f>IF($K27="передача тепловой энергии",_xlfn.SUMIFS('Баланс Тр'!AK$27:AK$43,'Баланс Тр'!$F$27:$F$43,$F64,'Баланс Тр'!$AB$27:$AB$43,"3"),_xlfn.SUMIFS('Баланс Пр'!AK$27:AK$165,'Баланс Пр'!$F$27:$F$165,$F64,'Баланс Пр'!$AB$27:$AB$165,"9.1"))</f>
        <v>0</v>
      </c>
      <c r="AM64" s="100">
        <f>IF($K27="передача тепловой энергии",_xlfn.SUMIFS('Баланс Тр'!AL$27:AL$43,'Баланс Тр'!$F$27:$F$43,$F64,'Баланс Тр'!$AB$27:$AB$43,"3"),_xlfn.SUMIFS('Баланс Пр'!AL$27:AL$165,'Баланс Пр'!$F$27:$F$165,$F64,'Баланс Пр'!$AB$27:$AB$165,"9.1"))</f>
        <v>0</v>
      </c>
      <c r="AN64" s="100">
        <f>IF($K27="передача тепловой энергии",_xlfn.SUMIFS('Баланс Тр'!AM$27:AM$43,'Баланс Тр'!$F$27:$F$43,$F64,'Баланс Тр'!$AB$27:$AB$43,"3"),_xlfn.SUMIFS('Баланс Пр'!AM$27:AM$165,'Баланс Пр'!$F$27:$F$165,$F64,'Баланс Пр'!$AB$27:$AB$165,"9.1"))</f>
        <v>0</v>
      </c>
      <c r="AO64" s="100">
        <f>IF($K27="передача тепловой энергии",_xlfn.SUMIFS('Баланс Тр'!AN$27:AN$43,'Баланс Тр'!$F$27:$F$43,$F64,'Баланс Тр'!$AB$27:$AB$43,"3"),_xlfn.SUMIFS('Баланс Пр'!AN$27:AN$165,'Баланс Пр'!$F$27:$F$165,$F64,'Баланс Пр'!$AB$27:$AB$165,"9.1"))</f>
        <v>0</v>
      </c>
      <c r="AP64" s="100">
        <f>IF($K27="передача тепловой энергии",_xlfn.SUMIFS('Баланс Тр'!AO$27:AO$43,'Баланс Тр'!$F$27:$F$43,$F64,'Баланс Тр'!$AB$27:$AB$43,"3"),_xlfn.SUMIFS('Баланс Пр'!AO$27:AO$165,'Баланс Пр'!$F$27:$F$165,$F64,'Баланс Пр'!$AB$27:$AB$165,"9.1"))</f>
        <v>0</v>
      </c>
      <c r="AQ64" s="100">
        <f>IF($K27="передача тепловой энергии",_xlfn.SUMIFS('Баланс Тр'!AP$27:AP$43,'Баланс Тр'!$F$27:$F$43,$F64,'Баланс Тр'!$AB$27:$AB$43,"3"),_xlfn.SUMIFS('Баланс Пр'!AP$27:AP$165,'Баланс Пр'!$F$27:$F$165,$F64,'Баланс Пр'!$AB$27:$AB$165,"9.1"))</f>
        <v>0</v>
      </c>
      <c r="AR64" s="100">
        <f>IF($K27="передача тепловой энергии",_xlfn.SUMIFS('Баланс Тр'!AQ$27:AQ$43,'Баланс Тр'!$F$27:$F$43,$F64,'Баланс Тр'!$AB$27:$AB$43,"3"),_xlfn.SUMIFS('Баланс Пр'!AQ$27:AQ$165,'Баланс Пр'!$F$27:$F$165,$F64,'Баланс Пр'!$AB$27:$AB$165,"9.1"))</f>
        <v>0</v>
      </c>
      <c r="AS64" s="100">
        <f>IF($K27="передача тепловой энергии",_xlfn.SUMIFS('Баланс Тр'!AR$27:AR$43,'Баланс Тр'!$F$27:$F$43,$F64,'Баланс Тр'!$AB$27:$AB$43,"3"),_xlfn.SUMIFS('Баланс Пр'!AR$27:AR$165,'Баланс Пр'!$F$27:$F$165,$F64,'Баланс Пр'!$AB$27:$AB$165,"9.1"))</f>
        <v>0</v>
      </c>
      <c r="AT64" s="100">
        <f>IF($K27="передача тепловой энергии",_xlfn.SUMIFS('Баланс Тр'!AS$27:AS$43,'Баланс Тр'!$F$27:$F$43,$F64,'Баланс Тр'!$AB$27:$AB$43,"3"),_xlfn.SUMIFS('Баланс Пр'!AS$27:AS$165,'Баланс Пр'!$F$27:$F$165,$F64,'Баланс Пр'!$AB$27:$AB$165,"9.1"))</f>
        <v>0</v>
      </c>
      <c r="AU64" s="100">
        <f>IF($K27="передача тепловой энергии",_xlfn.SUMIFS('Баланс Тр'!AT$27:AT$43,'Баланс Тр'!$F$27:$F$43,$F64,'Баланс Тр'!$AB$27:$AB$43,"3"),_xlfn.SUMIFS('Баланс Пр'!AT$27:AT$165,'Баланс Пр'!$F$27:$F$165,$F64,'Баланс Пр'!$AB$27:$AB$165,"9.1"))</f>
        <v>0</v>
      </c>
      <c r="AV64" s="100">
        <f>IF($K27="передача тепловой энергии",_xlfn.SUMIFS('Баланс Тр'!AU$27:AU$43,'Баланс Тр'!$F$27:$F$43,$F64,'Баланс Тр'!$AB$27:$AB$43,"3"),_xlfn.SUMIFS('Баланс Пр'!AU$27:AU$165,'Баланс Пр'!$F$27:$F$165,$F64,'Баланс Пр'!$AB$27:$AB$165,"9.1"))</f>
        <v>0</v>
      </c>
      <c r="AW64" s="100">
        <f>IF($K27="передача тепловой энергии",_xlfn.SUMIFS('Баланс Тр'!AV$27:AV$43,'Баланс Тр'!$F$27:$F$43,$F64,'Баланс Тр'!$AB$27:$AB$43,"3"),_xlfn.SUMIFS('Баланс Пр'!AV$27:AV$165,'Баланс Пр'!$F$27:$F$165,$F64,'Баланс Пр'!$AB$27:$AB$165,"9.1"))</f>
        <v>0</v>
      </c>
      <c r="AX64" s="100">
        <f>IF($K27="передача тепловой энергии",_xlfn.SUMIFS('Баланс Тр'!AW$27:AW$43,'Баланс Тр'!$F$27:$F$43,$F64,'Баланс Тр'!$AB$27:$AB$43,"3"),_xlfn.SUMIFS('Баланс Пр'!AW$27:AW$165,'Баланс Пр'!$F$27:$F$165,$F64,'Баланс Пр'!$AB$27:$AB$165,"9.1"))</f>
        <v>0</v>
      </c>
      <c r="AY64" s="100">
        <f>IF($K27="передача тепловой энергии",_xlfn.SUMIFS('Баланс Тр'!AX$27:AX$43,'Баланс Тр'!$F$27:$F$43,$F64,'Баланс Тр'!$AB$27:$AB$43,"3"),_xlfn.SUMIFS('Баланс Пр'!AX$27:AX$165,'Баланс Пр'!$F$27:$F$165,$F64,'Баланс Пр'!$AB$27:$AB$165,"9.1"))</f>
        <v>0</v>
      </c>
      <c r="AZ64" s="100">
        <f>IF($K27="передача тепловой энергии",_xlfn.SUMIFS('Баланс Тр'!AY$27:AY$43,'Баланс Тр'!$F$27:$F$43,$F64,'Баланс Тр'!$AB$27:$AB$43,"3"),_xlfn.SUMIFS('Баланс Пр'!AY$27:AY$165,'Баланс Пр'!$F$27:$F$165,$F64,'Баланс Пр'!$AB$27:$AB$165,"9.1"))</f>
        <v>0</v>
      </c>
      <c r="BA64" s="100">
        <f>IF($K27="передача тепловой энергии",_xlfn.SUMIFS('Баланс Тр'!AZ$27:AZ$43,'Баланс Тр'!$F$27:$F$43,$F64,'Баланс Тр'!$AB$27:$AB$43,"3"),_xlfn.SUMIFS('Баланс Пр'!AZ$27:AZ$165,'Баланс Пр'!$F$27:$F$165,$F64,'Баланс Пр'!$AB$27:$AB$165,"9.1"))</f>
        <v>0</v>
      </c>
      <c r="BB64" s="100">
        <f>IF($K27="передача тепловой энергии",_xlfn.SUMIFS('Баланс Тр'!BA$27:BA$43,'Баланс Тр'!$F$27:$F$43,$F64,'Баланс Тр'!$AB$27:$AB$43,"3"),_xlfn.SUMIFS('Баланс Пр'!BA$27:BA$165,'Баланс Пр'!$F$27:$F$165,$F64,'Баланс Пр'!$AB$27:$AB$165,"9.1"))</f>
        <v>0</v>
      </c>
      <c r="BC64" s="100">
        <f>IF($K27="передача тепловой энергии",_xlfn.SUMIFS('Баланс Тр'!BB$27:BB$43,'Баланс Тр'!$F$27:$F$43,$F64,'Баланс Тр'!$AB$27:$AB$43,"3"),_xlfn.SUMIFS('Баланс Пр'!BB$27:BB$165,'Баланс Пр'!$F$27:$F$165,$F64,'Баланс Пр'!$AB$27:$AB$165,"9.1"))</f>
        <v>0</v>
      </c>
      <c r="BD64" s="561">
        <f>IF($K27="передача тепловой энергии",_xlfn.SUMIFS('Баланс Тр'!BC$27:BC$43,'Баланс Тр'!$F$27:$F$43,$F64,'Баланс Тр'!$AB$27:$AB$43,"3"),_xlfn.SUMIFS('Баланс Пр'!BC$27:BC$165,'Баланс Пр'!$F$27:$F$165,$F64,'Баланс Пр'!$AB$27:$AB$165,"9.1"))</f>
        <v>0</v>
      </c>
      <c r="BE64" s="100">
        <f>IF($K27="передача тепловой энергии",_xlfn.SUMIFS('Баланс Тр'!BD$27:BD$43,'Баланс Тр'!$F$27:$F$43,$F64,'Баланс Тр'!$AB$27:$AB$43,"3"),_xlfn.SUMIFS('Баланс Пр'!BD$27:BD$165,'Баланс Пр'!$F$27:$F$165,$F64,'Баланс Пр'!$AB$27:$AB$165,"9.1"))</f>
        <v>0</v>
      </c>
      <c r="BF64" s="100">
        <f>IF($K27="передача тепловой энергии",_xlfn.SUMIFS('Баланс Тр'!BE$27:BE$43,'Баланс Тр'!$F$27:$F$43,$F64,'Баланс Тр'!$AB$27:$AB$43,"3"),_xlfn.SUMIFS('Баланс Пр'!BE$27:BE$165,'Баланс Пр'!$F$27:$F$165,$F64,'Баланс Пр'!$AB$27:$AB$165,"9.1"))</f>
        <v>0</v>
      </c>
      <c r="BG64" s="100">
        <f>IF($K27="передача тепловой энергии",_xlfn.SUMIFS('Баланс Тр'!BF$27:BF$43,'Баланс Тр'!$F$27:$F$43,$F64,'Баланс Тр'!$AB$27:$AB$43,"3"),_xlfn.SUMIFS('Баланс Пр'!BF$27:BF$165,'Баланс Пр'!$F$27:$F$165,$F64,'Баланс Пр'!$AB$27:$AB$165,"9.1"))</f>
        <v>0</v>
      </c>
      <c r="BH64" s="100">
        <f>IF($K27="передача тепловой энергии",_xlfn.SUMIFS('Баланс Тр'!BG$27:BG$43,'Баланс Тр'!$F$27:$F$43,$F64,'Баланс Тр'!$AB$27:$AB$43,"3"),_xlfn.SUMIFS('Баланс Пр'!BG$27:BG$165,'Баланс Пр'!$F$27:$F$165,$F64,'Баланс Пр'!$AB$27:$AB$165,"9.1"))</f>
        <v>0</v>
      </c>
      <c r="BI64" s="100">
        <f>IF($K27="передача тепловой энергии",_xlfn.SUMIFS('Баланс Тр'!BH$27:BH$43,'Баланс Тр'!$F$27:$F$43,$F64,'Баланс Тр'!$AB$27:$AB$43,"3"),_xlfn.SUMIFS('Баланс Пр'!BH$27:BH$165,'Баланс Пр'!$F$27:$F$165,$F64,'Баланс Пр'!$AB$27:$AB$165,"9.1"))</f>
        <v>0</v>
      </c>
      <c r="BJ64" s="100">
        <f>IF($K27="передача тепловой энергии",_xlfn.SUMIFS('Баланс Тр'!BI$27:BI$43,'Баланс Тр'!$F$27:$F$43,$F64,'Баланс Тр'!$AB$27:$AB$43,"3"),_xlfn.SUMIFS('Баланс Пр'!BI$27:BI$165,'Баланс Пр'!$F$27:$F$165,$F64,'Баланс Пр'!$AB$27:$AB$165,"9.1"))</f>
        <v>0</v>
      </c>
      <c r="BK64" s="100">
        <f>IF($K27="передача тепловой энергии",_xlfn.SUMIFS('Баланс Тр'!BJ$27:BJ$43,'Баланс Тр'!$F$27:$F$43,$F64,'Баланс Тр'!$AB$27:$AB$43,"3"),_xlfn.SUMIFS('Баланс Пр'!BJ$27:BJ$165,'Баланс Пр'!$F$27:$F$165,$F64,'Баланс Пр'!$AB$27:$AB$165,"9.1"))</f>
        <v>0</v>
      </c>
      <c r="BL64" s="100">
        <f>IF($K27="передача тепловой энергии",_xlfn.SUMIFS('Баланс Тр'!BK$27:BK$43,'Баланс Тр'!$F$27:$F$43,$F64,'Баланс Тр'!$AB$27:$AB$43,"3"),_xlfn.SUMIFS('Баланс Пр'!BK$27:BK$165,'Баланс Пр'!$F$27:$F$165,$F64,'Баланс Пр'!$AB$27:$AB$165,"9.1"))</f>
        <v>0</v>
      </c>
      <c r="BM64" s="100">
        <f>IF($K27="передача тепловой энергии",_xlfn.SUMIFS('Баланс Тр'!BL$27:BL$43,'Баланс Тр'!$F$27:$F$43,$F64,'Баланс Тр'!$AB$27:$AB$43,"3"),_xlfn.SUMIFS('Баланс Пр'!BL$27:BL$165,'Баланс Пр'!$F$27:$F$165,$F64,'Баланс Пр'!$AB$27:$AB$165,"9.1"))</f>
        <v>0</v>
      </c>
      <c r="BN64" s="100">
        <f>IF($K27="передача тепловой энергии",_xlfn.SUMIFS('Баланс Тр'!BM$27:BM$43,'Баланс Тр'!$F$27:$F$43,$F64,'Баланс Тр'!$AB$27:$AB$43,"3"),_xlfn.SUMIFS('Баланс Пр'!BM$27:BM$165,'Баланс Пр'!$F$27:$F$165,$F64,'Баланс Пр'!$AB$27:$AB$165,"9.1"))</f>
        <v>0</v>
      </c>
      <c r="BO64" s="100">
        <f>IF($K27="передача тепловой энергии",_xlfn.SUMIFS('Баланс Тр'!BN$27:BN$43,'Баланс Тр'!$F$27:$F$43,$F64,'Баланс Тр'!$AB$27:$AB$43,"3"),_xlfn.SUMIFS('Баланс Пр'!BN$27:BN$165,'Баланс Пр'!$F$27:$F$165,$F64,'Баланс Пр'!$AB$27:$AB$165,"9.1"))</f>
        <v>0</v>
      </c>
      <c r="BP64" s="100">
        <f>IF($K27="передача тепловой энергии",_xlfn.SUMIFS('Баланс Тр'!BO$27:BO$43,'Баланс Тр'!$F$27:$F$43,$F64,'Баланс Тр'!$AB$27:$AB$43,"3"),_xlfn.SUMIFS('Баланс Пр'!BO$27:BO$165,'Баланс Пр'!$F$27:$F$165,$F64,'Баланс Пр'!$AB$27:$AB$165,"9.1"))</f>
        <v>0</v>
      </c>
      <c r="BQ64" s="100">
        <f>IF($K27="передача тепловой энергии",_xlfn.SUMIFS('Баланс Тр'!BP$27:BP$43,'Баланс Тр'!$F$27:$F$43,$F64,'Баланс Тр'!$AB$27:$AB$43,"3"),_xlfn.SUMIFS('Баланс Пр'!BP$27:BP$165,'Баланс Пр'!$F$27:$F$165,$F64,'Баланс Пр'!$AB$27:$AB$165,"9.1"))</f>
        <v>0</v>
      </c>
      <c r="BR64" s="100">
        <f>IF($K27="передача тепловой энергии",_xlfn.SUMIFS('Баланс Тр'!BQ$27:BQ$43,'Баланс Тр'!$F$27:$F$43,$F64,'Баланс Тр'!$AB$27:$AB$43,"3"),_xlfn.SUMIFS('Баланс Пр'!BQ$27:BQ$165,'Баланс Пр'!$F$27:$F$165,$F64,'Баланс Пр'!$AB$27:$AB$165,"9.1"))</f>
        <v>0</v>
      </c>
      <c r="BS64" s="100">
        <f>IF($K27="передача тепловой энергии",_xlfn.SUMIFS('Баланс Тр'!BR$27:BR$43,'Баланс Тр'!$F$27:$F$43,$F64,'Баланс Тр'!$AB$27:$AB$43,"3"),_xlfn.SUMIFS('Баланс Пр'!BR$27:BR$165,'Баланс Пр'!$F$27:$F$165,$F64,'Баланс Пр'!$AB$27:$AB$165,"9.1"))</f>
        <v>0</v>
      </c>
      <c r="BT64" s="100">
        <f>IF($K27="передача тепловой энергии",_xlfn.SUMIFS('Баланс Тр'!BS$27:BS$43,'Баланс Тр'!$F$27:$F$43,$F64,'Баланс Тр'!$AB$27:$AB$43,"3"),_xlfn.SUMIFS('Баланс Пр'!BS$27:BS$165,'Баланс Пр'!$F$27:$F$165,$F64,'Баланс Пр'!$AB$27:$AB$165,"9.1"))</f>
        <v>0</v>
      </c>
      <c r="BU64" s="100">
        <f>IF($K27="передача тепловой энергии",_xlfn.SUMIFS('Баланс Тр'!BT$27:BT$43,'Баланс Тр'!$F$27:$F$43,$F64,'Баланс Тр'!$AB$27:$AB$43,"3"),_xlfn.SUMIFS('Баланс Пр'!BT$27:BT$165,'Баланс Пр'!$F$27:$F$165,$F64,'Баланс Пр'!$AB$27:$AB$165,"9.1"))</f>
        <v>0</v>
      </c>
      <c r="BV64" s="100">
        <f>IF($K27="передача тепловой энергии",_xlfn.SUMIFS('Баланс Тр'!BU$27:BU$43,'Баланс Тр'!$F$27:$F$43,$F64,'Баланс Тр'!$AB$27:$AB$43,"3"),_xlfn.SUMIFS('Баланс Пр'!BU$27:BU$165,'Баланс Пр'!$F$27:$F$165,$F64,'Баланс Пр'!$AB$27:$AB$165,"9.1"))</f>
        <v>0</v>
      </c>
      <c r="BW64" s="100">
        <f>IF($K27="передача тепловой энергии",_xlfn.SUMIFS('Баланс Тр'!BV$27:BV$43,'Баланс Тр'!$F$27:$F$43,$F64,'Баланс Тр'!$AB$27:$AB$43,"3"),_xlfn.SUMIFS('Баланс Пр'!BV$27:BV$165,'Баланс Пр'!$F$27:$F$165,$F64,'Баланс Пр'!$AB$27:$AB$165,"9.1"))</f>
        <v>0</v>
      </c>
      <c r="BX64" s="841"/>
      <c r="BY64" s="841"/>
      <c r="BZ64" s="841"/>
      <c r="CA64" s="841"/>
      <c r="CB64" s="841"/>
      <c r="CC64" s="841"/>
      <c r="CD64" s="841"/>
      <c r="CE64" s="841"/>
      <c r="CF64" s="841"/>
      <c r="CG64" s="841"/>
      <c r="CH64" s="841"/>
      <c r="CI64" s="841"/>
      <c r="CJ64" s="841"/>
      <c r="CK64" s="841"/>
      <c r="CL64" s="841"/>
      <c r="CM64" s="841"/>
      <c r="CN64" s="841"/>
      <c r="CO64" s="841"/>
      <c r="CP64" s="841"/>
      <c r="CQ64" s="841"/>
      <c r="CR64" s="83"/>
      <c r="CS64" s="83"/>
      <c r="CT64" s="83"/>
      <c r="CW64" s="489" t="s">
        <v>2077</v>
      </c>
      <c r="DD64" s="0" cm="1" t="str">
        <f t="array" ref="DD64:DD64">DD63</f>
        <v>0</v>
      </c>
      <c r="DM64" s="0" t="s">
        <v>2078</v>
      </c>
      <c r="DO64" s="0" t="s">
        <v>303</v>
      </c>
      <c r="DP64" s="0" t="s">
        <v>2079</v>
      </c>
      <c r="DQ64" s="0" t="s">
        <v>2080</v>
      </c>
    </row>
    <row customHeight="1" ht="14.625" hidden="1">
      <c r="E65" s="180">
        <v>15</v>
      </c>
      <c r="F65" s="175" cm="1" t="str">
        <f t="array" ref="F65:F65">OFFSET(G65,-1,-1)</f>
        <v>0</v>
      </c>
      <c r="G65" s="193" t="s">
        <v>2081</v>
      </c>
      <c r="T65" s="753" cm="1" t="str">
        <f t="array" ref="T65:T65">T64</f>
        <v>false</v>
      </c>
      <c r="AB65" s="836" t="str">
        <f>AB64&amp;".1"</f>
        <v>15.1</v>
      </c>
      <c r="AC65" s="646" t="s">
        <v>2082</v>
      </c>
      <c r="AD65" s="666" t="s">
        <v>629</v>
      </c>
      <c r="AE65" s="132"/>
      <c r="AF65" s="714"/>
      <c r="AG65" s="714"/>
      <c r="AH65" s="714"/>
      <c r="AI65" s="132"/>
      <c r="AJ65" s="749"/>
      <c r="AK65" s="132"/>
      <c r="AL65" s="132"/>
      <c r="AM65" s="132"/>
      <c r="AN65" s="132"/>
      <c r="AO65" s="132"/>
      <c r="AP65" s="132"/>
      <c r="AQ65" s="132"/>
      <c r="AR65" s="132"/>
      <c r="AS65" s="132"/>
      <c r="AT65" s="132"/>
      <c r="AU65" s="132"/>
      <c r="AV65" s="132"/>
      <c r="AW65" s="132"/>
      <c r="AX65" s="132"/>
      <c r="AY65" s="132"/>
      <c r="AZ65" s="132"/>
      <c r="BA65" s="132"/>
      <c r="BB65" s="132"/>
      <c r="BC65" s="132"/>
      <c r="BD65" s="749"/>
      <c r="BE65" s="132"/>
      <c r="BF65" s="132"/>
      <c r="BG65" s="132"/>
      <c r="BH65" s="132"/>
      <c r="BI65" s="132"/>
      <c r="BJ65" s="132"/>
      <c r="BK65" s="132"/>
      <c r="BL65" s="132"/>
      <c r="BM65" s="132"/>
      <c r="BN65" s="132"/>
      <c r="BO65" s="132"/>
      <c r="BP65" s="132"/>
      <c r="BQ65" s="132"/>
      <c r="BR65" s="132"/>
      <c r="BS65" s="132"/>
      <c r="BT65" s="132"/>
      <c r="BU65" s="132"/>
      <c r="BV65" s="132"/>
      <c r="BW65" s="132"/>
      <c r="BX65" s="804"/>
      <c r="BY65" s="804"/>
      <c r="BZ65" s="804"/>
      <c r="CA65" s="804"/>
      <c r="CB65" s="804"/>
      <c r="CC65" s="804"/>
      <c r="CD65" s="804"/>
      <c r="CE65" s="804"/>
      <c r="CF65" s="804"/>
      <c r="CG65" s="804"/>
      <c r="CH65" s="804"/>
      <c r="CI65" s="804"/>
      <c r="CJ65" s="804"/>
      <c r="CK65" s="804"/>
      <c r="CL65" s="804"/>
      <c r="CM65" s="804"/>
      <c r="CN65" s="804"/>
      <c r="CO65" s="804"/>
      <c r="CP65" s="804"/>
      <c r="CQ65" s="804"/>
      <c r="CR65" s="83"/>
      <c r="CS65" s="83"/>
      <c r="CT65" s="83"/>
      <c r="CW65" s="489" t="s">
        <v>2083</v>
      </c>
      <c r="DD65" s="0" cm="1" t="str">
        <f t="array" ref="DD65:DD65">DD64</f>
        <v>0</v>
      </c>
      <c r="DJ65" s="0" t="s">
        <v>796</v>
      </c>
      <c r="DL65" s="0" t="s">
        <v>2084</v>
      </c>
      <c r="DM65" s="0" t="s">
        <v>219</v>
      </c>
      <c r="DO65" s="0" t="s">
        <v>303</v>
      </c>
      <c r="DP65" s="0" t="s">
        <v>2079</v>
      </c>
      <c r="DQ65" s="0" t="s">
        <v>2080</v>
      </c>
    </row>
    <row customHeight="1" ht="14.625" hidden="1">
      <c r="E66" s="180">
        <v>15</v>
      </c>
      <c r="F66" s="175" cm="1" t="str">
        <f t="array" ref="F66:F66">OFFSET(G66,-1,-1)</f>
        <v>0</v>
      </c>
      <c r="G66" s="193" t="s">
        <v>2085</v>
      </c>
      <c r="T66" s="753" cm="1" t="str">
        <f t="array" ref="T66:T66">T65</f>
        <v>false</v>
      </c>
      <c r="AB66" s="836" t="str">
        <f>AB64&amp;".2"</f>
        <v>15.2</v>
      </c>
      <c r="AC66" s="646" t="s">
        <v>2086</v>
      </c>
      <c r="AD66" s="666" t="s">
        <v>1005</v>
      </c>
      <c r="AE66" s="132"/>
      <c r="AF66" s="714"/>
      <c r="AG66" s="714"/>
      <c r="AH66" s="714"/>
      <c r="AI66" s="132">
        <f>MIN(ROUND(AE68,2),ROUND(AI70,2))</f>
        <v>0</v>
      </c>
      <c r="AJ66" s="749">
        <f>MIN(ROUND(AI68,2),ROUND(AJ70,2))</f>
        <v>0</v>
      </c>
      <c r="AK66" s="132">
        <f>MIN(ROUND(AJ68,2),ROUND(AK70,2))</f>
        <v>0</v>
      </c>
      <c r="AL66" s="132">
        <f>MIN(ROUND(AK68,2),ROUND(AL70,2))</f>
        <v>0</v>
      </c>
      <c r="AM66" s="132">
        <f>MIN(ROUND(AL68,2),ROUND(AM70,2))</f>
        <v>0</v>
      </c>
      <c r="AN66" s="132">
        <f>MIN(ROUND(AM68,2),ROUND(AN70,2))</f>
        <v>0</v>
      </c>
      <c r="AO66" s="132">
        <f>MIN(ROUND(AN68,2),ROUND(AO70,2))</f>
        <v>0</v>
      </c>
      <c r="AP66" s="132">
        <f>MIN(ROUND(AO68,2),ROUND(AP70,2))</f>
        <v>0</v>
      </c>
      <c r="AQ66" s="132">
        <f>MIN(ROUND(AP68,2),ROUND(AQ70,2))</f>
        <v>0</v>
      </c>
      <c r="AR66" s="132">
        <f>MIN(ROUND(AQ68,2),ROUND(AR70,2))</f>
        <v>0</v>
      </c>
      <c r="AS66" s="132">
        <f>MIN(ROUND(AR68,2),ROUND(AS70,2))</f>
        <v>0</v>
      </c>
      <c r="AT66" s="132">
        <f>MIN(ROUND(AS68,2),ROUND(AT70,2))</f>
        <v>0</v>
      </c>
      <c r="AU66" s="132">
        <f>MIN(ROUND(AT68,2),ROUND(AU70,2))</f>
        <v>0</v>
      </c>
      <c r="AV66" s="132">
        <f>MIN(ROUND(AU68,2),ROUND(AV70,2))</f>
        <v>0</v>
      </c>
      <c r="AW66" s="132">
        <f>MIN(ROUND(AV68,2),ROUND(AW70,2))</f>
        <v>0</v>
      </c>
      <c r="AX66" s="132">
        <f>MIN(ROUND(AW68,2),ROUND(AX70,2))</f>
        <v>0</v>
      </c>
      <c r="AY66" s="132">
        <f>MIN(ROUND(AX68,2),ROUND(AY70,2))</f>
        <v>0</v>
      </c>
      <c r="AZ66" s="132">
        <f>MIN(ROUND(AY68,2),ROUND(AZ70,2))</f>
        <v>0</v>
      </c>
      <c r="BA66" s="132">
        <f>MIN(ROUND(AZ68,2),ROUND(BA70,2))</f>
        <v>0</v>
      </c>
      <c r="BB66" s="132">
        <f>MIN(ROUND(BA68,2),ROUND(BB70,2))</f>
        <v>0</v>
      </c>
      <c r="BC66" s="132">
        <f>MIN(ROUND(BB68,2),ROUND(BC70,2))</f>
        <v>0</v>
      </c>
      <c r="BD66" s="749">
        <f>MIN(ROUND(AI68,2),ROUND(BD70,2))</f>
        <v>0</v>
      </c>
      <c r="BE66" s="132">
        <f>MIN(ROUND(BD68,2),ROUND(BE70,2))</f>
        <v>0</v>
      </c>
      <c r="BF66" s="132">
        <f>MIN(ROUND(BE68,2),ROUND(BF70,2))</f>
        <v>0</v>
      </c>
      <c r="BG66" s="132">
        <f>MIN(ROUND(BF68,2),ROUND(BG70,2))</f>
        <v>0</v>
      </c>
      <c r="BH66" s="132">
        <f>MIN(ROUND(BG68,2),ROUND(BH70,2))</f>
        <v>0</v>
      </c>
      <c r="BI66" s="132">
        <f>MIN(ROUND(BH68,2),ROUND(BI70,2))</f>
        <v>0</v>
      </c>
      <c r="BJ66" s="132">
        <f>MIN(ROUND(BI68,2),ROUND(BJ70,2))</f>
        <v>0</v>
      </c>
      <c r="BK66" s="132">
        <f>MIN(ROUND(BJ68,2),ROUND(BK70,2))</f>
        <v>0</v>
      </c>
      <c r="BL66" s="132">
        <f>MIN(ROUND(BK68,2),ROUND(BL70,2))</f>
        <v>0</v>
      </c>
      <c r="BM66" s="132">
        <f>MIN(ROUND(BL68,2),ROUND(BM70,2))</f>
        <v>0</v>
      </c>
      <c r="BN66" s="132">
        <f>MIN(ROUND(BM68,2),ROUND(BN70,2))</f>
        <v>0</v>
      </c>
      <c r="BO66" s="132">
        <f>MIN(ROUND(BN68,2),ROUND(BO70,2))</f>
        <v>0</v>
      </c>
      <c r="BP66" s="132">
        <f>MIN(ROUND(BO68,2),ROUND(BP70,2))</f>
        <v>0</v>
      </c>
      <c r="BQ66" s="132">
        <f>MIN(ROUND(BP68,2),ROUND(BQ70,2))</f>
        <v>0</v>
      </c>
      <c r="BR66" s="132">
        <f>MIN(ROUND(BQ68,2),ROUND(BR70,2))</f>
        <v>0</v>
      </c>
      <c r="BS66" s="132">
        <f>MIN(ROUND(BR68,2),ROUND(BS70,2))</f>
        <v>0</v>
      </c>
      <c r="BT66" s="132">
        <f>MIN(ROUND(BS68,2),ROUND(BT70,2))</f>
        <v>0</v>
      </c>
      <c r="BU66" s="132">
        <f>MIN(ROUND(BT68,2),ROUND(BU70,2))</f>
        <v>0</v>
      </c>
      <c r="BV66" s="132">
        <f>MIN(ROUND(BU68,2),ROUND(BV70,2))</f>
        <v>0</v>
      </c>
      <c r="BW66" s="132">
        <f>MIN(ROUND(BV68,2),ROUND(BW70,2))</f>
        <v>0</v>
      </c>
      <c r="BX66" s="804"/>
      <c r="BY66" s="804"/>
      <c r="BZ66" s="804"/>
      <c r="CA66" s="804"/>
      <c r="CB66" s="804"/>
      <c r="CC66" s="804"/>
      <c r="CD66" s="804"/>
      <c r="CE66" s="804"/>
      <c r="CF66" s="804"/>
      <c r="CG66" s="804"/>
      <c r="CH66" s="804"/>
      <c r="CI66" s="804"/>
      <c r="CJ66" s="804"/>
      <c r="CK66" s="804"/>
      <c r="CL66" s="804"/>
      <c r="CM66" s="804"/>
      <c r="CN66" s="804"/>
      <c r="CO66" s="804"/>
      <c r="CP66" s="804"/>
      <c r="CQ66" s="804"/>
      <c r="CR66" s="83"/>
      <c r="CS66" s="83"/>
      <c r="CT66" s="83"/>
      <c r="CW66" s="489" t="s">
        <v>2087</v>
      </c>
      <c r="DD66" s="0" cm="1" t="str">
        <f t="array" ref="DD66:DD66">DD65</f>
        <v>0</v>
      </c>
      <c r="DJ66" s="0" t="s">
        <v>796</v>
      </c>
      <c r="DL66" s="0" t="s">
        <v>2084</v>
      </c>
      <c r="DM66" s="0" t="s">
        <v>255</v>
      </c>
      <c r="DO66" s="0" t="s">
        <v>303</v>
      </c>
      <c r="DP66" s="0" t="s">
        <v>1100</v>
      </c>
      <c r="DQ66" s="0" t="s">
        <v>1101</v>
      </c>
    </row>
    <row customHeight="1" ht="14.625" hidden="1">
      <c r="E67" s="180">
        <v>15</v>
      </c>
      <c r="F67" s="175" cm="1" t="str">
        <f t="array" ref="F67:F67">OFFSET(G67,-1,-1)</f>
        <v>0</v>
      </c>
      <c r="G67" s="193" t="s">
        <v>2088</v>
      </c>
      <c r="T67" s="753" cm="1" t="str">
        <f t="array" ref="T67:T67">T66</f>
        <v>false</v>
      </c>
      <c r="AB67" s="836" t="str">
        <f>AB64&amp;".3"</f>
        <v>15.3</v>
      </c>
      <c r="AC67" s="646" t="s">
        <v>2089</v>
      </c>
      <c r="AD67" s="666" t="s">
        <v>629</v>
      </c>
      <c r="AE67" s="746">
        <f>AE64-AE65</f>
        <v>0</v>
      </c>
      <c r="AF67" s="714"/>
      <c r="AG67" s="714"/>
      <c r="AH67" s="714"/>
      <c r="AI67" s="746">
        <f>AI64-AI65</f>
        <v>0</v>
      </c>
      <c r="AJ67" s="746">
        <f>AJ64-AJ65</f>
        <v>0</v>
      </c>
      <c r="AK67" s="746">
        <f>AK64-AK65</f>
        <v>0</v>
      </c>
      <c r="AL67" s="746">
        <f>AL64-AL65</f>
        <v>0</v>
      </c>
      <c r="AM67" s="746">
        <f>AM64-AM65</f>
        <v>0</v>
      </c>
      <c r="AN67" s="746">
        <f>AN64-AN65</f>
        <v>0</v>
      </c>
      <c r="AO67" s="746">
        <f>AO64-AO65</f>
        <v>0</v>
      </c>
      <c r="AP67" s="746">
        <f>AP64-AP65</f>
        <v>0</v>
      </c>
      <c r="AQ67" s="746">
        <f>AQ64-AQ65</f>
        <v>0</v>
      </c>
      <c r="AR67" s="746">
        <f>AR64-AR65</f>
        <v>0</v>
      </c>
      <c r="AS67" s="746">
        <f>AS64-AS65</f>
        <v>0</v>
      </c>
      <c r="AT67" s="746">
        <f>AT64-AT65</f>
        <v>0</v>
      </c>
      <c r="AU67" s="746">
        <f>AU64-AU65</f>
        <v>0</v>
      </c>
      <c r="AV67" s="746">
        <f>AV64-AV65</f>
        <v>0</v>
      </c>
      <c r="AW67" s="746">
        <f>AW64-AW65</f>
        <v>0</v>
      </c>
      <c r="AX67" s="746">
        <f>AX64-AX65</f>
        <v>0</v>
      </c>
      <c r="AY67" s="746">
        <f>AY64-AY65</f>
        <v>0</v>
      </c>
      <c r="AZ67" s="746">
        <f>AZ64-AZ65</f>
        <v>0</v>
      </c>
      <c r="BA67" s="746">
        <f>BA64-BA65</f>
        <v>0</v>
      </c>
      <c r="BB67" s="746">
        <f>BB64-BB65</f>
        <v>0</v>
      </c>
      <c r="BC67" s="746">
        <f>BC64-BC65</f>
        <v>0</v>
      </c>
      <c r="BD67" s="746">
        <f>BD64-BD65</f>
        <v>0</v>
      </c>
      <c r="BE67" s="746">
        <f>BE64-BE65</f>
        <v>0</v>
      </c>
      <c r="BF67" s="746">
        <f>BF64-BF65</f>
        <v>0</v>
      </c>
      <c r="BG67" s="746">
        <f>BG64-BG65</f>
        <v>0</v>
      </c>
      <c r="BH67" s="746">
        <f>BH64-BH65</f>
        <v>0</v>
      </c>
      <c r="BI67" s="746">
        <f>BI64-BI65</f>
        <v>0</v>
      </c>
      <c r="BJ67" s="746">
        <f>BJ64-BJ65</f>
        <v>0</v>
      </c>
      <c r="BK67" s="746">
        <f>BK64-BK65</f>
        <v>0</v>
      </c>
      <c r="BL67" s="746">
        <f>BL64-BL65</f>
        <v>0</v>
      </c>
      <c r="BM67" s="746">
        <f>BM64-BM65</f>
        <v>0</v>
      </c>
      <c r="BN67" s="746">
        <f>BN64-BN65</f>
        <v>0</v>
      </c>
      <c r="BO67" s="746">
        <f>BO64-BO65</f>
        <v>0</v>
      </c>
      <c r="BP67" s="746">
        <f>BP64-BP65</f>
        <v>0</v>
      </c>
      <c r="BQ67" s="746">
        <f>BQ64-BQ65</f>
        <v>0</v>
      </c>
      <c r="BR67" s="746">
        <f>BR64-BR65</f>
        <v>0</v>
      </c>
      <c r="BS67" s="746">
        <f>BS64-BS65</f>
        <v>0</v>
      </c>
      <c r="BT67" s="746">
        <f>BT64-BT65</f>
        <v>0</v>
      </c>
      <c r="BU67" s="746">
        <f>BU64-BU65</f>
        <v>0</v>
      </c>
      <c r="BV67" s="746">
        <f>BV64-BV65</f>
        <v>0</v>
      </c>
      <c r="BW67" s="746">
        <f>BW64-BW65</f>
        <v>0</v>
      </c>
      <c r="BX67" s="804"/>
      <c r="BY67" s="804"/>
      <c r="BZ67" s="804"/>
      <c r="CA67" s="804"/>
      <c r="CB67" s="804"/>
      <c r="CC67" s="804"/>
      <c r="CD67" s="804"/>
      <c r="CE67" s="804"/>
      <c r="CF67" s="804"/>
      <c r="CG67" s="804"/>
      <c r="CH67" s="804"/>
      <c r="CI67" s="804"/>
      <c r="CJ67" s="804"/>
      <c r="CK67" s="804"/>
      <c r="CL67" s="804"/>
      <c r="CM67" s="804"/>
      <c r="CN67" s="804"/>
      <c r="CO67" s="804"/>
      <c r="CP67" s="804"/>
      <c r="CQ67" s="804"/>
      <c r="CR67" s="83"/>
      <c r="CS67" s="83"/>
      <c r="CT67" s="83"/>
      <c r="CW67" s="489" t="s">
        <v>2090</v>
      </c>
      <c r="DD67" s="0" cm="1" t="str">
        <f t="array" ref="DD67:DD67">DD66</f>
        <v>0</v>
      </c>
      <c r="DJ67" s="0" t="s">
        <v>797</v>
      </c>
      <c r="DM67" s="0" t="s">
        <v>219</v>
      </c>
      <c r="DO67" s="0" t="s">
        <v>303</v>
      </c>
      <c r="DP67" s="0" t="s">
        <v>2079</v>
      </c>
      <c r="DQ67" s="0" t="s">
        <v>2080</v>
      </c>
    </row>
    <row customHeight="1" ht="14.625" hidden="1">
      <c r="E68" s="180">
        <v>15</v>
      </c>
      <c r="F68" s="175" cm="1" t="str">
        <f t="array" ref="F68:F68">OFFSET(G68,-1,-1)</f>
        <v>0</v>
      </c>
      <c r="G68" s="193" t="s">
        <v>2091</v>
      </c>
      <c r="T68" s="753" cm="1" t="str">
        <f t="array" ref="T68:T68">T67</f>
        <v>false</v>
      </c>
      <c r="AB68" s="836" t="str">
        <f>AB64&amp;".4"</f>
        <v>15.4</v>
      </c>
      <c r="AC68" s="646" t="s">
        <v>2092</v>
      </c>
      <c r="AD68" s="666" t="s">
        <v>1005</v>
      </c>
      <c r="AE68" s="132"/>
      <c r="AF68" s="714"/>
      <c r="AG68" s="714"/>
      <c r="AH68" s="714"/>
      <c r="AI68" s="132"/>
      <c r="AJ68" s="749">
        <f>_xlfn.IFERROR((AJ61*1000-AJ65*AJ66)/AJ67,0)</f>
        <v>0</v>
      </c>
      <c r="AK68" s="132">
        <f>_xlfn.IFERROR((AK61*1000-AK65*AK66)/AK67,0)</f>
        <v>0</v>
      </c>
      <c r="AL68" s="132">
        <f>_xlfn.IFERROR((AL61*1000-AL65*AL66)/AL67,0)</f>
        <v>0</v>
      </c>
      <c r="AM68" s="132">
        <f>_xlfn.IFERROR((AM61*1000-AM65*AM66)/AM67,0)</f>
        <v>0</v>
      </c>
      <c r="AN68" s="132">
        <f>_xlfn.IFERROR((AN61*1000-AN65*AN66)/AN67,0)</f>
        <v>0</v>
      </c>
      <c r="AO68" s="132">
        <f>_xlfn.IFERROR((AO61*1000-AO65*AO66)/AO67,0)</f>
        <v>0</v>
      </c>
      <c r="AP68" s="132">
        <f>_xlfn.IFERROR((AP61*1000-AP65*AP66)/AP67,0)</f>
        <v>0</v>
      </c>
      <c r="AQ68" s="132">
        <f>_xlfn.IFERROR((AQ61*1000-AQ65*AQ66)/AQ67,0)</f>
        <v>0</v>
      </c>
      <c r="AR68" s="132">
        <f>_xlfn.IFERROR((AR61*1000-AR65*AR66)/AR67,0)</f>
        <v>0</v>
      </c>
      <c r="AS68" s="132">
        <f>_xlfn.IFERROR((AS61*1000-AS65*AS66)/AS67,0)</f>
        <v>0</v>
      </c>
      <c r="AT68" s="132">
        <f>_xlfn.IFERROR((AT61*1000-AT65*AT66)/AT67,0)</f>
        <v>0</v>
      </c>
      <c r="AU68" s="132">
        <f>_xlfn.IFERROR((AU61*1000-AU65*AU66)/AU67,0)</f>
        <v>0</v>
      </c>
      <c r="AV68" s="132">
        <f>_xlfn.IFERROR((AV61*1000-AV65*AV66)/AV67,0)</f>
        <v>0</v>
      </c>
      <c r="AW68" s="132">
        <f>_xlfn.IFERROR((AW61*1000-AW65*AW66)/AW67,0)</f>
        <v>0</v>
      </c>
      <c r="AX68" s="132">
        <f>_xlfn.IFERROR((AX61*1000-AX65*AX66)/AX67,0)</f>
        <v>0</v>
      </c>
      <c r="AY68" s="132">
        <f>_xlfn.IFERROR((AY61*1000-AY65*AY66)/AY67,0)</f>
        <v>0</v>
      </c>
      <c r="AZ68" s="132">
        <f>_xlfn.IFERROR((AZ61*1000-AZ65*AZ66)/AZ67,0)</f>
        <v>0</v>
      </c>
      <c r="BA68" s="132">
        <f>_xlfn.IFERROR((BA61*1000-BA65*BA66)/BA67,0)</f>
        <v>0</v>
      </c>
      <c r="BB68" s="132">
        <f>_xlfn.IFERROR((BB61*1000-BB65*BB66)/BB67,0)</f>
        <v>0</v>
      </c>
      <c r="BC68" s="132">
        <f>_xlfn.IFERROR((BC61*1000-BC65*BC66)/BC67,0)</f>
        <v>0</v>
      </c>
      <c r="BD68" s="749">
        <f>_xlfn.IFERROR((BD61*1000-BD65*BD66)/BD67,0)</f>
        <v>0</v>
      </c>
      <c r="BE68" s="132">
        <f>_xlfn.IFERROR((BE61*1000-BE65*BE66)/BE67,0)</f>
        <v>0</v>
      </c>
      <c r="BF68" s="132">
        <f>_xlfn.IFERROR((BF61*1000-BF65*BF66)/BF67,0)</f>
        <v>0</v>
      </c>
      <c r="BG68" s="132">
        <f>_xlfn.IFERROR((BG61*1000-BG65*BG66)/BG67,0)</f>
        <v>0</v>
      </c>
      <c r="BH68" s="132">
        <f>_xlfn.IFERROR((BH61*1000-BH65*BH66)/BH67,0)</f>
        <v>0</v>
      </c>
      <c r="BI68" s="132">
        <f>_xlfn.IFERROR((BI61*1000-BI65*BI66)/BI67,0)</f>
        <v>0</v>
      </c>
      <c r="BJ68" s="132">
        <f>_xlfn.IFERROR((BJ61*1000-BJ65*BJ66)/BJ67,0)</f>
        <v>0</v>
      </c>
      <c r="BK68" s="132">
        <f>_xlfn.IFERROR((BK61*1000-BK65*BK66)/BK67,0)</f>
        <v>0</v>
      </c>
      <c r="BL68" s="132">
        <f>_xlfn.IFERROR((BL61*1000-BL65*BL66)/BL67,0)</f>
        <v>0</v>
      </c>
      <c r="BM68" s="132">
        <f>_xlfn.IFERROR((BM61*1000-BM65*BM66)/BM67,0)</f>
        <v>0</v>
      </c>
      <c r="BN68" s="132">
        <f>_xlfn.IFERROR((BN61*1000-BN65*BN66)/BN67,0)</f>
        <v>0</v>
      </c>
      <c r="BO68" s="132">
        <f>_xlfn.IFERROR((BO61*1000-BO65*BO66)/BO67,0)</f>
        <v>0</v>
      </c>
      <c r="BP68" s="132">
        <f>_xlfn.IFERROR((BP61*1000-BP65*BP66)/BP67,0)</f>
        <v>0</v>
      </c>
      <c r="BQ68" s="132">
        <f>_xlfn.IFERROR((BQ61*1000-BQ65*BQ66)/BQ67,0)</f>
        <v>0</v>
      </c>
      <c r="BR68" s="132">
        <f>_xlfn.IFERROR((BR61*1000-BR65*BR66)/BR67,0)</f>
        <v>0</v>
      </c>
      <c r="BS68" s="132">
        <f>_xlfn.IFERROR((BS61*1000-BS65*BS66)/BS67,0)</f>
        <v>0</v>
      </c>
      <c r="BT68" s="132">
        <f>_xlfn.IFERROR((BT61*1000-BT65*BT66)/BT67,0)</f>
        <v>0</v>
      </c>
      <c r="BU68" s="132">
        <f>_xlfn.IFERROR((BU61*1000-BU65*BU66)/BU67,0)</f>
        <v>0</v>
      </c>
      <c r="BV68" s="132">
        <f>_xlfn.IFERROR((BV61*1000-BV65*BV66)/BV67,0)</f>
        <v>0</v>
      </c>
      <c r="BW68" s="132">
        <f>_xlfn.IFERROR((BW61*1000-BW65*BW66)/BW67,0)</f>
        <v>0</v>
      </c>
      <c r="BX68" s="804"/>
      <c r="BY68" s="804"/>
      <c r="BZ68" s="804"/>
      <c r="CA68" s="804"/>
      <c r="CB68" s="804"/>
      <c r="CC68" s="804"/>
      <c r="CD68" s="804"/>
      <c r="CE68" s="804"/>
      <c r="CF68" s="804"/>
      <c r="CG68" s="804"/>
      <c r="CH68" s="804"/>
      <c r="CI68" s="804"/>
      <c r="CJ68" s="804"/>
      <c r="CK68" s="804"/>
      <c r="CL68" s="804"/>
      <c r="CM68" s="804"/>
      <c r="CN68" s="804"/>
      <c r="CO68" s="804"/>
      <c r="CP68" s="804"/>
      <c r="CQ68" s="804"/>
      <c r="CR68" s="83"/>
      <c r="CS68" s="83"/>
      <c r="CT68" s="83"/>
      <c r="CW68" s="489" t="s">
        <v>2093</v>
      </c>
      <c r="DD68" s="0" cm="1" t="str">
        <f t="array" ref="DD68:DD68">DD67</f>
        <v>0</v>
      </c>
      <c r="DJ68" s="0" t="s">
        <v>797</v>
      </c>
      <c r="DM68" s="0" t="s">
        <v>255</v>
      </c>
      <c r="DO68" s="0" t="s">
        <v>303</v>
      </c>
      <c r="DP68" s="0" t="s">
        <v>1100</v>
      </c>
      <c r="DQ68" s="0" t="s">
        <v>1101</v>
      </c>
    </row>
    <row customHeight="1" ht="14.625" hidden="1">
      <c r="E69" s="180">
        <v>15</v>
      </c>
      <c r="F69" s="175" cm="1" t="str">
        <f t="array" ref="F69:F69">OFFSET(G69,-1,-1)</f>
        <v>0</v>
      </c>
      <c r="T69" s="753" cm="1" t="str">
        <f t="array" ref="T69:T69">T68</f>
        <v>false</v>
      </c>
      <c r="AB69" s="836" t="str">
        <f>AB64&amp;".5"</f>
        <v>15.5</v>
      </c>
      <c r="AC69" s="842" t="s">
        <v>2094</v>
      </c>
      <c r="AD69" s="666" t="s">
        <v>495</v>
      </c>
      <c r="AE69" s="843">
        <f>_xlfn.IFERROR(AE68/AE66,0)</f>
        <v>0</v>
      </c>
      <c r="AF69" s="714"/>
      <c r="AG69" s="714"/>
      <c r="AH69" s="714"/>
      <c r="AI69" s="843">
        <f>_xlfn.IFERROR(AI68/AI66,0)</f>
        <v>0</v>
      </c>
      <c r="AJ69" s="843">
        <f>_xlfn.IFERROR(AJ68/AJ66,0)</f>
        <v>0</v>
      </c>
      <c r="AK69" s="843">
        <f>_xlfn.IFERROR(AK68/AK66,0)</f>
        <v>0</v>
      </c>
      <c r="AL69" s="843">
        <f>_xlfn.IFERROR(AL68/AL66,0)</f>
        <v>0</v>
      </c>
      <c r="AM69" s="843">
        <f>_xlfn.IFERROR(AM68/AM66,0)</f>
        <v>0</v>
      </c>
      <c r="AN69" s="843">
        <f>_xlfn.IFERROR(AN68/AN66,0)</f>
        <v>0</v>
      </c>
      <c r="AO69" s="843">
        <f>_xlfn.IFERROR(AO68/AO66,0)</f>
        <v>0</v>
      </c>
      <c r="AP69" s="843">
        <f>_xlfn.IFERROR(AP68/AP66,0)</f>
        <v>0</v>
      </c>
      <c r="AQ69" s="843">
        <f>_xlfn.IFERROR(AQ68/AQ66,0)</f>
        <v>0</v>
      </c>
      <c r="AR69" s="843">
        <f>_xlfn.IFERROR(AR68/AR66,0)</f>
        <v>0</v>
      </c>
      <c r="AS69" s="843">
        <f>_xlfn.IFERROR(AS68/AS66,0)</f>
        <v>0</v>
      </c>
      <c r="AT69" s="843">
        <f>_xlfn.IFERROR(AT68/AT66,0)</f>
        <v>0</v>
      </c>
      <c r="AU69" s="843">
        <f>_xlfn.IFERROR(AU68/AU66,0)</f>
        <v>0</v>
      </c>
      <c r="AV69" s="843">
        <f>_xlfn.IFERROR(AV68/AV66,0)</f>
        <v>0</v>
      </c>
      <c r="AW69" s="843">
        <f>_xlfn.IFERROR(AW68/AW66,0)</f>
        <v>0</v>
      </c>
      <c r="AX69" s="843">
        <f>_xlfn.IFERROR(AX68/AX66,0)</f>
        <v>0</v>
      </c>
      <c r="AY69" s="843">
        <f>_xlfn.IFERROR(AY68/AY66,0)</f>
        <v>0</v>
      </c>
      <c r="AZ69" s="843">
        <f>_xlfn.IFERROR(AZ68/AZ66,0)</f>
        <v>0</v>
      </c>
      <c r="BA69" s="843">
        <f>_xlfn.IFERROR(BA68/BA66,0)</f>
        <v>0</v>
      </c>
      <c r="BB69" s="843">
        <f>_xlfn.IFERROR(BB68/BB66,0)</f>
        <v>0</v>
      </c>
      <c r="BC69" s="843">
        <f>_xlfn.IFERROR(BC68/BC66,0)</f>
        <v>0</v>
      </c>
      <c r="BD69" s="843">
        <f>_xlfn.IFERROR(BD68/BD66,0)</f>
        <v>0</v>
      </c>
      <c r="BE69" s="843">
        <f>_xlfn.IFERROR(BE68/BE66,0)</f>
        <v>0</v>
      </c>
      <c r="BF69" s="843">
        <f>_xlfn.IFERROR(BF68/BF66,0)</f>
        <v>0</v>
      </c>
      <c r="BG69" s="843">
        <f>_xlfn.IFERROR(BG68/BG66,0)</f>
        <v>0</v>
      </c>
      <c r="BH69" s="843">
        <f>_xlfn.IFERROR(BH68/BH66,0)</f>
        <v>0</v>
      </c>
      <c r="BI69" s="843">
        <f>_xlfn.IFERROR(BI68/BI66,0)</f>
        <v>0</v>
      </c>
      <c r="BJ69" s="843">
        <f>_xlfn.IFERROR(BJ68/BJ66,0)</f>
        <v>0</v>
      </c>
      <c r="BK69" s="843">
        <f>_xlfn.IFERROR(BK68/BK66,0)</f>
        <v>0</v>
      </c>
      <c r="BL69" s="843">
        <f>_xlfn.IFERROR(BL68/BL66,0)</f>
        <v>0</v>
      </c>
      <c r="BM69" s="843">
        <f>_xlfn.IFERROR(BM68/BM66,0)</f>
        <v>0</v>
      </c>
      <c r="BN69" s="843">
        <f>_xlfn.IFERROR(BN68/BN66,0)</f>
        <v>0</v>
      </c>
      <c r="BO69" s="843">
        <f>_xlfn.IFERROR(BO68/BO66,0)</f>
        <v>0</v>
      </c>
      <c r="BP69" s="843">
        <f>_xlfn.IFERROR(BP68/BP66,0)</f>
        <v>0</v>
      </c>
      <c r="BQ69" s="843">
        <f>_xlfn.IFERROR(BQ68/BQ66,0)</f>
        <v>0</v>
      </c>
      <c r="BR69" s="843">
        <f>_xlfn.IFERROR(BR68/BR66,0)</f>
        <v>0</v>
      </c>
      <c r="BS69" s="843">
        <f>_xlfn.IFERROR(BS68/BS66,0)</f>
        <v>0</v>
      </c>
      <c r="BT69" s="843">
        <f>_xlfn.IFERROR(BT68/BT66,0)</f>
        <v>0</v>
      </c>
      <c r="BU69" s="843">
        <f>_xlfn.IFERROR(BU68/BU66,0)</f>
        <v>0</v>
      </c>
      <c r="BV69" s="843">
        <f>_xlfn.IFERROR(BV68/BV66,0)</f>
        <v>0</v>
      </c>
      <c r="BW69" s="843">
        <f>_xlfn.IFERROR(BW68/BW66,0)</f>
        <v>0</v>
      </c>
      <c r="BX69" s="804"/>
      <c r="BY69" s="804"/>
      <c r="BZ69" s="804"/>
      <c r="CA69" s="804"/>
      <c r="CB69" s="804"/>
      <c r="CC69" s="804"/>
      <c r="CD69" s="804"/>
      <c r="CE69" s="804"/>
      <c r="CF69" s="804"/>
      <c r="CG69" s="804"/>
      <c r="CH69" s="804"/>
      <c r="CI69" s="804"/>
      <c r="CJ69" s="804"/>
      <c r="CK69" s="804"/>
      <c r="CL69" s="804"/>
      <c r="CM69" s="804"/>
      <c r="CN69" s="804"/>
      <c r="CO69" s="804"/>
      <c r="CP69" s="804"/>
      <c r="CQ69" s="804"/>
      <c r="CR69" s="83"/>
      <c r="CS69" s="83"/>
      <c r="CT69" s="83"/>
      <c r="CW69" s="489" t="s">
        <v>2095</v>
      </c>
      <c r="DD69" s="0" cm="1" t="str">
        <f t="array" ref="DD69:DD69">DD68</f>
        <v>0</v>
      </c>
      <c r="DM69" s="0" t="s">
        <v>2096</v>
      </c>
      <c r="DO69" s="0" t="s">
        <v>303</v>
      </c>
      <c r="DP69" s="0" t="s">
        <v>931</v>
      </c>
      <c r="DQ69" s="0" t="s">
        <v>932</v>
      </c>
    </row>
    <row customHeight="1" ht="14.625" hidden="1">
      <c r="E70" s="180">
        <v>15</v>
      </c>
      <c r="F70" s="175" cm="1" t="str">
        <f t="array" ref="F70:F70">OFFSET(G70,-1,-1)</f>
        <v>0</v>
      </c>
      <c r="T70" s="753" cm="1" t="str">
        <f t="array" ref="T70:T70">T69</f>
        <v>false</v>
      </c>
      <c r="AB70" s="836" t="str">
        <f>AB64&amp;".6"</f>
        <v>15.6</v>
      </c>
      <c r="AC70" s="842" t="s">
        <v>2097</v>
      </c>
      <c r="AD70" s="666" t="s">
        <v>1005</v>
      </c>
      <c r="AE70" s="746">
        <f>_xlfn.IFERROR(AE61*1000/AE64,0)</f>
        <v>0</v>
      </c>
      <c r="AF70" s="714"/>
      <c r="AG70" s="714"/>
      <c r="AH70" s="714"/>
      <c r="AI70" s="746">
        <f>_xlfn.IFERROR(AI61*1000/AI64,0)</f>
        <v>0</v>
      </c>
      <c r="AJ70" s="746">
        <f>_xlfn.IFERROR(AJ61*1000/AJ64,0)</f>
        <v>0</v>
      </c>
      <c r="AK70" s="746">
        <f>_xlfn.IFERROR(AK61*1000/AK64,0)</f>
        <v>0</v>
      </c>
      <c r="AL70" s="746">
        <f>_xlfn.IFERROR(AL61*1000/AL64,0)</f>
        <v>0</v>
      </c>
      <c r="AM70" s="746">
        <f>_xlfn.IFERROR(AM61*1000/AM64,0)</f>
        <v>0</v>
      </c>
      <c r="AN70" s="746">
        <f>_xlfn.IFERROR(AN61*1000/AN64,0)</f>
        <v>0</v>
      </c>
      <c r="AO70" s="746">
        <f>_xlfn.IFERROR(AO61*1000/AO64,0)</f>
        <v>0</v>
      </c>
      <c r="AP70" s="746">
        <f>_xlfn.IFERROR(AP61*1000/AP64,0)</f>
        <v>0</v>
      </c>
      <c r="AQ70" s="746">
        <f>_xlfn.IFERROR(AQ61*1000/AQ64,0)</f>
        <v>0</v>
      </c>
      <c r="AR70" s="746">
        <f>_xlfn.IFERROR(AR61*1000/AR64,0)</f>
        <v>0</v>
      </c>
      <c r="AS70" s="746">
        <f>_xlfn.IFERROR(AS61*1000/AS64,0)</f>
        <v>0</v>
      </c>
      <c r="AT70" s="746">
        <f>_xlfn.IFERROR(AT61*1000/AT64,0)</f>
        <v>0</v>
      </c>
      <c r="AU70" s="746">
        <f>_xlfn.IFERROR(AU61*1000/AU64,0)</f>
        <v>0</v>
      </c>
      <c r="AV70" s="746">
        <f>_xlfn.IFERROR(AV61*1000/AV64,0)</f>
        <v>0</v>
      </c>
      <c r="AW70" s="746">
        <f>_xlfn.IFERROR(AW61*1000/AW64,0)</f>
        <v>0</v>
      </c>
      <c r="AX70" s="746">
        <f>_xlfn.IFERROR(AX61*1000/AX64,0)</f>
        <v>0</v>
      </c>
      <c r="AY70" s="746">
        <f>_xlfn.IFERROR(AY61*1000/AY64,0)</f>
        <v>0</v>
      </c>
      <c r="AZ70" s="746">
        <f>_xlfn.IFERROR(AZ61*1000/AZ64,0)</f>
        <v>0</v>
      </c>
      <c r="BA70" s="746">
        <f>_xlfn.IFERROR(BA61*1000/BA64,0)</f>
        <v>0</v>
      </c>
      <c r="BB70" s="746">
        <f>_xlfn.IFERROR(BB61*1000/BB64,0)</f>
        <v>0</v>
      </c>
      <c r="BC70" s="746">
        <f>_xlfn.IFERROR(BC61*1000/BC64,0)</f>
        <v>0</v>
      </c>
      <c r="BD70" s="746">
        <f>_xlfn.IFERROR(BD61*1000/BD64,0)</f>
        <v>0</v>
      </c>
      <c r="BE70" s="746">
        <f>_xlfn.IFERROR(BE61*1000/BE64,0)</f>
        <v>0</v>
      </c>
      <c r="BF70" s="746">
        <f>_xlfn.IFERROR(BF61*1000/BF64,0)</f>
        <v>0</v>
      </c>
      <c r="BG70" s="746">
        <f>_xlfn.IFERROR(BG61*1000/BG64,0)</f>
        <v>0</v>
      </c>
      <c r="BH70" s="746">
        <f>_xlfn.IFERROR(BH61*1000/BH64,0)</f>
        <v>0</v>
      </c>
      <c r="BI70" s="746">
        <f>_xlfn.IFERROR(BI61*1000/BI64,0)</f>
        <v>0</v>
      </c>
      <c r="BJ70" s="746">
        <f>_xlfn.IFERROR(BJ61*1000/BJ64,0)</f>
        <v>0</v>
      </c>
      <c r="BK70" s="746">
        <f>_xlfn.IFERROR(BK61*1000/BK64,0)</f>
        <v>0</v>
      </c>
      <c r="BL70" s="746">
        <f>_xlfn.IFERROR(BL61*1000/BL64,0)</f>
        <v>0</v>
      </c>
      <c r="BM70" s="746">
        <f>_xlfn.IFERROR(BM61*1000/BM64,0)</f>
        <v>0</v>
      </c>
      <c r="BN70" s="746">
        <f>_xlfn.IFERROR(BN61*1000/BN64,0)</f>
        <v>0</v>
      </c>
      <c r="BO70" s="746">
        <f>_xlfn.IFERROR(BO61*1000/BO64,0)</f>
        <v>0</v>
      </c>
      <c r="BP70" s="746">
        <f>_xlfn.IFERROR(BP61*1000/BP64,0)</f>
        <v>0</v>
      </c>
      <c r="BQ70" s="746">
        <f>_xlfn.IFERROR(BQ61*1000/BQ64,0)</f>
        <v>0</v>
      </c>
      <c r="BR70" s="746">
        <f>_xlfn.IFERROR(BR61*1000/BR64,0)</f>
        <v>0</v>
      </c>
      <c r="BS70" s="746">
        <f>_xlfn.IFERROR(BS61*1000/BS64,0)</f>
        <v>0</v>
      </c>
      <c r="BT70" s="746">
        <f>_xlfn.IFERROR(BT61*1000/BT64,0)</f>
        <v>0</v>
      </c>
      <c r="BU70" s="746">
        <f>_xlfn.IFERROR(BU61*1000/BU64,0)</f>
        <v>0</v>
      </c>
      <c r="BV70" s="746">
        <f>_xlfn.IFERROR(BV61*1000/BV64,0)</f>
        <v>0</v>
      </c>
      <c r="BW70" s="746">
        <f>_xlfn.IFERROR(BW61*1000/BW64,0)</f>
        <v>0</v>
      </c>
      <c r="BX70" s="804"/>
      <c r="BY70" s="804"/>
      <c r="BZ70" s="804"/>
      <c r="CA70" s="804"/>
      <c r="CB70" s="804"/>
      <c r="CC70" s="804"/>
      <c r="CD70" s="804"/>
      <c r="CE70" s="804"/>
      <c r="CF70" s="804"/>
      <c r="CG70" s="804"/>
      <c r="CH70" s="804"/>
      <c r="CI70" s="804"/>
      <c r="CJ70" s="804"/>
      <c r="CK70" s="804"/>
      <c r="CL70" s="804"/>
      <c r="CM70" s="804"/>
      <c r="CN70" s="804"/>
      <c r="CO70" s="804"/>
      <c r="CP70" s="804"/>
      <c r="CQ70" s="804"/>
      <c r="CR70" s="83"/>
      <c r="CS70" s="83"/>
      <c r="CT70" s="83"/>
      <c r="CW70" s="489" t="s">
        <v>2098</v>
      </c>
      <c r="DD70" s="0" cm="1" t="str">
        <f t="array" ref="DD70:DD70">DD69</f>
        <v>0</v>
      </c>
      <c r="DM70" s="0" t="s">
        <v>2099</v>
      </c>
      <c r="DO70" s="0" t="s">
        <v>303</v>
      </c>
      <c r="DP70" s="0" t="s">
        <v>2100</v>
      </c>
      <c r="DQ70" s="0" t="s">
        <v>2101</v>
      </c>
    </row>
    <row customHeight="1" ht="14.625" hidden="1">
      <c r="E71" s="180">
        <v>15</v>
      </c>
      <c r="F71" s="175" cm="1" t="str">
        <f t="array" ref="F71:F71">OFFSET(G71,-1,-1)</f>
        <v>0</v>
      </c>
      <c r="L71" s="193" t="s">
        <v>2067</v>
      </c>
      <c r="T71" s="753" cm="1" t="str">
        <f t="array" ref="T71:T71">T62</f>
        <v>false</v>
      </c>
      <c r="AB71" s="838">
        <v>16</v>
      </c>
      <c r="AC71" s="844" t="s">
        <v>2102</v>
      </c>
      <c r="AD71" s="845" t="s">
        <v>752</v>
      </c>
      <c r="AE71" s="695">
        <f>_xlfn.SUMIFS('Баланс Пр'!AE$27:AE$165,'Баланс Пр'!$F$27:$F$165,$F71,'Баланс Пр'!$AB$27:$AB$165,"10")</f>
        <v>0</v>
      </c>
      <c r="AF71" s="714"/>
      <c r="AG71" s="714"/>
      <c r="AH71" s="714"/>
      <c r="AI71" s="695">
        <f>_xlfn.SUMIFS('Баланс Пр'!AH$27:AH$165,'Баланс Пр'!$F$27:$F$165,$F71,'Баланс Пр'!$AB$27:$AB$165,"10")</f>
        <v>0</v>
      </c>
      <c r="AJ71" s="695">
        <f>_xlfn.SUMIFS('Баланс Пр'!AI$27:AI$165,'Баланс Пр'!$F$27:$F$165,$F71,'Баланс Пр'!$AB$27:$AB$165,"10")</f>
        <v>0</v>
      </c>
      <c r="AK71" s="695">
        <f>_xlfn.SUMIFS('Баланс Пр'!AJ$27:AJ$165,'Баланс Пр'!$F$27:$F$165,$F71,'Баланс Пр'!$AB$27:$AB$165,"10")</f>
        <v>0</v>
      </c>
      <c r="AL71" s="695">
        <f>_xlfn.SUMIFS('Баланс Пр'!AK$27:AK$165,'Баланс Пр'!$F$27:$F$165,$F71,'Баланс Пр'!$AB$27:$AB$165,"10")</f>
        <v>0</v>
      </c>
      <c r="AM71" s="695">
        <f>_xlfn.SUMIFS('Баланс Пр'!AL$27:AL$165,'Баланс Пр'!$F$27:$F$165,$F71,'Баланс Пр'!$AB$27:$AB$165,"10")</f>
        <v>0</v>
      </c>
      <c r="AN71" s="695">
        <f>_xlfn.SUMIFS('Баланс Пр'!AM$27:AM$165,'Баланс Пр'!$F$27:$F$165,$F71,'Баланс Пр'!$AB$27:$AB$165,"10")</f>
        <v>0</v>
      </c>
      <c r="AO71" s="695">
        <f>_xlfn.SUMIFS('Баланс Пр'!AN$27:AN$165,'Баланс Пр'!$F$27:$F$165,$F71,'Баланс Пр'!$AB$27:$AB$165,"10")</f>
        <v>0</v>
      </c>
      <c r="AP71" s="695">
        <f>_xlfn.SUMIFS('Баланс Пр'!AO$27:AO$165,'Баланс Пр'!$F$27:$F$165,$F71,'Баланс Пр'!$AB$27:$AB$165,"10")</f>
        <v>0</v>
      </c>
      <c r="AQ71" s="695">
        <f>_xlfn.SUMIFS('Баланс Пр'!AP$27:AP$165,'Баланс Пр'!$F$27:$F$165,$F71,'Баланс Пр'!$AB$27:$AB$165,"10")</f>
        <v>0</v>
      </c>
      <c r="AR71" s="695">
        <f>_xlfn.SUMIFS('Баланс Пр'!AQ$27:AQ$165,'Баланс Пр'!$F$27:$F$165,$F71,'Баланс Пр'!$AB$27:$AB$165,"10")</f>
        <v>0</v>
      </c>
      <c r="AS71" s="695">
        <f>_xlfn.SUMIFS('Баланс Пр'!AR$27:AR$165,'Баланс Пр'!$F$27:$F$165,$F71,'Баланс Пр'!$AB$27:$AB$165,"10")</f>
        <v>0</v>
      </c>
      <c r="AT71" s="695">
        <f>_xlfn.SUMIFS('Баланс Пр'!AS$27:AS$165,'Баланс Пр'!$F$27:$F$165,$F71,'Баланс Пр'!$AB$27:$AB$165,"10")</f>
        <v>0</v>
      </c>
      <c r="AU71" s="695">
        <f>_xlfn.SUMIFS('Баланс Пр'!AT$27:AT$165,'Баланс Пр'!$F$27:$F$165,$F71,'Баланс Пр'!$AB$27:$AB$165,"10")</f>
        <v>0</v>
      </c>
      <c r="AV71" s="695">
        <f>_xlfn.SUMIFS('Баланс Пр'!AU$27:AU$165,'Баланс Пр'!$F$27:$F$165,$F71,'Баланс Пр'!$AB$27:$AB$165,"10")</f>
        <v>0</v>
      </c>
      <c r="AW71" s="695">
        <f>_xlfn.SUMIFS('Баланс Пр'!AV$27:AV$165,'Баланс Пр'!$F$27:$F$165,$F71,'Баланс Пр'!$AB$27:$AB$165,"10")</f>
        <v>0</v>
      </c>
      <c r="AX71" s="695">
        <f>_xlfn.SUMIFS('Баланс Пр'!AW$27:AW$165,'Баланс Пр'!$F$27:$F$165,$F71,'Баланс Пр'!$AB$27:$AB$165,"10")</f>
        <v>0</v>
      </c>
      <c r="AY71" s="695">
        <f>_xlfn.SUMIFS('Баланс Пр'!AX$27:AX$165,'Баланс Пр'!$F$27:$F$165,$F71,'Баланс Пр'!$AB$27:$AB$165,"10")</f>
        <v>0</v>
      </c>
      <c r="AZ71" s="695">
        <f>_xlfn.SUMIFS('Баланс Пр'!AY$27:AY$165,'Баланс Пр'!$F$27:$F$165,$F71,'Баланс Пр'!$AB$27:$AB$165,"10")</f>
        <v>0</v>
      </c>
      <c r="BA71" s="695">
        <f>_xlfn.SUMIFS('Баланс Пр'!AZ$27:AZ$165,'Баланс Пр'!$F$27:$F$165,$F71,'Баланс Пр'!$AB$27:$AB$165,"10")</f>
        <v>0</v>
      </c>
      <c r="BB71" s="695">
        <f>_xlfn.SUMIFS('Баланс Пр'!BA$27:BA$165,'Баланс Пр'!$F$27:$F$165,$F71,'Баланс Пр'!$AB$27:$AB$165,"10")</f>
        <v>0</v>
      </c>
      <c r="BC71" s="695">
        <f>_xlfn.SUMIFS('Баланс Пр'!BB$27:BB$165,'Баланс Пр'!$F$27:$F$165,$F71,'Баланс Пр'!$AB$27:$AB$165,"10")</f>
        <v>0</v>
      </c>
      <c r="BD71" s="695">
        <f>_xlfn.SUMIFS('Баланс Пр'!BC$27:BC$165,'Баланс Пр'!$F$27:$F$165,$F71,'Баланс Пр'!$AB$27:$AB$165,"10")</f>
        <v>0</v>
      </c>
      <c r="BE71" s="695">
        <f>_xlfn.SUMIFS('Баланс Пр'!BD$27:BD$165,'Баланс Пр'!$F$27:$F$165,$F71,'Баланс Пр'!$AB$27:$AB$165,"10")</f>
        <v>0</v>
      </c>
      <c r="BF71" s="695">
        <f>_xlfn.SUMIFS('Баланс Пр'!BE$27:BE$165,'Баланс Пр'!$F$27:$F$165,$F71,'Баланс Пр'!$AB$27:$AB$165,"10")</f>
        <v>0</v>
      </c>
      <c r="BG71" s="695">
        <f>_xlfn.SUMIFS('Баланс Пр'!BF$27:BF$165,'Баланс Пр'!$F$27:$F$165,$F71,'Баланс Пр'!$AB$27:$AB$165,"10")</f>
        <v>0</v>
      </c>
      <c r="BH71" s="695">
        <f>_xlfn.SUMIFS('Баланс Пр'!BG$27:BG$165,'Баланс Пр'!$F$27:$F$165,$F71,'Баланс Пр'!$AB$27:$AB$165,"10")</f>
        <v>0</v>
      </c>
      <c r="BI71" s="695">
        <f>_xlfn.SUMIFS('Баланс Пр'!BH$27:BH$165,'Баланс Пр'!$F$27:$F$165,$F71,'Баланс Пр'!$AB$27:$AB$165,"10")</f>
        <v>0</v>
      </c>
      <c r="BJ71" s="695">
        <f>_xlfn.SUMIFS('Баланс Пр'!BI$27:BI$165,'Баланс Пр'!$F$27:$F$165,$F71,'Баланс Пр'!$AB$27:$AB$165,"10")</f>
        <v>0</v>
      </c>
      <c r="BK71" s="695">
        <f>_xlfn.SUMIFS('Баланс Пр'!BJ$27:BJ$165,'Баланс Пр'!$F$27:$F$165,$F71,'Баланс Пр'!$AB$27:$AB$165,"10")</f>
        <v>0</v>
      </c>
      <c r="BL71" s="695">
        <f>_xlfn.SUMIFS('Баланс Пр'!BK$27:BK$165,'Баланс Пр'!$F$27:$F$165,$F71,'Баланс Пр'!$AB$27:$AB$165,"10")</f>
        <v>0</v>
      </c>
      <c r="BM71" s="695">
        <f>_xlfn.SUMIFS('Баланс Пр'!BL$27:BL$165,'Баланс Пр'!$F$27:$F$165,$F71,'Баланс Пр'!$AB$27:$AB$165,"10")</f>
        <v>0</v>
      </c>
      <c r="BN71" s="695">
        <f>_xlfn.SUMIFS('Баланс Пр'!BM$27:BM$165,'Баланс Пр'!$F$27:$F$165,$F71,'Баланс Пр'!$AB$27:$AB$165,"10")</f>
        <v>0</v>
      </c>
      <c r="BO71" s="695">
        <f>_xlfn.SUMIFS('Баланс Пр'!BN$27:BN$165,'Баланс Пр'!$F$27:$F$165,$F71,'Баланс Пр'!$AB$27:$AB$165,"10")</f>
        <v>0</v>
      </c>
      <c r="BP71" s="695">
        <f>_xlfn.SUMIFS('Баланс Пр'!BO$27:BO$165,'Баланс Пр'!$F$27:$F$165,$F71,'Баланс Пр'!$AB$27:$AB$165,"10")</f>
        <v>0</v>
      </c>
      <c r="BQ71" s="695">
        <f>_xlfn.SUMIFS('Баланс Пр'!BP$27:BP$165,'Баланс Пр'!$F$27:$F$165,$F71,'Баланс Пр'!$AB$27:$AB$165,"10")</f>
        <v>0</v>
      </c>
      <c r="BR71" s="695">
        <f>_xlfn.SUMIFS('Баланс Пр'!BQ$27:BQ$165,'Баланс Пр'!$F$27:$F$165,$F71,'Баланс Пр'!$AB$27:$AB$165,"10")</f>
        <v>0</v>
      </c>
      <c r="BS71" s="695">
        <f>_xlfn.SUMIFS('Баланс Пр'!BR$27:BR$165,'Баланс Пр'!$F$27:$F$165,$F71,'Баланс Пр'!$AB$27:$AB$165,"10")</f>
        <v>0</v>
      </c>
      <c r="BT71" s="695">
        <f>_xlfn.SUMIFS('Баланс Пр'!BS$27:BS$165,'Баланс Пр'!$F$27:$F$165,$F71,'Баланс Пр'!$AB$27:$AB$165,"10")</f>
        <v>0</v>
      </c>
      <c r="BU71" s="695">
        <f>_xlfn.SUMIFS('Баланс Пр'!BT$27:BT$165,'Баланс Пр'!$F$27:$F$165,$F71,'Баланс Пр'!$AB$27:$AB$165,"10")</f>
        <v>0</v>
      </c>
      <c r="BV71" s="695">
        <f>_xlfn.SUMIFS('Баланс Пр'!BU$27:BU$165,'Баланс Пр'!$F$27:$F$165,$F71,'Баланс Пр'!$AB$27:$AB$165,"10")</f>
        <v>0</v>
      </c>
      <c r="BW71" s="695">
        <f>_xlfn.SUMIFS('Баланс Пр'!BV$27:BV$165,'Баланс Пр'!$F$27:$F$165,$F71,'Баланс Пр'!$AB$27:$AB$165,"10")</f>
        <v>0</v>
      </c>
      <c r="BX71" s="804"/>
      <c r="BY71" s="804"/>
      <c r="BZ71" s="804"/>
      <c r="CA71" s="804"/>
      <c r="CB71" s="804"/>
      <c r="CC71" s="804"/>
      <c r="CD71" s="804"/>
      <c r="CE71" s="804"/>
      <c r="CF71" s="804"/>
      <c r="CG71" s="804"/>
      <c r="CH71" s="804"/>
      <c r="CI71" s="804"/>
      <c r="CJ71" s="804"/>
      <c r="CK71" s="804"/>
      <c r="CL71" s="804"/>
      <c r="CM71" s="804"/>
      <c r="CN71" s="804"/>
      <c r="CO71" s="804"/>
      <c r="CP71" s="804"/>
      <c r="CQ71" s="804"/>
      <c r="CR71" s="83"/>
      <c r="CS71" s="83"/>
      <c r="CT71" s="83"/>
      <c r="CW71" s="489" t="s">
        <v>753</v>
      </c>
      <c r="DD71" s="0" cm="1" t="str">
        <f t="array" ref="DD71:DD71">DD70</f>
        <v>0</v>
      </c>
      <c r="DM71" s="0" t="s">
        <v>2103</v>
      </c>
      <c r="DO71" s="0" t="s">
        <v>303</v>
      </c>
      <c r="DP71" s="0" t="s">
        <v>2104</v>
      </c>
      <c r="DQ71" s="0" t="s">
        <v>2105</v>
      </c>
    </row>
    <row customHeight="1" ht="14.625" hidden="1">
      <c r="E72" s="180">
        <v>15</v>
      </c>
      <c r="F72" s="175" cm="1" t="str">
        <f t="array" ref="F72:F72">OFFSET(G72,-1,-1)</f>
        <v>0</v>
      </c>
      <c r="G72" s="193" t="s">
        <v>2106</v>
      </c>
      <c r="L72" s="193" t="s">
        <v>2067</v>
      </c>
      <c r="T72" s="753" cm="1" t="str">
        <f t="array" ref="T72:T72">T71</f>
        <v>false</v>
      </c>
      <c r="AB72" s="836" t="str">
        <f>AB71&amp;".1"</f>
        <v>16.1</v>
      </c>
      <c r="AC72" s="365" t="s">
        <v>2107</v>
      </c>
      <c r="AD72" s="846" t="s">
        <v>752</v>
      </c>
      <c r="AE72" s="132" cm="1" t="str">
        <f t="array" ref="AE72:AE72">AE71</f>
        <v>0</v>
      </c>
      <c r="AF72" s="714"/>
      <c r="AG72" s="714"/>
      <c r="AH72" s="714"/>
      <c r="AI72" s="132" cm="1" t="str">
        <f t="array" ref="AI72:AI72">AI71</f>
        <v>0</v>
      </c>
      <c r="AJ72" s="749" cm="1" t="str">
        <f t="array" ref="AJ72:AJ72">AJ71</f>
        <v>0</v>
      </c>
      <c r="AK72" s="132" cm="1" t="str">
        <f t="array" ref="AK72:AK72">AK71</f>
        <v>0</v>
      </c>
      <c r="AL72" s="132" cm="1" t="str">
        <f t="array" ref="AL72:AL72">AL71</f>
        <v>0</v>
      </c>
      <c r="AM72" s="132" cm="1" t="str">
        <f t="array" ref="AM72:AM72">AM71</f>
        <v>0</v>
      </c>
      <c r="AN72" s="132" cm="1" t="str">
        <f t="array" ref="AN72:AN72">AN71</f>
        <v>0</v>
      </c>
      <c r="AO72" s="132" cm="1" t="str">
        <f t="array" ref="AO72:AO72">AO71</f>
        <v>0</v>
      </c>
      <c r="AP72" s="132" cm="1" t="str">
        <f t="array" ref="AP72:AP72">AP71</f>
        <v>0</v>
      </c>
      <c r="AQ72" s="132" cm="1" t="str">
        <f t="array" ref="AQ72:AQ72">AQ71</f>
        <v>0</v>
      </c>
      <c r="AR72" s="132" cm="1" t="str">
        <f t="array" ref="AR72:AR72">AR71</f>
        <v>0</v>
      </c>
      <c r="AS72" s="132" cm="1" t="str">
        <f t="array" ref="AS72:AS72">AS71</f>
        <v>0</v>
      </c>
      <c r="AT72" s="132" cm="1" t="str">
        <f t="array" ref="AT72:AT72">AT71</f>
        <v>0</v>
      </c>
      <c r="AU72" s="132" cm="1" t="str">
        <f t="array" ref="AU72:AU72">AU71</f>
        <v>0</v>
      </c>
      <c r="AV72" s="132" cm="1" t="str">
        <f t="array" ref="AV72:AV72">AV71</f>
        <v>0</v>
      </c>
      <c r="AW72" s="132" cm="1" t="str">
        <f t="array" ref="AW72:AW72">AW71</f>
        <v>0</v>
      </c>
      <c r="AX72" s="132" cm="1" t="str">
        <f t="array" ref="AX72:AX72">AX71</f>
        <v>0</v>
      </c>
      <c r="AY72" s="132" cm="1" t="str">
        <f t="array" ref="AY72:AY72">AY71</f>
        <v>0</v>
      </c>
      <c r="AZ72" s="132" cm="1" t="str">
        <f t="array" ref="AZ72:AZ72">AZ71</f>
        <v>0</v>
      </c>
      <c r="BA72" s="132" cm="1" t="str">
        <f t="array" ref="BA72:BA72">BA71</f>
        <v>0</v>
      </c>
      <c r="BB72" s="132" cm="1" t="str">
        <f t="array" ref="BB72:BB72">BB71</f>
        <v>0</v>
      </c>
      <c r="BC72" s="132" cm="1" t="str">
        <f t="array" ref="BC72:BC72">BC71</f>
        <v>0</v>
      </c>
      <c r="BD72" s="749" cm="1" t="str">
        <f t="array" ref="BD72:BD72">BD71</f>
        <v>0</v>
      </c>
      <c r="BE72" s="132" cm="1" t="str">
        <f t="array" ref="BE72:BE72">BE71</f>
        <v>0</v>
      </c>
      <c r="BF72" s="132" cm="1" t="str">
        <f t="array" ref="BF72:BF72">BF71</f>
        <v>0</v>
      </c>
      <c r="BG72" s="132" cm="1" t="str">
        <f t="array" ref="BG72:BG72">BG71</f>
        <v>0</v>
      </c>
      <c r="BH72" s="132" cm="1" t="str">
        <f t="array" ref="BH72:BH72">BH71</f>
        <v>0</v>
      </c>
      <c r="BI72" s="132" cm="1" t="str">
        <f t="array" ref="BI72:BI72">BI71</f>
        <v>0</v>
      </c>
      <c r="BJ72" s="132" cm="1" t="str">
        <f t="array" ref="BJ72:BJ72">BJ71</f>
        <v>0</v>
      </c>
      <c r="BK72" s="132" cm="1" t="str">
        <f t="array" ref="BK72:BK72">BK71</f>
        <v>0</v>
      </c>
      <c r="BL72" s="132" cm="1" t="str">
        <f t="array" ref="BL72:BL72">BL71</f>
        <v>0</v>
      </c>
      <c r="BM72" s="132" cm="1" t="str">
        <f t="array" ref="BM72:BM72">BM71</f>
        <v>0</v>
      </c>
      <c r="BN72" s="132" cm="1" t="str">
        <f t="array" ref="BN72:BN72">BN71</f>
        <v>0</v>
      </c>
      <c r="BO72" s="132" cm="1" t="str">
        <f t="array" ref="BO72:BO72">BO71</f>
        <v>0</v>
      </c>
      <c r="BP72" s="132" cm="1" t="str">
        <f t="array" ref="BP72:BP72">BP71</f>
        <v>0</v>
      </c>
      <c r="BQ72" s="132" cm="1" t="str">
        <f t="array" ref="BQ72:BQ72">BQ71</f>
        <v>0</v>
      </c>
      <c r="BR72" s="132" cm="1" t="str">
        <f t="array" ref="BR72:BR72">BR71</f>
        <v>0</v>
      </c>
      <c r="BS72" s="132" cm="1" t="str">
        <f t="array" ref="BS72:BS72">BS71</f>
        <v>0</v>
      </c>
      <c r="BT72" s="132" cm="1" t="str">
        <f t="array" ref="BT72:BT72">BT71</f>
        <v>0</v>
      </c>
      <c r="BU72" s="132" cm="1" t="str">
        <f t="array" ref="BU72:BU72">BU71</f>
        <v>0</v>
      </c>
      <c r="BV72" s="132" cm="1" t="str">
        <f t="array" ref="BV72:BV72">BV71</f>
        <v>0</v>
      </c>
      <c r="BW72" s="132" cm="1" t="str">
        <f t="array" ref="BW72:BW72">BW71</f>
        <v>0</v>
      </c>
      <c r="BX72" s="804"/>
      <c r="BY72" s="804"/>
      <c r="BZ72" s="804"/>
      <c r="CA72" s="804"/>
      <c r="CB72" s="804"/>
      <c r="CC72" s="804"/>
      <c r="CD72" s="804"/>
      <c r="CE72" s="804"/>
      <c r="CF72" s="804"/>
      <c r="CG72" s="804"/>
      <c r="CH72" s="804"/>
      <c r="CI72" s="804"/>
      <c r="CJ72" s="804"/>
      <c r="CK72" s="804"/>
      <c r="CL72" s="804"/>
      <c r="CM72" s="804"/>
      <c r="CN72" s="804"/>
      <c r="CO72" s="804"/>
      <c r="CP72" s="804"/>
      <c r="CQ72" s="804"/>
      <c r="CR72" s="83"/>
      <c r="CS72" s="83"/>
      <c r="CT72" s="83"/>
      <c r="CW72" s="489" t="s">
        <v>2108</v>
      </c>
      <c r="DD72" s="0" cm="1" t="str">
        <f t="array" ref="DD72:DD72">DD71</f>
        <v>0</v>
      </c>
      <c r="DJ72" s="0" t="s">
        <v>796</v>
      </c>
      <c r="DL72" s="0" t="s">
        <v>2084</v>
      </c>
      <c r="DM72" s="0" t="s">
        <v>449</v>
      </c>
      <c r="DO72" s="0" t="s">
        <v>303</v>
      </c>
      <c r="DP72" s="0" t="s">
        <v>2104</v>
      </c>
      <c r="DQ72" s="0" t="s">
        <v>2105</v>
      </c>
    </row>
    <row customHeight="1" ht="14.625" hidden="1">
      <c r="E73" s="180">
        <v>15</v>
      </c>
      <c r="F73" s="175" cm="1" t="str">
        <f t="array" ref="F73:F73">OFFSET(G73,-1,-1)</f>
        <v>0</v>
      </c>
      <c r="G73" s="193" t="s">
        <v>2109</v>
      </c>
      <c r="L73" s="193" t="s">
        <v>2067</v>
      </c>
      <c r="T73" s="753" cm="1" t="str">
        <f t="array" ref="T73:T73">T72</f>
        <v>false</v>
      </c>
      <c r="AB73" s="836" t="str">
        <f>AB71&amp;".2"</f>
        <v>16.2</v>
      </c>
      <c r="AC73" s="365" t="s">
        <v>2110</v>
      </c>
      <c r="AD73" s="846" t="s">
        <v>752</v>
      </c>
      <c r="AE73" s="132" cm="1" t="str">
        <f t="array" ref="AE73:AE73">AE71</f>
        <v>0</v>
      </c>
      <c r="AF73" s="714"/>
      <c r="AG73" s="714"/>
      <c r="AH73" s="714"/>
      <c r="AI73" s="132" cm="1" t="str">
        <f t="array" ref="AI73:AI73">AI71</f>
        <v>0</v>
      </c>
      <c r="AJ73" s="749" cm="1" t="str">
        <f t="array" ref="AJ73:AJ73">AJ71</f>
        <v>0</v>
      </c>
      <c r="AK73" s="132" cm="1" t="str">
        <f t="array" ref="AK73:AK73">AK71</f>
        <v>0</v>
      </c>
      <c r="AL73" s="132" cm="1" t="str">
        <f t="array" ref="AL73:AL73">AL71</f>
        <v>0</v>
      </c>
      <c r="AM73" s="132" cm="1" t="str">
        <f t="array" ref="AM73:AM73">AM71</f>
        <v>0</v>
      </c>
      <c r="AN73" s="132" cm="1" t="str">
        <f t="array" ref="AN73:AN73">AN71</f>
        <v>0</v>
      </c>
      <c r="AO73" s="132" cm="1" t="str">
        <f t="array" ref="AO73:AO73">AO71</f>
        <v>0</v>
      </c>
      <c r="AP73" s="132" cm="1" t="str">
        <f t="array" ref="AP73:AP73">AP71</f>
        <v>0</v>
      </c>
      <c r="AQ73" s="132" cm="1" t="str">
        <f t="array" ref="AQ73:AQ73">AQ71</f>
        <v>0</v>
      </c>
      <c r="AR73" s="132" cm="1" t="str">
        <f t="array" ref="AR73:AR73">AR71</f>
        <v>0</v>
      </c>
      <c r="AS73" s="132" cm="1" t="str">
        <f t="array" ref="AS73:AS73">AS71</f>
        <v>0</v>
      </c>
      <c r="AT73" s="132" cm="1" t="str">
        <f t="array" ref="AT73:AT73">AT71</f>
        <v>0</v>
      </c>
      <c r="AU73" s="132" cm="1" t="str">
        <f t="array" ref="AU73:AU73">AU71</f>
        <v>0</v>
      </c>
      <c r="AV73" s="132" cm="1" t="str">
        <f t="array" ref="AV73:AV73">AV71</f>
        <v>0</v>
      </c>
      <c r="AW73" s="132" cm="1" t="str">
        <f t="array" ref="AW73:AW73">AW71</f>
        <v>0</v>
      </c>
      <c r="AX73" s="132" cm="1" t="str">
        <f t="array" ref="AX73:AX73">AX71</f>
        <v>0</v>
      </c>
      <c r="AY73" s="132" cm="1" t="str">
        <f t="array" ref="AY73:AY73">AY71</f>
        <v>0</v>
      </c>
      <c r="AZ73" s="132" cm="1" t="str">
        <f t="array" ref="AZ73:AZ73">AZ71</f>
        <v>0</v>
      </c>
      <c r="BA73" s="132" cm="1" t="str">
        <f t="array" ref="BA73:BA73">BA71</f>
        <v>0</v>
      </c>
      <c r="BB73" s="132" cm="1" t="str">
        <f t="array" ref="BB73:BB73">BB71</f>
        <v>0</v>
      </c>
      <c r="BC73" s="132" cm="1" t="str">
        <f t="array" ref="BC73:BC73">BC71</f>
        <v>0</v>
      </c>
      <c r="BD73" s="749" cm="1" t="str">
        <f t="array" ref="BD73:BD73">BD71</f>
        <v>0</v>
      </c>
      <c r="BE73" s="132" cm="1" t="str">
        <f t="array" ref="BE73:BE73">BE71</f>
        <v>0</v>
      </c>
      <c r="BF73" s="132" cm="1" t="str">
        <f t="array" ref="BF73:BF73">BF71</f>
        <v>0</v>
      </c>
      <c r="BG73" s="132" cm="1" t="str">
        <f t="array" ref="BG73:BG73">BG71</f>
        <v>0</v>
      </c>
      <c r="BH73" s="132" cm="1" t="str">
        <f t="array" ref="BH73:BH73">BH71</f>
        <v>0</v>
      </c>
      <c r="BI73" s="132" cm="1" t="str">
        <f t="array" ref="BI73:BI73">BI71</f>
        <v>0</v>
      </c>
      <c r="BJ73" s="132" cm="1" t="str">
        <f t="array" ref="BJ73:BJ73">BJ71</f>
        <v>0</v>
      </c>
      <c r="BK73" s="132" cm="1" t="str">
        <f t="array" ref="BK73:BK73">BK71</f>
        <v>0</v>
      </c>
      <c r="BL73" s="132" cm="1" t="str">
        <f t="array" ref="BL73:BL73">BL71</f>
        <v>0</v>
      </c>
      <c r="BM73" s="132" cm="1" t="str">
        <f t="array" ref="BM73:BM73">BM71</f>
        <v>0</v>
      </c>
      <c r="BN73" s="132" cm="1" t="str">
        <f t="array" ref="BN73:BN73">BN71</f>
        <v>0</v>
      </c>
      <c r="BO73" s="132" cm="1" t="str">
        <f t="array" ref="BO73:BO73">BO71</f>
        <v>0</v>
      </c>
      <c r="BP73" s="132" cm="1" t="str">
        <f t="array" ref="BP73:BP73">BP71</f>
        <v>0</v>
      </c>
      <c r="BQ73" s="132" cm="1" t="str">
        <f t="array" ref="BQ73:BQ73">BQ71</f>
        <v>0</v>
      </c>
      <c r="BR73" s="132" cm="1" t="str">
        <f t="array" ref="BR73:BR73">BR71</f>
        <v>0</v>
      </c>
      <c r="BS73" s="132" cm="1" t="str">
        <f t="array" ref="BS73:BS73">BS71</f>
        <v>0</v>
      </c>
      <c r="BT73" s="132" cm="1" t="str">
        <f t="array" ref="BT73:BT73">BT71</f>
        <v>0</v>
      </c>
      <c r="BU73" s="132" cm="1" t="str">
        <f t="array" ref="BU73:BU73">BU71</f>
        <v>0</v>
      </c>
      <c r="BV73" s="132" cm="1" t="str">
        <f t="array" ref="BV73:BV73">BV71</f>
        <v>0</v>
      </c>
      <c r="BW73" s="132" cm="1" t="str">
        <f t="array" ref="BW73:BW73">BW71</f>
        <v>0</v>
      </c>
      <c r="BX73" s="804"/>
      <c r="BY73" s="804"/>
      <c r="BZ73" s="804"/>
      <c r="CA73" s="804"/>
      <c r="CB73" s="804"/>
      <c r="CC73" s="804"/>
      <c r="CD73" s="804"/>
      <c r="CE73" s="804"/>
      <c r="CF73" s="804"/>
      <c r="CG73" s="804"/>
      <c r="CH73" s="804"/>
      <c r="CI73" s="804"/>
      <c r="CJ73" s="804"/>
      <c r="CK73" s="804"/>
      <c r="CL73" s="804"/>
      <c r="CM73" s="804"/>
      <c r="CN73" s="804"/>
      <c r="CO73" s="804"/>
      <c r="CP73" s="804"/>
      <c r="CQ73" s="804"/>
      <c r="CR73" s="83"/>
      <c r="CS73" s="83"/>
      <c r="CT73" s="83"/>
      <c r="CW73" s="489" t="s">
        <v>2111</v>
      </c>
      <c r="DD73" s="0" cm="1" t="str">
        <f t="array" ref="DD73:DD73">DD72</f>
        <v>0</v>
      </c>
      <c r="DJ73" s="0" t="s">
        <v>797</v>
      </c>
      <c r="DM73" s="0" t="s">
        <v>449</v>
      </c>
      <c r="DO73" s="0" t="s">
        <v>303</v>
      </c>
      <c r="DP73" s="0" t="s">
        <v>2104</v>
      </c>
      <c r="DQ73" s="0" t="s">
        <v>2105</v>
      </c>
    </row>
    <row customHeight="1" ht="14.625" hidden="1">
      <c r="E74" s="180">
        <v>15</v>
      </c>
      <c r="F74" s="175" cm="1" t="str">
        <f t="array" ref="F74:F74">OFFSET(G74,-1,-1)</f>
        <v>0</v>
      </c>
      <c r="L74" s="193" t="s">
        <v>2067</v>
      </c>
      <c r="T74" s="753" cm="1" t="str">
        <f t="array" ref="T74:T74">T73</f>
        <v>false</v>
      </c>
      <c r="AB74" s="641">
        <v>17</v>
      </c>
      <c r="AC74" s="847" t="s">
        <v>2112</v>
      </c>
      <c r="AD74" s="848"/>
      <c r="AE74" s="714"/>
      <c r="AF74" s="714"/>
      <c r="AG74" s="714"/>
      <c r="AH74" s="714"/>
      <c r="AI74" s="714"/>
      <c r="AJ74" s="714"/>
      <c r="AK74" s="714"/>
      <c r="AL74" s="714"/>
      <c r="AM74" s="714"/>
      <c r="AN74" s="714"/>
      <c r="AO74" s="714"/>
      <c r="AP74" s="714"/>
      <c r="AQ74" s="714"/>
      <c r="AR74" s="714"/>
      <c r="AS74" s="714"/>
      <c r="AT74" s="714"/>
      <c r="AU74" s="714"/>
      <c r="AV74" s="714"/>
      <c r="AW74" s="714"/>
      <c r="AX74" s="714"/>
      <c r="AY74" s="714"/>
      <c r="AZ74" s="714"/>
      <c r="BA74" s="714"/>
      <c r="BB74" s="714"/>
      <c r="BC74" s="714"/>
      <c r="BD74" s="714"/>
      <c r="BE74" s="714"/>
      <c r="BF74" s="714"/>
      <c r="BG74" s="714"/>
      <c r="BH74" s="714"/>
      <c r="BI74" s="714"/>
      <c r="BJ74" s="714"/>
      <c r="BK74" s="714"/>
      <c r="BL74" s="714"/>
      <c r="BM74" s="714"/>
      <c r="BN74" s="714"/>
      <c r="BO74" s="714"/>
      <c r="BP74" s="714"/>
      <c r="BQ74" s="714"/>
      <c r="BR74" s="714"/>
      <c r="BS74" s="714"/>
      <c r="BT74" s="714"/>
      <c r="BU74" s="714"/>
      <c r="BV74" s="714"/>
      <c r="BW74" s="714"/>
      <c r="BX74" s="804"/>
      <c r="BY74" s="804"/>
      <c r="BZ74" s="804"/>
      <c r="CA74" s="804"/>
      <c r="CB74" s="804"/>
      <c r="CC74" s="804"/>
      <c r="CD74" s="804"/>
      <c r="CE74" s="804"/>
      <c r="CF74" s="804"/>
      <c r="CG74" s="804"/>
      <c r="CH74" s="804"/>
      <c r="CI74" s="804"/>
      <c r="CJ74" s="804"/>
      <c r="CK74" s="804"/>
      <c r="CL74" s="804"/>
      <c r="CM74" s="804"/>
      <c r="CN74" s="804"/>
      <c r="CO74" s="804"/>
      <c r="CP74" s="804"/>
      <c r="CQ74" s="804"/>
      <c r="CR74" s="83"/>
      <c r="CS74" s="83"/>
      <c r="CT74" s="83"/>
      <c r="CW74" s="489" t="s">
        <v>2113</v>
      </c>
      <c r="DD74" s="0" cm="1" t="str">
        <f t="array" ref="DD74:DD74">DD73</f>
        <v>0</v>
      </c>
      <c r="DM74" s="0" t="s">
        <v>2114</v>
      </c>
      <c r="DO74" s="0" t="s">
        <v>176</v>
      </c>
    </row>
    <row customHeight="1" ht="14.625" hidden="1">
      <c r="E75" s="180">
        <v>15</v>
      </c>
      <c r="F75" s="175" cm="1" t="str">
        <f t="array" ref="F75:F75">OFFSET(G75,-1,-1)</f>
        <v>0</v>
      </c>
      <c r="G75" s="193" t="s">
        <v>2115</v>
      </c>
      <c r="L75" s="193" t="s">
        <v>2067</v>
      </c>
      <c r="T75" s="753" cm="1" t="str">
        <f t="array" ref="T75:T75">T74</f>
        <v>false</v>
      </c>
      <c r="AB75" s="836" t="str">
        <f>AB74&amp;".1"</f>
        <v>17.1</v>
      </c>
      <c r="AC75" s="537" t="s">
        <v>2116</v>
      </c>
      <c r="AD75" s="333" t="s">
        <v>1005</v>
      </c>
      <c r="AE75" s="132"/>
      <c r="AF75" s="714"/>
      <c r="AG75" s="714"/>
      <c r="AH75" s="714"/>
      <c r="AI75" s="132">
        <f>MIN(AE76,_xlfn.IFERROR(AI62*1000/AI64,0))</f>
        <v>0</v>
      </c>
      <c r="AJ75" s="749">
        <f>MIN(AI76,_xlfn.IFERROR(AJ62*1000/AJ64,0))</f>
        <v>0</v>
      </c>
      <c r="AK75" s="132">
        <f>MIN(AJ76,_xlfn.IFERROR(AK62*1000/AK64,0))</f>
        <v>0</v>
      </c>
      <c r="AL75" s="132">
        <f>MIN(AK76,_xlfn.IFERROR(AL62*1000/AL64,0))</f>
        <v>0</v>
      </c>
      <c r="AM75" s="132">
        <f>MIN(AL76,_xlfn.IFERROR(AM62*1000/AM64,0))</f>
        <v>0</v>
      </c>
      <c r="AN75" s="132">
        <f>MIN(AM76,_xlfn.IFERROR(AN62*1000/AN64,0))</f>
        <v>0</v>
      </c>
      <c r="AO75" s="132">
        <f>MIN(AN76,_xlfn.IFERROR(AO62*1000/AO64,0))</f>
        <v>0</v>
      </c>
      <c r="AP75" s="132">
        <f>MIN(AO76,_xlfn.IFERROR(AP62*1000/AP64,0))</f>
        <v>0</v>
      </c>
      <c r="AQ75" s="132">
        <f>MIN(AP76,_xlfn.IFERROR(AQ62*1000/AQ64,0))</f>
        <v>0</v>
      </c>
      <c r="AR75" s="132">
        <f>MIN(AQ76,_xlfn.IFERROR(AR62*1000/AR64,0))</f>
        <v>0</v>
      </c>
      <c r="AS75" s="132">
        <f>MIN(AR76,_xlfn.IFERROR(AS62*1000/AS64,0))</f>
        <v>0</v>
      </c>
      <c r="AT75" s="132">
        <f>MIN(AS76,_xlfn.IFERROR(AT62*1000/AT64,0))</f>
        <v>0</v>
      </c>
      <c r="AU75" s="132">
        <f>MIN(AT76,_xlfn.IFERROR(AU62*1000/AU64,0))</f>
        <v>0</v>
      </c>
      <c r="AV75" s="132">
        <f>MIN(AU76,_xlfn.IFERROR(AV62*1000/AV64,0))</f>
        <v>0</v>
      </c>
      <c r="AW75" s="132">
        <f>MIN(AV76,_xlfn.IFERROR(AW62*1000/AW64,0))</f>
        <v>0</v>
      </c>
      <c r="AX75" s="132">
        <f>MIN(AW76,_xlfn.IFERROR(AX62*1000/AX64,0))</f>
        <v>0</v>
      </c>
      <c r="AY75" s="132">
        <f>MIN(AX76,_xlfn.IFERROR(AY62*1000/AY64,0))</f>
        <v>0</v>
      </c>
      <c r="AZ75" s="132">
        <f>MIN(AY76,_xlfn.IFERROR(AZ62*1000/AZ64,0))</f>
        <v>0</v>
      </c>
      <c r="BA75" s="132">
        <f>MIN(AZ76,_xlfn.IFERROR(BA62*1000/BA64,0))</f>
        <v>0</v>
      </c>
      <c r="BB75" s="132">
        <f>MIN(BA76,_xlfn.IFERROR(BB62*1000/BB64,0))</f>
        <v>0</v>
      </c>
      <c r="BC75" s="132">
        <f>MIN(BB76,_xlfn.IFERROR(BC62*1000/BC64,0))</f>
        <v>0</v>
      </c>
      <c r="BD75" s="749">
        <f>MIN(AI76,_xlfn.IFERROR(BD62*1000/BD64,0))</f>
        <v>0</v>
      </c>
      <c r="BE75" s="132">
        <f>MIN(BD76,_xlfn.IFERROR(BE62*1000/BE64,0))</f>
        <v>0</v>
      </c>
      <c r="BF75" s="132">
        <f>MIN(BE76,_xlfn.IFERROR(BF62*1000/BF64,0))</f>
        <v>0</v>
      </c>
      <c r="BG75" s="132">
        <f>MIN(BF76,_xlfn.IFERROR(BG62*1000/BG64,0))</f>
        <v>0</v>
      </c>
      <c r="BH75" s="132">
        <f>MIN(BG76,_xlfn.IFERROR(BH62*1000/BH64,0))</f>
        <v>0</v>
      </c>
      <c r="BI75" s="132">
        <f>MIN(BH76,_xlfn.IFERROR(BI62*1000/BI64,0))</f>
        <v>0</v>
      </c>
      <c r="BJ75" s="132">
        <f>MIN(BI76,_xlfn.IFERROR(BJ62*1000/BJ64,0))</f>
        <v>0</v>
      </c>
      <c r="BK75" s="132">
        <f>MIN(BJ76,_xlfn.IFERROR(BK62*1000/BK64,0))</f>
        <v>0</v>
      </c>
      <c r="BL75" s="132">
        <f>MIN(BK76,_xlfn.IFERROR(BL62*1000/BL64,0))</f>
        <v>0</v>
      </c>
      <c r="BM75" s="132">
        <f>MIN(BL76,_xlfn.IFERROR(BM62*1000/BM64,0))</f>
        <v>0</v>
      </c>
      <c r="BN75" s="132">
        <f>MIN(BM76,_xlfn.IFERROR(BN62*1000/BN64,0))</f>
        <v>0</v>
      </c>
      <c r="BO75" s="132">
        <f>MIN(BN76,_xlfn.IFERROR(BO62*1000/BO64,0))</f>
        <v>0</v>
      </c>
      <c r="BP75" s="132">
        <f>MIN(BO76,_xlfn.IFERROR(BP62*1000/BP64,0))</f>
        <v>0</v>
      </c>
      <c r="BQ75" s="132">
        <f>MIN(BP76,_xlfn.IFERROR(BQ62*1000/BQ64,0))</f>
        <v>0</v>
      </c>
      <c r="BR75" s="132">
        <f>MIN(BQ76,_xlfn.IFERROR(BR62*1000/BR64,0))</f>
        <v>0</v>
      </c>
      <c r="BS75" s="132">
        <f>MIN(BR76,_xlfn.IFERROR(BS62*1000/BS64,0))</f>
        <v>0</v>
      </c>
      <c r="BT75" s="132">
        <f>MIN(BS76,_xlfn.IFERROR(BT62*1000/BT64,0))</f>
        <v>0</v>
      </c>
      <c r="BU75" s="132">
        <f>MIN(BT76,_xlfn.IFERROR(BU62*1000/BU64,0))</f>
        <v>0</v>
      </c>
      <c r="BV75" s="132">
        <f>MIN(BU76,_xlfn.IFERROR(BV62*1000/BV64,0))</f>
        <v>0</v>
      </c>
      <c r="BW75" s="132">
        <f>MIN(BV76,_xlfn.IFERROR(BW62*1000/BW64,0))</f>
        <v>0</v>
      </c>
      <c r="BX75" s="804"/>
      <c r="BY75" s="804"/>
      <c r="BZ75" s="804"/>
      <c r="CA75" s="804"/>
      <c r="CB75" s="804"/>
      <c r="CC75" s="804"/>
      <c r="CD75" s="804"/>
      <c r="CE75" s="804"/>
      <c r="CF75" s="804"/>
      <c r="CG75" s="804"/>
      <c r="CH75" s="804"/>
      <c r="CI75" s="804"/>
      <c r="CJ75" s="804"/>
      <c r="CK75" s="804"/>
      <c r="CL75" s="804"/>
      <c r="CM75" s="804"/>
      <c r="CN75" s="804"/>
      <c r="CO75" s="804"/>
      <c r="CP75" s="804"/>
      <c r="CQ75" s="804"/>
      <c r="CR75" s="83"/>
      <c r="CS75" s="83"/>
      <c r="CT75" s="83"/>
      <c r="CW75" s="489" t="s">
        <v>2117</v>
      </c>
      <c r="DD75" s="0" cm="1" t="str">
        <f t="array" ref="DD75:DD75">DD74</f>
        <v>0</v>
      </c>
      <c r="DJ75" s="0" t="s">
        <v>796</v>
      </c>
      <c r="DL75" s="0" t="s">
        <v>2084</v>
      </c>
      <c r="DM75" s="0" t="s">
        <v>883</v>
      </c>
      <c r="DO75" s="0" t="s">
        <v>303</v>
      </c>
      <c r="DP75" s="0" t="s">
        <v>2118</v>
      </c>
      <c r="DQ75" s="0" t="s">
        <v>2119</v>
      </c>
    </row>
    <row customHeight="1" ht="14.625" hidden="1">
      <c r="E76" s="180">
        <v>15</v>
      </c>
      <c r="F76" s="175" cm="1" t="str">
        <f t="array" ref="F76:F76">OFFSET(G76,-1,-1)</f>
        <v>0</v>
      </c>
      <c r="G76" s="193" t="s">
        <v>2120</v>
      </c>
      <c r="L76" s="193" t="s">
        <v>2067</v>
      </c>
      <c r="T76" s="753" cm="1" t="str">
        <f t="array" ref="T76:T76">T75</f>
        <v>false</v>
      </c>
      <c r="AB76" s="836" t="str">
        <f>AB74&amp;".2"</f>
        <v>17.2</v>
      </c>
      <c r="AC76" s="537" t="s">
        <v>2121</v>
      </c>
      <c r="AD76" s="333" t="s">
        <v>1005</v>
      </c>
      <c r="AE76" s="746">
        <f>_xlfn.IFERROR((AE62*1000-AE65*AE75)/AE67,0)</f>
        <v>0</v>
      </c>
      <c r="AF76" s="714"/>
      <c r="AG76" s="714"/>
      <c r="AH76" s="714"/>
      <c r="AI76" s="746">
        <f>_xlfn.IFERROR((AI62*1000-AI65*AI75)/AI67,0)</f>
        <v>0</v>
      </c>
      <c r="AJ76" s="746">
        <f>_xlfn.IFERROR((AJ62*1000-AJ65*AJ75)/AJ67,0)</f>
        <v>0</v>
      </c>
      <c r="AK76" s="746">
        <f>_xlfn.IFERROR((AK62*1000-AK65*AK75)/AK67,0)</f>
        <v>0</v>
      </c>
      <c r="AL76" s="746">
        <f>_xlfn.IFERROR((AL62*1000-AL65*AL75)/AL67,0)</f>
        <v>0</v>
      </c>
      <c r="AM76" s="746">
        <f>_xlfn.IFERROR((AM62*1000-AM65*AM75)/AM67,0)</f>
        <v>0</v>
      </c>
      <c r="AN76" s="746">
        <f>_xlfn.IFERROR((AN62*1000-AN65*AN75)/AN67,0)</f>
        <v>0</v>
      </c>
      <c r="AO76" s="746">
        <f>_xlfn.IFERROR((AO62*1000-AO65*AO75)/AO67,0)</f>
        <v>0</v>
      </c>
      <c r="AP76" s="746">
        <f>_xlfn.IFERROR((AP62*1000-AP65*AP75)/AP67,0)</f>
        <v>0</v>
      </c>
      <c r="AQ76" s="746">
        <f>_xlfn.IFERROR((AQ62*1000-AQ65*AQ75)/AQ67,0)</f>
        <v>0</v>
      </c>
      <c r="AR76" s="746">
        <f>_xlfn.IFERROR((AR62*1000-AR65*AR75)/AR67,0)</f>
        <v>0</v>
      </c>
      <c r="AS76" s="746">
        <f>_xlfn.IFERROR((AS62*1000-AS65*AS75)/AS67,0)</f>
        <v>0</v>
      </c>
      <c r="AT76" s="746">
        <f>_xlfn.IFERROR((AT62*1000-AT65*AT75)/AT67,0)</f>
        <v>0</v>
      </c>
      <c r="AU76" s="746">
        <f>_xlfn.IFERROR((AU62*1000-AU65*AU75)/AU67,0)</f>
        <v>0</v>
      </c>
      <c r="AV76" s="746">
        <f>_xlfn.IFERROR((AV62*1000-AV65*AV75)/AV67,0)</f>
        <v>0</v>
      </c>
      <c r="AW76" s="746">
        <f>_xlfn.IFERROR((AW62*1000-AW65*AW75)/AW67,0)</f>
        <v>0</v>
      </c>
      <c r="AX76" s="746">
        <f>_xlfn.IFERROR((AX62*1000-AX65*AX75)/AX67,0)</f>
        <v>0</v>
      </c>
      <c r="AY76" s="746">
        <f>_xlfn.IFERROR((AY62*1000-AY65*AY75)/AY67,0)</f>
        <v>0</v>
      </c>
      <c r="AZ76" s="746">
        <f>_xlfn.IFERROR((AZ62*1000-AZ65*AZ75)/AZ67,0)</f>
        <v>0</v>
      </c>
      <c r="BA76" s="746">
        <f>_xlfn.IFERROR((BA62*1000-BA65*BA75)/BA67,0)</f>
        <v>0</v>
      </c>
      <c r="BB76" s="746">
        <f>_xlfn.IFERROR((BB62*1000-BB65*BB75)/BB67,0)</f>
        <v>0</v>
      </c>
      <c r="BC76" s="746">
        <f>_xlfn.IFERROR((BC62*1000-BC65*BC75)/BC67,0)</f>
        <v>0</v>
      </c>
      <c r="BD76" s="746">
        <f>_xlfn.IFERROR((BD62*1000-BD65*BD75)/BD67,0)</f>
        <v>0</v>
      </c>
      <c r="BE76" s="746">
        <f>_xlfn.IFERROR((BE62*1000-BE65*BE75)/BE67,0)</f>
        <v>0</v>
      </c>
      <c r="BF76" s="746">
        <f>_xlfn.IFERROR((BF62*1000-BF65*BF75)/BF67,0)</f>
        <v>0</v>
      </c>
      <c r="BG76" s="746">
        <f>_xlfn.IFERROR((BG62*1000-BG65*BG75)/BG67,0)</f>
        <v>0</v>
      </c>
      <c r="BH76" s="746">
        <f>_xlfn.IFERROR((BH62*1000-BH65*BH75)/BH67,0)</f>
        <v>0</v>
      </c>
      <c r="BI76" s="746">
        <f>_xlfn.IFERROR((BI62*1000-BI65*BI75)/BI67,0)</f>
        <v>0</v>
      </c>
      <c r="BJ76" s="746">
        <f>_xlfn.IFERROR((BJ62*1000-BJ65*BJ75)/BJ67,0)</f>
        <v>0</v>
      </c>
      <c r="BK76" s="746">
        <f>_xlfn.IFERROR((BK62*1000-BK65*BK75)/BK67,0)</f>
        <v>0</v>
      </c>
      <c r="BL76" s="746">
        <f>_xlfn.IFERROR((BL62*1000-BL65*BL75)/BL67,0)</f>
        <v>0</v>
      </c>
      <c r="BM76" s="746">
        <f>_xlfn.IFERROR((BM62*1000-BM65*BM75)/BM67,0)</f>
        <v>0</v>
      </c>
      <c r="BN76" s="746">
        <f>_xlfn.IFERROR((BN62*1000-BN65*BN75)/BN67,0)</f>
        <v>0</v>
      </c>
      <c r="BO76" s="746">
        <f>_xlfn.IFERROR((BO62*1000-BO65*BO75)/BO67,0)</f>
        <v>0</v>
      </c>
      <c r="BP76" s="746">
        <f>_xlfn.IFERROR((BP62*1000-BP65*BP75)/BP67,0)</f>
        <v>0</v>
      </c>
      <c r="BQ76" s="746">
        <f>_xlfn.IFERROR((BQ62*1000-BQ65*BQ75)/BQ67,0)</f>
        <v>0</v>
      </c>
      <c r="BR76" s="746">
        <f>_xlfn.IFERROR((BR62*1000-BR65*BR75)/BR67,0)</f>
        <v>0</v>
      </c>
      <c r="BS76" s="746">
        <f>_xlfn.IFERROR((BS62*1000-BS65*BS75)/BS67,0)</f>
        <v>0</v>
      </c>
      <c r="BT76" s="746">
        <f>_xlfn.IFERROR((BT62*1000-BT65*BT75)/BT67,0)</f>
        <v>0</v>
      </c>
      <c r="BU76" s="746">
        <f>_xlfn.IFERROR((BU62*1000-BU65*BU75)/BU67,0)</f>
        <v>0</v>
      </c>
      <c r="BV76" s="746">
        <f>_xlfn.IFERROR((BV62*1000-BV65*BV75)/BV67,0)</f>
        <v>0</v>
      </c>
      <c r="BW76" s="746">
        <f>_xlfn.IFERROR((BW62*1000-BW65*BW75)/BW67,0)</f>
        <v>0</v>
      </c>
      <c r="BX76" s="804"/>
      <c r="BY76" s="804"/>
      <c r="BZ76" s="804"/>
      <c r="CA76" s="804"/>
      <c r="CB76" s="804"/>
      <c r="CC76" s="804"/>
      <c r="CD76" s="804"/>
      <c r="CE76" s="804"/>
      <c r="CF76" s="804"/>
      <c r="CG76" s="804"/>
      <c r="CH76" s="804"/>
      <c r="CI76" s="804"/>
      <c r="CJ76" s="804"/>
      <c r="CK76" s="804"/>
      <c r="CL76" s="804"/>
      <c r="CM76" s="804"/>
      <c r="CN76" s="804"/>
      <c r="CO76" s="804"/>
      <c r="CP76" s="804"/>
      <c r="CQ76" s="804"/>
      <c r="CR76" s="83"/>
      <c r="CS76" s="83"/>
      <c r="CT76" s="83"/>
      <c r="CW76" s="489" t="s">
        <v>2122</v>
      </c>
      <c r="DD76" s="0" cm="1" t="str">
        <f t="array" ref="DD76:DD76">DD75</f>
        <v>0</v>
      </c>
      <c r="DJ76" s="0" t="s">
        <v>797</v>
      </c>
      <c r="DM76" s="0" t="s">
        <v>883</v>
      </c>
      <c r="DO76" s="0" t="s">
        <v>303</v>
      </c>
      <c r="DP76" s="0" t="s">
        <v>2118</v>
      </c>
      <c r="DQ76" s="0" t="s">
        <v>2119</v>
      </c>
    </row>
    <row customHeight="1" ht="14.625" hidden="1">
      <c r="E77" s="180">
        <v>15</v>
      </c>
      <c r="F77" s="175" cm="1" t="str">
        <f t="array" ref="F77:F77">OFFSET(G77,-1,-1)</f>
        <v>0</v>
      </c>
      <c r="L77" s="193" t="s">
        <v>2067</v>
      </c>
      <c r="T77" s="753" cm="1" t="str">
        <f t="array" ref="T77:T77">T76</f>
        <v>false</v>
      </c>
      <c r="AB77" s="836" t="str">
        <f>AB74&amp;".3"</f>
        <v>17.3</v>
      </c>
      <c r="AC77" s="842" t="s">
        <v>2123</v>
      </c>
      <c r="AD77" s="333" t="s">
        <v>495</v>
      </c>
      <c r="AE77" s="843">
        <f>_xlfn.IFERROR(AE76/AE75,0)</f>
        <v>0</v>
      </c>
      <c r="AF77" s="714"/>
      <c r="AG77" s="714"/>
      <c r="AH77" s="714"/>
      <c r="AI77" s="843">
        <f>_xlfn.IFERROR(AI76/AI75,0)</f>
        <v>0</v>
      </c>
      <c r="AJ77" s="843">
        <f>_xlfn.IFERROR(AJ76/AJ75,0)</f>
        <v>0</v>
      </c>
      <c r="AK77" s="843">
        <f>_xlfn.IFERROR(AK76/AK75,0)</f>
        <v>0</v>
      </c>
      <c r="AL77" s="843">
        <f>_xlfn.IFERROR(AL76/AL75,0)</f>
        <v>0</v>
      </c>
      <c r="AM77" s="843">
        <f>_xlfn.IFERROR(AM76/AM75,0)</f>
        <v>0</v>
      </c>
      <c r="AN77" s="843">
        <f>_xlfn.IFERROR(AN76/AN75,0)</f>
        <v>0</v>
      </c>
      <c r="AO77" s="843">
        <f>_xlfn.IFERROR(AO76/AO75,0)</f>
        <v>0</v>
      </c>
      <c r="AP77" s="843">
        <f>_xlfn.IFERROR(AP76/AP75,0)</f>
        <v>0</v>
      </c>
      <c r="AQ77" s="843">
        <f>_xlfn.IFERROR(AQ76/AQ75,0)</f>
        <v>0</v>
      </c>
      <c r="AR77" s="843">
        <f>_xlfn.IFERROR(AR76/AR75,0)</f>
        <v>0</v>
      </c>
      <c r="AS77" s="843">
        <f>_xlfn.IFERROR(AS76/AS75,0)</f>
        <v>0</v>
      </c>
      <c r="AT77" s="843">
        <f>_xlfn.IFERROR(AT76/AT75,0)</f>
        <v>0</v>
      </c>
      <c r="AU77" s="843">
        <f>_xlfn.IFERROR(AU76/AU75,0)</f>
        <v>0</v>
      </c>
      <c r="AV77" s="843">
        <f>_xlfn.IFERROR(AV76/AV75,0)</f>
        <v>0</v>
      </c>
      <c r="AW77" s="843">
        <f>_xlfn.IFERROR(AW76/AW75,0)</f>
        <v>0</v>
      </c>
      <c r="AX77" s="843">
        <f>_xlfn.IFERROR(AX76/AX75,0)</f>
        <v>0</v>
      </c>
      <c r="AY77" s="843">
        <f>_xlfn.IFERROR(AY76/AY75,0)</f>
        <v>0</v>
      </c>
      <c r="AZ77" s="843">
        <f>_xlfn.IFERROR(AZ76/AZ75,0)</f>
        <v>0</v>
      </c>
      <c r="BA77" s="843">
        <f>_xlfn.IFERROR(BA76/BA75,0)</f>
        <v>0</v>
      </c>
      <c r="BB77" s="843">
        <f>_xlfn.IFERROR(BB76/BB75,0)</f>
        <v>0</v>
      </c>
      <c r="BC77" s="843">
        <f>_xlfn.IFERROR(BC76/BC75,0)</f>
        <v>0</v>
      </c>
      <c r="BD77" s="843">
        <f>_xlfn.IFERROR(BD76/BD75,0)</f>
        <v>0</v>
      </c>
      <c r="BE77" s="843">
        <f>_xlfn.IFERROR(BE76/BE75,0)</f>
        <v>0</v>
      </c>
      <c r="BF77" s="843">
        <f>_xlfn.IFERROR(BF76/BF75,0)</f>
        <v>0</v>
      </c>
      <c r="BG77" s="843">
        <f>_xlfn.IFERROR(BG76/BG75,0)</f>
        <v>0</v>
      </c>
      <c r="BH77" s="843">
        <f>_xlfn.IFERROR(BH76/BH75,0)</f>
        <v>0</v>
      </c>
      <c r="BI77" s="843">
        <f>_xlfn.IFERROR(BI76/BI75,0)</f>
        <v>0</v>
      </c>
      <c r="BJ77" s="843">
        <f>_xlfn.IFERROR(BJ76/BJ75,0)</f>
        <v>0</v>
      </c>
      <c r="BK77" s="843">
        <f>_xlfn.IFERROR(BK76/BK75,0)</f>
        <v>0</v>
      </c>
      <c r="BL77" s="843">
        <f>_xlfn.IFERROR(BL76/BL75,0)</f>
        <v>0</v>
      </c>
      <c r="BM77" s="843">
        <f>_xlfn.IFERROR(BM76/BM75,0)</f>
        <v>0</v>
      </c>
      <c r="BN77" s="843">
        <f>_xlfn.IFERROR(BN76/BN75,0)</f>
        <v>0</v>
      </c>
      <c r="BO77" s="843">
        <f>_xlfn.IFERROR(BO76/BO75,0)</f>
        <v>0</v>
      </c>
      <c r="BP77" s="843">
        <f>_xlfn.IFERROR(BP76/BP75,0)</f>
        <v>0</v>
      </c>
      <c r="BQ77" s="843">
        <f>_xlfn.IFERROR(BQ76/BQ75,0)</f>
        <v>0</v>
      </c>
      <c r="BR77" s="843">
        <f>_xlfn.IFERROR(BR76/BR75,0)</f>
        <v>0</v>
      </c>
      <c r="BS77" s="843">
        <f>_xlfn.IFERROR(BS76/BS75,0)</f>
        <v>0</v>
      </c>
      <c r="BT77" s="843">
        <f>_xlfn.IFERROR(BT76/BT75,0)</f>
        <v>0</v>
      </c>
      <c r="BU77" s="843">
        <f>_xlfn.IFERROR(BU76/BU75,0)</f>
        <v>0</v>
      </c>
      <c r="BV77" s="843">
        <f>_xlfn.IFERROR(BV76/BV75,0)</f>
        <v>0</v>
      </c>
      <c r="BW77" s="843">
        <f>_xlfn.IFERROR(BW76/BW75,0)</f>
        <v>0</v>
      </c>
      <c r="BX77" s="804"/>
      <c r="BY77" s="804"/>
      <c r="BZ77" s="804"/>
      <c r="CA77" s="804"/>
      <c r="CB77" s="804"/>
      <c r="CC77" s="804"/>
      <c r="CD77" s="804"/>
      <c r="CE77" s="804"/>
      <c r="CF77" s="804"/>
      <c r="CG77" s="804"/>
      <c r="CH77" s="804"/>
      <c r="CI77" s="804"/>
      <c r="CJ77" s="804"/>
      <c r="CK77" s="804"/>
      <c r="CL77" s="804"/>
      <c r="CM77" s="804"/>
      <c r="CN77" s="804"/>
      <c r="CO77" s="804"/>
      <c r="CP77" s="804"/>
      <c r="CQ77" s="804"/>
      <c r="CR77" s="83"/>
      <c r="CS77" s="83"/>
      <c r="CT77" s="83"/>
      <c r="CW77" s="489" t="s">
        <v>2124</v>
      </c>
      <c r="DD77" s="0" cm="1" t="str">
        <f t="array" ref="DD77:DD77">DD76</f>
        <v>0</v>
      </c>
      <c r="DK77" s="0" t="s">
        <v>2125</v>
      </c>
      <c r="DO77" s="0" t="s">
        <v>303</v>
      </c>
      <c r="DP77" s="0" t="s">
        <v>931</v>
      </c>
      <c r="DQ77" s="0" t="s">
        <v>932</v>
      </c>
    </row>
    <row customHeight="1" ht="32.175" hidden="1">
      <c r="E78" s="180">
        <v>33</v>
      </c>
      <c r="F78" s="175" cm="1" t="str">
        <f t="array" ref="F78:F78">OFFSET(G78,-1,-1)</f>
        <v>0</v>
      </c>
      <c r="L78" s="193" t="s">
        <v>2067</v>
      </c>
      <c r="T78" s="753" cm="1" t="str">
        <f t="array" ref="T78:T78">T77</f>
        <v>false</v>
      </c>
      <c r="AB78" s="554">
        <v>18</v>
      </c>
      <c r="AC78" s="847" t="s">
        <v>2126</v>
      </c>
      <c r="AD78" s="848"/>
      <c r="AE78" s="714"/>
      <c r="AF78" s="714"/>
      <c r="AG78" s="714"/>
      <c r="AH78" s="714"/>
      <c r="AI78" s="714"/>
      <c r="AJ78" s="714"/>
      <c r="AK78" s="714"/>
      <c r="AL78" s="714"/>
      <c r="AM78" s="714"/>
      <c r="AN78" s="714"/>
      <c r="AO78" s="714"/>
      <c r="AP78" s="714"/>
      <c r="AQ78" s="714"/>
      <c r="AR78" s="714"/>
      <c r="AS78" s="714"/>
      <c r="AT78" s="714"/>
      <c r="AU78" s="714"/>
      <c r="AV78" s="714"/>
      <c r="AW78" s="714"/>
      <c r="AX78" s="714"/>
      <c r="AY78" s="714"/>
      <c r="AZ78" s="714"/>
      <c r="BA78" s="714"/>
      <c r="BB78" s="714"/>
      <c r="BC78" s="714"/>
      <c r="BD78" s="714"/>
      <c r="BE78" s="714"/>
      <c r="BF78" s="714"/>
      <c r="BG78" s="714"/>
      <c r="BH78" s="714"/>
      <c r="BI78" s="714"/>
      <c r="BJ78" s="714"/>
      <c r="BK78" s="714"/>
      <c r="BL78" s="714"/>
      <c r="BM78" s="714"/>
      <c r="BN78" s="714"/>
      <c r="BO78" s="714"/>
      <c r="BP78" s="714"/>
      <c r="BQ78" s="714"/>
      <c r="BR78" s="714"/>
      <c r="BS78" s="714"/>
      <c r="BT78" s="714"/>
      <c r="BU78" s="714"/>
      <c r="BV78" s="714"/>
      <c r="BW78" s="714"/>
      <c r="BX78" s="804"/>
      <c r="BY78" s="804"/>
      <c r="BZ78" s="804"/>
      <c r="CA78" s="804"/>
      <c r="CB78" s="804"/>
      <c r="CC78" s="804"/>
      <c r="CD78" s="804"/>
      <c r="CE78" s="804"/>
      <c r="CF78" s="804"/>
      <c r="CG78" s="804"/>
      <c r="CH78" s="804"/>
      <c r="CI78" s="804"/>
      <c r="CJ78" s="804"/>
      <c r="CK78" s="804"/>
      <c r="CL78" s="804"/>
      <c r="CM78" s="804"/>
      <c r="CN78" s="804"/>
      <c r="CO78" s="804"/>
      <c r="CP78" s="804"/>
      <c r="CQ78" s="804"/>
      <c r="CR78" s="83"/>
      <c r="CS78" s="83"/>
      <c r="CT78" s="83"/>
      <c r="CW78" s="489" t="s">
        <v>2127</v>
      </c>
      <c r="DD78" s="0" cm="1" t="str">
        <f t="array" ref="DD78:DD78">DD77</f>
        <v>0</v>
      </c>
      <c r="DM78" s="0" t="s">
        <v>2128</v>
      </c>
      <c r="DO78" s="0" t="s">
        <v>176</v>
      </c>
    </row>
    <row customHeight="1" ht="32.175" hidden="1">
      <c r="E79" s="180">
        <v>33</v>
      </c>
      <c r="F79" s="175" cm="1" t="str">
        <f t="array" ref="F79:F79">OFFSET(G79,-1,-1)</f>
        <v>0</v>
      </c>
      <c r="G79" s="193" t="s">
        <v>2129</v>
      </c>
      <c r="L79" s="193" t="s">
        <v>2067</v>
      </c>
      <c r="T79" s="753" cm="1" t="str">
        <f t="array" ref="T79:T79">T78</f>
        <v>false</v>
      </c>
      <c r="AB79" s="836" t="str">
        <f>AB78&amp;".1"</f>
        <v>18.1</v>
      </c>
      <c r="AC79" s="368" t="s">
        <v>2130</v>
      </c>
      <c r="AD79" s="333" t="s">
        <v>2131</v>
      </c>
      <c r="AE79" s="100"/>
      <c r="AF79" s="804"/>
      <c r="AG79" s="804"/>
      <c r="AH79" s="804"/>
      <c r="AI79" s="132">
        <f>MIN(AE80,_xlfn.IFERROR(AI63/AI71/12,0))</f>
        <v>0</v>
      </c>
      <c r="AJ79" s="749">
        <f>MIN(AI80,_xlfn.IFERROR(AJ63/AJ71/12,0))</f>
        <v>0</v>
      </c>
      <c r="AK79" s="132">
        <f>MIN(AJ80,_xlfn.IFERROR(AK63/AK71/12,0))</f>
        <v>0</v>
      </c>
      <c r="AL79" s="132">
        <f>MIN(AK80,_xlfn.IFERROR(AL63/AL71/12,0))</f>
        <v>0</v>
      </c>
      <c r="AM79" s="132">
        <f>MIN(AL80,_xlfn.IFERROR(AM63/AM71/12,0))</f>
        <v>0</v>
      </c>
      <c r="AN79" s="132">
        <f>MIN(AM80,_xlfn.IFERROR(AN63/AN71/12,0))</f>
        <v>0</v>
      </c>
      <c r="AO79" s="132">
        <f>MIN(AN80,_xlfn.IFERROR(AO63/AO71/12,0))</f>
        <v>0</v>
      </c>
      <c r="AP79" s="132">
        <f>MIN(AO80,_xlfn.IFERROR(AP63/AP71/12,0))</f>
        <v>0</v>
      </c>
      <c r="AQ79" s="132">
        <f>MIN(AP80,_xlfn.IFERROR(AQ63/AQ71/12,0))</f>
        <v>0</v>
      </c>
      <c r="AR79" s="132">
        <f>MIN(AQ80,_xlfn.IFERROR(AR63/AR71/12,0))</f>
        <v>0</v>
      </c>
      <c r="AS79" s="132">
        <f>MIN(AR80,_xlfn.IFERROR(AS63/AS71/12,0))</f>
        <v>0</v>
      </c>
      <c r="AT79" s="132">
        <f>MIN(AS80,_xlfn.IFERROR(AT63/AT71/12,0))</f>
        <v>0</v>
      </c>
      <c r="AU79" s="132">
        <f>MIN(AT80,_xlfn.IFERROR(AU63/AU71/12,0))</f>
        <v>0</v>
      </c>
      <c r="AV79" s="132">
        <f>MIN(AU80,_xlfn.IFERROR(AV63/AV71/12,0))</f>
        <v>0</v>
      </c>
      <c r="AW79" s="132">
        <f>MIN(AV80,_xlfn.IFERROR(AW63/AW71/12,0))</f>
        <v>0</v>
      </c>
      <c r="AX79" s="132">
        <f>MIN(AW80,_xlfn.IFERROR(AX63/AX71/12,0))</f>
        <v>0</v>
      </c>
      <c r="AY79" s="132">
        <f>MIN(AX80,_xlfn.IFERROR(AY63/AY71/12,0))</f>
        <v>0</v>
      </c>
      <c r="AZ79" s="132">
        <f>MIN(AY80,_xlfn.IFERROR(AZ63/AZ71/12,0))</f>
        <v>0</v>
      </c>
      <c r="BA79" s="132">
        <f>MIN(AZ80,_xlfn.IFERROR(BA63/BA71/12,0))</f>
        <v>0</v>
      </c>
      <c r="BB79" s="132">
        <f>MIN(BA80,_xlfn.IFERROR(BB63/BB71/12,0))</f>
        <v>0</v>
      </c>
      <c r="BC79" s="132">
        <f>MIN(BB80,_xlfn.IFERROR(BC63/BC71/12,0))</f>
        <v>0</v>
      </c>
      <c r="BD79" s="749">
        <f>MIN(AI80,_xlfn.IFERROR(BD63/BD71/12,0))</f>
        <v>0</v>
      </c>
      <c r="BE79" s="132">
        <f>MIN(BD80,_xlfn.IFERROR(BE63/BE71/12,0))</f>
        <v>0</v>
      </c>
      <c r="BF79" s="132">
        <f>MIN(BE80,_xlfn.IFERROR(BF63/BF71/12,0))</f>
        <v>0</v>
      </c>
      <c r="BG79" s="132">
        <f>MIN(BF80,_xlfn.IFERROR(BG63/BG71/12,0))</f>
        <v>0</v>
      </c>
      <c r="BH79" s="132">
        <f>MIN(BG80,_xlfn.IFERROR(BH63/BH71/12,0))</f>
        <v>0</v>
      </c>
      <c r="BI79" s="132">
        <f>MIN(BH80,_xlfn.IFERROR(BI63/BI71/12,0))</f>
        <v>0</v>
      </c>
      <c r="BJ79" s="132">
        <f>MIN(BI80,_xlfn.IFERROR(BJ63/BJ71/12,0))</f>
        <v>0</v>
      </c>
      <c r="BK79" s="132">
        <f>MIN(BJ80,_xlfn.IFERROR(BK63/BK71/12,0))</f>
        <v>0</v>
      </c>
      <c r="BL79" s="132">
        <f>MIN(BK80,_xlfn.IFERROR(BL63/BL71/12,0))</f>
        <v>0</v>
      </c>
      <c r="BM79" s="132">
        <f>MIN(BL80,_xlfn.IFERROR(BM63/BM71/12,0))</f>
        <v>0</v>
      </c>
      <c r="BN79" s="132">
        <f>MIN(BM80,_xlfn.IFERROR(BN63/BN71/12,0))</f>
        <v>0</v>
      </c>
      <c r="BO79" s="132">
        <f>MIN(BN80,_xlfn.IFERROR(BO63/BO71/12,0))</f>
        <v>0</v>
      </c>
      <c r="BP79" s="132">
        <f>MIN(BO80,_xlfn.IFERROR(BP63/BP71/12,0))</f>
        <v>0</v>
      </c>
      <c r="BQ79" s="132">
        <f>MIN(BP80,_xlfn.IFERROR(BQ63/BQ71/12,0))</f>
        <v>0</v>
      </c>
      <c r="BR79" s="132">
        <f>MIN(BQ80,_xlfn.IFERROR(BR63/BR71/12,0))</f>
        <v>0</v>
      </c>
      <c r="BS79" s="132">
        <f>MIN(BR80,_xlfn.IFERROR(BS63/BS71/12,0))</f>
        <v>0</v>
      </c>
      <c r="BT79" s="132">
        <f>MIN(BS80,_xlfn.IFERROR(BT63/BT71/12,0))</f>
        <v>0</v>
      </c>
      <c r="BU79" s="132">
        <f>MIN(BT80,_xlfn.IFERROR(BU63/BU71/12,0))</f>
        <v>0</v>
      </c>
      <c r="BV79" s="132">
        <f>MIN(BU80,_xlfn.IFERROR(BV63/BV71/12,0))</f>
        <v>0</v>
      </c>
      <c r="BW79" s="132">
        <f>MIN(BV80,_xlfn.IFERROR(BW63/BW71/12,0))</f>
        <v>0</v>
      </c>
      <c r="BX79" s="804"/>
      <c r="BY79" s="804"/>
      <c r="BZ79" s="804"/>
      <c r="CA79" s="804"/>
      <c r="CB79" s="804"/>
      <c r="CC79" s="804"/>
      <c r="CD79" s="804"/>
      <c r="CE79" s="804"/>
      <c r="CF79" s="804"/>
      <c r="CG79" s="804"/>
      <c r="CH79" s="804"/>
      <c r="CI79" s="804"/>
      <c r="CJ79" s="804"/>
      <c r="CK79" s="804"/>
      <c r="CL79" s="804"/>
      <c r="CM79" s="804"/>
      <c r="CN79" s="804"/>
      <c r="CO79" s="804"/>
      <c r="CP79" s="804"/>
      <c r="CQ79" s="804"/>
      <c r="CR79" s="83"/>
      <c r="CS79" s="83"/>
      <c r="CT79" s="83"/>
      <c r="CW79" s="489" t="s">
        <v>2132</v>
      </c>
      <c r="DD79" s="0" cm="1" t="str">
        <f t="array" ref="DD79:DD79">DD78</f>
        <v>0</v>
      </c>
      <c r="DJ79" s="0" t="s">
        <v>796</v>
      </c>
      <c r="DL79" s="0" t="s">
        <v>2084</v>
      </c>
      <c r="DM79" s="0" t="s">
        <v>886</v>
      </c>
      <c r="DO79" s="0" t="s">
        <v>303</v>
      </c>
      <c r="DP79" s="0" t="s">
        <v>2133</v>
      </c>
      <c r="DQ79" s="0" t="s">
        <v>2134</v>
      </c>
    </row>
    <row customHeight="1" ht="32.175" hidden="1">
      <c r="E80" s="180">
        <v>33</v>
      </c>
      <c r="F80" s="175" cm="1" t="str">
        <f t="array" ref="F80:F80">OFFSET(G80,-1,-1)</f>
        <v>0</v>
      </c>
      <c r="G80" s="193" t="s">
        <v>2135</v>
      </c>
      <c r="L80" s="193" t="s">
        <v>2067</v>
      </c>
      <c r="T80" s="753" cm="1" t="str">
        <f t="array" ref="T80:T80">T79</f>
        <v>false</v>
      </c>
      <c r="AB80" s="836" t="str">
        <f>AB78&amp;".2"</f>
        <v>18.2</v>
      </c>
      <c r="AC80" s="368" t="s">
        <v>2136</v>
      </c>
      <c r="AD80" s="333" t="s">
        <v>2131</v>
      </c>
      <c r="AE80" s="695">
        <f>_xlfn.IFERROR((AE63-AE72*IF(AE9=2026,9,6)*AE79)/AE73/IF(AE9=2026,3,6),0)</f>
        <v>0</v>
      </c>
      <c r="AF80" s="804"/>
      <c r="AG80" s="804"/>
      <c r="AH80" s="804"/>
      <c r="AI80" s="695">
        <f>_xlfn.IFERROR((AI63-AI72*IF(AI9=2026,9,6)*AI79)/AI73/IF(AI9=2026,3,6),0)</f>
        <v>0</v>
      </c>
      <c r="AJ80" s="695">
        <f>_xlfn.IFERROR((AJ63-AJ72*IF(AJ9=2026,9,6)*AJ79)/AJ73/IF(AJ9=2026,3,6),0)</f>
        <v>0</v>
      </c>
      <c r="AK80" s="695">
        <f>_xlfn.IFERROR((AK63-AK72*IF(AK9=2026,9,6)*AK79)/AK73/IF(AK9=2026,3,6),0)</f>
        <v>0</v>
      </c>
      <c r="AL80" s="695">
        <f>_xlfn.IFERROR((AL63-AL72*IF(AL9=2026,9,6)*AL79)/AL73/IF(AL9=2026,3,6),0)</f>
        <v>0</v>
      </c>
      <c r="AM80" s="695">
        <f>_xlfn.IFERROR((AM63-AM72*IF(AM9=2026,9,6)*AM79)/AM73/IF(AM9=2026,3,6),0)</f>
        <v>0</v>
      </c>
      <c r="AN80" s="695">
        <f>_xlfn.IFERROR((AN63-AN72*IF(AN9=2026,9,6)*AN79)/AN73/IF(AN9=2026,3,6),0)</f>
        <v>0</v>
      </c>
      <c r="AO80" s="695">
        <f>_xlfn.IFERROR((AO63-AO72*IF(AO9=2026,9,6)*AO79)/AO73/IF(AO9=2026,3,6),0)</f>
        <v>0</v>
      </c>
      <c r="AP80" s="695">
        <f>_xlfn.IFERROR((AP63-AP72*IF(AP9=2026,9,6)*AP79)/AP73/IF(AP9=2026,3,6),0)</f>
        <v>0</v>
      </c>
      <c r="AQ80" s="695">
        <f>_xlfn.IFERROR((AQ63-AQ72*IF(AQ9=2026,9,6)*AQ79)/AQ73/IF(AQ9=2026,3,6),0)</f>
        <v>0</v>
      </c>
      <c r="AR80" s="695">
        <f>_xlfn.IFERROR((AR63-AR72*IF(AR9=2026,9,6)*AR79)/AR73/IF(AR9=2026,3,6),0)</f>
        <v>0</v>
      </c>
      <c r="AS80" s="695">
        <f>_xlfn.IFERROR((AS63-AS72*IF(AS9=2026,9,6)*AS79)/AS73/IF(AS9=2026,3,6),0)</f>
        <v>0</v>
      </c>
      <c r="AT80" s="695">
        <f>_xlfn.IFERROR((AT63-AT72*IF(AT9=2026,9,6)*AT79)/AT73/IF(AT9=2026,3,6),0)</f>
        <v>0</v>
      </c>
      <c r="AU80" s="695">
        <f>_xlfn.IFERROR((AU63-AU72*IF(AU9=2026,9,6)*AU79)/AU73/IF(AU9=2026,3,6),0)</f>
        <v>0</v>
      </c>
      <c r="AV80" s="695">
        <f>_xlfn.IFERROR((AV63-AV72*IF(AV9=2026,9,6)*AV79)/AV73/IF(AV9=2026,3,6),0)</f>
        <v>0</v>
      </c>
      <c r="AW80" s="695">
        <f>_xlfn.IFERROR((AW63-AW72*IF(AW9=2026,9,6)*AW79)/AW73/IF(AW9=2026,3,6),0)</f>
        <v>0</v>
      </c>
      <c r="AX80" s="695">
        <f>_xlfn.IFERROR((AX63-AX72*IF(AX9=2026,9,6)*AX79)/AX73/IF(AX9=2026,3,6),0)</f>
        <v>0</v>
      </c>
      <c r="AY80" s="695">
        <f>_xlfn.IFERROR((AY63-AY72*IF(AY9=2026,9,6)*AY79)/AY73/IF(AY9=2026,3,6),0)</f>
        <v>0</v>
      </c>
      <c r="AZ80" s="695">
        <f>_xlfn.IFERROR((AZ63-AZ72*IF(AZ9=2026,9,6)*AZ79)/AZ73/IF(AZ9=2026,3,6),0)</f>
        <v>0</v>
      </c>
      <c r="BA80" s="695">
        <f>_xlfn.IFERROR((BA63-BA72*IF(BA9=2026,9,6)*BA79)/BA73/IF(BA9=2026,3,6),0)</f>
        <v>0</v>
      </c>
      <c r="BB80" s="695">
        <f>_xlfn.IFERROR((BB63-BB72*IF(BB9=2026,9,6)*BB79)/BB73/IF(BB9=2026,3,6),0)</f>
        <v>0</v>
      </c>
      <c r="BC80" s="695">
        <f>_xlfn.IFERROR((BC63-BC72*IF(BC9=2026,9,6)*BC79)/BC73/IF(BC9=2026,3,6),0)</f>
        <v>0</v>
      </c>
      <c r="BD80" s="695">
        <f>_xlfn.IFERROR((BD63-BD72*IF(BD9=2026,9,6)*BD79)/BD73/IF(BD9=2026,3,6),0)</f>
        <v>0</v>
      </c>
      <c r="BE80" s="695">
        <f>_xlfn.IFERROR((BE63-BE72*IF(BE9=2026,9,6)*BE79)/BE73/IF(BE9=2026,3,6),0)</f>
        <v>0</v>
      </c>
      <c r="BF80" s="695">
        <f>_xlfn.IFERROR((BF63-BF72*IF(BF9=2026,9,6)*BF79)/BF73/IF(BF9=2026,3,6),0)</f>
        <v>0</v>
      </c>
      <c r="BG80" s="695">
        <f>_xlfn.IFERROR((BG63-BG72*IF(BG9=2026,9,6)*BG79)/BG73/IF(BG9=2026,3,6),0)</f>
        <v>0</v>
      </c>
      <c r="BH80" s="695">
        <f>_xlfn.IFERROR((BH63-BH72*IF(BH9=2026,9,6)*BH79)/BH73/IF(BH9=2026,3,6),0)</f>
        <v>0</v>
      </c>
      <c r="BI80" s="695">
        <f>_xlfn.IFERROR((BI63-BI72*IF(BI9=2026,9,6)*BI79)/BI73/IF(BI9=2026,3,6),0)</f>
        <v>0</v>
      </c>
      <c r="BJ80" s="695">
        <f>_xlfn.IFERROR((BJ63-BJ72*IF(BJ9=2026,9,6)*BJ79)/BJ73/IF(BJ9=2026,3,6),0)</f>
        <v>0</v>
      </c>
      <c r="BK80" s="695">
        <f>_xlfn.IFERROR((BK63-BK72*IF(BK9=2026,9,6)*BK79)/BK73/IF(BK9=2026,3,6),0)</f>
        <v>0</v>
      </c>
      <c r="BL80" s="695">
        <f>_xlfn.IFERROR((BL63-BL72*IF(BL9=2026,9,6)*BL79)/BL73/IF(BL9=2026,3,6),0)</f>
        <v>0</v>
      </c>
      <c r="BM80" s="695">
        <f>_xlfn.IFERROR((BM63-BM72*IF(BM9=2026,9,6)*BM79)/BM73/IF(BM9=2026,3,6),0)</f>
        <v>0</v>
      </c>
      <c r="BN80" s="695">
        <f>_xlfn.IFERROR((BN63-BN72*IF(BN9=2026,9,6)*BN79)/BN73/IF(BN9=2026,3,6),0)</f>
        <v>0</v>
      </c>
      <c r="BO80" s="695">
        <f>_xlfn.IFERROR((BO63-BO72*IF(BO9=2026,9,6)*BO79)/BO73/IF(BO9=2026,3,6),0)</f>
        <v>0</v>
      </c>
      <c r="BP80" s="695">
        <f>_xlfn.IFERROR((BP63-BP72*IF(BP9=2026,9,6)*BP79)/BP73/IF(BP9=2026,3,6),0)</f>
        <v>0</v>
      </c>
      <c r="BQ80" s="695">
        <f>_xlfn.IFERROR((BQ63-BQ72*IF(BQ9=2026,9,6)*BQ79)/BQ73/IF(BQ9=2026,3,6),0)</f>
        <v>0</v>
      </c>
      <c r="BR80" s="695">
        <f>_xlfn.IFERROR((BR63-BR72*IF(BR9=2026,9,6)*BR79)/BR73/IF(BR9=2026,3,6),0)</f>
        <v>0</v>
      </c>
      <c r="BS80" s="695">
        <f>_xlfn.IFERROR((BS63-BS72*IF(BS9=2026,9,6)*BS79)/BS73/IF(BS9=2026,3,6),0)</f>
        <v>0</v>
      </c>
      <c r="BT80" s="695">
        <f>_xlfn.IFERROR((BT63-BT72*IF(BT9=2026,9,6)*BT79)/BT73/IF(BT9=2026,3,6),0)</f>
        <v>0</v>
      </c>
      <c r="BU80" s="695">
        <f>_xlfn.IFERROR((BU63-BU72*IF(BU9=2026,9,6)*BU79)/BU73/IF(BU9=2026,3,6),0)</f>
        <v>0</v>
      </c>
      <c r="BV80" s="695">
        <f>_xlfn.IFERROR((BV63-BV72*IF(BV9=2026,9,6)*BV79)/BV73/IF(BV9=2026,3,6),0)</f>
        <v>0</v>
      </c>
      <c r="BW80" s="695">
        <f>_xlfn.IFERROR((BW63-BW72*IF(BW9=2026,9,6)*BW79)/BW73/IF(BW9=2026,3,6),0)</f>
        <v>0</v>
      </c>
      <c r="BX80" s="804"/>
      <c r="BY80" s="804"/>
      <c r="BZ80" s="804"/>
      <c r="CA80" s="804"/>
      <c r="CB80" s="804"/>
      <c r="CC80" s="804"/>
      <c r="CD80" s="804"/>
      <c r="CE80" s="804"/>
      <c r="CF80" s="804"/>
      <c r="CG80" s="804"/>
      <c r="CH80" s="804"/>
      <c r="CI80" s="804"/>
      <c r="CJ80" s="804"/>
      <c r="CK80" s="804"/>
      <c r="CL80" s="804"/>
      <c r="CM80" s="804"/>
      <c r="CN80" s="804"/>
      <c r="CO80" s="804"/>
      <c r="CP80" s="804"/>
      <c r="CQ80" s="804"/>
      <c r="CR80" s="83"/>
      <c r="CS80" s="83"/>
      <c r="CT80" s="83"/>
      <c r="CW80" s="489" t="s">
        <v>2137</v>
      </c>
      <c r="DD80" s="0" cm="1" t="str">
        <f t="array" ref="DD80:DD80">DD79</f>
        <v>0</v>
      </c>
      <c r="DJ80" s="0" t="s">
        <v>797</v>
      </c>
      <c r="DM80" s="0" t="s">
        <v>886</v>
      </c>
      <c r="DO80" s="0" t="s">
        <v>303</v>
      </c>
      <c r="DP80" s="0" t="s">
        <v>2133</v>
      </c>
      <c r="DQ80" s="0" t="s">
        <v>2134</v>
      </c>
    </row>
    <row customHeight="1" ht="14.625" hidden="1">
      <c r="E81" s="180">
        <v>15</v>
      </c>
      <c r="F81" s="175" cm="1" t="str">
        <f t="array" ref="F81:F81">OFFSET(G81,-1,-1)</f>
        <v>0</v>
      </c>
      <c r="L81" s="193" t="s">
        <v>2067</v>
      </c>
      <c r="T81" s="753" cm="1" t="str">
        <f t="array" ref="T81:T81">T80</f>
        <v>false</v>
      </c>
      <c r="AB81" s="836" t="str">
        <f>AB78&amp;".3"</f>
        <v>18.3</v>
      </c>
      <c r="AC81" s="842" t="s">
        <v>2138</v>
      </c>
      <c r="AD81" s="332" t="s">
        <v>495</v>
      </c>
      <c r="AE81" s="849">
        <f>_xlfn.IFERROR(AE80/AE79,0)</f>
        <v>0</v>
      </c>
      <c r="AF81" s="804"/>
      <c r="AG81" s="804"/>
      <c r="AH81" s="850"/>
      <c r="AI81" s="843">
        <f>_xlfn.IFERROR(AI80/AI79,0)</f>
        <v>0</v>
      </c>
      <c r="AJ81" s="843">
        <f>_xlfn.IFERROR(AJ80/AJ79,0)</f>
        <v>0</v>
      </c>
      <c r="AK81" s="843">
        <f>_xlfn.IFERROR(AK80/AK79,0)</f>
        <v>0</v>
      </c>
      <c r="AL81" s="843">
        <f>_xlfn.IFERROR(AL80/AL79,0)</f>
        <v>0</v>
      </c>
      <c r="AM81" s="843">
        <f>_xlfn.IFERROR(AM80/AM79,0)</f>
        <v>0</v>
      </c>
      <c r="AN81" s="843">
        <f>_xlfn.IFERROR(AN80/AN79,0)</f>
        <v>0</v>
      </c>
      <c r="AO81" s="843">
        <f>_xlfn.IFERROR(AO80/AO79,0)</f>
        <v>0</v>
      </c>
      <c r="AP81" s="843">
        <f>_xlfn.IFERROR(AP80/AP79,0)</f>
        <v>0</v>
      </c>
      <c r="AQ81" s="843">
        <f>_xlfn.IFERROR(AQ80/AQ79,0)</f>
        <v>0</v>
      </c>
      <c r="AR81" s="843">
        <f>_xlfn.IFERROR(AR80/AR79,0)</f>
        <v>0</v>
      </c>
      <c r="AS81" s="843">
        <f>_xlfn.IFERROR(AS80/AS79,0)</f>
        <v>0</v>
      </c>
      <c r="AT81" s="843">
        <f>_xlfn.IFERROR(AT80/AT79,0)</f>
        <v>0</v>
      </c>
      <c r="AU81" s="843">
        <f>_xlfn.IFERROR(AU80/AU79,0)</f>
        <v>0</v>
      </c>
      <c r="AV81" s="843">
        <f>_xlfn.IFERROR(AV80/AV79,0)</f>
        <v>0</v>
      </c>
      <c r="AW81" s="843">
        <f>_xlfn.IFERROR(AW80/AW79,0)</f>
        <v>0</v>
      </c>
      <c r="AX81" s="843">
        <f>_xlfn.IFERROR(AX80/AX79,0)</f>
        <v>0</v>
      </c>
      <c r="AY81" s="843">
        <f>_xlfn.IFERROR(AY80/AY79,0)</f>
        <v>0</v>
      </c>
      <c r="AZ81" s="843">
        <f>_xlfn.IFERROR(AZ80/AZ79,0)</f>
        <v>0</v>
      </c>
      <c r="BA81" s="843">
        <f>_xlfn.IFERROR(BA80/BA79,0)</f>
        <v>0</v>
      </c>
      <c r="BB81" s="843">
        <f>_xlfn.IFERROR(BB80/BB79,0)</f>
        <v>0</v>
      </c>
      <c r="BC81" s="843">
        <f>_xlfn.IFERROR(BC80/BC79,0)</f>
        <v>0</v>
      </c>
      <c r="BD81" s="843">
        <f>_xlfn.IFERROR(BD80/BD79,0)</f>
        <v>0</v>
      </c>
      <c r="BE81" s="843">
        <f>_xlfn.IFERROR(BE80/BE79,0)</f>
        <v>0</v>
      </c>
      <c r="BF81" s="843">
        <f>_xlfn.IFERROR(BF80/BF79,0)</f>
        <v>0</v>
      </c>
      <c r="BG81" s="843">
        <f>_xlfn.IFERROR(BG80/BG79,0)</f>
        <v>0</v>
      </c>
      <c r="BH81" s="843">
        <f>_xlfn.IFERROR(BH80/BH79,0)</f>
        <v>0</v>
      </c>
      <c r="BI81" s="843">
        <f>_xlfn.IFERROR(BI80/BI79,0)</f>
        <v>0</v>
      </c>
      <c r="BJ81" s="843">
        <f>_xlfn.IFERROR(BJ80/BJ79,0)</f>
        <v>0</v>
      </c>
      <c r="BK81" s="843">
        <f>_xlfn.IFERROR(BK80/BK79,0)</f>
        <v>0</v>
      </c>
      <c r="BL81" s="843">
        <f>_xlfn.IFERROR(BL80/BL79,0)</f>
        <v>0</v>
      </c>
      <c r="BM81" s="843">
        <f>_xlfn.IFERROR(BM80/BM79,0)</f>
        <v>0</v>
      </c>
      <c r="BN81" s="843">
        <f>_xlfn.IFERROR(BN80/BN79,0)</f>
        <v>0</v>
      </c>
      <c r="BO81" s="843">
        <f>_xlfn.IFERROR(BO80/BO79,0)</f>
        <v>0</v>
      </c>
      <c r="BP81" s="843">
        <f>_xlfn.IFERROR(BP80/BP79,0)</f>
        <v>0</v>
      </c>
      <c r="BQ81" s="843">
        <f>_xlfn.IFERROR(BQ80/BQ79,0)</f>
        <v>0</v>
      </c>
      <c r="BR81" s="843">
        <f>_xlfn.IFERROR(BR80/BR79,0)</f>
        <v>0</v>
      </c>
      <c r="BS81" s="843">
        <f>_xlfn.IFERROR(BS80/BS79,0)</f>
        <v>0</v>
      </c>
      <c r="BT81" s="843">
        <f>_xlfn.IFERROR(BT80/BT79,0)</f>
        <v>0</v>
      </c>
      <c r="BU81" s="843">
        <f>_xlfn.IFERROR(BU80/BU79,0)</f>
        <v>0</v>
      </c>
      <c r="BV81" s="843">
        <f>_xlfn.IFERROR(BV80/BV79,0)</f>
        <v>0</v>
      </c>
      <c r="BW81" s="843">
        <f>_xlfn.IFERROR(BW80/BW79,0)</f>
        <v>0</v>
      </c>
      <c r="BX81" s="804"/>
      <c r="BY81" s="804"/>
      <c r="BZ81" s="804"/>
      <c r="CA81" s="804"/>
      <c r="CB81" s="804"/>
      <c r="CC81" s="804"/>
      <c r="CD81" s="804"/>
      <c r="CE81" s="804"/>
      <c r="CF81" s="804"/>
      <c r="CG81" s="804"/>
      <c r="CH81" s="804"/>
      <c r="CI81" s="804"/>
      <c r="CJ81" s="804"/>
      <c r="CK81" s="804"/>
      <c r="CL81" s="804"/>
      <c r="CM81" s="804"/>
      <c r="CN81" s="804"/>
      <c r="CO81" s="804"/>
      <c r="CP81" s="804"/>
      <c r="CQ81" s="804"/>
      <c r="CR81" s="83"/>
      <c r="CS81" s="83"/>
      <c r="CT81" s="83"/>
      <c r="CW81" s="489" t="s">
        <v>2139</v>
      </c>
      <c r="DD81" s="0" cm="1" t="str">
        <f t="array" ref="DD81:DD81">DD80</f>
        <v>0</v>
      </c>
      <c r="DK81" s="0" t="s">
        <v>2140</v>
      </c>
      <c r="DO81" s="0" t="s">
        <v>303</v>
      </c>
      <c r="DP81" s="0" t="s">
        <v>931</v>
      </c>
      <c r="DQ81" s="0" t="s">
        <v>932</v>
      </c>
    </row>
    <row customHeight="1" ht="29.25" hidden="1">
      <c r="E82" s="180">
        <v>30</v>
      </c>
      <c r="F82" s="175" cm="1" t="str">
        <f t="array" ref="F82:F82">OFFSET(G82,-1,-1)</f>
        <v>0</v>
      </c>
      <c r="T82" s="753" cm="1" t="str">
        <f t="array" ref="T82:T82">T61</f>
        <v>false</v>
      </c>
      <c r="AB82" s="360">
        <v>19</v>
      </c>
      <c r="AC82" s="851" t="s">
        <v>2141</v>
      </c>
      <c r="AD82" s="352" t="s">
        <v>1178</v>
      </c>
      <c r="AE82" s="100"/>
      <c r="AF82" s="100"/>
      <c r="AG82" s="156"/>
      <c r="AH82" s="695">
        <f>AG82-AF82</f>
        <v>0</v>
      </c>
      <c r="AI82" s="157"/>
      <c r="AJ82" s="853"/>
      <c r="AK82" s="157"/>
      <c r="AL82" s="157"/>
      <c r="AM82" s="157"/>
      <c r="AN82" s="157"/>
      <c r="AO82" s="157"/>
      <c r="AP82" s="157"/>
      <c r="AQ82" s="157"/>
      <c r="AR82" s="157"/>
      <c r="AS82" s="157"/>
      <c r="AT82" s="157"/>
      <c r="AU82" s="157"/>
      <c r="AV82" s="157"/>
      <c r="AW82" s="157"/>
      <c r="AX82" s="157"/>
      <c r="AY82" s="157"/>
      <c r="AZ82" s="157"/>
      <c r="BA82" s="157"/>
      <c r="BB82" s="157"/>
      <c r="BC82" s="157"/>
      <c r="BD82" s="853"/>
      <c r="BE82" s="157"/>
      <c r="BF82" s="157"/>
      <c r="BG82" s="157"/>
      <c r="BH82" s="157"/>
      <c r="BI82" s="157"/>
      <c r="BJ82" s="157"/>
      <c r="BK82" s="157"/>
      <c r="BL82" s="157"/>
      <c r="BM82" s="157"/>
      <c r="BN82" s="157"/>
      <c r="BO82" s="157"/>
      <c r="BP82" s="157"/>
      <c r="BQ82" s="157"/>
      <c r="BR82" s="157"/>
      <c r="BS82" s="157"/>
      <c r="BT82" s="157"/>
      <c r="BU82" s="157"/>
      <c r="BV82" s="157"/>
      <c r="BW82" s="157"/>
      <c r="BX82" s="695">
        <f>IF(AI82=0,0,(BD82-AI82)/AI82*100)</f>
        <v>0</v>
      </c>
      <c r="BY82" s="695">
        <f>IF(BD82=0,0,(BE82-BD82)/BD82*100)</f>
        <v>0</v>
      </c>
      <c r="BZ82" s="695">
        <f>IF(BE82=0,0,(BF82-BE82)/BE82*100)</f>
        <v>0</v>
      </c>
      <c r="CA82" s="695">
        <f>IF(BF82=0,0,(BG82-BF82)/BF82*100)</f>
        <v>0</v>
      </c>
      <c r="CB82" s="695">
        <f>IF(BG82=0,0,(BH82-BG82)/BG82*100)</f>
        <v>0</v>
      </c>
      <c r="CC82" s="695">
        <f>IF(BH82=0,0,(BI82-BH82)/BH82*100)</f>
        <v>0</v>
      </c>
      <c r="CD82" s="695">
        <f>IF(BI82=0,0,(BJ82-BI82)/BI82*100)</f>
        <v>0</v>
      </c>
      <c r="CE82" s="695">
        <f>IF(BJ82=0,0,(BK82-BJ82)/BJ82*100)</f>
        <v>0</v>
      </c>
      <c r="CF82" s="695">
        <f>IF(BK82=0,0,(BL82-BK82)/BK82*100)</f>
        <v>0</v>
      </c>
      <c r="CG82" s="695">
        <f>IF(BL82=0,0,(BM82-BL82)/BL82*100)</f>
        <v>0</v>
      </c>
      <c r="CH82" s="695">
        <f>IF(BM82=0,0,(BN82-BM82)/BM82*100)</f>
        <v>0</v>
      </c>
      <c r="CI82" s="695">
        <f>IF(BN82=0,0,(BO82-BN82)/BN82*100)</f>
        <v>0</v>
      </c>
      <c r="CJ82" s="695">
        <f>IF(BO82=0,0,(BP82-BO82)/BO82*100)</f>
        <v>0</v>
      </c>
      <c r="CK82" s="695">
        <f>IF(BP82=0,0,(BQ82-BP82)/BP82*100)</f>
        <v>0</v>
      </c>
      <c r="CL82" s="695">
        <f>IF(BQ82=0,0,(BR82-BQ82)/BQ82*100)</f>
        <v>0</v>
      </c>
      <c r="CM82" s="695">
        <f>IF(BR82=0,0,(BS82-BR82)/BR82*100)</f>
        <v>0</v>
      </c>
      <c r="CN82" s="695">
        <f>IF(BS82=0,0,(BT82-BS82)/BS82*100)</f>
        <v>0</v>
      </c>
      <c r="CO82" s="695">
        <f>IF(BT82=0,0,(BU82-BT82)/BT82*100)</f>
        <v>0</v>
      </c>
      <c r="CP82" s="695">
        <f>IF(BU82=0,0,(BV82-BU82)/BU82*100)</f>
        <v>0</v>
      </c>
      <c r="CQ82" s="695">
        <f>IF(BV82=0,0,(BW82-BV82)/BV82*100)</f>
        <v>0</v>
      </c>
      <c r="CR82" s="83"/>
      <c r="CS82" s="83"/>
      <c r="CT82" s="83"/>
      <c r="CW82" s="489" t="s">
        <v>2142</v>
      </c>
      <c r="DD82" s="0" cm="1" t="str">
        <f t="array" ref="DD82:DD82">DD81</f>
        <v>0</v>
      </c>
      <c r="DM82" s="0" t="s">
        <v>2143</v>
      </c>
      <c r="DO82" s="0" t="s">
        <v>303</v>
      </c>
      <c r="DP82" s="0" t="s">
        <v>2144</v>
      </c>
      <c r="DQ82" s="0" t="s">
        <v>2145</v>
      </c>
    </row>
    <row s="969" customFormat="1" customHeight="1" ht="16.5">
      <c r="A83" s="969"/>
      <c r="B83" s="969"/>
      <c r="C83" s="969"/>
      <c r="D83" s="969"/>
      <c r="E83" s="180">
        <v>17</v>
      </c>
      <c r="F83" s="175" cm="1" t="str">
        <f t="array" ref="F83:F83">X83</f>
        <v>1</v>
      </c>
      <c r="G83" s="193" cm="1" t="str">
        <f t="array" ref="G83:G83">INDEX('Общие сведения'!$AK$169:$AK$202,MATCH($F83,'Общие сведения'!$Y$169:$Y$202,0))</f>
        <v>одноставочный</v>
      </c>
      <c r="H83" s="969"/>
      <c r="I83" s="193" cm="1" t="str">
        <f t="array" ref="I83:I83">INDEX('Общие сведения'!$AE$169:$AE$202,MATCH($F83,'Общие сведения'!$Y$169:$Y$202,0))</f>
        <v>Теплоснабжение</v>
      </c>
      <c r="J83" s="969"/>
      <c r="K83" s="193" cm="1" t="str">
        <f t="array" ref="K83:K83">INDEX('Общие сведения'!$AL$169:$AL$202,MATCH($F83,'Общие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L83" s="969"/>
      <c r="M83" s="969"/>
      <c r="N83" s="969"/>
      <c r="O83" s="969"/>
      <c r="P83" s="969"/>
      <c r="Q83" s="969"/>
      <c r="R83" s="969"/>
      <c r="S83" s="969"/>
      <c r="T83" s="753">
        <f>X83&gt;0</f>
        <v>1</v>
      </c>
      <c r="U83" s="969"/>
      <c r="V83" s="175" cm="1" t="str">
        <f t="array" ref="V83:V83">'Корр Факт'!$AB$75</f>
        <v>Тариф 1 (Теплоснабжение) - Тариф на тепловую энергию (мощность), поставляемую потребителям (Доп. признак не требуется)</v>
      </c>
      <c r="W83" s="969"/>
      <c r="X83" s="175" t="s">
        <v>308</v>
      </c>
      <c r="Y83" s="969"/>
      <c r="Z83" s="969"/>
      <c r="AA83" s="969"/>
      <c r="AB83" s="688" cm="1" t="str">
        <f t="array" ref="AB83:AB83">IF(ISBLANK('Корр Факт'!$AB$75),"",'Корр Факт'!$AB$75)</f>
        <v>Тариф 1 (Теплоснабжение) - Тариф на тепловую энергию (мощность), поставляемую потребителям (Доп. признак не требуется)</v>
      </c>
      <c r="AC83" s="334"/>
      <c r="AD83" s="334"/>
      <c r="AE83" s="334"/>
      <c r="AF83" s="334"/>
      <c r="AG83" s="334"/>
      <c r="AH83" s="334"/>
      <c r="AI83" s="334"/>
      <c r="AJ83" s="334"/>
      <c r="AK83" s="334"/>
      <c r="AL83" s="334"/>
      <c r="AM83" s="334"/>
      <c r="AN83" s="334"/>
      <c r="AO83" s="334"/>
      <c r="AP83" s="334"/>
      <c r="AQ83" s="334"/>
      <c r="AR83" s="334"/>
      <c r="AS83" s="334"/>
      <c r="AT83" s="334"/>
      <c r="AU83" s="334"/>
      <c r="AV83" s="334"/>
      <c r="AW83" s="334"/>
      <c r="AX83" s="334"/>
      <c r="AY83" s="334"/>
      <c r="AZ83" s="334"/>
      <c r="BA83" s="334"/>
      <c r="BB83" s="334"/>
      <c r="BC83" s="334"/>
      <c r="BD83" s="334"/>
      <c r="BE83" s="334"/>
      <c r="BF83" s="334"/>
      <c r="BG83" s="334"/>
      <c r="BH83" s="334"/>
      <c r="BI83" s="334"/>
      <c r="BJ83" s="334"/>
      <c r="BK83" s="334"/>
      <c r="BL83" s="334"/>
      <c r="BM83" s="334"/>
      <c r="BN83" s="334"/>
      <c r="BO83" s="334"/>
      <c r="BP83" s="334"/>
      <c r="BQ83" s="334"/>
      <c r="BR83" s="334"/>
      <c r="BS83" s="334"/>
      <c r="BT83" s="334"/>
      <c r="BU83" s="334"/>
      <c r="BV83" s="334"/>
      <c r="BW83" s="334"/>
      <c r="BX83" s="334"/>
      <c r="BY83" s="334"/>
      <c r="BZ83" s="334"/>
      <c r="CA83" s="334"/>
      <c r="CB83" s="334"/>
      <c r="CC83" s="334"/>
      <c r="CD83" s="334"/>
      <c r="CE83" s="334"/>
      <c r="CF83" s="334"/>
      <c r="CG83" s="334"/>
      <c r="CH83" s="334"/>
      <c r="CI83" s="334"/>
      <c r="CJ83" s="334"/>
      <c r="CK83" s="334"/>
      <c r="CL83" s="334"/>
      <c r="CM83" s="334"/>
      <c r="CN83" s="334"/>
      <c r="CO83" s="334"/>
      <c r="CP83" s="334"/>
      <c r="CQ83" s="334"/>
      <c r="CR83" s="334"/>
      <c r="CS83" s="334"/>
      <c r="CT83" s="334"/>
      <c r="CU83" s="969"/>
      <c r="CV83" s="969"/>
      <c r="CW83" s="489"/>
      <c r="CX83" s="489"/>
      <c r="CY83" s="489"/>
      <c r="CZ83" s="546"/>
      <c r="DA83" s="546"/>
      <c r="DB83" s="969"/>
      <c r="DC83" s="969"/>
      <c r="DD83" s="969"/>
      <c r="DE83" s="969"/>
      <c r="DF83" s="969"/>
      <c r="DG83" s="969"/>
      <c r="DH83" s="969"/>
      <c r="DI83" s="969"/>
      <c r="DJ83" s="969"/>
      <c r="DK83" s="969"/>
      <c r="DL83" s="969"/>
      <c r="DM83" s="969"/>
      <c r="DN83" s="969"/>
      <c r="DO83" s="969"/>
      <c r="DP83" s="969"/>
      <c r="DQ83" s="969"/>
      <c r="DR83" s="969"/>
    </row>
    <row s="1751" customFormat="1" customHeight="1" ht="16.5">
      <c r="A84" s="371"/>
      <c r="B84" s="1548"/>
      <c r="C84" s="1506"/>
      <c r="D84" s="1506"/>
      <c r="E84" s="180">
        <v>17</v>
      </c>
      <c r="F84" s="175" cm="1" t="str">
        <f t="array" ref="F84:F84">OFFSET(G84,-1,-1)</f>
        <v>1</v>
      </c>
      <c r="G84" s="193" t="s">
        <v>1549</v>
      </c>
      <c r="H84" s="1659"/>
      <c r="I84" s="1659"/>
      <c r="J84" s="1659"/>
      <c r="K84" s="1659"/>
      <c r="L84" s="1659"/>
      <c r="M84" s="1506"/>
      <c r="N84" s="1506"/>
      <c r="O84" s="1506"/>
      <c r="P84" s="1506"/>
      <c r="Q84" s="1506"/>
      <c r="R84" s="1506"/>
      <c r="S84" s="1506"/>
      <c r="T84" s="753" cm="1" t="str">
        <f t="array" ref="T84:T84">T83</f>
        <v>true</v>
      </c>
      <c r="U84" s="1548"/>
      <c r="V84" s="1548"/>
      <c r="W84" s="1548"/>
      <c r="X84" s="1548"/>
      <c r="Y84" s="1548"/>
      <c r="Z84" s="1548"/>
      <c r="AA84" s="286"/>
      <c r="AB84" s="491">
        <v>1</v>
      </c>
      <c r="AC84" s="523" t="s">
        <v>1618</v>
      </c>
      <c r="AD84" s="467" t="s">
        <v>1178</v>
      </c>
      <c r="AE84" s="746">
        <f>_xlfn.SUMIFS('Операционные (5.1)'!AE$26:AE$75,'Операционные (5.1)'!$F$26:$F$75,$F84,'Операционные (5.1)'!$G$26:$G$75,$G84)</f>
        <v>3670</v>
      </c>
      <c r="AF84" s="746">
        <f>_xlfn.SUMIFS('Операционные (5.1)'!AF$26:AF$75,'Операционные (5.1)'!$F$26:$F$75,$F84,'Операционные (5.1)'!$G$26:$G$75,$G84)</f>
        <v>4818</v>
      </c>
      <c r="AG84" s="746">
        <f>_xlfn.SUMIFS('Операционные (5.1)'!AG$26:AG$75,'Операционные (5.1)'!$F$26:$F$75,$F84,'Операционные (5.1)'!$G$26:$G$75,$G84)</f>
        <v>3670</v>
      </c>
      <c r="AH84" s="695">
        <f>AG84-AF84</f>
        <v>-1148</v>
      </c>
      <c r="AI84" s="746">
        <f>_xlfn.SUMIFS('Операционные (5.1)'!AI$26:AI$75,'Операционные (5.1)'!$F$26:$F$75,$F84,'Операционные (5.1)'!$G$26:$G$75,$G84)</f>
        <v>3790</v>
      </c>
      <c r="AJ84" s="807">
        <f>_xlfn.SUMIFS(INDEX('Операционные (5.2)'!$AJ$26:$BW$45,,MATCH(AJ$8,'Операционные (5.2)'!$AJ$8:$BW$8,0)),'Операционные (5.2)'!$F$26:$F$45,$F84,'Операционные (5.2)'!$G$26:$G$45,$G84)</f>
        <v>3939.999</v>
      </c>
      <c r="AK84" s="807">
        <f>_xlfn.SUMIFS(INDEX('Операционные (5.2)'!$AJ$26:$BW$45,,MATCH(AK$8,'Операционные (5.2)'!$AJ$8:$BW$8,0)),'Операционные (5.2)'!$F$26:$F$45,$F84,'Операционные (5.2)'!$G$26:$G$45,$G84)</f>
        <v>3900.59901</v>
      </c>
      <c r="AL84" s="807">
        <f>_xlfn.SUMIFS(INDEX('Операционные (5.2)'!$AJ$26:$BW$45,,MATCH(AL$8,'Операционные (5.2)'!$AJ$8:$BW$8,0)),'Операционные (5.2)'!$F$26:$F$45,$F84,'Операционные (5.2)'!$G$26:$G$45,$G84)</f>
        <v>3861.5930199</v>
      </c>
      <c r="AM84" s="807">
        <f>_xlfn.SUMIFS(INDEX('Операционные (5.2)'!$AJ$26:$BW$45,,MATCH(AM$8,'Операционные (5.2)'!$AJ$8:$BW$8,0)),'Операционные (5.2)'!$F$26:$F$45,$F84,'Операционные (5.2)'!$G$26:$G$45,$G84)</f>
        <v>3822.977089701</v>
      </c>
      <c r="AN84" s="807">
        <f>_xlfn.SUMIFS(INDEX('Операционные (5.2)'!$AJ$26:$BW$45,,MATCH(AN$8,'Операционные (5.2)'!$AJ$8:$BW$8,0)),'Операционные (5.2)'!$F$26:$F$45,$F84,'Операционные (5.2)'!$G$26:$G$45,$G84)</f>
        <v>3784.74731880399</v>
      </c>
      <c r="AO84" s="807">
        <f>_xlfn.SUMIFS(INDEX('Операционные (5.2)'!$AJ$26:$BW$45,,MATCH(AO$8,'Операционные (5.2)'!$AJ$8:$BW$8,0)),'Операционные (5.2)'!$F$26:$F$45,$F84,'Операционные (5.2)'!$G$26:$G$45,$G84)</f>
        <v>3746.89984561595</v>
      </c>
      <c r="AP84" s="807">
        <f>_xlfn.SUMIFS(INDEX('Операционные (5.2)'!$AJ$26:$BW$45,,MATCH(AP$8,'Операционные (5.2)'!$AJ$8:$BW$8,0)),'Операционные (5.2)'!$F$26:$F$45,$F84,'Операционные (5.2)'!$G$26:$G$45,$G84)</f>
        <v>3709.43084715979</v>
      </c>
      <c r="AQ84" s="807">
        <f>_xlfn.SUMIFS(INDEX('Операционные (5.2)'!$AJ$26:$BW$45,,MATCH(AQ$8,'Операционные (5.2)'!$AJ$8:$BW$8,0)),'Операционные (5.2)'!$F$26:$F$45,$F84,'Операционные (5.2)'!$G$26:$G$45,$G84)</f>
        <v>3672.33653868819</v>
      </c>
      <c r="AR84" s="807">
        <f>_xlfn.SUMIFS(INDEX('Операционные (5.2)'!$AJ$26:$BW$45,,MATCH(AR$8,'Операционные (5.2)'!$AJ$8:$BW$8,0)),'Операционные (5.2)'!$F$26:$F$45,$F84,'Операционные (5.2)'!$G$26:$G$45,$G84)</f>
        <v>3635.61317330131</v>
      </c>
      <c r="AS84" s="807">
        <f>_xlfn.SUMIFS(INDEX('Операционные (5.2)'!$AJ$26:$BW$45,,MATCH(AS$8,'Операционные (5.2)'!$AJ$8:$BW$8,0)),'Операционные (5.2)'!$F$26:$F$45,$F84,'Операционные (5.2)'!$G$26:$G$45,$G84)</f>
        <v>3599.2570415683</v>
      </c>
      <c r="AT84" s="807">
        <f>_xlfn.SUMIFS(INDEX('Операционные (5.2)'!$AJ$26:$BW$45,,MATCH(AT$8,'Операционные (5.2)'!$AJ$8:$BW$8,0)),'Операционные (5.2)'!$F$26:$F$45,$F84,'Операционные (5.2)'!$G$26:$G$45,$G84)</f>
        <v>3563.26447115262</v>
      </c>
      <c r="AU84" s="807">
        <f>_xlfn.SUMIFS(INDEX('Операционные (5.2)'!$AJ$26:$BW$45,,MATCH(AU$8,'Операционные (5.2)'!$AJ$8:$BW$8,0)),'Операционные (5.2)'!$F$26:$F$45,$F84,'Операционные (5.2)'!$G$26:$G$45,$G84)</f>
        <v>3527.63182644109</v>
      </c>
      <c r="AV84" s="807">
        <f>_xlfn.SUMIFS(INDEX('Операционные (5.2)'!$AJ$26:$BW$45,,MATCH(AV$8,'Операционные (5.2)'!$AJ$8:$BW$8,0)),'Операционные (5.2)'!$F$26:$F$45,$F84,'Операционные (5.2)'!$G$26:$G$45,$G84)</f>
        <v>3492.35550817668</v>
      </c>
      <c r="AW84" s="807">
        <f>_xlfn.SUMIFS(INDEX('Операционные (5.2)'!$AJ$26:$BW$45,,MATCH(AW$8,'Операционные (5.2)'!$AJ$8:$BW$8,0)),'Операционные (5.2)'!$F$26:$F$45,$F84,'Операционные (5.2)'!$G$26:$G$45,$G84)</f>
        <v>3457.43195309491</v>
      </c>
      <c r="AX84" s="807">
        <f>_xlfn.SUMIFS(INDEX('Операционные (5.2)'!$AJ$26:$BW$45,,MATCH(AX$8,'Операционные (5.2)'!$AJ$8:$BW$8,0)),'Операционные (5.2)'!$F$26:$F$45,$F84,'Операционные (5.2)'!$G$26:$G$45,$G84)</f>
        <v>3422.85763356396</v>
      </c>
      <c r="AY84" s="807">
        <f>_xlfn.SUMIFS(INDEX('Операционные (5.2)'!$AJ$26:$BW$45,,MATCH(AY$8,'Операционные (5.2)'!$AJ$8:$BW$8,0)),'Операционные (5.2)'!$F$26:$F$45,$F84,'Операционные (5.2)'!$G$26:$G$45,$G84)</f>
        <v>3388.62905722832</v>
      </c>
      <c r="AZ84" s="807">
        <f>_xlfn.SUMIFS(INDEX('Операционные (5.2)'!$AJ$26:$BW$45,,MATCH(AZ$8,'Операционные (5.2)'!$AJ$8:$BW$8,0)),'Операционные (5.2)'!$F$26:$F$45,$F84,'Операционные (5.2)'!$G$26:$G$45,$G84)</f>
        <v>3354.74276665604</v>
      </c>
      <c r="BA84" s="807">
        <f>_xlfn.SUMIFS(INDEX('Операционные (5.2)'!$AJ$26:$BW$45,,MATCH(BA$8,'Операционные (5.2)'!$AJ$8:$BW$8,0)),'Операционные (5.2)'!$F$26:$F$45,$F84,'Операционные (5.2)'!$G$26:$G$45,$G84)</f>
        <v>3321.19533898948</v>
      </c>
      <c r="BB84" s="807">
        <f>_xlfn.SUMIFS(INDEX('Операционные (5.2)'!$AJ$26:$BW$45,,MATCH(BB$8,'Операционные (5.2)'!$AJ$8:$BW$8,0)),'Операционные (5.2)'!$F$26:$F$45,$F84,'Операционные (5.2)'!$G$26:$G$45,$G84)</f>
        <v>3287.98338559959</v>
      </c>
      <c r="BC84" s="807">
        <f>_xlfn.SUMIFS(INDEX('Операционные (5.2)'!$AJ$26:$BW$45,,MATCH(BC$8,'Операционные (5.2)'!$AJ$8:$BW$8,0)),'Операционные (5.2)'!$F$26:$F$45,$F84,'Операционные (5.2)'!$G$26:$G$45,$G84)</f>
        <v>3255.10355174359</v>
      </c>
      <c r="BD84" s="807">
        <f>_xlfn.SUMIFS(INDEX('Операционные (5.2)'!$AJ$26:$BW$45,,MATCH(BD$8,'Операционные (5.2)'!$AJ$8:$BW$8,0)),'Операционные (5.2)'!$F$26:$F$45,$F84,'Операционные (5.2)'!$G$26:$G$45,$G84)</f>
        <v>3939.999</v>
      </c>
      <c r="BE84" s="807">
        <f>_xlfn.SUMIFS(INDEX('Операционные (5.2)'!$AJ$26:$BW$45,,MATCH(BE$8,'Операционные (5.2)'!$AJ$8:$BW$8,0)),'Операционные (5.2)'!$F$26:$F$45,$F84,'Операционные (5.2)'!$G$26:$G$45,$G84)</f>
        <v>3900.59901</v>
      </c>
      <c r="BF84" s="807">
        <f>_xlfn.SUMIFS(INDEX('Операционные (5.2)'!$AJ$26:$BW$45,,MATCH(BF$8,'Операционные (5.2)'!$AJ$8:$BW$8,0)),'Операционные (5.2)'!$F$26:$F$45,$F84,'Операционные (5.2)'!$G$26:$G$45,$G84)</f>
        <v>3861.5930199</v>
      </c>
      <c r="BG84" s="807">
        <f>_xlfn.SUMIFS(INDEX('Операционные (5.2)'!$AJ$26:$BW$45,,MATCH(BG$8,'Операционные (5.2)'!$AJ$8:$BW$8,0)),'Операционные (5.2)'!$F$26:$F$45,$F84,'Операционные (5.2)'!$G$26:$G$45,$G84)</f>
        <v>3822.977089701</v>
      </c>
      <c r="BH84" s="807">
        <f>_xlfn.SUMIFS(INDEX('Операционные (5.2)'!$AJ$26:$BW$45,,MATCH(BH$8,'Операционные (5.2)'!$AJ$8:$BW$8,0)),'Операционные (5.2)'!$F$26:$F$45,$F84,'Операционные (5.2)'!$G$26:$G$45,$G84)</f>
        <v>3784.74731880399</v>
      </c>
      <c r="BI84" s="807">
        <f>_xlfn.SUMIFS(INDEX('Операционные (5.2)'!$AJ$26:$BW$45,,MATCH(BI$8,'Операционные (5.2)'!$AJ$8:$BW$8,0)),'Операционные (5.2)'!$F$26:$F$45,$F84,'Операционные (5.2)'!$G$26:$G$45,$G84)</f>
        <v>3746.89984561595</v>
      </c>
      <c r="BJ84" s="807">
        <f>_xlfn.SUMIFS(INDEX('Операционные (5.2)'!$AJ$26:$BW$45,,MATCH(BJ$8,'Операционные (5.2)'!$AJ$8:$BW$8,0)),'Операционные (5.2)'!$F$26:$F$45,$F84,'Операционные (5.2)'!$G$26:$G$45,$G84)</f>
        <v>3709.43084715979</v>
      </c>
      <c r="BK84" s="807">
        <f>_xlfn.SUMIFS(INDEX('Операционные (5.2)'!$AJ$26:$BW$45,,MATCH(BK$8,'Операционные (5.2)'!$AJ$8:$BW$8,0)),'Операционные (5.2)'!$F$26:$F$45,$F84,'Операционные (5.2)'!$G$26:$G$45,$G84)</f>
        <v>3672.33653868819</v>
      </c>
      <c r="BL84" s="807">
        <f>_xlfn.SUMIFS(INDEX('Операционные (5.2)'!$AJ$26:$BW$45,,MATCH(BL$8,'Операционные (5.2)'!$AJ$8:$BW$8,0)),'Операционные (5.2)'!$F$26:$F$45,$F84,'Операционные (5.2)'!$G$26:$G$45,$G84)</f>
        <v>3635.61317330131</v>
      </c>
      <c r="BM84" s="807">
        <f>_xlfn.SUMIFS(INDEX('Операционные (5.2)'!$AJ$26:$BW$45,,MATCH(BM$8,'Операционные (5.2)'!$AJ$8:$BW$8,0)),'Операционные (5.2)'!$F$26:$F$45,$F84,'Операционные (5.2)'!$G$26:$G$45,$G84)</f>
        <v>3599.2570415683</v>
      </c>
      <c r="BN84" s="807">
        <f>_xlfn.SUMIFS(INDEX('Операционные (5.2)'!$AJ$26:$BW$45,,MATCH(BN$8,'Операционные (5.2)'!$AJ$8:$BW$8,0)),'Операционные (5.2)'!$F$26:$F$45,$F84,'Операционные (5.2)'!$G$26:$G$45,$G84)</f>
        <v>3563.26447115262</v>
      </c>
      <c r="BO84" s="807">
        <f>_xlfn.SUMIFS(INDEX('Операционные (5.2)'!$AJ$26:$BW$45,,MATCH(BO$8,'Операционные (5.2)'!$AJ$8:$BW$8,0)),'Операционные (5.2)'!$F$26:$F$45,$F84,'Операционные (5.2)'!$G$26:$G$45,$G84)</f>
        <v>3527.63182644109</v>
      </c>
      <c r="BP84" s="807">
        <f>_xlfn.SUMIFS(INDEX('Операционные (5.2)'!$AJ$26:$BW$45,,MATCH(BP$8,'Операционные (5.2)'!$AJ$8:$BW$8,0)),'Операционные (5.2)'!$F$26:$F$45,$F84,'Операционные (5.2)'!$G$26:$G$45,$G84)</f>
        <v>3492.35550817668</v>
      </c>
      <c r="BQ84" s="807">
        <f>_xlfn.SUMIFS(INDEX('Операционные (5.2)'!$AJ$26:$BW$45,,MATCH(BQ$8,'Операционные (5.2)'!$AJ$8:$BW$8,0)),'Операционные (5.2)'!$F$26:$F$45,$F84,'Операционные (5.2)'!$G$26:$G$45,$G84)</f>
        <v>3457.43195309491</v>
      </c>
      <c r="BR84" s="807">
        <f>_xlfn.SUMIFS(INDEX('Операционные (5.2)'!$AJ$26:$BW$45,,MATCH(BR$8,'Операционные (5.2)'!$AJ$8:$BW$8,0)),'Операционные (5.2)'!$F$26:$F$45,$F84,'Операционные (5.2)'!$G$26:$G$45,$G84)</f>
        <v>3422.85763356396</v>
      </c>
      <c r="BS84" s="807">
        <f>_xlfn.SUMIFS(INDEX('Операционные (5.2)'!$AJ$26:$BW$45,,MATCH(BS$8,'Операционные (5.2)'!$AJ$8:$BW$8,0)),'Операционные (5.2)'!$F$26:$F$45,$F84,'Операционные (5.2)'!$G$26:$G$45,$G84)</f>
        <v>3388.62905722832</v>
      </c>
      <c r="BT84" s="807">
        <f>_xlfn.SUMIFS(INDEX('Операционные (5.2)'!$AJ$26:$BW$45,,MATCH(BT$8,'Операционные (5.2)'!$AJ$8:$BW$8,0)),'Операционные (5.2)'!$F$26:$F$45,$F84,'Операционные (5.2)'!$G$26:$G$45,$G84)</f>
        <v>3354.74276665604</v>
      </c>
      <c r="BU84" s="807">
        <f>_xlfn.SUMIFS(INDEX('Операционные (5.2)'!$AJ$26:$BW$45,,MATCH(BU$8,'Операционные (5.2)'!$AJ$8:$BW$8,0)),'Операционные (5.2)'!$F$26:$F$45,$F84,'Операционные (5.2)'!$G$26:$G$45,$G84)</f>
        <v>3321.19533898948</v>
      </c>
      <c r="BV84" s="807">
        <f>_xlfn.SUMIFS(INDEX('Операционные (5.2)'!$AJ$26:$BW$45,,MATCH(BV$8,'Операционные (5.2)'!$AJ$8:$BW$8,0)),'Операционные (5.2)'!$F$26:$F$45,$F84,'Операционные (5.2)'!$G$26:$G$45,$G84)</f>
        <v>3287.98338559959</v>
      </c>
      <c r="BW84" s="807">
        <f>_xlfn.SUMIFS(INDEX('Операционные (5.2)'!$AJ$26:$BW$45,,MATCH(BW$8,'Операционные (5.2)'!$AJ$8:$BW$8,0)),'Операционные (5.2)'!$F$26:$F$45,$F84,'Операционные (5.2)'!$G$26:$G$45,$G84)</f>
        <v>3255.10355174359</v>
      </c>
      <c r="BX84" s="695">
        <f>IF(AI84=0,0,(BD84-AI84)/AI84*100)</f>
        <v>3.95775725593667</v>
      </c>
      <c r="BY84" s="695">
        <f>IF(BD84=0,0,(BE84-BD84)/BD84*100)</f>
        <v>-1</v>
      </c>
      <c r="BZ84" s="695">
        <f>IF(BE84=0,0,(BF84-BE84)/BE84*100)</f>
        <v>-1</v>
      </c>
      <c r="CA84" s="695">
        <f>IF(BF84=0,0,(BG84-BF84)/BF84*100)</f>
        <v>-1</v>
      </c>
      <c r="CB84" s="695">
        <f>IF(BG84=0,0,(BH84-BG84)/BG84*100)</f>
        <v>-1</v>
      </c>
      <c r="CC84" s="695">
        <f>IF(BH84=0,0,(BI84-BH84)/BH84*100)</f>
        <v>-0.99999999999999</v>
      </c>
      <c r="CD84" s="695">
        <f>IF(BI84=0,0,(BJ84-BI84)/BI84*100)</f>
        <v>-1</v>
      </c>
      <c r="CE84" s="695">
        <f>IF(BJ84=0,0,(BK84-BJ84)/BJ84*100)</f>
        <v>-1.0000000000001</v>
      </c>
      <c r="CF84" s="695">
        <f>IF(BK84=0,0,(BL84-BK84)/BK84*100)</f>
        <v>-0.99999999999996</v>
      </c>
      <c r="CG84" s="695">
        <f>IF(BL84=0,0,(BM84-BL84)/BL84*100)</f>
        <v>-0.99999999999991</v>
      </c>
      <c r="CH84" s="695">
        <f>IF(BM84=0,0,(BN84-BM84)/BM84*100)</f>
        <v>-0.99999999999991</v>
      </c>
      <c r="CI84" s="695">
        <f>IF(BN84=0,0,(BO84-BN84)/BN84*100)</f>
        <v>-1.0000000000001</v>
      </c>
      <c r="CJ84" s="695">
        <f>IF(BO84=0,0,(BP84-BO84)/BO84*100)</f>
        <v>-0.99999999999998</v>
      </c>
      <c r="CK84" s="695">
        <f>IF(BP84=0,0,(BQ84-BP84)/BP84*100)</f>
        <v>-1.0000000000001</v>
      </c>
      <c r="CL84" s="695">
        <f>IF(BQ84=0,0,(BR84-BQ84)/BQ84*100)</f>
        <v>-1</v>
      </c>
      <c r="CM84" s="695">
        <f>IF(BR84=0,0,(BS84-BR84)/BR84*100)</f>
        <v>-1</v>
      </c>
      <c r="CN84" s="695">
        <f>IF(BS84=0,0,(BT84-BS84)/BS84*100)</f>
        <v>-0.9999999999999</v>
      </c>
      <c r="CO84" s="695">
        <f>IF(BT84=0,0,(BU84-BT84)/BT84*100)</f>
        <v>-0.99999999999999</v>
      </c>
      <c r="CP84" s="695">
        <f>IF(BU84=0,0,(BV84-BU84)/BU84*100)</f>
        <v>-0.99999999999987</v>
      </c>
      <c r="CQ84" s="695">
        <f>IF(BV84=0,0,(BW84-BV84)/BV84*100)</f>
        <v>-1.0000000000001</v>
      </c>
      <c r="CR84" s="1897"/>
      <c r="CS84" s="1897"/>
      <c r="CT84" s="1897"/>
      <c r="CU84" s="286"/>
      <c r="CV84" s="1659"/>
      <c r="CW84" s="489" t="s">
        <v>1945</v>
      </c>
      <c r="CX84" s="1125"/>
      <c r="CY84" s="1125"/>
      <c r="CZ84" s="1126"/>
      <c r="DA84" s="1126"/>
      <c r="DB84" s="1506"/>
      <c r="DC84" s="1506"/>
      <c r="DD84" s="0" cm="1" t="str">
        <f t="array" ref="DD84:DD84">INDEX('Общие сведения'!$N$170:$N$202,MATCH($F84,'Общие сведения'!$Y$170:$Y$202,0)+1)</f>
        <v>ТЭ.42.31656254.0001</v>
      </c>
      <c r="DE84" s="1751"/>
      <c r="DF84" s="1751"/>
      <c r="DG84" s="1751"/>
      <c r="DH84" s="1751"/>
      <c r="DI84" s="1751"/>
      <c r="DJ84" s="1751"/>
      <c r="DK84" s="1751"/>
      <c r="DL84" s="1751"/>
      <c r="DM84" s="0" t="s">
        <v>219</v>
      </c>
      <c r="DN84" s="1751"/>
      <c r="DO84" s="0" t="s">
        <v>303</v>
      </c>
      <c r="DP84" s="0" t="s">
        <v>1552</v>
      </c>
      <c r="DQ84" s="0" t="s">
        <v>1553</v>
      </c>
      <c r="DR84" s="1751"/>
    </row>
    <row s="1751" customFormat="1" customHeight="1" ht="16.5">
      <c r="A85" s="371"/>
      <c r="B85" s="1548"/>
      <c r="C85" s="1506"/>
      <c r="D85" s="1506"/>
      <c r="E85" s="180">
        <v>17</v>
      </c>
      <c r="F85" s="175" cm="1" t="str">
        <f t="array" ref="F85:F85">OFFSET(G85,-1,-1)</f>
        <v>1</v>
      </c>
      <c r="G85" s="193" t="s">
        <v>1628</v>
      </c>
      <c r="H85" s="1659"/>
      <c r="I85" s="1659"/>
      <c r="J85" s="1659"/>
      <c r="K85" s="1659"/>
      <c r="L85" s="1659"/>
      <c r="M85" s="1506"/>
      <c r="N85" s="1506"/>
      <c r="O85" s="1506"/>
      <c r="P85" s="1506"/>
      <c r="Q85" s="1506"/>
      <c r="R85" s="1506"/>
      <c r="S85" s="1506"/>
      <c r="T85" s="753" cm="1" t="str">
        <f t="array" ref="T85:T85">T84</f>
        <v>true</v>
      </c>
      <c r="U85" s="1548"/>
      <c r="V85" s="1548"/>
      <c r="W85" s="1548"/>
      <c r="X85" s="1548"/>
      <c r="Y85" s="1548"/>
      <c r="Z85" s="1548"/>
      <c r="AA85" s="286"/>
      <c r="AB85" s="491">
        <v>2</v>
      </c>
      <c r="AC85" s="808" t="s">
        <v>1946</v>
      </c>
      <c r="AD85" s="467" t="s">
        <v>1178</v>
      </c>
      <c r="AE85" s="746">
        <f>_xlfn.SUMIFS('Неподконтрольные (5.3)'!AE$26:AE$71,'Неподконтрольные (5.3)'!$F$26:$F$71,$F85,'Неподконтрольные (5.3)'!$G$26:$G$71,$G85)</f>
        <v>1265</v>
      </c>
      <c r="AF85" s="746">
        <f>_xlfn.SUMIFS('Неподконтрольные (5.3)'!AF$26:AF$71,'Неподконтрольные (5.3)'!$F$26:$F$71,$F85,'Неподконтрольные (5.3)'!$G$26:$G$71,$G85)</f>
        <v>2321.86</v>
      </c>
      <c r="AG85" s="746">
        <f>_xlfn.SUMIFS('Неподконтрольные (5.3)'!AG$26:AG$71,'Неподконтрольные (5.3)'!$F$26:$F$71,$F85,'Неподконтрольные (5.3)'!$G$26:$G$71,$G85)</f>
        <v>1513.43</v>
      </c>
      <c r="AH85" s="695">
        <f>AG85-AF85</f>
        <v>-808.43</v>
      </c>
      <c r="AI85" s="746">
        <f>_xlfn.SUMIFS('Неподконтрольные (5.3)'!AI$26:AI$71,'Неподконтрольные (5.3)'!$F$26:$F$71,$F85,'Неподконтрольные (5.3)'!$G$26:$G$71,$G85)</f>
        <v>1700</v>
      </c>
      <c r="AJ85" s="746">
        <f>_xlfn.SUMIFS('Неподконтрольные (5.3)'!AJ$26:AJ$71,'Неподконтрольные (5.3)'!$F$26:$F$71,$F85,'Неподконтрольные (5.3)'!$G$26:$G$71,$G85)</f>
        <v>2495</v>
      </c>
      <c r="AK85" s="746">
        <f>_xlfn.SUMIFS('Неподконтрольные (5.3)'!AK$26:AK$71,'Неподконтрольные (5.3)'!$F$26:$F$71,$F85,'Неподконтрольные (5.3)'!$G$26:$G$71,$G85)</f>
        <v>0</v>
      </c>
      <c r="AL85" s="746">
        <f>_xlfn.SUMIFS('Неподконтрольные (5.3)'!AL$26:AL$71,'Неподконтрольные (5.3)'!$F$26:$F$71,$F85,'Неподконтрольные (5.3)'!$G$26:$G$71,$G85)</f>
        <v>0</v>
      </c>
      <c r="AM85" s="746">
        <f>_xlfn.SUMIFS('Неподконтрольные (5.3)'!AM$26:AM$71,'Неподконтрольные (5.3)'!$F$26:$F$71,$F85,'Неподконтрольные (5.3)'!$G$26:$G$71,$G85)</f>
        <v>0</v>
      </c>
      <c r="AN85" s="746">
        <f>_xlfn.SUMIFS('Неподконтрольные (5.3)'!AN$26:AN$71,'Неподконтрольные (5.3)'!$F$26:$F$71,$F85,'Неподконтрольные (5.3)'!$G$26:$G$71,$G85)</f>
        <v>0</v>
      </c>
      <c r="AO85" s="746">
        <f>_xlfn.SUMIFS('Неподконтрольные (5.3)'!AO$26:AO$71,'Неподконтрольные (5.3)'!$F$26:$F$71,$F85,'Неподконтрольные (5.3)'!$G$26:$G$71,$G85)</f>
        <v>0</v>
      </c>
      <c r="AP85" s="746">
        <f>_xlfn.SUMIFS('Неподконтрольные (5.3)'!AP$26:AP$71,'Неподконтрольные (5.3)'!$F$26:$F$71,$F85,'Неподконтрольные (5.3)'!$G$26:$G$71,$G85)</f>
        <v>0</v>
      </c>
      <c r="AQ85" s="746">
        <f>_xlfn.SUMIFS('Неподконтрольные (5.3)'!AQ$26:AQ$71,'Неподконтрольные (5.3)'!$F$26:$F$71,$F85,'Неподконтрольные (5.3)'!$G$26:$G$71,$G85)</f>
        <v>0</v>
      </c>
      <c r="AR85" s="746">
        <f>_xlfn.SUMIFS('Неподконтрольные (5.3)'!AR$26:AR$71,'Неподконтрольные (5.3)'!$F$26:$F$71,$F85,'Неподконтрольные (5.3)'!$G$26:$G$71,$G85)</f>
        <v>0</v>
      </c>
      <c r="AS85" s="746">
        <f>_xlfn.SUMIFS('Неподконтрольные (5.3)'!AS$26:AS$71,'Неподконтрольные (5.3)'!$F$26:$F$71,$F85,'Неподконтрольные (5.3)'!$G$26:$G$71,$G85)</f>
        <v>0</v>
      </c>
      <c r="AT85" s="746">
        <f>_xlfn.SUMIFS('Неподконтрольные (5.3)'!AT$26:AT$71,'Неподконтрольные (5.3)'!$F$26:$F$71,$F85,'Неподконтрольные (5.3)'!$G$26:$G$71,$G85)</f>
        <v>0</v>
      </c>
      <c r="AU85" s="746">
        <f>_xlfn.SUMIFS('Неподконтрольные (5.3)'!AU$26:AU$71,'Неподконтрольные (5.3)'!$F$26:$F$71,$F85,'Неподконтрольные (5.3)'!$G$26:$G$71,$G85)</f>
        <v>0</v>
      </c>
      <c r="AV85" s="746">
        <f>_xlfn.SUMIFS('Неподконтрольные (5.3)'!AV$26:AV$71,'Неподконтрольные (5.3)'!$F$26:$F$71,$F85,'Неподконтрольные (5.3)'!$G$26:$G$71,$G85)</f>
        <v>0</v>
      </c>
      <c r="AW85" s="746">
        <f>_xlfn.SUMIFS('Неподконтрольные (5.3)'!AW$26:AW$71,'Неподконтрольные (5.3)'!$F$26:$F$71,$F85,'Неподконтрольные (5.3)'!$G$26:$G$71,$G85)</f>
        <v>0</v>
      </c>
      <c r="AX85" s="746">
        <f>_xlfn.SUMIFS('Неподконтрольные (5.3)'!AX$26:AX$71,'Неподконтрольные (5.3)'!$F$26:$F$71,$F85,'Неподконтрольные (5.3)'!$G$26:$G$71,$G85)</f>
        <v>0</v>
      </c>
      <c r="AY85" s="746">
        <f>_xlfn.SUMIFS('Неподконтрольные (5.3)'!AY$26:AY$71,'Неподконтрольные (5.3)'!$F$26:$F$71,$F85,'Неподконтрольные (5.3)'!$G$26:$G$71,$G85)</f>
        <v>0</v>
      </c>
      <c r="AZ85" s="746">
        <f>_xlfn.SUMIFS('Неподконтрольные (5.3)'!AZ$26:AZ$71,'Неподконтрольные (5.3)'!$F$26:$F$71,$F85,'Неподконтрольные (5.3)'!$G$26:$G$71,$G85)</f>
        <v>0</v>
      </c>
      <c r="BA85" s="746">
        <f>_xlfn.SUMIFS('Неподконтрольные (5.3)'!BA$26:BA$71,'Неподконтрольные (5.3)'!$F$26:$F$71,$F85,'Неподконтрольные (5.3)'!$G$26:$G$71,$G85)</f>
        <v>0</v>
      </c>
      <c r="BB85" s="746">
        <f>_xlfn.SUMIFS('Неподконтрольные (5.3)'!BB$26:BB$71,'Неподконтрольные (5.3)'!$F$26:$F$71,$F85,'Неподконтрольные (5.3)'!$G$26:$G$71,$G85)</f>
        <v>0</v>
      </c>
      <c r="BC85" s="746">
        <f>_xlfn.SUMIFS('Неподконтрольные (5.3)'!BC$26:BC$71,'Неподконтрольные (5.3)'!$F$26:$F$71,$F85,'Неподконтрольные (5.3)'!$G$26:$G$71,$G85)</f>
        <v>0</v>
      </c>
      <c r="BD85" s="746">
        <f>_xlfn.SUMIFS('Неподконтрольные (5.3)'!BD$26:BD$71,'Неподконтрольные (5.3)'!$F$26:$F$71,$F85,'Неподконтрольные (5.3)'!$G$26:$G$71,$G85)</f>
        <v>1841.74</v>
      </c>
      <c r="BE85" s="746">
        <f>_xlfn.SUMIFS('Неподконтрольные (5.3)'!BE$26:BE$71,'Неподконтрольные (5.3)'!$F$26:$F$71,$F85,'Неподконтрольные (5.3)'!$G$26:$G$71,$G85)</f>
        <v>0</v>
      </c>
      <c r="BF85" s="746">
        <f>_xlfn.SUMIFS('Неподконтрольные (5.3)'!BF$26:BF$71,'Неподконтрольные (5.3)'!$F$26:$F$71,$F85,'Неподконтрольные (5.3)'!$G$26:$G$71,$G85)</f>
        <v>0</v>
      </c>
      <c r="BG85" s="746">
        <f>_xlfn.SUMIFS('Неподконтрольные (5.3)'!BG$26:BG$71,'Неподконтрольные (5.3)'!$F$26:$F$71,$F85,'Неподконтрольные (5.3)'!$G$26:$G$71,$G85)</f>
        <v>0</v>
      </c>
      <c r="BH85" s="746">
        <f>_xlfn.SUMIFS('Неподконтрольные (5.3)'!BH$26:BH$71,'Неподконтрольные (5.3)'!$F$26:$F$71,$F85,'Неподконтрольные (5.3)'!$G$26:$G$71,$G85)</f>
        <v>0</v>
      </c>
      <c r="BI85" s="746">
        <f>_xlfn.SUMIFS('Неподконтрольные (5.3)'!BI$26:BI$71,'Неподконтрольные (5.3)'!$F$26:$F$71,$F85,'Неподконтрольные (5.3)'!$G$26:$G$71,$G85)</f>
        <v>0</v>
      </c>
      <c r="BJ85" s="746">
        <f>_xlfn.SUMIFS('Неподконтрольные (5.3)'!BJ$26:BJ$71,'Неподконтрольные (5.3)'!$F$26:$F$71,$F85,'Неподконтрольные (5.3)'!$G$26:$G$71,$G85)</f>
        <v>0</v>
      </c>
      <c r="BK85" s="746">
        <f>_xlfn.SUMIFS('Неподконтрольные (5.3)'!BK$26:BK$71,'Неподконтрольные (5.3)'!$F$26:$F$71,$F85,'Неподконтрольные (5.3)'!$G$26:$G$71,$G85)</f>
        <v>0</v>
      </c>
      <c r="BL85" s="746">
        <f>_xlfn.SUMIFS('Неподконтрольные (5.3)'!BL$26:BL$71,'Неподконтрольные (5.3)'!$F$26:$F$71,$F85,'Неподконтрольные (5.3)'!$G$26:$G$71,$G85)</f>
        <v>0</v>
      </c>
      <c r="BM85" s="746">
        <f>_xlfn.SUMIFS('Неподконтрольные (5.3)'!BM$26:BM$71,'Неподконтрольные (5.3)'!$F$26:$F$71,$F85,'Неподконтрольные (5.3)'!$G$26:$G$71,$G85)</f>
        <v>0</v>
      </c>
      <c r="BN85" s="746">
        <f>_xlfn.SUMIFS('Неподконтрольные (5.3)'!BN$26:BN$71,'Неподконтрольные (5.3)'!$F$26:$F$71,$F85,'Неподконтрольные (5.3)'!$G$26:$G$71,$G85)</f>
        <v>0</v>
      </c>
      <c r="BO85" s="746">
        <f>_xlfn.SUMIFS('Неподконтрольные (5.3)'!BO$26:BO$71,'Неподконтрольные (5.3)'!$F$26:$F$71,$F85,'Неподконтрольные (5.3)'!$G$26:$G$71,$G85)</f>
        <v>0</v>
      </c>
      <c r="BP85" s="746">
        <f>_xlfn.SUMIFS('Неподконтрольные (5.3)'!BP$26:BP$71,'Неподконтрольные (5.3)'!$F$26:$F$71,$F85,'Неподконтрольные (5.3)'!$G$26:$G$71,$G85)</f>
        <v>0</v>
      </c>
      <c r="BQ85" s="746">
        <f>_xlfn.SUMIFS('Неподконтрольные (5.3)'!BQ$26:BQ$71,'Неподконтрольные (5.3)'!$F$26:$F$71,$F85,'Неподконтрольные (5.3)'!$G$26:$G$71,$G85)</f>
        <v>0</v>
      </c>
      <c r="BR85" s="746">
        <f>_xlfn.SUMIFS('Неподконтрольные (5.3)'!BR$26:BR$71,'Неподконтрольные (5.3)'!$F$26:$F$71,$F85,'Неподконтрольные (5.3)'!$G$26:$G$71,$G85)</f>
        <v>0</v>
      </c>
      <c r="BS85" s="746">
        <f>_xlfn.SUMIFS('Неподконтрольные (5.3)'!BS$26:BS$71,'Неподконтрольные (5.3)'!$F$26:$F$71,$F85,'Неподконтрольные (5.3)'!$G$26:$G$71,$G85)</f>
        <v>0</v>
      </c>
      <c r="BT85" s="746">
        <f>_xlfn.SUMIFS('Неподконтрольные (5.3)'!BT$26:BT$71,'Неподконтрольные (5.3)'!$F$26:$F$71,$F85,'Неподконтрольные (5.3)'!$G$26:$G$71,$G85)</f>
        <v>0</v>
      </c>
      <c r="BU85" s="746">
        <f>_xlfn.SUMIFS('Неподконтрольные (5.3)'!BU$26:BU$71,'Неподконтрольные (5.3)'!$F$26:$F$71,$F85,'Неподконтрольные (5.3)'!$G$26:$G$71,$G85)</f>
        <v>0</v>
      </c>
      <c r="BV85" s="746">
        <f>_xlfn.SUMIFS('Неподконтрольные (5.3)'!BV$26:BV$71,'Неподконтрольные (5.3)'!$F$26:$F$71,$F85,'Неподконтрольные (5.3)'!$G$26:$G$71,$G85)</f>
        <v>0</v>
      </c>
      <c r="BW85" s="746">
        <f>_xlfn.SUMIFS('Неподконтрольные (5.3)'!BW$26:BW$71,'Неподконтрольные (5.3)'!$F$26:$F$71,$F85,'Неподконтрольные (5.3)'!$G$26:$G$71,$G85)</f>
        <v>0</v>
      </c>
      <c r="BX85" s="695">
        <f>IF(AI85=0,0,(BD85-AI85)/AI85*100)</f>
        <v>8.33764705882353</v>
      </c>
      <c r="BY85" s="695">
        <f>IF(BD85=0,0,(BE85-BD85)/BD85*100)</f>
        <v>-100</v>
      </c>
      <c r="BZ85" s="695">
        <f>IF(BE85=0,0,(BF85-BE85)/BE85*100)</f>
        <v>0</v>
      </c>
      <c r="CA85" s="695">
        <f>IF(BF85=0,0,(BG85-BF85)/BF85*100)</f>
        <v>0</v>
      </c>
      <c r="CB85" s="695">
        <f>IF(BG85=0,0,(BH85-BG85)/BG85*100)</f>
        <v>0</v>
      </c>
      <c r="CC85" s="695">
        <f>IF(BH85=0,0,(BI85-BH85)/BH85*100)</f>
        <v>0</v>
      </c>
      <c r="CD85" s="695">
        <f>IF(BI85=0,0,(BJ85-BI85)/BI85*100)</f>
        <v>0</v>
      </c>
      <c r="CE85" s="695">
        <f>IF(BJ85=0,0,(BK85-BJ85)/BJ85*100)</f>
        <v>0</v>
      </c>
      <c r="CF85" s="695">
        <f>IF(BK85=0,0,(BL85-BK85)/BK85*100)</f>
        <v>0</v>
      </c>
      <c r="CG85" s="695">
        <f>IF(BL85=0,0,(BM85-BL85)/BL85*100)</f>
        <v>0</v>
      </c>
      <c r="CH85" s="695">
        <f>IF(BM85=0,0,(BN85-BM85)/BM85*100)</f>
        <v>0</v>
      </c>
      <c r="CI85" s="695">
        <f>IF(BN85=0,0,(BO85-BN85)/BN85*100)</f>
        <v>0</v>
      </c>
      <c r="CJ85" s="695">
        <f>IF(BO85=0,0,(BP85-BO85)/BO85*100)</f>
        <v>0</v>
      </c>
      <c r="CK85" s="695">
        <f>IF(BP85=0,0,(BQ85-BP85)/BP85*100)</f>
        <v>0</v>
      </c>
      <c r="CL85" s="695">
        <f>IF(BQ85=0,0,(BR85-BQ85)/BQ85*100)</f>
        <v>0</v>
      </c>
      <c r="CM85" s="695">
        <f>IF(BR85=0,0,(BS85-BR85)/BR85*100)</f>
        <v>0</v>
      </c>
      <c r="CN85" s="695">
        <f>IF(BS85=0,0,(BT85-BS85)/BS85*100)</f>
        <v>0</v>
      </c>
      <c r="CO85" s="695">
        <f>IF(BT85=0,0,(BU85-BT85)/BT85*100)</f>
        <v>0</v>
      </c>
      <c r="CP85" s="695">
        <f>IF(BU85=0,0,(BV85-BU85)/BU85*100)</f>
        <v>0</v>
      </c>
      <c r="CQ85" s="695">
        <f>IF(BV85=0,0,(BW85-BV85)/BV85*100)</f>
        <v>0</v>
      </c>
      <c r="CR85" s="1897"/>
      <c r="CS85" s="1897"/>
      <c r="CT85" s="1897"/>
      <c r="CU85" s="286"/>
      <c r="CV85" s="1659"/>
      <c r="CW85" s="489" t="s">
        <v>1947</v>
      </c>
      <c r="CX85" s="1125"/>
      <c r="CY85" s="1125"/>
      <c r="CZ85" s="1126"/>
      <c r="DA85" s="1126"/>
      <c r="DB85" s="1506"/>
      <c r="DC85" s="1506"/>
      <c r="DD85" s="0" cm="1" t="str">
        <f t="array" ref="DD85:DD85">DD84</f>
        <v>ТЭ.42.31656254.0001</v>
      </c>
      <c r="DE85" s="1751"/>
      <c r="DF85" s="1751"/>
      <c r="DG85" s="1751"/>
      <c r="DH85" s="1751"/>
      <c r="DI85" s="1751"/>
      <c r="DJ85" s="1751"/>
      <c r="DK85" s="1751"/>
      <c r="DL85" s="1751"/>
      <c r="DM85" s="0" t="s">
        <v>255</v>
      </c>
      <c r="DN85" s="1751"/>
      <c r="DO85" s="0" t="s">
        <v>303</v>
      </c>
      <c r="DP85" s="0" t="s">
        <v>1631</v>
      </c>
      <c r="DQ85" s="0" t="s">
        <v>1632</v>
      </c>
      <c r="DR85" s="1751"/>
    </row>
    <row s="1751" customFormat="1" customHeight="1" ht="24.75">
      <c r="A86" s="371"/>
      <c r="B86" s="1548"/>
      <c r="C86" s="1506"/>
      <c r="D86" s="1506"/>
      <c r="E86" s="180">
        <v>26</v>
      </c>
      <c r="F86" s="175" cm="1" t="str">
        <f t="array" ref="F86:F86">OFFSET(G86,-1,-1)</f>
        <v>1</v>
      </c>
      <c r="G86" s="193" t="s">
        <v>1697</v>
      </c>
      <c r="H86" s="1659"/>
      <c r="I86" s="1659"/>
      <c r="J86" s="1659"/>
      <c r="K86" s="1659"/>
      <c r="L86" s="1659"/>
      <c r="M86" s="1506"/>
      <c r="N86" s="1506"/>
      <c r="O86" s="1506"/>
      <c r="P86" s="1506"/>
      <c r="Q86" s="1506"/>
      <c r="R86" s="1506"/>
      <c r="S86" s="1506"/>
      <c r="T86" s="753" cm="1" t="str">
        <f t="array" ref="T86:T86">T85</f>
        <v>true</v>
      </c>
      <c r="U86" s="1548"/>
      <c r="V86" s="1548"/>
      <c r="W86" s="1548"/>
      <c r="X86" s="1548"/>
      <c r="Y86" s="1548"/>
      <c r="Z86" s="1548"/>
      <c r="AA86" s="286"/>
      <c r="AB86" s="491">
        <v>3</v>
      </c>
      <c r="AC86" s="808" t="s">
        <v>1948</v>
      </c>
      <c r="AD86" s="467" t="s">
        <v>1178</v>
      </c>
      <c r="AE86" s="746">
        <f>_xlfn.SUMIFS('Ресурсы (5.4)'!AE$26:AE$47,'Ресурсы (5.4)'!$F$26:$F$47,$F86,'Ресурсы (5.4)'!$G$26:$G$47,$G86)</f>
        <v>3700</v>
      </c>
      <c r="AF86" s="746">
        <f>_xlfn.SUMIFS('Ресурсы (5.4)'!AF$26:AF$47,'Ресурсы (5.4)'!$F$26:$F$47,$F86,'Ресурсы (5.4)'!$G$26:$G$47,$G86)</f>
        <v>6263.5</v>
      </c>
      <c r="AG86" s="746">
        <f>_xlfn.SUMIFS('Ресурсы (5.4)'!AG$26:AG$47,'Ресурсы (5.4)'!$F$26:$F$47,$F86,'Ресурсы (5.4)'!$G$26:$G$47,$G86)</f>
        <v>4202.43814247972</v>
      </c>
      <c r="AH86" s="695">
        <f>AG86-AF86</f>
        <v>-2061.06185752028</v>
      </c>
      <c r="AI86" s="746">
        <f>_xlfn.SUMIFS('Ресурсы (5.4)'!AI$26:AI$47,'Ресурсы (5.4)'!$F$26:$F$47,$F86,'Ресурсы (5.4)'!$G$26:$G$47,$G86)</f>
        <v>4166</v>
      </c>
      <c r="AJ86" s="746">
        <f>_xlfn.SUMIFS('Ресурсы (5.4)'!AJ$26:AJ$47,'Ресурсы (5.4)'!$F$26:$F$47,$F86,'Ресурсы (5.4)'!$G$26:$G$47,$G86)</f>
        <v>7339.01722300141</v>
      </c>
      <c r="AK86" s="746">
        <f>_xlfn.SUMIFS('Ресурсы (5.4)'!AK$26:AK$47,'Ресурсы (5.4)'!$F$26:$F$47,$F86,'Ресурсы (5.4)'!$G$26:$G$47,$G86)</f>
        <v>0</v>
      </c>
      <c r="AL86" s="746">
        <f>_xlfn.SUMIFS('Ресурсы (5.4)'!AL$26:AL$47,'Ресурсы (5.4)'!$F$26:$F$47,$F86,'Ресурсы (5.4)'!$G$26:$G$47,$G86)</f>
        <v>0</v>
      </c>
      <c r="AM86" s="746">
        <f>_xlfn.SUMIFS('Ресурсы (5.4)'!AM$26:AM$47,'Ресурсы (5.4)'!$F$26:$F$47,$F86,'Ресурсы (5.4)'!$G$26:$G$47,$G86)</f>
        <v>0</v>
      </c>
      <c r="AN86" s="746">
        <f>_xlfn.SUMIFS('Ресурсы (5.4)'!AN$26:AN$47,'Ресурсы (5.4)'!$F$26:$F$47,$F86,'Ресурсы (5.4)'!$G$26:$G$47,$G86)</f>
        <v>0</v>
      </c>
      <c r="AO86" s="746">
        <f>_xlfn.SUMIFS('Ресурсы (5.4)'!AO$26:AO$47,'Ресурсы (5.4)'!$F$26:$F$47,$F86,'Ресурсы (5.4)'!$G$26:$G$47,$G86)</f>
        <v>0</v>
      </c>
      <c r="AP86" s="746">
        <f>_xlfn.SUMIFS('Ресурсы (5.4)'!AP$26:AP$47,'Ресурсы (5.4)'!$F$26:$F$47,$F86,'Ресурсы (5.4)'!$G$26:$G$47,$G86)</f>
        <v>0</v>
      </c>
      <c r="AQ86" s="746">
        <f>_xlfn.SUMIFS('Ресурсы (5.4)'!AQ$26:AQ$47,'Ресурсы (5.4)'!$F$26:$F$47,$F86,'Ресурсы (5.4)'!$G$26:$G$47,$G86)</f>
        <v>0</v>
      </c>
      <c r="AR86" s="746">
        <f>_xlfn.SUMIFS('Ресурсы (5.4)'!AR$26:AR$47,'Ресурсы (5.4)'!$F$26:$F$47,$F86,'Ресурсы (5.4)'!$G$26:$G$47,$G86)</f>
        <v>0</v>
      </c>
      <c r="AS86" s="746">
        <f>_xlfn.SUMIFS('Ресурсы (5.4)'!AS$26:AS$47,'Ресурсы (5.4)'!$F$26:$F$47,$F86,'Ресурсы (5.4)'!$G$26:$G$47,$G86)</f>
        <v>0</v>
      </c>
      <c r="AT86" s="746">
        <f>_xlfn.SUMIFS('Ресурсы (5.4)'!AT$26:AT$47,'Ресурсы (5.4)'!$F$26:$F$47,$F86,'Ресурсы (5.4)'!$G$26:$G$47,$G86)</f>
        <v>0</v>
      </c>
      <c r="AU86" s="746">
        <f>_xlfn.SUMIFS('Ресурсы (5.4)'!AU$26:AU$47,'Ресурсы (5.4)'!$F$26:$F$47,$F86,'Ресурсы (5.4)'!$G$26:$G$47,$G86)</f>
        <v>0</v>
      </c>
      <c r="AV86" s="746">
        <f>_xlfn.SUMIFS('Ресурсы (5.4)'!AV$26:AV$47,'Ресурсы (5.4)'!$F$26:$F$47,$F86,'Ресурсы (5.4)'!$G$26:$G$47,$G86)</f>
        <v>0</v>
      </c>
      <c r="AW86" s="746">
        <f>_xlfn.SUMIFS('Ресурсы (5.4)'!AW$26:AW$47,'Ресурсы (5.4)'!$F$26:$F$47,$F86,'Ресурсы (5.4)'!$G$26:$G$47,$G86)</f>
        <v>0</v>
      </c>
      <c r="AX86" s="746">
        <f>_xlfn.SUMIFS('Ресурсы (5.4)'!AX$26:AX$47,'Ресурсы (5.4)'!$F$26:$F$47,$F86,'Ресурсы (5.4)'!$G$26:$G$47,$G86)</f>
        <v>0</v>
      </c>
      <c r="AY86" s="746">
        <f>_xlfn.SUMIFS('Ресурсы (5.4)'!AY$26:AY$47,'Ресурсы (5.4)'!$F$26:$F$47,$F86,'Ресурсы (5.4)'!$G$26:$G$47,$G86)</f>
        <v>0</v>
      </c>
      <c r="AZ86" s="746">
        <f>_xlfn.SUMIFS('Ресурсы (5.4)'!AZ$26:AZ$47,'Ресурсы (5.4)'!$F$26:$F$47,$F86,'Ресурсы (5.4)'!$G$26:$G$47,$G86)</f>
        <v>0</v>
      </c>
      <c r="BA86" s="746">
        <f>_xlfn.SUMIFS('Ресурсы (5.4)'!BA$26:BA$47,'Ресурсы (5.4)'!$F$26:$F$47,$F86,'Ресурсы (5.4)'!$G$26:$G$47,$G86)</f>
        <v>0</v>
      </c>
      <c r="BB86" s="746">
        <f>_xlfn.SUMIFS('Ресурсы (5.4)'!BB$26:BB$47,'Ресурсы (5.4)'!$F$26:$F$47,$F86,'Ресурсы (5.4)'!$G$26:$G$47,$G86)</f>
        <v>0</v>
      </c>
      <c r="BC86" s="746">
        <f>_xlfn.SUMIFS('Ресурсы (5.4)'!BC$26:BC$47,'Ресурсы (5.4)'!$F$26:$F$47,$F86,'Ресурсы (5.4)'!$G$26:$G$47,$G86)</f>
        <v>0</v>
      </c>
      <c r="BD86" s="746">
        <f>_xlfn.SUMIFS('Ресурсы (5.4)'!BD$26:BD$47,'Ресурсы (5.4)'!$F$26:$F$47,$F86,'Ресурсы (5.4)'!$G$26:$G$47,$G86)</f>
        <v>4902.81602083218</v>
      </c>
      <c r="BE86" s="746">
        <f>_xlfn.SUMIFS('Ресурсы (5.4)'!BE$26:BE$47,'Ресурсы (5.4)'!$F$26:$F$47,$F86,'Ресурсы (5.4)'!$G$26:$G$47,$G86)</f>
        <v>0</v>
      </c>
      <c r="BF86" s="746">
        <f>_xlfn.SUMIFS('Ресурсы (5.4)'!BF$26:BF$47,'Ресурсы (5.4)'!$F$26:$F$47,$F86,'Ресурсы (5.4)'!$G$26:$G$47,$G86)</f>
        <v>0</v>
      </c>
      <c r="BG86" s="746">
        <f>_xlfn.SUMIFS('Ресурсы (5.4)'!BG$26:BG$47,'Ресурсы (5.4)'!$F$26:$F$47,$F86,'Ресурсы (5.4)'!$G$26:$G$47,$G86)</f>
        <v>0</v>
      </c>
      <c r="BH86" s="746">
        <f>_xlfn.SUMIFS('Ресурсы (5.4)'!BH$26:BH$47,'Ресурсы (5.4)'!$F$26:$F$47,$F86,'Ресурсы (5.4)'!$G$26:$G$47,$G86)</f>
        <v>0</v>
      </c>
      <c r="BI86" s="746">
        <f>_xlfn.SUMIFS('Ресурсы (5.4)'!BI$26:BI$47,'Ресурсы (5.4)'!$F$26:$F$47,$F86,'Ресурсы (5.4)'!$G$26:$G$47,$G86)</f>
        <v>0</v>
      </c>
      <c r="BJ86" s="746">
        <f>_xlfn.SUMIFS('Ресурсы (5.4)'!BJ$26:BJ$47,'Ресурсы (5.4)'!$F$26:$F$47,$F86,'Ресурсы (5.4)'!$G$26:$G$47,$G86)</f>
        <v>0</v>
      </c>
      <c r="BK86" s="746">
        <f>_xlfn.SUMIFS('Ресурсы (5.4)'!BK$26:BK$47,'Ресурсы (5.4)'!$F$26:$F$47,$F86,'Ресурсы (5.4)'!$G$26:$G$47,$G86)</f>
        <v>0</v>
      </c>
      <c r="BL86" s="746">
        <f>_xlfn.SUMIFS('Ресурсы (5.4)'!BL$26:BL$47,'Ресурсы (5.4)'!$F$26:$F$47,$F86,'Ресурсы (5.4)'!$G$26:$G$47,$G86)</f>
        <v>0</v>
      </c>
      <c r="BM86" s="746">
        <f>_xlfn.SUMIFS('Ресурсы (5.4)'!BM$26:BM$47,'Ресурсы (5.4)'!$F$26:$F$47,$F86,'Ресурсы (5.4)'!$G$26:$G$47,$G86)</f>
        <v>0</v>
      </c>
      <c r="BN86" s="746">
        <f>_xlfn.SUMIFS('Ресурсы (5.4)'!BN$26:BN$47,'Ресурсы (5.4)'!$F$26:$F$47,$F86,'Ресурсы (5.4)'!$G$26:$G$47,$G86)</f>
        <v>0</v>
      </c>
      <c r="BO86" s="746">
        <f>_xlfn.SUMIFS('Ресурсы (5.4)'!BO$26:BO$47,'Ресурсы (5.4)'!$F$26:$F$47,$F86,'Ресурсы (5.4)'!$G$26:$G$47,$G86)</f>
        <v>0</v>
      </c>
      <c r="BP86" s="746">
        <f>_xlfn.SUMIFS('Ресурсы (5.4)'!BP$26:BP$47,'Ресурсы (5.4)'!$F$26:$F$47,$F86,'Ресурсы (5.4)'!$G$26:$G$47,$G86)</f>
        <v>0</v>
      </c>
      <c r="BQ86" s="746">
        <f>_xlfn.SUMIFS('Ресурсы (5.4)'!BQ$26:BQ$47,'Ресурсы (5.4)'!$F$26:$F$47,$F86,'Ресурсы (5.4)'!$G$26:$G$47,$G86)</f>
        <v>0</v>
      </c>
      <c r="BR86" s="746">
        <f>_xlfn.SUMIFS('Ресурсы (5.4)'!BR$26:BR$47,'Ресурсы (5.4)'!$F$26:$F$47,$F86,'Ресурсы (5.4)'!$G$26:$G$47,$G86)</f>
        <v>0</v>
      </c>
      <c r="BS86" s="746">
        <f>_xlfn.SUMIFS('Ресурсы (5.4)'!BS$26:BS$47,'Ресурсы (5.4)'!$F$26:$F$47,$F86,'Ресурсы (5.4)'!$G$26:$G$47,$G86)</f>
        <v>0</v>
      </c>
      <c r="BT86" s="746">
        <f>_xlfn.SUMIFS('Ресурсы (5.4)'!BT$26:BT$47,'Ресурсы (5.4)'!$F$26:$F$47,$F86,'Ресурсы (5.4)'!$G$26:$G$47,$G86)</f>
        <v>0</v>
      </c>
      <c r="BU86" s="746">
        <f>_xlfn.SUMIFS('Ресурсы (5.4)'!BU$26:BU$47,'Ресурсы (5.4)'!$F$26:$F$47,$F86,'Ресурсы (5.4)'!$G$26:$G$47,$G86)</f>
        <v>0</v>
      </c>
      <c r="BV86" s="746">
        <f>_xlfn.SUMIFS('Ресурсы (5.4)'!BV$26:BV$47,'Ресурсы (5.4)'!$F$26:$F$47,$F86,'Ресурсы (5.4)'!$G$26:$G$47,$G86)</f>
        <v>0</v>
      </c>
      <c r="BW86" s="746">
        <f>_xlfn.SUMIFS('Ресурсы (5.4)'!BW$26:BW$47,'Ресурсы (5.4)'!$F$26:$F$47,$F86,'Ресурсы (5.4)'!$G$26:$G$47,$G86)</f>
        <v>0</v>
      </c>
      <c r="BX86" s="695">
        <f>IF(AI86=0,0,(BD86-AI86)/AI86*100)</f>
        <v>17.6864143262645</v>
      </c>
      <c r="BY86" s="695">
        <f>IF(BD86=0,0,(BE86-BD86)/BD86*100)</f>
        <v>-100</v>
      </c>
      <c r="BZ86" s="695">
        <f>IF(BE86=0,0,(BF86-BE86)/BE86*100)</f>
        <v>0</v>
      </c>
      <c r="CA86" s="695">
        <f>IF(BF86=0,0,(BG86-BF86)/BF86*100)</f>
        <v>0</v>
      </c>
      <c r="CB86" s="695">
        <f>IF(BG86=0,0,(BH86-BG86)/BG86*100)</f>
        <v>0</v>
      </c>
      <c r="CC86" s="695">
        <f>IF(BH86=0,0,(BI86-BH86)/BH86*100)</f>
        <v>0</v>
      </c>
      <c r="CD86" s="695">
        <f>IF(BI86=0,0,(BJ86-BI86)/BI86*100)</f>
        <v>0</v>
      </c>
      <c r="CE86" s="695">
        <f>IF(BJ86=0,0,(BK86-BJ86)/BJ86*100)</f>
        <v>0</v>
      </c>
      <c r="CF86" s="695">
        <f>IF(BK86=0,0,(BL86-BK86)/BK86*100)</f>
        <v>0</v>
      </c>
      <c r="CG86" s="695">
        <f>IF(BL86=0,0,(BM86-BL86)/BL86*100)</f>
        <v>0</v>
      </c>
      <c r="CH86" s="695">
        <f>IF(BM86=0,0,(BN86-BM86)/BM86*100)</f>
        <v>0</v>
      </c>
      <c r="CI86" s="695">
        <f>IF(BN86=0,0,(BO86-BN86)/BN86*100)</f>
        <v>0</v>
      </c>
      <c r="CJ86" s="695">
        <f>IF(BO86=0,0,(BP86-BO86)/BO86*100)</f>
        <v>0</v>
      </c>
      <c r="CK86" s="695">
        <f>IF(BP86=0,0,(BQ86-BP86)/BP86*100)</f>
        <v>0</v>
      </c>
      <c r="CL86" s="695">
        <f>IF(BQ86=0,0,(BR86-BQ86)/BQ86*100)</f>
        <v>0</v>
      </c>
      <c r="CM86" s="695">
        <f>IF(BR86=0,0,(BS86-BR86)/BR86*100)</f>
        <v>0</v>
      </c>
      <c r="CN86" s="695">
        <f>IF(BS86=0,0,(BT86-BS86)/BS86*100)</f>
        <v>0</v>
      </c>
      <c r="CO86" s="695">
        <f>IF(BT86=0,0,(BU86-BT86)/BT86*100)</f>
        <v>0</v>
      </c>
      <c r="CP86" s="695">
        <f>IF(BU86=0,0,(BV86-BU86)/BU86*100)</f>
        <v>0</v>
      </c>
      <c r="CQ86" s="695">
        <f>IF(BV86=0,0,(BW86-BV86)/BV86*100)</f>
        <v>0</v>
      </c>
      <c r="CR86" s="1897"/>
      <c r="CS86" s="1897"/>
      <c r="CT86" s="1897"/>
      <c r="CU86" s="286"/>
      <c r="CV86" s="1659"/>
      <c r="CW86" s="489" t="s">
        <v>1949</v>
      </c>
      <c r="CX86" s="1125"/>
      <c r="CY86" s="1125"/>
      <c r="CZ86" s="1126"/>
      <c r="DA86" s="1126"/>
      <c r="DB86" s="1506"/>
      <c r="DC86" s="1506"/>
      <c r="DD86" s="0" cm="1" t="str">
        <f t="array" ref="DD86:DD86">DD85</f>
        <v>ТЭ.42.31656254.0001</v>
      </c>
      <c r="DE86" s="1751"/>
      <c r="DF86" s="1751"/>
      <c r="DG86" s="1751"/>
      <c r="DH86" s="1751"/>
      <c r="DI86" s="1751"/>
      <c r="DJ86" s="1751"/>
      <c r="DK86" s="1751"/>
      <c r="DL86" s="1751"/>
      <c r="DM86" s="0" t="s">
        <v>449</v>
      </c>
      <c r="DN86" s="1751"/>
      <c r="DO86" s="0" t="s">
        <v>303</v>
      </c>
      <c r="DP86" s="0" t="s">
        <v>1732</v>
      </c>
      <c r="DQ86" s="0" t="s">
        <v>1733</v>
      </c>
      <c r="DR86" s="1751"/>
    </row>
    <row s="1751" customFormat="1" customHeight="1" ht="16.5" hidden="1">
      <c r="A87" s="371"/>
      <c r="B87" s="1548"/>
      <c r="C87" s="1506"/>
      <c r="D87" s="1506"/>
      <c r="E87" s="180">
        <v>17</v>
      </c>
      <c r="F87" s="175" cm="1" t="str">
        <f t="array" ref="F87:F87">OFFSET(G87,-1,-1)</f>
        <v>1</v>
      </c>
      <c r="G87" s="1659"/>
      <c r="H87" s="1659"/>
      <c r="I87" s="1659"/>
      <c r="J87" s="1659"/>
      <c r="K87" s="1659"/>
      <c r="L87" s="1659"/>
      <c r="M87" s="1506"/>
      <c r="N87" s="1506"/>
      <c r="O87" s="1506"/>
      <c r="P87" s="1506"/>
      <c r="Q87" s="1506"/>
      <c r="R87" s="1506"/>
      <c r="S87" s="1506"/>
      <c r="T87" s="753">
        <f>AND(F87&gt;0,method_reg="Метод обеспечения доходности инвестированного капитала")</f>
        <v>0</v>
      </c>
      <c r="U87" s="1548"/>
      <c r="V87" s="1548"/>
      <c r="W87" s="1548"/>
      <c r="X87" s="1548"/>
      <c r="Y87" s="1548"/>
      <c r="Z87" s="1548"/>
      <c r="AA87" s="286"/>
      <c r="AB87" s="794">
        <v>4</v>
      </c>
      <c r="AC87" s="413" t="s">
        <v>1950</v>
      </c>
      <c r="AD87" s="666" t="s">
        <v>917</v>
      </c>
      <c r="AE87" s="132"/>
      <c r="AF87" s="132"/>
      <c r="AG87" s="132"/>
      <c r="AH87" s="695">
        <f>AG87-AF87</f>
        <v>0</v>
      </c>
      <c r="AI87" s="132"/>
      <c r="AJ87" s="749"/>
      <c r="AK87" s="132"/>
      <c r="AL87" s="132"/>
      <c r="AM87" s="132"/>
      <c r="AN87" s="132"/>
      <c r="AO87" s="132"/>
      <c r="AP87" s="132"/>
      <c r="AQ87" s="132"/>
      <c r="AR87" s="132"/>
      <c r="AS87" s="132"/>
      <c r="AT87" s="132"/>
      <c r="AU87" s="132"/>
      <c r="AV87" s="132"/>
      <c r="AW87" s="132"/>
      <c r="AX87" s="132"/>
      <c r="AY87" s="132"/>
      <c r="AZ87" s="132"/>
      <c r="BA87" s="132"/>
      <c r="BB87" s="132"/>
      <c r="BC87" s="132"/>
      <c r="BD87" s="749"/>
      <c r="BE87" s="132"/>
      <c r="BF87" s="132"/>
      <c r="BG87" s="132"/>
      <c r="BH87" s="132"/>
      <c r="BI87" s="132"/>
      <c r="BJ87" s="132"/>
      <c r="BK87" s="132"/>
      <c r="BL87" s="132"/>
      <c r="BM87" s="132"/>
      <c r="BN87" s="132"/>
      <c r="BO87" s="132"/>
      <c r="BP87" s="132"/>
      <c r="BQ87" s="132"/>
      <c r="BR87" s="132"/>
      <c r="BS87" s="132"/>
      <c r="BT87" s="132"/>
      <c r="BU87" s="132"/>
      <c r="BV87" s="132"/>
      <c r="BW87" s="132"/>
      <c r="BX87" s="695">
        <f>IF(AI87=0,0,(BD87-AI87)/AI87*100)</f>
        <v>0</v>
      </c>
      <c r="BY87" s="695">
        <f>IF(BD87=0,0,(BE87-BD87)/BD87*100)</f>
        <v>0</v>
      </c>
      <c r="BZ87" s="695">
        <f>IF(BE87=0,0,(BF87-BE87)/BE87*100)</f>
        <v>0</v>
      </c>
      <c r="CA87" s="695">
        <f>IF(BF87=0,0,(BG87-BF87)/BF87*100)</f>
        <v>0</v>
      </c>
      <c r="CB87" s="695">
        <f>IF(BG87=0,0,(BH87-BG87)/BG87*100)</f>
        <v>0</v>
      </c>
      <c r="CC87" s="695">
        <f>IF(BH87=0,0,(BI87-BH87)/BH87*100)</f>
        <v>0</v>
      </c>
      <c r="CD87" s="695">
        <f>IF(BI87=0,0,(BJ87-BI87)/BI87*100)</f>
        <v>0</v>
      </c>
      <c r="CE87" s="695">
        <f>IF(BJ87=0,0,(BK87-BJ87)/BJ87*100)</f>
        <v>0</v>
      </c>
      <c r="CF87" s="695">
        <f>IF(BK87=0,0,(BL87-BK87)/BK87*100)</f>
        <v>0</v>
      </c>
      <c r="CG87" s="695">
        <f>IF(BL87=0,0,(BM87-BL87)/BL87*100)</f>
        <v>0</v>
      </c>
      <c r="CH87" s="695">
        <f>IF(BM87=0,0,(BN87-BM87)/BM87*100)</f>
        <v>0</v>
      </c>
      <c r="CI87" s="695">
        <f>IF(BN87=0,0,(BO87-BN87)/BN87*100)</f>
        <v>0</v>
      </c>
      <c r="CJ87" s="695">
        <f>IF(BO87=0,0,(BP87-BO87)/BO87*100)</f>
        <v>0</v>
      </c>
      <c r="CK87" s="695">
        <f>IF(BP87=0,0,(BQ87-BP87)/BP87*100)</f>
        <v>0</v>
      </c>
      <c r="CL87" s="695">
        <f>IF(BQ87=0,0,(BR87-BQ87)/BQ87*100)</f>
        <v>0</v>
      </c>
      <c r="CM87" s="695">
        <f>IF(BR87=0,0,(BS87-BR87)/BR87*100)</f>
        <v>0</v>
      </c>
      <c r="CN87" s="695">
        <f>IF(BS87=0,0,(BT87-BS87)/BS87*100)</f>
        <v>0</v>
      </c>
      <c r="CO87" s="695">
        <f>IF(BT87=0,0,(BU87-BT87)/BT87*100)</f>
        <v>0</v>
      </c>
      <c r="CP87" s="695">
        <f>IF(BU87=0,0,(BV87-BU87)/BU87*100)</f>
        <v>0</v>
      </c>
      <c r="CQ87" s="695">
        <f>IF(BV87=0,0,(BW87-BV87)/BV87*100)</f>
        <v>0</v>
      </c>
      <c r="CR87" s="83"/>
      <c r="CS87" s="83"/>
      <c r="CT87" s="83"/>
      <c r="CU87" s="286"/>
      <c r="CV87" s="1659"/>
      <c r="CW87" s="489" t="s">
        <v>1951</v>
      </c>
      <c r="CX87" s="1125"/>
      <c r="CY87" s="1125"/>
      <c r="CZ87" s="1126"/>
      <c r="DA87" s="1126"/>
      <c r="DB87" s="1506"/>
      <c r="DC87" s="1506"/>
      <c r="DD87" s="0" cm="1" t="str">
        <f t="array" ref="DD87:DD87">DD86</f>
        <v>ТЭ.42.31656254.0001</v>
      </c>
      <c r="DE87" s="1751"/>
      <c r="DF87" s="1751"/>
      <c r="DG87" s="1751"/>
      <c r="DH87" s="1751"/>
      <c r="DI87" s="1751"/>
      <c r="DJ87" s="1751"/>
      <c r="DK87" s="1751"/>
      <c r="DL87" s="1751"/>
      <c r="DM87" s="0" t="s">
        <v>883</v>
      </c>
      <c r="DN87" s="1751"/>
      <c r="DO87" s="0" t="s">
        <v>303</v>
      </c>
      <c r="DP87" s="0" t="s">
        <v>1952</v>
      </c>
      <c r="DQ87" s="0" t="s">
        <v>1953</v>
      </c>
      <c r="DR87" s="1751"/>
    </row>
    <row s="1751" customFormat="1" customHeight="1" ht="16.5" hidden="1">
      <c r="A88" s="371"/>
      <c r="B88" s="1548"/>
      <c r="C88" s="1506"/>
      <c r="D88" s="1506"/>
      <c r="E88" s="180">
        <v>17</v>
      </c>
      <c r="F88" s="175" cm="1" t="str">
        <f t="array" ref="F88:F88">OFFSET(G88,-1,-1)</f>
        <v>1</v>
      </c>
      <c r="G88" s="1659"/>
      <c r="H88" s="1659"/>
      <c r="I88" s="1659"/>
      <c r="J88" s="1659"/>
      <c r="K88" s="1659"/>
      <c r="L88" s="1659"/>
      <c r="M88" s="1506"/>
      <c r="N88" s="1506"/>
      <c r="O88" s="1506"/>
      <c r="P88" s="1506"/>
      <c r="Q88" s="1506"/>
      <c r="R88" s="1506"/>
      <c r="S88" s="1506"/>
      <c r="T88" s="753">
        <f>AND(F88&gt;0,method_reg="Метод обеспечения доходности инвестированного капитала")</f>
        <v>0</v>
      </c>
      <c r="U88" s="1548"/>
      <c r="V88" s="1548"/>
      <c r="W88" s="1548"/>
      <c r="X88" s="1548"/>
      <c r="Y88" s="1548"/>
      <c r="Z88" s="1548"/>
      <c r="AA88" s="286"/>
      <c r="AB88" s="794">
        <v>4.1</v>
      </c>
      <c r="AC88" s="842" t="s">
        <v>1954</v>
      </c>
      <c r="AD88" s="666" t="s">
        <v>917</v>
      </c>
      <c r="AE88" s="132"/>
      <c r="AF88" s="132"/>
      <c r="AG88" s="132"/>
      <c r="AH88" s="695">
        <f>AG88-AF88</f>
        <v>0</v>
      </c>
      <c r="AI88" s="132"/>
      <c r="AJ88" s="749"/>
      <c r="AK88" s="132"/>
      <c r="AL88" s="132"/>
      <c r="AM88" s="132"/>
      <c r="AN88" s="132"/>
      <c r="AO88" s="132"/>
      <c r="AP88" s="132"/>
      <c r="AQ88" s="132"/>
      <c r="AR88" s="132"/>
      <c r="AS88" s="132"/>
      <c r="AT88" s="132"/>
      <c r="AU88" s="132"/>
      <c r="AV88" s="132"/>
      <c r="AW88" s="132"/>
      <c r="AX88" s="132"/>
      <c r="AY88" s="132"/>
      <c r="AZ88" s="132"/>
      <c r="BA88" s="132"/>
      <c r="BB88" s="132"/>
      <c r="BC88" s="132"/>
      <c r="BD88" s="749"/>
      <c r="BE88" s="132"/>
      <c r="BF88" s="132"/>
      <c r="BG88" s="132"/>
      <c r="BH88" s="132"/>
      <c r="BI88" s="132"/>
      <c r="BJ88" s="132"/>
      <c r="BK88" s="132"/>
      <c r="BL88" s="132"/>
      <c r="BM88" s="132"/>
      <c r="BN88" s="132"/>
      <c r="BO88" s="132"/>
      <c r="BP88" s="132"/>
      <c r="BQ88" s="132"/>
      <c r="BR88" s="132"/>
      <c r="BS88" s="132"/>
      <c r="BT88" s="132"/>
      <c r="BU88" s="132"/>
      <c r="BV88" s="132"/>
      <c r="BW88" s="132"/>
      <c r="BX88" s="695">
        <f>IF(AI88=0,0,(BD88-AI88)/AI88*100)</f>
        <v>0</v>
      </c>
      <c r="BY88" s="695">
        <f>IF(BD88=0,0,(BE88-BD88)/BD88*100)</f>
        <v>0</v>
      </c>
      <c r="BZ88" s="695">
        <f>IF(BE88=0,0,(BF88-BE88)/BE88*100)</f>
        <v>0</v>
      </c>
      <c r="CA88" s="695">
        <f>IF(BF88=0,0,(BG88-BF88)/BF88*100)</f>
        <v>0</v>
      </c>
      <c r="CB88" s="695">
        <f>IF(BG88=0,0,(BH88-BG88)/BG88*100)</f>
        <v>0</v>
      </c>
      <c r="CC88" s="695">
        <f>IF(BH88=0,0,(BI88-BH88)/BH88*100)</f>
        <v>0</v>
      </c>
      <c r="CD88" s="695">
        <f>IF(BI88=0,0,(BJ88-BI88)/BI88*100)</f>
        <v>0</v>
      </c>
      <c r="CE88" s="695">
        <f>IF(BJ88=0,0,(BK88-BJ88)/BJ88*100)</f>
        <v>0</v>
      </c>
      <c r="CF88" s="695">
        <f>IF(BK88=0,0,(BL88-BK88)/BK88*100)</f>
        <v>0</v>
      </c>
      <c r="CG88" s="695">
        <f>IF(BL88=0,0,(BM88-BL88)/BL88*100)</f>
        <v>0</v>
      </c>
      <c r="CH88" s="695">
        <f>IF(BM88=0,0,(BN88-BM88)/BM88*100)</f>
        <v>0</v>
      </c>
      <c r="CI88" s="695">
        <f>IF(BN88=0,0,(BO88-BN88)/BN88*100)</f>
        <v>0</v>
      </c>
      <c r="CJ88" s="695">
        <f>IF(BO88=0,0,(BP88-BO88)/BO88*100)</f>
        <v>0</v>
      </c>
      <c r="CK88" s="695">
        <f>IF(BP88=0,0,(BQ88-BP88)/BP88*100)</f>
        <v>0</v>
      </c>
      <c r="CL88" s="695">
        <f>IF(BQ88=0,0,(BR88-BQ88)/BQ88*100)</f>
        <v>0</v>
      </c>
      <c r="CM88" s="695">
        <f>IF(BR88=0,0,(BS88-BR88)/BR88*100)</f>
        <v>0</v>
      </c>
      <c r="CN88" s="695">
        <f>IF(BS88=0,0,(BT88-BS88)/BS88*100)</f>
        <v>0</v>
      </c>
      <c r="CO88" s="695">
        <f>IF(BT88=0,0,(BU88-BT88)/BT88*100)</f>
        <v>0</v>
      </c>
      <c r="CP88" s="695">
        <f>IF(BU88=0,0,(BV88-BU88)/BU88*100)</f>
        <v>0</v>
      </c>
      <c r="CQ88" s="695">
        <f>IF(BV88=0,0,(BW88-BV88)/BV88*100)</f>
        <v>0</v>
      </c>
      <c r="CR88" s="83"/>
      <c r="CS88" s="83"/>
      <c r="CT88" s="83"/>
      <c r="CU88" s="286"/>
      <c r="CV88" s="1659"/>
      <c r="CW88" s="489" t="s">
        <v>1955</v>
      </c>
      <c r="CX88" s="1125"/>
      <c r="CY88" s="1125"/>
      <c r="CZ88" s="1126"/>
      <c r="DA88" s="1126"/>
      <c r="DB88" s="1506"/>
      <c r="DC88" s="1506"/>
      <c r="DD88" s="0" cm="1" t="str">
        <f t="array" ref="DD88:DD88">DD87</f>
        <v>ТЭ.42.31656254.0001</v>
      </c>
      <c r="DE88" s="1751"/>
      <c r="DF88" s="1751"/>
      <c r="DG88" s="1751"/>
      <c r="DH88" s="1751"/>
      <c r="DI88" s="1751"/>
      <c r="DJ88" s="1751"/>
      <c r="DK88" s="1751"/>
      <c r="DL88" s="1751"/>
      <c r="DM88" s="0" t="s">
        <v>886</v>
      </c>
      <c r="DN88" s="1751"/>
      <c r="DO88" s="0" t="s">
        <v>303</v>
      </c>
      <c r="DP88" s="0" t="s">
        <v>1956</v>
      </c>
      <c r="DQ88" s="0" t="s">
        <v>1957</v>
      </c>
      <c r="DR88" s="1751"/>
    </row>
    <row s="1751" customFormat="1" customHeight="1" ht="16.5" hidden="1">
      <c r="A89" s="371"/>
      <c r="B89" s="1548"/>
      <c r="C89" s="1506"/>
      <c r="D89" s="1506"/>
      <c r="E89" s="180">
        <v>17</v>
      </c>
      <c r="F89" s="175" cm="1" t="str">
        <f t="array" ref="F89:F89">OFFSET(G89,-1,-1)</f>
        <v>1</v>
      </c>
      <c r="G89" s="1659"/>
      <c r="H89" s="1659"/>
      <c r="I89" s="1659"/>
      <c r="J89" s="1659"/>
      <c r="K89" s="1659"/>
      <c r="L89" s="1659"/>
      <c r="M89" s="1506"/>
      <c r="N89" s="1506"/>
      <c r="O89" s="1506"/>
      <c r="P89" s="1506"/>
      <c r="Q89" s="1506"/>
      <c r="R89" s="1506"/>
      <c r="S89" s="1506"/>
      <c r="T89" s="753">
        <f>AND(F89&gt;0,method_reg="Метод обеспечения доходности инвестированного капитала")</f>
        <v>0</v>
      </c>
      <c r="U89" s="1548"/>
      <c r="V89" s="1548"/>
      <c r="W89" s="1548"/>
      <c r="X89" s="1548"/>
      <c r="Y89" s="1548"/>
      <c r="Z89" s="1548"/>
      <c r="AA89" s="286"/>
      <c r="AB89" s="794">
        <v>4.2</v>
      </c>
      <c r="AC89" s="842" t="s">
        <v>1958</v>
      </c>
      <c r="AD89" s="666" t="s">
        <v>1959</v>
      </c>
      <c r="AE89" s="132"/>
      <c r="AF89" s="132"/>
      <c r="AG89" s="132"/>
      <c r="AH89" s="695">
        <f>AG89-AF89</f>
        <v>0</v>
      </c>
      <c r="AI89" s="132"/>
      <c r="AJ89" s="749"/>
      <c r="AK89" s="132"/>
      <c r="AL89" s="132"/>
      <c r="AM89" s="132"/>
      <c r="AN89" s="132"/>
      <c r="AO89" s="132"/>
      <c r="AP89" s="132"/>
      <c r="AQ89" s="132"/>
      <c r="AR89" s="132"/>
      <c r="AS89" s="132"/>
      <c r="AT89" s="132"/>
      <c r="AU89" s="132"/>
      <c r="AV89" s="132"/>
      <c r="AW89" s="132"/>
      <c r="AX89" s="132"/>
      <c r="AY89" s="132"/>
      <c r="AZ89" s="132"/>
      <c r="BA89" s="132"/>
      <c r="BB89" s="132"/>
      <c r="BC89" s="132"/>
      <c r="BD89" s="749"/>
      <c r="BE89" s="132"/>
      <c r="BF89" s="132"/>
      <c r="BG89" s="132"/>
      <c r="BH89" s="132"/>
      <c r="BI89" s="132"/>
      <c r="BJ89" s="132"/>
      <c r="BK89" s="132"/>
      <c r="BL89" s="132"/>
      <c r="BM89" s="132"/>
      <c r="BN89" s="132"/>
      <c r="BO89" s="132"/>
      <c r="BP89" s="132"/>
      <c r="BQ89" s="132"/>
      <c r="BR89" s="132"/>
      <c r="BS89" s="132"/>
      <c r="BT89" s="132"/>
      <c r="BU89" s="132"/>
      <c r="BV89" s="132"/>
      <c r="BW89" s="132"/>
      <c r="BX89" s="695">
        <f>IF(AI89=0,0,(BD89-AI89)/AI89*100)</f>
        <v>0</v>
      </c>
      <c r="BY89" s="695">
        <f>IF(BD89=0,0,(BE89-BD89)/BD89*100)</f>
        <v>0</v>
      </c>
      <c r="BZ89" s="695">
        <f>IF(BE89=0,0,(BF89-BE89)/BE89*100)</f>
        <v>0</v>
      </c>
      <c r="CA89" s="695">
        <f>IF(BF89=0,0,(BG89-BF89)/BF89*100)</f>
        <v>0</v>
      </c>
      <c r="CB89" s="695">
        <f>IF(BG89=0,0,(BH89-BG89)/BG89*100)</f>
        <v>0</v>
      </c>
      <c r="CC89" s="695">
        <f>IF(BH89=0,0,(BI89-BH89)/BH89*100)</f>
        <v>0</v>
      </c>
      <c r="CD89" s="695">
        <f>IF(BI89=0,0,(BJ89-BI89)/BI89*100)</f>
        <v>0</v>
      </c>
      <c r="CE89" s="695">
        <f>IF(BJ89=0,0,(BK89-BJ89)/BJ89*100)</f>
        <v>0</v>
      </c>
      <c r="CF89" s="695">
        <f>IF(BK89=0,0,(BL89-BK89)/BK89*100)</f>
        <v>0</v>
      </c>
      <c r="CG89" s="695">
        <f>IF(BL89=0,0,(BM89-BL89)/BL89*100)</f>
        <v>0</v>
      </c>
      <c r="CH89" s="695">
        <f>IF(BM89=0,0,(BN89-BM89)/BM89*100)</f>
        <v>0</v>
      </c>
      <c r="CI89" s="695">
        <f>IF(BN89=0,0,(BO89-BN89)/BN89*100)</f>
        <v>0</v>
      </c>
      <c r="CJ89" s="695">
        <f>IF(BO89=0,0,(BP89-BO89)/BO89*100)</f>
        <v>0</v>
      </c>
      <c r="CK89" s="695">
        <f>IF(BP89=0,0,(BQ89-BP89)/BP89*100)</f>
        <v>0</v>
      </c>
      <c r="CL89" s="695">
        <f>IF(BQ89=0,0,(BR89-BQ89)/BQ89*100)</f>
        <v>0</v>
      </c>
      <c r="CM89" s="695">
        <f>IF(BR89=0,0,(BS89-BR89)/BR89*100)</f>
        <v>0</v>
      </c>
      <c r="CN89" s="695">
        <f>IF(BS89=0,0,(BT89-BS89)/BS89*100)</f>
        <v>0</v>
      </c>
      <c r="CO89" s="695">
        <f>IF(BT89=0,0,(BU89-BT89)/BT89*100)</f>
        <v>0</v>
      </c>
      <c r="CP89" s="695">
        <f>IF(BU89=0,0,(BV89-BU89)/BU89*100)</f>
        <v>0</v>
      </c>
      <c r="CQ89" s="695">
        <f>IF(BV89=0,0,(BW89-BV89)/BV89*100)</f>
        <v>0</v>
      </c>
      <c r="CR89" s="83"/>
      <c r="CS89" s="83"/>
      <c r="CT89" s="83"/>
      <c r="CU89" s="286"/>
      <c r="CV89" s="1659"/>
      <c r="CW89" s="489" t="s">
        <v>1960</v>
      </c>
      <c r="CX89" s="1125"/>
      <c r="CY89" s="1125"/>
      <c r="CZ89" s="1126"/>
      <c r="DA89" s="1126"/>
      <c r="DB89" s="1506"/>
      <c r="DC89" s="1506"/>
      <c r="DD89" s="0" cm="1" t="str">
        <f t="array" ref="DD89:DD89">DD88</f>
        <v>ТЭ.42.31656254.0001</v>
      </c>
      <c r="DE89" s="1751"/>
      <c r="DF89" s="1751"/>
      <c r="DG89" s="1751"/>
      <c r="DH89" s="1751"/>
      <c r="DI89" s="1751"/>
      <c r="DJ89" s="1751"/>
      <c r="DK89" s="1751"/>
      <c r="DL89" s="1751"/>
      <c r="DM89" s="0" t="s">
        <v>1290</v>
      </c>
      <c r="DN89" s="1751"/>
      <c r="DO89" s="0" t="s">
        <v>303</v>
      </c>
      <c r="DP89" s="0" t="s">
        <v>1961</v>
      </c>
      <c r="DQ89" s="0" t="s">
        <v>1962</v>
      </c>
      <c r="DR89" s="1751"/>
    </row>
    <row s="1751" customFormat="1" customHeight="1" ht="16.5" hidden="1">
      <c r="A90" s="371"/>
      <c r="B90" s="1548"/>
      <c r="C90" s="1506"/>
      <c r="D90" s="1506"/>
      <c r="E90" s="180">
        <v>17</v>
      </c>
      <c r="F90" s="175" cm="1" t="str">
        <f t="array" ref="F90:F90">OFFSET(G90,-1,-1)</f>
        <v>1</v>
      </c>
      <c r="G90" s="1659"/>
      <c r="H90" s="1659"/>
      <c r="I90" s="1659"/>
      <c r="J90" s="1659"/>
      <c r="K90" s="1659"/>
      <c r="L90" s="1659"/>
      <c r="M90" s="1506"/>
      <c r="N90" s="1506"/>
      <c r="O90" s="1506"/>
      <c r="P90" s="1506"/>
      <c r="Q90" s="1506"/>
      <c r="R90" s="1506"/>
      <c r="S90" s="1506"/>
      <c r="T90" s="753">
        <f>AND(F90&gt;0,method_reg="Метод обеспечения доходности инвестированного капитала")</f>
        <v>0</v>
      </c>
      <c r="U90" s="1548"/>
      <c r="V90" s="1548"/>
      <c r="W90" s="1548"/>
      <c r="X90" s="1548"/>
      <c r="Y90" s="1548"/>
      <c r="Z90" s="1548"/>
      <c r="AA90" s="286"/>
      <c r="AB90" s="794">
        <v>5</v>
      </c>
      <c r="AC90" s="413" t="s">
        <v>1963</v>
      </c>
      <c r="AD90" s="666" t="s">
        <v>917</v>
      </c>
      <c r="AE90" s="132"/>
      <c r="AF90" s="132"/>
      <c r="AG90" s="132"/>
      <c r="AH90" s="695">
        <f>AG90-AF90</f>
        <v>0</v>
      </c>
      <c r="AI90" s="132"/>
      <c r="AJ90" s="749"/>
      <c r="AK90" s="132"/>
      <c r="AL90" s="132"/>
      <c r="AM90" s="132"/>
      <c r="AN90" s="132"/>
      <c r="AO90" s="132"/>
      <c r="AP90" s="132"/>
      <c r="AQ90" s="132"/>
      <c r="AR90" s="132"/>
      <c r="AS90" s="132"/>
      <c r="AT90" s="132"/>
      <c r="AU90" s="132"/>
      <c r="AV90" s="132"/>
      <c r="AW90" s="132"/>
      <c r="AX90" s="132"/>
      <c r="AY90" s="132"/>
      <c r="AZ90" s="132"/>
      <c r="BA90" s="132"/>
      <c r="BB90" s="132"/>
      <c r="BC90" s="132"/>
      <c r="BD90" s="749"/>
      <c r="BE90" s="132"/>
      <c r="BF90" s="132"/>
      <c r="BG90" s="132"/>
      <c r="BH90" s="132"/>
      <c r="BI90" s="132"/>
      <c r="BJ90" s="132"/>
      <c r="BK90" s="132"/>
      <c r="BL90" s="132"/>
      <c r="BM90" s="132"/>
      <c r="BN90" s="132"/>
      <c r="BO90" s="132"/>
      <c r="BP90" s="132"/>
      <c r="BQ90" s="132"/>
      <c r="BR90" s="132"/>
      <c r="BS90" s="132"/>
      <c r="BT90" s="132"/>
      <c r="BU90" s="132"/>
      <c r="BV90" s="132"/>
      <c r="BW90" s="132"/>
      <c r="BX90" s="695">
        <f>IF(AI90=0,0,(BD90-AI90)/AI90*100)</f>
        <v>0</v>
      </c>
      <c r="BY90" s="695">
        <f>IF(BD90=0,0,(BE90-BD90)/BD90*100)</f>
        <v>0</v>
      </c>
      <c r="BZ90" s="695">
        <f>IF(BE90=0,0,(BF90-BE90)/BE90*100)</f>
        <v>0</v>
      </c>
      <c r="CA90" s="695">
        <f>IF(BF90=0,0,(BG90-BF90)/BF90*100)</f>
        <v>0</v>
      </c>
      <c r="CB90" s="695">
        <f>IF(BG90=0,0,(BH90-BG90)/BG90*100)</f>
        <v>0</v>
      </c>
      <c r="CC90" s="695">
        <f>IF(BH90=0,0,(BI90-BH90)/BH90*100)</f>
        <v>0</v>
      </c>
      <c r="CD90" s="695">
        <f>IF(BI90=0,0,(BJ90-BI90)/BI90*100)</f>
        <v>0</v>
      </c>
      <c r="CE90" s="695">
        <f>IF(BJ90=0,0,(BK90-BJ90)/BJ90*100)</f>
        <v>0</v>
      </c>
      <c r="CF90" s="695">
        <f>IF(BK90=0,0,(BL90-BK90)/BK90*100)</f>
        <v>0</v>
      </c>
      <c r="CG90" s="695">
        <f>IF(BL90=0,0,(BM90-BL90)/BL90*100)</f>
        <v>0</v>
      </c>
      <c r="CH90" s="695">
        <f>IF(BM90=0,0,(BN90-BM90)/BM90*100)</f>
        <v>0</v>
      </c>
      <c r="CI90" s="695">
        <f>IF(BN90=0,0,(BO90-BN90)/BN90*100)</f>
        <v>0</v>
      </c>
      <c r="CJ90" s="695">
        <f>IF(BO90=0,0,(BP90-BO90)/BO90*100)</f>
        <v>0</v>
      </c>
      <c r="CK90" s="695">
        <f>IF(BP90=0,0,(BQ90-BP90)/BP90*100)</f>
        <v>0</v>
      </c>
      <c r="CL90" s="695">
        <f>IF(BQ90=0,0,(BR90-BQ90)/BQ90*100)</f>
        <v>0</v>
      </c>
      <c r="CM90" s="695">
        <f>IF(BR90=0,0,(BS90-BR90)/BR90*100)</f>
        <v>0</v>
      </c>
      <c r="CN90" s="695">
        <f>IF(BS90=0,0,(BT90-BS90)/BS90*100)</f>
        <v>0</v>
      </c>
      <c r="CO90" s="695">
        <f>IF(BT90=0,0,(BU90-BT90)/BT90*100)</f>
        <v>0</v>
      </c>
      <c r="CP90" s="695">
        <f>IF(BU90=0,0,(BV90-BU90)/BU90*100)</f>
        <v>0</v>
      </c>
      <c r="CQ90" s="695">
        <f>IF(BV90=0,0,(BW90-BV90)/BV90*100)</f>
        <v>0</v>
      </c>
      <c r="CR90" s="83"/>
      <c r="CS90" s="83"/>
      <c r="CT90" s="83"/>
      <c r="CU90" s="286"/>
      <c r="CV90" s="1659"/>
      <c r="CW90" s="489" t="s">
        <v>1964</v>
      </c>
      <c r="CX90" s="1125"/>
      <c r="CY90" s="1125"/>
      <c r="CZ90" s="1126"/>
      <c r="DA90" s="1126"/>
      <c r="DB90" s="1506"/>
      <c r="DC90" s="1506"/>
      <c r="DD90" s="0" cm="1" t="str">
        <f t="array" ref="DD90:DD90">DD89</f>
        <v>ТЭ.42.31656254.0001</v>
      </c>
      <c r="DE90" s="1751"/>
      <c r="DF90" s="1751"/>
      <c r="DG90" s="1751"/>
      <c r="DH90" s="1751"/>
      <c r="DI90" s="1751"/>
      <c r="DJ90" s="1751"/>
      <c r="DK90" s="1751"/>
      <c r="DL90" s="1751"/>
      <c r="DM90" s="0" t="s">
        <v>1308</v>
      </c>
      <c r="DN90" s="1751"/>
      <c r="DO90" s="0" t="s">
        <v>303</v>
      </c>
      <c r="DP90" s="0" t="s">
        <v>1965</v>
      </c>
      <c r="DQ90" s="0" t="s">
        <v>1966</v>
      </c>
      <c r="DR90" s="1751"/>
    </row>
    <row s="1751" customFormat="1" customHeight="1" ht="16.5" hidden="1">
      <c r="A91" s="371"/>
      <c r="B91" s="1548"/>
      <c r="C91" s="1506"/>
      <c r="D91" s="1506"/>
      <c r="E91" s="180">
        <v>17</v>
      </c>
      <c r="F91" s="175" cm="1" t="str">
        <f t="array" ref="F91:F91">OFFSET(G91,-1,-1)</f>
        <v>1</v>
      </c>
      <c r="G91" s="1659"/>
      <c r="H91" s="1659"/>
      <c r="I91" s="1659"/>
      <c r="J91" s="1659"/>
      <c r="K91" s="1659"/>
      <c r="L91" s="1659"/>
      <c r="M91" s="1506"/>
      <c r="N91" s="1506"/>
      <c r="O91" s="1506"/>
      <c r="P91" s="1506"/>
      <c r="Q91" s="1506"/>
      <c r="R91" s="1506"/>
      <c r="S91" s="1506"/>
      <c r="T91" s="753">
        <f>AND(F91&gt;0,method_reg="Метод обеспечения доходности инвестированного капитала")</f>
        <v>0</v>
      </c>
      <c r="U91" s="1548"/>
      <c r="V91" s="1548"/>
      <c r="W91" s="1548"/>
      <c r="X91" s="1548"/>
      <c r="Y91" s="1548"/>
      <c r="Z91" s="1548"/>
      <c r="AA91" s="286"/>
      <c r="AB91" s="794">
        <v>5.1</v>
      </c>
      <c r="AC91" s="842" t="s">
        <v>1967</v>
      </c>
      <c r="AD91" s="666" t="s">
        <v>917</v>
      </c>
      <c r="AE91" s="132"/>
      <c r="AF91" s="132"/>
      <c r="AG91" s="132"/>
      <c r="AH91" s="695">
        <f>AG91-AF91</f>
        <v>0</v>
      </c>
      <c r="AI91" s="132"/>
      <c r="AJ91" s="749"/>
      <c r="AK91" s="132"/>
      <c r="AL91" s="132"/>
      <c r="AM91" s="132"/>
      <c r="AN91" s="132"/>
      <c r="AO91" s="132"/>
      <c r="AP91" s="132"/>
      <c r="AQ91" s="132"/>
      <c r="AR91" s="132"/>
      <c r="AS91" s="132"/>
      <c r="AT91" s="132"/>
      <c r="AU91" s="132"/>
      <c r="AV91" s="132"/>
      <c r="AW91" s="132"/>
      <c r="AX91" s="132"/>
      <c r="AY91" s="132"/>
      <c r="AZ91" s="132"/>
      <c r="BA91" s="132"/>
      <c r="BB91" s="132"/>
      <c r="BC91" s="132"/>
      <c r="BD91" s="749"/>
      <c r="BE91" s="132"/>
      <c r="BF91" s="132"/>
      <c r="BG91" s="132"/>
      <c r="BH91" s="132"/>
      <c r="BI91" s="132"/>
      <c r="BJ91" s="132"/>
      <c r="BK91" s="132"/>
      <c r="BL91" s="132"/>
      <c r="BM91" s="132"/>
      <c r="BN91" s="132"/>
      <c r="BO91" s="132"/>
      <c r="BP91" s="132"/>
      <c r="BQ91" s="132"/>
      <c r="BR91" s="132"/>
      <c r="BS91" s="132"/>
      <c r="BT91" s="132"/>
      <c r="BU91" s="132"/>
      <c r="BV91" s="132"/>
      <c r="BW91" s="132"/>
      <c r="BX91" s="695">
        <f>IF(AI91=0,0,(BD91-AI91)/AI91*100)</f>
        <v>0</v>
      </c>
      <c r="BY91" s="695">
        <f>IF(BD91=0,0,(BE91-BD91)/BD91*100)</f>
        <v>0</v>
      </c>
      <c r="BZ91" s="695">
        <f>IF(BE91=0,0,(BF91-BE91)/BE91*100)</f>
        <v>0</v>
      </c>
      <c r="CA91" s="695">
        <f>IF(BF91=0,0,(BG91-BF91)/BF91*100)</f>
        <v>0</v>
      </c>
      <c r="CB91" s="695">
        <f>IF(BG91=0,0,(BH91-BG91)/BG91*100)</f>
        <v>0</v>
      </c>
      <c r="CC91" s="695">
        <f>IF(BH91=0,0,(BI91-BH91)/BH91*100)</f>
        <v>0</v>
      </c>
      <c r="CD91" s="695">
        <f>IF(BI91=0,0,(BJ91-BI91)/BI91*100)</f>
        <v>0</v>
      </c>
      <c r="CE91" s="695">
        <f>IF(BJ91=0,0,(BK91-BJ91)/BJ91*100)</f>
        <v>0</v>
      </c>
      <c r="CF91" s="695">
        <f>IF(BK91=0,0,(BL91-BK91)/BK91*100)</f>
        <v>0</v>
      </c>
      <c r="CG91" s="695">
        <f>IF(BL91=0,0,(BM91-BL91)/BL91*100)</f>
        <v>0</v>
      </c>
      <c r="CH91" s="695">
        <f>IF(BM91=0,0,(BN91-BM91)/BM91*100)</f>
        <v>0</v>
      </c>
      <c r="CI91" s="695">
        <f>IF(BN91=0,0,(BO91-BN91)/BN91*100)</f>
        <v>0</v>
      </c>
      <c r="CJ91" s="695">
        <f>IF(BO91=0,0,(BP91-BO91)/BO91*100)</f>
        <v>0</v>
      </c>
      <c r="CK91" s="695">
        <f>IF(BP91=0,0,(BQ91-BP91)/BP91*100)</f>
        <v>0</v>
      </c>
      <c r="CL91" s="695">
        <f>IF(BQ91=0,0,(BR91-BQ91)/BQ91*100)</f>
        <v>0</v>
      </c>
      <c r="CM91" s="695">
        <f>IF(BR91=0,0,(BS91-BR91)/BR91*100)</f>
        <v>0</v>
      </c>
      <c r="CN91" s="695">
        <f>IF(BS91=0,0,(BT91-BS91)/BS91*100)</f>
        <v>0</v>
      </c>
      <c r="CO91" s="695">
        <f>IF(BT91=0,0,(BU91-BT91)/BT91*100)</f>
        <v>0</v>
      </c>
      <c r="CP91" s="695">
        <f>IF(BU91=0,0,(BV91-BU91)/BU91*100)</f>
        <v>0</v>
      </c>
      <c r="CQ91" s="695">
        <f>IF(BV91=0,0,(BW91-BV91)/BV91*100)</f>
        <v>0</v>
      </c>
      <c r="CR91" s="83"/>
      <c r="CS91" s="83"/>
      <c r="CT91" s="83"/>
      <c r="CU91" s="286"/>
      <c r="CV91" s="1659"/>
      <c r="CW91" s="489" t="s">
        <v>1968</v>
      </c>
      <c r="CX91" s="1125"/>
      <c r="CY91" s="1125"/>
      <c r="CZ91" s="1126"/>
      <c r="DA91" s="1126"/>
      <c r="DB91" s="1506"/>
      <c r="DC91" s="1506"/>
      <c r="DD91" s="0" cm="1" t="str">
        <f t="array" ref="DD91:DD91">DD90</f>
        <v>ТЭ.42.31656254.0001</v>
      </c>
      <c r="DE91" s="1751"/>
      <c r="DF91" s="1751"/>
      <c r="DG91" s="1751"/>
      <c r="DH91" s="1751"/>
      <c r="DI91" s="1751"/>
      <c r="DJ91" s="1751"/>
      <c r="DK91" s="1751"/>
      <c r="DL91" s="1751"/>
      <c r="DM91" s="0" t="s">
        <v>1327</v>
      </c>
      <c r="DN91" s="1751"/>
      <c r="DO91" s="0" t="s">
        <v>303</v>
      </c>
      <c r="DP91" s="0" t="s">
        <v>1969</v>
      </c>
      <c r="DQ91" s="0" t="s">
        <v>1970</v>
      </c>
      <c r="DR91" s="1751"/>
    </row>
    <row s="1751" customFormat="1" customHeight="1" ht="16.5" hidden="1">
      <c r="A92" s="371"/>
      <c r="B92" s="1548"/>
      <c r="C92" s="1506"/>
      <c r="D92" s="1506"/>
      <c r="E92" s="180">
        <v>17</v>
      </c>
      <c r="F92" s="175" cm="1" t="str">
        <f t="array" ref="F92:F92">OFFSET(G92,-1,-1)</f>
        <v>1</v>
      </c>
      <c r="G92" s="1659"/>
      <c r="H92" s="1659"/>
      <c r="I92" s="1659"/>
      <c r="J92" s="1659"/>
      <c r="K92" s="1659"/>
      <c r="L92" s="1659"/>
      <c r="M92" s="1506"/>
      <c r="N92" s="1506"/>
      <c r="O92" s="1506"/>
      <c r="P92" s="1506"/>
      <c r="Q92" s="1506"/>
      <c r="R92" s="1506"/>
      <c r="S92" s="1506"/>
      <c r="T92" s="753">
        <f>AND(F92&gt;0,method_reg="Метод обеспечения доходности инвестированного капитала")</f>
        <v>0</v>
      </c>
      <c r="U92" s="1548"/>
      <c r="V92" s="1548"/>
      <c r="W92" s="1548"/>
      <c r="X92" s="1548"/>
      <c r="Y92" s="1548"/>
      <c r="Z92" s="1548"/>
      <c r="AA92" s="286"/>
      <c r="AB92" s="794">
        <v>5.2</v>
      </c>
      <c r="AC92" s="842" t="s">
        <v>1971</v>
      </c>
      <c r="AD92" s="666" t="s">
        <v>495</v>
      </c>
      <c r="AE92" s="132"/>
      <c r="AF92" s="132"/>
      <c r="AG92" s="132"/>
      <c r="AH92" s="695">
        <f>AG92-AF92</f>
        <v>0</v>
      </c>
      <c r="AI92" s="132"/>
      <c r="AJ92" s="749"/>
      <c r="AK92" s="132"/>
      <c r="AL92" s="132"/>
      <c r="AM92" s="132"/>
      <c r="AN92" s="132"/>
      <c r="AO92" s="132"/>
      <c r="AP92" s="132"/>
      <c r="AQ92" s="132"/>
      <c r="AR92" s="132"/>
      <c r="AS92" s="132"/>
      <c r="AT92" s="132"/>
      <c r="AU92" s="132"/>
      <c r="AV92" s="132"/>
      <c r="AW92" s="132"/>
      <c r="AX92" s="132"/>
      <c r="AY92" s="132"/>
      <c r="AZ92" s="132"/>
      <c r="BA92" s="132"/>
      <c r="BB92" s="132"/>
      <c r="BC92" s="132"/>
      <c r="BD92" s="749"/>
      <c r="BE92" s="132"/>
      <c r="BF92" s="132"/>
      <c r="BG92" s="132"/>
      <c r="BH92" s="132"/>
      <c r="BI92" s="132"/>
      <c r="BJ92" s="132"/>
      <c r="BK92" s="132"/>
      <c r="BL92" s="132"/>
      <c r="BM92" s="132"/>
      <c r="BN92" s="132"/>
      <c r="BO92" s="132"/>
      <c r="BP92" s="132"/>
      <c r="BQ92" s="132"/>
      <c r="BR92" s="132"/>
      <c r="BS92" s="132"/>
      <c r="BT92" s="132"/>
      <c r="BU92" s="132"/>
      <c r="BV92" s="132"/>
      <c r="BW92" s="132"/>
      <c r="BX92" s="695">
        <f>IF(AI92=0,0,(BD92-AI92)/AI92*100)</f>
        <v>0</v>
      </c>
      <c r="BY92" s="695">
        <f>IF(BD92=0,0,(BE92-BD92)/BD92*100)</f>
        <v>0</v>
      </c>
      <c r="BZ92" s="695">
        <f>IF(BE92=0,0,(BF92-BE92)/BE92*100)</f>
        <v>0</v>
      </c>
      <c r="CA92" s="695">
        <f>IF(BF92=0,0,(BG92-BF92)/BF92*100)</f>
        <v>0</v>
      </c>
      <c r="CB92" s="695">
        <f>IF(BG92=0,0,(BH92-BG92)/BG92*100)</f>
        <v>0</v>
      </c>
      <c r="CC92" s="695">
        <f>IF(BH92=0,0,(BI92-BH92)/BH92*100)</f>
        <v>0</v>
      </c>
      <c r="CD92" s="695">
        <f>IF(BI92=0,0,(BJ92-BI92)/BI92*100)</f>
        <v>0</v>
      </c>
      <c r="CE92" s="695">
        <f>IF(BJ92=0,0,(BK92-BJ92)/BJ92*100)</f>
        <v>0</v>
      </c>
      <c r="CF92" s="695">
        <f>IF(BK92=0,0,(BL92-BK92)/BK92*100)</f>
        <v>0</v>
      </c>
      <c r="CG92" s="695">
        <f>IF(BL92=0,0,(BM92-BL92)/BL92*100)</f>
        <v>0</v>
      </c>
      <c r="CH92" s="695">
        <f>IF(BM92=0,0,(BN92-BM92)/BM92*100)</f>
        <v>0</v>
      </c>
      <c r="CI92" s="695">
        <f>IF(BN92=0,0,(BO92-BN92)/BN92*100)</f>
        <v>0</v>
      </c>
      <c r="CJ92" s="695">
        <f>IF(BO92=0,0,(BP92-BO92)/BO92*100)</f>
        <v>0</v>
      </c>
      <c r="CK92" s="695">
        <f>IF(BP92=0,0,(BQ92-BP92)/BP92*100)</f>
        <v>0</v>
      </c>
      <c r="CL92" s="695">
        <f>IF(BQ92=0,0,(BR92-BQ92)/BQ92*100)</f>
        <v>0</v>
      </c>
      <c r="CM92" s="695">
        <f>IF(BR92=0,0,(BS92-BR92)/BR92*100)</f>
        <v>0</v>
      </c>
      <c r="CN92" s="695">
        <f>IF(BS92=0,0,(BT92-BS92)/BS92*100)</f>
        <v>0</v>
      </c>
      <c r="CO92" s="695">
        <f>IF(BT92=0,0,(BU92-BT92)/BT92*100)</f>
        <v>0</v>
      </c>
      <c r="CP92" s="695">
        <f>IF(BU92=0,0,(BV92-BU92)/BU92*100)</f>
        <v>0</v>
      </c>
      <c r="CQ92" s="695">
        <f>IF(BV92=0,0,(BW92-BV92)/BV92*100)</f>
        <v>0</v>
      </c>
      <c r="CR92" s="83"/>
      <c r="CS92" s="83"/>
      <c r="CT92" s="83"/>
      <c r="CU92" s="286"/>
      <c r="CV92" s="1659"/>
      <c r="CW92" s="489" t="s">
        <v>1972</v>
      </c>
      <c r="CX92" s="1125"/>
      <c r="CY92" s="1125"/>
      <c r="CZ92" s="1126"/>
      <c r="DA92" s="1126"/>
      <c r="DB92" s="1506"/>
      <c r="DC92" s="1506"/>
      <c r="DD92" s="0" cm="1" t="str">
        <f t="array" ref="DD92:DD92">DD91</f>
        <v>ТЭ.42.31656254.0001</v>
      </c>
      <c r="DE92" s="1751"/>
      <c r="DF92" s="1751"/>
      <c r="DG92" s="1751"/>
      <c r="DH92" s="1751"/>
      <c r="DI92" s="1751"/>
      <c r="DJ92" s="1751"/>
      <c r="DK92" s="1751"/>
      <c r="DL92" s="1751"/>
      <c r="DM92" s="0" t="s">
        <v>1973</v>
      </c>
      <c r="DN92" s="1751"/>
      <c r="DO92" s="0" t="s">
        <v>303</v>
      </c>
      <c r="DP92" s="0" t="s">
        <v>1974</v>
      </c>
      <c r="DQ92" s="0" t="s">
        <v>1975</v>
      </c>
      <c r="DR92" s="1751"/>
    </row>
    <row s="1751" customFormat="1" customHeight="1" ht="16.5" hidden="1">
      <c r="A93" s="371"/>
      <c r="B93" s="1548"/>
      <c r="C93" s="1506"/>
      <c r="D93" s="1506"/>
      <c r="E93" s="180">
        <v>17</v>
      </c>
      <c r="F93" s="175" cm="1" t="str">
        <f t="array" ref="F93:F93">OFFSET(G93,-1,-1)</f>
        <v>1</v>
      </c>
      <c r="G93" s="1659"/>
      <c r="H93" s="1659"/>
      <c r="I93" s="1659"/>
      <c r="J93" s="1659"/>
      <c r="K93" s="1659"/>
      <c r="L93" s="1659"/>
      <c r="M93" s="1506"/>
      <c r="N93" s="1506"/>
      <c r="O93" s="1506"/>
      <c r="P93" s="1506"/>
      <c r="Q93" s="1506"/>
      <c r="R93" s="1506"/>
      <c r="S93" s="1506"/>
      <c r="T93" s="753">
        <f>AND(F93&gt;0,method_reg="Метод обеспечения доходности инвестированного капитала")</f>
        <v>0</v>
      </c>
      <c r="U93" s="1548"/>
      <c r="V93" s="1548"/>
      <c r="W93" s="1548"/>
      <c r="X93" s="1548"/>
      <c r="Y93" s="1548"/>
      <c r="Z93" s="1548"/>
      <c r="AA93" s="286"/>
      <c r="AB93" s="794">
        <v>5.3</v>
      </c>
      <c r="AC93" s="139" t="s">
        <v>1976</v>
      </c>
      <c r="AD93" s="666" t="s">
        <v>917</v>
      </c>
      <c r="AE93" s="132"/>
      <c r="AF93" s="132"/>
      <c r="AG93" s="132"/>
      <c r="AH93" s="695">
        <f>AG93-AF93</f>
        <v>0</v>
      </c>
      <c r="AI93" s="132"/>
      <c r="AJ93" s="749"/>
      <c r="AK93" s="132"/>
      <c r="AL93" s="132"/>
      <c r="AM93" s="132"/>
      <c r="AN93" s="132"/>
      <c r="AO93" s="132"/>
      <c r="AP93" s="132"/>
      <c r="AQ93" s="132"/>
      <c r="AR93" s="132"/>
      <c r="AS93" s="132"/>
      <c r="AT93" s="132"/>
      <c r="AU93" s="132"/>
      <c r="AV93" s="132"/>
      <c r="AW93" s="132"/>
      <c r="AX93" s="132"/>
      <c r="AY93" s="132"/>
      <c r="AZ93" s="132"/>
      <c r="BA93" s="132"/>
      <c r="BB93" s="132"/>
      <c r="BC93" s="132"/>
      <c r="BD93" s="749"/>
      <c r="BE93" s="132"/>
      <c r="BF93" s="132"/>
      <c r="BG93" s="132"/>
      <c r="BH93" s="132"/>
      <c r="BI93" s="132"/>
      <c r="BJ93" s="132"/>
      <c r="BK93" s="132"/>
      <c r="BL93" s="132"/>
      <c r="BM93" s="132"/>
      <c r="BN93" s="132"/>
      <c r="BO93" s="132"/>
      <c r="BP93" s="132"/>
      <c r="BQ93" s="132"/>
      <c r="BR93" s="132"/>
      <c r="BS93" s="132"/>
      <c r="BT93" s="132"/>
      <c r="BU93" s="132"/>
      <c r="BV93" s="132"/>
      <c r="BW93" s="132"/>
      <c r="BX93" s="695">
        <f>IF(AI93=0,0,(BD93-AI93)/AI93*100)</f>
        <v>0</v>
      </c>
      <c r="BY93" s="695">
        <f>IF(BD93=0,0,(BE93-BD93)/BD93*100)</f>
        <v>0</v>
      </c>
      <c r="BZ93" s="695">
        <f>IF(BE93=0,0,(BF93-BE93)/BE93*100)</f>
        <v>0</v>
      </c>
      <c r="CA93" s="695">
        <f>IF(BF93=0,0,(BG93-BF93)/BF93*100)</f>
        <v>0</v>
      </c>
      <c r="CB93" s="695">
        <f>IF(BG93=0,0,(BH93-BG93)/BG93*100)</f>
        <v>0</v>
      </c>
      <c r="CC93" s="695">
        <f>IF(BH93=0,0,(BI93-BH93)/BH93*100)</f>
        <v>0</v>
      </c>
      <c r="CD93" s="695">
        <f>IF(BI93=0,0,(BJ93-BI93)/BI93*100)</f>
        <v>0</v>
      </c>
      <c r="CE93" s="695">
        <f>IF(BJ93=0,0,(BK93-BJ93)/BJ93*100)</f>
        <v>0</v>
      </c>
      <c r="CF93" s="695">
        <f>IF(BK93=0,0,(BL93-BK93)/BK93*100)</f>
        <v>0</v>
      </c>
      <c r="CG93" s="695">
        <f>IF(BL93=0,0,(BM93-BL93)/BL93*100)</f>
        <v>0</v>
      </c>
      <c r="CH93" s="695">
        <f>IF(BM93=0,0,(BN93-BM93)/BM93*100)</f>
        <v>0</v>
      </c>
      <c r="CI93" s="695">
        <f>IF(BN93=0,0,(BO93-BN93)/BN93*100)</f>
        <v>0</v>
      </c>
      <c r="CJ93" s="695">
        <f>IF(BO93=0,0,(BP93-BO93)/BO93*100)</f>
        <v>0</v>
      </c>
      <c r="CK93" s="695">
        <f>IF(BP93=0,0,(BQ93-BP93)/BP93*100)</f>
        <v>0</v>
      </c>
      <c r="CL93" s="695">
        <f>IF(BQ93=0,0,(BR93-BQ93)/BQ93*100)</f>
        <v>0</v>
      </c>
      <c r="CM93" s="695">
        <f>IF(BR93=0,0,(BS93-BR93)/BR93*100)</f>
        <v>0</v>
      </c>
      <c r="CN93" s="695">
        <f>IF(BS93=0,0,(BT93-BS93)/BS93*100)</f>
        <v>0</v>
      </c>
      <c r="CO93" s="695">
        <f>IF(BT93=0,0,(BU93-BT93)/BT93*100)</f>
        <v>0</v>
      </c>
      <c r="CP93" s="695">
        <f>IF(BU93=0,0,(BV93-BU93)/BU93*100)</f>
        <v>0</v>
      </c>
      <c r="CQ93" s="695">
        <f>IF(BV93=0,0,(BW93-BV93)/BV93*100)</f>
        <v>0</v>
      </c>
      <c r="CR93" s="83"/>
      <c r="CS93" s="83"/>
      <c r="CT93" s="83"/>
      <c r="CU93" s="286"/>
      <c r="CV93" s="1659"/>
      <c r="CW93" s="489" t="s">
        <v>1977</v>
      </c>
      <c r="CX93" s="1125"/>
      <c r="CY93" s="1125"/>
      <c r="CZ93" s="1126"/>
      <c r="DA93" s="1126"/>
      <c r="DB93" s="1506"/>
      <c r="DC93" s="1506"/>
      <c r="DD93" s="0" cm="1" t="str">
        <f t="array" ref="DD93:DD93">DD92</f>
        <v>ТЭ.42.31656254.0001</v>
      </c>
      <c r="DE93" s="1751"/>
      <c r="DF93" s="1751"/>
      <c r="DG93" s="1751"/>
      <c r="DH93" s="1751"/>
      <c r="DI93" s="1751"/>
      <c r="DJ93" s="1751"/>
      <c r="DK93" s="1751"/>
      <c r="DL93" s="1751"/>
      <c r="DM93" s="0" t="s">
        <v>1978</v>
      </c>
      <c r="DN93" s="1751"/>
      <c r="DO93" s="0" t="s">
        <v>303</v>
      </c>
      <c r="DP93" s="0" t="s">
        <v>1979</v>
      </c>
      <c r="DQ93" s="0" t="s">
        <v>1980</v>
      </c>
      <c r="DR93" s="1751"/>
    </row>
    <row s="1751" customFormat="1" customHeight="1" ht="16.5" hidden="1">
      <c r="A94" s="371"/>
      <c r="B94" s="1548"/>
      <c r="C94" s="1506"/>
      <c r="D94" s="1506"/>
      <c r="E94" s="180">
        <v>17</v>
      </c>
      <c r="F94" s="175" cm="1" t="str">
        <f t="array" ref="F94:F94">OFFSET(G94,-1,-1)</f>
        <v>1</v>
      </c>
      <c r="G94" s="1659"/>
      <c r="H94" s="1659"/>
      <c r="I94" s="1659"/>
      <c r="J94" s="1659"/>
      <c r="K94" s="1659"/>
      <c r="L94" s="1659"/>
      <c r="M94" s="1506"/>
      <c r="N94" s="1506"/>
      <c r="O94" s="1506"/>
      <c r="P94" s="1506"/>
      <c r="Q94" s="1506"/>
      <c r="R94" s="1506"/>
      <c r="S94" s="1506"/>
      <c r="T94" s="753">
        <f>AND(F94&gt;0,method_reg="Метод обеспечения доходности инвестированного капитала")</f>
        <v>0</v>
      </c>
      <c r="U94" s="1548"/>
      <c r="V94" s="1548"/>
      <c r="W94" s="1548"/>
      <c r="X94" s="1548"/>
      <c r="Y94" s="1548"/>
      <c r="Z94" s="1548"/>
      <c r="AA94" s="286"/>
      <c r="AB94" s="794">
        <v>5.4</v>
      </c>
      <c r="AC94" s="139" t="s">
        <v>1981</v>
      </c>
      <c r="AD94" s="666" t="s">
        <v>917</v>
      </c>
      <c r="AE94" s="132"/>
      <c r="AF94" s="132"/>
      <c r="AG94" s="132"/>
      <c r="AH94" s="695">
        <f>AG94-AF94</f>
        <v>0</v>
      </c>
      <c r="AI94" s="132"/>
      <c r="AJ94" s="749"/>
      <c r="AK94" s="132"/>
      <c r="AL94" s="132"/>
      <c r="AM94" s="132"/>
      <c r="AN94" s="132"/>
      <c r="AO94" s="132"/>
      <c r="AP94" s="132"/>
      <c r="AQ94" s="132"/>
      <c r="AR94" s="132"/>
      <c r="AS94" s="132"/>
      <c r="AT94" s="132"/>
      <c r="AU94" s="132"/>
      <c r="AV94" s="132"/>
      <c r="AW94" s="132"/>
      <c r="AX94" s="132"/>
      <c r="AY94" s="132"/>
      <c r="AZ94" s="132"/>
      <c r="BA94" s="132"/>
      <c r="BB94" s="132"/>
      <c r="BC94" s="132"/>
      <c r="BD94" s="749"/>
      <c r="BE94" s="132"/>
      <c r="BF94" s="132"/>
      <c r="BG94" s="132"/>
      <c r="BH94" s="132"/>
      <c r="BI94" s="132"/>
      <c r="BJ94" s="132"/>
      <c r="BK94" s="132"/>
      <c r="BL94" s="132"/>
      <c r="BM94" s="132"/>
      <c r="BN94" s="132"/>
      <c r="BO94" s="132"/>
      <c r="BP94" s="132"/>
      <c r="BQ94" s="132"/>
      <c r="BR94" s="132"/>
      <c r="BS94" s="132"/>
      <c r="BT94" s="132"/>
      <c r="BU94" s="132"/>
      <c r="BV94" s="132"/>
      <c r="BW94" s="132"/>
      <c r="BX94" s="695">
        <f>IF(AI94=0,0,(BD94-AI94)/AI94*100)</f>
        <v>0</v>
      </c>
      <c r="BY94" s="695">
        <f>IF(BD94=0,0,(BE94-BD94)/BD94*100)</f>
        <v>0</v>
      </c>
      <c r="BZ94" s="695">
        <f>IF(BE94=0,0,(BF94-BE94)/BE94*100)</f>
        <v>0</v>
      </c>
      <c r="CA94" s="695">
        <f>IF(BF94=0,0,(BG94-BF94)/BF94*100)</f>
        <v>0</v>
      </c>
      <c r="CB94" s="695">
        <f>IF(BG94=0,0,(BH94-BG94)/BG94*100)</f>
        <v>0</v>
      </c>
      <c r="CC94" s="695">
        <f>IF(BH94=0,0,(BI94-BH94)/BH94*100)</f>
        <v>0</v>
      </c>
      <c r="CD94" s="695">
        <f>IF(BI94=0,0,(BJ94-BI94)/BI94*100)</f>
        <v>0</v>
      </c>
      <c r="CE94" s="695">
        <f>IF(BJ94=0,0,(BK94-BJ94)/BJ94*100)</f>
        <v>0</v>
      </c>
      <c r="CF94" s="695">
        <f>IF(BK94=0,0,(BL94-BK94)/BK94*100)</f>
        <v>0</v>
      </c>
      <c r="CG94" s="695">
        <f>IF(BL94=0,0,(BM94-BL94)/BL94*100)</f>
        <v>0</v>
      </c>
      <c r="CH94" s="695">
        <f>IF(BM94=0,0,(BN94-BM94)/BM94*100)</f>
        <v>0</v>
      </c>
      <c r="CI94" s="695">
        <f>IF(BN94=0,0,(BO94-BN94)/BN94*100)</f>
        <v>0</v>
      </c>
      <c r="CJ94" s="695">
        <f>IF(BO94=0,0,(BP94-BO94)/BO94*100)</f>
        <v>0</v>
      </c>
      <c r="CK94" s="695">
        <f>IF(BP94=0,0,(BQ94-BP94)/BP94*100)</f>
        <v>0</v>
      </c>
      <c r="CL94" s="695">
        <f>IF(BQ94=0,0,(BR94-BQ94)/BQ94*100)</f>
        <v>0</v>
      </c>
      <c r="CM94" s="695">
        <f>IF(BR94=0,0,(BS94-BR94)/BR94*100)</f>
        <v>0</v>
      </c>
      <c r="CN94" s="695">
        <f>IF(BS94=0,0,(BT94-BS94)/BS94*100)</f>
        <v>0</v>
      </c>
      <c r="CO94" s="695">
        <f>IF(BT94=0,0,(BU94-BT94)/BT94*100)</f>
        <v>0</v>
      </c>
      <c r="CP94" s="695">
        <f>IF(BU94=0,0,(BV94-BU94)/BU94*100)</f>
        <v>0</v>
      </c>
      <c r="CQ94" s="695">
        <f>IF(BV94=0,0,(BW94-BV94)/BV94*100)</f>
        <v>0</v>
      </c>
      <c r="CR94" s="83"/>
      <c r="CS94" s="83"/>
      <c r="CT94" s="83"/>
      <c r="CU94" s="286"/>
      <c r="CV94" s="1659"/>
      <c r="CW94" s="489" t="s">
        <v>1982</v>
      </c>
      <c r="CX94" s="1125"/>
      <c r="CY94" s="1125"/>
      <c r="CZ94" s="1126"/>
      <c r="DA94" s="1126"/>
      <c r="DB94" s="1506"/>
      <c r="DC94" s="1506"/>
      <c r="DD94" s="0" cm="1" t="str">
        <f t="array" ref="DD94:DD94">DD93</f>
        <v>ТЭ.42.31656254.0001</v>
      </c>
      <c r="DE94" s="1751"/>
      <c r="DF94" s="1751"/>
      <c r="DG94" s="1751"/>
      <c r="DH94" s="1751"/>
      <c r="DI94" s="1751"/>
      <c r="DJ94" s="1751"/>
      <c r="DK94" s="1751"/>
      <c r="DL94" s="1751"/>
      <c r="DM94" s="0" t="s">
        <v>1983</v>
      </c>
      <c r="DN94" s="1751"/>
      <c r="DO94" s="0" t="s">
        <v>303</v>
      </c>
      <c r="DP94" s="0" t="s">
        <v>1984</v>
      </c>
      <c r="DQ94" s="0" t="s">
        <v>1985</v>
      </c>
      <c r="DR94" s="1751"/>
    </row>
    <row s="1751" customFormat="1" customHeight="1" ht="16.5" hidden="1">
      <c r="A95" s="371"/>
      <c r="B95" s="1548"/>
      <c r="C95" s="1506"/>
      <c r="D95" s="1506"/>
      <c r="E95" s="180">
        <v>17</v>
      </c>
      <c r="F95" s="175" cm="1" t="str">
        <f t="array" ref="F95:F95">OFFSET(G95,-1,-1)</f>
        <v>1</v>
      </c>
      <c r="G95" s="1659"/>
      <c r="H95" s="1659"/>
      <c r="I95" s="1659"/>
      <c r="J95" s="1659"/>
      <c r="K95" s="1659"/>
      <c r="L95" s="1659"/>
      <c r="M95" s="1506"/>
      <c r="N95" s="1506"/>
      <c r="O95" s="1506"/>
      <c r="P95" s="1506"/>
      <c r="Q95" s="1506"/>
      <c r="R95" s="1506"/>
      <c r="S95" s="1506"/>
      <c r="T95" s="753">
        <f>AND(F95&gt;0,method_reg="Метод обеспечения доходности инвестированного капитала")</f>
        <v>0</v>
      </c>
      <c r="U95" s="1548"/>
      <c r="V95" s="1548"/>
      <c r="W95" s="1548"/>
      <c r="X95" s="1548"/>
      <c r="Y95" s="1548"/>
      <c r="Z95" s="1548"/>
      <c r="AA95" s="286"/>
      <c r="AB95" s="794" t="s">
        <v>1986</v>
      </c>
      <c r="AC95" s="140" t="s">
        <v>1987</v>
      </c>
      <c r="AD95" s="666" t="s">
        <v>495</v>
      </c>
      <c r="AE95" s="132"/>
      <c r="AF95" s="132"/>
      <c r="AG95" s="132"/>
      <c r="AH95" s="695">
        <f>AG95-AF95</f>
        <v>0</v>
      </c>
      <c r="AI95" s="132"/>
      <c r="AJ95" s="749"/>
      <c r="AK95" s="132"/>
      <c r="AL95" s="132"/>
      <c r="AM95" s="132"/>
      <c r="AN95" s="132"/>
      <c r="AO95" s="132"/>
      <c r="AP95" s="132"/>
      <c r="AQ95" s="132"/>
      <c r="AR95" s="132"/>
      <c r="AS95" s="132"/>
      <c r="AT95" s="132"/>
      <c r="AU95" s="132"/>
      <c r="AV95" s="132"/>
      <c r="AW95" s="132"/>
      <c r="AX95" s="132"/>
      <c r="AY95" s="132"/>
      <c r="AZ95" s="132"/>
      <c r="BA95" s="132"/>
      <c r="BB95" s="132"/>
      <c r="BC95" s="132"/>
      <c r="BD95" s="749"/>
      <c r="BE95" s="132"/>
      <c r="BF95" s="132"/>
      <c r="BG95" s="132"/>
      <c r="BH95" s="132"/>
      <c r="BI95" s="132"/>
      <c r="BJ95" s="132"/>
      <c r="BK95" s="132"/>
      <c r="BL95" s="132"/>
      <c r="BM95" s="132"/>
      <c r="BN95" s="132"/>
      <c r="BO95" s="132"/>
      <c r="BP95" s="132"/>
      <c r="BQ95" s="132"/>
      <c r="BR95" s="132"/>
      <c r="BS95" s="132"/>
      <c r="BT95" s="132"/>
      <c r="BU95" s="132"/>
      <c r="BV95" s="132"/>
      <c r="BW95" s="132"/>
      <c r="BX95" s="695">
        <f>IF(AI95=0,0,(BD95-AI95)/AI95*100)</f>
        <v>0</v>
      </c>
      <c r="BY95" s="695">
        <f>IF(BD95=0,0,(BE95-BD95)/BD95*100)</f>
        <v>0</v>
      </c>
      <c r="BZ95" s="695">
        <f>IF(BE95=0,0,(BF95-BE95)/BE95*100)</f>
        <v>0</v>
      </c>
      <c r="CA95" s="695">
        <f>IF(BF95=0,0,(BG95-BF95)/BF95*100)</f>
        <v>0</v>
      </c>
      <c r="CB95" s="695">
        <f>IF(BG95=0,0,(BH95-BG95)/BG95*100)</f>
        <v>0</v>
      </c>
      <c r="CC95" s="695">
        <f>IF(BH95=0,0,(BI95-BH95)/BH95*100)</f>
        <v>0</v>
      </c>
      <c r="CD95" s="695">
        <f>IF(BI95=0,0,(BJ95-BI95)/BI95*100)</f>
        <v>0</v>
      </c>
      <c r="CE95" s="695">
        <f>IF(BJ95=0,0,(BK95-BJ95)/BJ95*100)</f>
        <v>0</v>
      </c>
      <c r="CF95" s="695">
        <f>IF(BK95=0,0,(BL95-BK95)/BK95*100)</f>
        <v>0</v>
      </c>
      <c r="CG95" s="695">
        <f>IF(BL95=0,0,(BM95-BL95)/BL95*100)</f>
        <v>0</v>
      </c>
      <c r="CH95" s="695">
        <f>IF(BM95=0,0,(BN95-BM95)/BM95*100)</f>
        <v>0</v>
      </c>
      <c r="CI95" s="695">
        <f>IF(BN95=0,0,(BO95-BN95)/BN95*100)</f>
        <v>0</v>
      </c>
      <c r="CJ95" s="695">
        <f>IF(BO95=0,0,(BP95-BO95)/BO95*100)</f>
        <v>0</v>
      </c>
      <c r="CK95" s="695">
        <f>IF(BP95=0,0,(BQ95-BP95)/BP95*100)</f>
        <v>0</v>
      </c>
      <c r="CL95" s="695">
        <f>IF(BQ95=0,0,(BR95-BQ95)/BQ95*100)</f>
        <v>0</v>
      </c>
      <c r="CM95" s="695">
        <f>IF(BR95=0,0,(BS95-BR95)/BR95*100)</f>
        <v>0</v>
      </c>
      <c r="CN95" s="695">
        <f>IF(BS95=0,0,(BT95-BS95)/BS95*100)</f>
        <v>0</v>
      </c>
      <c r="CO95" s="695">
        <f>IF(BT95=0,0,(BU95-BT95)/BT95*100)</f>
        <v>0</v>
      </c>
      <c r="CP95" s="695">
        <f>IF(BU95=0,0,(BV95-BU95)/BU95*100)</f>
        <v>0</v>
      </c>
      <c r="CQ95" s="695">
        <f>IF(BV95=0,0,(BW95-BV95)/BV95*100)</f>
        <v>0</v>
      </c>
      <c r="CR95" s="83"/>
      <c r="CS95" s="83"/>
      <c r="CT95" s="83"/>
      <c r="CU95" s="286"/>
      <c r="CV95" s="1659"/>
      <c r="CW95" s="489" t="s">
        <v>1988</v>
      </c>
      <c r="CX95" s="1125"/>
      <c r="CY95" s="1125"/>
      <c r="CZ95" s="1126"/>
      <c r="DA95" s="1126"/>
      <c r="DB95" s="1506"/>
      <c r="DC95" s="1506"/>
      <c r="DD95" s="0" cm="1" t="str">
        <f t="array" ref="DD95:DD95">DD94</f>
        <v>ТЭ.42.31656254.0001</v>
      </c>
      <c r="DE95" s="1751"/>
      <c r="DF95" s="1751"/>
      <c r="DG95" s="1751"/>
      <c r="DH95" s="1751"/>
      <c r="DI95" s="1751"/>
      <c r="DJ95" s="1751"/>
      <c r="DK95" s="1751"/>
      <c r="DL95" s="1751"/>
      <c r="DM95" s="0" t="s">
        <v>1989</v>
      </c>
      <c r="DN95" s="1751"/>
      <c r="DO95" s="0" t="s">
        <v>303</v>
      </c>
      <c r="DP95" s="0" t="s">
        <v>1990</v>
      </c>
      <c r="DQ95" s="0" t="s">
        <v>1991</v>
      </c>
      <c r="DR95" s="1751"/>
    </row>
    <row s="1751" customFormat="1" customHeight="1" ht="16.5" hidden="1">
      <c r="A96" s="371"/>
      <c r="B96" s="1548"/>
      <c r="C96" s="1506"/>
      <c r="D96" s="1506"/>
      <c r="E96" s="180">
        <v>17</v>
      </c>
      <c r="F96" s="175" cm="1" t="str">
        <f t="array" ref="F96:F96">OFFSET(G96,-1,-1)</f>
        <v>1</v>
      </c>
      <c r="G96" s="1659"/>
      <c r="H96" s="1659"/>
      <c r="I96" s="1659"/>
      <c r="J96" s="1659"/>
      <c r="K96" s="1659"/>
      <c r="L96" s="1659"/>
      <c r="M96" s="1506"/>
      <c r="N96" s="1506"/>
      <c r="O96" s="1506"/>
      <c r="P96" s="1506"/>
      <c r="Q96" s="1506"/>
      <c r="R96" s="1506"/>
      <c r="S96" s="1506"/>
      <c r="T96" s="753">
        <f>AND(F96&gt;0,method_reg="Метод обеспечения доходности инвестированного капитала")</f>
        <v>0</v>
      </c>
      <c r="U96" s="1548"/>
      <c r="V96" s="1548"/>
      <c r="W96" s="1548"/>
      <c r="X96" s="1548"/>
      <c r="Y96" s="1548"/>
      <c r="Z96" s="1548"/>
      <c r="AA96" s="286"/>
      <c r="AB96" s="794">
        <v>5.5</v>
      </c>
      <c r="AC96" s="139" t="s">
        <v>1992</v>
      </c>
      <c r="AD96" s="666" t="s">
        <v>495</v>
      </c>
      <c r="AE96" s="132"/>
      <c r="AF96" s="132"/>
      <c r="AG96" s="132"/>
      <c r="AH96" s="695">
        <f>AG96-AF96</f>
        <v>0</v>
      </c>
      <c r="AI96" s="132"/>
      <c r="AJ96" s="749"/>
      <c r="AK96" s="132"/>
      <c r="AL96" s="132"/>
      <c r="AM96" s="132"/>
      <c r="AN96" s="132"/>
      <c r="AO96" s="132"/>
      <c r="AP96" s="132"/>
      <c r="AQ96" s="132"/>
      <c r="AR96" s="132"/>
      <c r="AS96" s="132"/>
      <c r="AT96" s="132"/>
      <c r="AU96" s="132"/>
      <c r="AV96" s="132"/>
      <c r="AW96" s="132"/>
      <c r="AX96" s="132"/>
      <c r="AY96" s="132"/>
      <c r="AZ96" s="132"/>
      <c r="BA96" s="132"/>
      <c r="BB96" s="132"/>
      <c r="BC96" s="132"/>
      <c r="BD96" s="749"/>
      <c r="BE96" s="132"/>
      <c r="BF96" s="132"/>
      <c r="BG96" s="132"/>
      <c r="BH96" s="132"/>
      <c r="BI96" s="132"/>
      <c r="BJ96" s="132"/>
      <c r="BK96" s="132"/>
      <c r="BL96" s="132"/>
      <c r="BM96" s="132"/>
      <c r="BN96" s="132"/>
      <c r="BO96" s="132"/>
      <c r="BP96" s="132"/>
      <c r="BQ96" s="132"/>
      <c r="BR96" s="132"/>
      <c r="BS96" s="132"/>
      <c r="BT96" s="132"/>
      <c r="BU96" s="132"/>
      <c r="BV96" s="132"/>
      <c r="BW96" s="132"/>
      <c r="BX96" s="695">
        <f>IF(AI96=0,0,(BD96-AI96)/AI96*100)</f>
        <v>0</v>
      </c>
      <c r="BY96" s="695">
        <f>IF(BD96=0,0,(BE96-BD96)/BD96*100)</f>
        <v>0</v>
      </c>
      <c r="BZ96" s="695">
        <f>IF(BE96=0,0,(BF96-BE96)/BE96*100)</f>
        <v>0</v>
      </c>
      <c r="CA96" s="695">
        <f>IF(BF96=0,0,(BG96-BF96)/BF96*100)</f>
        <v>0</v>
      </c>
      <c r="CB96" s="695">
        <f>IF(BG96=0,0,(BH96-BG96)/BG96*100)</f>
        <v>0</v>
      </c>
      <c r="CC96" s="695">
        <f>IF(BH96=0,0,(BI96-BH96)/BH96*100)</f>
        <v>0</v>
      </c>
      <c r="CD96" s="695">
        <f>IF(BI96=0,0,(BJ96-BI96)/BI96*100)</f>
        <v>0</v>
      </c>
      <c r="CE96" s="695">
        <f>IF(BJ96=0,0,(BK96-BJ96)/BJ96*100)</f>
        <v>0</v>
      </c>
      <c r="CF96" s="695">
        <f>IF(BK96=0,0,(BL96-BK96)/BK96*100)</f>
        <v>0</v>
      </c>
      <c r="CG96" s="695">
        <f>IF(BL96=0,0,(BM96-BL96)/BL96*100)</f>
        <v>0</v>
      </c>
      <c r="CH96" s="695">
        <f>IF(BM96=0,0,(BN96-BM96)/BM96*100)</f>
        <v>0</v>
      </c>
      <c r="CI96" s="695">
        <f>IF(BN96=0,0,(BO96-BN96)/BN96*100)</f>
        <v>0</v>
      </c>
      <c r="CJ96" s="695">
        <f>IF(BO96=0,0,(BP96-BO96)/BO96*100)</f>
        <v>0</v>
      </c>
      <c r="CK96" s="695">
        <f>IF(BP96=0,0,(BQ96-BP96)/BP96*100)</f>
        <v>0</v>
      </c>
      <c r="CL96" s="695">
        <f>IF(BQ96=0,0,(BR96-BQ96)/BQ96*100)</f>
        <v>0</v>
      </c>
      <c r="CM96" s="695">
        <f>IF(BR96=0,0,(BS96-BR96)/BR96*100)</f>
        <v>0</v>
      </c>
      <c r="CN96" s="695">
        <f>IF(BS96=0,0,(BT96-BS96)/BS96*100)</f>
        <v>0</v>
      </c>
      <c r="CO96" s="695">
        <f>IF(BT96=0,0,(BU96-BT96)/BT96*100)</f>
        <v>0</v>
      </c>
      <c r="CP96" s="695">
        <f>IF(BU96=0,0,(BV96-BU96)/BU96*100)</f>
        <v>0</v>
      </c>
      <c r="CQ96" s="695">
        <f>IF(BV96=0,0,(BW96-BV96)/BV96*100)</f>
        <v>0</v>
      </c>
      <c r="CR96" s="83"/>
      <c r="CS96" s="83"/>
      <c r="CT96" s="83"/>
      <c r="CU96" s="286"/>
      <c r="CV96" s="1659"/>
      <c r="CW96" s="489" t="s">
        <v>1993</v>
      </c>
      <c r="CX96" s="1125"/>
      <c r="CY96" s="1125"/>
      <c r="CZ96" s="1126"/>
      <c r="DA96" s="1126"/>
      <c r="DB96" s="1506"/>
      <c r="DC96" s="1506"/>
      <c r="DD96" s="0" cm="1" t="str">
        <f t="array" ref="DD96:DD96">DD95</f>
        <v>ТЭ.42.31656254.0001</v>
      </c>
      <c r="DE96" s="1751"/>
      <c r="DF96" s="1751"/>
      <c r="DG96" s="1751"/>
      <c r="DH96" s="1751"/>
      <c r="DI96" s="1751"/>
      <c r="DJ96" s="1751"/>
      <c r="DK96" s="1751"/>
      <c r="DL96" s="1751"/>
      <c r="DM96" s="0" t="s">
        <v>1994</v>
      </c>
      <c r="DN96" s="1751"/>
      <c r="DO96" s="0" t="s">
        <v>303</v>
      </c>
      <c r="DP96" s="0" t="s">
        <v>1995</v>
      </c>
      <c r="DQ96" s="0" t="s">
        <v>1996</v>
      </c>
      <c r="DR96" s="1751"/>
    </row>
    <row s="1751" customFormat="1" customHeight="1" ht="16.5" hidden="1">
      <c r="A97" s="371"/>
      <c r="B97" s="1548"/>
      <c r="C97" s="1506"/>
      <c r="D97" s="1506"/>
      <c r="E97" s="180">
        <v>17</v>
      </c>
      <c r="F97" s="175" cm="1" t="str">
        <f t="array" ref="F97:F97">OFFSET(G97,-1,-1)</f>
        <v>1</v>
      </c>
      <c r="G97" s="1659"/>
      <c r="H97" s="1659"/>
      <c r="I97" s="1659"/>
      <c r="J97" s="1659"/>
      <c r="K97" s="1659"/>
      <c r="L97" s="1659"/>
      <c r="M97" s="1506"/>
      <c r="N97" s="1506"/>
      <c r="O97" s="1506"/>
      <c r="P97" s="1506"/>
      <c r="Q97" s="1506"/>
      <c r="R97" s="1506"/>
      <c r="S97" s="1506"/>
      <c r="T97" s="753">
        <f>AND(F97&gt;0,method_reg="Метод обеспечения доходности инвестированного капитала")</f>
        <v>0</v>
      </c>
      <c r="U97" s="1548"/>
      <c r="V97" s="1548"/>
      <c r="W97" s="1548"/>
      <c r="X97" s="1548"/>
      <c r="Y97" s="1548"/>
      <c r="Z97" s="1548"/>
      <c r="AA97" s="286"/>
      <c r="AB97" s="794" t="s">
        <v>1997</v>
      </c>
      <c r="AC97" s="140" t="s">
        <v>1998</v>
      </c>
      <c r="AD97" s="666" t="s">
        <v>495</v>
      </c>
      <c r="AE97" s="132"/>
      <c r="AF97" s="132"/>
      <c r="AG97" s="132"/>
      <c r="AH97" s="695">
        <f>AG97-AF97</f>
        <v>0</v>
      </c>
      <c r="AI97" s="132"/>
      <c r="AJ97" s="749"/>
      <c r="AK97" s="132"/>
      <c r="AL97" s="132"/>
      <c r="AM97" s="132"/>
      <c r="AN97" s="132"/>
      <c r="AO97" s="132"/>
      <c r="AP97" s="132"/>
      <c r="AQ97" s="132"/>
      <c r="AR97" s="132"/>
      <c r="AS97" s="132"/>
      <c r="AT97" s="132"/>
      <c r="AU97" s="132"/>
      <c r="AV97" s="132"/>
      <c r="AW97" s="132"/>
      <c r="AX97" s="132"/>
      <c r="AY97" s="132"/>
      <c r="AZ97" s="132"/>
      <c r="BA97" s="132"/>
      <c r="BB97" s="132"/>
      <c r="BC97" s="132"/>
      <c r="BD97" s="749"/>
      <c r="BE97" s="132"/>
      <c r="BF97" s="132"/>
      <c r="BG97" s="132"/>
      <c r="BH97" s="132"/>
      <c r="BI97" s="132"/>
      <c r="BJ97" s="132"/>
      <c r="BK97" s="132"/>
      <c r="BL97" s="132"/>
      <c r="BM97" s="132"/>
      <c r="BN97" s="132"/>
      <c r="BO97" s="132"/>
      <c r="BP97" s="132"/>
      <c r="BQ97" s="132"/>
      <c r="BR97" s="132"/>
      <c r="BS97" s="132"/>
      <c r="BT97" s="132"/>
      <c r="BU97" s="132"/>
      <c r="BV97" s="132"/>
      <c r="BW97" s="132"/>
      <c r="BX97" s="695">
        <f>IF(AI97=0,0,(BD97-AI97)/AI97*100)</f>
        <v>0</v>
      </c>
      <c r="BY97" s="695">
        <f>IF(BD97=0,0,(BE97-BD97)/BD97*100)</f>
        <v>0</v>
      </c>
      <c r="BZ97" s="695">
        <f>IF(BE97=0,0,(BF97-BE97)/BE97*100)</f>
        <v>0</v>
      </c>
      <c r="CA97" s="695">
        <f>IF(BF97=0,0,(BG97-BF97)/BF97*100)</f>
        <v>0</v>
      </c>
      <c r="CB97" s="695">
        <f>IF(BG97=0,0,(BH97-BG97)/BG97*100)</f>
        <v>0</v>
      </c>
      <c r="CC97" s="695">
        <f>IF(BH97=0,0,(BI97-BH97)/BH97*100)</f>
        <v>0</v>
      </c>
      <c r="CD97" s="695">
        <f>IF(BI97=0,0,(BJ97-BI97)/BI97*100)</f>
        <v>0</v>
      </c>
      <c r="CE97" s="695">
        <f>IF(BJ97=0,0,(BK97-BJ97)/BJ97*100)</f>
        <v>0</v>
      </c>
      <c r="CF97" s="695">
        <f>IF(BK97=0,0,(BL97-BK97)/BK97*100)</f>
        <v>0</v>
      </c>
      <c r="CG97" s="695">
        <f>IF(BL97=0,0,(BM97-BL97)/BL97*100)</f>
        <v>0</v>
      </c>
      <c r="CH97" s="695">
        <f>IF(BM97=0,0,(BN97-BM97)/BM97*100)</f>
        <v>0</v>
      </c>
      <c r="CI97" s="695">
        <f>IF(BN97=0,0,(BO97-BN97)/BN97*100)</f>
        <v>0</v>
      </c>
      <c r="CJ97" s="695">
        <f>IF(BO97=0,0,(BP97-BO97)/BO97*100)</f>
        <v>0</v>
      </c>
      <c r="CK97" s="695">
        <f>IF(BP97=0,0,(BQ97-BP97)/BP97*100)</f>
        <v>0</v>
      </c>
      <c r="CL97" s="695">
        <f>IF(BQ97=0,0,(BR97-BQ97)/BQ97*100)</f>
        <v>0</v>
      </c>
      <c r="CM97" s="695">
        <f>IF(BR97=0,0,(BS97-BR97)/BR97*100)</f>
        <v>0</v>
      </c>
      <c r="CN97" s="695">
        <f>IF(BS97=0,0,(BT97-BS97)/BS97*100)</f>
        <v>0</v>
      </c>
      <c r="CO97" s="695">
        <f>IF(BT97=0,0,(BU97-BT97)/BT97*100)</f>
        <v>0</v>
      </c>
      <c r="CP97" s="695">
        <f>IF(BU97=0,0,(BV97-BU97)/BU97*100)</f>
        <v>0</v>
      </c>
      <c r="CQ97" s="695">
        <f>IF(BV97=0,0,(BW97-BV97)/BV97*100)</f>
        <v>0</v>
      </c>
      <c r="CR97" s="83"/>
      <c r="CS97" s="83"/>
      <c r="CT97" s="83"/>
      <c r="CU97" s="286"/>
      <c r="CV97" s="1659"/>
      <c r="CW97" s="489" t="s">
        <v>1999</v>
      </c>
      <c r="CX97" s="1125"/>
      <c r="CY97" s="1125"/>
      <c r="CZ97" s="1126"/>
      <c r="DA97" s="1126"/>
      <c r="DB97" s="1506"/>
      <c r="DC97" s="1506"/>
      <c r="DD97" s="0" cm="1" t="str">
        <f t="array" ref="DD97:DD97">DD96</f>
        <v>ТЭ.42.31656254.0001</v>
      </c>
      <c r="DE97" s="1751"/>
      <c r="DF97" s="1751"/>
      <c r="DG97" s="1751"/>
      <c r="DH97" s="1751"/>
      <c r="DI97" s="1751"/>
      <c r="DJ97" s="1751"/>
      <c r="DK97" s="1751"/>
      <c r="DL97" s="1751"/>
      <c r="DM97" s="0" t="s">
        <v>2000</v>
      </c>
      <c r="DN97" s="1751"/>
      <c r="DO97" s="0" t="s">
        <v>303</v>
      </c>
      <c r="DP97" s="0" t="s">
        <v>2001</v>
      </c>
      <c r="DQ97" s="0" t="s">
        <v>2002</v>
      </c>
      <c r="DR97" s="1751"/>
    </row>
    <row s="1751" customFormat="1" customHeight="1" ht="16.5" hidden="1">
      <c r="A98" s="371"/>
      <c r="B98" s="1548"/>
      <c r="C98" s="1506"/>
      <c r="D98" s="1506"/>
      <c r="E98" s="180">
        <v>17</v>
      </c>
      <c r="F98" s="175" cm="1" t="str">
        <f t="array" ref="F98:F98">OFFSET(G98,-1,-1)</f>
        <v>1</v>
      </c>
      <c r="G98" s="1659"/>
      <c r="H98" s="1659"/>
      <c r="I98" s="1659"/>
      <c r="J98" s="1659"/>
      <c r="K98" s="1659"/>
      <c r="L98" s="1659"/>
      <c r="M98" s="1506"/>
      <c r="N98" s="1506"/>
      <c r="O98" s="1506"/>
      <c r="P98" s="1506"/>
      <c r="Q98" s="1506"/>
      <c r="R98" s="1506"/>
      <c r="S98" s="1506"/>
      <c r="T98" s="753">
        <f>AND(F98&gt;0,method_reg="Метод обеспечения доходности инвестированного капитала")</f>
        <v>0</v>
      </c>
      <c r="U98" s="1548"/>
      <c r="V98" s="1548"/>
      <c r="W98" s="1548"/>
      <c r="X98" s="1548"/>
      <c r="Y98" s="1548"/>
      <c r="Z98" s="1548"/>
      <c r="AA98" s="286"/>
      <c r="AB98" s="794" t="s">
        <v>2003</v>
      </c>
      <c r="AC98" s="140" t="s">
        <v>2004</v>
      </c>
      <c r="AD98" s="666" t="s">
        <v>495</v>
      </c>
      <c r="AE98" s="132"/>
      <c r="AF98" s="132"/>
      <c r="AG98" s="132"/>
      <c r="AH98" s="695">
        <f>AG98-AF98</f>
        <v>0</v>
      </c>
      <c r="AI98" s="132"/>
      <c r="AJ98" s="749"/>
      <c r="AK98" s="132"/>
      <c r="AL98" s="132"/>
      <c r="AM98" s="132"/>
      <c r="AN98" s="132"/>
      <c r="AO98" s="132"/>
      <c r="AP98" s="132"/>
      <c r="AQ98" s="132"/>
      <c r="AR98" s="132"/>
      <c r="AS98" s="132"/>
      <c r="AT98" s="132"/>
      <c r="AU98" s="132"/>
      <c r="AV98" s="132"/>
      <c r="AW98" s="132"/>
      <c r="AX98" s="132"/>
      <c r="AY98" s="132"/>
      <c r="AZ98" s="132"/>
      <c r="BA98" s="132"/>
      <c r="BB98" s="132"/>
      <c r="BC98" s="132"/>
      <c r="BD98" s="749"/>
      <c r="BE98" s="132"/>
      <c r="BF98" s="132"/>
      <c r="BG98" s="132"/>
      <c r="BH98" s="132"/>
      <c r="BI98" s="132"/>
      <c r="BJ98" s="132"/>
      <c r="BK98" s="132"/>
      <c r="BL98" s="132"/>
      <c r="BM98" s="132"/>
      <c r="BN98" s="132"/>
      <c r="BO98" s="132"/>
      <c r="BP98" s="132"/>
      <c r="BQ98" s="132"/>
      <c r="BR98" s="132"/>
      <c r="BS98" s="132"/>
      <c r="BT98" s="132"/>
      <c r="BU98" s="132"/>
      <c r="BV98" s="132"/>
      <c r="BW98" s="132"/>
      <c r="BX98" s="695">
        <f>IF(AI98=0,0,(BD98-AI98)/AI98*100)</f>
        <v>0</v>
      </c>
      <c r="BY98" s="695">
        <f>IF(BD98=0,0,(BE98-BD98)/BD98*100)</f>
        <v>0</v>
      </c>
      <c r="BZ98" s="695">
        <f>IF(BE98=0,0,(BF98-BE98)/BE98*100)</f>
        <v>0</v>
      </c>
      <c r="CA98" s="695">
        <f>IF(BF98=0,0,(BG98-BF98)/BF98*100)</f>
        <v>0</v>
      </c>
      <c r="CB98" s="695">
        <f>IF(BG98=0,0,(BH98-BG98)/BG98*100)</f>
        <v>0</v>
      </c>
      <c r="CC98" s="695">
        <f>IF(BH98=0,0,(BI98-BH98)/BH98*100)</f>
        <v>0</v>
      </c>
      <c r="CD98" s="695">
        <f>IF(BI98=0,0,(BJ98-BI98)/BI98*100)</f>
        <v>0</v>
      </c>
      <c r="CE98" s="695">
        <f>IF(BJ98=0,0,(BK98-BJ98)/BJ98*100)</f>
        <v>0</v>
      </c>
      <c r="CF98" s="695">
        <f>IF(BK98=0,0,(BL98-BK98)/BK98*100)</f>
        <v>0</v>
      </c>
      <c r="CG98" s="695">
        <f>IF(BL98=0,0,(BM98-BL98)/BL98*100)</f>
        <v>0</v>
      </c>
      <c r="CH98" s="695">
        <f>IF(BM98=0,0,(BN98-BM98)/BM98*100)</f>
        <v>0</v>
      </c>
      <c r="CI98" s="695">
        <f>IF(BN98=0,0,(BO98-BN98)/BN98*100)</f>
        <v>0</v>
      </c>
      <c r="CJ98" s="695">
        <f>IF(BO98=0,0,(BP98-BO98)/BO98*100)</f>
        <v>0</v>
      </c>
      <c r="CK98" s="695">
        <f>IF(BP98=0,0,(BQ98-BP98)/BP98*100)</f>
        <v>0</v>
      </c>
      <c r="CL98" s="695">
        <f>IF(BQ98=0,0,(BR98-BQ98)/BQ98*100)</f>
        <v>0</v>
      </c>
      <c r="CM98" s="695">
        <f>IF(BR98=0,0,(BS98-BR98)/BR98*100)</f>
        <v>0</v>
      </c>
      <c r="CN98" s="695">
        <f>IF(BS98=0,0,(BT98-BS98)/BS98*100)</f>
        <v>0</v>
      </c>
      <c r="CO98" s="695">
        <f>IF(BT98=0,0,(BU98-BT98)/BT98*100)</f>
        <v>0</v>
      </c>
      <c r="CP98" s="695">
        <f>IF(BU98=0,0,(BV98-BU98)/BU98*100)</f>
        <v>0</v>
      </c>
      <c r="CQ98" s="695">
        <f>IF(BV98=0,0,(BW98-BV98)/BV98*100)</f>
        <v>0</v>
      </c>
      <c r="CR98" s="83"/>
      <c r="CS98" s="83"/>
      <c r="CT98" s="83"/>
      <c r="CU98" s="286"/>
      <c r="CV98" s="1659"/>
      <c r="CW98" s="489" t="s">
        <v>2005</v>
      </c>
      <c r="CX98" s="1125"/>
      <c r="CY98" s="1125"/>
      <c r="CZ98" s="1126"/>
      <c r="DA98" s="1126"/>
      <c r="DB98" s="1506"/>
      <c r="DC98" s="1506"/>
      <c r="DD98" s="0" cm="1" t="str">
        <f t="array" ref="DD98:DD98">DD97</f>
        <v>ТЭ.42.31656254.0001</v>
      </c>
      <c r="DE98" s="1751"/>
      <c r="DF98" s="1751"/>
      <c r="DG98" s="1751"/>
      <c r="DH98" s="1751"/>
      <c r="DI98" s="1751"/>
      <c r="DJ98" s="1751"/>
      <c r="DK98" s="1751"/>
      <c r="DL98" s="1751"/>
      <c r="DM98" s="0" t="s">
        <v>2006</v>
      </c>
      <c r="DN98" s="1751"/>
      <c r="DO98" s="0" t="s">
        <v>303</v>
      </c>
      <c r="DP98" s="0" t="s">
        <v>2007</v>
      </c>
      <c r="DQ98" s="0" t="s">
        <v>2008</v>
      </c>
      <c r="DR98" s="1751"/>
    </row>
    <row s="1751" customFormat="1" customHeight="1" ht="16.5">
      <c r="A99" s="371"/>
      <c r="B99" s="1548"/>
      <c r="C99" s="1506"/>
      <c r="D99" s="1506"/>
      <c r="E99" s="180">
        <v>17</v>
      </c>
      <c r="F99" s="175" cm="1" t="str">
        <f t="array" ref="F99:F99">OFFSET(G99,-1,-1)</f>
        <v>1</v>
      </c>
      <c r="G99" s="193" t="s">
        <v>1832</v>
      </c>
      <c r="H99" s="1659"/>
      <c r="I99" s="1659"/>
      <c r="J99" s="1659"/>
      <c r="K99" s="1659"/>
      <c r="L99" s="1659"/>
      <c r="M99" s="1506"/>
      <c r="N99" s="1506"/>
      <c r="O99" s="1506"/>
      <c r="P99" s="1506"/>
      <c r="Q99" s="1506"/>
      <c r="R99" s="1506"/>
      <c r="S99" s="1506"/>
      <c r="T99" s="753">
        <f>AND(F99&gt;0,method_reg="Метод индексации")</f>
        <v>1</v>
      </c>
      <c r="U99" s="1548"/>
      <c r="V99" s="1548"/>
      <c r="W99" s="1548"/>
      <c r="X99" s="1548"/>
      <c r="Y99" s="1548"/>
      <c r="Z99" s="1548"/>
      <c r="AA99" s="286"/>
      <c r="AB99" s="491">
        <v>4</v>
      </c>
      <c r="AC99" s="815" t="s">
        <v>1834</v>
      </c>
      <c r="AD99" s="467" t="s">
        <v>1178</v>
      </c>
      <c r="AE99" s="2356">
        <f>AE100+AE101+AE102+AE103</f>
        <v>0</v>
      </c>
      <c r="AF99" s="2356">
        <f>AF100+AF101+AF102+AF103</f>
        <v>0</v>
      </c>
      <c r="AG99" s="2356">
        <f>AG100+AG101+AG102+AG103</f>
        <v>0</v>
      </c>
      <c r="AH99" s="695">
        <f>AG99-AF99</f>
        <v>0</v>
      </c>
      <c r="AI99" s="2356">
        <f>AI100+AI101+AI102+AI103</f>
        <v>0</v>
      </c>
      <c r="AJ99" s="749">
        <f>AJ100+AJ101+AJ102+AJ103</f>
        <v>0</v>
      </c>
      <c r="AK99" s="2356">
        <f>AK100+AK101+AK102+AK103</f>
        <v>0</v>
      </c>
      <c r="AL99" s="2356">
        <f>AL100+AL101+AL102+AL103</f>
        <v>0</v>
      </c>
      <c r="AM99" s="2356">
        <f>AM100+AM101+AM102+AM103</f>
        <v>0</v>
      </c>
      <c r="AN99" s="2356">
        <f>AN100+AN101+AN102+AN103</f>
        <v>0</v>
      </c>
      <c r="AO99" s="2356">
        <f>AO100+AO101+AO102+AO103</f>
        <v>0</v>
      </c>
      <c r="AP99" s="2356">
        <f>AP100+AP101+AP102+AP103</f>
        <v>0</v>
      </c>
      <c r="AQ99" s="2356">
        <f>AQ100+AQ101+AQ102+AQ103</f>
        <v>0</v>
      </c>
      <c r="AR99" s="2356">
        <f>AR100+AR101+AR102+AR103</f>
        <v>0</v>
      </c>
      <c r="AS99" s="2356">
        <f>AS100+AS101+AS102+AS103</f>
        <v>0</v>
      </c>
      <c r="AT99" s="2356">
        <f>AT100+AT101+AT102+AT103</f>
        <v>0</v>
      </c>
      <c r="AU99" s="2356">
        <f>AU100+AU101+AU102+AU103</f>
        <v>0</v>
      </c>
      <c r="AV99" s="2356">
        <f>AV100+AV101+AV102+AV103</f>
        <v>0</v>
      </c>
      <c r="AW99" s="2356">
        <f>AW100+AW101+AW102+AW103</f>
        <v>0</v>
      </c>
      <c r="AX99" s="2356">
        <f>AX100+AX101+AX102+AX103</f>
        <v>0</v>
      </c>
      <c r="AY99" s="2356">
        <f>AY100+AY101+AY102+AY103</f>
        <v>0</v>
      </c>
      <c r="AZ99" s="2356">
        <f>AZ100+AZ101+AZ102+AZ103</f>
        <v>0</v>
      </c>
      <c r="BA99" s="2356">
        <f>BA100+BA101+BA102+BA103</f>
        <v>0</v>
      </c>
      <c r="BB99" s="2356">
        <f>BB100+BB101+BB102+BB103</f>
        <v>0</v>
      </c>
      <c r="BC99" s="2356">
        <f>BC100+BC101+BC102+BC103</f>
        <v>0</v>
      </c>
      <c r="BD99" s="749">
        <f>BD100+BD101+BD102+BD103</f>
        <v>0</v>
      </c>
      <c r="BE99" s="2356">
        <f>BE100+BE101+BE102+BE103</f>
        <v>0</v>
      </c>
      <c r="BF99" s="2356">
        <f>BF100+BF101+BF102+BF103</f>
        <v>0</v>
      </c>
      <c r="BG99" s="2356">
        <f>BG100+BG101+BG102+BG103</f>
        <v>0</v>
      </c>
      <c r="BH99" s="2356">
        <f>BH100+BH101+BH102+BH103</f>
        <v>0</v>
      </c>
      <c r="BI99" s="2356">
        <f>BI100+BI101+BI102+BI103</f>
        <v>0</v>
      </c>
      <c r="BJ99" s="2356">
        <f>BJ100+BJ101+BJ102+BJ103</f>
        <v>0</v>
      </c>
      <c r="BK99" s="2356">
        <f>BK100+BK101+BK102+BK103</f>
        <v>0</v>
      </c>
      <c r="BL99" s="2356">
        <f>BL100+BL101+BL102+BL103</f>
        <v>0</v>
      </c>
      <c r="BM99" s="2356">
        <f>BM100+BM101+BM102+BM103</f>
        <v>0</v>
      </c>
      <c r="BN99" s="2356">
        <f>BN100+BN101+BN102+BN103</f>
        <v>0</v>
      </c>
      <c r="BO99" s="2356">
        <f>BO100+BO101+BO102+BO103</f>
        <v>0</v>
      </c>
      <c r="BP99" s="2356">
        <f>BP100+BP101+BP102+BP103</f>
        <v>0</v>
      </c>
      <c r="BQ99" s="2356">
        <f>BQ100+BQ101+BQ102+BQ103</f>
        <v>0</v>
      </c>
      <c r="BR99" s="2356">
        <f>BR100+BR101+BR102+BR103</f>
        <v>0</v>
      </c>
      <c r="BS99" s="2356">
        <f>BS100+BS101+BS102+BS103</f>
        <v>0</v>
      </c>
      <c r="BT99" s="2356">
        <f>BT100+BT101+BT102+BT103</f>
        <v>0</v>
      </c>
      <c r="BU99" s="2356">
        <f>BU100+BU101+BU102+BU103</f>
        <v>0</v>
      </c>
      <c r="BV99" s="2356">
        <f>BV100+BV101+BV102+BV103</f>
        <v>0</v>
      </c>
      <c r="BW99" s="2356">
        <f>BW100+BW101+BW102+BW103</f>
        <v>0</v>
      </c>
      <c r="BX99" s="695">
        <f>IF(AI99=0,0,(BD99-AI99)/AI99*100)</f>
        <v>0</v>
      </c>
      <c r="BY99" s="695">
        <f>IF(BD99=0,0,(BE99-BD99)/BD99*100)</f>
        <v>0</v>
      </c>
      <c r="BZ99" s="695">
        <f>IF(BE99=0,0,(BF99-BE99)/BE99*100)</f>
        <v>0</v>
      </c>
      <c r="CA99" s="695">
        <f>IF(BF99=0,0,(BG99-BF99)/BF99*100)</f>
        <v>0</v>
      </c>
      <c r="CB99" s="695">
        <f>IF(BG99=0,0,(BH99-BG99)/BG99*100)</f>
        <v>0</v>
      </c>
      <c r="CC99" s="695">
        <f>IF(BH99=0,0,(BI99-BH99)/BH99*100)</f>
        <v>0</v>
      </c>
      <c r="CD99" s="695">
        <f>IF(BI99=0,0,(BJ99-BI99)/BI99*100)</f>
        <v>0</v>
      </c>
      <c r="CE99" s="695">
        <f>IF(BJ99=0,0,(BK99-BJ99)/BJ99*100)</f>
        <v>0</v>
      </c>
      <c r="CF99" s="695">
        <f>IF(BK99=0,0,(BL99-BK99)/BK99*100)</f>
        <v>0</v>
      </c>
      <c r="CG99" s="695">
        <f>IF(BL99=0,0,(BM99-BL99)/BL99*100)</f>
        <v>0</v>
      </c>
      <c r="CH99" s="695">
        <f>IF(BM99=0,0,(BN99-BM99)/BM99*100)</f>
        <v>0</v>
      </c>
      <c r="CI99" s="695">
        <f>IF(BN99=0,0,(BO99-BN99)/BN99*100)</f>
        <v>0</v>
      </c>
      <c r="CJ99" s="695">
        <f>IF(BO99=0,0,(BP99-BO99)/BO99*100)</f>
        <v>0</v>
      </c>
      <c r="CK99" s="695">
        <f>IF(BP99=0,0,(BQ99-BP99)/BP99*100)</f>
        <v>0</v>
      </c>
      <c r="CL99" s="695">
        <f>IF(BQ99=0,0,(BR99-BQ99)/BQ99*100)</f>
        <v>0</v>
      </c>
      <c r="CM99" s="695">
        <f>IF(BR99=0,0,(BS99-BR99)/BR99*100)</f>
        <v>0</v>
      </c>
      <c r="CN99" s="695">
        <f>IF(BS99=0,0,(BT99-BS99)/BS99*100)</f>
        <v>0</v>
      </c>
      <c r="CO99" s="695">
        <f>IF(BT99=0,0,(BU99-BT99)/BT99*100)</f>
        <v>0</v>
      </c>
      <c r="CP99" s="695">
        <f>IF(BU99=0,0,(BV99-BU99)/BU99*100)</f>
        <v>0</v>
      </c>
      <c r="CQ99" s="695">
        <f>IF(BV99=0,0,(BW99-BV99)/BV99*100)</f>
        <v>0</v>
      </c>
      <c r="CR99" s="1897"/>
      <c r="CS99" s="1897"/>
      <c r="CT99" s="1897"/>
      <c r="CU99" s="286"/>
      <c r="CV99" s="1659"/>
      <c r="CW99" s="489" t="s">
        <v>1835</v>
      </c>
      <c r="CX99" s="1125"/>
      <c r="CY99" s="1125"/>
      <c r="CZ99" s="1126"/>
      <c r="DA99" s="1126"/>
      <c r="DB99" s="1506"/>
      <c r="DC99" s="1506"/>
      <c r="DD99" s="0" cm="1" t="str">
        <f t="array" ref="DD99:DD99">DD98</f>
        <v>ТЭ.42.31656254.0001</v>
      </c>
      <c r="DE99" s="1751"/>
      <c r="DF99" s="1751"/>
      <c r="DG99" s="1751"/>
      <c r="DH99" s="1751"/>
      <c r="DI99" s="1751"/>
      <c r="DJ99" s="1751"/>
      <c r="DK99" s="1751"/>
      <c r="DL99" s="1751"/>
      <c r="DM99" s="0" t="s">
        <v>2009</v>
      </c>
      <c r="DN99" s="1751"/>
      <c r="DO99" s="0" t="s">
        <v>303</v>
      </c>
      <c r="DP99" s="0" t="s">
        <v>1836</v>
      </c>
      <c r="DQ99" s="0" t="s">
        <v>1837</v>
      </c>
      <c r="DR99" s="1751"/>
    </row>
    <row s="1751" customFormat="1" customHeight="1" ht="58.5">
      <c r="A100" s="371"/>
      <c r="B100" s="1548"/>
      <c r="C100" s="1506"/>
      <c r="D100" s="1506"/>
      <c r="E100" s="180">
        <v>60</v>
      </c>
      <c r="F100" s="175" cm="1" t="str">
        <f t="array" ref="F100:F100">OFFSET(G100,-1,-1)</f>
        <v>1</v>
      </c>
      <c r="G100" s="1659"/>
      <c r="H100" s="1659"/>
      <c r="I100" s="1659"/>
      <c r="J100" s="1659"/>
      <c r="K100" s="1659"/>
      <c r="L100" s="1659"/>
      <c r="M100" s="1506"/>
      <c r="N100" s="1506"/>
      <c r="O100" s="1506"/>
      <c r="P100" s="1506"/>
      <c r="Q100" s="1506"/>
      <c r="R100" s="1506"/>
      <c r="S100" s="1506"/>
      <c r="T100" s="753">
        <f>AND(F100&gt;0,method_reg="Метод индексации")</f>
        <v>1</v>
      </c>
      <c r="U100" s="1548"/>
      <c r="V100" s="1548"/>
      <c r="W100" s="1548"/>
      <c r="X100" s="1548"/>
      <c r="Y100" s="1548"/>
      <c r="Z100" s="1548"/>
      <c r="AA100" s="286"/>
      <c r="AB100" s="491">
        <v>4.1</v>
      </c>
      <c r="AC100" s="816" t="s">
        <v>2010</v>
      </c>
      <c r="AD100" s="467" t="s">
        <v>1709</v>
      </c>
      <c r="AE100" s="2356"/>
      <c r="AF100" s="2356"/>
      <c r="AG100" s="2356"/>
      <c r="AH100" s="695">
        <f>AG100-AF100</f>
        <v>0</v>
      </c>
      <c r="AI100" s="2356"/>
      <c r="AJ100" s="749"/>
      <c r="AK100" s="2356"/>
      <c r="AL100" s="2356"/>
      <c r="AM100" s="2356"/>
      <c r="AN100" s="2356"/>
      <c r="AO100" s="2356"/>
      <c r="AP100" s="2356"/>
      <c r="AQ100" s="2356"/>
      <c r="AR100" s="2356"/>
      <c r="AS100" s="2356"/>
      <c r="AT100" s="2356"/>
      <c r="AU100" s="2356"/>
      <c r="AV100" s="2356"/>
      <c r="AW100" s="2356"/>
      <c r="AX100" s="2356"/>
      <c r="AY100" s="2356"/>
      <c r="AZ100" s="2356"/>
      <c r="BA100" s="2356"/>
      <c r="BB100" s="2356"/>
      <c r="BC100" s="2356"/>
      <c r="BD100" s="749"/>
      <c r="BE100" s="2356"/>
      <c r="BF100" s="2356"/>
      <c r="BG100" s="2356"/>
      <c r="BH100" s="2356"/>
      <c r="BI100" s="2356"/>
      <c r="BJ100" s="2356"/>
      <c r="BK100" s="2356"/>
      <c r="BL100" s="2356"/>
      <c r="BM100" s="2356"/>
      <c r="BN100" s="2356"/>
      <c r="BO100" s="2356"/>
      <c r="BP100" s="2356"/>
      <c r="BQ100" s="2356"/>
      <c r="BR100" s="2356"/>
      <c r="BS100" s="2356"/>
      <c r="BT100" s="2356"/>
      <c r="BU100" s="2356"/>
      <c r="BV100" s="2356"/>
      <c r="BW100" s="2356"/>
      <c r="BX100" s="695">
        <f>IF(AI100=0,0,(BD100-AI100)/AI100*100)</f>
        <v>0</v>
      </c>
      <c r="BY100" s="695">
        <f>IF(BD100=0,0,(BE100-BD100)/BD100*100)</f>
        <v>0</v>
      </c>
      <c r="BZ100" s="695">
        <f>IF(BE100=0,0,(BF100-BE100)/BE100*100)</f>
        <v>0</v>
      </c>
      <c r="CA100" s="695">
        <f>IF(BF100=0,0,(BG100-BF100)/BF100*100)</f>
        <v>0</v>
      </c>
      <c r="CB100" s="695">
        <f>IF(BG100=0,0,(BH100-BG100)/BG100*100)</f>
        <v>0</v>
      </c>
      <c r="CC100" s="695">
        <f>IF(BH100=0,0,(BI100-BH100)/BH100*100)</f>
        <v>0</v>
      </c>
      <c r="CD100" s="695">
        <f>IF(BI100=0,0,(BJ100-BI100)/BI100*100)</f>
        <v>0</v>
      </c>
      <c r="CE100" s="695">
        <f>IF(BJ100=0,0,(BK100-BJ100)/BJ100*100)</f>
        <v>0</v>
      </c>
      <c r="CF100" s="695">
        <f>IF(BK100=0,0,(BL100-BK100)/BK100*100)</f>
        <v>0</v>
      </c>
      <c r="CG100" s="695">
        <f>IF(BL100=0,0,(BM100-BL100)/BL100*100)</f>
        <v>0</v>
      </c>
      <c r="CH100" s="695">
        <f>IF(BM100=0,0,(BN100-BM100)/BM100*100)</f>
        <v>0</v>
      </c>
      <c r="CI100" s="695">
        <f>IF(BN100=0,0,(BO100-BN100)/BN100*100)</f>
        <v>0</v>
      </c>
      <c r="CJ100" s="695">
        <f>IF(BO100=0,0,(BP100-BO100)/BO100*100)</f>
        <v>0</v>
      </c>
      <c r="CK100" s="695">
        <f>IF(BP100=0,0,(BQ100-BP100)/BP100*100)</f>
        <v>0</v>
      </c>
      <c r="CL100" s="695">
        <f>IF(BQ100=0,0,(BR100-BQ100)/BQ100*100)</f>
        <v>0</v>
      </c>
      <c r="CM100" s="695">
        <f>IF(BR100=0,0,(BS100-BR100)/BR100*100)</f>
        <v>0</v>
      </c>
      <c r="CN100" s="695">
        <f>IF(BS100=0,0,(BT100-BS100)/BS100*100)</f>
        <v>0</v>
      </c>
      <c r="CO100" s="695">
        <f>IF(BT100=0,0,(BU100-BT100)/BT100*100)</f>
        <v>0</v>
      </c>
      <c r="CP100" s="695">
        <f>IF(BU100=0,0,(BV100-BU100)/BU100*100)</f>
        <v>0</v>
      </c>
      <c r="CQ100" s="695">
        <f>IF(BV100=0,0,(BW100-BV100)/BV100*100)</f>
        <v>0</v>
      </c>
      <c r="CR100" s="1897"/>
      <c r="CS100" s="1897"/>
      <c r="CT100" s="1897"/>
      <c r="CU100" s="286"/>
      <c r="CV100" s="1659"/>
      <c r="CW100" s="489" t="s">
        <v>2011</v>
      </c>
      <c r="CX100" s="1125"/>
      <c r="CY100" s="1125"/>
      <c r="CZ100" s="1126"/>
      <c r="DA100" s="1126"/>
      <c r="DB100" s="1506"/>
      <c r="DC100" s="1506"/>
      <c r="DD100" s="0" cm="1" t="str">
        <f t="array" ref="DD100:DD100">DD99</f>
        <v>ТЭ.42.31656254.0001</v>
      </c>
      <c r="DE100" s="0" t="s">
        <v>2012</v>
      </c>
      <c r="DF100" s="1751"/>
      <c r="DG100" s="1751"/>
      <c r="DH100" s="1751"/>
      <c r="DI100" s="1751"/>
      <c r="DJ100" s="1751"/>
      <c r="DK100" s="1751"/>
      <c r="DL100" s="1751"/>
      <c r="DM100" s="1751"/>
      <c r="DN100" s="1751"/>
      <c r="DO100" s="0" t="s">
        <v>303</v>
      </c>
      <c r="DP100" s="0" t="s">
        <v>2013</v>
      </c>
      <c r="DQ100" s="0" t="s">
        <v>2014</v>
      </c>
      <c r="DR100" s="1751"/>
    </row>
    <row s="1751" customFormat="1" customHeight="1" ht="29.25">
      <c r="A101" s="371"/>
      <c r="B101" s="1548"/>
      <c r="C101" s="1506"/>
      <c r="D101" s="1506"/>
      <c r="E101" s="180">
        <v>30</v>
      </c>
      <c r="F101" s="175" cm="1" t="str">
        <f t="array" ref="F101:F101">OFFSET(G101,-1,-1)</f>
        <v>1</v>
      </c>
      <c r="G101" s="1659"/>
      <c r="H101" s="1659"/>
      <c r="I101" s="1659"/>
      <c r="J101" s="1659"/>
      <c r="K101" s="1659"/>
      <c r="L101" s="1659"/>
      <c r="M101" s="1506"/>
      <c r="N101" s="1506"/>
      <c r="O101" s="1506"/>
      <c r="P101" s="1506"/>
      <c r="Q101" s="1506"/>
      <c r="R101" s="1506"/>
      <c r="S101" s="1506"/>
      <c r="T101" s="753">
        <f>AND(F101&gt;0,method_reg="Метод индексации")</f>
        <v>1</v>
      </c>
      <c r="U101" s="1548"/>
      <c r="V101" s="1548"/>
      <c r="W101" s="1548"/>
      <c r="X101" s="1548"/>
      <c r="Y101" s="1548"/>
      <c r="Z101" s="1548"/>
      <c r="AA101" s="286"/>
      <c r="AB101" s="491">
        <v>4.2</v>
      </c>
      <c r="AC101" s="815" t="s">
        <v>2015</v>
      </c>
      <c r="AD101" s="467" t="s">
        <v>1709</v>
      </c>
      <c r="AE101" s="2356"/>
      <c r="AF101" s="2356"/>
      <c r="AG101" s="2356"/>
      <c r="AH101" s="695">
        <f>AG101-AF101</f>
        <v>0</v>
      </c>
      <c r="AI101" s="2356"/>
      <c r="AJ101" s="749"/>
      <c r="AK101" s="2356"/>
      <c r="AL101" s="2356"/>
      <c r="AM101" s="2356"/>
      <c r="AN101" s="2356"/>
      <c r="AO101" s="2356"/>
      <c r="AP101" s="2356"/>
      <c r="AQ101" s="2356"/>
      <c r="AR101" s="2356"/>
      <c r="AS101" s="2356"/>
      <c r="AT101" s="2356"/>
      <c r="AU101" s="2356"/>
      <c r="AV101" s="2356"/>
      <c r="AW101" s="2356"/>
      <c r="AX101" s="2356"/>
      <c r="AY101" s="2356"/>
      <c r="AZ101" s="2356"/>
      <c r="BA101" s="2356"/>
      <c r="BB101" s="2356"/>
      <c r="BC101" s="2356"/>
      <c r="BD101" s="749"/>
      <c r="BE101" s="2356"/>
      <c r="BF101" s="2356"/>
      <c r="BG101" s="2356"/>
      <c r="BH101" s="2356"/>
      <c r="BI101" s="2356"/>
      <c r="BJ101" s="2356"/>
      <c r="BK101" s="2356"/>
      <c r="BL101" s="2356"/>
      <c r="BM101" s="2356"/>
      <c r="BN101" s="2356"/>
      <c r="BO101" s="2356"/>
      <c r="BP101" s="2356"/>
      <c r="BQ101" s="2356"/>
      <c r="BR101" s="2356"/>
      <c r="BS101" s="2356"/>
      <c r="BT101" s="2356"/>
      <c r="BU101" s="2356"/>
      <c r="BV101" s="2356"/>
      <c r="BW101" s="2356"/>
      <c r="BX101" s="695">
        <f>IF(AI101=0,0,(BD101-AI101)/AI101*100)</f>
        <v>0</v>
      </c>
      <c r="BY101" s="695">
        <f>IF(BD101=0,0,(BE101-BD101)/BD101*100)</f>
        <v>0</v>
      </c>
      <c r="BZ101" s="695">
        <f>IF(BE101=0,0,(BF101-BE101)/BE101*100)</f>
        <v>0</v>
      </c>
      <c r="CA101" s="695">
        <f>IF(BF101=0,0,(BG101-BF101)/BF101*100)</f>
        <v>0</v>
      </c>
      <c r="CB101" s="695">
        <f>IF(BG101=0,0,(BH101-BG101)/BG101*100)</f>
        <v>0</v>
      </c>
      <c r="CC101" s="695">
        <f>IF(BH101=0,0,(BI101-BH101)/BH101*100)</f>
        <v>0</v>
      </c>
      <c r="CD101" s="695">
        <f>IF(BI101=0,0,(BJ101-BI101)/BI101*100)</f>
        <v>0</v>
      </c>
      <c r="CE101" s="695">
        <f>IF(BJ101=0,0,(BK101-BJ101)/BJ101*100)</f>
        <v>0</v>
      </c>
      <c r="CF101" s="695">
        <f>IF(BK101=0,0,(BL101-BK101)/BK101*100)</f>
        <v>0</v>
      </c>
      <c r="CG101" s="695">
        <f>IF(BL101=0,0,(BM101-BL101)/BL101*100)</f>
        <v>0</v>
      </c>
      <c r="CH101" s="695">
        <f>IF(BM101=0,0,(BN101-BM101)/BM101*100)</f>
        <v>0</v>
      </c>
      <c r="CI101" s="695">
        <f>IF(BN101=0,0,(BO101-BN101)/BN101*100)</f>
        <v>0</v>
      </c>
      <c r="CJ101" s="695">
        <f>IF(BO101=0,0,(BP101-BO101)/BO101*100)</f>
        <v>0</v>
      </c>
      <c r="CK101" s="695">
        <f>IF(BP101=0,0,(BQ101-BP101)/BP101*100)</f>
        <v>0</v>
      </c>
      <c r="CL101" s="695">
        <f>IF(BQ101=0,0,(BR101-BQ101)/BQ101*100)</f>
        <v>0</v>
      </c>
      <c r="CM101" s="695">
        <f>IF(BR101=0,0,(BS101-BR101)/BR101*100)</f>
        <v>0</v>
      </c>
      <c r="CN101" s="695">
        <f>IF(BS101=0,0,(BT101-BS101)/BS101*100)</f>
        <v>0</v>
      </c>
      <c r="CO101" s="695">
        <f>IF(BT101=0,0,(BU101-BT101)/BT101*100)</f>
        <v>0</v>
      </c>
      <c r="CP101" s="695">
        <f>IF(BU101=0,0,(BV101-BU101)/BU101*100)</f>
        <v>0</v>
      </c>
      <c r="CQ101" s="695">
        <f>IF(BV101=0,0,(BW101-BV101)/BV101*100)</f>
        <v>0</v>
      </c>
      <c r="CR101" s="1897"/>
      <c r="CS101" s="1897"/>
      <c r="CT101" s="1897"/>
      <c r="CU101" s="286"/>
      <c r="CV101" s="1659"/>
      <c r="CW101" s="489" t="s">
        <v>2016</v>
      </c>
      <c r="CX101" s="1125"/>
      <c r="CY101" s="1125"/>
      <c r="CZ101" s="1126"/>
      <c r="DA101" s="1126"/>
      <c r="DB101" s="1506"/>
      <c r="DC101" s="1506"/>
      <c r="DD101" s="0" cm="1" t="str">
        <f t="array" ref="DD101:DD101">DD100</f>
        <v>ТЭ.42.31656254.0001</v>
      </c>
      <c r="DE101" s="1751"/>
      <c r="DF101" s="1751"/>
      <c r="DG101" s="1751"/>
      <c r="DH101" s="1751"/>
      <c r="DI101" s="1751"/>
      <c r="DJ101" s="1751"/>
      <c r="DK101" s="1751"/>
      <c r="DL101" s="1751"/>
      <c r="DM101" s="0" t="s">
        <v>2017</v>
      </c>
      <c r="DN101" s="1751"/>
      <c r="DO101" s="0" t="s">
        <v>303</v>
      </c>
      <c r="DP101" s="0" t="s">
        <v>2018</v>
      </c>
      <c r="DQ101" s="0" t="s">
        <v>2019</v>
      </c>
      <c r="DR101" s="1751"/>
    </row>
    <row s="1751" customFormat="1" customHeight="1" ht="43.5">
      <c r="A102" s="371"/>
      <c r="B102" s="1548"/>
      <c r="C102" s="1506"/>
      <c r="D102" s="1506"/>
      <c r="E102" s="180">
        <v>45</v>
      </c>
      <c r="F102" s="175" cm="1" t="str">
        <f t="array" ref="F102:F102">OFFSET(G102,-1,-1)</f>
        <v>1</v>
      </c>
      <c r="G102" s="1659"/>
      <c r="H102" s="1659"/>
      <c r="I102" s="1659"/>
      <c r="J102" s="1659"/>
      <c r="K102" s="1659"/>
      <c r="L102" s="1659"/>
      <c r="M102" s="1506"/>
      <c r="N102" s="1506"/>
      <c r="O102" s="1506"/>
      <c r="P102" s="1506"/>
      <c r="Q102" s="1506"/>
      <c r="R102" s="1506"/>
      <c r="S102" s="1506"/>
      <c r="T102" s="753">
        <f>AND(F102&gt;0,method_reg="Метод индексации")</f>
        <v>1</v>
      </c>
      <c r="U102" s="1548"/>
      <c r="V102" s="1548"/>
      <c r="W102" s="1548"/>
      <c r="X102" s="1548"/>
      <c r="Y102" s="1548"/>
      <c r="Z102" s="1548"/>
      <c r="AA102" s="286"/>
      <c r="AB102" s="491">
        <v>4.3</v>
      </c>
      <c r="AC102" s="815" t="s">
        <v>2020</v>
      </c>
      <c r="AD102" s="467" t="s">
        <v>1709</v>
      </c>
      <c r="AE102" s="2356"/>
      <c r="AF102" s="2356"/>
      <c r="AG102" s="2356"/>
      <c r="AH102" s="695">
        <f>AG102-AF102</f>
        <v>0</v>
      </c>
      <c r="AI102" s="2356"/>
      <c r="AJ102" s="749"/>
      <c r="AK102" s="2356"/>
      <c r="AL102" s="2356"/>
      <c r="AM102" s="2356"/>
      <c r="AN102" s="2356"/>
      <c r="AO102" s="2356"/>
      <c r="AP102" s="2356"/>
      <c r="AQ102" s="2356"/>
      <c r="AR102" s="2356"/>
      <c r="AS102" s="2356"/>
      <c r="AT102" s="2356"/>
      <c r="AU102" s="2356"/>
      <c r="AV102" s="2356"/>
      <c r="AW102" s="2356"/>
      <c r="AX102" s="2356"/>
      <c r="AY102" s="2356"/>
      <c r="AZ102" s="2356"/>
      <c r="BA102" s="2356"/>
      <c r="BB102" s="2356"/>
      <c r="BC102" s="2356"/>
      <c r="BD102" s="749"/>
      <c r="BE102" s="2356"/>
      <c r="BF102" s="2356"/>
      <c r="BG102" s="2356"/>
      <c r="BH102" s="2356"/>
      <c r="BI102" s="2356"/>
      <c r="BJ102" s="2356"/>
      <c r="BK102" s="2356"/>
      <c r="BL102" s="2356"/>
      <c r="BM102" s="2356"/>
      <c r="BN102" s="2356"/>
      <c r="BO102" s="2356"/>
      <c r="BP102" s="2356"/>
      <c r="BQ102" s="2356"/>
      <c r="BR102" s="2356"/>
      <c r="BS102" s="2356"/>
      <c r="BT102" s="2356"/>
      <c r="BU102" s="2356"/>
      <c r="BV102" s="2356"/>
      <c r="BW102" s="2356"/>
      <c r="BX102" s="695">
        <f>IF(AI102=0,0,(BD102-AI102)/AI102*100)</f>
        <v>0</v>
      </c>
      <c r="BY102" s="695">
        <f>IF(BD102=0,0,(BE102-BD102)/BD102*100)</f>
        <v>0</v>
      </c>
      <c r="BZ102" s="695">
        <f>IF(BE102=0,0,(BF102-BE102)/BE102*100)</f>
        <v>0</v>
      </c>
      <c r="CA102" s="695">
        <f>IF(BF102=0,0,(BG102-BF102)/BF102*100)</f>
        <v>0</v>
      </c>
      <c r="CB102" s="695">
        <f>IF(BG102=0,0,(BH102-BG102)/BG102*100)</f>
        <v>0</v>
      </c>
      <c r="CC102" s="695">
        <f>IF(BH102=0,0,(BI102-BH102)/BH102*100)</f>
        <v>0</v>
      </c>
      <c r="CD102" s="695">
        <f>IF(BI102=0,0,(BJ102-BI102)/BI102*100)</f>
        <v>0</v>
      </c>
      <c r="CE102" s="695">
        <f>IF(BJ102=0,0,(BK102-BJ102)/BJ102*100)</f>
        <v>0</v>
      </c>
      <c r="CF102" s="695">
        <f>IF(BK102=0,0,(BL102-BK102)/BK102*100)</f>
        <v>0</v>
      </c>
      <c r="CG102" s="695">
        <f>IF(BL102=0,0,(BM102-BL102)/BL102*100)</f>
        <v>0</v>
      </c>
      <c r="CH102" s="695">
        <f>IF(BM102=0,0,(BN102-BM102)/BM102*100)</f>
        <v>0</v>
      </c>
      <c r="CI102" s="695">
        <f>IF(BN102=0,0,(BO102-BN102)/BN102*100)</f>
        <v>0</v>
      </c>
      <c r="CJ102" s="695">
        <f>IF(BO102=0,0,(BP102-BO102)/BO102*100)</f>
        <v>0</v>
      </c>
      <c r="CK102" s="695">
        <f>IF(BP102=0,0,(BQ102-BP102)/BP102*100)</f>
        <v>0</v>
      </c>
      <c r="CL102" s="695">
        <f>IF(BQ102=0,0,(BR102-BQ102)/BQ102*100)</f>
        <v>0</v>
      </c>
      <c r="CM102" s="695">
        <f>IF(BR102=0,0,(BS102-BR102)/BR102*100)</f>
        <v>0</v>
      </c>
      <c r="CN102" s="695">
        <f>IF(BS102=0,0,(BT102-BS102)/BS102*100)</f>
        <v>0</v>
      </c>
      <c r="CO102" s="695">
        <f>IF(BT102=0,0,(BU102-BT102)/BT102*100)</f>
        <v>0</v>
      </c>
      <c r="CP102" s="695">
        <f>IF(BU102=0,0,(BV102-BU102)/BU102*100)</f>
        <v>0</v>
      </c>
      <c r="CQ102" s="695">
        <f>IF(BV102=0,0,(BW102-BV102)/BV102*100)</f>
        <v>0</v>
      </c>
      <c r="CR102" s="1897"/>
      <c r="CS102" s="1897"/>
      <c r="CT102" s="1897"/>
      <c r="CU102" s="286"/>
      <c r="CV102" s="1659"/>
      <c r="CW102" s="489" t="s">
        <v>2021</v>
      </c>
      <c r="CX102" s="1125"/>
      <c r="CY102" s="1125"/>
      <c r="CZ102" s="1126"/>
      <c r="DA102" s="1126"/>
      <c r="DB102" s="1506"/>
      <c r="DC102" s="1506"/>
      <c r="DD102" s="0" cm="1" t="str">
        <f t="array" ref="DD102:DD102">DD101</f>
        <v>ТЭ.42.31656254.0001</v>
      </c>
      <c r="DE102" s="1751"/>
      <c r="DF102" s="1751"/>
      <c r="DG102" s="1751"/>
      <c r="DH102" s="1751"/>
      <c r="DI102" s="1751"/>
      <c r="DJ102" s="1751"/>
      <c r="DK102" s="1751"/>
      <c r="DL102" s="1751"/>
      <c r="DM102" s="0" t="s">
        <v>2022</v>
      </c>
      <c r="DN102" s="1751"/>
      <c r="DO102" s="0" t="s">
        <v>303</v>
      </c>
      <c r="DP102" s="0" t="s">
        <v>2023</v>
      </c>
      <c r="DQ102" s="0" t="s">
        <v>2024</v>
      </c>
      <c r="DR102" s="1751"/>
    </row>
    <row s="1751" customFormat="1" customHeight="1" ht="14.25">
      <c r="A103" s="371"/>
      <c r="B103" s="1548"/>
      <c r="C103" s="1506"/>
      <c r="D103" s="1506"/>
      <c r="E103" s="180">
        <v>15</v>
      </c>
      <c r="F103" s="175" cm="1" t="str">
        <f t="array" ref="F103:F103">OFFSET(G103,-1,-1)</f>
        <v>1</v>
      </c>
      <c r="G103" s="1659"/>
      <c r="H103" s="1659"/>
      <c r="I103" s="1659"/>
      <c r="J103" s="1659"/>
      <c r="K103" s="1659"/>
      <c r="L103" s="1659"/>
      <c r="M103" s="1506"/>
      <c r="N103" s="1506"/>
      <c r="O103" s="1506"/>
      <c r="P103" s="1506"/>
      <c r="Q103" s="1506"/>
      <c r="R103" s="1506"/>
      <c r="S103" s="1506"/>
      <c r="T103" s="753">
        <f>AND(F103&gt;0,method_reg="Метод индексации")</f>
        <v>1</v>
      </c>
      <c r="U103" s="1548"/>
      <c r="V103" s="1548"/>
      <c r="W103" s="1548"/>
      <c r="X103" s="1548"/>
      <c r="Y103" s="1548"/>
      <c r="Z103" s="1548"/>
      <c r="AA103" s="286"/>
      <c r="AB103" s="491">
        <v>4.4</v>
      </c>
      <c r="AC103" s="815" t="s">
        <v>2025</v>
      </c>
      <c r="AD103" s="467" t="s">
        <v>1178</v>
      </c>
      <c r="AE103" s="2356"/>
      <c r="AF103" s="2356"/>
      <c r="AG103" s="2356"/>
      <c r="AH103" s="695">
        <f>AG103-AF103</f>
        <v>0</v>
      </c>
      <c r="AI103" s="2356"/>
      <c r="AJ103" s="749"/>
      <c r="AK103" s="2356"/>
      <c r="AL103" s="2356"/>
      <c r="AM103" s="2356"/>
      <c r="AN103" s="2356"/>
      <c r="AO103" s="2356"/>
      <c r="AP103" s="2356"/>
      <c r="AQ103" s="2356"/>
      <c r="AR103" s="2356"/>
      <c r="AS103" s="2356"/>
      <c r="AT103" s="2356"/>
      <c r="AU103" s="2356"/>
      <c r="AV103" s="2356"/>
      <c r="AW103" s="2356"/>
      <c r="AX103" s="2356"/>
      <c r="AY103" s="2356"/>
      <c r="AZ103" s="2356"/>
      <c r="BA103" s="2356"/>
      <c r="BB103" s="2356"/>
      <c r="BC103" s="2356"/>
      <c r="BD103" s="749"/>
      <c r="BE103" s="2356"/>
      <c r="BF103" s="2356"/>
      <c r="BG103" s="2356"/>
      <c r="BH103" s="2356"/>
      <c r="BI103" s="2356"/>
      <c r="BJ103" s="2356"/>
      <c r="BK103" s="2356"/>
      <c r="BL103" s="2356"/>
      <c r="BM103" s="2356"/>
      <c r="BN103" s="2356"/>
      <c r="BO103" s="2356"/>
      <c r="BP103" s="2356"/>
      <c r="BQ103" s="2356"/>
      <c r="BR103" s="2356"/>
      <c r="BS103" s="2356"/>
      <c r="BT103" s="2356"/>
      <c r="BU103" s="2356"/>
      <c r="BV103" s="2356"/>
      <c r="BW103" s="2356"/>
      <c r="BX103" s="695">
        <f>IF(AI103=0,0,(BD103-AI103)/AI103*100)</f>
        <v>0</v>
      </c>
      <c r="BY103" s="695">
        <f>IF(BD103=0,0,(BE103-BD103)/BD103*100)</f>
        <v>0</v>
      </c>
      <c r="BZ103" s="695">
        <f>IF(BE103=0,0,(BF103-BE103)/BE103*100)</f>
        <v>0</v>
      </c>
      <c r="CA103" s="695">
        <f>IF(BF103=0,0,(BG103-BF103)/BF103*100)</f>
        <v>0</v>
      </c>
      <c r="CB103" s="695">
        <f>IF(BG103=0,0,(BH103-BG103)/BG103*100)</f>
        <v>0</v>
      </c>
      <c r="CC103" s="695">
        <f>IF(BH103=0,0,(BI103-BH103)/BH103*100)</f>
        <v>0</v>
      </c>
      <c r="CD103" s="695">
        <f>IF(BI103=0,0,(BJ103-BI103)/BI103*100)</f>
        <v>0</v>
      </c>
      <c r="CE103" s="695">
        <f>IF(BJ103=0,0,(BK103-BJ103)/BJ103*100)</f>
        <v>0</v>
      </c>
      <c r="CF103" s="695">
        <f>IF(BK103=0,0,(BL103-BK103)/BK103*100)</f>
        <v>0</v>
      </c>
      <c r="CG103" s="695">
        <f>IF(BL103=0,0,(BM103-BL103)/BL103*100)</f>
        <v>0</v>
      </c>
      <c r="CH103" s="695">
        <f>IF(BM103=0,0,(BN103-BM103)/BM103*100)</f>
        <v>0</v>
      </c>
      <c r="CI103" s="695">
        <f>IF(BN103=0,0,(BO103-BN103)/BN103*100)</f>
        <v>0</v>
      </c>
      <c r="CJ103" s="695">
        <f>IF(BO103=0,0,(BP103-BO103)/BO103*100)</f>
        <v>0</v>
      </c>
      <c r="CK103" s="695">
        <f>IF(BP103=0,0,(BQ103-BP103)/BP103*100)</f>
        <v>0</v>
      </c>
      <c r="CL103" s="695">
        <f>IF(BQ103=0,0,(BR103-BQ103)/BQ103*100)</f>
        <v>0</v>
      </c>
      <c r="CM103" s="695">
        <f>IF(BR103=0,0,(BS103-BR103)/BR103*100)</f>
        <v>0</v>
      </c>
      <c r="CN103" s="695">
        <f>IF(BS103=0,0,(BT103-BS103)/BS103*100)</f>
        <v>0</v>
      </c>
      <c r="CO103" s="695">
        <f>IF(BT103=0,0,(BU103-BT103)/BT103*100)</f>
        <v>0</v>
      </c>
      <c r="CP103" s="695">
        <f>IF(BU103=0,0,(BV103-BU103)/BU103*100)</f>
        <v>0</v>
      </c>
      <c r="CQ103" s="695">
        <f>IF(BV103=0,0,(BW103-BV103)/BV103*100)</f>
        <v>0</v>
      </c>
      <c r="CR103" s="1897"/>
      <c r="CS103" s="1897"/>
      <c r="CT103" s="1897"/>
      <c r="CU103" s="286"/>
      <c r="CV103" s="1659"/>
      <c r="CW103" s="489" t="s">
        <v>2026</v>
      </c>
      <c r="CX103" s="1125"/>
      <c r="CY103" s="1125"/>
      <c r="CZ103" s="1126"/>
      <c r="DA103" s="1126"/>
      <c r="DB103" s="1506"/>
      <c r="DC103" s="1506"/>
      <c r="DD103" s="0" cm="1" t="str">
        <f t="array" ref="DD103:DD103">DD102</f>
        <v>ТЭ.42.31656254.0001</v>
      </c>
      <c r="DE103" s="1751"/>
      <c r="DF103" s="1751"/>
      <c r="DG103" s="1751"/>
      <c r="DH103" s="1751"/>
      <c r="DI103" s="1751"/>
      <c r="DJ103" s="1751"/>
      <c r="DK103" s="1751"/>
      <c r="DL103" s="1751"/>
      <c r="DM103" s="1751"/>
      <c r="DN103" s="1751"/>
      <c r="DO103" s="1751"/>
      <c r="DP103" s="1751"/>
      <c r="DQ103" s="1751"/>
      <c r="DR103" s="1751"/>
    </row>
    <row s="1751" customFormat="1" customHeight="1" ht="14.25">
      <c r="A104" s="371"/>
      <c r="B104" s="1548"/>
      <c r="C104" s="1506"/>
      <c r="D104" s="1506"/>
      <c r="E104" s="180">
        <v>15</v>
      </c>
      <c r="F104" s="175" cm="1" t="str">
        <f t="array" ref="F104:F104">OFFSET(G104,-1,-1)</f>
        <v>1</v>
      </c>
      <c r="G104" s="193" t="s">
        <v>1843</v>
      </c>
      <c r="H104" s="1659"/>
      <c r="I104" s="1659"/>
      <c r="J104" s="1659"/>
      <c r="K104" s="1659"/>
      <c r="L104" s="1659"/>
      <c r="M104" s="1506"/>
      <c r="N104" s="1506"/>
      <c r="O104" s="1506"/>
      <c r="P104" s="1506"/>
      <c r="Q104" s="1506"/>
      <c r="R104" s="1506"/>
      <c r="S104" s="1506"/>
      <c r="T104" s="753">
        <f>AND(F104&gt;0,method_reg="Метод индексации")</f>
        <v>1</v>
      </c>
      <c r="U104" s="1548"/>
      <c r="V104" s="1548"/>
      <c r="W104" s="1548"/>
      <c r="X104" s="1548"/>
      <c r="Y104" s="1548"/>
      <c r="Z104" s="1548"/>
      <c r="AA104" s="286"/>
      <c r="AB104" s="491">
        <v>5</v>
      </c>
      <c r="AC104" s="815" t="s">
        <v>1845</v>
      </c>
      <c r="AD104" s="467" t="s">
        <v>1178</v>
      </c>
      <c r="AE104" s="2356"/>
      <c r="AF104" s="2356"/>
      <c r="AG104" s="2356"/>
      <c r="AH104" s="695">
        <f>AG104-AF104</f>
        <v>0</v>
      </c>
      <c r="AI104" s="2356"/>
      <c r="AJ104" s="749"/>
      <c r="AK104" s="2356"/>
      <c r="AL104" s="2356"/>
      <c r="AM104" s="2356"/>
      <c r="AN104" s="2356"/>
      <c r="AO104" s="2356"/>
      <c r="AP104" s="2356"/>
      <c r="AQ104" s="2356"/>
      <c r="AR104" s="2356"/>
      <c r="AS104" s="2356"/>
      <c r="AT104" s="2356"/>
      <c r="AU104" s="2356"/>
      <c r="AV104" s="2356"/>
      <c r="AW104" s="2356"/>
      <c r="AX104" s="2356"/>
      <c r="AY104" s="2356"/>
      <c r="AZ104" s="2356"/>
      <c r="BA104" s="2356"/>
      <c r="BB104" s="2356"/>
      <c r="BC104" s="2356"/>
      <c r="BD104" s="749"/>
      <c r="BE104" s="2356"/>
      <c r="BF104" s="2356"/>
      <c r="BG104" s="2356"/>
      <c r="BH104" s="2356"/>
      <c r="BI104" s="2356"/>
      <c r="BJ104" s="2356"/>
      <c r="BK104" s="2356"/>
      <c r="BL104" s="2356"/>
      <c r="BM104" s="2356"/>
      <c r="BN104" s="2356"/>
      <c r="BO104" s="2356"/>
      <c r="BP104" s="2356"/>
      <c r="BQ104" s="2356"/>
      <c r="BR104" s="2356"/>
      <c r="BS104" s="2356"/>
      <c r="BT104" s="2356"/>
      <c r="BU104" s="2356"/>
      <c r="BV104" s="2356"/>
      <c r="BW104" s="2356"/>
      <c r="BX104" s="695">
        <f>IF(AI104=0,0,(BD104-AI104)/AI104*100)</f>
        <v>0</v>
      </c>
      <c r="BY104" s="695">
        <f>IF(BD104=0,0,(BE104-BD104)/BD104*100)</f>
        <v>0</v>
      </c>
      <c r="BZ104" s="695">
        <f>IF(BE104=0,0,(BF104-BE104)/BE104*100)</f>
        <v>0</v>
      </c>
      <c r="CA104" s="695">
        <f>IF(BF104=0,0,(BG104-BF104)/BF104*100)</f>
        <v>0</v>
      </c>
      <c r="CB104" s="695">
        <f>IF(BG104=0,0,(BH104-BG104)/BG104*100)</f>
        <v>0</v>
      </c>
      <c r="CC104" s="695">
        <f>IF(BH104=0,0,(BI104-BH104)/BH104*100)</f>
        <v>0</v>
      </c>
      <c r="CD104" s="695">
        <f>IF(BI104=0,0,(BJ104-BI104)/BI104*100)</f>
        <v>0</v>
      </c>
      <c r="CE104" s="695">
        <f>IF(BJ104=0,0,(BK104-BJ104)/BJ104*100)</f>
        <v>0</v>
      </c>
      <c r="CF104" s="695">
        <f>IF(BK104=0,0,(BL104-BK104)/BK104*100)</f>
        <v>0</v>
      </c>
      <c r="CG104" s="695">
        <f>IF(BL104=0,0,(BM104-BL104)/BL104*100)</f>
        <v>0</v>
      </c>
      <c r="CH104" s="695">
        <f>IF(BM104=0,0,(BN104-BM104)/BM104*100)</f>
        <v>0</v>
      </c>
      <c r="CI104" s="695">
        <f>IF(BN104=0,0,(BO104-BN104)/BN104*100)</f>
        <v>0</v>
      </c>
      <c r="CJ104" s="695">
        <f>IF(BO104=0,0,(BP104-BO104)/BO104*100)</f>
        <v>0</v>
      </c>
      <c r="CK104" s="695">
        <f>IF(BP104=0,0,(BQ104-BP104)/BP104*100)</f>
        <v>0</v>
      </c>
      <c r="CL104" s="695">
        <f>IF(BQ104=0,0,(BR104-BQ104)/BQ104*100)</f>
        <v>0</v>
      </c>
      <c r="CM104" s="695">
        <f>IF(BR104=0,0,(BS104-BR104)/BR104*100)</f>
        <v>0</v>
      </c>
      <c r="CN104" s="695">
        <f>IF(BS104=0,0,(BT104-BS104)/BS104*100)</f>
        <v>0</v>
      </c>
      <c r="CO104" s="695">
        <f>IF(BT104=0,0,(BU104-BT104)/BT104*100)</f>
        <v>0</v>
      </c>
      <c r="CP104" s="695">
        <f>IF(BU104=0,0,(BV104-BU104)/BU104*100)</f>
        <v>0</v>
      </c>
      <c r="CQ104" s="695">
        <f>IF(BV104=0,0,(BW104-BV104)/BV104*100)</f>
        <v>0</v>
      </c>
      <c r="CR104" s="1897"/>
      <c r="CS104" s="1897"/>
      <c r="CT104" s="1897"/>
      <c r="CU104" s="286"/>
      <c r="CV104" s="1659"/>
      <c r="CW104" s="489" t="s">
        <v>2027</v>
      </c>
      <c r="CX104" s="1125"/>
      <c r="CY104" s="1125"/>
      <c r="CZ104" s="1126"/>
      <c r="DA104" s="1126"/>
      <c r="DB104" s="1506"/>
      <c r="DC104" s="1506"/>
      <c r="DD104" s="0" cm="1" t="str">
        <f t="array" ref="DD104:DD104">DD103</f>
        <v>ТЭ.42.31656254.0001</v>
      </c>
      <c r="DE104" s="1751"/>
      <c r="DF104" s="1751"/>
      <c r="DG104" s="1751"/>
      <c r="DH104" s="1751"/>
      <c r="DI104" s="1751"/>
      <c r="DJ104" s="1751"/>
      <c r="DK104" s="1751"/>
      <c r="DL104" s="1751"/>
      <c r="DM104" s="0" t="s">
        <v>2028</v>
      </c>
      <c r="DN104" s="1751"/>
      <c r="DO104" s="0" t="s">
        <v>303</v>
      </c>
      <c r="DP104" s="0" t="s">
        <v>1847</v>
      </c>
      <c r="DQ104" s="0" t="s">
        <v>2029</v>
      </c>
      <c r="DR104" s="1751"/>
    </row>
    <row s="1751" customFormat="1" customHeight="1" ht="14.25">
      <c r="A105" s="371"/>
      <c r="B105" s="1548"/>
      <c r="C105" s="1506"/>
      <c r="D105" s="1506"/>
      <c r="E105" s="180">
        <v>15</v>
      </c>
      <c r="F105" s="175" cm="1" t="str">
        <f t="array" ref="F105:F105">OFFSET(G105,-1,-1)</f>
        <v>1</v>
      </c>
      <c r="G105" s="1659"/>
      <c r="H105" s="1659"/>
      <c r="I105" s="1659"/>
      <c r="J105" s="1659"/>
      <c r="K105" s="1659"/>
      <c r="L105" s="1659"/>
      <c r="M105" s="1506"/>
      <c r="N105" s="1506"/>
      <c r="O105" s="1506"/>
      <c r="P105" s="1506"/>
      <c r="Q105" s="1506"/>
      <c r="R105" s="1506"/>
      <c r="S105" s="1506"/>
      <c r="T105" s="753">
        <f>AND(F105&gt;0,method_reg="Метод индексации")</f>
        <v>1</v>
      </c>
      <c r="U105" s="1548"/>
      <c r="V105" s="1548"/>
      <c r="W105" s="1548"/>
      <c r="X105" s="1548"/>
      <c r="Y105" s="1548"/>
      <c r="Z105" s="1548"/>
      <c r="AA105" s="286"/>
      <c r="AB105" s="491">
        <v>5.1</v>
      </c>
      <c r="AC105" s="501" t="s">
        <v>1839</v>
      </c>
      <c r="AD105" s="467" t="s">
        <v>495</v>
      </c>
      <c r="AE105" s="2344"/>
      <c r="AF105" s="2344"/>
      <c r="AG105" s="2344"/>
      <c r="AH105" s="695">
        <f>AG105-AF105</f>
        <v>0</v>
      </c>
      <c r="AI105" s="2344"/>
      <c r="AJ105" s="716"/>
      <c r="AK105" s="2344"/>
      <c r="AL105" s="2344"/>
      <c r="AM105" s="2344"/>
      <c r="AN105" s="2344"/>
      <c r="AO105" s="2344"/>
      <c r="AP105" s="2344"/>
      <c r="AQ105" s="2344"/>
      <c r="AR105" s="2344"/>
      <c r="AS105" s="2344"/>
      <c r="AT105" s="2344"/>
      <c r="AU105" s="2344"/>
      <c r="AV105" s="2344"/>
      <c r="AW105" s="2344"/>
      <c r="AX105" s="2344"/>
      <c r="AY105" s="2344"/>
      <c r="AZ105" s="2344"/>
      <c r="BA105" s="2344"/>
      <c r="BB105" s="2344"/>
      <c r="BC105" s="2344"/>
      <c r="BD105" s="716"/>
      <c r="BE105" s="2344"/>
      <c r="BF105" s="2344"/>
      <c r="BG105" s="2344"/>
      <c r="BH105" s="2344"/>
      <c r="BI105" s="2344"/>
      <c r="BJ105" s="2344"/>
      <c r="BK105" s="2344"/>
      <c r="BL105" s="2344"/>
      <c r="BM105" s="2344"/>
      <c r="BN105" s="2344"/>
      <c r="BO105" s="2344"/>
      <c r="BP105" s="2344"/>
      <c r="BQ105" s="2344"/>
      <c r="BR105" s="2344"/>
      <c r="BS105" s="2344"/>
      <c r="BT105" s="2344"/>
      <c r="BU105" s="2344"/>
      <c r="BV105" s="2344"/>
      <c r="BW105" s="2344"/>
      <c r="BX105" s="695">
        <f>IF(AI105=0,0,(BD105-AI105)/AI105*100)</f>
        <v>0</v>
      </c>
      <c r="BY105" s="695">
        <f>IF(BD105=0,0,(BE105-BD105)/BD105*100)</f>
        <v>0</v>
      </c>
      <c r="BZ105" s="695">
        <f>IF(BE105=0,0,(BF105-BE105)/BE105*100)</f>
        <v>0</v>
      </c>
      <c r="CA105" s="695">
        <f>IF(BF105=0,0,(BG105-BF105)/BF105*100)</f>
        <v>0</v>
      </c>
      <c r="CB105" s="695">
        <f>IF(BG105=0,0,(BH105-BG105)/BG105*100)</f>
        <v>0</v>
      </c>
      <c r="CC105" s="695">
        <f>IF(BH105=0,0,(BI105-BH105)/BH105*100)</f>
        <v>0</v>
      </c>
      <c r="CD105" s="695">
        <f>IF(BI105=0,0,(BJ105-BI105)/BI105*100)</f>
        <v>0</v>
      </c>
      <c r="CE105" s="695">
        <f>IF(BJ105=0,0,(BK105-BJ105)/BJ105*100)</f>
        <v>0</v>
      </c>
      <c r="CF105" s="695">
        <f>IF(BK105=0,0,(BL105-BK105)/BK105*100)</f>
        <v>0</v>
      </c>
      <c r="CG105" s="695">
        <f>IF(BL105=0,0,(BM105-BL105)/BL105*100)</f>
        <v>0</v>
      </c>
      <c r="CH105" s="695">
        <f>IF(BM105=0,0,(BN105-BM105)/BM105*100)</f>
        <v>0</v>
      </c>
      <c r="CI105" s="695">
        <f>IF(BN105=0,0,(BO105-BN105)/BN105*100)</f>
        <v>0</v>
      </c>
      <c r="CJ105" s="695">
        <f>IF(BO105=0,0,(BP105-BO105)/BO105*100)</f>
        <v>0</v>
      </c>
      <c r="CK105" s="695">
        <f>IF(BP105=0,0,(BQ105-BP105)/BP105*100)</f>
        <v>0</v>
      </c>
      <c r="CL105" s="695">
        <f>IF(BQ105=0,0,(BR105-BQ105)/BQ105*100)</f>
        <v>0</v>
      </c>
      <c r="CM105" s="695">
        <f>IF(BR105=0,0,(BS105-BR105)/BR105*100)</f>
        <v>0</v>
      </c>
      <c r="CN105" s="695">
        <f>IF(BS105=0,0,(BT105-BS105)/BS105*100)</f>
        <v>0</v>
      </c>
      <c r="CO105" s="695">
        <f>IF(BT105=0,0,(BU105-BT105)/BT105*100)</f>
        <v>0</v>
      </c>
      <c r="CP105" s="695">
        <f>IF(BU105=0,0,(BV105-BU105)/BU105*100)</f>
        <v>0</v>
      </c>
      <c r="CQ105" s="695">
        <f>IF(BV105=0,0,(BW105-BV105)/BV105*100)</f>
        <v>0</v>
      </c>
      <c r="CR105" s="1897"/>
      <c r="CS105" s="1897"/>
      <c r="CT105" s="1897"/>
      <c r="CU105" s="286"/>
      <c r="CV105" s="1659"/>
      <c r="CW105" s="489" t="s">
        <v>2030</v>
      </c>
      <c r="CX105" s="1125"/>
      <c r="CY105" s="1125"/>
      <c r="CZ105" s="1126"/>
      <c r="DA105" s="1126"/>
      <c r="DB105" s="1506"/>
      <c r="DC105" s="1506"/>
      <c r="DD105" s="0" cm="1" t="str">
        <f t="array" ref="DD105:DD105">DD104</f>
        <v>ТЭ.42.31656254.0001</v>
      </c>
      <c r="DE105" s="1751"/>
      <c r="DF105" s="1751"/>
      <c r="DG105" s="1751"/>
      <c r="DH105" s="1751"/>
      <c r="DI105" s="1751"/>
      <c r="DJ105" s="1751"/>
      <c r="DK105" s="1751"/>
      <c r="DL105" s="1751"/>
      <c r="DM105" s="0" t="s">
        <v>2031</v>
      </c>
      <c r="DN105" s="1751"/>
      <c r="DO105" s="0" t="s">
        <v>303</v>
      </c>
      <c r="DP105" s="0" t="s">
        <v>2032</v>
      </c>
      <c r="DQ105" s="0" t="s">
        <v>1853</v>
      </c>
      <c r="DR105" s="1751"/>
    </row>
    <row s="1751" customFormat="1" customHeight="1" ht="27.75">
      <c r="A106" s="371"/>
      <c r="B106" s="1548"/>
      <c r="C106" s="1506"/>
      <c r="D106" s="1506"/>
      <c r="E106" s="180">
        <v>29</v>
      </c>
      <c r="F106" s="175" cm="1" t="str">
        <f t="array" ref="F106:F106">OFFSET(G106,-1,-1)</f>
        <v>1</v>
      </c>
      <c r="G106" s="193">
        <v>6</v>
      </c>
      <c r="H106" s="1659"/>
      <c r="I106" s="1659"/>
      <c r="J106" s="1659"/>
      <c r="K106" s="1659"/>
      <c r="L106" s="1659"/>
      <c r="M106" s="1506"/>
      <c r="N106" s="1506"/>
      <c r="O106" s="1506"/>
      <c r="P106" s="1506"/>
      <c r="Q106" s="1506"/>
      <c r="R106" s="1506"/>
      <c r="S106" s="1506"/>
      <c r="T106" s="753">
        <f>F106&gt;0</f>
        <v>1</v>
      </c>
      <c r="U106" s="1548"/>
      <c r="V106" s="1548"/>
      <c r="W106" s="1548"/>
      <c r="X106" s="1548"/>
      <c r="Y106" s="1548"/>
      <c r="Z106" s="1548"/>
      <c r="AA106" s="286"/>
      <c r="AB106" s="491">
        <v>6</v>
      </c>
      <c r="AC106" s="815" t="s">
        <v>1850</v>
      </c>
      <c r="AD106" s="467" t="s">
        <v>1178</v>
      </c>
      <c r="AE106" s="2356"/>
      <c r="AF106" s="2356"/>
      <c r="AG106" s="2356"/>
      <c r="AH106" s="695">
        <f>AG106-AF106</f>
        <v>0</v>
      </c>
      <c r="AI106" s="2356"/>
      <c r="AJ106" s="749"/>
      <c r="AK106" s="2356"/>
      <c r="AL106" s="2356"/>
      <c r="AM106" s="2356"/>
      <c r="AN106" s="2356"/>
      <c r="AO106" s="2356"/>
      <c r="AP106" s="2356"/>
      <c r="AQ106" s="2356"/>
      <c r="AR106" s="2356"/>
      <c r="AS106" s="2356"/>
      <c r="AT106" s="2356"/>
      <c r="AU106" s="2356"/>
      <c r="AV106" s="2356"/>
      <c r="AW106" s="2356"/>
      <c r="AX106" s="2356"/>
      <c r="AY106" s="2356"/>
      <c r="AZ106" s="2356"/>
      <c r="BA106" s="2356"/>
      <c r="BB106" s="2356"/>
      <c r="BC106" s="2356"/>
      <c r="BD106" s="749"/>
      <c r="BE106" s="2356"/>
      <c r="BF106" s="2356"/>
      <c r="BG106" s="2356"/>
      <c r="BH106" s="2356"/>
      <c r="BI106" s="2356"/>
      <c r="BJ106" s="2356"/>
      <c r="BK106" s="2356"/>
      <c r="BL106" s="2356"/>
      <c r="BM106" s="2356"/>
      <c r="BN106" s="2356"/>
      <c r="BO106" s="2356"/>
      <c r="BP106" s="2356"/>
      <c r="BQ106" s="2356"/>
      <c r="BR106" s="2356"/>
      <c r="BS106" s="2356"/>
      <c r="BT106" s="2356"/>
      <c r="BU106" s="2356"/>
      <c r="BV106" s="2356"/>
      <c r="BW106" s="2356"/>
      <c r="BX106" s="695">
        <f>IF(AI106=0,0,(BD106-AI106)/AI106*100)</f>
        <v>0</v>
      </c>
      <c r="BY106" s="695">
        <f>IF(BD106=0,0,(BE106-BD106)/BD106*100)</f>
        <v>0</v>
      </c>
      <c r="BZ106" s="695">
        <f>IF(BE106=0,0,(BF106-BE106)/BE106*100)</f>
        <v>0</v>
      </c>
      <c r="CA106" s="695">
        <f>IF(BF106=0,0,(BG106-BF106)/BF106*100)</f>
        <v>0</v>
      </c>
      <c r="CB106" s="695">
        <f>IF(BG106=0,0,(BH106-BG106)/BG106*100)</f>
        <v>0</v>
      </c>
      <c r="CC106" s="695">
        <f>IF(BH106=0,0,(BI106-BH106)/BH106*100)</f>
        <v>0</v>
      </c>
      <c r="CD106" s="695">
        <f>IF(BI106=0,0,(BJ106-BI106)/BI106*100)</f>
        <v>0</v>
      </c>
      <c r="CE106" s="695">
        <f>IF(BJ106=0,0,(BK106-BJ106)/BJ106*100)</f>
        <v>0</v>
      </c>
      <c r="CF106" s="695">
        <f>IF(BK106=0,0,(BL106-BK106)/BK106*100)</f>
        <v>0</v>
      </c>
      <c r="CG106" s="695">
        <f>IF(BL106=0,0,(BM106-BL106)/BL106*100)</f>
        <v>0</v>
      </c>
      <c r="CH106" s="695">
        <f>IF(BM106=0,0,(BN106-BM106)/BM106*100)</f>
        <v>0</v>
      </c>
      <c r="CI106" s="695">
        <f>IF(BN106=0,0,(BO106-BN106)/BN106*100)</f>
        <v>0</v>
      </c>
      <c r="CJ106" s="695">
        <f>IF(BO106=0,0,(BP106-BO106)/BO106*100)</f>
        <v>0</v>
      </c>
      <c r="CK106" s="695">
        <f>IF(BP106=0,0,(BQ106-BP106)/BP106*100)</f>
        <v>0</v>
      </c>
      <c r="CL106" s="695">
        <f>IF(BQ106=0,0,(BR106-BQ106)/BQ106*100)</f>
        <v>0</v>
      </c>
      <c r="CM106" s="695">
        <f>IF(BR106=0,0,(BS106-BR106)/BR106*100)</f>
        <v>0</v>
      </c>
      <c r="CN106" s="695">
        <f>IF(BS106=0,0,(BT106-BS106)/BS106*100)</f>
        <v>0</v>
      </c>
      <c r="CO106" s="695">
        <f>IF(BT106=0,0,(BU106-BT106)/BT106*100)</f>
        <v>0</v>
      </c>
      <c r="CP106" s="695">
        <f>IF(BU106=0,0,(BV106-BU106)/BU106*100)</f>
        <v>0</v>
      </c>
      <c r="CQ106" s="695">
        <f>IF(BV106=0,0,(BW106-BV106)/BV106*100)</f>
        <v>0</v>
      </c>
      <c r="CR106" s="1897"/>
      <c r="CS106" s="1897"/>
      <c r="CT106" s="1897"/>
      <c r="CU106" s="286"/>
      <c r="CV106" s="1659"/>
      <c r="CW106" s="489" t="s">
        <v>2033</v>
      </c>
      <c r="CX106" s="1125"/>
      <c r="CY106" s="1125"/>
      <c r="CZ106" s="1126"/>
      <c r="DA106" s="1126"/>
      <c r="DB106" s="1506"/>
      <c r="DC106" s="1506"/>
      <c r="DD106" s="0" cm="1" t="str">
        <f t="array" ref="DD106:DD106">DD105</f>
        <v>ТЭ.42.31656254.0001</v>
      </c>
      <c r="DE106" s="1751"/>
      <c r="DF106" s="1751"/>
      <c r="DG106" s="1751"/>
      <c r="DH106" s="1751"/>
      <c r="DI106" s="1751"/>
      <c r="DJ106" s="1751"/>
      <c r="DK106" s="1751"/>
      <c r="DL106" s="1751"/>
      <c r="DM106" s="0" t="s">
        <v>2034</v>
      </c>
      <c r="DN106" s="1751"/>
      <c r="DO106" s="0" t="s">
        <v>303</v>
      </c>
      <c r="DP106" s="0" t="s">
        <v>1852</v>
      </c>
      <c r="DQ106" s="0" t="s">
        <v>2035</v>
      </c>
      <c r="DR106" s="1751"/>
    </row>
    <row s="1751" customFormat="1" customHeight="1" ht="27.75">
      <c r="A107" s="371"/>
      <c r="B107" s="1548"/>
      <c r="C107" s="1506"/>
      <c r="D107" s="1506"/>
      <c r="E107" s="180">
        <v>29</v>
      </c>
      <c r="F107" s="175" cm="1" t="str">
        <f t="array" ref="F107:F107">OFFSET(G107,-1,-1)</f>
        <v>1</v>
      </c>
      <c r="G107" s="193" t="s">
        <v>1890</v>
      </c>
      <c r="H107" s="1659"/>
      <c r="I107" s="1659"/>
      <c r="J107" s="1659"/>
      <c r="K107" s="1659"/>
      <c r="L107" s="1659"/>
      <c r="M107" s="1506"/>
      <c r="N107" s="1506"/>
      <c r="O107" s="1506"/>
      <c r="P107" s="1506"/>
      <c r="Q107" s="1506"/>
      <c r="R107" s="1506"/>
      <c r="S107" s="1506"/>
      <c r="T107" s="753" cm="1" t="str">
        <f t="array" ref="T107:T107">T106</f>
        <v>true</v>
      </c>
      <c r="U107" s="1548"/>
      <c r="V107" s="1548"/>
      <c r="W107" s="1548"/>
      <c r="X107" s="1548"/>
      <c r="Y107" s="1548"/>
      <c r="Z107" s="1548"/>
      <c r="AA107" s="286"/>
      <c r="AB107" s="491">
        <v>7</v>
      </c>
      <c r="AC107" s="523" t="s">
        <v>2036</v>
      </c>
      <c r="AD107" s="467" t="s">
        <v>1178</v>
      </c>
      <c r="AE107" s="2356"/>
      <c r="AF107" s="2356"/>
      <c r="AG107" s="2356"/>
      <c r="AH107" s="695">
        <f>AG107-AF107</f>
        <v>0</v>
      </c>
      <c r="AI107" s="2356"/>
      <c r="AJ107" s="749">
        <f>_xlfn.SUMIFS('Корр Факт'!AH$27:AH$122,'Корр Факт'!$F$27:$F$122,$F107,'Корр Факт'!$G$27:$G$122,$G107)</f>
        <v>0</v>
      </c>
      <c r="AK107" s="2356"/>
      <c r="AL107" s="2356"/>
      <c r="AM107" s="2356"/>
      <c r="AN107" s="2356"/>
      <c r="AO107" s="2356"/>
      <c r="AP107" s="2356"/>
      <c r="AQ107" s="2356"/>
      <c r="AR107" s="2356"/>
      <c r="AS107" s="2356"/>
      <c r="AT107" s="2356"/>
      <c r="AU107" s="2356"/>
      <c r="AV107" s="2356"/>
      <c r="AW107" s="2356"/>
      <c r="AX107" s="2356"/>
      <c r="AY107" s="2356"/>
      <c r="AZ107" s="2356"/>
      <c r="BA107" s="2356"/>
      <c r="BB107" s="2356"/>
      <c r="BC107" s="2356"/>
      <c r="BD107" s="749">
        <f>_xlfn.SUMIFS('Корр Факт'!AN$27:AN$122,'Корр Факт'!$F$27:$F$122,$F107,'Корр Факт'!$G$27:$G$122,$G107)</f>
        <v>0</v>
      </c>
      <c r="BE107" s="2356"/>
      <c r="BF107" s="2356"/>
      <c r="BG107" s="2356"/>
      <c r="BH107" s="2356"/>
      <c r="BI107" s="2356"/>
      <c r="BJ107" s="2356"/>
      <c r="BK107" s="2356"/>
      <c r="BL107" s="2356"/>
      <c r="BM107" s="2356"/>
      <c r="BN107" s="2356"/>
      <c r="BO107" s="2356"/>
      <c r="BP107" s="2356"/>
      <c r="BQ107" s="2356"/>
      <c r="BR107" s="2356"/>
      <c r="BS107" s="2356"/>
      <c r="BT107" s="2356"/>
      <c r="BU107" s="2356"/>
      <c r="BV107" s="2356"/>
      <c r="BW107" s="2356"/>
      <c r="BX107" s="695">
        <f>IF(AI107=0,0,(BD107-AI107)/AI107*100)</f>
        <v>0</v>
      </c>
      <c r="BY107" s="695">
        <f>IF(BD107=0,0,(BE107-BD107)/BD107*100)</f>
        <v>0</v>
      </c>
      <c r="BZ107" s="695">
        <f>IF(BE107=0,0,(BF107-BE107)/BE107*100)</f>
        <v>0</v>
      </c>
      <c r="CA107" s="695">
        <f>IF(BF107=0,0,(BG107-BF107)/BF107*100)</f>
        <v>0</v>
      </c>
      <c r="CB107" s="695">
        <f>IF(BG107=0,0,(BH107-BG107)/BG107*100)</f>
        <v>0</v>
      </c>
      <c r="CC107" s="695">
        <f>IF(BH107=0,0,(BI107-BH107)/BH107*100)</f>
        <v>0</v>
      </c>
      <c r="CD107" s="695">
        <f>IF(BI107=0,0,(BJ107-BI107)/BI107*100)</f>
        <v>0</v>
      </c>
      <c r="CE107" s="695">
        <f>IF(BJ107=0,0,(BK107-BJ107)/BJ107*100)</f>
        <v>0</v>
      </c>
      <c r="CF107" s="695">
        <f>IF(BK107=0,0,(BL107-BK107)/BK107*100)</f>
        <v>0</v>
      </c>
      <c r="CG107" s="695">
        <f>IF(BL107=0,0,(BM107-BL107)/BL107*100)</f>
        <v>0</v>
      </c>
      <c r="CH107" s="695">
        <f>IF(BM107=0,0,(BN107-BM107)/BM107*100)</f>
        <v>0</v>
      </c>
      <c r="CI107" s="695">
        <f>IF(BN107=0,0,(BO107-BN107)/BN107*100)</f>
        <v>0</v>
      </c>
      <c r="CJ107" s="695">
        <f>IF(BO107=0,0,(BP107-BO107)/BO107*100)</f>
        <v>0</v>
      </c>
      <c r="CK107" s="695">
        <f>IF(BP107=0,0,(BQ107-BP107)/BP107*100)</f>
        <v>0</v>
      </c>
      <c r="CL107" s="695">
        <f>IF(BQ107=0,0,(BR107-BQ107)/BQ107*100)</f>
        <v>0</v>
      </c>
      <c r="CM107" s="695">
        <f>IF(BR107=0,0,(BS107-BR107)/BR107*100)</f>
        <v>0</v>
      </c>
      <c r="CN107" s="695">
        <f>IF(BS107=0,0,(BT107-BS107)/BS107*100)</f>
        <v>0</v>
      </c>
      <c r="CO107" s="695">
        <f>IF(BT107=0,0,(BU107-BT107)/BT107*100)</f>
        <v>0</v>
      </c>
      <c r="CP107" s="695">
        <f>IF(BU107=0,0,(BV107-BU107)/BU107*100)</f>
        <v>0</v>
      </c>
      <c r="CQ107" s="695">
        <f>IF(BV107=0,0,(BW107-BV107)/BV107*100)</f>
        <v>0</v>
      </c>
      <c r="CR107" s="1897"/>
      <c r="CS107" s="1897"/>
      <c r="CT107" s="1897"/>
      <c r="CU107" s="286"/>
      <c r="CV107" s="1659"/>
      <c r="CW107" s="489" t="s">
        <v>2037</v>
      </c>
      <c r="CX107" s="1125"/>
      <c r="CY107" s="1125"/>
      <c r="CZ107" s="1126"/>
      <c r="DA107" s="1126"/>
      <c r="DB107" s="1506"/>
      <c r="DC107" s="1506"/>
      <c r="DD107" s="0" cm="1" t="str">
        <f t="array" ref="DD107:DD107">DD106</f>
        <v>ТЭ.42.31656254.0001</v>
      </c>
      <c r="DE107" s="1751"/>
      <c r="DF107" s="0" t="s">
        <v>2038</v>
      </c>
      <c r="DG107" s="1751"/>
      <c r="DH107" s="1751"/>
      <c r="DI107" s="1751"/>
      <c r="DJ107" s="1751"/>
      <c r="DK107" s="1751"/>
      <c r="DL107" s="1751"/>
      <c r="DM107" s="1751"/>
      <c r="DN107" s="1751"/>
      <c r="DO107" s="0" t="s">
        <v>303</v>
      </c>
      <c r="DP107" s="0" t="s">
        <v>2039</v>
      </c>
      <c r="DQ107" s="0" t="s">
        <v>2040</v>
      </c>
      <c r="DR107" s="1751"/>
    </row>
    <row s="972" customFormat="1" customHeight="1" ht="63.75">
      <c r="A108" s="972"/>
      <c r="B108" s="972"/>
      <c r="C108" s="972"/>
      <c r="D108" s="972"/>
      <c r="E108" s="180">
        <v>66</v>
      </c>
      <c r="F108" s="175" cm="1" t="str">
        <f t="array" ref="F108:F108">OFFSET(G108,-1,-1)</f>
        <v>1</v>
      </c>
      <c r="G108" s="972"/>
      <c r="H108" s="972"/>
      <c r="I108" s="972"/>
      <c r="J108" s="972"/>
      <c r="K108" s="972"/>
      <c r="L108" s="972"/>
      <c r="M108" s="972"/>
      <c r="N108" s="972"/>
      <c r="O108" s="972"/>
      <c r="P108" s="972"/>
      <c r="Q108" s="972"/>
      <c r="R108" s="972"/>
      <c r="S108" s="972"/>
      <c r="T108" s="753" cm="1" t="str">
        <f t="array" ref="T108:T108">T107</f>
        <v>true</v>
      </c>
      <c r="U108" s="972"/>
      <c r="V108" s="972"/>
      <c r="W108" s="972"/>
      <c r="X108" s="972"/>
      <c r="Y108" s="972"/>
      <c r="Z108" s="972"/>
      <c r="AA108" s="972"/>
      <c r="AB108" s="491">
        <v>8</v>
      </c>
      <c r="AC108" s="815" t="s">
        <v>2041</v>
      </c>
      <c r="AD108" s="467" t="s">
        <v>1178</v>
      </c>
      <c r="AE108" s="2356"/>
      <c r="AF108" s="2356"/>
      <c r="AG108" s="2356"/>
      <c r="AH108" s="695">
        <f>AG108-AF108</f>
        <v>0</v>
      </c>
      <c r="AI108" s="2356"/>
      <c r="AJ108" s="749"/>
      <c r="AK108" s="2356"/>
      <c r="AL108" s="2356"/>
      <c r="AM108" s="2356"/>
      <c r="AN108" s="2356"/>
      <c r="AO108" s="2356"/>
      <c r="AP108" s="2356"/>
      <c r="AQ108" s="2356"/>
      <c r="AR108" s="2356"/>
      <c r="AS108" s="2356"/>
      <c r="AT108" s="2356"/>
      <c r="AU108" s="2356"/>
      <c r="AV108" s="2356"/>
      <c r="AW108" s="2356"/>
      <c r="AX108" s="2356"/>
      <c r="AY108" s="2356"/>
      <c r="AZ108" s="2356"/>
      <c r="BA108" s="2356"/>
      <c r="BB108" s="2356"/>
      <c r="BC108" s="2356"/>
      <c r="BD108" s="749"/>
      <c r="BE108" s="2356"/>
      <c r="BF108" s="2356"/>
      <c r="BG108" s="2356"/>
      <c r="BH108" s="2356"/>
      <c r="BI108" s="2356"/>
      <c r="BJ108" s="2356"/>
      <c r="BK108" s="2356"/>
      <c r="BL108" s="2356"/>
      <c r="BM108" s="2356"/>
      <c r="BN108" s="2356"/>
      <c r="BO108" s="2356"/>
      <c r="BP108" s="2356"/>
      <c r="BQ108" s="2356"/>
      <c r="BR108" s="2356"/>
      <c r="BS108" s="2356"/>
      <c r="BT108" s="2356"/>
      <c r="BU108" s="2356"/>
      <c r="BV108" s="2356"/>
      <c r="BW108" s="2356"/>
      <c r="BX108" s="695">
        <f>IF(AI108=0,0,(BD108-AI108)/AI108*100)</f>
        <v>0</v>
      </c>
      <c r="BY108" s="695">
        <f>IF(BD108=0,0,(BE108-BD108)/BD108*100)</f>
        <v>0</v>
      </c>
      <c r="BZ108" s="695">
        <f>IF(BE108=0,0,(BF108-BE108)/BE108*100)</f>
        <v>0</v>
      </c>
      <c r="CA108" s="695">
        <f>IF(BF108=0,0,(BG108-BF108)/BF108*100)</f>
        <v>0</v>
      </c>
      <c r="CB108" s="695">
        <f>IF(BG108=0,0,(BH108-BG108)/BG108*100)</f>
        <v>0</v>
      </c>
      <c r="CC108" s="695">
        <f>IF(BH108=0,0,(BI108-BH108)/BH108*100)</f>
        <v>0</v>
      </c>
      <c r="CD108" s="695">
        <f>IF(BI108=0,0,(BJ108-BI108)/BI108*100)</f>
        <v>0</v>
      </c>
      <c r="CE108" s="695">
        <f>IF(BJ108=0,0,(BK108-BJ108)/BJ108*100)</f>
        <v>0</v>
      </c>
      <c r="CF108" s="695">
        <f>IF(BK108=0,0,(BL108-BK108)/BK108*100)</f>
        <v>0</v>
      </c>
      <c r="CG108" s="695">
        <f>IF(BL108=0,0,(BM108-BL108)/BL108*100)</f>
        <v>0</v>
      </c>
      <c r="CH108" s="695">
        <f>IF(BM108=0,0,(BN108-BM108)/BM108*100)</f>
        <v>0</v>
      </c>
      <c r="CI108" s="695">
        <f>IF(BN108=0,0,(BO108-BN108)/BN108*100)</f>
        <v>0</v>
      </c>
      <c r="CJ108" s="695">
        <f>IF(BO108=0,0,(BP108-BO108)/BO108*100)</f>
        <v>0</v>
      </c>
      <c r="CK108" s="695">
        <f>IF(BP108=0,0,(BQ108-BP108)/BP108*100)</f>
        <v>0</v>
      </c>
      <c r="CL108" s="695">
        <f>IF(BQ108=0,0,(BR108-BQ108)/BQ108*100)</f>
        <v>0</v>
      </c>
      <c r="CM108" s="695">
        <f>IF(BR108=0,0,(BS108-BR108)/BR108*100)</f>
        <v>0</v>
      </c>
      <c r="CN108" s="695">
        <f>IF(BS108=0,0,(BT108-BS108)/BS108*100)</f>
        <v>0</v>
      </c>
      <c r="CO108" s="695">
        <f>IF(BT108=0,0,(BU108-BT108)/BT108*100)</f>
        <v>0</v>
      </c>
      <c r="CP108" s="695">
        <f>IF(BU108=0,0,(BV108-BU108)/BU108*100)</f>
        <v>0</v>
      </c>
      <c r="CQ108" s="695">
        <f>IF(BV108=0,0,(BW108-BV108)/BV108*100)</f>
        <v>0</v>
      </c>
      <c r="CR108" s="1897"/>
      <c r="CS108" s="1897"/>
      <c r="CT108" s="1897"/>
      <c r="CU108" s="972"/>
      <c r="CV108" s="972"/>
      <c r="CW108" s="489" t="s">
        <v>1856</v>
      </c>
      <c r="CX108" s="992"/>
      <c r="CY108" s="992"/>
      <c r="CZ108" s="993"/>
      <c r="DA108" s="993"/>
      <c r="DB108" s="972"/>
      <c r="DC108" s="972"/>
      <c r="DD108" s="0" cm="1" t="str">
        <f t="array" ref="DD108:DD108">DD107</f>
        <v>ТЭ.42.31656254.0001</v>
      </c>
      <c r="DE108" s="972"/>
      <c r="DF108" s="972"/>
      <c r="DG108" s="0" t="s">
        <v>1624</v>
      </c>
      <c r="DH108" s="972"/>
      <c r="DI108" s="972"/>
      <c r="DJ108" s="972"/>
      <c r="DK108" s="972"/>
      <c r="DL108" s="972"/>
      <c r="DM108" s="0" t="s">
        <v>219</v>
      </c>
      <c r="DN108" s="972"/>
      <c r="DO108" s="0" t="s">
        <v>303</v>
      </c>
      <c r="DP108" s="0" t="s">
        <v>2042</v>
      </c>
      <c r="DQ108" s="0" t="s">
        <v>1863</v>
      </c>
      <c r="DR108" s="972"/>
    </row>
    <row s="972" customFormat="1" customHeight="1" ht="33">
      <c r="A109" s="972"/>
      <c r="B109" s="972"/>
      <c r="C109" s="972"/>
      <c r="D109" s="972"/>
      <c r="E109" s="180">
        <v>34</v>
      </c>
      <c r="F109" s="175" cm="1" t="str">
        <f t="array" ref="F109:F109">OFFSET(G109,-1,-1)</f>
        <v>1</v>
      </c>
      <c r="G109" s="972"/>
      <c r="H109" s="972"/>
      <c r="I109" s="972"/>
      <c r="J109" s="972"/>
      <c r="K109" s="972"/>
      <c r="L109" s="972"/>
      <c r="M109" s="972"/>
      <c r="N109" s="972"/>
      <c r="O109" s="972"/>
      <c r="P109" s="972"/>
      <c r="Q109" s="972"/>
      <c r="R109" s="972"/>
      <c r="S109" s="972"/>
      <c r="T109" s="753" cm="1" t="str">
        <f t="array" ref="T109:T109">T108</f>
        <v>true</v>
      </c>
      <c r="U109" s="972"/>
      <c r="V109" s="972"/>
      <c r="W109" s="972"/>
      <c r="X109" s="972"/>
      <c r="Y109" s="972"/>
      <c r="Z109" s="972"/>
      <c r="AA109" s="972"/>
      <c r="AB109" s="491">
        <v>9</v>
      </c>
      <c r="AC109" s="815" t="s">
        <v>2043</v>
      </c>
      <c r="AD109" s="467" t="s">
        <v>1178</v>
      </c>
      <c r="AE109" s="2356"/>
      <c r="AF109" s="2356"/>
      <c r="AG109" s="2356"/>
      <c r="AH109" s="695">
        <f>AG109-AF109</f>
        <v>0</v>
      </c>
      <c r="AI109" s="2356"/>
      <c r="AJ109" s="749"/>
      <c r="AK109" s="2356"/>
      <c r="AL109" s="2356"/>
      <c r="AM109" s="2356"/>
      <c r="AN109" s="2356"/>
      <c r="AO109" s="2356"/>
      <c r="AP109" s="2356"/>
      <c r="AQ109" s="2356"/>
      <c r="AR109" s="2356"/>
      <c r="AS109" s="2356"/>
      <c r="AT109" s="2356"/>
      <c r="AU109" s="2356"/>
      <c r="AV109" s="2356"/>
      <c r="AW109" s="2356"/>
      <c r="AX109" s="2356"/>
      <c r="AY109" s="2356"/>
      <c r="AZ109" s="2356"/>
      <c r="BA109" s="2356"/>
      <c r="BB109" s="2356"/>
      <c r="BC109" s="2356"/>
      <c r="BD109" s="749"/>
      <c r="BE109" s="2356"/>
      <c r="BF109" s="2356"/>
      <c r="BG109" s="2356"/>
      <c r="BH109" s="2356"/>
      <c r="BI109" s="2356"/>
      <c r="BJ109" s="2356"/>
      <c r="BK109" s="2356"/>
      <c r="BL109" s="2356"/>
      <c r="BM109" s="2356"/>
      <c r="BN109" s="2356"/>
      <c r="BO109" s="2356"/>
      <c r="BP109" s="2356"/>
      <c r="BQ109" s="2356"/>
      <c r="BR109" s="2356"/>
      <c r="BS109" s="2356"/>
      <c r="BT109" s="2356"/>
      <c r="BU109" s="2356"/>
      <c r="BV109" s="2356"/>
      <c r="BW109" s="2356"/>
      <c r="BX109" s="695">
        <f>IF(AI109=0,0,(BD109-AI109)/AI109*100)</f>
        <v>0</v>
      </c>
      <c r="BY109" s="695">
        <f>IF(BD109=0,0,(BE109-BD109)/BD109*100)</f>
        <v>0</v>
      </c>
      <c r="BZ109" s="695">
        <f>IF(BE109=0,0,(BF109-BE109)/BE109*100)</f>
        <v>0</v>
      </c>
      <c r="CA109" s="695">
        <f>IF(BF109=0,0,(BG109-BF109)/BF109*100)</f>
        <v>0</v>
      </c>
      <c r="CB109" s="695">
        <f>IF(BG109=0,0,(BH109-BG109)/BG109*100)</f>
        <v>0</v>
      </c>
      <c r="CC109" s="695">
        <f>IF(BH109=0,0,(BI109-BH109)/BH109*100)</f>
        <v>0</v>
      </c>
      <c r="CD109" s="695">
        <f>IF(BI109=0,0,(BJ109-BI109)/BI109*100)</f>
        <v>0</v>
      </c>
      <c r="CE109" s="695">
        <f>IF(BJ109=0,0,(BK109-BJ109)/BJ109*100)</f>
        <v>0</v>
      </c>
      <c r="CF109" s="695">
        <f>IF(BK109=0,0,(BL109-BK109)/BK109*100)</f>
        <v>0</v>
      </c>
      <c r="CG109" s="695">
        <f>IF(BL109=0,0,(BM109-BL109)/BL109*100)</f>
        <v>0</v>
      </c>
      <c r="CH109" s="695">
        <f>IF(BM109=0,0,(BN109-BM109)/BM109*100)</f>
        <v>0</v>
      </c>
      <c r="CI109" s="695">
        <f>IF(BN109=0,0,(BO109-BN109)/BN109*100)</f>
        <v>0</v>
      </c>
      <c r="CJ109" s="695">
        <f>IF(BO109=0,0,(BP109-BO109)/BO109*100)</f>
        <v>0</v>
      </c>
      <c r="CK109" s="695">
        <f>IF(BP109=0,0,(BQ109-BP109)/BP109*100)</f>
        <v>0</v>
      </c>
      <c r="CL109" s="695">
        <f>IF(BQ109=0,0,(BR109-BQ109)/BQ109*100)</f>
        <v>0</v>
      </c>
      <c r="CM109" s="695">
        <f>IF(BR109=0,0,(BS109-BR109)/BR109*100)</f>
        <v>0</v>
      </c>
      <c r="CN109" s="695">
        <f>IF(BS109=0,0,(BT109-BS109)/BS109*100)</f>
        <v>0</v>
      </c>
      <c r="CO109" s="695">
        <f>IF(BT109=0,0,(BU109-BT109)/BT109*100)</f>
        <v>0</v>
      </c>
      <c r="CP109" s="695">
        <f>IF(BU109=0,0,(BV109-BU109)/BU109*100)</f>
        <v>0</v>
      </c>
      <c r="CQ109" s="695">
        <f>IF(BV109=0,0,(BW109-BV109)/BV109*100)</f>
        <v>0</v>
      </c>
      <c r="CR109" s="1897"/>
      <c r="CS109" s="1897"/>
      <c r="CT109" s="1897"/>
      <c r="CU109" s="972"/>
      <c r="CV109" s="972"/>
      <c r="CW109" s="489" t="s">
        <v>2044</v>
      </c>
      <c r="CX109" s="992"/>
      <c r="CY109" s="992"/>
      <c r="CZ109" s="993"/>
      <c r="DA109" s="993"/>
      <c r="DB109" s="972"/>
      <c r="DC109" s="972"/>
      <c r="DD109" s="0" cm="1" t="str">
        <f t="array" ref="DD109:DD109">DD108</f>
        <v>ТЭ.42.31656254.0001</v>
      </c>
      <c r="DE109" s="972"/>
      <c r="DF109" s="972"/>
      <c r="DG109" s="972"/>
      <c r="DH109" s="0" t="s">
        <v>2045</v>
      </c>
      <c r="DI109" s="972"/>
      <c r="DJ109" s="972"/>
      <c r="DK109" s="972"/>
      <c r="DL109" s="972"/>
      <c r="DM109" s="972"/>
      <c r="DN109" s="972"/>
      <c r="DO109" s="0" t="s">
        <v>303</v>
      </c>
      <c r="DP109" s="0" t="s">
        <v>1862</v>
      </c>
      <c r="DQ109" s="0" t="s">
        <v>1874</v>
      </c>
      <c r="DR109" s="972"/>
    </row>
    <row s="1751" customFormat="1" customHeight="1" ht="62.25">
      <c r="A110" s="371"/>
      <c r="B110" s="1548"/>
      <c r="C110" s="1506"/>
      <c r="D110" s="1506"/>
      <c r="E110" s="180">
        <v>64</v>
      </c>
      <c r="F110" s="175" cm="1" t="str">
        <f t="array" ref="F110:F110">OFFSET(G110,-1,-1)</f>
        <v>1</v>
      </c>
      <c r="G110" s="1659"/>
      <c r="H110" s="1659"/>
      <c r="I110" s="1659"/>
      <c r="J110" s="1659"/>
      <c r="K110" s="1659"/>
      <c r="L110" s="1659"/>
      <c r="M110" s="1506"/>
      <c r="N110" s="1506"/>
      <c r="O110" s="1506"/>
      <c r="P110" s="1506"/>
      <c r="Q110" s="1506"/>
      <c r="R110" s="1506"/>
      <c r="S110" s="1506"/>
      <c r="T110" s="753" cm="1" t="str">
        <f t="array" ref="T110:T110">T109</f>
        <v>true</v>
      </c>
      <c r="U110" s="1548"/>
      <c r="V110" s="1548"/>
      <c r="W110" s="1548"/>
      <c r="X110" s="1548"/>
      <c r="Y110" s="1548"/>
      <c r="Z110" s="1548"/>
      <c r="AA110" s="286"/>
      <c r="AB110" s="697">
        <v>10</v>
      </c>
      <c r="AC110" s="817" t="s">
        <v>2046</v>
      </c>
      <c r="AD110" s="344" t="s">
        <v>1178</v>
      </c>
      <c r="AE110" s="2365"/>
      <c r="AF110" s="2356"/>
      <c r="AG110" s="2356"/>
      <c r="AH110" s="695">
        <f>AG110-AF110</f>
        <v>0</v>
      </c>
      <c r="AI110" s="2356">
        <v>-146</v>
      </c>
      <c r="AJ110" s="749"/>
      <c r="AK110" s="2356"/>
      <c r="AL110" s="2356"/>
      <c r="AM110" s="2356"/>
      <c r="AN110" s="2356"/>
      <c r="AO110" s="2356"/>
      <c r="AP110" s="2356"/>
      <c r="AQ110" s="2356"/>
      <c r="AR110" s="2356"/>
      <c r="AS110" s="2356"/>
      <c r="AT110" s="2356"/>
      <c r="AU110" s="2356"/>
      <c r="AV110" s="2356"/>
      <c r="AW110" s="2356"/>
      <c r="AX110" s="2356"/>
      <c r="AY110" s="2356"/>
      <c r="AZ110" s="2356"/>
      <c r="BA110" s="2356"/>
      <c r="BB110" s="2356"/>
      <c r="BC110" s="2356"/>
      <c r="BD110" s="749"/>
      <c r="BE110" s="2356"/>
      <c r="BF110" s="2356"/>
      <c r="BG110" s="2356"/>
      <c r="BH110" s="2356"/>
      <c r="BI110" s="2356"/>
      <c r="BJ110" s="2356"/>
      <c r="BK110" s="2356"/>
      <c r="BL110" s="2356"/>
      <c r="BM110" s="2356"/>
      <c r="BN110" s="2356"/>
      <c r="BO110" s="2356"/>
      <c r="BP110" s="2356"/>
      <c r="BQ110" s="2356"/>
      <c r="BR110" s="2356"/>
      <c r="BS110" s="2356"/>
      <c r="BT110" s="2356"/>
      <c r="BU110" s="2356"/>
      <c r="BV110" s="2356"/>
      <c r="BW110" s="2356"/>
      <c r="BX110" s="695">
        <f>IF(AI110=0,0,(BD110-AI110)/AI110*100)</f>
        <v>-100</v>
      </c>
      <c r="BY110" s="695">
        <f>IF(BD110=0,0,(BE110-BD110)/BD110*100)</f>
        <v>0</v>
      </c>
      <c r="BZ110" s="695">
        <f>IF(BE110=0,0,(BF110-BE110)/BE110*100)</f>
        <v>0</v>
      </c>
      <c r="CA110" s="695">
        <f>IF(BF110=0,0,(BG110-BF110)/BF110*100)</f>
        <v>0</v>
      </c>
      <c r="CB110" s="695">
        <f>IF(BG110=0,0,(BH110-BG110)/BG110*100)</f>
        <v>0</v>
      </c>
      <c r="CC110" s="695">
        <f>IF(BH110=0,0,(BI110-BH110)/BH110*100)</f>
        <v>0</v>
      </c>
      <c r="CD110" s="695">
        <f>IF(BI110=0,0,(BJ110-BI110)/BI110*100)</f>
        <v>0</v>
      </c>
      <c r="CE110" s="695">
        <f>IF(BJ110=0,0,(BK110-BJ110)/BJ110*100)</f>
        <v>0</v>
      </c>
      <c r="CF110" s="695">
        <f>IF(BK110=0,0,(BL110-BK110)/BK110*100)</f>
        <v>0</v>
      </c>
      <c r="CG110" s="695">
        <f>IF(BL110=0,0,(BM110-BL110)/BL110*100)</f>
        <v>0</v>
      </c>
      <c r="CH110" s="695">
        <f>IF(BM110=0,0,(BN110-BM110)/BM110*100)</f>
        <v>0</v>
      </c>
      <c r="CI110" s="695">
        <f>IF(BN110=0,0,(BO110-BN110)/BN110*100)</f>
        <v>0</v>
      </c>
      <c r="CJ110" s="695">
        <f>IF(BO110=0,0,(BP110-BO110)/BO110*100)</f>
        <v>0</v>
      </c>
      <c r="CK110" s="695">
        <f>IF(BP110=0,0,(BQ110-BP110)/BP110*100)</f>
        <v>0</v>
      </c>
      <c r="CL110" s="695">
        <f>IF(BQ110=0,0,(BR110-BQ110)/BQ110*100)</f>
        <v>0</v>
      </c>
      <c r="CM110" s="695">
        <f>IF(BR110=0,0,(BS110-BR110)/BR110*100)</f>
        <v>0</v>
      </c>
      <c r="CN110" s="695">
        <f>IF(BS110=0,0,(BT110-BS110)/BS110*100)</f>
        <v>0</v>
      </c>
      <c r="CO110" s="695">
        <f>IF(BT110=0,0,(BU110-BT110)/BT110*100)</f>
        <v>0</v>
      </c>
      <c r="CP110" s="695">
        <f>IF(BU110=0,0,(BV110-BU110)/BU110*100)</f>
        <v>0</v>
      </c>
      <c r="CQ110" s="695">
        <f>IF(BV110=0,0,(BW110-BV110)/BV110*100)</f>
        <v>0</v>
      </c>
      <c r="CR110" s="1906"/>
      <c r="CS110" s="1906"/>
      <c r="CT110" s="1906"/>
      <c r="CU110" s="286"/>
      <c r="CV110" s="1659"/>
      <c r="CW110" s="489" t="s">
        <v>2047</v>
      </c>
      <c r="CX110" s="1125"/>
      <c r="CY110" s="1125"/>
      <c r="CZ110" s="1126"/>
      <c r="DA110" s="1126"/>
      <c r="DB110" s="1506"/>
      <c r="DC110" s="1506"/>
      <c r="DD110" s="0" cm="1" t="str">
        <f t="array" ref="DD110:DD110">DD109</f>
        <v>ТЭ.42.31656254.0001</v>
      </c>
      <c r="DE110" s="1751"/>
      <c r="DF110" s="1751"/>
      <c r="DG110" s="0" t="s">
        <v>1624</v>
      </c>
      <c r="DH110" s="1751"/>
      <c r="DI110" s="1751"/>
      <c r="DJ110" s="1751"/>
      <c r="DK110" s="1751"/>
      <c r="DL110" s="1751"/>
      <c r="DM110" s="0" t="s">
        <v>255</v>
      </c>
      <c r="DN110" s="1751"/>
      <c r="DO110" s="0" t="s">
        <v>303</v>
      </c>
      <c r="DP110" s="0" t="s">
        <v>1873</v>
      </c>
      <c r="DQ110" s="0" t="s">
        <v>2048</v>
      </c>
      <c r="DR110" s="1751"/>
    </row>
    <row s="1506" customFormat="1" customHeight="1" ht="16.5">
      <c r="A111" s="1506"/>
      <c r="B111" s="1506"/>
      <c r="C111" s="1506"/>
      <c r="D111" s="1506"/>
      <c r="E111" s="180">
        <v>17</v>
      </c>
      <c r="F111" s="175" cm="1" t="str">
        <f t="array" ref="F111:F111">OFFSET(G111,-1,-1)</f>
        <v>1</v>
      </c>
      <c r="G111" s="1506"/>
      <c r="H111" s="1506"/>
      <c r="I111" s="1506"/>
      <c r="J111" s="1506"/>
      <c r="K111" s="1506"/>
      <c r="L111" s="1506"/>
      <c r="M111" s="1506"/>
      <c r="N111" s="1506"/>
      <c r="O111" s="1506"/>
      <c r="P111" s="1506"/>
      <c r="Q111" s="1506"/>
      <c r="R111" s="1506"/>
      <c r="S111" s="1506"/>
      <c r="T111" s="753" cm="1" t="str">
        <f t="array" ref="T111:T111">T110</f>
        <v>true</v>
      </c>
      <c r="U111" s="1506"/>
      <c r="V111" s="1506"/>
      <c r="W111" s="1506"/>
      <c r="X111" s="1506"/>
      <c r="Y111" s="1506"/>
      <c r="Z111" s="1506"/>
      <c r="AA111" s="1506"/>
      <c r="AB111" s="491">
        <v>11</v>
      </c>
      <c r="AC111" s="815" t="s">
        <v>2049</v>
      </c>
      <c r="AD111" s="819" t="s">
        <v>1178</v>
      </c>
      <c r="AE111" s="746">
        <f>SUM(AE112:AE114)</f>
        <v>0</v>
      </c>
      <c r="AF111" s="746">
        <f>SUM(AF112:AF114)</f>
        <v>0</v>
      </c>
      <c r="AG111" s="820">
        <f>SUM(AG112:AG114)</f>
        <v>0</v>
      </c>
      <c r="AH111" s="695">
        <f>AG111-AF111</f>
        <v>0</v>
      </c>
      <c r="AI111" s="821">
        <f>SUM(AI112:AI114)</f>
        <v>0</v>
      </c>
      <c r="AJ111" s="746">
        <f>SUM(AJ112:AJ114)</f>
        <v>0</v>
      </c>
      <c r="AK111" s="746">
        <f>SUM(AK112:AK114)</f>
        <v>0</v>
      </c>
      <c r="AL111" s="746">
        <f>SUM(AL112:AL114)</f>
        <v>0</v>
      </c>
      <c r="AM111" s="746">
        <f>SUM(AM112:AM114)</f>
        <v>0</v>
      </c>
      <c r="AN111" s="746">
        <f>SUM(AN112:AN114)</f>
        <v>0</v>
      </c>
      <c r="AO111" s="746">
        <f>SUM(AO112:AO114)</f>
        <v>0</v>
      </c>
      <c r="AP111" s="746">
        <f>SUM(AP112:AP114)</f>
        <v>0</v>
      </c>
      <c r="AQ111" s="746">
        <f>SUM(AQ112:AQ114)</f>
        <v>0</v>
      </c>
      <c r="AR111" s="746">
        <f>SUM(AR112:AR114)</f>
        <v>0</v>
      </c>
      <c r="AS111" s="746">
        <f>SUM(AS112:AS114)</f>
        <v>0</v>
      </c>
      <c r="AT111" s="746">
        <f>SUM(AT112:AT114)</f>
        <v>0</v>
      </c>
      <c r="AU111" s="746">
        <f>SUM(AU112:AU114)</f>
        <v>0</v>
      </c>
      <c r="AV111" s="746">
        <f>SUM(AV112:AV114)</f>
        <v>0</v>
      </c>
      <c r="AW111" s="746">
        <f>SUM(AW112:AW114)</f>
        <v>0</v>
      </c>
      <c r="AX111" s="746">
        <f>SUM(AX112:AX114)</f>
        <v>0</v>
      </c>
      <c r="AY111" s="746">
        <f>SUM(AY112:AY114)</f>
        <v>0</v>
      </c>
      <c r="AZ111" s="746">
        <f>SUM(AZ112:AZ114)</f>
        <v>0</v>
      </c>
      <c r="BA111" s="746">
        <f>SUM(BA112:BA114)</f>
        <v>0</v>
      </c>
      <c r="BB111" s="746">
        <f>SUM(BB112:BB114)</f>
        <v>0</v>
      </c>
      <c r="BC111" s="746">
        <f>SUM(BC112:BC114)</f>
        <v>0</v>
      </c>
      <c r="BD111" s="746">
        <f>SUM(BD112:BD114)</f>
        <v>0</v>
      </c>
      <c r="BE111" s="746">
        <f>SUM(BE112:BE114)</f>
        <v>0</v>
      </c>
      <c r="BF111" s="746">
        <f>SUM(BF112:BF114)</f>
        <v>0</v>
      </c>
      <c r="BG111" s="746">
        <f>SUM(BG112:BG114)</f>
        <v>0</v>
      </c>
      <c r="BH111" s="746">
        <f>SUM(BH112:BH114)</f>
        <v>0</v>
      </c>
      <c r="BI111" s="746">
        <f>SUM(BI112:BI114)</f>
        <v>0</v>
      </c>
      <c r="BJ111" s="746">
        <f>SUM(BJ112:BJ114)</f>
        <v>0</v>
      </c>
      <c r="BK111" s="746">
        <f>SUM(BK112:BK114)</f>
        <v>0</v>
      </c>
      <c r="BL111" s="746">
        <f>SUM(BL112:BL114)</f>
        <v>0</v>
      </c>
      <c r="BM111" s="746">
        <f>SUM(BM112:BM114)</f>
        <v>0</v>
      </c>
      <c r="BN111" s="746">
        <f>SUM(BN112:BN114)</f>
        <v>0</v>
      </c>
      <c r="BO111" s="746">
        <f>SUM(BO112:BO114)</f>
        <v>0</v>
      </c>
      <c r="BP111" s="746">
        <f>SUM(BP112:BP114)</f>
        <v>0</v>
      </c>
      <c r="BQ111" s="746">
        <f>SUM(BQ112:BQ114)</f>
        <v>0</v>
      </c>
      <c r="BR111" s="746">
        <f>SUM(BR112:BR114)</f>
        <v>0</v>
      </c>
      <c r="BS111" s="746">
        <f>SUM(BS112:BS114)</f>
        <v>0</v>
      </c>
      <c r="BT111" s="746">
        <f>SUM(BT112:BT114)</f>
        <v>0</v>
      </c>
      <c r="BU111" s="746">
        <f>SUM(BU112:BU114)</f>
        <v>0</v>
      </c>
      <c r="BV111" s="746">
        <f>SUM(BV112:BV114)</f>
        <v>0</v>
      </c>
      <c r="BW111" s="746">
        <f>SUM(BW112:BW114)</f>
        <v>0</v>
      </c>
      <c r="BX111" s="695">
        <f>IF(AI111=0,0,(BD111-AI111)/AI111*100)</f>
        <v>0</v>
      </c>
      <c r="BY111" s="695">
        <f>IF(BD111=0,0,(BE111-BD111)/BD111*100)</f>
        <v>0</v>
      </c>
      <c r="BZ111" s="695">
        <f>IF(BE111=0,0,(BF111-BE111)/BE111*100)</f>
        <v>0</v>
      </c>
      <c r="CA111" s="695">
        <f>IF(BF111=0,0,(BG111-BF111)/BF111*100)</f>
        <v>0</v>
      </c>
      <c r="CB111" s="695">
        <f>IF(BG111=0,0,(BH111-BG111)/BG111*100)</f>
        <v>0</v>
      </c>
      <c r="CC111" s="695">
        <f>IF(BH111=0,0,(BI111-BH111)/BH111*100)</f>
        <v>0</v>
      </c>
      <c r="CD111" s="695">
        <f>IF(BI111=0,0,(BJ111-BI111)/BI111*100)</f>
        <v>0</v>
      </c>
      <c r="CE111" s="695">
        <f>IF(BJ111=0,0,(BK111-BJ111)/BJ111*100)</f>
        <v>0</v>
      </c>
      <c r="CF111" s="695">
        <f>IF(BK111=0,0,(BL111-BK111)/BK111*100)</f>
        <v>0</v>
      </c>
      <c r="CG111" s="695">
        <f>IF(BL111=0,0,(BM111-BL111)/BL111*100)</f>
        <v>0</v>
      </c>
      <c r="CH111" s="695">
        <f>IF(BM111=0,0,(BN111-BM111)/BM111*100)</f>
        <v>0</v>
      </c>
      <c r="CI111" s="695">
        <f>IF(BN111=0,0,(BO111-BN111)/BN111*100)</f>
        <v>0</v>
      </c>
      <c r="CJ111" s="695">
        <f>IF(BO111=0,0,(BP111-BO111)/BO111*100)</f>
        <v>0</v>
      </c>
      <c r="CK111" s="695">
        <f>IF(BP111=0,0,(BQ111-BP111)/BP111*100)</f>
        <v>0</v>
      </c>
      <c r="CL111" s="695">
        <f>IF(BQ111=0,0,(BR111-BQ111)/BQ111*100)</f>
        <v>0</v>
      </c>
      <c r="CM111" s="695">
        <f>IF(BR111=0,0,(BS111-BR111)/BR111*100)</f>
        <v>0</v>
      </c>
      <c r="CN111" s="695">
        <f>IF(BS111=0,0,(BT111-BS111)/BS111*100)</f>
        <v>0</v>
      </c>
      <c r="CO111" s="695">
        <f>IF(BT111=0,0,(BU111-BT111)/BT111*100)</f>
        <v>0</v>
      </c>
      <c r="CP111" s="695">
        <f>IF(BU111=0,0,(BV111-BU111)/BU111*100)</f>
        <v>0</v>
      </c>
      <c r="CQ111" s="695">
        <f>IF(BV111=0,0,(BW111-BV111)/BV111*100)</f>
        <v>0</v>
      </c>
      <c r="CR111" s="1907"/>
      <c r="CS111" s="2366"/>
      <c r="CT111" s="2367"/>
      <c r="CU111" s="1506"/>
      <c r="CV111" s="1506"/>
      <c r="CW111" s="489" t="s">
        <v>1509</v>
      </c>
      <c r="CX111" s="489"/>
      <c r="CY111" s="489"/>
      <c r="CZ111" s="546"/>
      <c r="DA111" s="546"/>
      <c r="DB111" s="1506"/>
      <c r="DC111" s="1506"/>
      <c r="DD111" s="0" cm="1" t="str">
        <f t="array" ref="DD111:DD111">DD110</f>
        <v>ТЭ.42.31656254.0001</v>
      </c>
      <c r="DE111" s="1506"/>
      <c r="DF111" s="1506"/>
      <c r="DG111" s="1506"/>
      <c r="DH111" s="1506"/>
      <c r="DI111" s="0" t="s">
        <v>2050</v>
      </c>
      <c r="DJ111" s="1506"/>
      <c r="DK111" s="1506"/>
      <c r="DL111" s="1506"/>
      <c r="DM111" s="1506"/>
      <c r="DN111" s="1506"/>
      <c r="DO111" s="0" t="s">
        <v>303</v>
      </c>
      <c r="DP111" s="0" t="s">
        <v>2051</v>
      </c>
      <c r="DQ111" s="1506"/>
      <c r="DR111" s="1506"/>
    </row>
    <row s="1659" customFormat="1" customHeight="1" ht="17.25" hidden="1">
      <c r="A112" s="1659"/>
      <c r="B112" s="1659"/>
      <c r="C112" s="1659"/>
      <c r="D112" s="1659"/>
      <c r="E112" s="965">
        <v>0</v>
      </c>
      <c r="F112" s="175" cm="1" t="str">
        <f t="array" ref="F112:F112">OFFSET(G112,-1,-1)</f>
        <v>1</v>
      </c>
      <c r="G112" s="1659"/>
      <c r="H112" s="1659"/>
      <c r="I112" s="1659"/>
      <c r="J112" s="1659"/>
      <c r="K112" s="1659"/>
      <c r="L112" s="1659"/>
      <c r="M112" s="1659"/>
      <c r="N112" s="1659"/>
      <c r="O112" s="1659"/>
      <c r="P112" s="1659"/>
      <c r="Q112" s="1659"/>
      <c r="R112" s="1659"/>
      <c r="S112" s="1659"/>
      <c r="T112" s="753" cm="1" t="str">
        <f t="array" ref="T112:T112">T111</f>
        <v>true</v>
      </c>
      <c r="U112" s="1659"/>
      <c r="V112" s="1659"/>
      <c r="W112" s="1659"/>
      <c r="X112" s="1659"/>
      <c r="Y112" s="1659"/>
      <c r="Z112" s="1659"/>
      <c r="AA112" s="1659"/>
      <c r="AB112" s="507"/>
      <c r="AC112" s="808"/>
      <c r="AD112" s="352"/>
      <c r="AE112" s="714"/>
      <c r="AF112" s="714"/>
      <c r="AG112" s="144"/>
      <c r="AH112" s="714"/>
      <c r="AI112" s="872"/>
      <c r="AJ112" s="714"/>
      <c r="AK112" s="714"/>
      <c r="AL112" s="714"/>
      <c r="AM112" s="714"/>
      <c r="AN112" s="714"/>
      <c r="AO112" s="714"/>
      <c r="AP112" s="714"/>
      <c r="AQ112" s="714"/>
      <c r="AR112" s="714"/>
      <c r="AS112" s="714"/>
      <c r="AT112" s="714"/>
      <c r="AU112" s="714"/>
      <c r="AV112" s="714"/>
      <c r="AW112" s="714"/>
      <c r="AX112" s="714"/>
      <c r="AY112" s="714"/>
      <c r="AZ112" s="714"/>
      <c r="BA112" s="714"/>
      <c r="BB112" s="714"/>
      <c r="BC112" s="714"/>
      <c r="BD112" s="714"/>
      <c r="BE112" s="714"/>
      <c r="BF112" s="714"/>
      <c r="BG112" s="714"/>
      <c r="BH112" s="714"/>
      <c r="BI112" s="714"/>
      <c r="BJ112" s="714"/>
      <c r="BK112" s="714"/>
      <c r="BL112" s="714"/>
      <c r="BM112" s="714"/>
      <c r="BN112" s="714"/>
      <c r="BO112" s="714"/>
      <c r="BP112" s="714"/>
      <c r="BQ112" s="714"/>
      <c r="BR112" s="714"/>
      <c r="BS112" s="714"/>
      <c r="BT112" s="714"/>
      <c r="BU112" s="714"/>
      <c r="BV112" s="714"/>
      <c r="BW112" s="714"/>
      <c r="BX112" s="825"/>
      <c r="BY112" s="825"/>
      <c r="BZ112" s="825"/>
      <c r="CA112" s="825"/>
      <c r="CB112" s="825"/>
      <c r="CC112" s="825"/>
      <c r="CD112" s="825"/>
      <c r="CE112" s="825"/>
      <c r="CF112" s="825"/>
      <c r="CG112" s="825"/>
      <c r="CH112" s="825"/>
      <c r="CI112" s="825"/>
      <c r="CJ112" s="825"/>
      <c r="CK112" s="825"/>
      <c r="CL112" s="825"/>
      <c r="CM112" s="825"/>
      <c r="CN112" s="825"/>
      <c r="CO112" s="825"/>
      <c r="CP112" s="825"/>
      <c r="CQ112" s="825"/>
      <c r="CR112" s="413"/>
      <c r="CS112" s="145"/>
      <c r="CT112" s="146"/>
      <c r="CU112" s="1659"/>
      <c r="CV112" s="1659"/>
      <c r="CW112" s="489" t="str">
        <f>IF(AND(ISNUMBER(VALUE(TRIM(SUBSTITUTE(AB112,".","")))),TRIM(SUBSTITUTE(AB112,".",""))&lt;&gt;""),"P"&amp;SUBSTITUTE(AB112,".",""),"")</f>
        <v/>
      </c>
      <c r="CX112" s="489"/>
      <c r="CY112" s="489"/>
      <c r="CZ112" s="546"/>
      <c r="DA112" s="546"/>
      <c r="DB112" s="1659"/>
      <c r="DC112" s="1659"/>
      <c r="DD112" s="0" cm="1" t="str">
        <f t="array" ref="DD112:DD112">DD111</f>
        <v>ТЭ.42.31656254.0001</v>
      </c>
      <c r="DE112" s="1659"/>
      <c r="DF112" s="1659"/>
      <c r="DG112" s="1659"/>
      <c r="DH112" s="1659"/>
      <c r="DI112" s="1659"/>
      <c r="DJ112" s="1659"/>
      <c r="DK112" s="1659"/>
      <c r="DL112" s="1659"/>
      <c r="DM112" s="1659"/>
      <c r="DN112" s="1659"/>
      <c r="DO112" s="1659"/>
      <c r="DP112" s="1659"/>
      <c r="DQ112" s="1659"/>
      <c r="DR112" s="1659"/>
    </row>
    <row s="1506" customFormat="1" customHeight="1" ht="16.5" hidden="1">
      <c r="A113" s="1506"/>
      <c r="B113" s="1506"/>
      <c r="C113" s="1506"/>
      <c r="D113" s="1506"/>
      <c r="E113" s="180">
        <v>17</v>
      </c>
      <c r="F113" s="175" cm="1" t="str">
        <f t="array" ref="F113:F113">OFFSET(G113,-1,-1)</f>
        <v>1</v>
      </c>
      <c r="G113" s="1506"/>
      <c r="H113" s="1506"/>
      <c r="I113" s="1506"/>
      <c r="J113" s="1506"/>
      <c r="K113" s="1506"/>
      <c r="L113" s="1506"/>
      <c r="M113" s="1506"/>
      <c r="N113" s="1506"/>
      <c r="O113" s="1506"/>
      <c r="P113" s="1506"/>
      <c r="Q113" s="1506"/>
      <c r="R113" s="1506"/>
      <c r="S113" s="1506"/>
      <c r="T113" s="753">
        <f>AND(F113&gt;0,Y113&gt;0)</f>
        <v>0</v>
      </c>
      <c r="U113" s="1506"/>
      <c r="V113" s="1506"/>
      <c r="W113" s="175" t="s">
        <v>189</v>
      </c>
      <c r="X113" s="1506"/>
      <c r="Y113" s="175">
        <v>0</v>
      </c>
      <c r="Z113" s="1506"/>
      <c r="AA113" s="957" t="s">
        <v>171</v>
      </c>
      <c r="AB113" s="697" t="str">
        <f>"11."&amp;Y113</f>
        <v>11.0</v>
      </c>
      <c r="AC113" s="147"/>
      <c r="AD113" s="819" t="s">
        <v>1178</v>
      </c>
      <c r="AE113" s="141"/>
      <c r="AF113" s="141"/>
      <c r="AG113" s="148"/>
      <c r="AH113" s="700">
        <f>AG113-AF113</f>
        <v>0</v>
      </c>
      <c r="AI113" s="149"/>
      <c r="AJ113" s="818"/>
      <c r="AK113" s="141"/>
      <c r="AL113" s="141"/>
      <c r="AM113" s="141"/>
      <c r="AN113" s="141"/>
      <c r="AO113" s="141"/>
      <c r="AP113" s="141"/>
      <c r="AQ113" s="141"/>
      <c r="AR113" s="141"/>
      <c r="AS113" s="141"/>
      <c r="AT113" s="141"/>
      <c r="AU113" s="141"/>
      <c r="AV113" s="141"/>
      <c r="AW113" s="141"/>
      <c r="AX113" s="141"/>
      <c r="AY113" s="141"/>
      <c r="AZ113" s="141"/>
      <c r="BA113" s="141"/>
      <c r="BB113" s="141"/>
      <c r="BC113" s="141"/>
      <c r="BD113" s="818"/>
      <c r="BE113" s="141"/>
      <c r="BF113" s="141"/>
      <c r="BG113" s="141"/>
      <c r="BH113" s="141"/>
      <c r="BI113" s="141"/>
      <c r="BJ113" s="141"/>
      <c r="BK113" s="141"/>
      <c r="BL113" s="141"/>
      <c r="BM113" s="141"/>
      <c r="BN113" s="141"/>
      <c r="BO113" s="141"/>
      <c r="BP113" s="141"/>
      <c r="BQ113" s="141"/>
      <c r="BR113" s="141"/>
      <c r="BS113" s="141"/>
      <c r="BT113" s="141"/>
      <c r="BU113" s="141"/>
      <c r="BV113" s="141"/>
      <c r="BW113" s="141"/>
      <c r="BX113" s="700">
        <f>IF(AI113=0,0,(BD113-AI113)/AI113*100)</f>
        <v>0</v>
      </c>
      <c r="BY113" s="700">
        <f>IF(BD113=0,0,(BE113-BD113)/BD113*100)</f>
        <v>0</v>
      </c>
      <c r="BZ113" s="700">
        <f>IF(BE113=0,0,(BF113-BE113)/BE113*100)</f>
        <v>0</v>
      </c>
      <c r="CA113" s="700">
        <f>IF(BF113=0,0,(BG113-BF113)/BF113*100)</f>
        <v>0</v>
      </c>
      <c r="CB113" s="700">
        <f>IF(BG113=0,0,(BH113-BG113)/BG113*100)</f>
        <v>0</v>
      </c>
      <c r="CC113" s="700">
        <f>IF(BH113=0,0,(BI113-BH113)/BH113*100)</f>
        <v>0</v>
      </c>
      <c r="CD113" s="700">
        <f>IF(BI113=0,0,(BJ113-BI113)/BI113*100)</f>
        <v>0</v>
      </c>
      <c r="CE113" s="700">
        <f>IF(BJ113=0,0,(BK113-BJ113)/BJ113*100)</f>
        <v>0</v>
      </c>
      <c r="CF113" s="700">
        <f>IF(BK113=0,0,(BL113-BK113)/BK113*100)</f>
        <v>0</v>
      </c>
      <c r="CG113" s="700">
        <f>IF(BL113=0,0,(BM113-BL113)/BL113*100)</f>
        <v>0</v>
      </c>
      <c r="CH113" s="700">
        <f>IF(BM113=0,0,(BN113-BM113)/BM113*100)</f>
        <v>0</v>
      </c>
      <c r="CI113" s="700">
        <f>IF(BN113=0,0,(BO113-BN113)/BN113*100)</f>
        <v>0</v>
      </c>
      <c r="CJ113" s="700">
        <f>IF(BO113=0,0,(BP113-BO113)/BO113*100)</f>
        <v>0</v>
      </c>
      <c r="CK113" s="700">
        <f>IF(BP113=0,0,(BQ113-BP113)/BP113*100)</f>
        <v>0</v>
      </c>
      <c r="CL113" s="700">
        <f>IF(BQ113=0,0,(BR113-BQ113)/BQ113*100)</f>
        <v>0</v>
      </c>
      <c r="CM113" s="700">
        <f>IF(BR113=0,0,(BS113-BR113)/BR113*100)</f>
        <v>0</v>
      </c>
      <c r="CN113" s="700">
        <f>IF(BS113=0,0,(BT113-BS113)/BS113*100)</f>
        <v>0</v>
      </c>
      <c r="CO113" s="700">
        <f>IF(BT113=0,0,(BU113-BT113)/BT113*100)</f>
        <v>0</v>
      </c>
      <c r="CP113" s="700">
        <f>IF(BU113=0,0,(BV113-BU113)/BU113*100)</f>
        <v>0</v>
      </c>
      <c r="CQ113" s="700">
        <f>IF(BV113=0,0,(BW113-BV113)/BV113*100)</f>
        <v>0</v>
      </c>
      <c r="CR113" s="150"/>
      <c r="CS113" s="151"/>
      <c r="CT113" s="152"/>
      <c r="CU113" s="1506"/>
      <c r="CV113" s="1506"/>
      <c r="CW113" s="489" t="s">
        <v>1509</v>
      </c>
      <c r="CX113" s="489" t="s">
        <v>1406</v>
      </c>
      <c r="CY113" s="489" cm="1" t="str">
        <f t="array" ref="CY113:CY113">AC113</f>
        <v>0</v>
      </c>
      <c r="CZ113" s="546"/>
      <c r="DA113" s="546" t="b">
        <v>1</v>
      </c>
      <c r="DB113" s="1506"/>
      <c r="DC113" s="1506"/>
      <c r="DD113" s="0" cm="1" t="str">
        <f t="array" ref="DD113:DD113">OFFSET(DE113,-1,-1)</f>
        <v>ТЭ.42.31656254.0001</v>
      </c>
      <c r="DE113" s="1506"/>
      <c r="DF113" s="1506"/>
      <c r="DG113" s="1506"/>
      <c r="DH113" s="1506"/>
      <c r="DI113" s="0" t="s">
        <v>2050</v>
      </c>
      <c r="DJ113" s="1506"/>
      <c r="DK113" s="1506"/>
      <c r="DL113" s="1506"/>
      <c r="DM113" s="1506"/>
      <c r="DN113" s="0" cm="1" t="str">
        <f t="array" ref="DN113:DN113">$AC113</f>
        <v>0</v>
      </c>
      <c r="DO113" s="0" t="s">
        <v>303</v>
      </c>
      <c r="DP113" s="0" t="s">
        <v>1142</v>
      </c>
      <c r="DQ113" s="0" t="s">
        <v>1143</v>
      </c>
      <c r="DR113" s="1506"/>
    </row>
    <row s="1659" customFormat="1" customHeight="1" ht="16.5">
      <c r="A114" s="1659"/>
      <c r="B114" s="1659"/>
      <c r="C114" s="1659"/>
      <c r="D114" s="1659"/>
      <c r="E114" s="180">
        <v>17</v>
      </c>
      <c r="F114" s="175" cm="1" t="str">
        <f t="array" ref="F114:F114">OFFSET(G114,-1,-1)</f>
        <v>1</v>
      </c>
      <c r="G114" s="1659"/>
      <c r="H114" s="1659"/>
      <c r="I114" s="1659"/>
      <c r="J114" s="1659"/>
      <c r="K114" s="1659"/>
      <c r="L114" s="1659"/>
      <c r="M114" s="1659"/>
      <c r="N114" s="1659"/>
      <c r="O114" s="1659"/>
      <c r="P114" s="1659"/>
      <c r="Q114" s="1659"/>
      <c r="R114" s="1659"/>
      <c r="S114" s="1659"/>
      <c r="T114" s="753">
        <f>F114&gt;0</f>
        <v>1</v>
      </c>
      <c r="U114" s="1659"/>
      <c r="V114" s="1659"/>
      <c r="W114" s="176" t="s">
        <v>2052</v>
      </c>
      <c r="X114" s="1659"/>
      <c r="Y114" s="1659"/>
      <c r="Z114" s="1659"/>
      <c r="AA114" s="1659"/>
      <c r="AB114" s="1137"/>
      <c r="AC114" s="1138" t="s">
        <v>191</v>
      </c>
      <c r="AD114" s="1139"/>
      <c r="AE114" s="1139"/>
      <c r="AF114" s="1139"/>
      <c r="AG114" s="1139"/>
      <c r="AH114" s="1139"/>
      <c r="AI114" s="1139"/>
      <c r="AJ114" s="1139"/>
      <c r="AK114" s="1139"/>
      <c r="AL114" s="1139"/>
      <c r="AM114" s="1139"/>
      <c r="AN114" s="1139"/>
      <c r="AO114" s="1139"/>
      <c r="AP114" s="1139"/>
      <c r="AQ114" s="1139"/>
      <c r="AR114" s="1139"/>
      <c r="AS114" s="1139"/>
      <c r="AT114" s="1139"/>
      <c r="AU114" s="1139"/>
      <c r="AV114" s="1139"/>
      <c r="AW114" s="1139"/>
      <c r="AX114" s="1139"/>
      <c r="AY114" s="1139"/>
      <c r="AZ114" s="1139"/>
      <c r="BA114" s="1139"/>
      <c r="BB114" s="1139"/>
      <c r="BC114" s="1139"/>
      <c r="BD114" s="1139"/>
      <c r="BE114" s="1139"/>
      <c r="BF114" s="1139"/>
      <c r="BG114" s="1139"/>
      <c r="BH114" s="1139"/>
      <c r="BI114" s="1139"/>
      <c r="BJ114" s="1139"/>
      <c r="BK114" s="1139"/>
      <c r="BL114" s="1139"/>
      <c r="BM114" s="1139"/>
      <c r="BN114" s="1139"/>
      <c r="BO114" s="1139"/>
      <c r="BP114" s="1139"/>
      <c r="BQ114" s="1139"/>
      <c r="BR114" s="1139"/>
      <c r="BS114" s="1139"/>
      <c r="BT114" s="1139"/>
      <c r="BU114" s="1139"/>
      <c r="BV114" s="1139"/>
      <c r="BW114" s="1139"/>
      <c r="BX114" s="1139"/>
      <c r="BY114" s="1139"/>
      <c r="BZ114" s="1139"/>
      <c r="CA114" s="1139"/>
      <c r="CB114" s="1139"/>
      <c r="CC114" s="1139"/>
      <c r="CD114" s="1139"/>
      <c r="CE114" s="1139"/>
      <c r="CF114" s="1139"/>
      <c r="CG114" s="1139"/>
      <c r="CH114" s="1139"/>
      <c r="CI114" s="1139"/>
      <c r="CJ114" s="1139"/>
      <c r="CK114" s="1139"/>
      <c r="CL114" s="1139"/>
      <c r="CM114" s="1139"/>
      <c r="CN114" s="1139"/>
      <c r="CO114" s="1139"/>
      <c r="CP114" s="1139"/>
      <c r="CQ114" s="1139"/>
      <c r="CR114" s="1140"/>
      <c r="CS114" s="1140"/>
      <c r="CT114" s="1141"/>
      <c r="CU114" s="1659"/>
      <c r="CV114" s="1659"/>
      <c r="CW114" s="489" t="str">
        <f>IF(AND(ISNUMBER(VALUE(TRIM(SUBSTITUTE(AB114,".","")))),TRIM(SUBSTITUTE(AB114,".",""))&lt;&gt;""),"P"&amp;SUBSTITUTE(AB114,".",""),"")</f>
        <v/>
      </c>
      <c r="CX114" s="489"/>
      <c r="CY114" s="489"/>
      <c r="CZ114" s="546" t="s">
        <v>1406</v>
      </c>
      <c r="DA114" s="546"/>
      <c r="DB114" s="1659"/>
      <c r="DC114" s="1659"/>
      <c r="DD114" s="0" cm="1" t="str">
        <f t="array" ref="DD114:DD114">OFFSET(DE114,-1,-1)</f>
        <v>ТЭ.42.31656254.0001</v>
      </c>
      <c r="DE114" s="1659"/>
      <c r="DF114" s="1659"/>
      <c r="DG114" s="1659"/>
      <c r="DH114" s="1659"/>
      <c r="DI114" s="1659"/>
      <c r="DJ114" s="1659"/>
      <c r="DK114" s="1659"/>
      <c r="DL114" s="1659"/>
      <c r="DM114" s="1659"/>
      <c r="DN114" s="1659"/>
      <c r="DO114" s="1659"/>
      <c r="DP114" s="1659"/>
      <c r="DQ114" s="1659"/>
      <c r="DR114" s="1659"/>
    </row>
    <row s="1506" customFormat="1" customHeight="1" ht="14.25">
      <c r="A115" s="1506"/>
      <c r="B115" s="1506"/>
      <c r="C115" s="1506"/>
      <c r="D115" s="1506"/>
      <c r="E115" s="180">
        <v>15</v>
      </c>
      <c r="F115" s="175" cm="1" t="str">
        <f t="array" ref="F115:F115">OFFSET(G115,-1,-1)</f>
        <v>1</v>
      </c>
      <c r="G115" s="1506"/>
      <c r="H115" s="1506"/>
      <c r="I115" s="1506"/>
      <c r="J115" s="1506"/>
      <c r="K115" s="1506"/>
      <c r="L115" s="1506"/>
      <c r="M115" s="1506"/>
      <c r="N115" s="1506"/>
      <c r="O115" s="1506"/>
      <c r="P115" s="1506"/>
      <c r="Q115" s="1506"/>
      <c r="R115" s="1506"/>
      <c r="S115" s="1506"/>
      <c r="T115" s="753" cm="1" t="str">
        <f t="array" ref="T115:T115">T114</f>
        <v>true</v>
      </c>
      <c r="U115" s="1506"/>
      <c r="V115" s="1506"/>
      <c r="W115" s="1506"/>
      <c r="X115" s="1506"/>
      <c r="Y115" s="1506"/>
      <c r="Z115" s="1506"/>
      <c r="AA115" s="1506"/>
      <c r="AB115" s="829">
        <v>12</v>
      </c>
      <c r="AC115" s="830" t="s">
        <v>2053</v>
      </c>
      <c r="AD115" s="831" t="s">
        <v>1178</v>
      </c>
      <c r="AE115" s="835">
        <f>AE84+AE85+AE86+IF(method_reg="Метод индексации",AE99+AE104,AE87+AE90)+AE106+AE107+AE108+AE109+AE110+AE111</f>
        <v>8635</v>
      </c>
      <c r="AF115" s="835">
        <f>AF84+AF85+AF86+IF(method_reg="Метод индексации",AF99+AF104,AF87+AF90)+AF106+AF107+AF108+AF109+AF110+AF111</f>
        <v>13403.36</v>
      </c>
      <c r="AG115" s="835">
        <f>AG84+AG85+AG86+IF(method_reg="Метод индексации",AG99+AG104,AG87+AG90)+AG106+AG107+AG108+AG109+AG110+AG111</f>
        <v>9385.86814247972</v>
      </c>
      <c r="AH115" s="707">
        <f>AG115-AF115</f>
        <v>-4017.49185752028</v>
      </c>
      <c r="AI115" s="835">
        <f>AI84+AI85+AI86+IF(method_reg="Метод индексации",AI99+AI104,AI87+AI90)+AI106+AI107+AI108+AI109+AI110+AI111</f>
        <v>9510</v>
      </c>
      <c r="AJ115" s="835">
        <f>AJ84+AJ85+AJ86+IF(method_reg="Метод индексации",AJ99+AJ104,AJ87+AJ90)+AJ106+AJ107+AJ108+AJ109+AJ110+AJ111</f>
        <v>13774.0162230014</v>
      </c>
      <c r="AK115" s="835">
        <f>AK84+AK85+AK86+IF(method_reg="Метод индексации",AK99+AK104,AK87+AK90)+AK106+AK107+AK108+AK109+AK110+AK111</f>
        <v>3900.59901</v>
      </c>
      <c r="AL115" s="835">
        <f>AL84+AL85+AL86+IF(method_reg="Метод индексации",AL99+AL104,AL87+AL90)+AL106+AL107+AL108+AL109+AL110+AL111</f>
        <v>3861.5930199</v>
      </c>
      <c r="AM115" s="835">
        <f>AM84+AM85+AM86+IF(method_reg="Метод индексации",AM99+AM104,AM87+AM90)+AM106+AM107+AM108+AM109+AM110+AM111</f>
        <v>3822.977089701</v>
      </c>
      <c r="AN115" s="835">
        <f>AN84+AN85+AN86+IF(method_reg="Метод индексации",AN99+AN104,AN87+AN90)+AN106+AN107+AN108+AN109+AN110+AN111</f>
        <v>3784.74731880399</v>
      </c>
      <c r="AO115" s="835">
        <f>AO84+AO85+AO86+IF(method_reg="Метод индексации",AO99+AO104,AO87+AO90)+AO106+AO107+AO108+AO109+AO110+AO111</f>
        <v>3746.89984561595</v>
      </c>
      <c r="AP115" s="835">
        <f>AP84+AP85+AP86+IF(method_reg="Метод индексации",AP99+AP104,AP87+AP90)+AP106+AP107+AP108+AP109+AP110+AP111</f>
        <v>3709.43084715979</v>
      </c>
      <c r="AQ115" s="835">
        <f>AQ84+AQ85+AQ86+IF(method_reg="Метод индексации",AQ99+AQ104,AQ87+AQ90)+AQ106+AQ107+AQ108+AQ109+AQ110+AQ111</f>
        <v>3672.33653868819</v>
      </c>
      <c r="AR115" s="835">
        <f>AR84+AR85+AR86+IF(method_reg="Метод индексации",AR99+AR104,AR87+AR90)+AR106+AR107+AR108+AR109+AR110+AR111</f>
        <v>3635.61317330131</v>
      </c>
      <c r="AS115" s="835">
        <f>AS84+AS85+AS86+IF(method_reg="Метод индексации",AS99+AS104,AS87+AS90)+AS106+AS107+AS108+AS109+AS110+AS111</f>
        <v>3599.2570415683</v>
      </c>
      <c r="AT115" s="835">
        <f>AT84+AT85+AT86+IF(method_reg="Метод индексации",AT99+AT104,AT87+AT90)+AT106+AT107+AT108+AT109+AT110+AT111</f>
        <v>3563.26447115262</v>
      </c>
      <c r="AU115" s="835">
        <f>AU84+AU85+AU86+IF(method_reg="Метод индексации",AU99+AU104,AU87+AU90)+AU106+AU107+AU108+AU109+AU110+AU111</f>
        <v>3527.63182644109</v>
      </c>
      <c r="AV115" s="835">
        <f>AV84+AV85+AV86+IF(method_reg="Метод индексации",AV99+AV104,AV87+AV90)+AV106+AV107+AV108+AV109+AV110+AV111</f>
        <v>3492.35550817668</v>
      </c>
      <c r="AW115" s="835">
        <f>AW84+AW85+AW86+IF(method_reg="Метод индексации",AW99+AW104,AW87+AW90)+AW106+AW107+AW108+AW109+AW110+AW111</f>
        <v>3457.43195309491</v>
      </c>
      <c r="AX115" s="835">
        <f>AX84+AX85+AX86+IF(method_reg="Метод индексации",AX99+AX104,AX87+AX90)+AX106+AX107+AX108+AX109+AX110+AX111</f>
        <v>3422.85763356396</v>
      </c>
      <c r="AY115" s="835">
        <f>AY84+AY85+AY86+IF(method_reg="Метод индексации",AY99+AY104,AY87+AY90)+AY106+AY107+AY108+AY109+AY110+AY111</f>
        <v>3388.62905722832</v>
      </c>
      <c r="AZ115" s="835">
        <f>AZ84+AZ85+AZ86+IF(method_reg="Метод индексации",AZ99+AZ104,AZ87+AZ90)+AZ106+AZ107+AZ108+AZ109+AZ110+AZ111</f>
        <v>3354.74276665604</v>
      </c>
      <c r="BA115" s="835">
        <f>BA84+BA85+BA86+IF(method_reg="Метод индексации",BA99+BA104,BA87+BA90)+BA106+BA107+BA108+BA109+BA110+BA111</f>
        <v>3321.19533898948</v>
      </c>
      <c r="BB115" s="835">
        <f>BB84+BB85+BB86+IF(method_reg="Метод индексации",BB99+BB104,BB87+BB90)+BB106+BB107+BB108+BB109+BB110+BB111</f>
        <v>3287.98338559959</v>
      </c>
      <c r="BC115" s="835">
        <f>BC84+BC85+BC86+IF(method_reg="Метод индексации",BC99+BC104,BC87+BC90)+BC106+BC107+BC108+BC109+BC110+BC111</f>
        <v>3255.10355174359</v>
      </c>
      <c r="BD115" s="835">
        <f>BD84+BD85+BD86+IF(method_reg="Метод индексации",BD99+BD104,BD87+BD90)+BD106+BD107+BD108+BD109+BD110+BD111</f>
        <v>10684.5550208322</v>
      </c>
      <c r="BE115" s="835">
        <f>BE84+BE85+BE86+IF(method_reg="Метод индексации",BE99+BE104,BE87+BE90)+BE106+BE107+BE108+BE109+BE110+BE111</f>
        <v>3900.59901</v>
      </c>
      <c r="BF115" s="835">
        <f>BF84+BF85+BF86+IF(method_reg="Метод индексации",BF99+BF104,BF87+BF90)+BF106+BF107+BF108+BF109+BF110+BF111</f>
        <v>3861.5930199</v>
      </c>
      <c r="BG115" s="835">
        <f>BG84+BG85+BG86+IF(method_reg="Метод индексации",BG99+BG104,BG87+BG90)+BG106+BG107+BG108+BG109+BG110+BG111</f>
        <v>3822.977089701</v>
      </c>
      <c r="BH115" s="835">
        <f>BH84+BH85+BH86+IF(method_reg="Метод индексации",BH99+BH104,BH87+BH90)+BH106+BH107+BH108+BH109+BH110+BH111</f>
        <v>3784.74731880399</v>
      </c>
      <c r="BI115" s="835">
        <f>BI84+BI85+BI86+IF(method_reg="Метод индексации",BI99+BI104,BI87+BI90)+BI106+BI107+BI108+BI109+BI110+BI111</f>
        <v>3746.89984561595</v>
      </c>
      <c r="BJ115" s="835">
        <f>BJ84+BJ85+BJ86+IF(method_reg="Метод индексации",BJ99+BJ104,BJ87+BJ90)+BJ106+BJ107+BJ108+BJ109+BJ110+BJ111</f>
        <v>3709.43084715979</v>
      </c>
      <c r="BK115" s="835">
        <f>BK84+BK85+BK86+IF(method_reg="Метод индексации",BK99+BK104,BK87+BK90)+BK106+BK107+BK108+BK109+BK110+BK111</f>
        <v>3672.33653868819</v>
      </c>
      <c r="BL115" s="835">
        <f>BL84+BL85+BL86+IF(method_reg="Метод индексации",BL99+BL104,BL87+BL90)+BL106+BL107+BL108+BL109+BL110+BL111</f>
        <v>3635.61317330131</v>
      </c>
      <c r="BM115" s="835">
        <f>BM84+BM85+BM86+IF(method_reg="Метод индексации",BM99+BM104,BM87+BM90)+BM106+BM107+BM108+BM109+BM110+BM111</f>
        <v>3599.2570415683</v>
      </c>
      <c r="BN115" s="835">
        <f>BN84+BN85+BN86+IF(method_reg="Метод индексации",BN99+BN104,BN87+BN90)+BN106+BN107+BN108+BN109+BN110+BN111</f>
        <v>3563.26447115262</v>
      </c>
      <c r="BO115" s="835">
        <f>BO84+BO85+BO86+IF(method_reg="Метод индексации",BO99+BO104,BO87+BO90)+BO106+BO107+BO108+BO109+BO110+BO111</f>
        <v>3527.63182644109</v>
      </c>
      <c r="BP115" s="835">
        <f>BP84+BP85+BP86+IF(method_reg="Метод индексации",BP99+BP104,BP87+BP90)+BP106+BP107+BP108+BP109+BP110+BP111</f>
        <v>3492.35550817668</v>
      </c>
      <c r="BQ115" s="835">
        <f>BQ84+BQ85+BQ86+IF(method_reg="Метод индексации",BQ99+BQ104,BQ87+BQ90)+BQ106+BQ107+BQ108+BQ109+BQ110+BQ111</f>
        <v>3457.43195309491</v>
      </c>
      <c r="BR115" s="835">
        <f>BR84+BR85+BR86+IF(method_reg="Метод индексации",BR99+BR104,BR87+BR90)+BR106+BR107+BR108+BR109+BR110+BR111</f>
        <v>3422.85763356396</v>
      </c>
      <c r="BS115" s="835">
        <f>BS84+BS85+BS86+IF(method_reg="Метод индексации",BS99+BS104,BS87+BS90)+BS106+BS107+BS108+BS109+BS110+BS111</f>
        <v>3388.62905722832</v>
      </c>
      <c r="BT115" s="835">
        <f>BT84+BT85+BT86+IF(method_reg="Метод индексации",BT99+BT104,BT87+BT90)+BT106+BT107+BT108+BT109+BT110+BT111</f>
        <v>3354.74276665604</v>
      </c>
      <c r="BU115" s="835">
        <f>BU84+BU85+BU86+IF(method_reg="Метод индексации",BU99+BU104,BU87+BU90)+BU106+BU107+BU108+BU109+BU110+BU111</f>
        <v>3321.19533898948</v>
      </c>
      <c r="BV115" s="835">
        <f>BV84+BV85+BV86+IF(method_reg="Метод индексации",BV99+BV104,BV87+BV90)+BV106+BV107+BV108+BV109+BV110+BV111</f>
        <v>3287.98338559959</v>
      </c>
      <c r="BW115" s="835">
        <f>BW84+BW85+BW86+IF(method_reg="Метод индексации",BW99+BW104,BW87+BW90)+BW106+BW107+BW108+BW109+BW110+BW111</f>
        <v>3255.10355174359</v>
      </c>
      <c r="BX115" s="707">
        <f>IF(AI115=0,0,(BD115-AI115)/AI115*100)</f>
        <v>12.3507362863533</v>
      </c>
      <c r="BY115" s="707">
        <f>IF(BD115=0,0,(BE115-BD115)/BD115*100)</f>
        <v>-63.4931075520243</v>
      </c>
      <c r="BZ115" s="707">
        <f>IF(BE115=0,0,(BF115-BE115)/BE115*100)</f>
        <v>-1</v>
      </c>
      <c r="CA115" s="707">
        <f>IF(BF115=0,0,(BG115-BF115)/BF115*100)</f>
        <v>-1</v>
      </c>
      <c r="CB115" s="707">
        <f>IF(BG115=0,0,(BH115-BG115)/BG115*100)</f>
        <v>-1</v>
      </c>
      <c r="CC115" s="707">
        <f>IF(BH115=0,0,(BI115-BH115)/BH115*100)</f>
        <v>-0.99999999999999</v>
      </c>
      <c r="CD115" s="707">
        <f>IF(BI115=0,0,(BJ115-BI115)/BI115*100)</f>
        <v>-1</v>
      </c>
      <c r="CE115" s="707">
        <f>IF(BJ115=0,0,(BK115-BJ115)/BJ115*100)</f>
        <v>-1.0000000000001</v>
      </c>
      <c r="CF115" s="707">
        <f>IF(BK115=0,0,(BL115-BK115)/BK115*100)</f>
        <v>-0.99999999999996</v>
      </c>
      <c r="CG115" s="707">
        <f>IF(BL115=0,0,(BM115-BL115)/BL115*100)</f>
        <v>-0.99999999999991</v>
      </c>
      <c r="CH115" s="707">
        <f>IF(BM115=0,0,(BN115-BM115)/BM115*100)</f>
        <v>-0.99999999999991</v>
      </c>
      <c r="CI115" s="707">
        <f>IF(BN115=0,0,(BO115-BN115)/BN115*100)</f>
        <v>-1.0000000000001</v>
      </c>
      <c r="CJ115" s="707">
        <f>IF(BO115=0,0,(BP115-BO115)/BO115*100)</f>
        <v>-0.99999999999998</v>
      </c>
      <c r="CK115" s="707">
        <f>IF(BP115=0,0,(BQ115-BP115)/BP115*100)</f>
        <v>-1.0000000000001</v>
      </c>
      <c r="CL115" s="707">
        <f>IF(BQ115=0,0,(BR115-BQ115)/BQ115*100)</f>
        <v>-1</v>
      </c>
      <c r="CM115" s="707">
        <f>IF(BR115=0,0,(BS115-BR115)/BR115*100)</f>
        <v>-1</v>
      </c>
      <c r="CN115" s="707">
        <f>IF(BS115=0,0,(BT115-BS115)/BS115*100)</f>
        <v>-0.9999999999999</v>
      </c>
      <c r="CO115" s="707">
        <f>IF(BT115=0,0,(BU115-BT115)/BT115*100)</f>
        <v>-0.99999999999999</v>
      </c>
      <c r="CP115" s="707">
        <f>IF(BU115=0,0,(BV115-BU115)/BU115*100)</f>
        <v>-0.99999999999987</v>
      </c>
      <c r="CQ115" s="707">
        <f>IF(BV115=0,0,(BW115-BV115)/BV115*100)</f>
        <v>-1.0000000000001</v>
      </c>
      <c r="CR115" s="1908"/>
      <c r="CS115" s="2368"/>
      <c r="CT115" s="2369"/>
      <c r="CU115" s="1506"/>
      <c r="CV115" s="1506"/>
      <c r="CW115" s="489" t="s">
        <v>2054</v>
      </c>
      <c r="CX115" s="489"/>
      <c r="CY115" s="489"/>
      <c r="CZ115" s="546"/>
      <c r="DA115" s="546"/>
      <c r="DB115" s="1506"/>
      <c r="DC115" s="1506"/>
      <c r="DD115" s="0" cm="1" t="str">
        <f t="array" ref="DD115:DD115">DD113</f>
        <v>ТЭ.42.31656254.0001</v>
      </c>
      <c r="DE115" s="1506"/>
      <c r="DF115" s="1506"/>
      <c r="DG115" s="1506"/>
      <c r="DH115" s="1506"/>
      <c r="DI115" s="1506"/>
      <c r="DJ115" s="1506"/>
      <c r="DK115" s="1506"/>
      <c r="DL115" s="1506"/>
      <c r="DM115" s="0" t="s">
        <v>2055</v>
      </c>
      <c r="DN115" s="1506"/>
      <c r="DO115" s="0" t="s">
        <v>303</v>
      </c>
      <c r="DP115" s="0" t="s">
        <v>1717</v>
      </c>
      <c r="DQ115" s="0" t="s">
        <v>1718</v>
      </c>
      <c r="DR115" s="1506"/>
    </row>
    <row s="1751" customFormat="1" customHeight="1" ht="48.75">
      <c r="A116" s="371"/>
      <c r="B116" s="1548"/>
      <c r="C116" s="1506"/>
      <c r="D116" s="1506"/>
      <c r="E116" s="180">
        <v>50</v>
      </c>
      <c r="F116" s="175" cm="1" t="str">
        <f t="array" ref="F116:F116">OFFSET(G116,-1,-1)</f>
        <v>1</v>
      </c>
      <c r="G116" s="1659"/>
      <c r="H116" s="1659"/>
      <c r="I116" s="1659"/>
      <c r="J116" s="1659"/>
      <c r="K116" s="1659"/>
      <c r="L116" s="1659"/>
      <c r="M116" s="1506"/>
      <c r="N116" s="1506"/>
      <c r="O116" s="1506"/>
      <c r="P116" s="1506"/>
      <c r="Q116" s="1506"/>
      <c r="R116" s="1506"/>
      <c r="S116" s="1506"/>
      <c r="T116" s="753" cm="1" t="str">
        <f t="array" ref="T116:T116">T115</f>
        <v>true</v>
      </c>
      <c r="U116" s="1548"/>
      <c r="V116" s="1548"/>
      <c r="W116" s="1548"/>
      <c r="X116" s="1548"/>
      <c r="Y116" s="1548"/>
      <c r="Z116" s="1548"/>
      <c r="AA116" s="286"/>
      <c r="AB116" s="512">
        <v>13</v>
      </c>
      <c r="AC116" s="832" t="s">
        <v>2056</v>
      </c>
      <c r="AD116" s="819" t="s">
        <v>1178</v>
      </c>
      <c r="AE116" s="2370"/>
      <c r="AF116" s="2370"/>
      <c r="AG116" s="2370"/>
      <c r="AH116" s="695">
        <f>AG116-AF116</f>
        <v>0</v>
      </c>
      <c r="AI116" s="2370"/>
      <c r="AJ116" s="833"/>
      <c r="AK116" s="2370"/>
      <c r="AL116" s="2370"/>
      <c r="AM116" s="2370"/>
      <c r="AN116" s="2370"/>
      <c r="AO116" s="2370"/>
      <c r="AP116" s="2370"/>
      <c r="AQ116" s="2370"/>
      <c r="AR116" s="2370"/>
      <c r="AS116" s="2370"/>
      <c r="AT116" s="2370"/>
      <c r="AU116" s="2370"/>
      <c r="AV116" s="2370"/>
      <c r="AW116" s="2370"/>
      <c r="AX116" s="2370"/>
      <c r="AY116" s="2370"/>
      <c r="AZ116" s="2370"/>
      <c r="BA116" s="2370"/>
      <c r="BB116" s="2370"/>
      <c r="BC116" s="2370"/>
      <c r="BD116" s="833"/>
      <c r="BE116" s="2370"/>
      <c r="BF116" s="2370"/>
      <c r="BG116" s="2370"/>
      <c r="BH116" s="2370"/>
      <c r="BI116" s="2370"/>
      <c r="BJ116" s="2370"/>
      <c r="BK116" s="2370"/>
      <c r="BL116" s="2370"/>
      <c r="BM116" s="2370"/>
      <c r="BN116" s="2370"/>
      <c r="BO116" s="2370"/>
      <c r="BP116" s="2370"/>
      <c r="BQ116" s="2370"/>
      <c r="BR116" s="2370"/>
      <c r="BS116" s="2370"/>
      <c r="BT116" s="2370"/>
      <c r="BU116" s="2370"/>
      <c r="BV116" s="2370"/>
      <c r="BW116" s="2370"/>
      <c r="BX116" s="695">
        <f>IF(AI116=0,0,(BD116-AI116)/AI116*100)</f>
        <v>0</v>
      </c>
      <c r="BY116" s="695">
        <f>IF(BD116=0,0,(BE116-BD116)/BD116*100)</f>
        <v>0</v>
      </c>
      <c r="BZ116" s="695">
        <f>IF(BE116=0,0,(BF116-BE116)/BE116*100)</f>
        <v>0</v>
      </c>
      <c r="CA116" s="695">
        <f>IF(BF116=0,0,(BG116-BF116)/BF116*100)</f>
        <v>0</v>
      </c>
      <c r="CB116" s="695">
        <f>IF(BG116=0,0,(BH116-BG116)/BG116*100)</f>
        <v>0</v>
      </c>
      <c r="CC116" s="695">
        <f>IF(BH116=0,0,(BI116-BH116)/BH116*100)</f>
        <v>0</v>
      </c>
      <c r="CD116" s="695">
        <f>IF(BI116=0,0,(BJ116-BI116)/BI116*100)</f>
        <v>0</v>
      </c>
      <c r="CE116" s="695">
        <f>IF(BJ116=0,0,(BK116-BJ116)/BJ116*100)</f>
        <v>0</v>
      </c>
      <c r="CF116" s="695">
        <f>IF(BK116=0,0,(BL116-BK116)/BK116*100)</f>
        <v>0</v>
      </c>
      <c r="CG116" s="695">
        <f>IF(BL116=0,0,(BM116-BL116)/BL116*100)</f>
        <v>0</v>
      </c>
      <c r="CH116" s="695">
        <f>IF(BM116=0,0,(BN116-BM116)/BM116*100)</f>
        <v>0</v>
      </c>
      <c r="CI116" s="695">
        <f>IF(BN116=0,0,(BO116-BN116)/BN116*100)</f>
        <v>0</v>
      </c>
      <c r="CJ116" s="695">
        <f>IF(BO116=0,0,(BP116-BO116)/BO116*100)</f>
        <v>0</v>
      </c>
      <c r="CK116" s="695">
        <f>IF(BP116=0,0,(BQ116-BP116)/BP116*100)</f>
        <v>0</v>
      </c>
      <c r="CL116" s="695">
        <f>IF(BQ116=0,0,(BR116-BQ116)/BQ116*100)</f>
        <v>0</v>
      </c>
      <c r="CM116" s="695">
        <f>IF(BR116=0,0,(BS116-BR116)/BR116*100)</f>
        <v>0</v>
      </c>
      <c r="CN116" s="695">
        <f>IF(BS116=0,0,(BT116-BS116)/BS116*100)</f>
        <v>0</v>
      </c>
      <c r="CO116" s="695">
        <f>IF(BT116=0,0,(BU116-BT116)/BT116*100)</f>
        <v>0</v>
      </c>
      <c r="CP116" s="695">
        <f>IF(BU116=0,0,(BV116-BU116)/BU116*100)</f>
        <v>0</v>
      </c>
      <c r="CQ116" s="695">
        <f>IF(BV116=0,0,(BW116-BV116)/BV116*100)</f>
        <v>0</v>
      </c>
      <c r="CR116" s="1908"/>
      <c r="CS116" s="1908"/>
      <c r="CT116" s="1908"/>
      <c r="CU116" s="286"/>
      <c r="CV116" s="1659"/>
      <c r="CW116" s="489" t="s">
        <v>2057</v>
      </c>
      <c r="CX116" s="1125"/>
      <c r="CY116" s="1125"/>
      <c r="CZ116" s="1126"/>
      <c r="DA116" s="1126"/>
      <c r="DB116" s="1506"/>
      <c r="DC116" s="1506"/>
      <c r="DD116" s="0" cm="1" t="str">
        <f t="array" ref="DD116:DD116">DD115</f>
        <v>ТЭ.42.31656254.0001</v>
      </c>
      <c r="DE116" s="1751"/>
      <c r="DF116" s="1751"/>
      <c r="DG116" s="1751"/>
      <c r="DH116" s="1751"/>
      <c r="DI116" s="1751"/>
      <c r="DJ116" s="1751"/>
      <c r="DK116" s="1751"/>
      <c r="DL116" s="1751"/>
      <c r="DM116" s="0" t="s">
        <v>2058</v>
      </c>
      <c r="DN116" s="1751"/>
      <c r="DO116" s="0" t="s">
        <v>303</v>
      </c>
      <c r="DP116" s="0" t="s">
        <v>2059</v>
      </c>
      <c r="DQ116" s="0" t="s">
        <v>2060</v>
      </c>
      <c r="DR116" s="1751"/>
    </row>
    <row s="1751" customFormat="1" customHeight="1" ht="14.25">
      <c r="A117" s="371"/>
      <c r="B117" s="1548"/>
      <c r="C117" s="1506"/>
      <c r="D117" s="1506"/>
      <c r="E117" s="180">
        <v>15</v>
      </c>
      <c r="F117" s="175" cm="1" t="str">
        <f t="array" ref="F117:F117">OFFSET(G117,-1,-1)</f>
        <v>1</v>
      </c>
      <c r="G117" s="193" t="s">
        <v>2061</v>
      </c>
      <c r="H117" s="1659"/>
      <c r="I117" s="1659"/>
      <c r="J117" s="1659"/>
      <c r="K117" s="1659"/>
      <c r="L117" s="1659"/>
      <c r="M117" s="1506"/>
      <c r="N117" s="1506"/>
      <c r="O117" s="1506"/>
      <c r="P117" s="1506"/>
      <c r="Q117" s="1506"/>
      <c r="R117" s="1506"/>
      <c r="S117" s="1506"/>
      <c r="T117" s="753" cm="1" t="str">
        <f t="array" ref="T117:T117">T116</f>
        <v>true</v>
      </c>
      <c r="U117" s="1548"/>
      <c r="V117" s="1548"/>
      <c r="W117" s="1548"/>
      <c r="X117" s="1548"/>
      <c r="Y117" s="1548"/>
      <c r="Z117" s="1548"/>
      <c r="AA117" s="286"/>
      <c r="AB117" s="829">
        <v>14</v>
      </c>
      <c r="AC117" s="834" t="s">
        <v>2062</v>
      </c>
      <c r="AD117" s="819" t="s">
        <v>1178</v>
      </c>
      <c r="AE117" s="835">
        <f>AE115+AE116</f>
        <v>8635</v>
      </c>
      <c r="AF117" s="835">
        <f>AF115+AF116</f>
        <v>13403.36</v>
      </c>
      <c r="AG117" s="835">
        <f>AG115+AG116</f>
        <v>9385.86814247972</v>
      </c>
      <c r="AH117" s="695">
        <f>AG117-AF117</f>
        <v>-4017.49185752028</v>
      </c>
      <c r="AI117" s="835">
        <f>AI115+AI116</f>
        <v>9510</v>
      </c>
      <c r="AJ117" s="835">
        <f>AJ115+AJ116</f>
        <v>13774.0162230014</v>
      </c>
      <c r="AK117" s="835">
        <f>AK115+AK116</f>
        <v>3900.59901</v>
      </c>
      <c r="AL117" s="835">
        <f>AL115+AL116</f>
        <v>3861.5930199</v>
      </c>
      <c r="AM117" s="835">
        <f>AM115+AM116</f>
        <v>3822.977089701</v>
      </c>
      <c r="AN117" s="835">
        <f>AN115+AN116</f>
        <v>3784.74731880399</v>
      </c>
      <c r="AO117" s="835">
        <f>AO115+AO116</f>
        <v>3746.89984561595</v>
      </c>
      <c r="AP117" s="835">
        <f>AP115+AP116</f>
        <v>3709.43084715979</v>
      </c>
      <c r="AQ117" s="835">
        <f>AQ115+AQ116</f>
        <v>3672.33653868819</v>
      </c>
      <c r="AR117" s="835">
        <f>AR115+AR116</f>
        <v>3635.61317330131</v>
      </c>
      <c r="AS117" s="835">
        <f>AS115+AS116</f>
        <v>3599.2570415683</v>
      </c>
      <c r="AT117" s="835">
        <f>AT115+AT116</f>
        <v>3563.26447115262</v>
      </c>
      <c r="AU117" s="835">
        <f>AU115+AU116</f>
        <v>3527.63182644109</v>
      </c>
      <c r="AV117" s="835">
        <f>AV115+AV116</f>
        <v>3492.35550817668</v>
      </c>
      <c r="AW117" s="835">
        <f>AW115+AW116</f>
        <v>3457.43195309491</v>
      </c>
      <c r="AX117" s="835">
        <f>AX115+AX116</f>
        <v>3422.85763356396</v>
      </c>
      <c r="AY117" s="835">
        <f>AY115+AY116</f>
        <v>3388.62905722832</v>
      </c>
      <c r="AZ117" s="835">
        <f>AZ115+AZ116</f>
        <v>3354.74276665604</v>
      </c>
      <c r="BA117" s="835">
        <f>BA115+BA116</f>
        <v>3321.19533898948</v>
      </c>
      <c r="BB117" s="835">
        <f>BB115+BB116</f>
        <v>3287.98338559959</v>
      </c>
      <c r="BC117" s="835">
        <f>BC115+BC116</f>
        <v>3255.10355174359</v>
      </c>
      <c r="BD117" s="835">
        <f>BD115+BD116</f>
        <v>10684.5550208322</v>
      </c>
      <c r="BE117" s="835">
        <f>BE115+BE116</f>
        <v>3900.59901</v>
      </c>
      <c r="BF117" s="835">
        <f>BF115+BF116</f>
        <v>3861.5930199</v>
      </c>
      <c r="BG117" s="835">
        <f>BG115+BG116</f>
        <v>3822.977089701</v>
      </c>
      <c r="BH117" s="835">
        <f>BH115+BH116</f>
        <v>3784.74731880399</v>
      </c>
      <c r="BI117" s="835">
        <f>BI115+BI116</f>
        <v>3746.89984561595</v>
      </c>
      <c r="BJ117" s="835">
        <f>BJ115+BJ116</f>
        <v>3709.43084715979</v>
      </c>
      <c r="BK117" s="835">
        <f>BK115+BK116</f>
        <v>3672.33653868819</v>
      </c>
      <c r="BL117" s="835">
        <f>BL115+BL116</f>
        <v>3635.61317330131</v>
      </c>
      <c r="BM117" s="835">
        <f>BM115+BM116</f>
        <v>3599.2570415683</v>
      </c>
      <c r="BN117" s="835">
        <f>BN115+BN116</f>
        <v>3563.26447115262</v>
      </c>
      <c r="BO117" s="835">
        <f>BO115+BO116</f>
        <v>3527.63182644109</v>
      </c>
      <c r="BP117" s="835">
        <f>BP115+BP116</f>
        <v>3492.35550817668</v>
      </c>
      <c r="BQ117" s="835">
        <f>BQ115+BQ116</f>
        <v>3457.43195309491</v>
      </c>
      <c r="BR117" s="835">
        <f>BR115+BR116</f>
        <v>3422.85763356396</v>
      </c>
      <c r="BS117" s="835">
        <f>BS115+BS116</f>
        <v>3388.62905722832</v>
      </c>
      <c r="BT117" s="835">
        <f>BT115+BT116</f>
        <v>3354.74276665604</v>
      </c>
      <c r="BU117" s="835">
        <f>BU115+BU116</f>
        <v>3321.19533898948</v>
      </c>
      <c r="BV117" s="835">
        <f>BV115+BV116</f>
        <v>3287.98338559959</v>
      </c>
      <c r="BW117" s="835">
        <f>BW115+BW116</f>
        <v>3255.10355174359</v>
      </c>
      <c r="BX117" s="695">
        <f>IF(AI117=0,0,(BD117-AI117)/AI117*100)</f>
        <v>12.3507362863533</v>
      </c>
      <c r="BY117" s="695">
        <f>IF(BD117=0,0,(BE117-BD117)/BD117*100)</f>
        <v>-63.4931075520243</v>
      </c>
      <c r="BZ117" s="695">
        <f>IF(BE117=0,0,(BF117-BE117)/BE117*100)</f>
        <v>-1</v>
      </c>
      <c r="CA117" s="695">
        <f>IF(BF117=0,0,(BG117-BF117)/BF117*100)</f>
        <v>-1</v>
      </c>
      <c r="CB117" s="695">
        <f>IF(BG117=0,0,(BH117-BG117)/BG117*100)</f>
        <v>-1</v>
      </c>
      <c r="CC117" s="695">
        <f>IF(BH117=0,0,(BI117-BH117)/BH117*100)</f>
        <v>-0.99999999999999</v>
      </c>
      <c r="CD117" s="695">
        <f>IF(BI117=0,0,(BJ117-BI117)/BI117*100)</f>
        <v>-1</v>
      </c>
      <c r="CE117" s="695">
        <f>IF(BJ117=0,0,(BK117-BJ117)/BJ117*100)</f>
        <v>-1.0000000000001</v>
      </c>
      <c r="CF117" s="695">
        <f>IF(BK117=0,0,(BL117-BK117)/BK117*100)</f>
        <v>-0.99999999999996</v>
      </c>
      <c r="CG117" s="695">
        <f>IF(BL117=0,0,(BM117-BL117)/BL117*100)</f>
        <v>-0.99999999999991</v>
      </c>
      <c r="CH117" s="695">
        <f>IF(BM117=0,0,(BN117-BM117)/BM117*100)</f>
        <v>-0.99999999999991</v>
      </c>
      <c r="CI117" s="695">
        <f>IF(BN117=0,0,(BO117-BN117)/BN117*100)</f>
        <v>-1.0000000000001</v>
      </c>
      <c r="CJ117" s="695">
        <f>IF(BO117=0,0,(BP117-BO117)/BO117*100)</f>
        <v>-0.99999999999998</v>
      </c>
      <c r="CK117" s="695">
        <f>IF(BP117=0,0,(BQ117-BP117)/BP117*100)</f>
        <v>-1.0000000000001</v>
      </c>
      <c r="CL117" s="695">
        <f>IF(BQ117=0,0,(BR117-BQ117)/BQ117*100)</f>
        <v>-1</v>
      </c>
      <c r="CM117" s="695">
        <f>IF(BR117=0,0,(BS117-BR117)/BR117*100)</f>
        <v>-1</v>
      </c>
      <c r="CN117" s="695">
        <f>IF(BS117=0,0,(BT117-BS117)/BS117*100)</f>
        <v>-0.9999999999999</v>
      </c>
      <c r="CO117" s="695">
        <f>IF(BT117=0,0,(BU117-BT117)/BT117*100)</f>
        <v>-0.99999999999999</v>
      </c>
      <c r="CP117" s="695">
        <f>IF(BU117=0,0,(BV117-BU117)/BU117*100)</f>
        <v>-0.99999999999987</v>
      </c>
      <c r="CQ117" s="695">
        <f>IF(BV117=0,0,(BW117-BV117)/BV117*100)</f>
        <v>-1.0000000000001</v>
      </c>
      <c r="CR117" s="1908"/>
      <c r="CS117" s="1908"/>
      <c r="CT117" s="1908"/>
      <c r="CU117" s="286"/>
      <c r="CV117" s="1659"/>
      <c r="CW117" s="489" t="s">
        <v>2063</v>
      </c>
      <c r="CX117" s="1125"/>
      <c r="CY117" s="1125"/>
      <c r="CZ117" s="1126"/>
      <c r="DA117" s="1126"/>
      <c r="DB117" s="1506"/>
      <c r="DC117" s="1506"/>
      <c r="DD117" s="0" cm="1" t="str">
        <f t="array" ref="DD117:DD117">DD116</f>
        <v>ТЭ.42.31656254.0001</v>
      </c>
      <c r="DE117" s="1751"/>
      <c r="DF117" s="1751"/>
      <c r="DG117" s="1751"/>
      <c r="DH117" s="1751"/>
      <c r="DI117" s="1751"/>
      <c r="DJ117" s="1751"/>
      <c r="DK117" s="1751"/>
      <c r="DL117" s="1751"/>
      <c r="DM117" s="0" t="s">
        <v>2064</v>
      </c>
      <c r="DN117" s="1751"/>
      <c r="DO117" s="0" t="s">
        <v>303</v>
      </c>
      <c r="DP117" s="0" t="s">
        <v>2065</v>
      </c>
      <c r="DQ117" s="0" t="s">
        <v>2066</v>
      </c>
      <c r="DR117" s="1751"/>
    </row>
    <row s="1751" customFormat="1" customHeight="1" ht="14.25" hidden="1">
      <c r="A118" s="371"/>
      <c r="B118" s="1548"/>
      <c r="C118" s="1506"/>
      <c r="D118" s="1506"/>
      <c r="E118" s="180">
        <v>15</v>
      </c>
      <c r="F118" s="175" cm="1" t="str">
        <f t="array" ref="F118:F118">OFFSET(G118,-1,-1)</f>
        <v>1</v>
      </c>
      <c r="G118" s="193" t="s">
        <v>1091</v>
      </c>
      <c r="H118" s="1659"/>
      <c r="I118" s="1659"/>
      <c r="J118" s="1659"/>
      <c r="K118" s="1659"/>
      <c r="L118" s="193" t="s">
        <v>2067</v>
      </c>
      <c r="M118" s="1506"/>
      <c r="N118" s="1506"/>
      <c r="O118" s="1506"/>
      <c r="P118" s="1506"/>
      <c r="Q118" s="1506"/>
      <c r="R118" s="1506"/>
      <c r="S118" s="1506"/>
      <c r="T118" s="753">
        <f>AND(F118&gt;0,G83="двухставочный")</f>
        <v>0</v>
      </c>
      <c r="U118" s="1548"/>
      <c r="V118" s="1548"/>
      <c r="W118" s="1548"/>
      <c r="X118" s="1548"/>
      <c r="Y118" s="1548"/>
      <c r="Z118" s="1548"/>
      <c r="AA118" s="286"/>
      <c r="AB118" s="836" t="str">
        <f>AB117&amp;".1"</f>
        <v>14.1</v>
      </c>
      <c r="AC118" s="837" t="s">
        <v>2068</v>
      </c>
      <c r="AD118" s="666" t="s">
        <v>917</v>
      </c>
      <c r="AE118" s="132">
        <f>_xlfn.SUMIFS('Ресурсы (5.4)'!AE$26:AE$47,'Ресурсы (5.4)'!$F$26:$F$47,$F118,'Ресурсы (5.4)'!$AB$26:$AB$47,"6.1")</f>
        <v>2526</v>
      </c>
      <c r="AF118" s="132">
        <f>_xlfn.SUMIFS('Ресурсы (5.4)'!AF$26:AF$47,'Ресурсы (5.4)'!$F$26:$F$47,$F118,'Ресурсы (5.4)'!$AB$26:$AB$47,"6.1")</f>
        <v>3971.15</v>
      </c>
      <c r="AG118" s="132">
        <f>_xlfn.SUMIFS('Ресурсы (5.4)'!AG$26:AG$47,'Ресурсы (5.4)'!$F$26:$F$47,$F118,'Ресурсы (5.4)'!$AB$26:$AB$47,"6.1")</f>
        <v>2853.98814247972</v>
      </c>
      <c r="AH118" s="695">
        <f>AG118-AF118</f>
        <v>-1117.16185752028</v>
      </c>
      <c r="AI118" s="132">
        <f>_xlfn.SUMIFS('Ресурсы (5.4)'!AI$26:AI$47,'Ресурсы (5.4)'!$F$26:$F$47,$F118,'Ресурсы (5.4)'!$AB$26:$AB$47,"6.1")</f>
        <v>2957</v>
      </c>
      <c r="AJ118" s="749">
        <f>_xlfn.SUMIFS('Ресурсы (5.4)'!AJ$26:AJ$47,'Ресурсы (5.4)'!$F$26:$F$47,$F118,'Ресурсы (5.4)'!$AB$26:$AB$47,"6.1")</f>
        <v>4559.01722300141</v>
      </c>
      <c r="AK118" s="132">
        <f>_xlfn.SUMIFS('Ресурсы (5.4)'!AK$26:AK$47,'Ресурсы (5.4)'!$F$26:$F$47,$F118,'Ресурсы (5.4)'!$AB$26:$AB$47,"6.1")</f>
        <v>0</v>
      </c>
      <c r="AL118" s="132">
        <f>_xlfn.SUMIFS('Ресурсы (5.4)'!AL$26:AL$47,'Ресурсы (5.4)'!$F$26:$F$47,$F118,'Ресурсы (5.4)'!$AB$26:$AB$47,"6.1")</f>
        <v>0</v>
      </c>
      <c r="AM118" s="132">
        <f>_xlfn.SUMIFS('Ресурсы (5.4)'!AM$26:AM$47,'Ресурсы (5.4)'!$F$26:$F$47,$F118,'Ресурсы (5.4)'!$AB$26:$AB$47,"6.1")</f>
        <v>0</v>
      </c>
      <c r="AN118" s="132">
        <f>_xlfn.SUMIFS('Ресурсы (5.4)'!AN$26:AN$47,'Ресурсы (5.4)'!$F$26:$F$47,$F118,'Ресурсы (5.4)'!$AB$26:$AB$47,"6.1")</f>
        <v>0</v>
      </c>
      <c r="AO118" s="132">
        <f>_xlfn.SUMIFS('Ресурсы (5.4)'!AO$26:AO$47,'Ресурсы (5.4)'!$F$26:$F$47,$F118,'Ресурсы (5.4)'!$AB$26:$AB$47,"6.1")</f>
        <v>0</v>
      </c>
      <c r="AP118" s="132">
        <f>_xlfn.SUMIFS('Ресурсы (5.4)'!AP$26:AP$47,'Ресурсы (5.4)'!$F$26:$F$47,$F118,'Ресурсы (5.4)'!$AB$26:$AB$47,"6.1")</f>
        <v>0</v>
      </c>
      <c r="AQ118" s="132">
        <f>_xlfn.SUMIFS('Ресурсы (5.4)'!AQ$26:AQ$47,'Ресурсы (5.4)'!$F$26:$F$47,$F118,'Ресурсы (5.4)'!$AB$26:$AB$47,"6.1")</f>
        <v>0</v>
      </c>
      <c r="AR118" s="132">
        <f>_xlfn.SUMIFS('Ресурсы (5.4)'!AR$26:AR$47,'Ресурсы (5.4)'!$F$26:$F$47,$F118,'Ресурсы (5.4)'!$AB$26:$AB$47,"6.1")</f>
        <v>0</v>
      </c>
      <c r="AS118" s="132">
        <f>_xlfn.SUMIFS('Ресурсы (5.4)'!AS$26:AS$47,'Ресурсы (5.4)'!$F$26:$F$47,$F118,'Ресурсы (5.4)'!$AB$26:$AB$47,"6.1")</f>
        <v>0</v>
      </c>
      <c r="AT118" s="132">
        <f>_xlfn.SUMIFS('Ресурсы (5.4)'!AT$26:AT$47,'Ресурсы (5.4)'!$F$26:$F$47,$F118,'Ресурсы (5.4)'!$AB$26:$AB$47,"6.1")</f>
        <v>0</v>
      </c>
      <c r="AU118" s="132">
        <f>_xlfn.SUMIFS('Ресурсы (5.4)'!AU$26:AU$47,'Ресурсы (5.4)'!$F$26:$F$47,$F118,'Ресурсы (5.4)'!$AB$26:$AB$47,"6.1")</f>
        <v>0</v>
      </c>
      <c r="AV118" s="132">
        <f>_xlfn.SUMIFS('Ресурсы (5.4)'!AV$26:AV$47,'Ресурсы (5.4)'!$F$26:$F$47,$F118,'Ресурсы (5.4)'!$AB$26:$AB$47,"6.1")</f>
        <v>0</v>
      </c>
      <c r="AW118" s="132">
        <f>_xlfn.SUMIFS('Ресурсы (5.4)'!AW$26:AW$47,'Ресурсы (5.4)'!$F$26:$F$47,$F118,'Ресурсы (5.4)'!$AB$26:$AB$47,"6.1")</f>
        <v>0</v>
      </c>
      <c r="AX118" s="132">
        <f>_xlfn.SUMIFS('Ресурсы (5.4)'!AX$26:AX$47,'Ресурсы (5.4)'!$F$26:$F$47,$F118,'Ресурсы (5.4)'!$AB$26:$AB$47,"6.1")</f>
        <v>0</v>
      </c>
      <c r="AY118" s="132">
        <f>_xlfn.SUMIFS('Ресурсы (5.4)'!AY$26:AY$47,'Ресурсы (5.4)'!$F$26:$F$47,$F118,'Ресурсы (5.4)'!$AB$26:$AB$47,"6.1")</f>
        <v>0</v>
      </c>
      <c r="AZ118" s="132">
        <f>_xlfn.SUMIFS('Ресурсы (5.4)'!AZ$26:AZ$47,'Ресурсы (5.4)'!$F$26:$F$47,$F118,'Ресурсы (5.4)'!$AB$26:$AB$47,"6.1")</f>
        <v>0</v>
      </c>
      <c r="BA118" s="132">
        <f>_xlfn.SUMIFS('Ресурсы (5.4)'!BA$26:BA$47,'Ресурсы (5.4)'!$F$26:$F$47,$F118,'Ресурсы (5.4)'!$AB$26:$AB$47,"6.1")</f>
        <v>0</v>
      </c>
      <c r="BB118" s="132">
        <f>_xlfn.SUMIFS('Ресурсы (5.4)'!BB$26:BB$47,'Ресурсы (5.4)'!$F$26:$F$47,$F118,'Ресурсы (5.4)'!$AB$26:$AB$47,"6.1")</f>
        <v>0</v>
      </c>
      <c r="BC118" s="132">
        <f>_xlfn.SUMIFS('Ресурсы (5.4)'!BC$26:BC$47,'Ресурсы (5.4)'!$F$26:$F$47,$F118,'Ресурсы (5.4)'!$AB$26:$AB$47,"6.1")</f>
        <v>0</v>
      </c>
      <c r="BD118" s="749">
        <f>_xlfn.SUMIFS('Ресурсы (5.4)'!BD$26:BD$47,'Ресурсы (5.4)'!$F$26:$F$47,$F118,'Ресурсы (5.4)'!$AB$26:$AB$47,"6.1")</f>
        <v>3292.57555763218</v>
      </c>
      <c r="BE118" s="132">
        <f>_xlfn.SUMIFS('Ресурсы (5.4)'!BE$26:BE$47,'Ресурсы (5.4)'!$F$26:$F$47,$F118,'Ресурсы (5.4)'!$AB$26:$AB$47,"6.1")</f>
        <v>0</v>
      </c>
      <c r="BF118" s="132">
        <f>_xlfn.SUMIFS('Ресурсы (5.4)'!BF$26:BF$47,'Ресурсы (5.4)'!$F$26:$F$47,$F118,'Ресурсы (5.4)'!$AB$26:$AB$47,"6.1")</f>
        <v>0</v>
      </c>
      <c r="BG118" s="132">
        <f>_xlfn.SUMIFS('Ресурсы (5.4)'!BG$26:BG$47,'Ресурсы (5.4)'!$F$26:$F$47,$F118,'Ресурсы (5.4)'!$AB$26:$AB$47,"6.1")</f>
        <v>0</v>
      </c>
      <c r="BH118" s="132">
        <f>_xlfn.SUMIFS('Ресурсы (5.4)'!BH$26:BH$47,'Ресурсы (5.4)'!$F$26:$F$47,$F118,'Ресурсы (5.4)'!$AB$26:$AB$47,"6.1")</f>
        <v>0</v>
      </c>
      <c r="BI118" s="132">
        <f>_xlfn.SUMIFS('Ресурсы (5.4)'!BI$26:BI$47,'Ресурсы (5.4)'!$F$26:$F$47,$F118,'Ресурсы (5.4)'!$AB$26:$AB$47,"6.1")</f>
        <v>0</v>
      </c>
      <c r="BJ118" s="132">
        <f>_xlfn.SUMIFS('Ресурсы (5.4)'!BJ$26:BJ$47,'Ресурсы (5.4)'!$F$26:$F$47,$F118,'Ресурсы (5.4)'!$AB$26:$AB$47,"6.1")</f>
        <v>0</v>
      </c>
      <c r="BK118" s="132">
        <f>_xlfn.SUMIFS('Ресурсы (5.4)'!BK$26:BK$47,'Ресурсы (5.4)'!$F$26:$F$47,$F118,'Ресурсы (5.4)'!$AB$26:$AB$47,"6.1")</f>
        <v>0</v>
      </c>
      <c r="BL118" s="132">
        <f>_xlfn.SUMIFS('Ресурсы (5.4)'!BL$26:BL$47,'Ресурсы (5.4)'!$F$26:$F$47,$F118,'Ресурсы (5.4)'!$AB$26:$AB$47,"6.1")</f>
        <v>0</v>
      </c>
      <c r="BM118" s="132">
        <f>_xlfn.SUMIFS('Ресурсы (5.4)'!BM$26:BM$47,'Ресурсы (5.4)'!$F$26:$F$47,$F118,'Ресурсы (5.4)'!$AB$26:$AB$47,"6.1")</f>
        <v>0</v>
      </c>
      <c r="BN118" s="132">
        <f>_xlfn.SUMIFS('Ресурсы (5.4)'!BN$26:BN$47,'Ресурсы (5.4)'!$F$26:$F$47,$F118,'Ресурсы (5.4)'!$AB$26:$AB$47,"6.1")</f>
        <v>0</v>
      </c>
      <c r="BO118" s="132">
        <f>_xlfn.SUMIFS('Ресурсы (5.4)'!BO$26:BO$47,'Ресурсы (5.4)'!$F$26:$F$47,$F118,'Ресурсы (5.4)'!$AB$26:$AB$47,"6.1")</f>
        <v>0</v>
      </c>
      <c r="BP118" s="132">
        <f>_xlfn.SUMIFS('Ресурсы (5.4)'!BP$26:BP$47,'Ресурсы (5.4)'!$F$26:$F$47,$F118,'Ресурсы (5.4)'!$AB$26:$AB$47,"6.1")</f>
        <v>0</v>
      </c>
      <c r="BQ118" s="132">
        <f>_xlfn.SUMIFS('Ресурсы (5.4)'!BQ$26:BQ$47,'Ресурсы (5.4)'!$F$26:$F$47,$F118,'Ресурсы (5.4)'!$AB$26:$AB$47,"6.1")</f>
        <v>0</v>
      </c>
      <c r="BR118" s="132">
        <f>_xlfn.SUMIFS('Ресурсы (5.4)'!BR$26:BR$47,'Ресурсы (5.4)'!$F$26:$F$47,$F118,'Ресурсы (5.4)'!$AB$26:$AB$47,"6.1")</f>
        <v>0</v>
      </c>
      <c r="BS118" s="132">
        <f>_xlfn.SUMIFS('Ресурсы (5.4)'!BS$26:BS$47,'Ресурсы (5.4)'!$F$26:$F$47,$F118,'Ресурсы (5.4)'!$AB$26:$AB$47,"6.1")</f>
        <v>0</v>
      </c>
      <c r="BT118" s="132">
        <f>_xlfn.SUMIFS('Ресурсы (5.4)'!BT$26:BT$47,'Ресурсы (5.4)'!$F$26:$F$47,$F118,'Ресурсы (5.4)'!$AB$26:$AB$47,"6.1")</f>
        <v>0</v>
      </c>
      <c r="BU118" s="132">
        <f>_xlfn.SUMIFS('Ресурсы (5.4)'!BU$26:BU$47,'Ресурсы (5.4)'!$F$26:$F$47,$F118,'Ресурсы (5.4)'!$AB$26:$AB$47,"6.1")</f>
        <v>0</v>
      </c>
      <c r="BV118" s="132">
        <f>_xlfn.SUMIFS('Ресурсы (5.4)'!BV$26:BV$47,'Ресурсы (5.4)'!$F$26:$F$47,$F118,'Ресурсы (5.4)'!$AB$26:$AB$47,"6.1")</f>
        <v>0</v>
      </c>
      <c r="BW118" s="132">
        <f>_xlfn.SUMIFS('Ресурсы (5.4)'!BW$26:BW$47,'Ресурсы (5.4)'!$F$26:$F$47,$F118,'Ресурсы (5.4)'!$AB$26:$AB$47,"6.1")</f>
        <v>0</v>
      </c>
      <c r="BX118" s="695">
        <f>IF(AI118=0,0,(BD118-AI118)/AI118*100)</f>
        <v>11.3485139544193</v>
      </c>
      <c r="BY118" s="695">
        <f>IF(BD118=0,0,(BE118-BD118)/BD118*100)</f>
        <v>-100</v>
      </c>
      <c r="BZ118" s="695">
        <f>IF(BE118=0,0,(BF118-BE118)/BE118*100)</f>
        <v>0</v>
      </c>
      <c r="CA118" s="695">
        <f>IF(BF118=0,0,(BG118-BF118)/BF118*100)</f>
        <v>0</v>
      </c>
      <c r="CB118" s="695">
        <f>IF(BG118=0,0,(BH118-BG118)/BG118*100)</f>
        <v>0</v>
      </c>
      <c r="CC118" s="695">
        <f>IF(BH118=0,0,(BI118-BH118)/BH118*100)</f>
        <v>0</v>
      </c>
      <c r="CD118" s="695">
        <f>IF(BI118=0,0,(BJ118-BI118)/BI118*100)</f>
        <v>0</v>
      </c>
      <c r="CE118" s="695">
        <f>IF(BJ118=0,0,(BK118-BJ118)/BJ118*100)</f>
        <v>0</v>
      </c>
      <c r="CF118" s="695">
        <f>IF(BK118=0,0,(BL118-BK118)/BK118*100)</f>
        <v>0</v>
      </c>
      <c r="CG118" s="695">
        <f>IF(BL118=0,0,(BM118-BL118)/BL118*100)</f>
        <v>0</v>
      </c>
      <c r="CH118" s="695">
        <f>IF(BM118=0,0,(BN118-BM118)/BM118*100)</f>
        <v>0</v>
      </c>
      <c r="CI118" s="695">
        <f>IF(BN118=0,0,(BO118-BN118)/BN118*100)</f>
        <v>0</v>
      </c>
      <c r="CJ118" s="695">
        <f>IF(BO118=0,0,(BP118-BO118)/BO118*100)</f>
        <v>0</v>
      </c>
      <c r="CK118" s="695">
        <f>IF(BP118=0,0,(BQ118-BP118)/BP118*100)</f>
        <v>0</v>
      </c>
      <c r="CL118" s="695">
        <f>IF(BQ118=0,0,(BR118-BQ118)/BQ118*100)</f>
        <v>0</v>
      </c>
      <c r="CM118" s="695">
        <f>IF(BR118=0,0,(BS118-BR118)/BR118*100)</f>
        <v>0</v>
      </c>
      <c r="CN118" s="695">
        <f>IF(BS118=0,0,(BT118-BS118)/BS118*100)</f>
        <v>0</v>
      </c>
      <c r="CO118" s="695">
        <f>IF(BT118=0,0,(BU118-BT118)/BT118*100)</f>
        <v>0</v>
      </c>
      <c r="CP118" s="695">
        <f>IF(BU118=0,0,(BV118-BU118)/BU118*100)</f>
        <v>0</v>
      </c>
      <c r="CQ118" s="695">
        <f>IF(BV118=0,0,(BW118-BV118)/BV118*100)</f>
        <v>0</v>
      </c>
      <c r="CR118" s="83"/>
      <c r="CS118" s="83"/>
      <c r="CT118" s="83"/>
      <c r="CU118" s="286"/>
      <c r="CV118" s="1659"/>
      <c r="CW118" s="489" t="s">
        <v>2069</v>
      </c>
      <c r="CX118" s="1125"/>
      <c r="CY118" s="1125"/>
      <c r="CZ118" s="1126"/>
      <c r="DA118" s="1126"/>
      <c r="DB118" s="1506"/>
      <c r="DC118" s="1506"/>
      <c r="DD118" s="0" cm="1" t="str">
        <f t="array" ref="DD118:DD118">DD117</f>
        <v>ТЭ.42.31656254.0001</v>
      </c>
      <c r="DE118" s="1751"/>
      <c r="DF118" s="1751"/>
      <c r="DG118" s="1751"/>
      <c r="DH118" s="1751"/>
      <c r="DI118" s="1751"/>
      <c r="DJ118" s="1751"/>
      <c r="DK118" s="1751"/>
      <c r="DL118" s="1751"/>
      <c r="DM118" s="0" t="s">
        <v>333</v>
      </c>
      <c r="DN118" s="1751"/>
      <c r="DO118" s="0" t="s">
        <v>303</v>
      </c>
      <c r="DP118" s="0" t="s">
        <v>2070</v>
      </c>
      <c r="DQ118" s="0" t="s">
        <v>2071</v>
      </c>
      <c r="DR118" s="1751"/>
    </row>
    <row s="1751" customFormat="1" customHeight="1" ht="14.25" hidden="1">
      <c r="A119" s="371"/>
      <c r="B119" s="1548"/>
      <c r="C119" s="1506"/>
      <c r="D119" s="1506"/>
      <c r="E119" s="180">
        <v>15</v>
      </c>
      <c r="F119" s="175" cm="1" t="str">
        <f t="array" ref="F119:F119">OFFSET(G119,-1,-1)</f>
        <v>1</v>
      </c>
      <c r="G119" s="1659"/>
      <c r="H119" s="1659"/>
      <c r="I119" s="1659"/>
      <c r="J119" s="1659"/>
      <c r="K119" s="1659"/>
      <c r="L119" s="193" t="s">
        <v>2067</v>
      </c>
      <c r="M119" s="1506"/>
      <c r="N119" s="1506"/>
      <c r="O119" s="1506"/>
      <c r="P119" s="1506"/>
      <c r="Q119" s="1506"/>
      <c r="R119" s="1506"/>
      <c r="S119" s="1506"/>
      <c r="T119" s="753" cm="1" t="str">
        <f t="array" ref="T119:T119">T118</f>
        <v>false</v>
      </c>
      <c r="U119" s="1548"/>
      <c r="V119" s="1548"/>
      <c r="W119" s="1548"/>
      <c r="X119" s="1548"/>
      <c r="Y119" s="1548"/>
      <c r="Z119" s="1548"/>
      <c r="AA119" s="286"/>
      <c r="AB119" s="836" t="str">
        <f>AB117&amp;".2"</f>
        <v>14.2</v>
      </c>
      <c r="AC119" s="837" t="s">
        <v>2072</v>
      </c>
      <c r="AD119" s="666" t="s">
        <v>917</v>
      </c>
      <c r="AE119" s="746">
        <f>AE117-AE118</f>
        <v>6109</v>
      </c>
      <c r="AF119" s="746">
        <f>AF117-AF118</f>
        <v>9432.21</v>
      </c>
      <c r="AG119" s="746">
        <f>AG117-AG118</f>
        <v>6531.88</v>
      </c>
      <c r="AH119" s="695">
        <f>AG119-AF119</f>
        <v>-2900.33</v>
      </c>
      <c r="AI119" s="746">
        <f>AI117-AI118</f>
        <v>6553</v>
      </c>
      <c r="AJ119" s="746">
        <f>AJ117-AJ118</f>
        <v>9214.99899999999</v>
      </c>
      <c r="AK119" s="746">
        <f>AK117-AK118</f>
        <v>3900.59901</v>
      </c>
      <c r="AL119" s="746">
        <f>AL117-AL118</f>
        <v>3861.5930199</v>
      </c>
      <c r="AM119" s="746">
        <f>AM117-AM118</f>
        <v>3822.977089701</v>
      </c>
      <c r="AN119" s="746">
        <f>AN117-AN118</f>
        <v>3784.74731880399</v>
      </c>
      <c r="AO119" s="746">
        <f>AO117-AO118</f>
        <v>3746.89984561595</v>
      </c>
      <c r="AP119" s="746">
        <f>AP117-AP118</f>
        <v>3709.43084715979</v>
      </c>
      <c r="AQ119" s="746">
        <f>AQ117-AQ118</f>
        <v>3672.33653868819</v>
      </c>
      <c r="AR119" s="746">
        <f>AR117-AR118</f>
        <v>3635.61317330131</v>
      </c>
      <c r="AS119" s="746">
        <f>AS117-AS118</f>
        <v>3599.2570415683</v>
      </c>
      <c r="AT119" s="746">
        <f>AT117-AT118</f>
        <v>3563.26447115262</v>
      </c>
      <c r="AU119" s="746">
        <f>AU117-AU118</f>
        <v>3527.63182644109</v>
      </c>
      <c r="AV119" s="746">
        <f>AV117-AV118</f>
        <v>3492.35550817668</v>
      </c>
      <c r="AW119" s="746">
        <f>AW117-AW118</f>
        <v>3457.43195309491</v>
      </c>
      <c r="AX119" s="746">
        <f>AX117-AX118</f>
        <v>3422.85763356396</v>
      </c>
      <c r="AY119" s="746">
        <f>AY117-AY118</f>
        <v>3388.62905722832</v>
      </c>
      <c r="AZ119" s="746">
        <f>AZ117-AZ118</f>
        <v>3354.74276665604</v>
      </c>
      <c r="BA119" s="746">
        <f>BA117-BA118</f>
        <v>3321.19533898948</v>
      </c>
      <c r="BB119" s="746">
        <f>BB117-BB118</f>
        <v>3287.98338559959</v>
      </c>
      <c r="BC119" s="746">
        <f>BC117-BC118</f>
        <v>3255.10355174359</v>
      </c>
      <c r="BD119" s="746">
        <f>BD117-BD118</f>
        <v>7391.97946320002</v>
      </c>
      <c r="BE119" s="746">
        <f>BE117-BE118</f>
        <v>3900.59901</v>
      </c>
      <c r="BF119" s="746">
        <f>BF117-BF118</f>
        <v>3861.5930199</v>
      </c>
      <c r="BG119" s="746">
        <f>BG117-BG118</f>
        <v>3822.977089701</v>
      </c>
      <c r="BH119" s="746">
        <f>BH117-BH118</f>
        <v>3784.74731880399</v>
      </c>
      <c r="BI119" s="746">
        <f>BI117-BI118</f>
        <v>3746.89984561595</v>
      </c>
      <c r="BJ119" s="746">
        <f>BJ117-BJ118</f>
        <v>3709.43084715979</v>
      </c>
      <c r="BK119" s="746">
        <f>BK117-BK118</f>
        <v>3672.33653868819</v>
      </c>
      <c r="BL119" s="746">
        <f>BL117-BL118</f>
        <v>3635.61317330131</v>
      </c>
      <c r="BM119" s="746">
        <f>BM117-BM118</f>
        <v>3599.2570415683</v>
      </c>
      <c r="BN119" s="746">
        <f>BN117-BN118</f>
        <v>3563.26447115262</v>
      </c>
      <c r="BO119" s="746">
        <f>BO117-BO118</f>
        <v>3527.63182644109</v>
      </c>
      <c r="BP119" s="746">
        <f>BP117-BP118</f>
        <v>3492.35550817668</v>
      </c>
      <c r="BQ119" s="746">
        <f>BQ117-BQ118</f>
        <v>3457.43195309491</v>
      </c>
      <c r="BR119" s="746">
        <f>BR117-BR118</f>
        <v>3422.85763356396</v>
      </c>
      <c r="BS119" s="746">
        <f>BS117-BS118</f>
        <v>3388.62905722832</v>
      </c>
      <c r="BT119" s="746">
        <f>BT117-BT118</f>
        <v>3354.74276665604</v>
      </c>
      <c r="BU119" s="746">
        <f>BU117-BU118</f>
        <v>3321.19533898948</v>
      </c>
      <c r="BV119" s="746">
        <f>BV117-BV118</f>
        <v>3287.98338559959</v>
      </c>
      <c r="BW119" s="746">
        <f>BW117-BW118</f>
        <v>3255.10355174359</v>
      </c>
      <c r="BX119" s="695">
        <f>IF(AI119=0,0,(BD119-AI119)/AI119*100)</f>
        <v>12.8029828048225</v>
      </c>
      <c r="BY119" s="695">
        <f>IF(BD119=0,0,(BE119-BD119)/BD119*100)</f>
        <v>-47.2320096475023</v>
      </c>
      <c r="BZ119" s="695">
        <f>IF(BE119=0,0,(BF119-BE119)/BE119*100)</f>
        <v>-1</v>
      </c>
      <c r="CA119" s="695">
        <f>IF(BF119=0,0,(BG119-BF119)/BF119*100)</f>
        <v>-1</v>
      </c>
      <c r="CB119" s="695">
        <f>IF(BG119=0,0,(BH119-BG119)/BG119*100)</f>
        <v>-1</v>
      </c>
      <c r="CC119" s="695">
        <f>IF(BH119=0,0,(BI119-BH119)/BH119*100)</f>
        <v>-0.99999999999999</v>
      </c>
      <c r="CD119" s="695">
        <f>IF(BI119=0,0,(BJ119-BI119)/BI119*100)</f>
        <v>-1</v>
      </c>
      <c r="CE119" s="695">
        <f>IF(BJ119=0,0,(BK119-BJ119)/BJ119*100)</f>
        <v>-1.0000000000001</v>
      </c>
      <c r="CF119" s="695">
        <f>IF(BK119=0,0,(BL119-BK119)/BK119*100)</f>
        <v>-0.99999999999996</v>
      </c>
      <c r="CG119" s="695">
        <f>IF(BL119=0,0,(BM119-BL119)/BL119*100)</f>
        <v>-0.99999999999991</v>
      </c>
      <c r="CH119" s="695">
        <f>IF(BM119=0,0,(BN119-BM119)/BM119*100)</f>
        <v>-0.99999999999991</v>
      </c>
      <c r="CI119" s="695">
        <f>IF(BN119=0,0,(BO119-BN119)/BN119*100)</f>
        <v>-1.0000000000001</v>
      </c>
      <c r="CJ119" s="695">
        <f>IF(BO119=0,0,(BP119-BO119)/BO119*100)</f>
        <v>-0.99999999999998</v>
      </c>
      <c r="CK119" s="695">
        <f>IF(BP119=0,0,(BQ119-BP119)/BP119*100)</f>
        <v>-1.0000000000001</v>
      </c>
      <c r="CL119" s="695">
        <f>IF(BQ119=0,0,(BR119-BQ119)/BQ119*100)</f>
        <v>-1</v>
      </c>
      <c r="CM119" s="695">
        <f>IF(BR119=0,0,(BS119-BR119)/BR119*100)</f>
        <v>-1</v>
      </c>
      <c r="CN119" s="695">
        <f>IF(BS119=0,0,(BT119-BS119)/BS119*100)</f>
        <v>-0.9999999999999</v>
      </c>
      <c r="CO119" s="695">
        <f>IF(BT119=0,0,(BU119-BT119)/BT119*100)</f>
        <v>-0.99999999999999</v>
      </c>
      <c r="CP119" s="695">
        <f>IF(BU119=0,0,(BV119-BU119)/BU119*100)</f>
        <v>-0.99999999999987</v>
      </c>
      <c r="CQ119" s="695">
        <f>IF(BV119=0,0,(BW119-BV119)/BV119*100)</f>
        <v>-1.0000000000001</v>
      </c>
      <c r="CR119" s="83"/>
      <c r="CS119" s="83"/>
      <c r="CT119" s="83"/>
      <c r="CU119" s="286"/>
      <c r="CV119" s="1659"/>
      <c r="CW119" s="489" t="s">
        <v>2073</v>
      </c>
      <c r="CX119" s="1125"/>
      <c r="CY119" s="1125"/>
      <c r="CZ119" s="1126"/>
      <c r="DA119" s="1126"/>
      <c r="DB119" s="1506"/>
      <c r="DC119" s="1506"/>
      <c r="DD119" s="0" cm="1" t="str">
        <f t="array" ref="DD119:DD119">DD118</f>
        <v>ТЭ.42.31656254.0001</v>
      </c>
      <c r="DE119" s="1751"/>
      <c r="DF119" s="1751"/>
      <c r="DG119" s="1751"/>
      <c r="DH119" s="1751"/>
      <c r="DI119" s="1751"/>
      <c r="DJ119" s="1751"/>
      <c r="DK119" s="1751"/>
      <c r="DL119" s="1751"/>
      <c r="DM119" s="0" t="s">
        <v>335</v>
      </c>
      <c r="DN119" s="1751"/>
      <c r="DO119" s="0" t="s">
        <v>303</v>
      </c>
      <c r="DP119" s="0" t="s">
        <v>2074</v>
      </c>
      <c r="DQ119" s="0" t="s">
        <v>2075</v>
      </c>
      <c r="DR119" s="1751"/>
    </row>
    <row s="1751" customFormat="1" customHeight="1" ht="14.25">
      <c r="A120" s="371"/>
      <c r="B120" s="1548"/>
      <c r="C120" s="1506"/>
      <c r="D120" s="1506"/>
      <c r="E120" s="180">
        <v>15</v>
      </c>
      <c r="F120" s="175" cm="1" t="str">
        <f t="array" ref="F120:F120">OFFSET(G120,-1,-1)</f>
        <v>1</v>
      </c>
      <c r="G120" s="1659"/>
      <c r="H120" s="1659"/>
      <c r="I120" s="1659"/>
      <c r="J120" s="1659"/>
      <c r="K120" s="1659"/>
      <c r="L120" s="1659"/>
      <c r="M120" s="1506"/>
      <c r="N120" s="1506"/>
      <c r="O120" s="1506"/>
      <c r="P120" s="1506"/>
      <c r="Q120" s="1506"/>
      <c r="R120" s="1506"/>
      <c r="S120" s="1506"/>
      <c r="T120" s="753" cm="1" t="str">
        <f t="array" ref="T120:T120">T117</f>
        <v>true</v>
      </c>
      <c r="U120" s="1548"/>
      <c r="V120" s="1548"/>
      <c r="W120" s="1548"/>
      <c r="X120" s="1548"/>
      <c r="Y120" s="1548"/>
      <c r="Z120" s="1548"/>
      <c r="AA120" s="286"/>
      <c r="AB120" s="838">
        <v>15</v>
      </c>
      <c r="AC120" s="839" t="s">
        <v>2076</v>
      </c>
      <c r="AD120" s="840" t="s">
        <v>629</v>
      </c>
      <c r="AE120" s="2280">
        <f>IF($K83="передача тепловой энергии",_xlfn.SUMIFS('Баланс Тр'!AE$27:AE$43,'Баланс Тр'!$F$27:$F$43,$F120,'Баланс Тр'!$AB$27:$AB$43,"3"),_xlfn.SUMIFS('Баланс Пр'!AE$27:AE$165,'Баланс Пр'!$F$27:$F$165,$F120,'Баланс Пр'!$AB$27:$AB$165,"9.1"))</f>
        <v>4383</v>
      </c>
      <c r="AF120" s="714"/>
      <c r="AG120" s="714"/>
      <c r="AH120" s="714"/>
      <c r="AI120" s="2280">
        <f>IF($K83="передача тепловой энергии",_xlfn.SUMIFS('Баланс Тр'!AH$27:AH$43,'Баланс Тр'!$F$27:$F$43,$F120,'Баланс Тр'!$AB$27:$AB$43,"3"),_xlfn.SUMIFS('Баланс Пр'!AH$27:AH$165,'Баланс Пр'!$F$27:$F$165,$F120,'Баланс Пр'!$AB$27:$AB$165,"9.1"))</f>
        <v>4671</v>
      </c>
      <c r="AJ120" s="561">
        <f>IF($K83="передача тепловой энергии",_xlfn.SUMIFS('Баланс Тр'!AI$27:AI$43,'Баланс Тр'!$F$27:$F$43,$F120,'Баланс Тр'!$AB$27:$AB$43,"3"),_xlfn.SUMIFS('Баланс Пр'!AI$27:AI$165,'Баланс Пр'!$F$27:$F$165,$F120,'Баланс Пр'!$AB$27:$AB$165,"9.1"))</f>
        <v>4637</v>
      </c>
      <c r="AK120" s="2280">
        <f>IF($K83="передача тепловой энергии",_xlfn.SUMIFS('Баланс Тр'!AJ$27:AJ$43,'Баланс Тр'!$F$27:$F$43,$F120,'Баланс Тр'!$AB$27:$AB$43,"3"),_xlfn.SUMIFS('Баланс Пр'!AJ$27:AJ$165,'Баланс Пр'!$F$27:$F$165,$F120,'Баланс Пр'!$AB$27:$AB$165,"9.1"))</f>
        <v>0</v>
      </c>
      <c r="AL120" s="2280">
        <f>IF($K83="передача тепловой энергии",_xlfn.SUMIFS('Баланс Тр'!AK$27:AK$43,'Баланс Тр'!$F$27:$F$43,$F120,'Баланс Тр'!$AB$27:$AB$43,"3"),_xlfn.SUMIFS('Баланс Пр'!AK$27:AK$165,'Баланс Пр'!$F$27:$F$165,$F120,'Баланс Пр'!$AB$27:$AB$165,"9.1"))</f>
        <v>0</v>
      </c>
      <c r="AM120" s="2280">
        <f>IF($K83="передача тепловой энергии",_xlfn.SUMIFS('Баланс Тр'!AL$27:AL$43,'Баланс Тр'!$F$27:$F$43,$F120,'Баланс Тр'!$AB$27:$AB$43,"3"),_xlfn.SUMIFS('Баланс Пр'!AL$27:AL$165,'Баланс Пр'!$F$27:$F$165,$F120,'Баланс Пр'!$AB$27:$AB$165,"9.1"))</f>
        <v>0</v>
      </c>
      <c r="AN120" s="2280">
        <f>IF($K83="передача тепловой энергии",_xlfn.SUMIFS('Баланс Тр'!AM$27:AM$43,'Баланс Тр'!$F$27:$F$43,$F120,'Баланс Тр'!$AB$27:$AB$43,"3"),_xlfn.SUMIFS('Баланс Пр'!AM$27:AM$165,'Баланс Пр'!$F$27:$F$165,$F120,'Баланс Пр'!$AB$27:$AB$165,"9.1"))</f>
        <v>0</v>
      </c>
      <c r="AO120" s="2280">
        <f>IF($K83="передача тепловой энергии",_xlfn.SUMIFS('Баланс Тр'!AN$27:AN$43,'Баланс Тр'!$F$27:$F$43,$F120,'Баланс Тр'!$AB$27:$AB$43,"3"),_xlfn.SUMIFS('Баланс Пр'!AN$27:AN$165,'Баланс Пр'!$F$27:$F$165,$F120,'Баланс Пр'!$AB$27:$AB$165,"9.1"))</f>
        <v>0</v>
      </c>
      <c r="AP120" s="2280">
        <f>IF($K83="передача тепловой энергии",_xlfn.SUMIFS('Баланс Тр'!AO$27:AO$43,'Баланс Тр'!$F$27:$F$43,$F120,'Баланс Тр'!$AB$27:$AB$43,"3"),_xlfn.SUMIFS('Баланс Пр'!AO$27:AO$165,'Баланс Пр'!$F$27:$F$165,$F120,'Баланс Пр'!$AB$27:$AB$165,"9.1"))</f>
        <v>0</v>
      </c>
      <c r="AQ120" s="2280">
        <f>IF($K83="передача тепловой энергии",_xlfn.SUMIFS('Баланс Тр'!AP$27:AP$43,'Баланс Тр'!$F$27:$F$43,$F120,'Баланс Тр'!$AB$27:$AB$43,"3"),_xlfn.SUMIFS('Баланс Пр'!AP$27:AP$165,'Баланс Пр'!$F$27:$F$165,$F120,'Баланс Пр'!$AB$27:$AB$165,"9.1"))</f>
        <v>0</v>
      </c>
      <c r="AR120" s="2280">
        <f>IF($K83="передача тепловой энергии",_xlfn.SUMIFS('Баланс Тр'!AQ$27:AQ$43,'Баланс Тр'!$F$27:$F$43,$F120,'Баланс Тр'!$AB$27:$AB$43,"3"),_xlfn.SUMIFS('Баланс Пр'!AQ$27:AQ$165,'Баланс Пр'!$F$27:$F$165,$F120,'Баланс Пр'!$AB$27:$AB$165,"9.1"))</f>
        <v>0</v>
      </c>
      <c r="AS120" s="2280">
        <f>IF($K83="передача тепловой энергии",_xlfn.SUMIFS('Баланс Тр'!AR$27:AR$43,'Баланс Тр'!$F$27:$F$43,$F120,'Баланс Тр'!$AB$27:$AB$43,"3"),_xlfn.SUMIFS('Баланс Пр'!AR$27:AR$165,'Баланс Пр'!$F$27:$F$165,$F120,'Баланс Пр'!$AB$27:$AB$165,"9.1"))</f>
        <v>0</v>
      </c>
      <c r="AT120" s="2280">
        <f>IF($K83="передача тепловой энергии",_xlfn.SUMIFS('Баланс Тр'!AS$27:AS$43,'Баланс Тр'!$F$27:$F$43,$F120,'Баланс Тр'!$AB$27:$AB$43,"3"),_xlfn.SUMIFS('Баланс Пр'!AS$27:AS$165,'Баланс Пр'!$F$27:$F$165,$F120,'Баланс Пр'!$AB$27:$AB$165,"9.1"))</f>
        <v>0</v>
      </c>
      <c r="AU120" s="2280">
        <f>IF($K83="передача тепловой энергии",_xlfn.SUMIFS('Баланс Тр'!AT$27:AT$43,'Баланс Тр'!$F$27:$F$43,$F120,'Баланс Тр'!$AB$27:$AB$43,"3"),_xlfn.SUMIFS('Баланс Пр'!AT$27:AT$165,'Баланс Пр'!$F$27:$F$165,$F120,'Баланс Пр'!$AB$27:$AB$165,"9.1"))</f>
        <v>0</v>
      </c>
      <c r="AV120" s="2280">
        <f>IF($K83="передача тепловой энергии",_xlfn.SUMIFS('Баланс Тр'!AU$27:AU$43,'Баланс Тр'!$F$27:$F$43,$F120,'Баланс Тр'!$AB$27:$AB$43,"3"),_xlfn.SUMIFS('Баланс Пр'!AU$27:AU$165,'Баланс Пр'!$F$27:$F$165,$F120,'Баланс Пр'!$AB$27:$AB$165,"9.1"))</f>
        <v>0</v>
      </c>
      <c r="AW120" s="2280">
        <f>IF($K83="передача тепловой энергии",_xlfn.SUMIFS('Баланс Тр'!AV$27:AV$43,'Баланс Тр'!$F$27:$F$43,$F120,'Баланс Тр'!$AB$27:$AB$43,"3"),_xlfn.SUMIFS('Баланс Пр'!AV$27:AV$165,'Баланс Пр'!$F$27:$F$165,$F120,'Баланс Пр'!$AB$27:$AB$165,"9.1"))</f>
        <v>0</v>
      </c>
      <c r="AX120" s="2280">
        <f>IF($K83="передача тепловой энергии",_xlfn.SUMIFS('Баланс Тр'!AW$27:AW$43,'Баланс Тр'!$F$27:$F$43,$F120,'Баланс Тр'!$AB$27:$AB$43,"3"),_xlfn.SUMIFS('Баланс Пр'!AW$27:AW$165,'Баланс Пр'!$F$27:$F$165,$F120,'Баланс Пр'!$AB$27:$AB$165,"9.1"))</f>
        <v>0</v>
      </c>
      <c r="AY120" s="2280">
        <f>IF($K83="передача тепловой энергии",_xlfn.SUMIFS('Баланс Тр'!AX$27:AX$43,'Баланс Тр'!$F$27:$F$43,$F120,'Баланс Тр'!$AB$27:$AB$43,"3"),_xlfn.SUMIFS('Баланс Пр'!AX$27:AX$165,'Баланс Пр'!$F$27:$F$165,$F120,'Баланс Пр'!$AB$27:$AB$165,"9.1"))</f>
        <v>0</v>
      </c>
      <c r="AZ120" s="2280">
        <f>IF($K83="передача тепловой энергии",_xlfn.SUMIFS('Баланс Тр'!AY$27:AY$43,'Баланс Тр'!$F$27:$F$43,$F120,'Баланс Тр'!$AB$27:$AB$43,"3"),_xlfn.SUMIFS('Баланс Пр'!AY$27:AY$165,'Баланс Пр'!$F$27:$F$165,$F120,'Баланс Пр'!$AB$27:$AB$165,"9.1"))</f>
        <v>0</v>
      </c>
      <c r="BA120" s="2280">
        <f>IF($K83="передача тепловой энергии",_xlfn.SUMIFS('Баланс Тр'!AZ$27:AZ$43,'Баланс Тр'!$F$27:$F$43,$F120,'Баланс Тр'!$AB$27:$AB$43,"3"),_xlfn.SUMIFS('Баланс Пр'!AZ$27:AZ$165,'Баланс Пр'!$F$27:$F$165,$F120,'Баланс Пр'!$AB$27:$AB$165,"9.1"))</f>
        <v>0</v>
      </c>
      <c r="BB120" s="2280">
        <f>IF($K83="передача тепловой энергии",_xlfn.SUMIFS('Баланс Тр'!BA$27:BA$43,'Баланс Тр'!$F$27:$F$43,$F120,'Баланс Тр'!$AB$27:$AB$43,"3"),_xlfn.SUMIFS('Баланс Пр'!BA$27:BA$165,'Баланс Пр'!$F$27:$F$165,$F120,'Баланс Пр'!$AB$27:$AB$165,"9.1"))</f>
        <v>0</v>
      </c>
      <c r="BC120" s="2280">
        <f>IF($K83="передача тепловой энергии",_xlfn.SUMIFS('Баланс Тр'!BB$27:BB$43,'Баланс Тр'!$F$27:$F$43,$F120,'Баланс Тр'!$AB$27:$AB$43,"3"),_xlfn.SUMIFS('Баланс Пр'!BB$27:BB$165,'Баланс Пр'!$F$27:$F$165,$F120,'Баланс Пр'!$AB$27:$AB$165,"9.1"))</f>
        <v>0</v>
      </c>
      <c r="BD120" s="561">
        <f>IF($K83="передача тепловой энергии",_xlfn.SUMIFS('Баланс Тр'!BC$27:BC$43,'Баланс Тр'!$F$27:$F$43,$F120,'Баланс Тр'!$AB$27:$AB$43,"3"),_xlfn.SUMIFS('Баланс Пр'!BC$27:BC$165,'Баланс Пр'!$F$27:$F$165,$F120,'Баланс Пр'!$AB$27:$AB$165,"9.1"))</f>
        <v>4637</v>
      </c>
      <c r="BE120" s="2280">
        <f>IF($K83="передача тепловой энергии",_xlfn.SUMIFS('Баланс Тр'!BD$27:BD$43,'Баланс Тр'!$F$27:$F$43,$F120,'Баланс Тр'!$AB$27:$AB$43,"3"),_xlfn.SUMIFS('Баланс Пр'!BD$27:BD$165,'Баланс Пр'!$F$27:$F$165,$F120,'Баланс Пр'!$AB$27:$AB$165,"9.1"))</f>
        <v>0</v>
      </c>
      <c r="BF120" s="2280">
        <f>IF($K83="передача тепловой энергии",_xlfn.SUMIFS('Баланс Тр'!BE$27:BE$43,'Баланс Тр'!$F$27:$F$43,$F120,'Баланс Тр'!$AB$27:$AB$43,"3"),_xlfn.SUMIFS('Баланс Пр'!BE$27:BE$165,'Баланс Пр'!$F$27:$F$165,$F120,'Баланс Пр'!$AB$27:$AB$165,"9.1"))</f>
        <v>0</v>
      </c>
      <c r="BG120" s="2280">
        <f>IF($K83="передача тепловой энергии",_xlfn.SUMIFS('Баланс Тр'!BF$27:BF$43,'Баланс Тр'!$F$27:$F$43,$F120,'Баланс Тр'!$AB$27:$AB$43,"3"),_xlfn.SUMIFS('Баланс Пр'!BF$27:BF$165,'Баланс Пр'!$F$27:$F$165,$F120,'Баланс Пр'!$AB$27:$AB$165,"9.1"))</f>
        <v>0</v>
      </c>
      <c r="BH120" s="2280">
        <f>IF($K83="передача тепловой энергии",_xlfn.SUMIFS('Баланс Тр'!BG$27:BG$43,'Баланс Тр'!$F$27:$F$43,$F120,'Баланс Тр'!$AB$27:$AB$43,"3"),_xlfn.SUMIFS('Баланс Пр'!BG$27:BG$165,'Баланс Пр'!$F$27:$F$165,$F120,'Баланс Пр'!$AB$27:$AB$165,"9.1"))</f>
        <v>0</v>
      </c>
      <c r="BI120" s="2280">
        <f>IF($K83="передача тепловой энергии",_xlfn.SUMIFS('Баланс Тр'!BH$27:BH$43,'Баланс Тр'!$F$27:$F$43,$F120,'Баланс Тр'!$AB$27:$AB$43,"3"),_xlfn.SUMIFS('Баланс Пр'!BH$27:BH$165,'Баланс Пр'!$F$27:$F$165,$F120,'Баланс Пр'!$AB$27:$AB$165,"9.1"))</f>
        <v>0</v>
      </c>
      <c r="BJ120" s="2280">
        <f>IF($K83="передача тепловой энергии",_xlfn.SUMIFS('Баланс Тр'!BI$27:BI$43,'Баланс Тр'!$F$27:$F$43,$F120,'Баланс Тр'!$AB$27:$AB$43,"3"),_xlfn.SUMIFS('Баланс Пр'!BI$27:BI$165,'Баланс Пр'!$F$27:$F$165,$F120,'Баланс Пр'!$AB$27:$AB$165,"9.1"))</f>
        <v>0</v>
      </c>
      <c r="BK120" s="2280">
        <f>IF($K83="передача тепловой энергии",_xlfn.SUMIFS('Баланс Тр'!BJ$27:BJ$43,'Баланс Тр'!$F$27:$F$43,$F120,'Баланс Тр'!$AB$27:$AB$43,"3"),_xlfn.SUMIFS('Баланс Пр'!BJ$27:BJ$165,'Баланс Пр'!$F$27:$F$165,$F120,'Баланс Пр'!$AB$27:$AB$165,"9.1"))</f>
        <v>0</v>
      </c>
      <c r="BL120" s="2280">
        <f>IF($K83="передача тепловой энергии",_xlfn.SUMIFS('Баланс Тр'!BK$27:BK$43,'Баланс Тр'!$F$27:$F$43,$F120,'Баланс Тр'!$AB$27:$AB$43,"3"),_xlfn.SUMIFS('Баланс Пр'!BK$27:BK$165,'Баланс Пр'!$F$27:$F$165,$F120,'Баланс Пр'!$AB$27:$AB$165,"9.1"))</f>
        <v>0</v>
      </c>
      <c r="BM120" s="2280">
        <f>IF($K83="передача тепловой энергии",_xlfn.SUMIFS('Баланс Тр'!BL$27:BL$43,'Баланс Тр'!$F$27:$F$43,$F120,'Баланс Тр'!$AB$27:$AB$43,"3"),_xlfn.SUMIFS('Баланс Пр'!BL$27:BL$165,'Баланс Пр'!$F$27:$F$165,$F120,'Баланс Пр'!$AB$27:$AB$165,"9.1"))</f>
        <v>0</v>
      </c>
      <c r="BN120" s="2280">
        <f>IF($K83="передача тепловой энергии",_xlfn.SUMIFS('Баланс Тр'!BM$27:BM$43,'Баланс Тр'!$F$27:$F$43,$F120,'Баланс Тр'!$AB$27:$AB$43,"3"),_xlfn.SUMIFS('Баланс Пр'!BM$27:BM$165,'Баланс Пр'!$F$27:$F$165,$F120,'Баланс Пр'!$AB$27:$AB$165,"9.1"))</f>
        <v>0</v>
      </c>
      <c r="BO120" s="2280">
        <f>IF($K83="передача тепловой энергии",_xlfn.SUMIFS('Баланс Тр'!BN$27:BN$43,'Баланс Тр'!$F$27:$F$43,$F120,'Баланс Тр'!$AB$27:$AB$43,"3"),_xlfn.SUMIFS('Баланс Пр'!BN$27:BN$165,'Баланс Пр'!$F$27:$F$165,$F120,'Баланс Пр'!$AB$27:$AB$165,"9.1"))</f>
        <v>0</v>
      </c>
      <c r="BP120" s="2280">
        <f>IF($K83="передача тепловой энергии",_xlfn.SUMIFS('Баланс Тр'!BO$27:BO$43,'Баланс Тр'!$F$27:$F$43,$F120,'Баланс Тр'!$AB$27:$AB$43,"3"),_xlfn.SUMIFS('Баланс Пр'!BO$27:BO$165,'Баланс Пр'!$F$27:$F$165,$F120,'Баланс Пр'!$AB$27:$AB$165,"9.1"))</f>
        <v>0</v>
      </c>
      <c r="BQ120" s="2280">
        <f>IF($K83="передача тепловой энергии",_xlfn.SUMIFS('Баланс Тр'!BP$27:BP$43,'Баланс Тр'!$F$27:$F$43,$F120,'Баланс Тр'!$AB$27:$AB$43,"3"),_xlfn.SUMIFS('Баланс Пр'!BP$27:BP$165,'Баланс Пр'!$F$27:$F$165,$F120,'Баланс Пр'!$AB$27:$AB$165,"9.1"))</f>
        <v>0</v>
      </c>
      <c r="BR120" s="2280">
        <f>IF($K83="передача тепловой энергии",_xlfn.SUMIFS('Баланс Тр'!BQ$27:BQ$43,'Баланс Тр'!$F$27:$F$43,$F120,'Баланс Тр'!$AB$27:$AB$43,"3"),_xlfn.SUMIFS('Баланс Пр'!BQ$27:BQ$165,'Баланс Пр'!$F$27:$F$165,$F120,'Баланс Пр'!$AB$27:$AB$165,"9.1"))</f>
        <v>0</v>
      </c>
      <c r="BS120" s="2280">
        <f>IF($K83="передача тепловой энергии",_xlfn.SUMIFS('Баланс Тр'!BR$27:BR$43,'Баланс Тр'!$F$27:$F$43,$F120,'Баланс Тр'!$AB$27:$AB$43,"3"),_xlfn.SUMIFS('Баланс Пр'!BR$27:BR$165,'Баланс Пр'!$F$27:$F$165,$F120,'Баланс Пр'!$AB$27:$AB$165,"9.1"))</f>
        <v>0</v>
      </c>
      <c r="BT120" s="2280">
        <f>IF($K83="передача тепловой энергии",_xlfn.SUMIFS('Баланс Тр'!BS$27:BS$43,'Баланс Тр'!$F$27:$F$43,$F120,'Баланс Тр'!$AB$27:$AB$43,"3"),_xlfn.SUMIFS('Баланс Пр'!BS$27:BS$165,'Баланс Пр'!$F$27:$F$165,$F120,'Баланс Пр'!$AB$27:$AB$165,"9.1"))</f>
        <v>0</v>
      </c>
      <c r="BU120" s="2280">
        <f>IF($K83="передача тепловой энергии",_xlfn.SUMIFS('Баланс Тр'!BT$27:BT$43,'Баланс Тр'!$F$27:$F$43,$F120,'Баланс Тр'!$AB$27:$AB$43,"3"),_xlfn.SUMIFS('Баланс Пр'!BT$27:BT$165,'Баланс Пр'!$F$27:$F$165,$F120,'Баланс Пр'!$AB$27:$AB$165,"9.1"))</f>
        <v>0</v>
      </c>
      <c r="BV120" s="2280">
        <f>IF($K83="передача тепловой энергии",_xlfn.SUMIFS('Баланс Тр'!BU$27:BU$43,'Баланс Тр'!$F$27:$F$43,$F120,'Баланс Тр'!$AB$27:$AB$43,"3"),_xlfn.SUMIFS('Баланс Пр'!BU$27:BU$165,'Баланс Пр'!$F$27:$F$165,$F120,'Баланс Пр'!$AB$27:$AB$165,"9.1"))</f>
        <v>0</v>
      </c>
      <c r="BW120" s="2280">
        <f>IF($K83="передача тепловой энергии",_xlfn.SUMIFS('Баланс Тр'!BV$27:BV$43,'Баланс Тр'!$F$27:$F$43,$F120,'Баланс Тр'!$AB$27:$AB$43,"3"),_xlfn.SUMIFS('Баланс Пр'!BV$27:BV$165,'Баланс Пр'!$F$27:$F$165,$F120,'Баланс Пр'!$AB$27:$AB$165,"9.1"))</f>
        <v>0</v>
      </c>
      <c r="BX120" s="841"/>
      <c r="BY120" s="841"/>
      <c r="BZ120" s="841"/>
      <c r="CA120" s="841"/>
      <c r="CB120" s="841"/>
      <c r="CC120" s="841"/>
      <c r="CD120" s="841"/>
      <c r="CE120" s="841"/>
      <c r="CF120" s="841"/>
      <c r="CG120" s="841"/>
      <c r="CH120" s="841"/>
      <c r="CI120" s="841"/>
      <c r="CJ120" s="841"/>
      <c r="CK120" s="841"/>
      <c r="CL120" s="841"/>
      <c r="CM120" s="841"/>
      <c r="CN120" s="841"/>
      <c r="CO120" s="841"/>
      <c r="CP120" s="841"/>
      <c r="CQ120" s="841"/>
      <c r="CR120" s="1897"/>
      <c r="CS120" s="1897"/>
      <c r="CT120" s="1897"/>
      <c r="CU120" s="286"/>
      <c r="CV120" s="1659"/>
      <c r="CW120" s="489" t="s">
        <v>2077</v>
      </c>
      <c r="CX120" s="1125"/>
      <c r="CY120" s="1125"/>
      <c r="CZ120" s="1126"/>
      <c r="DA120" s="1126"/>
      <c r="DB120" s="1506"/>
      <c r="DC120" s="1506"/>
      <c r="DD120" s="0" cm="1" t="str">
        <f t="array" ref="DD120:DD120">DD119</f>
        <v>ТЭ.42.31656254.0001</v>
      </c>
      <c r="DE120" s="1751"/>
      <c r="DF120" s="1751"/>
      <c r="DG120" s="1751"/>
      <c r="DH120" s="1751"/>
      <c r="DI120" s="1751"/>
      <c r="DJ120" s="1751"/>
      <c r="DK120" s="1751"/>
      <c r="DL120" s="1751"/>
      <c r="DM120" s="0" t="s">
        <v>2078</v>
      </c>
      <c r="DN120" s="1751"/>
      <c r="DO120" s="0" t="s">
        <v>303</v>
      </c>
      <c r="DP120" s="0" t="s">
        <v>2079</v>
      </c>
      <c r="DQ120" s="0" t="s">
        <v>2080</v>
      </c>
      <c r="DR120" s="1751"/>
    </row>
    <row s="1751" customFormat="1" customHeight="1" ht="14.25">
      <c r="A121" s="371"/>
      <c r="B121" s="1548"/>
      <c r="C121" s="1506"/>
      <c r="D121" s="1506"/>
      <c r="E121" s="180">
        <v>15</v>
      </c>
      <c r="F121" s="175" cm="1" t="str">
        <f t="array" ref="F121:F121">OFFSET(G121,-1,-1)</f>
        <v>1</v>
      </c>
      <c r="G121" s="193" t="s">
        <v>2081</v>
      </c>
      <c r="H121" s="1659"/>
      <c r="I121" s="1659"/>
      <c r="J121" s="1659"/>
      <c r="K121" s="1659"/>
      <c r="L121" s="1659"/>
      <c r="M121" s="1506"/>
      <c r="N121" s="1506"/>
      <c r="O121" s="1506"/>
      <c r="P121" s="1506"/>
      <c r="Q121" s="1506"/>
      <c r="R121" s="1506"/>
      <c r="S121" s="1506"/>
      <c r="T121" s="753" cm="1" t="str">
        <f t="array" ref="T121:T121">T120</f>
        <v>true</v>
      </c>
      <c r="U121" s="1548"/>
      <c r="V121" s="1548"/>
      <c r="W121" s="1548"/>
      <c r="X121" s="1548"/>
      <c r="Y121" s="1548"/>
      <c r="Z121" s="1548"/>
      <c r="AA121" s="286"/>
      <c r="AB121" s="836" t="str">
        <f>AB120&amp;".1"</f>
        <v>15.1</v>
      </c>
      <c r="AC121" s="646" t="s">
        <v>2082</v>
      </c>
      <c r="AD121" s="666" t="s">
        <v>629</v>
      </c>
      <c r="AE121" s="2356">
        <v>2410</v>
      </c>
      <c r="AF121" s="714"/>
      <c r="AG121" s="714"/>
      <c r="AH121" s="714"/>
      <c r="AI121" s="2356">
        <v>3130</v>
      </c>
      <c r="AJ121" s="749">
        <v>2643</v>
      </c>
      <c r="AK121" s="2356"/>
      <c r="AL121" s="2356"/>
      <c r="AM121" s="2356"/>
      <c r="AN121" s="2356"/>
      <c r="AO121" s="2356"/>
      <c r="AP121" s="2356"/>
      <c r="AQ121" s="2356"/>
      <c r="AR121" s="2356"/>
      <c r="AS121" s="2356"/>
      <c r="AT121" s="2356"/>
      <c r="AU121" s="2356"/>
      <c r="AV121" s="2356"/>
      <c r="AW121" s="2356"/>
      <c r="AX121" s="2356"/>
      <c r="AY121" s="2356"/>
      <c r="AZ121" s="2356"/>
      <c r="BA121" s="2356"/>
      <c r="BB121" s="2356"/>
      <c r="BC121" s="2356"/>
      <c r="BD121" s="749">
        <v>2643</v>
      </c>
      <c r="BE121" s="2356"/>
      <c r="BF121" s="2356"/>
      <c r="BG121" s="2356"/>
      <c r="BH121" s="2356"/>
      <c r="BI121" s="2356"/>
      <c r="BJ121" s="2356"/>
      <c r="BK121" s="2356"/>
      <c r="BL121" s="2356"/>
      <c r="BM121" s="2356"/>
      <c r="BN121" s="2356"/>
      <c r="BO121" s="2356"/>
      <c r="BP121" s="2356"/>
      <c r="BQ121" s="2356"/>
      <c r="BR121" s="2356"/>
      <c r="BS121" s="2356"/>
      <c r="BT121" s="2356"/>
      <c r="BU121" s="2356"/>
      <c r="BV121" s="2356"/>
      <c r="BW121" s="2356"/>
      <c r="BX121" s="804"/>
      <c r="BY121" s="804"/>
      <c r="BZ121" s="804"/>
      <c r="CA121" s="804"/>
      <c r="CB121" s="804"/>
      <c r="CC121" s="804"/>
      <c r="CD121" s="804"/>
      <c r="CE121" s="804"/>
      <c r="CF121" s="804"/>
      <c r="CG121" s="804"/>
      <c r="CH121" s="804"/>
      <c r="CI121" s="804"/>
      <c r="CJ121" s="804"/>
      <c r="CK121" s="804"/>
      <c r="CL121" s="804"/>
      <c r="CM121" s="804"/>
      <c r="CN121" s="804"/>
      <c r="CO121" s="804"/>
      <c r="CP121" s="804"/>
      <c r="CQ121" s="804"/>
      <c r="CR121" s="1897"/>
      <c r="CS121" s="1897"/>
      <c r="CT121" s="1897"/>
      <c r="CU121" s="286"/>
      <c r="CV121" s="1659"/>
      <c r="CW121" s="489" t="s">
        <v>2083</v>
      </c>
      <c r="CX121" s="1125"/>
      <c r="CY121" s="1125"/>
      <c r="CZ121" s="1126"/>
      <c r="DA121" s="1126"/>
      <c r="DB121" s="1506"/>
      <c r="DC121" s="1506"/>
      <c r="DD121" s="0" cm="1" t="str">
        <f t="array" ref="DD121:DD121">DD120</f>
        <v>ТЭ.42.31656254.0001</v>
      </c>
      <c r="DE121" s="1751"/>
      <c r="DF121" s="1751"/>
      <c r="DG121" s="1751"/>
      <c r="DH121" s="1751"/>
      <c r="DI121" s="1751"/>
      <c r="DJ121" s="0" t="s">
        <v>796</v>
      </c>
      <c r="DK121" s="1751"/>
      <c r="DL121" s="0" t="s">
        <v>2084</v>
      </c>
      <c r="DM121" s="0" t="s">
        <v>219</v>
      </c>
      <c r="DN121" s="1751"/>
      <c r="DO121" s="0" t="s">
        <v>303</v>
      </c>
      <c r="DP121" s="0" t="s">
        <v>2079</v>
      </c>
      <c r="DQ121" s="0" t="s">
        <v>2080</v>
      </c>
      <c r="DR121" s="1751"/>
    </row>
    <row s="1751" customFormat="1" customHeight="1" ht="14.25">
      <c r="A122" s="371"/>
      <c r="B122" s="1548"/>
      <c r="C122" s="1506"/>
      <c r="D122" s="1506"/>
      <c r="E122" s="180">
        <v>15</v>
      </c>
      <c r="F122" s="175" cm="1" t="str">
        <f t="array" ref="F122:F122">OFFSET(G122,-1,-1)</f>
        <v>1</v>
      </c>
      <c r="G122" s="193" t="s">
        <v>2085</v>
      </c>
      <c r="H122" s="1659"/>
      <c r="I122" s="1659"/>
      <c r="J122" s="1659"/>
      <c r="K122" s="1659"/>
      <c r="L122" s="1659"/>
      <c r="M122" s="1506"/>
      <c r="N122" s="1506"/>
      <c r="O122" s="1506"/>
      <c r="P122" s="1506"/>
      <c r="Q122" s="1506"/>
      <c r="R122" s="1506"/>
      <c r="S122" s="1506"/>
      <c r="T122" s="753" cm="1" t="str">
        <f t="array" ref="T122:T122">T121</f>
        <v>true</v>
      </c>
      <c r="U122" s="1548"/>
      <c r="V122" s="1548"/>
      <c r="W122" s="1548"/>
      <c r="X122" s="1548"/>
      <c r="Y122" s="1548"/>
      <c r="Z122" s="1548"/>
      <c r="AA122" s="286"/>
      <c r="AB122" s="836" t="str">
        <f>AB120&amp;".2"</f>
        <v>15.2</v>
      </c>
      <c r="AC122" s="646" t="s">
        <v>2086</v>
      </c>
      <c r="AD122" s="666" t="s">
        <v>1005</v>
      </c>
      <c r="AE122" s="2356">
        <v>1990.99</v>
      </c>
      <c r="AF122" s="714"/>
      <c r="AG122" s="714"/>
      <c r="AH122" s="714"/>
      <c r="AI122" s="2356">
        <f>MIN(ROUND(AE124,2),ROUND(AI126,2))</f>
        <v>1945.05</v>
      </c>
      <c r="AJ122" s="749">
        <f>MIN(ROUND(AI124,2),ROUND(AJ126,2))</f>
        <v>2220.93</v>
      </c>
      <c r="AK122" s="2356">
        <f>MIN(ROUND(AJ124,2),ROUND(AK126,2))</f>
        <v>0</v>
      </c>
      <c r="AL122" s="2356">
        <f>MIN(ROUND(AK124,2),ROUND(AL126,2))</f>
        <v>0</v>
      </c>
      <c r="AM122" s="2356">
        <f>MIN(ROUND(AL124,2),ROUND(AM126,2))</f>
        <v>0</v>
      </c>
      <c r="AN122" s="2356">
        <f>MIN(ROUND(AM124,2),ROUND(AN126,2))</f>
        <v>0</v>
      </c>
      <c r="AO122" s="2356">
        <f>MIN(ROUND(AN124,2),ROUND(AO126,2))</f>
        <v>0</v>
      </c>
      <c r="AP122" s="2356">
        <f>MIN(ROUND(AO124,2),ROUND(AP126,2))</f>
        <v>0</v>
      </c>
      <c r="AQ122" s="2356">
        <f>MIN(ROUND(AP124,2),ROUND(AQ126,2))</f>
        <v>0</v>
      </c>
      <c r="AR122" s="2356">
        <f>MIN(ROUND(AQ124,2),ROUND(AR126,2))</f>
        <v>0</v>
      </c>
      <c r="AS122" s="2356">
        <f>MIN(ROUND(AR124,2),ROUND(AS126,2))</f>
        <v>0</v>
      </c>
      <c r="AT122" s="2356">
        <f>MIN(ROUND(AS124,2),ROUND(AT126,2))</f>
        <v>0</v>
      </c>
      <c r="AU122" s="2356">
        <f>MIN(ROUND(AT124,2),ROUND(AU126,2))</f>
        <v>0</v>
      </c>
      <c r="AV122" s="2356">
        <f>MIN(ROUND(AU124,2),ROUND(AV126,2))</f>
        <v>0</v>
      </c>
      <c r="AW122" s="2356">
        <f>MIN(ROUND(AV124,2),ROUND(AW126,2))</f>
        <v>0</v>
      </c>
      <c r="AX122" s="2356">
        <f>MIN(ROUND(AW124,2),ROUND(AX126,2))</f>
        <v>0</v>
      </c>
      <c r="AY122" s="2356">
        <f>MIN(ROUND(AX124,2),ROUND(AY126,2))</f>
        <v>0</v>
      </c>
      <c r="AZ122" s="2356">
        <f>MIN(ROUND(AY124,2),ROUND(AZ126,2))</f>
        <v>0</v>
      </c>
      <c r="BA122" s="2356">
        <f>MIN(ROUND(AZ124,2),ROUND(BA126,2))</f>
        <v>0</v>
      </c>
      <c r="BB122" s="2356">
        <f>MIN(ROUND(BA124,2),ROUND(BB126,2))</f>
        <v>0</v>
      </c>
      <c r="BC122" s="2356">
        <f>MIN(ROUND(BB124,2),ROUND(BC126,2))</f>
        <v>0</v>
      </c>
      <c r="BD122" s="749">
        <f>MIN(ROUND(AI124,2),ROUND(BD126,2))</f>
        <v>2220.93</v>
      </c>
      <c r="BE122" s="2356">
        <f>MIN(ROUND(BD124,2),ROUND(BE126,2))</f>
        <v>0</v>
      </c>
      <c r="BF122" s="2356">
        <f>MIN(ROUND(BE124,2),ROUND(BF126,2))</f>
        <v>0</v>
      </c>
      <c r="BG122" s="2356">
        <f>MIN(ROUND(BF124,2),ROUND(BG126,2))</f>
        <v>0</v>
      </c>
      <c r="BH122" s="2356">
        <f>MIN(ROUND(BG124,2),ROUND(BH126,2))</f>
        <v>0</v>
      </c>
      <c r="BI122" s="2356">
        <f>MIN(ROUND(BH124,2),ROUND(BI126,2))</f>
        <v>0</v>
      </c>
      <c r="BJ122" s="2356">
        <f>MIN(ROUND(BI124,2),ROUND(BJ126,2))</f>
        <v>0</v>
      </c>
      <c r="BK122" s="2356">
        <f>MIN(ROUND(BJ124,2),ROUND(BK126,2))</f>
        <v>0</v>
      </c>
      <c r="BL122" s="2356">
        <f>MIN(ROUND(BK124,2),ROUND(BL126,2))</f>
        <v>0</v>
      </c>
      <c r="BM122" s="2356">
        <f>MIN(ROUND(BL124,2),ROUND(BM126,2))</f>
        <v>0</v>
      </c>
      <c r="BN122" s="2356">
        <f>MIN(ROUND(BM124,2),ROUND(BN126,2))</f>
        <v>0</v>
      </c>
      <c r="BO122" s="2356">
        <f>MIN(ROUND(BN124,2),ROUND(BO126,2))</f>
        <v>0</v>
      </c>
      <c r="BP122" s="2356">
        <f>MIN(ROUND(BO124,2),ROUND(BP126,2))</f>
        <v>0</v>
      </c>
      <c r="BQ122" s="2356">
        <f>MIN(ROUND(BP124,2),ROUND(BQ126,2))</f>
        <v>0</v>
      </c>
      <c r="BR122" s="2356">
        <f>MIN(ROUND(BQ124,2),ROUND(BR126,2))</f>
        <v>0</v>
      </c>
      <c r="BS122" s="2356">
        <f>MIN(ROUND(BR124,2),ROUND(BS126,2))</f>
        <v>0</v>
      </c>
      <c r="BT122" s="2356">
        <f>MIN(ROUND(BS124,2),ROUND(BT126,2))</f>
        <v>0</v>
      </c>
      <c r="BU122" s="2356">
        <f>MIN(ROUND(BT124,2),ROUND(BU126,2))</f>
        <v>0</v>
      </c>
      <c r="BV122" s="2356">
        <f>MIN(ROUND(BU124,2),ROUND(BV126,2))</f>
        <v>0</v>
      </c>
      <c r="BW122" s="2356">
        <f>MIN(ROUND(BV124,2),ROUND(BW126,2))</f>
        <v>0</v>
      </c>
      <c r="BX122" s="804"/>
      <c r="BY122" s="804"/>
      <c r="BZ122" s="804"/>
      <c r="CA122" s="804"/>
      <c r="CB122" s="804"/>
      <c r="CC122" s="804"/>
      <c r="CD122" s="804"/>
      <c r="CE122" s="804"/>
      <c r="CF122" s="804"/>
      <c r="CG122" s="804"/>
      <c r="CH122" s="804"/>
      <c r="CI122" s="804"/>
      <c r="CJ122" s="804"/>
      <c r="CK122" s="804"/>
      <c r="CL122" s="804"/>
      <c r="CM122" s="804"/>
      <c r="CN122" s="804"/>
      <c r="CO122" s="804"/>
      <c r="CP122" s="804"/>
      <c r="CQ122" s="804"/>
      <c r="CR122" s="1897"/>
      <c r="CS122" s="1897"/>
      <c r="CT122" s="1897"/>
      <c r="CU122" s="286"/>
      <c r="CV122" s="1659"/>
      <c r="CW122" s="489" t="s">
        <v>2087</v>
      </c>
      <c r="CX122" s="1125"/>
      <c r="CY122" s="1125"/>
      <c r="CZ122" s="1126"/>
      <c r="DA122" s="1126"/>
      <c r="DB122" s="1506"/>
      <c r="DC122" s="1506"/>
      <c r="DD122" s="0" cm="1" t="str">
        <f t="array" ref="DD122:DD122">DD121</f>
        <v>ТЭ.42.31656254.0001</v>
      </c>
      <c r="DE122" s="1751"/>
      <c r="DF122" s="1751"/>
      <c r="DG122" s="1751"/>
      <c r="DH122" s="1751"/>
      <c r="DI122" s="1751"/>
      <c r="DJ122" s="0" t="s">
        <v>796</v>
      </c>
      <c r="DK122" s="1751"/>
      <c r="DL122" s="0" t="s">
        <v>2084</v>
      </c>
      <c r="DM122" s="0" t="s">
        <v>255</v>
      </c>
      <c r="DN122" s="1751"/>
      <c r="DO122" s="0" t="s">
        <v>303</v>
      </c>
      <c r="DP122" s="0" t="s">
        <v>1100</v>
      </c>
      <c r="DQ122" s="0" t="s">
        <v>1101</v>
      </c>
      <c r="DR122" s="1751"/>
    </row>
    <row s="1751" customFormat="1" customHeight="1" ht="14.25">
      <c r="A123" s="371"/>
      <c r="B123" s="1548"/>
      <c r="C123" s="1506"/>
      <c r="D123" s="1506"/>
      <c r="E123" s="180">
        <v>15</v>
      </c>
      <c r="F123" s="175" cm="1" t="str">
        <f t="array" ref="F123:F123">OFFSET(G123,-1,-1)</f>
        <v>1</v>
      </c>
      <c r="G123" s="193" t="s">
        <v>2088</v>
      </c>
      <c r="H123" s="1659"/>
      <c r="I123" s="1659"/>
      <c r="J123" s="1659"/>
      <c r="K123" s="1659"/>
      <c r="L123" s="1659"/>
      <c r="M123" s="1506"/>
      <c r="N123" s="1506"/>
      <c r="O123" s="1506"/>
      <c r="P123" s="1506"/>
      <c r="Q123" s="1506"/>
      <c r="R123" s="1506"/>
      <c r="S123" s="1506"/>
      <c r="T123" s="753" cm="1" t="str">
        <f t="array" ref="T123:T123">T122</f>
        <v>true</v>
      </c>
      <c r="U123" s="1548"/>
      <c r="V123" s="1548"/>
      <c r="W123" s="1548"/>
      <c r="X123" s="1548"/>
      <c r="Y123" s="1548"/>
      <c r="Z123" s="1548"/>
      <c r="AA123" s="286"/>
      <c r="AB123" s="836" t="str">
        <f>AB120&amp;".3"</f>
        <v>15.3</v>
      </c>
      <c r="AC123" s="646" t="s">
        <v>2089</v>
      </c>
      <c r="AD123" s="666" t="s">
        <v>629</v>
      </c>
      <c r="AE123" s="746">
        <f>AE120-AE121</f>
        <v>1973</v>
      </c>
      <c r="AF123" s="714"/>
      <c r="AG123" s="714"/>
      <c r="AH123" s="714"/>
      <c r="AI123" s="746">
        <f>AI120-AI121</f>
        <v>1541</v>
      </c>
      <c r="AJ123" s="746">
        <f>AJ120-AJ121</f>
        <v>1994</v>
      </c>
      <c r="AK123" s="746">
        <f>AK120-AK121</f>
        <v>0</v>
      </c>
      <c r="AL123" s="746">
        <f>AL120-AL121</f>
        <v>0</v>
      </c>
      <c r="AM123" s="746">
        <f>AM120-AM121</f>
        <v>0</v>
      </c>
      <c r="AN123" s="746">
        <f>AN120-AN121</f>
        <v>0</v>
      </c>
      <c r="AO123" s="746">
        <f>AO120-AO121</f>
        <v>0</v>
      </c>
      <c r="AP123" s="746">
        <f>AP120-AP121</f>
        <v>0</v>
      </c>
      <c r="AQ123" s="746">
        <f>AQ120-AQ121</f>
        <v>0</v>
      </c>
      <c r="AR123" s="746">
        <f>AR120-AR121</f>
        <v>0</v>
      </c>
      <c r="AS123" s="746">
        <f>AS120-AS121</f>
        <v>0</v>
      </c>
      <c r="AT123" s="746">
        <f>AT120-AT121</f>
        <v>0</v>
      </c>
      <c r="AU123" s="746">
        <f>AU120-AU121</f>
        <v>0</v>
      </c>
      <c r="AV123" s="746">
        <f>AV120-AV121</f>
        <v>0</v>
      </c>
      <c r="AW123" s="746">
        <f>AW120-AW121</f>
        <v>0</v>
      </c>
      <c r="AX123" s="746">
        <f>AX120-AX121</f>
        <v>0</v>
      </c>
      <c r="AY123" s="746">
        <f>AY120-AY121</f>
        <v>0</v>
      </c>
      <c r="AZ123" s="746">
        <f>AZ120-AZ121</f>
        <v>0</v>
      </c>
      <c r="BA123" s="746">
        <f>BA120-BA121</f>
        <v>0</v>
      </c>
      <c r="BB123" s="746">
        <f>BB120-BB121</f>
        <v>0</v>
      </c>
      <c r="BC123" s="746">
        <f>BC120-BC121</f>
        <v>0</v>
      </c>
      <c r="BD123" s="746">
        <f>BD120-BD121</f>
        <v>1994</v>
      </c>
      <c r="BE123" s="746">
        <f>BE120-BE121</f>
        <v>0</v>
      </c>
      <c r="BF123" s="746">
        <f>BF120-BF121</f>
        <v>0</v>
      </c>
      <c r="BG123" s="746">
        <f>BG120-BG121</f>
        <v>0</v>
      </c>
      <c r="BH123" s="746">
        <f>BH120-BH121</f>
        <v>0</v>
      </c>
      <c r="BI123" s="746">
        <f>BI120-BI121</f>
        <v>0</v>
      </c>
      <c r="BJ123" s="746">
        <f>BJ120-BJ121</f>
        <v>0</v>
      </c>
      <c r="BK123" s="746">
        <f>BK120-BK121</f>
        <v>0</v>
      </c>
      <c r="BL123" s="746">
        <f>BL120-BL121</f>
        <v>0</v>
      </c>
      <c r="BM123" s="746">
        <f>BM120-BM121</f>
        <v>0</v>
      </c>
      <c r="BN123" s="746">
        <f>BN120-BN121</f>
        <v>0</v>
      </c>
      <c r="BO123" s="746">
        <f>BO120-BO121</f>
        <v>0</v>
      </c>
      <c r="BP123" s="746">
        <f>BP120-BP121</f>
        <v>0</v>
      </c>
      <c r="BQ123" s="746">
        <f>BQ120-BQ121</f>
        <v>0</v>
      </c>
      <c r="BR123" s="746">
        <f>BR120-BR121</f>
        <v>0</v>
      </c>
      <c r="BS123" s="746">
        <f>BS120-BS121</f>
        <v>0</v>
      </c>
      <c r="BT123" s="746">
        <f>BT120-BT121</f>
        <v>0</v>
      </c>
      <c r="BU123" s="746">
        <f>BU120-BU121</f>
        <v>0</v>
      </c>
      <c r="BV123" s="746">
        <f>BV120-BV121</f>
        <v>0</v>
      </c>
      <c r="BW123" s="746">
        <f>BW120-BW121</f>
        <v>0</v>
      </c>
      <c r="BX123" s="804"/>
      <c r="BY123" s="804"/>
      <c r="BZ123" s="804"/>
      <c r="CA123" s="804"/>
      <c r="CB123" s="804"/>
      <c r="CC123" s="804"/>
      <c r="CD123" s="804"/>
      <c r="CE123" s="804"/>
      <c r="CF123" s="804"/>
      <c r="CG123" s="804"/>
      <c r="CH123" s="804"/>
      <c r="CI123" s="804"/>
      <c r="CJ123" s="804"/>
      <c r="CK123" s="804"/>
      <c r="CL123" s="804"/>
      <c r="CM123" s="804"/>
      <c r="CN123" s="804"/>
      <c r="CO123" s="804"/>
      <c r="CP123" s="804"/>
      <c r="CQ123" s="804"/>
      <c r="CR123" s="1897"/>
      <c r="CS123" s="1897"/>
      <c r="CT123" s="1897"/>
      <c r="CU123" s="286"/>
      <c r="CV123" s="1659"/>
      <c r="CW123" s="489" t="s">
        <v>2090</v>
      </c>
      <c r="CX123" s="1125"/>
      <c r="CY123" s="1125"/>
      <c r="CZ123" s="1126"/>
      <c r="DA123" s="1126"/>
      <c r="DB123" s="1506"/>
      <c r="DC123" s="1506"/>
      <c r="DD123" s="0" cm="1" t="str">
        <f t="array" ref="DD123:DD123">DD122</f>
        <v>ТЭ.42.31656254.0001</v>
      </c>
      <c r="DE123" s="1751"/>
      <c r="DF123" s="1751"/>
      <c r="DG123" s="1751"/>
      <c r="DH123" s="1751"/>
      <c r="DI123" s="1751"/>
      <c r="DJ123" s="0" t="s">
        <v>797</v>
      </c>
      <c r="DK123" s="1751"/>
      <c r="DL123" s="1751"/>
      <c r="DM123" s="0" t="s">
        <v>219</v>
      </c>
      <c r="DN123" s="1751"/>
      <c r="DO123" s="0" t="s">
        <v>303</v>
      </c>
      <c r="DP123" s="0" t="s">
        <v>2079</v>
      </c>
      <c r="DQ123" s="0" t="s">
        <v>2080</v>
      </c>
      <c r="DR123" s="1751"/>
    </row>
    <row s="1751" customFormat="1" customHeight="1" ht="14.25">
      <c r="A124" s="371"/>
      <c r="B124" s="1548"/>
      <c r="C124" s="1506"/>
      <c r="D124" s="1506"/>
      <c r="E124" s="180">
        <v>15</v>
      </c>
      <c r="F124" s="175" cm="1" t="str">
        <f t="array" ref="F124:F124">OFFSET(G124,-1,-1)</f>
        <v>1</v>
      </c>
      <c r="G124" s="193" t="s">
        <v>2091</v>
      </c>
      <c r="H124" s="1659"/>
      <c r="I124" s="1659"/>
      <c r="J124" s="1659"/>
      <c r="K124" s="1659"/>
      <c r="L124" s="1659"/>
      <c r="M124" s="1506"/>
      <c r="N124" s="1506"/>
      <c r="O124" s="1506"/>
      <c r="P124" s="1506"/>
      <c r="Q124" s="1506"/>
      <c r="R124" s="1506"/>
      <c r="S124" s="1506"/>
      <c r="T124" s="753" cm="1" t="str">
        <f t="array" ref="T124:T124">T123</f>
        <v>true</v>
      </c>
      <c r="U124" s="1548"/>
      <c r="V124" s="1548"/>
      <c r="W124" s="1548"/>
      <c r="X124" s="1548"/>
      <c r="Y124" s="1548"/>
      <c r="Z124" s="1548"/>
      <c r="AA124" s="286"/>
      <c r="AB124" s="836" t="str">
        <f>AB120&amp;".4"</f>
        <v>15.4</v>
      </c>
      <c r="AC124" s="646" t="s">
        <v>2092</v>
      </c>
      <c r="AD124" s="666" t="s">
        <v>1005</v>
      </c>
      <c r="AE124" s="2356">
        <v>1945.05</v>
      </c>
      <c r="AF124" s="714"/>
      <c r="AG124" s="714"/>
      <c r="AH124" s="714"/>
      <c r="AI124" s="2356">
        <v>2220.93</v>
      </c>
      <c r="AJ124" s="749">
        <f>_xlfn.IFERROR((AJ117*1000-AJ121*AJ122)/AJ123,0)</f>
        <v>3963.94093931866</v>
      </c>
      <c r="AK124" s="2356">
        <f>_xlfn.IFERROR((AK117*1000-AK121*AK122)/AK123,0)</f>
        <v>0</v>
      </c>
      <c r="AL124" s="2356">
        <f>_xlfn.IFERROR((AL117*1000-AL121*AL122)/AL123,0)</f>
        <v>0</v>
      </c>
      <c r="AM124" s="2356">
        <f>_xlfn.IFERROR((AM117*1000-AM121*AM122)/AM123,0)</f>
        <v>0</v>
      </c>
      <c r="AN124" s="2356">
        <f>_xlfn.IFERROR((AN117*1000-AN121*AN122)/AN123,0)</f>
        <v>0</v>
      </c>
      <c r="AO124" s="2356">
        <f>_xlfn.IFERROR((AO117*1000-AO121*AO122)/AO123,0)</f>
        <v>0</v>
      </c>
      <c r="AP124" s="2356">
        <f>_xlfn.IFERROR((AP117*1000-AP121*AP122)/AP123,0)</f>
        <v>0</v>
      </c>
      <c r="AQ124" s="2356">
        <f>_xlfn.IFERROR((AQ117*1000-AQ121*AQ122)/AQ123,0)</f>
        <v>0</v>
      </c>
      <c r="AR124" s="2356">
        <f>_xlfn.IFERROR((AR117*1000-AR121*AR122)/AR123,0)</f>
        <v>0</v>
      </c>
      <c r="AS124" s="2356">
        <f>_xlfn.IFERROR((AS117*1000-AS121*AS122)/AS123,0)</f>
        <v>0</v>
      </c>
      <c r="AT124" s="2356">
        <f>_xlfn.IFERROR((AT117*1000-AT121*AT122)/AT123,0)</f>
        <v>0</v>
      </c>
      <c r="AU124" s="2356">
        <f>_xlfn.IFERROR((AU117*1000-AU121*AU122)/AU123,0)</f>
        <v>0</v>
      </c>
      <c r="AV124" s="2356">
        <f>_xlfn.IFERROR((AV117*1000-AV121*AV122)/AV123,0)</f>
        <v>0</v>
      </c>
      <c r="AW124" s="2356">
        <f>_xlfn.IFERROR((AW117*1000-AW121*AW122)/AW123,0)</f>
        <v>0</v>
      </c>
      <c r="AX124" s="2356">
        <f>_xlfn.IFERROR((AX117*1000-AX121*AX122)/AX123,0)</f>
        <v>0</v>
      </c>
      <c r="AY124" s="2356">
        <f>_xlfn.IFERROR((AY117*1000-AY121*AY122)/AY123,0)</f>
        <v>0</v>
      </c>
      <c r="AZ124" s="2356">
        <f>_xlfn.IFERROR((AZ117*1000-AZ121*AZ122)/AZ123,0)</f>
        <v>0</v>
      </c>
      <c r="BA124" s="2356">
        <f>_xlfn.IFERROR((BA117*1000-BA121*BA122)/BA123,0)</f>
        <v>0</v>
      </c>
      <c r="BB124" s="2356">
        <f>_xlfn.IFERROR((BB117*1000-BB121*BB122)/BB123,0)</f>
        <v>0</v>
      </c>
      <c r="BC124" s="2356">
        <f>_xlfn.IFERROR((BC117*1000-BC121*BC122)/BC123,0)</f>
        <v>0</v>
      </c>
      <c r="BD124" s="749">
        <f>_xlfn.IFERROR((BD117*1000-BD121*BD122)/BD123,0)-0.18</f>
        <v>2414.38220202217</v>
      </c>
      <c r="BE124" s="2356">
        <f>_xlfn.IFERROR((BE117*1000-BE121*BE122)/BE123,0)</f>
        <v>0</v>
      </c>
      <c r="BF124" s="2356">
        <f>_xlfn.IFERROR((BF117*1000-BF121*BF122)/BF123,0)</f>
        <v>0</v>
      </c>
      <c r="BG124" s="2356">
        <f>_xlfn.IFERROR((BG117*1000-BG121*BG122)/BG123,0)</f>
        <v>0</v>
      </c>
      <c r="BH124" s="2356">
        <f>_xlfn.IFERROR((BH117*1000-BH121*BH122)/BH123,0)</f>
        <v>0</v>
      </c>
      <c r="BI124" s="2356">
        <f>_xlfn.IFERROR((BI117*1000-BI121*BI122)/BI123,0)</f>
        <v>0</v>
      </c>
      <c r="BJ124" s="2356">
        <f>_xlfn.IFERROR((BJ117*1000-BJ121*BJ122)/BJ123,0)</f>
        <v>0</v>
      </c>
      <c r="BK124" s="2356">
        <f>_xlfn.IFERROR((BK117*1000-BK121*BK122)/BK123,0)</f>
        <v>0</v>
      </c>
      <c r="BL124" s="2356">
        <f>_xlfn.IFERROR((BL117*1000-BL121*BL122)/BL123,0)</f>
        <v>0</v>
      </c>
      <c r="BM124" s="2356">
        <f>_xlfn.IFERROR((BM117*1000-BM121*BM122)/BM123,0)</f>
        <v>0</v>
      </c>
      <c r="BN124" s="2356">
        <f>_xlfn.IFERROR((BN117*1000-BN121*BN122)/BN123,0)</f>
        <v>0</v>
      </c>
      <c r="BO124" s="2356">
        <f>_xlfn.IFERROR((BO117*1000-BO121*BO122)/BO123,0)</f>
        <v>0</v>
      </c>
      <c r="BP124" s="2356">
        <f>_xlfn.IFERROR((BP117*1000-BP121*BP122)/BP123,0)</f>
        <v>0</v>
      </c>
      <c r="BQ124" s="2356">
        <f>_xlfn.IFERROR((BQ117*1000-BQ121*BQ122)/BQ123,0)</f>
        <v>0</v>
      </c>
      <c r="BR124" s="2356">
        <f>_xlfn.IFERROR((BR117*1000-BR121*BR122)/BR123,0)</f>
        <v>0</v>
      </c>
      <c r="BS124" s="2356">
        <f>_xlfn.IFERROR((BS117*1000-BS121*BS122)/BS123,0)</f>
        <v>0</v>
      </c>
      <c r="BT124" s="2356">
        <f>_xlfn.IFERROR((BT117*1000-BT121*BT122)/BT123,0)</f>
        <v>0</v>
      </c>
      <c r="BU124" s="2356">
        <f>_xlfn.IFERROR((BU117*1000-BU121*BU122)/BU123,0)</f>
        <v>0</v>
      </c>
      <c r="BV124" s="2356">
        <f>_xlfn.IFERROR((BV117*1000-BV121*BV122)/BV123,0)</f>
        <v>0</v>
      </c>
      <c r="BW124" s="2356">
        <f>_xlfn.IFERROR((BW117*1000-BW121*BW122)/BW123,0)</f>
        <v>0</v>
      </c>
      <c r="BX124" s="804"/>
      <c r="BY124" s="804"/>
      <c r="BZ124" s="804"/>
      <c r="CA124" s="804"/>
      <c r="CB124" s="804"/>
      <c r="CC124" s="804"/>
      <c r="CD124" s="804"/>
      <c r="CE124" s="804"/>
      <c r="CF124" s="804"/>
      <c r="CG124" s="804"/>
      <c r="CH124" s="804"/>
      <c r="CI124" s="804"/>
      <c r="CJ124" s="804"/>
      <c r="CK124" s="804"/>
      <c r="CL124" s="804"/>
      <c r="CM124" s="804"/>
      <c r="CN124" s="804"/>
      <c r="CO124" s="804"/>
      <c r="CP124" s="804"/>
      <c r="CQ124" s="804"/>
      <c r="CR124" s="1897"/>
      <c r="CS124" s="1897"/>
      <c r="CT124" s="1897"/>
      <c r="CU124" s="286"/>
      <c r="CV124" s="1659"/>
      <c r="CW124" s="489" t="s">
        <v>2093</v>
      </c>
      <c r="CX124" s="1125"/>
      <c r="CY124" s="1125"/>
      <c r="CZ124" s="1126"/>
      <c r="DA124" s="1126"/>
      <c r="DB124" s="1506"/>
      <c r="DC124" s="1506"/>
      <c r="DD124" s="0" cm="1" t="str">
        <f t="array" ref="DD124:DD124">DD123</f>
        <v>ТЭ.42.31656254.0001</v>
      </c>
      <c r="DE124" s="1751"/>
      <c r="DF124" s="1751"/>
      <c r="DG124" s="1751"/>
      <c r="DH124" s="1751"/>
      <c r="DI124" s="1751"/>
      <c r="DJ124" s="0" t="s">
        <v>797</v>
      </c>
      <c r="DK124" s="1751"/>
      <c r="DL124" s="1751"/>
      <c r="DM124" s="0" t="s">
        <v>255</v>
      </c>
      <c r="DN124" s="1751"/>
      <c r="DO124" s="0" t="s">
        <v>303</v>
      </c>
      <c r="DP124" s="0" t="s">
        <v>1100</v>
      </c>
      <c r="DQ124" s="0" t="s">
        <v>1101</v>
      </c>
      <c r="DR124" s="1751"/>
    </row>
    <row s="1751" customFormat="1" customHeight="1" ht="14.25">
      <c r="A125" s="371"/>
      <c r="B125" s="1548"/>
      <c r="C125" s="1506"/>
      <c r="D125" s="1506"/>
      <c r="E125" s="180">
        <v>15</v>
      </c>
      <c r="F125" s="175" cm="1" t="str">
        <f t="array" ref="F125:F125">OFFSET(G125,-1,-1)</f>
        <v>1</v>
      </c>
      <c r="G125" s="1659"/>
      <c r="H125" s="1659"/>
      <c r="I125" s="1659"/>
      <c r="J125" s="1659"/>
      <c r="K125" s="1659"/>
      <c r="L125" s="1659"/>
      <c r="M125" s="1506"/>
      <c r="N125" s="1506"/>
      <c r="O125" s="1506"/>
      <c r="P125" s="1506"/>
      <c r="Q125" s="1506"/>
      <c r="R125" s="1506"/>
      <c r="S125" s="1506"/>
      <c r="T125" s="753" cm="1" t="str">
        <f t="array" ref="T125:T125">T124</f>
        <v>true</v>
      </c>
      <c r="U125" s="1548"/>
      <c r="V125" s="1548"/>
      <c r="W125" s="1548"/>
      <c r="X125" s="1548"/>
      <c r="Y125" s="1548"/>
      <c r="Z125" s="1548"/>
      <c r="AA125" s="286"/>
      <c r="AB125" s="836" t="str">
        <f>AB120&amp;".5"</f>
        <v>15.5</v>
      </c>
      <c r="AC125" s="842" t="s">
        <v>2094</v>
      </c>
      <c r="AD125" s="666" t="s">
        <v>495</v>
      </c>
      <c r="AE125" s="843">
        <f>_xlfn.IFERROR(AE124/AE122,0)</f>
        <v>0.976926051863646</v>
      </c>
      <c r="AF125" s="714"/>
      <c r="AG125" s="714"/>
      <c r="AH125" s="714"/>
      <c r="AI125" s="843">
        <f>_xlfn.IFERROR(AI124/AI122,0)</f>
        <v>1.14183697077196</v>
      </c>
      <c r="AJ125" s="843">
        <f>_xlfn.IFERROR(AJ124/AJ122,0)</f>
        <v>1.7848112904588</v>
      </c>
      <c r="AK125" s="843">
        <f>_xlfn.IFERROR(AK124/AK122,0)</f>
        <v>0</v>
      </c>
      <c r="AL125" s="843">
        <f>_xlfn.IFERROR(AL124/AL122,0)</f>
        <v>0</v>
      </c>
      <c r="AM125" s="843">
        <f>_xlfn.IFERROR(AM124/AM122,0)</f>
        <v>0</v>
      </c>
      <c r="AN125" s="843">
        <f>_xlfn.IFERROR(AN124/AN122,0)</f>
        <v>0</v>
      </c>
      <c r="AO125" s="843">
        <f>_xlfn.IFERROR(AO124/AO122,0)</f>
        <v>0</v>
      </c>
      <c r="AP125" s="843">
        <f>_xlfn.IFERROR(AP124/AP122,0)</f>
        <v>0</v>
      </c>
      <c r="AQ125" s="843">
        <f>_xlfn.IFERROR(AQ124/AQ122,0)</f>
        <v>0</v>
      </c>
      <c r="AR125" s="843">
        <f>_xlfn.IFERROR(AR124/AR122,0)</f>
        <v>0</v>
      </c>
      <c r="AS125" s="843">
        <f>_xlfn.IFERROR(AS124/AS122,0)</f>
        <v>0</v>
      </c>
      <c r="AT125" s="843">
        <f>_xlfn.IFERROR(AT124/AT122,0)</f>
        <v>0</v>
      </c>
      <c r="AU125" s="843">
        <f>_xlfn.IFERROR(AU124/AU122,0)</f>
        <v>0</v>
      </c>
      <c r="AV125" s="843">
        <f>_xlfn.IFERROR(AV124/AV122,0)</f>
        <v>0</v>
      </c>
      <c r="AW125" s="843">
        <f>_xlfn.IFERROR(AW124/AW122,0)</f>
        <v>0</v>
      </c>
      <c r="AX125" s="843">
        <f>_xlfn.IFERROR(AX124/AX122,0)</f>
        <v>0</v>
      </c>
      <c r="AY125" s="843">
        <f>_xlfn.IFERROR(AY124/AY122,0)</f>
        <v>0</v>
      </c>
      <c r="AZ125" s="843">
        <f>_xlfn.IFERROR(AZ124/AZ122,0)</f>
        <v>0</v>
      </c>
      <c r="BA125" s="843">
        <f>_xlfn.IFERROR(BA124/BA122,0)</f>
        <v>0</v>
      </c>
      <c r="BB125" s="843">
        <f>_xlfn.IFERROR(BB124/BB122,0)</f>
        <v>0</v>
      </c>
      <c r="BC125" s="843">
        <f>_xlfn.IFERROR(BC124/BC122,0)</f>
        <v>0</v>
      </c>
      <c r="BD125" s="843">
        <f>_xlfn.IFERROR(BD124/BD122,0)</f>
        <v>1.08710414196853</v>
      </c>
      <c r="BE125" s="843">
        <f>_xlfn.IFERROR(BE124/BE122,0)</f>
        <v>0</v>
      </c>
      <c r="BF125" s="843">
        <f>_xlfn.IFERROR(BF124/BF122,0)</f>
        <v>0</v>
      </c>
      <c r="BG125" s="843">
        <f>_xlfn.IFERROR(BG124/BG122,0)</f>
        <v>0</v>
      </c>
      <c r="BH125" s="843">
        <f>_xlfn.IFERROR(BH124/BH122,0)</f>
        <v>0</v>
      </c>
      <c r="BI125" s="843">
        <f>_xlfn.IFERROR(BI124/BI122,0)</f>
        <v>0</v>
      </c>
      <c r="BJ125" s="843">
        <f>_xlfn.IFERROR(BJ124/BJ122,0)</f>
        <v>0</v>
      </c>
      <c r="BK125" s="843">
        <f>_xlfn.IFERROR(BK124/BK122,0)</f>
        <v>0</v>
      </c>
      <c r="BL125" s="843">
        <f>_xlfn.IFERROR(BL124/BL122,0)</f>
        <v>0</v>
      </c>
      <c r="BM125" s="843">
        <f>_xlfn.IFERROR(BM124/BM122,0)</f>
        <v>0</v>
      </c>
      <c r="BN125" s="843">
        <f>_xlfn.IFERROR(BN124/BN122,0)</f>
        <v>0</v>
      </c>
      <c r="BO125" s="843">
        <f>_xlfn.IFERROR(BO124/BO122,0)</f>
        <v>0</v>
      </c>
      <c r="BP125" s="843">
        <f>_xlfn.IFERROR(BP124/BP122,0)</f>
        <v>0</v>
      </c>
      <c r="BQ125" s="843">
        <f>_xlfn.IFERROR(BQ124/BQ122,0)</f>
        <v>0</v>
      </c>
      <c r="BR125" s="843">
        <f>_xlfn.IFERROR(BR124/BR122,0)</f>
        <v>0</v>
      </c>
      <c r="BS125" s="843">
        <f>_xlfn.IFERROR(BS124/BS122,0)</f>
        <v>0</v>
      </c>
      <c r="BT125" s="843">
        <f>_xlfn.IFERROR(BT124/BT122,0)</f>
        <v>0</v>
      </c>
      <c r="BU125" s="843">
        <f>_xlfn.IFERROR(BU124/BU122,0)</f>
        <v>0</v>
      </c>
      <c r="BV125" s="843">
        <f>_xlfn.IFERROR(BV124/BV122,0)</f>
        <v>0</v>
      </c>
      <c r="BW125" s="843">
        <f>_xlfn.IFERROR(BW124/BW122,0)</f>
        <v>0</v>
      </c>
      <c r="BX125" s="804"/>
      <c r="BY125" s="804"/>
      <c r="BZ125" s="804"/>
      <c r="CA125" s="804"/>
      <c r="CB125" s="804"/>
      <c r="CC125" s="804"/>
      <c r="CD125" s="804"/>
      <c r="CE125" s="804"/>
      <c r="CF125" s="804"/>
      <c r="CG125" s="804"/>
      <c r="CH125" s="804"/>
      <c r="CI125" s="804"/>
      <c r="CJ125" s="804"/>
      <c r="CK125" s="804"/>
      <c r="CL125" s="804"/>
      <c r="CM125" s="804"/>
      <c r="CN125" s="804"/>
      <c r="CO125" s="804"/>
      <c r="CP125" s="804"/>
      <c r="CQ125" s="804"/>
      <c r="CR125" s="1897"/>
      <c r="CS125" s="1897"/>
      <c r="CT125" s="1897"/>
      <c r="CU125" s="286"/>
      <c r="CV125" s="1659"/>
      <c r="CW125" s="489" t="s">
        <v>2095</v>
      </c>
      <c r="CX125" s="1125"/>
      <c r="CY125" s="1125"/>
      <c r="CZ125" s="1126"/>
      <c r="DA125" s="1126"/>
      <c r="DB125" s="1506"/>
      <c r="DC125" s="1506"/>
      <c r="DD125" s="0" cm="1" t="str">
        <f t="array" ref="DD125:DD125">DD124</f>
        <v>ТЭ.42.31656254.0001</v>
      </c>
      <c r="DE125" s="1751"/>
      <c r="DF125" s="1751"/>
      <c r="DG125" s="1751"/>
      <c r="DH125" s="1751"/>
      <c r="DI125" s="1751"/>
      <c r="DJ125" s="1751"/>
      <c r="DK125" s="1751"/>
      <c r="DL125" s="1751"/>
      <c r="DM125" s="0" t="s">
        <v>2096</v>
      </c>
      <c r="DN125" s="1751"/>
      <c r="DO125" s="0" t="s">
        <v>303</v>
      </c>
      <c r="DP125" s="0" t="s">
        <v>931</v>
      </c>
      <c r="DQ125" s="0" t="s">
        <v>932</v>
      </c>
      <c r="DR125" s="1751"/>
    </row>
    <row s="1751" customFormat="1" customHeight="1" ht="14.25">
      <c r="A126" s="371"/>
      <c r="B126" s="1548"/>
      <c r="C126" s="1506"/>
      <c r="D126" s="1506"/>
      <c r="E126" s="180">
        <v>15</v>
      </c>
      <c r="F126" s="175" cm="1" t="str">
        <f t="array" ref="F126:F126">OFFSET(G126,-1,-1)</f>
        <v>1</v>
      </c>
      <c r="G126" s="1659"/>
      <c r="H126" s="1659"/>
      <c r="I126" s="1659"/>
      <c r="J126" s="1659"/>
      <c r="K126" s="1659"/>
      <c r="L126" s="1659"/>
      <c r="M126" s="1506"/>
      <c r="N126" s="1506"/>
      <c r="O126" s="1506"/>
      <c r="P126" s="1506"/>
      <c r="Q126" s="1506"/>
      <c r="R126" s="1506"/>
      <c r="S126" s="1506"/>
      <c r="T126" s="753" cm="1" t="str">
        <f t="array" ref="T126:T126">T125</f>
        <v>true</v>
      </c>
      <c r="U126" s="1548"/>
      <c r="V126" s="1548"/>
      <c r="W126" s="1548"/>
      <c r="X126" s="1548"/>
      <c r="Y126" s="1548"/>
      <c r="Z126" s="1548"/>
      <c r="AA126" s="286"/>
      <c r="AB126" s="836" t="str">
        <f>AB120&amp;".6"</f>
        <v>15.6</v>
      </c>
      <c r="AC126" s="842" t="s">
        <v>2097</v>
      </c>
      <c r="AD126" s="666" t="s">
        <v>1005</v>
      </c>
      <c r="AE126" s="746">
        <f>_xlfn.IFERROR(AE117*1000/AE120,0)</f>
        <v>1970.11179557381</v>
      </c>
      <c r="AF126" s="714"/>
      <c r="AG126" s="714"/>
      <c r="AH126" s="714"/>
      <c r="AI126" s="746">
        <f>_xlfn.IFERROR(AI117*1000/AI120,0)</f>
        <v>2035.96660244059</v>
      </c>
      <c r="AJ126" s="746">
        <f>_xlfn.IFERROR(AJ117*1000/AJ120,0)</f>
        <v>2970.45853418188</v>
      </c>
      <c r="AK126" s="746">
        <f>_xlfn.IFERROR(AK117*1000/AK120,0)</f>
        <v>0</v>
      </c>
      <c r="AL126" s="746">
        <f>_xlfn.IFERROR(AL117*1000/AL120,0)</f>
        <v>0</v>
      </c>
      <c r="AM126" s="746">
        <f>_xlfn.IFERROR(AM117*1000/AM120,0)</f>
        <v>0</v>
      </c>
      <c r="AN126" s="746">
        <f>_xlfn.IFERROR(AN117*1000/AN120,0)</f>
        <v>0</v>
      </c>
      <c r="AO126" s="746">
        <f>_xlfn.IFERROR(AO117*1000/AO120,0)</f>
        <v>0</v>
      </c>
      <c r="AP126" s="746">
        <f>_xlfn.IFERROR(AP117*1000/AP120,0)</f>
        <v>0</v>
      </c>
      <c r="AQ126" s="746">
        <f>_xlfn.IFERROR(AQ117*1000/AQ120,0)</f>
        <v>0</v>
      </c>
      <c r="AR126" s="746">
        <f>_xlfn.IFERROR(AR117*1000/AR120,0)</f>
        <v>0</v>
      </c>
      <c r="AS126" s="746">
        <f>_xlfn.IFERROR(AS117*1000/AS120,0)</f>
        <v>0</v>
      </c>
      <c r="AT126" s="746">
        <f>_xlfn.IFERROR(AT117*1000/AT120,0)</f>
        <v>0</v>
      </c>
      <c r="AU126" s="746">
        <f>_xlfn.IFERROR(AU117*1000/AU120,0)</f>
        <v>0</v>
      </c>
      <c r="AV126" s="746">
        <f>_xlfn.IFERROR(AV117*1000/AV120,0)</f>
        <v>0</v>
      </c>
      <c r="AW126" s="746">
        <f>_xlfn.IFERROR(AW117*1000/AW120,0)</f>
        <v>0</v>
      </c>
      <c r="AX126" s="746">
        <f>_xlfn.IFERROR(AX117*1000/AX120,0)</f>
        <v>0</v>
      </c>
      <c r="AY126" s="746">
        <f>_xlfn.IFERROR(AY117*1000/AY120,0)</f>
        <v>0</v>
      </c>
      <c r="AZ126" s="746">
        <f>_xlfn.IFERROR(AZ117*1000/AZ120,0)</f>
        <v>0</v>
      </c>
      <c r="BA126" s="746">
        <f>_xlfn.IFERROR(BA117*1000/BA120,0)</f>
        <v>0</v>
      </c>
      <c r="BB126" s="746">
        <f>_xlfn.IFERROR(BB117*1000/BB120,0)</f>
        <v>0</v>
      </c>
      <c r="BC126" s="746">
        <f>_xlfn.IFERROR(BC117*1000/BC120,0)</f>
        <v>0</v>
      </c>
      <c r="BD126" s="746">
        <f>_xlfn.IFERROR(BD117*1000/BD120,0)</f>
        <v>2304.19560509644</v>
      </c>
      <c r="BE126" s="746">
        <f>_xlfn.IFERROR(BE117*1000/BE120,0)</f>
        <v>0</v>
      </c>
      <c r="BF126" s="746">
        <f>_xlfn.IFERROR(BF117*1000/BF120,0)</f>
        <v>0</v>
      </c>
      <c r="BG126" s="746">
        <f>_xlfn.IFERROR(BG117*1000/BG120,0)</f>
        <v>0</v>
      </c>
      <c r="BH126" s="746">
        <f>_xlfn.IFERROR(BH117*1000/BH120,0)</f>
        <v>0</v>
      </c>
      <c r="BI126" s="746">
        <f>_xlfn.IFERROR(BI117*1000/BI120,0)</f>
        <v>0</v>
      </c>
      <c r="BJ126" s="746">
        <f>_xlfn.IFERROR(BJ117*1000/BJ120,0)</f>
        <v>0</v>
      </c>
      <c r="BK126" s="746">
        <f>_xlfn.IFERROR(BK117*1000/BK120,0)</f>
        <v>0</v>
      </c>
      <c r="BL126" s="746">
        <f>_xlfn.IFERROR(BL117*1000/BL120,0)</f>
        <v>0</v>
      </c>
      <c r="BM126" s="746">
        <f>_xlfn.IFERROR(BM117*1000/BM120,0)</f>
        <v>0</v>
      </c>
      <c r="BN126" s="746">
        <f>_xlfn.IFERROR(BN117*1000/BN120,0)</f>
        <v>0</v>
      </c>
      <c r="BO126" s="746">
        <f>_xlfn.IFERROR(BO117*1000/BO120,0)</f>
        <v>0</v>
      </c>
      <c r="BP126" s="746">
        <f>_xlfn.IFERROR(BP117*1000/BP120,0)</f>
        <v>0</v>
      </c>
      <c r="BQ126" s="746">
        <f>_xlfn.IFERROR(BQ117*1000/BQ120,0)</f>
        <v>0</v>
      </c>
      <c r="BR126" s="746">
        <f>_xlfn.IFERROR(BR117*1000/BR120,0)</f>
        <v>0</v>
      </c>
      <c r="BS126" s="746">
        <f>_xlfn.IFERROR(BS117*1000/BS120,0)</f>
        <v>0</v>
      </c>
      <c r="BT126" s="746">
        <f>_xlfn.IFERROR(BT117*1000/BT120,0)</f>
        <v>0</v>
      </c>
      <c r="BU126" s="746">
        <f>_xlfn.IFERROR(BU117*1000/BU120,0)</f>
        <v>0</v>
      </c>
      <c r="BV126" s="746">
        <f>_xlfn.IFERROR(BV117*1000/BV120,0)</f>
        <v>0</v>
      </c>
      <c r="BW126" s="746">
        <f>_xlfn.IFERROR(BW117*1000/BW120,0)</f>
        <v>0</v>
      </c>
      <c r="BX126" s="804"/>
      <c r="BY126" s="804"/>
      <c r="BZ126" s="804"/>
      <c r="CA126" s="804"/>
      <c r="CB126" s="804"/>
      <c r="CC126" s="804"/>
      <c r="CD126" s="804"/>
      <c r="CE126" s="804"/>
      <c r="CF126" s="804"/>
      <c r="CG126" s="804"/>
      <c r="CH126" s="804"/>
      <c r="CI126" s="804"/>
      <c r="CJ126" s="804"/>
      <c r="CK126" s="804"/>
      <c r="CL126" s="804"/>
      <c r="CM126" s="804"/>
      <c r="CN126" s="804"/>
      <c r="CO126" s="804"/>
      <c r="CP126" s="804"/>
      <c r="CQ126" s="804"/>
      <c r="CR126" s="1897"/>
      <c r="CS126" s="1897"/>
      <c r="CT126" s="1897"/>
      <c r="CU126" s="286"/>
      <c r="CV126" s="1659"/>
      <c r="CW126" s="489" t="s">
        <v>2098</v>
      </c>
      <c r="CX126" s="1125"/>
      <c r="CY126" s="1125"/>
      <c r="CZ126" s="1126"/>
      <c r="DA126" s="1126"/>
      <c r="DB126" s="1506"/>
      <c r="DC126" s="1506"/>
      <c r="DD126" s="0" cm="1" t="str">
        <f t="array" ref="DD126:DD126">DD125</f>
        <v>ТЭ.42.31656254.0001</v>
      </c>
      <c r="DE126" s="1751"/>
      <c r="DF126" s="1751"/>
      <c r="DG126" s="1751"/>
      <c r="DH126" s="1751"/>
      <c r="DI126" s="1751"/>
      <c r="DJ126" s="1751"/>
      <c r="DK126" s="1751"/>
      <c r="DL126" s="1751"/>
      <c r="DM126" s="0" t="s">
        <v>2099</v>
      </c>
      <c r="DN126" s="1751"/>
      <c r="DO126" s="0" t="s">
        <v>303</v>
      </c>
      <c r="DP126" s="0" t="s">
        <v>2100</v>
      </c>
      <c r="DQ126" s="0" t="s">
        <v>2101</v>
      </c>
      <c r="DR126" s="1751"/>
    </row>
    <row s="1751" customFormat="1" customHeight="1" ht="14.25" hidden="1">
      <c r="A127" s="371"/>
      <c r="B127" s="1548"/>
      <c r="C127" s="1506"/>
      <c r="D127" s="1506"/>
      <c r="E127" s="180">
        <v>15</v>
      </c>
      <c r="F127" s="175" cm="1" t="str">
        <f t="array" ref="F127:F127">OFFSET(G127,-1,-1)</f>
        <v>1</v>
      </c>
      <c r="G127" s="1659"/>
      <c r="H127" s="1659"/>
      <c r="I127" s="1659"/>
      <c r="J127" s="1659"/>
      <c r="K127" s="1659"/>
      <c r="L127" s="193" t="s">
        <v>2067</v>
      </c>
      <c r="M127" s="1506"/>
      <c r="N127" s="1506"/>
      <c r="O127" s="1506"/>
      <c r="P127" s="1506"/>
      <c r="Q127" s="1506"/>
      <c r="R127" s="1506"/>
      <c r="S127" s="1506"/>
      <c r="T127" s="753" cm="1" t="str">
        <f t="array" ref="T127:T127">T118</f>
        <v>false</v>
      </c>
      <c r="U127" s="1548"/>
      <c r="V127" s="1548"/>
      <c r="W127" s="1548"/>
      <c r="X127" s="1548"/>
      <c r="Y127" s="1548"/>
      <c r="Z127" s="1548"/>
      <c r="AA127" s="286"/>
      <c r="AB127" s="838">
        <v>16</v>
      </c>
      <c r="AC127" s="844" t="s">
        <v>2102</v>
      </c>
      <c r="AD127" s="845" t="s">
        <v>752</v>
      </c>
      <c r="AE127" s="695">
        <f>_xlfn.SUMIFS('Баланс Пр'!AE$27:AE$165,'Баланс Пр'!$F$27:$F$165,$F127,'Баланс Пр'!$AB$27:$AB$165,"10")</f>
        <v>0</v>
      </c>
      <c r="AF127" s="714"/>
      <c r="AG127" s="714"/>
      <c r="AH127" s="714"/>
      <c r="AI127" s="695">
        <f>_xlfn.SUMIFS('Баланс Пр'!AH$27:AH$165,'Баланс Пр'!$F$27:$F$165,$F127,'Баланс Пр'!$AB$27:$AB$165,"10")</f>
        <v>0</v>
      </c>
      <c r="AJ127" s="695">
        <f>_xlfn.SUMIFS('Баланс Пр'!AI$27:AI$165,'Баланс Пр'!$F$27:$F$165,$F127,'Баланс Пр'!$AB$27:$AB$165,"10")</f>
        <v>0</v>
      </c>
      <c r="AK127" s="695">
        <f>_xlfn.SUMIFS('Баланс Пр'!AJ$27:AJ$165,'Баланс Пр'!$F$27:$F$165,$F127,'Баланс Пр'!$AB$27:$AB$165,"10")</f>
        <v>0</v>
      </c>
      <c r="AL127" s="695">
        <f>_xlfn.SUMIFS('Баланс Пр'!AK$27:AK$165,'Баланс Пр'!$F$27:$F$165,$F127,'Баланс Пр'!$AB$27:$AB$165,"10")</f>
        <v>0</v>
      </c>
      <c r="AM127" s="695">
        <f>_xlfn.SUMIFS('Баланс Пр'!AL$27:AL$165,'Баланс Пр'!$F$27:$F$165,$F127,'Баланс Пр'!$AB$27:$AB$165,"10")</f>
        <v>0</v>
      </c>
      <c r="AN127" s="695">
        <f>_xlfn.SUMIFS('Баланс Пр'!AM$27:AM$165,'Баланс Пр'!$F$27:$F$165,$F127,'Баланс Пр'!$AB$27:$AB$165,"10")</f>
        <v>0</v>
      </c>
      <c r="AO127" s="695">
        <f>_xlfn.SUMIFS('Баланс Пр'!AN$27:AN$165,'Баланс Пр'!$F$27:$F$165,$F127,'Баланс Пр'!$AB$27:$AB$165,"10")</f>
        <v>0</v>
      </c>
      <c r="AP127" s="695">
        <f>_xlfn.SUMIFS('Баланс Пр'!AO$27:AO$165,'Баланс Пр'!$F$27:$F$165,$F127,'Баланс Пр'!$AB$27:$AB$165,"10")</f>
        <v>0</v>
      </c>
      <c r="AQ127" s="695">
        <f>_xlfn.SUMIFS('Баланс Пр'!AP$27:AP$165,'Баланс Пр'!$F$27:$F$165,$F127,'Баланс Пр'!$AB$27:$AB$165,"10")</f>
        <v>0</v>
      </c>
      <c r="AR127" s="695">
        <f>_xlfn.SUMIFS('Баланс Пр'!AQ$27:AQ$165,'Баланс Пр'!$F$27:$F$165,$F127,'Баланс Пр'!$AB$27:$AB$165,"10")</f>
        <v>0</v>
      </c>
      <c r="AS127" s="695">
        <f>_xlfn.SUMIFS('Баланс Пр'!AR$27:AR$165,'Баланс Пр'!$F$27:$F$165,$F127,'Баланс Пр'!$AB$27:$AB$165,"10")</f>
        <v>0</v>
      </c>
      <c r="AT127" s="695">
        <f>_xlfn.SUMIFS('Баланс Пр'!AS$27:AS$165,'Баланс Пр'!$F$27:$F$165,$F127,'Баланс Пр'!$AB$27:$AB$165,"10")</f>
        <v>0</v>
      </c>
      <c r="AU127" s="695">
        <f>_xlfn.SUMIFS('Баланс Пр'!AT$27:AT$165,'Баланс Пр'!$F$27:$F$165,$F127,'Баланс Пр'!$AB$27:$AB$165,"10")</f>
        <v>0</v>
      </c>
      <c r="AV127" s="695">
        <f>_xlfn.SUMIFS('Баланс Пр'!AU$27:AU$165,'Баланс Пр'!$F$27:$F$165,$F127,'Баланс Пр'!$AB$27:$AB$165,"10")</f>
        <v>0</v>
      </c>
      <c r="AW127" s="695">
        <f>_xlfn.SUMIFS('Баланс Пр'!AV$27:AV$165,'Баланс Пр'!$F$27:$F$165,$F127,'Баланс Пр'!$AB$27:$AB$165,"10")</f>
        <v>0</v>
      </c>
      <c r="AX127" s="695">
        <f>_xlfn.SUMIFS('Баланс Пр'!AW$27:AW$165,'Баланс Пр'!$F$27:$F$165,$F127,'Баланс Пр'!$AB$27:$AB$165,"10")</f>
        <v>0</v>
      </c>
      <c r="AY127" s="695">
        <f>_xlfn.SUMIFS('Баланс Пр'!AX$27:AX$165,'Баланс Пр'!$F$27:$F$165,$F127,'Баланс Пр'!$AB$27:$AB$165,"10")</f>
        <v>0</v>
      </c>
      <c r="AZ127" s="695">
        <f>_xlfn.SUMIFS('Баланс Пр'!AY$27:AY$165,'Баланс Пр'!$F$27:$F$165,$F127,'Баланс Пр'!$AB$27:$AB$165,"10")</f>
        <v>0</v>
      </c>
      <c r="BA127" s="695">
        <f>_xlfn.SUMIFS('Баланс Пр'!AZ$27:AZ$165,'Баланс Пр'!$F$27:$F$165,$F127,'Баланс Пр'!$AB$27:$AB$165,"10")</f>
        <v>0</v>
      </c>
      <c r="BB127" s="695">
        <f>_xlfn.SUMIFS('Баланс Пр'!BA$27:BA$165,'Баланс Пр'!$F$27:$F$165,$F127,'Баланс Пр'!$AB$27:$AB$165,"10")</f>
        <v>0</v>
      </c>
      <c r="BC127" s="695">
        <f>_xlfn.SUMIFS('Баланс Пр'!BB$27:BB$165,'Баланс Пр'!$F$27:$F$165,$F127,'Баланс Пр'!$AB$27:$AB$165,"10")</f>
        <v>0</v>
      </c>
      <c r="BD127" s="695">
        <f>_xlfn.SUMIFS('Баланс Пр'!BC$27:BC$165,'Баланс Пр'!$F$27:$F$165,$F127,'Баланс Пр'!$AB$27:$AB$165,"10")</f>
        <v>0</v>
      </c>
      <c r="BE127" s="695">
        <f>_xlfn.SUMIFS('Баланс Пр'!BD$27:BD$165,'Баланс Пр'!$F$27:$F$165,$F127,'Баланс Пр'!$AB$27:$AB$165,"10")</f>
        <v>0</v>
      </c>
      <c r="BF127" s="695">
        <f>_xlfn.SUMIFS('Баланс Пр'!BE$27:BE$165,'Баланс Пр'!$F$27:$F$165,$F127,'Баланс Пр'!$AB$27:$AB$165,"10")</f>
        <v>0</v>
      </c>
      <c r="BG127" s="695">
        <f>_xlfn.SUMIFS('Баланс Пр'!BF$27:BF$165,'Баланс Пр'!$F$27:$F$165,$F127,'Баланс Пр'!$AB$27:$AB$165,"10")</f>
        <v>0</v>
      </c>
      <c r="BH127" s="695">
        <f>_xlfn.SUMIFS('Баланс Пр'!BG$27:BG$165,'Баланс Пр'!$F$27:$F$165,$F127,'Баланс Пр'!$AB$27:$AB$165,"10")</f>
        <v>0</v>
      </c>
      <c r="BI127" s="695">
        <f>_xlfn.SUMIFS('Баланс Пр'!BH$27:BH$165,'Баланс Пр'!$F$27:$F$165,$F127,'Баланс Пр'!$AB$27:$AB$165,"10")</f>
        <v>0</v>
      </c>
      <c r="BJ127" s="695">
        <f>_xlfn.SUMIFS('Баланс Пр'!BI$27:BI$165,'Баланс Пр'!$F$27:$F$165,$F127,'Баланс Пр'!$AB$27:$AB$165,"10")</f>
        <v>0</v>
      </c>
      <c r="BK127" s="695">
        <f>_xlfn.SUMIFS('Баланс Пр'!BJ$27:BJ$165,'Баланс Пр'!$F$27:$F$165,$F127,'Баланс Пр'!$AB$27:$AB$165,"10")</f>
        <v>0</v>
      </c>
      <c r="BL127" s="695">
        <f>_xlfn.SUMIFS('Баланс Пр'!BK$27:BK$165,'Баланс Пр'!$F$27:$F$165,$F127,'Баланс Пр'!$AB$27:$AB$165,"10")</f>
        <v>0</v>
      </c>
      <c r="BM127" s="695">
        <f>_xlfn.SUMIFS('Баланс Пр'!BL$27:BL$165,'Баланс Пр'!$F$27:$F$165,$F127,'Баланс Пр'!$AB$27:$AB$165,"10")</f>
        <v>0</v>
      </c>
      <c r="BN127" s="695">
        <f>_xlfn.SUMIFS('Баланс Пр'!BM$27:BM$165,'Баланс Пр'!$F$27:$F$165,$F127,'Баланс Пр'!$AB$27:$AB$165,"10")</f>
        <v>0</v>
      </c>
      <c r="BO127" s="695">
        <f>_xlfn.SUMIFS('Баланс Пр'!BN$27:BN$165,'Баланс Пр'!$F$27:$F$165,$F127,'Баланс Пр'!$AB$27:$AB$165,"10")</f>
        <v>0</v>
      </c>
      <c r="BP127" s="695">
        <f>_xlfn.SUMIFS('Баланс Пр'!BO$27:BO$165,'Баланс Пр'!$F$27:$F$165,$F127,'Баланс Пр'!$AB$27:$AB$165,"10")</f>
        <v>0</v>
      </c>
      <c r="BQ127" s="695">
        <f>_xlfn.SUMIFS('Баланс Пр'!BP$27:BP$165,'Баланс Пр'!$F$27:$F$165,$F127,'Баланс Пр'!$AB$27:$AB$165,"10")</f>
        <v>0</v>
      </c>
      <c r="BR127" s="695">
        <f>_xlfn.SUMIFS('Баланс Пр'!BQ$27:BQ$165,'Баланс Пр'!$F$27:$F$165,$F127,'Баланс Пр'!$AB$27:$AB$165,"10")</f>
        <v>0</v>
      </c>
      <c r="BS127" s="695">
        <f>_xlfn.SUMIFS('Баланс Пр'!BR$27:BR$165,'Баланс Пр'!$F$27:$F$165,$F127,'Баланс Пр'!$AB$27:$AB$165,"10")</f>
        <v>0</v>
      </c>
      <c r="BT127" s="695">
        <f>_xlfn.SUMIFS('Баланс Пр'!BS$27:BS$165,'Баланс Пр'!$F$27:$F$165,$F127,'Баланс Пр'!$AB$27:$AB$165,"10")</f>
        <v>0</v>
      </c>
      <c r="BU127" s="695">
        <f>_xlfn.SUMIFS('Баланс Пр'!BT$27:BT$165,'Баланс Пр'!$F$27:$F$165,$F127,'Баланс Пр'!$AB$27:$AB$165,"10")</f>
        <v>0</v>
      </c>
      <c r="BV127" s="695">
        <f>_xlfn.SUMIFS('Баланс Пр'!BU$27:BU$165,'Баланс Пр'!$F$27:$F$165,$F127,'Баланс Пр'!$AB$27:$AB$165,"10")</f>
        <v>0</v>
      </c>
      <c r="BW127" s="695">
        <f>_xlfn.SUMIFS('Баланс Пр'!BV$27:BV$165,'Баланс Пр'!$F$27:$F$165,$F127,'Баланс Пр'!$AB$27:$AB$165,"10")</f>
        <v>0</v>
      </c>
      <c r="BX127" s="804"/>
      <c r="BY127" s="804"/>
      <c r="BZ127" s="804"/>
      <c r="CA127" s="804"/>
      <c r="CB127" s="804"/>
      <c r="CC127" s="804"/>
      <c r="CD127" s="804"/>
      <c r="CE127" s="804"/>
      <c r="CF127" s="804"/>
      <c r="CG127" s="804"/>
      <c r="CH127" s="804"/>
      <c r="CI127" s="804"/>
      <c r="CJ127" s="804"/>
      <c r="CK127" s="804"/>
      <c r="CL127" s="804"/>
      <c r="CM127" s="804"/>
      <c r="CN127" s="804"/>
      <c r="CO127" s="804"/>
      <c r="CP127" s="804"/>
      <c r="CQ127" s="804"/>
      <c r="CR127" s="83"/>
      <c r="CS127" s="83"/>
      <c r="CT127" s="83"/>
      <c r="CU127" s="286"/>
      <c r="CV127" s="1659"/>
      <c r="CW127" s="489" t="s">
        <v>753</v>
      </c>
      <c r="CX127" s="1125"/>
      <c r="CY127" s="1125"/>
      <c r="CZ127" s="1126"/>
      <c r="DA127" s="1126"/>
      <c r="DB127" s="1506"/>
      <c r="DC127" s="1506"/>
      <c r="DD127" s="0" cm="1" t="str">
        <f t="array" ref="DD127:DD127">DD126</f>
        <v>ТЭ.42.31656254.0001</v>
      </c>
      <c r="DE127" s="1751"/>
      <c r="DF127" s="1751"/>
      <c r="DG127" s="1751"/>
      <c r="DH127" s="1751"/>
      <c r="DI127" s="1751"/>
      <c r="DJ127" s="1751"/>
      <c r="DK127" s="1751"/>
      <c r="DL127" s="1751"/>
      <c r="DM127" s="0" t="s">
        <v>2103</v>
      </c>
      <c r="DN127" s="1751"/>
      <c r="DO127" s="0" t="s">
        <v>303</v>
      </c>
      <c r="DP127" s="0" t="s">
        <v>2104</v>
      </c>
      <c r="DQ127" s="0" t="s">
        <v>2105</v>
      </c>
      <c r="DR127" s="1751"/>
    </row>
    <row s="1751" customFormat="1" customHeight="1" ht="14.25" hidden="1">
      <c r="A128" s="371"/>
      <c r="B128" s="1548"/>
      <c r="C128" s="1506"/>
      <c r="D128" s="1506"/>
      <c r="E128" s="180">
        <v>15</v>
      </c>
      <c r="F128" s="175" cm="1" t="str">
        <f t="array" ref="F128:F128">OFFSET(G128,-1,-1)</f>
        <v>1</v>
      </c>
      <c r="G128" s="193" t="s">
        <v>2106</v>
      </c>
      <c r="H128" s="1659"/>
      <c r="I128" s="1659"/>
      <c r="J128" s="1659"/>
      <c r="K128" s="1659"/>
      <c r="L128" s="193" t="s">
        <v>2067</v>
      </c>
      <c r="M128" s="1506"/>
      <c r="N128" s="1506"/>
      <c r="O128" s="1506"/>
      <c r="P128" s="1506"/>
      <c r="Q128" s="1506"/>
      <c r="R128" s="1506"/>
      <c r="S128" s="1506"/>
      <c r="T128" s="753" cm="1" t="str">
        <f t="array" ref="T128:T128">T127</f>
        <v>false</v>
      </c>
      <c r="U128" s="1548"/>
      <c r="V128" s="1548"/>
      <c r="W128" s="1548"/>
      <c r="X128" s="1548"/>
      <c r="Y128" s="1548"/>
      <c r="Z128" s="1548"/>
      <c r="AA128" s="286"/>
      <c r="AB128" s="836" t="str">
        <f>AB127&amp;".1"</f>
        <v>16.1</v>
      </c>
      <c r="AC128" s="365" t="s">
        <v>2107</v>
      </c>
      <c r="AD128" s="846" t="s">
        <v>752</v>
      </c>
      <c r="AE128" s="132" cm="1" t="str">
        <f t="array" ref="AE128:AE128">AE127</f>
        <v>0</v>
      </c>
      <c r="AF128" s="714"/>
      <c r="AG128" s="714"/>
      <c r="AH128" s="714"/>
      <c r="AI128" s="132" cm="1" t="str">
        <f t="array" ref="AI128:AI128">AI127</f>
        <v>0</v>
      </c>
      <c r="AJ128" s="749" cm="1" t="str">
        <f t="array" ref="AJ128:AJ128">AJ127</f>
        <v>0</v>
      </c>
      <c r="AK128" s="132" cm="1" t="str">
        <f t="array" ref="AK128:AK128">AK127</f>
        <v>0</v>
      </c>
      <c r="AL128" s="132" cm="1" t="str">
        <f t="array" ref="AL128:AL128">AL127</f>
        <v>0</v>
      </c>
      <c r="AM128" s="132" cm="1" t="str">
        <f t="array" ref="AM128:AM128">AM127</f>
        <v>0</v>
      </c>
      <c r="AN128" s="132" cm="1" t="str">
        <f t="array" ref="AN128:AN128">AN127</f>
        <v>0</v>
      </c>
      <c r="AO128" s="132" cm="1" t="str">
        <f t="array" ref="AO128:AO128">AO127</f>
        <v>0</v>
      </c>
      <c r="AP128" s="132" cm="1" t="str">
        <f t="array" ref="AP128:AP128">AP127</f>
        <v>0</v>
      </c>
      <c r="AQ128" s="132" cm="1" t="str">
        <f t="array" ref="AQ128:AQ128">AQ127</f>
        <v>0</v>
      </c>
      <c r="AR128" s="132" cm="1" t="str">
        <f t="array" ref="AR128:AR128">AR127</f>
        <v>0</v>
      </c>
      <c r="AS128" s="132" cm="1" t="str">
        <f t="array" ref="AS128:AS128">AS127</f>
        <v>0</v>
      </c>
      <c r="AT128" s="132" cm="1" t="str">
        <f t="array" ref="AT128:AT128">AT127</f>
        <v>0</v>
      </c>
      <c r="AU128" s="132" cm="1" t="str">
        <f t="array" ref="AU128:AU128">AU127</f>
        <v>0</v>
      </c>
      <c r="AV128" s="132" cm="1" t="str">
        <f t="array" ref="AV128:AV128">AV127</f>
        <v>0</v>
      </c>
      <c r="AW128" s="132" cm="1" t="str">
        <f t="array" ref="AW128:AW128">AW127</f>
        <v>0</v>
      </c>
      <c r="AX128" s="132" cm="1" t="str">
        <f t="array" ref="AX128:AX128">AX127</f>
        <v>0</v>
      </c>
      <c r="AY128" s="132" cm="1" t="str">
        <f t="array" ref="AY128:AY128">AY127</f>
        <v>0</v>
      </c>
      <c r="AZ128" s="132" cm="1" t="str">
        <f t="array" ref="AZ128:AZ128">AZ127</f>
        <v>0</v>
      </c>
      <c r="BA128" s="132" cm="1" t="str">
        <f t="array" ref="BA128:BA128">BA127</f>
        <v>0</v>
      </c>
      <c r="BB128" s="132" cm="1" t="str">
        <f t="array" ref="BB128:BB128">BB127</f>
        <v>0</v>
      </c>
      <c r="BC128" s="132" cm="1" t="str">
        <f t="array" ref="BC128:BC128">BC127</f>
        <v>0</v>
      </c>
      <c r="BD128" s="749" cm="1" t="str">
        <f t="array" ref="BD128:BD128">BD127</f>
        <v>0</v>
      </c>
      <c r="BE128" s="132" cm="1" t="str">
        <f t="array" ref="BE128:BE128">BE127</f>
        <v>0</v>
      </c>
      <c r="BF128" s="132" cm="1" t="str">
        <f t="array" ref="BF128:BF128">BF127</f>
        <v>0</v>
      </c>
      <c r="BG128" s="132" cm="1" t="str">
        <f t="array" ref="BG128:BG128">BG127</f>
        <v>0</v>
      </c>
      <c r="BH128" s="132" cm="1" t="str">
        <f t="array" ref="BH128:BH128">BH127</f>
        <v>0</v>
      </c>
      <c r="BI128" s="132" cm="1" t="str">
        <f t="array" ref="BI128:BI128">BI127</f>
        <v>0</v>
      </c>
      <c r="BJ128" s="132" cm="1" t="str">
        <f t="array" ref="BJ128:BJ128">BJ127</f>
        <v>0</v>
      </c>
      <c r="BK128" s="132" cm="1" t="str">
        <f t="array" ref="BK128:BK128">BK127</f>
        <v>0</v>
      </c>
      <c r="BL128" s="132" cm="1" t="str">
        <f t="array" ref="BL128:BL128">BL127</f>
        <v>0</v>
      </c>
      <c r="BM128" s="132" cm="1" t="str">
        <f t="array" ref="BM128:BM128">BM127</f>
        <v>0</v>
      </c>
      <c r="BN128" s="132" cm="1" t="str">
        <f t="array" ref="BN128:BN128">BN127</f>
        <v>0</v>
      </c>
      <c r="BO128" s="132" cm="1" t="str">
        <f t="array" ref="BO128:BO128">BO127</f>
        <v>0</v>
      </c>
      <c r="BP128" s="132" cm="1" t="str">
        <f t="array" ref="BP128:BP128">BP127</f>
        <v>0</v>
      </c>
      <c r="BQ128" s="132" cm="1" t="str">
        <f t="array" ref="BQ128:BQ128">BQ127</f>
        <v>0</v>
      </c>
      <c r="BR128" s="132" cm="1" t="str">
        <f t="array" ref="BR128:BR128">BR127</f>
        <v>0</v>
      </c>
      <c r="BS128" s="132" cm="1" t="str">
        <f t="array" ref="BS128:BS128">BS127</f>
        <v>0</v>
      </c>
      <c r="BT128" s="132" cm="1" t="str">
        <f t="array" ref="BT128:BT128">BT127</f>
        <v>0</v>
      </c>
      <c r="BU128" s="132" cm="1" t="str">
        <f t="array" ref="BU128:BU128">BU127</f>
        <v>0</v>
      </c>
      <c r="BV128" s="132" cm="1" t="str">
        <f t="array" ref="BV128:BV128">BV127</f>
        <v>0</v>
      </c>
      <c r="BW128" s="132" cm="1" t="str">
        <f t="array" ref="BW128:BW128">BW127</f>
        <v>0</v>
      </c>
      <c r="BX128" s="804"/>
      <c r="BY128" s="804"/>
      <c r="BZ128" s="804"/>
      <c r="CA128" s="804"/>
      <c r="CB128" s="804"/>
      <c r="CC128" s="804"/>
      <c r="CD128" s="804"/>
      <c r="CE128" s="804"/>
      <c r="CF128" s="804"/>
      <c r="CG128" s="804"/>
      <c r="CH128" s="804"/>
      <c r="CI128" s="804"/>
      <c r="CJ128" s="804"/>
      <c r="CK128" s="804"/>
      <c r="CL128" s="804"/>
      <c r="CM128" s="804"/>
      <c r="CN128" s="804"/>
      <c r="CO128" s="804"/>
      <c r="CP128" s="804"/>
      <c r="CQ128" s="804"/>
      <c r="CR128" s="83"/>
      <c r="CS128" s="83"/>
      <c r="CT128" s="83"/>
      <c r="CU128" s="286"/>
      <c r="CV128" s="1659"/>
      <c r="CW128" s="489" t="s">
        <v>2108</v>
      </c>
      <c r="CX128" s="1125"/>
      <c r="CY128" s="1125"/>
      <c r="CZ128" s="1126"/>
      <c r="DA128" s="1126"/>
      <c r="DB128" s="1506"/>
      <c r="DC128" s="1506"/>
      <c r="DD128" s="0" cm="1" t="str">
        <f t="array" ref="DD128:DD128">DD127</f>
        <v>ТЭ.42.31656254.0001</v>
      </c>
      <c r="DE128" s="1751"/>
      <c r="DF128" s="1751"/>
      <c r="DG128" s="1751"/>
      <c r="DH128" s="1751"/>
      <c r="DI128" s="1751"/>
      <c r="DJ128" s="0" t="s">
        <v>796</v>
      </c>
      <c r="DK128" s="1751"/>
      <c r="DL128" s="0" t="s">
        <v>2084</v>
      </c>
      <c r="DM128" s="0" t="s">
        <v>449</v>
      </c>
      <c r="DN128" s="1751"/>
      <c r="DO128" s="0" t="s">
        <v>303</v>
      </c>
      <c r="DP128" s="0" t="s">
        <v>2104</v>
      </c>
      <c r="DQ128" s="0" t="s">
        <v>2105</v>
      </c>
      <c r="DR128" s="1751"/>
    </row>
    <row s="1751" customFormat="1" customHeight="1" ht="14.25" hidden="1">
      <c r="A129" s="371"/>
      <c r="B129" s="1548"/>
      <c r="C129" s="1506"/>
      <c r="D129" s="1506"/>
      <c r="E129" s="180">
        <v>15</v>
      </c>
      <c r="F129" s="175" cm="1" t="str">
        <f t="array" ref="F129:F129">OFFSET(G129,-1,-1)</f>
        <v>1</v>
      </c>
      <c r="G129" s="193" t="s">
        <v>2109</v>
      </c>
      <c r="H129" s="1659"/>
      <c r="I129" s="1659"/>
      <c r="J129" s="1659"/>
      <c r="K129" s="1659"/>
      <c r="L129" s="193" t="s">
        <v>2067</v>
      </c>
      <c r="M129" s="1506"/>
      <c r="N129" s="1506"/>
      <c r="O129" s="1506"/>
      <c r="P129" s="1506"/>
      <c r="Q129" s="1506"/>
      <c r="R129" s="1506"/>
      <c r="S129" s="1506"/>
      <c r="T129" s="753" cm="1" t="str">
        <f t="array" ref="T129:T129">T128</f>
        <v>false</v>
      </c>
      <c r="U129" s="1548"/>
      <c r="V129" s="1548"/>
      <c r="W129" s="1548"/>
      <c r="X129" s="1548"/>
      <c r="Y129" s="1548"/>
      <c r="Z129" s="1548"/>
      <c r="AA129" s="286"/>
      <c r="AB129" s="836" t="str">
        <f>AB127&amp;".2"</f>
        <v>16.2</v>
      </c>
      <c r="AC129" s="365" t="s">
        <v>2110</v>
      </c>
      <c r="AD129" s="846" t="s">
        <v>752</v>
      </c>
      <c r="AE129" s="132" cm="1" t="str">
        <f t="array" ref="AE129:AE129">AE127</f>
        <v>0</v>
      </c>
      <c r="AF129" s="714"/>
      <c r="AG129" s="714"/>
      <c r="AH129" s="714"/>
      <c r="AI129" s="132" cm="1" t="str">
        <f t="array" ref="AI129:AI129">AI127</f>
        <v>0</v>
      </c>
      <c r="AJ129" s="749" cm="1" t="str">
        <f t="array" ref="AJ129:AJ129">AJ127</f>
        <v>0</v>
      </c>
      <c r="AK129" s="132" cm="1" t="str">
        <f t="array" ref="AK129:AK129">AK127</f>
        <v>0</v>
      </c>
      <c r="AL129" s="132" cm="1" t="str">
        <f t="array" ref="AL129:AL129">AL127</f>
        <v>0</v>
      </c>
      <c r="AM129" s="132" cm="1" t="str">
        <f t="array" ref="AM129:AM129">AM127</f>
        <v>0</v>
      </c>
      <c r="AN129" s="132" cm="1" t="str">
        <f t="array" ref="AN129:AN129">AN127</f>
        <v>0</v>
      </c>
      <c r="AO129" s="132" cm="1" t="str">
        <f t="array" ref="AO129:AO129">AO127</f>
        <v>0</v>
      </c>
      <c r="AP129" s="132" cm="1" t="str">
        <f t="array" ref="AP129:AP129">AP127</f>
        <v>0</v>
      </c>
      <c r="AQ129" s="132" cm="1" t="str">
        <f t="array" ref="AQ129:AQ129">AQ127</f>
        <v>0</v>
      </c>
      <c r="AR129" s="132" cm="1" t="str">
        <f t="array" ref="AR129:AR129">AR127</f>
        <v>0</v>
      </c>
      <c r="AS129" s="132" cm="1" t="str">
        <f t="array" ref="AS129:AS129">AS127</f>
        <v>0</v>
      </c>
      <c r="AT129" s="132" cm="1" t="str">
        <f t="array" ref="AT129:AT129">AT127</f>
        <v>0</v>
      </c>
      <c r="AU129" s="132" cm="1" t="str">
        <f t="array" ref="AU129:AU129">AU127</f>
        <v>0</v>
      </c>
      <c r="AV129" s="132" cm="1" t="str">
        <f t="array" ref="AV129:AV129">AV127</f>
        <v>0</v>
      </c>
      <c r="AW129" s="132" cm="1" t="str">
        <f t="array" ref="AW129:AW129">AW127</f>
        <v>0</v>
      </c>
      <c r="AX129" s="132" cm="1" t="str">
        <f t="array" ref="AX129:AX129">AX127</f>
        <v>0</v>
      </c>
      <c r="AY129" s="132" cm="1" t="str">
        <f t="array" ref="AY129:AY129">AY127</f>
        <v>0</v>
      </c>
      <c r="AZ129" s="132" cm="1" t="str">
        <f t="array" ref="AZ129:AZ129">AZ127</f>
        <v>0</v>
      </c>
      <c r="BA129" s="132" cm="1" t="str">
        <f t="array" ref="BA129:BA129">BA127</f>
        <v>0</v>
      </c>
      <c r="BB129" s="132" cm="1" t="str">
        <f t="array" ref="BB129:BB129">BB127</f>
        <v>0</v>
      </c>
      <c r="BC129" s="132" cm="1" t="str">
        <f t="array" ref="BC129:BC129">BC127</f>
        <v>0</v>
      </c>
      <c r="BD129" s="749" cm="1" t="str">
        <f t="array" ref="BD129:BD129">BD127</f>
        <v>0</v>
      </c>
      <c r="BE129" s="132" cm="1" t="str">
        <f t="array" ref="BE129:BE129">BE127</f>
        <v>0</v>
      </c>
      <c r="BF129" s="132" cm="1" t="str">
        <f t="array" ref="BF129:BF129">BF127</f>
        <v>0</v>
      </c>
      <c r="BG129" s="132" cm="1" t="str">
        <f t="array" ref="BG129:BG129">BG127</f>
        <v>0</v>
      </c>
      <c r="BH129" s="132" cm="1" t="str">
        <f t="array" ref="BH129:BH129">BH127</f>
        <v>0</v>
      </c>
      <c r="BI129" s="132" cm="1" t="str">
        <f t="array" ref="BI129:BI129">BI127</f>
        <v>0</v>
      </c>
      <c r="BJ129" s="132" cm="1" t="str">
        <f t="array" ref="BJ129:BJ129">BJ127</f>
        <v>0</v>
      </c>
      <c r="BK129" s="132" cm="1" t="str">
        <f t="array" ref="BK129:BK129">BK127</f>
        <v>0</v>
      </c>
      <c r="BL129" s="132" cm="1" t="str">
        <f t="array" ref="BL129:BL129">BL127</f>
        <v>0</v>
      </c>
      <c r="BM129" s="132" cm="1" t="str">
        <f t="array" ref="BM129:BM129">BM127</f>
        <v>0</v>
      </c>
      <c r="BN129" s="132" cm="1" t="str">
        <f t="array" ref="BN129:BN129">BN127</f>
        <v>0</v>
      </c>
      <c r="BO129" s="132" cm="1" t="str">
        <f t="array" ref="BO129:BO129">BO127</f>
        <v>0</v>
      </c>
      <c r="BP129" s="132" cm="1" t="str">
        <f t="array" ref="BP129:BP129">BP127</f>
        <v>0</v>
      </c>
      <c r="BQ129" s="132" cm="1" t="str">
        <f t="array" ref="BQ129:BQ129">BQ127</f>
        <v>0</v>
      </c>
      <c r="BR129" s="132" cm="1" t="str">
        <f t="array" ref="BR129:BR129">BR127</f>
        <v>0</v>
      </c>
      <c r="BS129" s="132" cm="1" t="str">
        <f t="array" ref="BS129:BS129">BS127</f>
        <v>0</v>
      </c>
      <c r="BT129" s="132" cm="1" t="str">
        <f t="array" ref="BT129:BT129">BT127</f>
        <v>0</v>
      </c>
      <c r="BU129" s="132" cm="1" t="str">
        <f t="array" ref="BU129:BU129">BU127</f>
        <v>0</v>
      </c>
      <c r="BV129" s="132" cm="1" t="str">
        <f t="array" ref="BV129:BV129">BV127</f>
        <v>0</v>
      </c>
      <c r="BW129" s="132" cm="1" t="str">
        <f t="array" ref="BW129:BW129">BW127</f>
        <v>0</v>
      </c>
      <c r="BX129" s="804"/>
      <c r="BY129" s="804"/>
      <c r="BZ129" s="804"/>
      <c r="CA129" s="804"/>
      <c r="CB129" s="804"/>
      <c r="CC129" s="804"/>
      <c r="CD129" s="804"/>
      <c r="CE129" s="804"/>
      <c r="CF129" s="804"/>
      <c r="CG129" s="804"/>
      <c r="CH129" s="804"/>
      <c r="CI129" s="804"/>
      <c r="CJ129" s="804"/>
      <c r="CK129" s="804"/>
      <c r="CL129" s="804"/>
      <c r="CM129" s="804"/>
      <c r="CN129" s="804"/>
      <c r="CO129" s="804"/>
      <c r="CP129" s="804"/>
      <c r="CQ129" s="804"/>
      <c r="CR129" s="83"/>
      <c r="CS129" s="83"/>
      <c r="CT129" s="83"/>
      <c r="CU129" s="286"/>
      <c r="CV129" s="1659"/>
      <c r="CW129" s="489" t="s">
        <v>2111</v>
      </c>
      <c r="CX129" s="1125"/>
      <c r="CY129" s="1125"/>
      <c r="CZ129" s="1126"/>
      <c r="DA129" s="1126"/>
      <c r="DB129" s="1506"/>
      <c r="DC129" s="1506"/>
      <c r="DD129" s="0" cm="1" t="str">
        <f t="array" ref="DD129:DD129">DD128</f>
        <v>ТЭ.42.31656254.0001</v>
      </c>
      <c r="DE129" s="1751"/>
      <c r="DF129" s="1751"/>
      <c r="DG129" s="1751"/>
      <c r="DH129" s="1751"/>
      <c r="DI129" s="1751"/>
      <c r="DJ129" s="0" t="s">
        <v>797</v>
      </c>
      <c r="DK129" s="1751"/>
      <c r="DL129" s="1751"/>
      <c r="DM129" s="0" t="s">
        <v>449</v>
      </c>
      <c r="DN129" s="1751"/>
      <c r="DO129" s="0" t="s">
        <v>303</v>
      </c>
      <c r="DP129" s="0" t="s">
        <v>2104</v>
      </c>
      <c r="DQ129" s="0" t="s">
        <v>2105</v>
      </c>
      <c r="DR129" s="1751"/>
    </row>
    <row s="1751" customFormat="1" customHeight="1" ht="14.25" hidden="1">
      <c r="A130" s="371"/>
      <c r="B130" s="1548"/>
      <c r="C130" s="1506"/>
      <c r="D130" s="1506"/>
      <c r="E130" s="180">
        <v>15</v>
      </c>
      <c r="F130" s="175" cm="1" t="str">
        <f t="array" ref="F130:F130">OFFSET(G130,-1,-1)</f>
        <v>1</v>
      </c>
      <c r="G130" s="1659"/>
      <c r="H130" s="1659"/>
      <c r="I130" s="1659"/>
      <c r="J130" s="1659"/>
      <c r="K130" s="1659"/>
      <c r="L130" s="193" t="s">
        <v>2067</v>
      </c>
      <c r="M130" s="1506"/>
      <c r="N130" s="1506"/>
      <c r="O130" s="1506"/>
      <c r="P130" s="1506"/>
      <c r="Q130" s="1506"/>
      <c r="R130" s="1506"/>
      <c r="S130" s="1506"/>
      <c r="T130" s="753" cm="1" t="str">
        <f t="array" ref="T130:T130">T129</f>
        <v>false</v>
      </c>
      <c r="U130" s="1548"/>
      <c r="V130" s="1548"/>
      <c r="W130" s="1548"/>
      <c r="X130" s="1548"/>
      <c r="Y130" s="1548"/>
      <c r="Z130" s="1548"/>
      <c r="AA130" s="286"/>
      <c r="AB130" s="641">
        <v>17</v>
      </c>
      <c r="AC130" s="847" t="s">
        <v>2112</v>
      </c>
      <c r="AD130" s="848"/>
      <c r="AE130" s="714"/>
      <c r="AF130" s="714"/>
      <c r="AG130" s="714"/>
      <c r="AH130" s="714"/>
      <c r="AI130" s="714"/>
      <c r="AJ130" s="714"/>
      <c r="AK130" s="714"/>
      <c r="AL130" s="714"/>
      <c r="AM130" s="714"/>
      <c r="AN130" s="714"/>
      <c r="AO130" s="714"/>
      <c r="AP130" s="714"/>
      <c r="AQ130" s="714"/>
      <c r="AR130" s="714"/>
      <c r="AS130" s="714"/>
      <c r="AT130" s="714"/>
      <c r="AU130" s="714"/>
      <c r="AV130" s="714"/>
      <c r="AW130" s="714"/>
      <c r="AX130" s="714"/>
      <c r="AY130" s="714"/>
      <c r="AZ130" s="714"/>
      <c r="BA130" s="714"/>
      <c r="BB130" s="714"/>
      <c r="BC130" s="714"/>
      <c r="BD130" s="714"/>
      <c r="BE130" s="714"/>
      <c r="BF130" s="714"/>
      <c r="BG130" s="714"/>
      <c r="BH130" s="714"/>
      <c r="BI130" s="714"/>
      <c r="BJ130" s="714"/>
      <c r="BK130" s="714"/>
      <c r="BL130" s="714"/>
      <c r="BM130" s="714"/>
      <c r="BN130" s="714"/>
      <c r="BO130" s="714"/>
      <c r="BP130" s="714"/>
      <c r="BQ130" s="714"/>
      <c r="BR130" s="714"/>
      <c r="BS130" s="714"/>
      <c r="BT130" s="714"/>
      <c r="BU130" s="714"/>
      <c r="BV130" s="714"/>
      <c r="BW130" s="714"/>
      <c r="BX130" s="804"/>
      <c r="BY130" s="804"/>
      <c r="BZ130" s="804"/>
      <c r="CA130" s="804"/>
      <c r="CB130" s="804"/>
      <c r="CC130" s="804"/>
      <c r="CD130" s="804"/>
      <c r="CE130" s="804"/>
      <c r="CF130" s="804"/>
      <c r="CG130" s="804"/>
      <c r="CH130" s="804"/>
      <c r="CI130" s="804"/>
      <c r="CJ130" s="804"/>
      <c r="CK130" s="804"/>
      <c r="CL130" s="804"/>
      <c r="CM130" s="804"/>
      <c r="CN130" s="804"/>
      <c r="CO130" s="804"/>
      <c r="CP130" s="804"/>
      <c r="CQ130" s="804"/>
      <c r="CR130" s="83"/>
      <c r="CS130" s="83"/>
      <c r="CT130" s="83"/>
      <c r="CU130" s="286"/>
      <c r="CV130" s="1659"/>
      <c r="CW130" s="489" t="s">
        <v>2113</v>
      </c>
      <c r="CX130" s="1125"/>
      <c r="CY130" s="1125"/>
      <c r="CZ130" s="1126"/>
      <c r="DA130" s="1126"/>
      <c r="DB130" s="1506"/>
      <c r="DC130" s="1506"/>
      <c r="DD130" s="0" cm="1" t="str">
        <f t="array" ref="DD130:DD130">DD129</f>
        <v>ТЭ.42.31656254.0001</v>
      </c>
      <c r="DE130" s="1751"/>
      <c r="DF130" s="1751"/>
      <c r="DG130" s="1751"/>
      <c r="DH130" s="1751"/>
      <c r="DI130" s="1751"/>
      <c r="DJ130" s="1751"/>
      <c r="DK130" s="1751"/>
      <c r="DL130" s="1751"/>
      <c r="DM130" s="0" t="s">
        <v>2114</v>
      </c>
      <c r="DN130" s="1751"/>
      <c r="DO130" s="0" t="s">
        <v>176</v>
      </c>
      <c r="DP130" s="1751"/>
      <c r="DQ130" s="1751"/>
      <c r="DR130" s="1751"/>
    </row>
    <row s="1751" customFormat="1" customHeight="1" ht="14.25" hidden="1">
      <c r="A131" s="371"/>
      <c r="B131" s="1548"/>
      <c r="C131" s="1506"/>
      <c r="D131" s="1506"/>
      <c r="E131" s="180">
        <v>15</v>
      </c>
      <c r="F131" s="175" cm="1" t="str">
        <f t="array" ref="F131:F131">OFFSET(G131,-1,-1)</f>
        <v>1</v>
      </c>
      <c r="G131" s="193" t="s">
        <v>2115</v>
      </c>
      <c r="H131" s="1659"/>
      <c r="I131" s="1659"/>
      <c r="J131" s="1659"/>
      <c r="K131" s="1659"/>
      <c r="L131" s="193" t="s">
        <v>2067</v>
      </c>
      <c r="M131" s="1506"/>
      <c r="N131" s="1506"/>
      <c r="O131" s="1506"/>
      <c r="P131" s="1506"/>
      <c r="Q131" s="1506"/>
      <c r="R131" s="1506"/>
      <c r="S131" s="1506"/>
      <c r="T131" s="753" cm="1" t="str">
        <f t="array" ref="T131:T131">T130</f>
        <v>false</v>
      </c>
      <c r="U131" s="1548"/>
      <c r="V131" s="1548"/>
      <c r="W131" s="1548"/>
      <c r="X131" s="1548"/>
      <c r="Y131" s="1548"/>
      <c r="Z131" s="1548"/>
      <c r="AA131" s="286"/>
      <c r="AB131" s="836" t="str">
        <f>AB130&amp;".1"</f>
        <v>17.1</v>
      </c>
      <c r="AC131" s="537" t="s">
        <v>2116</v>
      </c>
      <c r="AD131" s="333" t="s">
        <v>1005</v>
      </c>
      <c r="AE131" s="132"/>
      <c r="AF131" s="714"/>
      <c r="AG131" s="714"/>
      <c r="AH131" s="714"/>
      <c r="AI131" s="132">
        <f>MIN(AE132,_xlfn.IFERROR(AI118*1000/AI120,0))</f>
        <v>633.055020338257</v>
      </c>
      <c r="AJ131" s="749">
        <f>MIN(AI132,_xlfn.IFERROR(AJ118*1000/AJ120,0))</f>
        <v>633.055020338261</v>
      </c>
      <c r="AK131" s="132">
        <f>MIN(AJ132,_xlfn.IFERROR(AK118*1000/AK120,0))</f>
        <v>0</v>
      </c>
      <c r="AL131" s="132">
        <f>MIN(AK132,_xlfn.IFERROR(AL118*1000/AL120,0))</f>
        <v>0</v>
      </c>
      <c r="AM131" s="132">
        <f>MIN(AL132,_xlfn.IFERROR(AM118*1000/AM120,0))</f>
        <v>0</v>
      </c>
      <c r="AN131" s="132">
        <f>MIN(AM132,_xlfn.IFERROR(AN118*1000/AN120,0))</f>
        <v>0</v>
      </c>
      <c r="AO131" s="132">
        <f>MIN(AN132,_xlfn.IFERROR(AO118*1000/AO120,0))</f>
        <v>0</v>
      </c>
      <c r="AP131" s="132">
        <f>MIN(AO132,_xlfn.IFERROR(AP118*1000/AP120,0))</f>
        <v>0</v>
      </c>
      <c r="AQ131" s="132">
        <f>MIN(AP132,_xlfn.IFERROR(AQ118*1000/AQ120,0))</f>
        <v>0</v>
      </c>
      <c r="AR131" s="132">
        <f>MIN(AQ132,_xlfn.IFERROR(AR118*1000/AR120,0))</f>
        <v>0</v>
      </c>
      <c r="AS131" s="132">
        <f>MIN(AR132,_xlfn.IFERROR(AS118*1000/AS120,0))</f>
        <v>0</v>
      </c>
      <c r="AT131" s="132">
        <f>MIN(AS132,_xlfn.IFERROR(AT118*1000/AT120,0))</f>
        <v>0</v>
      </c>
      <c r="AU131" s="132">
        <f>MIN(AT132,_xlfn.IFERROR(AU118*1000/AU120,0))</f>
        <v>0</v>
      </c>
      <c r="AV131" s="132">
        <f>MIN(AU132,_xlfn.IFERROR(AV118*1000/AV120,0))</f>
        <v>0</v>
      </c>
      <c r="AW131" s="132">
        <f>MIN(AV132,_xlfn.IFERROR(AW118*1000/AW120,0))</f>
        <v>0</v>
      </c>
      <c r="AX131" s="132">
        <f>MIN(AW132,_xlfn.IFERROR(AX118*1000/AX120,0))</f>
        <v>0</v>
      </c>
      <c r="AY131" s="132">
        <f>MIN(AX132,_xlfn.IFERROR(AY118*1000/AY120,0))</f>
        <v>0</v>
      </c>
      <c r="AZ131" s="132">
        <f>MIN(AY132,_xlfn.IFERROR(AZ118*1000/AZ120,0))</f>
        <v>0</v>
      </c>
      <c r="BA131" s="132">
        <f>MIN(AZ132,_xlfn.IFERROR(BA118*1000/BA120,0))</f>
        <v>0</v>
      </c>
      <c r="BB131" s="132">
        <f>MIN(BA132,_xlfn.IFERROR(BB118*1000/BB120,0))</f>
        <v>0</v>
      </c>
      <c r="BC131" s="132">
        <f>MIN(BB132,_xlfn.IFERROR(BC118*1000/BC120,0))</f>
        <v>0</v>
      </c>
      <c r="BD131" s="749">
        <f>MIN(AI132,_xlfn.IFERROR(BD118*1000/BD120,0))</f>
        <v>633.055020338261</v>
      </c>
      <c r="BE131" s="132">
        <f>MIN(BD132,_xlfn.IFERROR(BE118*1000/BE120,0))</f>
        <v>0</v>
      </c>
      <c r="BF131" s="132">
        <f>MIN(BE132,_xlfn.IFERROR(BF118*1000/BF120,0))</f>
        <v>0</v>
      </c>
      <c r="BG131" s="132">
        <f>MIN(BF132,_xlfn.IFERROR(BG118*1000/BG120,0))</f>
        <v>0</v>
      </c>
      <c r="BH131" s="132">
        <f>MIN(BG132,_xlfn.IFERROR(BH118*1000/BH120,0))</f>
        <v>0</v>
      </c>
      <c r="BI131" s="132">
        <f>MIN(BH132,_xlfn.IFERROR(BI118*1000/BI120,0))</f>
        <v>0</v>
      </c>
      <c r="BJ131" s="132">
        <f>MIN(BI132,_xlfn.IFERROR(BJ118*1000/BJ120,0))</f>
        <v>0</v>
      </c>
      <c r="BK131" s="132">
        <f>MIN(BJ132,_xlfn.IFERROR(BK118*1000/BK120,0))</f>
        <v>0</v>
      </c>
      <c r="BL131" s="132">
        <f>MIN(BK132,_xlfn.IFERROR(BL118*1000/BL120,0))</f>
        <v>0</v>
      </c>
      <c r="BM131" s="132">
        <f>MIN(BL132,_xlfn.IFERROR(BM118*1000/BM120,0))</f>
        <v>0</v>
      </c>
      <c r="BN131" s="132">
        <f>MIN(BM132,_xlfn.IFERROR(BN118*1000/BN120,0))</f>
        <v>0</v>
      </c>
      <c r="BO131" s="132">
        <f>MIN(BN132,_xlfn.IFERROR(BO118*1000/BO120,0))</f>
        <v>0</v>
      </c>
      <c r="BP131" s="132">
        <f>MIN(BO132,_xlfn.IFERROR(BP118*1000/BP120,0))</f>
        <v>0</v>
      </c>
      <c r="BQ131" s="132">
        <f>MIN(BP132,_xlfn.IFERROR(BQ118*1000/BQ120,0))</f>
        <v>0</v>
      </c>
      <c r="BR131" s="132">
        <f>MIN(BQ132,_xlfn.IFERROR(BR118*1000/BR120,0))</f>
        <v>0</v>
      </c>
      <c r="BS131" s="132">
        <f>MIN(BR132,_xlfn.IFERROR(BS118*1000/BS120,0))</f>
        <v>0</v>
      </c>
      <c r="BT131" s="132">
        <f>MIN(BS132,_xlfn.IFERROR(BT118*1000/BT120,0))</f>
        <v>0</v>
      </c>
      <c r="BU131" s="132">
        <f>MIN(BT132,_xlfn.IFERROR(BU118*1000/BU120,0))</f>
        <v>0</v>
      </c>
      <c r="BV131" s="132">
        <f>MIN(BU132,_xlfn.IFERROR(BV118*1000/BV120,0))</f>
        <v>0</v>
      </c>
      <c r="BW131" s="132">
        <f>MIN(BV132,_xlfn.IFERROR(BW118*1000/BW120,0))</f>
        <v>0</v>
      </c>
      <c r="BX131" s="804"/>
      <c r="BY131" s="804"/>
      <c r="BZ131" s="804"/>
      <c r="CA131" s="804"/>
      <c r="CB131" s="804"/>
      <c r="CC131" s="804"/>
      <c r="CD131" s="804"/>
      <c r="CE131" s="804"/>
      <c r="CF131" s="804"/>
      <c r="CG131" s="804"/>
      <c r="CH131" s="804"/>
      <c r="CI131" s="804"/>
      <c r="CJ131" s="804"/>
      <c r="CK131" s="804"/>
      <c r="CL131" s="804"/>
      <c r="CM131" s="804"/>
      <c r="CN131" s="804"/>
      <c r="CO131" s="804"/>
      <c r="CP131" s="804"/>
      <c r="CQ131" s="804"/>
      <c r="CR131" s="83"/>
      <c r="CS131" s="83"/>
      <c r="CT131" s="83"/>
      <c r="CU131" s="286"/>
      <c r="CV131" s="1659"/>
      <c r="CW131" s="489" t="s">
        <v>2117</v>
      </c>
      <c r="CX131" s="1125"/>
      <c r="CY131" s="1125"/>
      <c r="CZ131" s="1126"/>
      <c r="DA131" s="1126"/>
      <c r="DB131" s="1506"/>
      <c r="DC131" s="1506"/>
      <c r="DD131" s="0" cm="1" t="str">
        <f t="array" ref="DD131:DD131">DD130</f>
        <v>ТЭ.42.31656254.0001</v>
      </c>
      <c r="DE131" s="1751"/>
      <c r="DF131" s="1751"/>
      <c r="DG131" s="1751"/>
      <c r="DH131" s="1751"/>
      <c r="DI131" s="1751"/>
      <c r="DJ131" s="0" t="s">
        <v>796</v>
      </c>
      <c r="DK131" s="1751"/>
      <c r="DL131" s="0" t="s">
        <v>2084</v>
      </c>
      <c r="DM131" s="0" t="s">
        <v>883</v>
      </c>
      <c r="DN131" s="1751"/>
      <c r="DO131" s="0" t="s">
        <v>303</v>
      </c>
      <c r="DP131" s="0" t="s">
        <v>2118</v>
      </c>
      <c r="DQ131" s="0" t="s">
        <v>2119</v>
      </c>
      <c r="DR131" s="1751"/>
    </row>
    <row s="1751" customFormat="1" customHeight="1" ht="14.25" hidden="1">
      <c r="A132" s="371"/>
      <c r="B132" s="1548"/>
      <c r="C132" s="1506"/>
      <c r="D132" s="1506"/>
      <c r="E132" s="180">
        <v>15</v>
      </c>
      <c r="F132" s="175" cm="1" t="str">
        <f t="array" ref="F132:F132">OFFSET(G132,-1,-1)</f>
        <v>1</v>
      </c>
      <c r="G132" s="193" t="s">
        <v>2120</v>
      </c>
      <c r="H132" s="1659"/>
      <c r="I132" s="1659"/>
      <c r="J132" s="1659"/>
      <c r="K132" s="1659"/>
      <c r="L132" s="193" t="s">
        <v>2067</v>
      </c>
      <c r="M132" s="1506"/>
      <c r="N132" s="1506"/>
      <c r="O132" s="1506"/>
      <c r="P132" s="1506"/>
      <c r="Q132" s="1506"/>
      <c r="R132" s="1506"/>
      <c r="S132" s="1506"/>
      <c r="T132" s="753" cm="1" t="str">
        <f t="array" ref="T132:T132">T131</f>
        <v>false</v>
      </c>
      <c r="U132" s="1548"/>
      <c r="V132" s="1548"/>
      <c r="W132" s="1548"/>
      <c r="X132" s="1548"/>
      <c r="Y132" s="1548"/>
      <c r="Z132" s="1548"/>
      <c r="AA132" s="286"/>
      <c r="AB132" s="836" t="str">
        <f>AB130&amp;".2"</f>
        <v>17.2</v>
      </c>
      <c r="AC132" s="537" t="s">
        <v>2121</v>
      </c>
      <c r="AD132" s="333" t="s">
        <v>1005</v>
      </c>
      <c r="AE132" s="746">
        <f>_xlfn.IFERROR((AE118*1000-AE121*AE131)/AE123,0)</f>
        <v>1280.28383172833</v>
      </c>
      <c r="AF132" s="714"/>
      <c r="AG132" s="714"/>
      <c r="AH132" s="714"/>
      <c r="AI132" s="746">
        <f>_xlfn.IFERROR((AI118*1000-AI121*AI131)/AI123,0)</f>
        <v>633.055020338261</v>
      </c>
      <c r="AJ132" s="746">
        <f>_xlfn.IFERROR((AJ118*1000-AJ121*AJ131)/AJ123,0)</f>
        <v>1447.26820674393</v>
      </c>
      <c r="AK132" s="746">
        <f>_xlfn.IFERROR((AK118*1000-AK121*AK131)/AK123,0)</f>
        <v>0</v>
      </c>
      <c r="AL132" s="746">
        <f>_xlfn.IFERROR((AL118*1000-AL121*AL131)/AL123,0)</f>
        <v>0</v>
      </c>
      <c r="AM132" s="746">
        <f>_xlfn.IFERROR((AM118*1000-AM121*AM131)/AM123,0)</f>
        <v>0</v>
      </c>
      <c r="AN132" s="746">
        <f>_xlfn.IFERROR((AN118*1000-AN121*AN131)/AN123,0)</f>
        <v>0</v>
      </c>
      <c r="AO132" s="746">
        <f>_xlfn.IFERROR((AO118*1000-AO121*AO131)/AO123,0)</f>
        <v>0</v>
      </c>
      <c r="AP132" s="746">
        <f>_xlfn.IFERROR((AP118*1000-AP121*AP131)/AP123,0)</f>
        <v>0</v>
      </c>
      <c r="AQ132" s="746">
        <f>_xlfn.IFERROR((AQ118*1000-AQ121*AQ131)/AQ123,0)</f>
        <v>0</v>
      </c>
      <c r="AR132" s="746">
        <f>_xlfn.IFERROR((AR118*1000-AR121*AR131)/AR123,0)</f>
        <v>0</v>
      </c>
      <c r="AS132" s="746">
        <f>_xlfn.IFERROR((AS118*1000-AS121*AS131)/AS123,0)</f>
        <v>0</v>
      </c>
      <c r="AT132" s="746">
        <f>_xlfn.IFERROR((AT118*1000-AT121*AT131)/AT123,0)</f>
        <v>0</v>
      </c>
      <c r="AU132" s="746">
        <f>_xlfn.IFERROR((AU118*1000-AU121*AU131)/AU123,0)</f>
        <v>0</v>
      </c>
      <c r="AV132" s="746">
        <f>_xlfn.IFERROR((AV118*1000-AV121*AV131)/AV123,0)</f>
        <v>0</v>
      </c>
      <c r="AW132" s="746">
        <f>_xlfn.IFERROR((AW118*1000-AW121*AW131)/AW123,0)</f>
        <v>0</v>
      </c>
      <c r="AX132" s="746">
        <f>_xlfn.IFERROR((AX118*1000-AX121*AX131)/AX123,0)</f>
        <v>0</v>
      </c>
      <c r="AY132" s="746">
        <f>_xlfn.IFERROR((AY118*1000-AY121*AY131)/AY123,0)</f>
        <v>0</v>
      </c>
      <c r="AZ132" s="746">
        <f>_xlfn.IFERROR((AZ118*1000-AZ121*AZ131)/AZ123,0)</f>
        <v>0</v>
      </c>
      <c r="BA132" s="746">
        <f>_xlfn.IFERROR((BA118*1000-BA121*BA131)/BA123,0)</f>
        <v>0</v>
      </c>
      <c r="BB132" s="746">
        <f>_xlfn.IFERROR((BB118*1000-BB121*BB131)/BB123,0)</f>
        <v>0</v>
      </c>
      <c r="BC132" s="746">
        <f>_xlfn.IFERROR((BC118*1000-BC121*BC131)/BC123,0)</f>
        <v>0</v>
      </c>
      <c r="BD132" s="746">
        <f>_xlfn.IFERROR((BD118*1000-BD121*BD131)/BD123,0)</f>
        <v>812.141995425356</v>
      </c>
      <c r="BE132" s="746">
        <f>_xlfn.IFERROR((BE118*1000-BE121*BE131)/BE123,0)</f>
        <v>0</v>
      </c>
      <c r="BF132" s="746">
        <f>_xlfn.IFERROR((BF118*1000-BF121*BF131)/BF123,0)</f>
        <v>0</v>
      </c>
      <c r="BG132" s="746">
        <f>_xlfn.IFERROR((BG118*1000-BG121*BG131)/BG123,0)</f>
        <v>0</v>
      </c>
      <c r="BH132" s="746">
        <f>_xlfn.IFERROR((BH118*1000-BH121*BH131)/BH123,0)</f>
        <v>0</v>
      </c>
      <c r="BI132" s="746">
        <f>_xlfn.IFERROR((BI118*1000-BI121*BI131)/BI123,0)</f>
        <v>0</v>
      </c>
      <c r="BJ132" s="746">
        <f>_xlfn.IFERROR((BJ118*1000-BJ121*BJ131)/BJ123,0)</f>
        <v>0</v>
      </c>
      <c r="BK132" s="746">
        <f>_xlfn.IFERROR((BK118*1000-BK121*BK131)/BK123,0)</f>
        <v>0</v>
      </c>
      <c r="BL132" s="746">
        <f>_xlfn.IFERROR((BL118*1000-BL121*BL131)/BL123,0)</f>
        <v>0</v>
      </c>
      <c r="BM132" s="746">
        <f>_xlfn.IFERROR((BM118*1000-BM121*BM131)/BM123,0)</f>
        <v>0</v>
      </c>
      <c r="BN132" s="746">
        <f>_xlfn.IFERROR((BN118*1000-BN121*BN131)/BN123,0)</f>
        <v>0</v>
      </c>
      <c r="BO132" s="746">
        <f>_xlfn.IFERROR((BO118*1000-BO121*BO131)/BO123,0)</f>
        <v>0</v>
      </c>
      <c r="BP132" s="746">
        <f>_xlfn.IFERROR((BP118*1000-BP121*BP131)/BP123,0)</f>
        <v>0</v>
      </c>
      <c r="BQ132" s="746">
        <f>_xlfn.IFERROR((BQ118*1000-BQ121*BQ131)/BQ123,0)</f>
        <v>0</v>
      </c>
      <c r="BR132" s="746">
        <f>_xlfn.IFERROR((BR118*1000-BR121*BR131)/BR123,0)</f>
        <v>0</v>
      </c>
      <c r="BS132" s="746">
        <f>_xlfn.IFERROR((BS118*1000-BS121*BS131)/BS123,0)</f>
        <v>0</v>
      </c>
      <c r="BT132" s="746">
        <f>_xlfn.IFERROR((BT118*1000-BT121*BT131)/BT123,0)</f>
        <v>0</v>
      </c>
      <c r="BU132" s="746">
        <f>_xlfn.IFERROR((BU118*1000-BU121*BU131)/BU123,0)</f>
        <v>0</v>
      </c>
      <c r="BV132" s="746">
        <f>_xlfn.IFERROR((BV118*1000-BV121*BV131)/BV123,0)</f>
        <v>0</v>
      </c>
      <c r="BW132" s="746">
        <f>_xlfn.IFERROR((BW118*1000-BW121*BW131)/BW123,0)</f>
        <v>0</v>
      </c>
      <c r="BX132" s="804"/>
      <c r="BY132" s="804"/>
      <c r="BZ132" s="804"/>
      <c r="CA132" s="804"/>
      <c r="CB132" s="804"/>
      <c r="CC132" s="804"/>
      <c r="CD132" s="804"/>
      <c r="CE132" s="804"/>
      <c r="CF132" s="804"/>
      <c r="CG132" s="804"/>
      <c r="CH132" s="804"/>
      <c r="CI132" s="804"/>
      <c r="CJ132" s="804"/>
      <c r="CK132" s="804"/>
      <c r="CL132" s="804"/>
      <c r="CM132" s="804"/>
      <c r="CN132" s="804"/>
      <c r="CO132" s="804"/>
      <c r="CP132" s="804"/>
      <c r="CQ132" s="804"/>
      <c r="CR132" s="83"/>
      <c r="CS132" s="83"/>
      <c r="CT132" s="83"/>
      <c r="CU132" s="286"/>
      <c r="CV132" s="1659"/>
      <c r="CW132" s="489" t="s">
        <v>2122</v>
      </c>
      <c r="CX132" s="1125"/>
      <c r="CY132" s="1125"/>
      <c r="CZ132" s="1126"/>
      <c r="DA132" s="1126"/>
      <c r="DB132" s="1506"/>
      <c r="DC132" s="1506"/>
      <c r="DD132" s="0" cm="1" t="str">
        <f t="array" ref="DD132:DD132">DD131</f>
        <v>ТЭ.42.31656254.0001</v>
      </c>
      <c r="DE132" s="1751"/>
      <c r="DF132" s="1751"/>
      <c r="DG132" s="1751"/>
      <c r="DH132" s="1751"/>
      <c r="DI132" s="1751"/>
      <c r="DJ132" s="0" t="s">
        <v>797</v>
      </c>
      <c r="DK132" s="1751"/>
      <c r="DL132" s="1751"/>
      <c r="DM132" s="0" t="s">
        <v>883</v>
      </c>
      <c r="DN132" s="1751"/>
      <c r="DO132" s="0" t="s">
        <v>303</v>
      </c>
      <c r="DP132" s="0" t="s">
        <v>2118</v>
      </c>
      <c r="DQ132" s="0" t="s">
        <v>2119</v>
      </c>
      <c r="DR132" s="1751"/>
    </row>
    <row s="1751" customFormat="1" customHeight="1" ht="14.25" hidden="1">
      <c r="A133" s="371"/>
      <c r="B133" s="1548"/>
      <c r="C133" s="1506"/>
      <c r="D133" s="1506"/>
      <c r="E133" s="180">
        <v>15</v>
      </c>
      <c r="F133" s="175" cm="1" t="str">
        <f t="array" ref="F133:F133">OFFSET(G133,-1,-1)</f>
        <v>1</v>
      </c>
      <c r="G133" s="1659"/>
      <c r="H133" s="1659"/>
      <c r="I133" s="1659"/>
      <c r="J133" s="1659"/>
      <c r="K133" s="1659"/>
      <c r="L133" s="193" t="s">
        <v>2067</v>
      </c>
      <c r="M133" s="1506"/>
      <c r="N133" s="1506"/>
      <c r="O133" s="1506"/>
      <c r="P133" s="1506"/>
      <c r="Q133" s="1506"/>
      <c r="R133" s="1506"/>
      <c r="S133" s="1506"/>
      <c r="T133" s="753" cm="1" t="str">
        <f t="array" ref="T133:T133">T132</f>
        <v>false</v>
      </c>
      <c r="U133" s="1548"/>
      <c r="V133" s="1548"/>
      <c r="W133" s="1548"/>
      <c r="X133" s="1548"/>
      <c r="Y133" s="1548"/>
      <c r="Z133" s="1548"/>
      <c r="AA133" s="286"/>
      <c r="AB133" s="836" t="str">
        <f>AB130&amp;".3"</f>
        <v>17.3</v>
      </c>
      <c r="AC133" s="842" t="s">
        <v>2123</v>
      </c>
      <c r="AD133" s="333" t="s">
        <v>495</v>
      </c>
      <c r="AE133" s="843">
        <f>_xlfn.IFERROR(AE132/AE131,0)</f>
        <v>0</v>
      </c>
      <c r="AF133" s="714"/>
      <c r="AG133" s="714"/>
      <c r="AH133" s="714"/>
      <c r="AI133" s="843">
        <f>_xlfn.IFERROR(AI132/AI131,0)</f>
        <v>1</v>
      </c>
      <c r="AJ133" s="843">
        <f>_xlfn.IFERROR(AJ132/AJ131,0)</f>
        <v>2.28616496236079</v>
      </c>
      <c r="AK133" s="843">
        <f>_xlfn.IFERROR(AK132/AK131,0)</f>
        <v>0</v>
      </c>
      <c r="AL133" s="843">
        <f>_xlfn.IFERROR(AL132/AL131,0)</f>
        <v>0</v>
      </c>
      <c r="AM133" s="843">
        <f>_xlfn.IFERROR(AM132/AM131,0)</f>
        <v>0</v>
      </c>
      <c r="AN133" s="843">
        <f>_xlfn.IFERROR(AN132/AN131,0)</f>
        <v>0</v>
      </c>
      <c r="AO133" s="843">
        <f>_xlfn.IFERROR(AO132/AO131,0)</f>
        <v>0</v>
      </c>
      <c r="AP133" s="843">
        <f>_xlfn.IFERROR(AP132/AP131,0)</f>
        <v>0</v>
      </c>
      <c r="AQ133" s="843">
        <f>_xlfn.IFERROR(AQ132/AQ131,0)</f>
        <v>0</v>
      </c>
      <c r="AR133" s="843">
        <f>_xlfn.IFERROR(AR132/AR131,0)</f>
        <v>0</v>
      </c>
      <c r="AS133" s="843">
        <f>_xlfn.IFERROR(AS132/AS131,0)</f>
        <v>0</v>
      </c>
      <c r="AT133" s="843">
        <f>_xlfn.IFERROR(AT132/AT131,0)</f>
        <v>0</v>
      </c>
      <c r="AU133" s="843">
        <f>_xlfn.IFERROR(AU132/AU131,0)</f>
        <v>0</v>
      </c>
      <c r="AV133" s="843">
        <f>_xlfn.IFERROR(AV132/AV131,0)</f>
        <v>0</v>
      </c>
      <c r="AW133" s="843">
        <f>_xlfn.IFERROR(AW132/AW131,0)</f>
        <v>0</v>
      </c>
      <c r="AX133" s="843">
        <f>_xlfn.IFERROR(AX132/AX131,0)</f>
        <v>0</v>
      </c>
      <c r="AY133" s="843">
        <f>_xlfn.IFERROR(AY132/AY131,0)</f>
        <v>0</v>
      </c>
      <c r="AZ133" s="843">
        <f>_xlfn.IFERROR(AZ132/AZ131,0)</f>
        <v>0</v>
      </c>
      <c r="BA133" s="843">
        <f>_xlfn.IFERROR(BA132/BA131,0)</f>
        <v>0</v>
      </c>
      <c r="BB133" s="843">
        <f>_xlfn.IFERROR(BB132/BB131,0)</f>
        <v>0</v>
      </c>
      <c r="BC133" s="843">
        <f>_xlfn.IFERROR(BC132/BC131,0)</f>
        <v>0</v>
      </c>
      <c r="BD133" s="843">
        <f>_xlfn.IFERROR(BD132/BD131,0)</f>
        <v>1.28289322307468</v>
      </c>
      <c r="BE133" s="843">
        <f>_xlfn.IFERROR(BE132/BE131,0)</f>
        <v>0</v>
      </c>
      <c r="BF133" s="843">
        <f>_xlfn.IFERROR(BF132/BF131,0)</f>
        <v>0</v>
      </c>
      <c r="BG133" s="843">
        <f>_xlfn.IFERROR(BG132/BG131,0)</f>
        <v>0</v>
      </c>
      <c r="BH133" s="843">
        <f>_xlfn.IFERROR(BH132/BH131,0)</f>
        <v>0</v>
      </c>
      <c r="BI133" s="843">
        <f>_xlfn.IFERROR(BI132/BI131,0)</f>
        <v>0</v>
      </c>
      <c r="BJ133" s="843">
        <f>_xlfn.IFERROR(BJ132/BJ131,0)</f>
        <v>0</v>
      </c>
      <c r="BK133" s="843">
        <f>_xlfn.IFERROR(BK132/BK131,0)</f>
        <v>0</v>
      </c>
      <c r="BL133" s="843">
        <f>_xlfn.IFERROR(BL132/BL131,0)</f>
        <v>0</v>
      </c>
      <c r="BM133" s="843">
        <f>_xlfn.IFERROR(BM132/BM131,0)</f>
        <v>0</v>
      </c>
      <c r="BN133" s="843">
        <f>_xlfn.IFERROR(BN132/BN131,0)</f>
        <v>0</v>
      </c>
      <c r="BO133" s="843">
        <f>_xlfn.IFERROR(BO132/BO131,0)</f>
        <v>0</v>
      </c>
      <c r="BP133" s="843">
        <f>_xlfn.IFERROR(BP132/BP131,0)</f>
        <v>0</v>
      </c>
      <c r="BQ133" s="843">
        <f>_xlfn.IFERROR(BQ132/BQ131,0)</f>
        <v>0</v>
      </c>
      <c r="BR133" s="843">
        <f>_xlfn.IFERROR(BR132/BR131,0)</f>
        <v>0</v>
      </c>
      <c r="BS133" s="843">
        <f>_xlfn.IFERROR(BS132/BS131,0)</f>
        <v>0</v>
      </c>
      <c r="BT133" s="843">
        <f>_xlfn.IFERROR(BT132/BT131,0)</f>
        <v>0</v>
      </c>
      <c r="BU133" s="843">
        <f>_xlfn.IFERROR(BU132/BU131,0)</f>
        <v>0</v>
      </c>
      <c r="BV133" s="843">
        <f>_xlfn.IFERROR(BV132/BV131,0)</f>
        <v>0</v>
      </c>
      <c r="BW133" s="843">
        <f>_xlfn.IFERROR(BW132/BW131,0)</f>
        <v>0</v>
      </c>
      <c r="BX133" s="804"/>
      <c r="BY133" s="804"/>
      <c r="BZ133" s="804"/>
      <c r="CA133" s="804"/>
      <c r="CB133" s="804"/>
      <c r="CC133" s="804"/>
      <c r="CD133" s="804"/>
      <c r="CE133" s="804"/>
      <c r="CF133" s="804"/>
      <c r="CG133" s="804"/>
      <c r="CH133" s="804"/>
      <c r="CI133" s="804"/>
      <c r="CJ133" s="804"/>
      <c r="CK133" s="804"/>
      <c r="CL133" s="804"/>
      <c r="CM133" s="804"/>
      <c r="CN133" s="804"/>
      <c r="CO133" s="804"/>
      <c r="CP133" s="804"/>
      <c r="CQ133" s="804"/>
      <c r="CR133" s="83"/>
      <c r="CS133" s="83"/>
      <c r="CT133" s="83"/>
      <c r="CU133" s="286"/>
      <c r="CV133" s="1659"/>
      <c r="CW133" s="489" t="s">
        <v>2124</v>
      </c>
      <c r="CX133" s="1125"/>
      <c r="CY133" s="1125"/>
      <c r="CZ133" s="1126"/>
      <c r="DA133" s="1126"/>
      <c r="DB133" s="1506"/>
      <c r="DC133" s="1506"/>
      <c r="DD133" s="0" cm="1" t="str">
        <f t="array" ref="DD133:DD133">DD132</f>
        <v>ТЭ.42.31656254.0001</v>
      </c>
      <c r="DE133" s="1751"/>
      <c r="DF133" s="1751"/>
      <c r="DG133" s="1751"/>
      <c r="DH133" s="1751"/>
      <c r="DI133" s="1751"/>
      <c r="DJ133" s="1751"/>
      <c r="DK133" s="0" t="s">
        <v>2125</v>
      </c>
      <c r="DL133" s="1751"/>
      <c r="DM133" s="1751"/>
      <c r="DN133" s="1751"/>
      <c r="DO133" s="0" t="s">
        <v>303</v>
      </c>
      <c r="DP133" s="0" t="s">
        <v>931</v>
      </c>
      <c r="DQ133" s="0" t="s">
        <v>932</v>
      </c>
      <c r="DR133" s="1751"/>
    </row>
    <row s="1751" customFormat="1" customHeight="1" ht="31.5" hidden="1">
      <c r="A134" s="371"/>
      <c r="B134" s="1548"/>
      <c r="C134" s="1506"/>
      <c r="D134" s="1506"/>
      <c r="E134" s="180">
        <v>33</v>
      </c>
      <c r="F134" s="175" cm="1" t="str">
        <f t="array" ref="F134:F134">OFFSET(G134,-1,-1)</f>
        <v>1</v>
      </c>
      <c r="G134" s="1659"/>
      <c r="H134" s="1659"/>
      <c r="I134" s="1659"/>
      <c r="J134" s="1659"/>
      <c r="K134" s="1659"/>
      <c r="L134" s="193" t="s">
        <v>2067</v>
      </c>
      <c r="M134" s="1506"/>
      <c r="N134" s="1506"/>
      <c r="O134" s="1506"/>
      <c r="P134" s="1506"/>
      <c r="Q134" s="1506"/>
      <c r="R134" s="1506"/>
      <c r="S134" s="1506"/>
      <c r="T134" s="753" cm="1" t="str">
        <f t="array" ref="T134:T134">T133</f>
        <v>false</v>
      </c>
      <c r="U134" s="1548"/>
      <c r="V134" s="1548"/>
      <c r="W134" s="1548"/>
      <c r="X134" s="1548"/>
      <c r="Y134" s="1548"/>
      <c r="Z134" s="1548"/>
      <c r="AA134" s="286"/>
      <c r="AB134" s="554">
        <v>18</v>
      </c>
      <c r="AC134" s="847" t="s">
        <v>2126</v>
      </c>
      <c r="AD134" s="848"/>
      <c r="AE134" s="714"/>
      <c r="AF134" s="714"/>
      <c r="AG134" s="714"/>
      <c r="AH134" s="714"/>
      <c r="AI134" s="714"/>
      <c r="AJ134" s="714"/>
      <c r="AK134" s="714"/>
      <c r="AL134" s="714"/>
      <c r="AM134" s="714"/>
      <c r="AN134" s="714"/>
      <c r="AO134" s="714"/>
      <c r="AP134" s="714"/>
      <c r="AQ134" s="714"/>
      <c r="AR134" s="714"/>
      <c r="AS134" s="714"/>
      <c r="AT134" s="714"/>
      <c r="AU134" s="714"/>
      <c r="AV134" s="714"/>
      <c r="AW134" s="714"/>
      <c r="AX134" s="714"/>
      <c r="AY134" s="714"/>
      <c r="AZ134" s="714"/>
      <c r="BA134" s="714"/>
      <c r="BB134" s="714"/>
      <c r="BC134" s="714"/>
      <c r="BD134" s="714"/>
      <c r="BE134" s="714"/>
      <c r="BF134" s="714"/>
      <c r="BG134" s="714"/>
      <c r="BH134" s="714"/>
      <c r="BI134" s="714"/>
      <c r="BJ134" s="714"/>
      <c r="BK134" s="714"/>
      <c r="BL134" s="714"/>
      <c r="BM134" s="714"/>
      <c r="BN134" s="714"/>
      <c r="BO134" s="714"/>
      <c r="BP134" s="714"/>
      <c r="BQ134" s="714"/>
      <c r="BR134" s="714"/>
      <c r="BS134" s="714"/>
      <c r="BT134" s="714"/>
      <c r="BU134" s="714"/>
      <c r="BV134" s="714"/>
      <c r="BW134" s="714"/>
      <c r="BX134" s="804"/>
      <c r="BY134" s="804"/>
      <c r="BZ134" s="804"/>
      <c r="CA134" s="804"/>
      <c r="CB134" s="804"/>
      <c r="CC134" s="804"/>
      <c r="CD134" s="804"/>
      <c r="CE134" s="804"/>
      <c r="CF134" s="804"/>
      <c r="CG134" s="804"/>
      <c r="CH134" s="804"/>
      <c r="CI134" s="804"/>
      <c r="CJ134" s="804"/>
      <c r="CK134" s="804"/>
      <c r="CL134" s="804"/>
      <c r="CM134" s="804"/>
      <c r="CN134" s="804"/>
      <c r="CO134" s="804"/>
      <c r="CP134" s="804"/>
      <c r="CQ134" s="804"/>
      <c r="CR134" s="83"/>
      <c r="CS134" s="83"/>
      <c r="CT134" s="83"/>
      <c r="CU134" s="286"/>
      <c r="CV134" s="1659"/>
      <c r="CW134" s="489" t="s">
        <v>2127</v>
      </c>
      <c r="CX134" s="1125"/>
      <c r="CY134" s="1125"/>
      <c r="CZ134" s="1126"/>
      <c r="DA134" s="1126"/>
      <c r="DB134" s="1506"/>
      <c r="DC134" s="1506"/>
      <c r="DD134" s="0" cm="1" t="str">
        <f t="array" ref="DD134:DD134">DD133</f>
        <v>ТЭ.42.31656254.0001</v>
      </c>
      <c r="DE134" s="1751"/>
      <c r="DF134" s="1751"/>
      <c r="DG134" s="1751"/>
      <c r="DH134" s="1751"/>
      <c r="DI134" s="1751"/>
      <c r="DJ134" s="1751"/>
      <c r="DK134" s="1751"/>
      <c r="DL134" s="1751"/>
      <c r="DM134" s="0" t="s">
        <v>2128</v>
      </c>
      <c r="DN134" s="1751"/>
      <c r="DO134" s="0" t="s">
        <v>176</v>
      </c>
      <c r="DP134" s="1751"/>
      <c r="DQ134" s="1751"/>
      <c r="DR134" s="1751"/>
    </row>
    <row s="1751" customFormat="1" customHeight="1" ht="31.5" hidden="1">
      <c r="A135" s="371"/>
      <c r="B135" s="1548"/>
      <c r="C135" s="1506"/>
      <c r="D135" s="1506"/>
      <c r="E135" s="180">
        <v>33</v>
      </c>
      <c r="F135" s="175" cm="1" t="str">
        <f t="array" ref="F135:F135">OFFSET(G135,-1,-1)</f>
        <v>1</v>
      </c>
      <c r="G135" s="193" t="s">
        <v>2129</v>
      </c>
      <c r="H135" s="1659"/>
      <c r="I135" s="1659"/>
      <c r="J135" s="1659"/>
      <c r="K135" s="1659"/>
      <c r="L135" s="193" t="s">
        <v>2067</v>
      </c>
      <c r="M135" s="1506"/>
      <c r="N135" s="1506"/>
      <c r="O135" s="1506"/>
      <c r="P135" s="1506"/>
      <c r="Q135" s="1506"/>
      <c r="R135" s="1506"/>
      <c r="S135" s="1506"/>
      <c r="T135" s="753" cm="1" t="str">
        <f t="array" ref="T135:T135">T134</f>
        <v>false</v>
      </c>
      <c r="U135" s="1548"/>
      <c r="V135" s="1548"/>
      <c r="W135" s="1548"/>
      <c r="X135" s="1548"/>
      <c r="Y135" s="1548"/>
      <c r="Z135" s="1548"/>
      <c r="AA135" s="286"/>
      <c r="AB135" s="836" t="str">
        <f>AB134&amp;".1"</f>
        <v>18.1</v>
      </c>
      <c r="AC135" s="368" t="s">
        <v>2130</v>
      </c>
      <c r="AD135" s="333" t="s">
        <v>2131</v>
      </c>
      <c r="AE135" s="100"/>
      <c r="AF135" s="804"/>
      <c r="AG135" s="804"/>
      <c r="AH135" s="804"/>
      <c r="AI135" s="132">
        <f>MIN(AE136,_xlfn.IFERROR(AI119/AI127/12,0))</f>
        <v>0</v>
      </c>
      <c r="AJ135" s="749">
        <f>MIN(AI136,_xlfn.IFERROR(AJ119/AJ127/12,0))</f>
        <v>0</v>
      </c>
      <c r="AK135" s="132">
        <f>MIN(AJ136,_xlfn.IFERROR(AK119/AK127/12,0))</f>
        <v>0</v>
      </c>
      <c r="AL135" s="132">
        <f>MIN(AK136,_xlfn.IFERROR(AL119/AL127/12,0))</f>
        <v>0</v>
      </c>
      <c r="AM135" s="132">
        <f>MIN(AL136,_xlfn.IFERROR(AM119/AM127/12,0))</f>
        <v>0</v>
      </c>
      <c r="AN135" s="132">
        <f>MIN(AM136,_xlfn.IFERROR(AN119/AN127/12,0))</f>
        <v>0</v>
      </c>
      <c r="AO135" s="132">
        <f>MIN(AN136,_xlfn.IFERROR(AO119/AO127/12,0))</f>
        <v>0</v>
      </c>
      <c r="AP135" s="132">
        <f>MIN(AO136,_xlfn.IFERROR(AP119/AP127/12,0))</f>
        <v>0</v>
      </c>
      <c r="AQ135" s="132">
        <f>MIN(AP136,_xlfn.IFERROR(AQ119/AQ127/12,0))</f>
        <v>0</v>
      </c>
      <c r="AR135" s="132">
        <f>MIN(AQ136,_xlfn.IFERROR(AR119/AR127/12,0))</f>
        <v>0</v>
      </c>
      <c r="AS135" s="132">
        <f>MIN(AR136,_xlfn.IFERROR(AS119/AS127/12,0))</f>
        <v>0</v>
      </c>
      <c r="AT135" s="132">
        <f>MIN(AS136,_xlfn.IFERROR(AT119/AT127/12,0))</f>
        <v>0</v>
      </c>
      <c r="AU135" s="132">
        <f>MIN(AT136,_xlfn.IFERROR(AU119/AU127/12,0))</f>
        <v>0</v>
      </c>
      <c r="AV135" s="132">
        <f>MIN(AU136,_xlfn.IFERROR(AV119/AV127/12,0))</f>
        <v>0</v>
      </c>
      <c r="AW135" s="132">
        <f>MIN(AV136,_xlfn.IFERROR(AW119/AW127/12,0))</f>
        <v>0</v>
      </c>
      <c r="AX135" s="132">
        <f>MIN(AW136,_xlfn.IFERROR(AX119/AX127/12,0))</f>
        <v>0</v>
      </c>
      <c r="AY135" s="132">
        <f>MIN(AX136,_xlfn.IFERROR(AY119/AY127/12,0))</f>
        <v>0</v>
      </c>
      <c r="AZ135" s="132">
        <f>MIN(AY136,_xlfn.IFERROR(AZ119/AZ127/12,0))</f>
        <v>0</v>
      </c>
      <c r="BA135" s="132">
        <f>MIN(AZ136,_xlfn.IFERROR(BA119/BA127/12,0))</f>
        <v>0</v>
      </c>
      <c r="BB135" s="132">
        <f>MIN(BA136,_xlfn.IFERROR(BB119/BB127/12,0))</f>
        <v>0</v>
      </c>
      <c r="BC135" s="132">
        <f>MIN(BB136,_xlfn.IFERROR(BC119/BC127/12,0))</f>
        <v>0</v>
      </c>
      <c r="BD135" s="749">
        <f>MIN(AI136,_xlfn.IFERROR(BD119/BD127/12,0))</f>
        <v>0</v>
      </c>
      <c r="BE135" s="132">
        <f>MIN(BD136,_xlfn.IFERROR(BE119/BE127/12,0))</f>
        <v>0</v>
      </c>
      <c r="BF135" s="132">
        <f>MIN(BE136,_xlfn.IFERROR(BF119/BF127/12,0))</f>
        <v>0</v>
      </c>
      <c r="BG135" s="132">
        <f>MIN(BF136,_xlfn.IFERROR(BG119/BG127/12,0))</f>
        <v>0</v>
      </c>
      <c r="BH135" s="132">
        <f>MIN(BG136,_xlfn.IFERROR(BH119/BH127/12,0))</f>
        <v>0</v>
      </c>
      <c r="BI135" s="132">
        <f>MIN(BH136,_xlfn.IFERROR(BI119/BI127/12,0))</f>
        <v>0</v>
      </c>
      <c r="BJ135" s="132">
        <f>MIN(BI136,_xlfn.IFERROR(BJ119/BJ127/12,0))</f>
        <v>0</v>
      </c>
      <c r="BK135" s="132">
        <f>MIN(BJ136,_xlfn.IFERROR(BK119/BK127/12,0))</f>
        <v>0</v>
      </c>
      <c r="BL135" s="132">
        <f>MIN(BK136,_xlfn.IFERROR(BL119/BL127/12,0))</f>
        <v>0</v>
      </c>
      <c r="BM135" s="132">
        <f>MIN(BL136,_xlfn.IFERROR(BM119/BM127/12,0))</f>
        <v>0</v>
      </c>
      <c r="BN135" s="132">
        <f>MIN(BM136,_xlfn.IFERROR(BN119/BN127/12,0))</f>
        <v>0</v>
      </c>
      <c r="BO135" s="132">
        <f>MIN(BN136,_xlfn.IFERROR(BO119/BO127/12,0))</f>
        <v>0</v>
      </c>
      <c r="BP135" s="132">
        <f>MIN(BO136,_xlfn.IFERROR(BP119/BP127/12,0))</f>
        <v>0</v>
      </c>
      <c r="BQ135" s="132">
        <f>MIN(BP136,_xlfn.IFERROR(BQ119/BQ127/12,0))</f>
        <v>0</v>
      </c>
      <c r="BR135" s="132">
        <f>MIN(BQ136,_xlfn.IFERROR(BR119/BR127/12,0))</f>
        <v>0</v>
      </c>
      <c r="BS135" s="132">
        <f>MIN(BR136,_xlfn.IFERROR(BS119/BS127/12,0))</f>
        <v>0</v>
      </c>
      <c r="BT135" s="132">
        <f>MIN(BS136,_xlfn.IFERROR(BT119/BT127/12,0))</f>
        <v>0</v>
      </c>
      <c r="BU135" s="132">
        <f>MIN(BT136,_xlfn.IFERROR(BU119/BU127/12,0))</f>
        <v>0</v>
      </c>
      <c r="BV135" s="132">
        <f>MIN(BU136,_xlfn.IFERROR(BV119/BV127/12,0))</f>
        <v>0</v>
      </c>
      <c r="BW135" s="132">
        <f>MIN(BV136,_xlfn.IFERROR(BW119/BW127/12,0))</f>
        <v>0</v>
      </c>
      <c r="BX135" s="804"/>
      <c r="BY135" s="804"/>
      <c r="BZ135" s="804"/>
      <c r="CA135" s="804"/>
      <c r="CB135" s="804"/>
      <c r="CC135" s="804"/>
      <c r="CD135" s="804"/>
      <c r="CE135" s="804"/>
      <c r="CF135" s="804"/>
      <c r="CG135" s="804"/>
      <c r="CH135" s="804"/>
      <c r="CI135" s="804"/>
      <c r="CJ135" s="804"/>
      <c r="CK135" s="804"/>
      <c r="CL135" s="804"/>
      <c r="CM135" s="804"/>
      <c r="CN135" s="804"/>
      <c r="CO135" s="804"/>
      <c r="CP135" s="804"/>
      <c r="CQ135" s="804"/>
      <c r="CR135" s="83"/>
      <c r="CS135" s="83"/>
      <c r="CT135" s="83"/>
      <c r="CU135" s="286"/>
      <c r="CV135" s="1659"/>
      <c r="CW135" s="489" t="s">
        <v>2132</v>
      </c>
      <c r="CX135" s="1125"/>
      <c r="CY135" s="1125"/>
      <c r="CZ135" s="1126"/>
      <c r="DA135" s="1126"/>
      <c r="DB135" s="1506"/>
      <c r="DC135" s="1506"/>
      <c r="DD135" s="0" cm="1" t="str">
        <f t="array" ref="DD135:DD135">DD134</f>
        <v>ТЭ.42.31656254.0001</v>
      </c>
      <c r="DE135" s="1751"/>
      <c r="DF135" s="1751"/>
      <c r="DG135" s="1751"/>
      <c r="DH135" s="1751"/>
      <c r="DI135" s="1751"/>
      <c r="DJ135" s="0" t="s">
        <v>796</v>
      </c>
      <c r="DK135" s="1751"/>
      <c r="DL135" s="0" t="s">
        <v>2084</v>
      </c>
      <c r="DM135" s="0" t="s">
        <v>886</v>
      </c>
      <c r="DN135" s="1751"/>
      <c r="DO135" s="0" t="s">
        <v>303</v>
      </c>
      <c r="DP135" s="0" t="s">
        <v>2133</v>
      </c>
      <c r="DQ135" s="0" t="s">
        <v>2134</v>
      </c>
      <c r="DR135" s="1751"/>
    </row>
    <row s="1751" customFormat="1" customHeight="1" ht="31.5" hidden="1">
      <c r="A136" s="371"/>
      <c r="B136" s="1548"/>
      <c r="C136" s="1506"/>
      <c r="D136" s="1506"/>
      <c r="E136" s="180">
        <v>33</v>
      </c>
      <c r="F136" s="175" cm="1" t="str">
        <f t="array" ref="F136:F136">OFFSET(G136,-1,-1)</f>
        <v>1</v>
      </c>
      <c r="G136" s="193" t="s">
        <v>2135</v>
      </c>
      <c r="H136" s="1659"/>
      <c r="I136" s="1659"/>
      <c r="J136" s="1659"/>
      <c r="K136" s="1659"/>
      <c r="L136" s="193" t="s">
        <v>2067</v>
      </c>
      <c r="M136" s="1506"/>
      <c r="N136" s="1506"/>
      <c r="O136" s="1506"/>
      <c r="P136" s="1506"/>
      <c r="Q136" s="1506"/>
      <c r="R136" s="1506"/>
      <c r="S136" s="1506"/>
      <c r="T136" s="753" cm="1" t="str">
        <f t="array" ref="T136:T136">T135</f>
        <v>false</v>
      </c>
      <c r="U136" s="1548"/>
      <c r="V136" s="1548"/>
      <c r="W136" s="1548"/>
      <c r="X136" s="1548"/>
      <c r="Y136" s="1548"/>
      <c r="Z136" s="1548"/>
      <c r="AA136" s="286"/>
      <c r="AB136" s="836" t="str">
        <f>AB134&amp;".2"</f>
        <v>18.2</v>
      </c>
      <c r="AC136" s="368" t="s">
        <v>2136</v>
      </c>
      <c r="AD136" s="333" t="s">
        <v>2131</v>
      </c>
      <c r="AE136" s="695">
        <f>_xlfn.IFERROR((AE119-AE128*IF(AE65=2026,9,6)*AE135)/AE129/IF(AE65=2026,3,6),0)</f>
        <v>0</v>
      </c>
      <c r="AF136" s="804"/>
      <c r="AG136" s="804"/>
      <c r="AH136" s="804"/>
      <c r="AI136" s="695">
        <f>_xlfn.IFERROR((AI119-AI128*IF(AI65=2026,9,6)*AI135)/AI129/IF(AI65=2026,3,6),0)</f>
        <v>0</v>
      </c>
      <c r="AJ136" s="695">
        <f>_xlfn.IFERROR((AJ119-AJ128*IF(AJ65=2026,9,6)*AJ135)/AJ129/IF(AJ65=2026,3,6),0)</f>
        <v>0</v>
      </c>
      <c r="AK136" s="695">
        <f>_xlfn.IFERROR((AK119-AK128*IF(AK65=2026,9,6)*AK135)/AK129/IF(AK65=2026,3,6),0)</f>
        <v>0</v>
      </c>
      <c r="AL136" s="695">
        <f>_xlfn.IFERROR((AL119-AL128*IF(AL65=2026,9,6)*AL135)/AL129/IF(AL65=2026,3,6),0)</f>
        <v>0</v>
      </c>
      <c r="AM136" s="695">
        <f>_xlfn.IFERROR((AM119-AM128*IF(AM65=2026,9,6)*AM135)/AM129/IF(AM65=2026,3,6),0)</f>
        <v>0</v>
      </c>
      <c r="AN136" s="695">
        <f>_xlfn.IFERROR((AN119-AN128*IF(AN65=2026,9,6)*AN135)/AN129/IF(AN65=2026,3,6),0)</f>
        <v>0</v>
      </c>
      <c r="AO136" s="695">
        <f>_xlfn.IFERROR((AO119-AO128*IF(AO65=2026,9,6)*AO135)/AO129/IF(AO65=2026,3,6),0)</f>
        <v>0</v>
      </c>
      <c r="AP136" s="695">
        <f>_xlfn.IFERROR((AP119-AP128*IF(AP65=2026,9,6)*AP135)/AP129/IF(AP65=2026,3,6),0)</f>
        <v>0</v>
      </c>
      <c r="AQ136" s="695">
        <f>_xlfn.IFERROR((AQ119-AQ128*IF(AQ65=2026,9,6)*AQ135)/AQ129/IF(AQ65=2026,3,6),0)</f>
        <v>0</v>
      </c>
      <c r="AR136" s="695">
        <f>_xlfn.IFERROR((AR119-AR128*IF(AR65=2026,9,6)*AR135)/AR129/IF(AR65=2026,3,6),0)</f>
        <v>0</v>
      </c>
      <c r="AS136" s="695">
        <f>_xlfn.IFERROR((AS119-AS128*IF(AS65=2026,9,6)*AS135)/AS129/IF(AS65=2026,3,6),0)</f>
        <v>0</v>
      </c>
      <c r="AT136" s="695">
        <f>_xlfn.IFERROR((AT119-AT128*IF(AT65=2026,9,6)*AT135)/AT129/IF(AT65=2026,3,6),0)</f>
        <v>0</v>
      </c>
      <c r="AU136" s="695">
        <f>_xlfn.IFERROR((AU119-AU128*IF(AU65=2026,9,6)*AU135)/AU129/IF(AU65=2026,3,6),0)</f>
        <v>0</v>
      </c>
      <c r="AV136" s="695">
        <f>_xlfn.IFERROR((AV119-AV128*IF(AV65=2026,9,6)*AV135)/AV129/IF(AV65=2026,3,6),0)</f>
        <v>0</v>
      </c>
      <c r="AW136" s="695">
        <f>_xlfn.IFERROR((AW119-AW128*IF(AW65=2026,9,6)*AW135)/AW129/IF(AW65=2026,3,6),0)</f>
        <v>0</v>
      </c>
      <c r="AX136" s="695">
        <f>_xlfn.IFERROR((AX119-AX128*IF(AX65=2026,9,6)*AX135)/AX129/IF(AX65=2026,3,6),0)</f>
        <v>0</v>
      </c>
      <c r="AY136" s="695">
        <f>_xlfn.IFERROR((AY119-AY128*IF(AY65=2026,9,6)*AY135)/AY129/IF(AY65=2026,3,6),0)</f>
        <v>0</v>
      </c>
      <c r="AZ136" s="695">
        <f>_xlfn.IFERROR((AZ119-AZ128*IF(AZ65=2026,9,6)*AZ135)/AZ129/IF(AZ65=2026,3,6),0)</f>
        <v>0</v>
      </c>
      <c r="BA136" s="695">
        <f>_xlfn.IFERROR((BA119-BA128*IF(BA65=2026,9,6)*BA135)/BA129/IF(BA65=2026,3,6),0)</f>
        <v>0</v>
      </c>
      <c r="BB136" s="695">
        <f>_xlfn.IFERROR((BB119-BB128*IF(BB65=2026,9,6)*BB135)/BB129/IF(BB65=2026,3,6),0)</f>
        <v>0</v>
      </c>
      <c r="BC136" s="695">
        <f>_xlfn.IFERROR((BC119-BC128*IF(BC65=2026,9,6)*BC135)/BC129/IF(BC65=2026,3,6),0)</f>
        <v>0</v>
      </c>
      <c r="BD136" s="695">
        <f>_xlfn.IFERROR((BD119-BD128*IF(BD65=2026,9,6)*BD135)/BD129/IF(BD65=2026,3,6),0)</f>
        <v>0</v>
      </c>
      <c r="BE136" s="695">
        <f>_xlfn.IFERROR((BE119-BE128*IF(BE65=2026,9,6)*BE135)/BE129/IF(BE65=2026,3,6),0)</f>
        <v>0</v>
      </c>
      <c r="BF136" s="695">
        <f>_xlfn.IFERROR((BF119-BF128*IF(BF65=2026,9,6)*BF135)/BF129/IF(BF65=2026,3,6),0)</f>
        <v>0</v>
      </c>
      <c r="BG136" s="695">
        <f>_xlfn.IFERROR((BG119-BG128*IF(BG65=2026,9,6)*BG135)/BG129/IF(BG65=2026,3,6),0)</f>
        <v>0</v>
      </c>
      <c r="BH136" s="695">
        <f>_xlfn.IFERROR((BH119-BH128*IF(BH65=2026,9,6)*BH135)/BH129/IF(BH65=2026,3,6),0)</f>
        <v>0</v>
      </c>
      <c r="BI136" s="695">
        <f>_xlfn.IFERROR((BI119-BI128*IF(BI65=2026,9,6)*BI135)/BI129/IF(BI65=2026,3,6),0)</f>
        <v>0</v>
      </c>
      <c r="BJ136" s="695">
        <f>_xlfn.IFERROR((BJ119-BJ128*IF(BJ65=2026,9,6)*BJ135)/BJ129/IF(BJ65=2026,3,6),0)</f>
        <v>0</v>
      </c>
      <c r="BK136" s="695">
        <f>_xlfn.IFERROR((BK119-BK128*IF(BK65=2026,9,6)*BK135)/BK129/IF(BK65=2026,3,6),0)</f>
        <v>0</v>
      </c>
      <c r="BL136" s="695">
        <f>_xlfn.IFERROR((BL119-BL128*IF(BL65=2026,9,6)*BL135)/BL129/IF(BL65=2026,3,6),0)</f>
        <v>0</v>
      </c>
      <c r="BM136" s="695">
        <f>_xlfn.IFERROR((BM119-BM128*IF(BM65=2026,9,6)*BM135)/BM129/IF(BM65=2026,3,6),0)</f>
        <v>0</v>
      </c>
      <c r="BN136" s="695">
        <f>_xlfn.IFERROR((BN119-BN128*IF(BN65=2026,9,6)*BN135)/BN129/IF(BN65=2026,3,6),0)</f>
        <v>0</v>
      </c>
      <c r="BO136" s="695">
        <f>_xlfn.IFERROR((BO119-BO128*IF(BO65=2026,9,6)*BO135)/BO129/IF(BO65=2026,3,6),0)</f>
        <v>0</v>
      </c>
      <c r="BP136" s="695">
        <f>_xlfn.IFERROR((BP119-BP128*IF(BP65=2026,9,6)*BP135)/BP129/IF(BP65=2026,3,6),0)</f>
        <v>0</v>
      </c>
      <c r="BQ136" s="695">
        <f>_xlfn.IFERROR((BQ119-BQ128*IF(BQ65=2026,9,6)*BQ135)/BQ129/IF(BQ65=2026,3,6),0)</f>
        <v>0</v>
      </c>
      <c r="BR136" s="695">
        <f>_xlfn.IFERROR((BR119-BR128*IF(BR65=2026,9,6)*BR135)/BR129/IF(BR65=2026,3,6),0)</f>
        <v>0</v>
      </c>
      <c r="BS136" s="695">
        <f>_xlfn.IFERROR((BS119-BS128*IF(BS65=2026,9,6)*BS135)/BS129/IF(BS65=2026,3,6),0)</f>
        <v>0</v>
      </c>
      <c r="BT136" s="695">
        <f>_xlfn.IFERROR((BT119-BT128*IF(BT65=2026,9,6)*BT135)/BT129/IF(BT65=2026,3,6),0)</f>
        <v>0</v>
      </c>
      <c r="BU136" s="695">
        <f>_xlfn.IFERROR((BU119-BU128*IF(BU65=2026,9,6)*BU135)/BU129/IF(BU65=2026,3,6),0)</f>
        <v>0</v>
      </c>
      <c r="BV136" s="695">
        <f>_xlfn.IFERROR((BV119-BV128*IF(BV65=2026,9,6)*BV135)/BV129/IF(BV65=2026,3,6),0)</f>
        <v>0</v>
      </c>
      <c r="BW136" s="695">
        <f>_xlfn.IFERROR((BW119-BW128*IF(BW65=2026,9,6)*BW135)/BW129/IF(BW65=2026,3,6),0)</f>
        <v>0</v>
      </c>
      <c r="BX136" s="804"/>
      <c r="BY136" s="804"/>
      <c r="BZ136" s="804"/>
      <c r="CA136" s="804"/>
      <c r="CB136" s="804"/>
      <c r="CC136" s="804"/>
      <c r="CD136" s="804"/>
      <c r="CE136" s="804"/>
      <c r="CF136" s="804"/>
      <c r="CG136" s="804"/>
      <c r="CH136" s="804"/>
      <c r="CI136" s="804"/>
      <c r="CJ136" s="804"/>
      <c r="CK136" s="804"/>
      <c r="CL136" s="804"/>
      <c r="CM136" s="804"/>
      <c r="CN136" s="804"/>
      <c r="CO136" s="804"/>
      <c r="CP136" s="804"/>
      <c r="CQ136" s="804"/>
      <c r="CR136" s="83"/>
      <c r="CS136" s="83"/>
      <c r="CT136" s="83"/>
      <c r="CU136" s="286"/>
      <c r="CV136" s="1659"/>
      <c r="CW136" s="489" t="s">
        <v>2137</v>
      </c>
      <c r="CX136" s="1125"/>
      <c r="CY136" s="1125"/>
      <c r="CZ136" s="1126"/>
      <c r="DA136" s="1126"/>
      <c r="DB136" s="1506"/>
      <c r="DC136" s="1506"/>
      <c r="DD136" s="0" cm="1" t="str">
        <f t="array" ref="DD136:DD136">DD135</f>
        <v>ТЭ.42.31656254.0001</v>
      </c>
      <c r="DE136" s="1751"/>
      <c r="DF136" s="1751"/>
      <c r="DG136" s="1751"/>
      <c r="DH136" s="1751"/>
      <c r="DI136" s="1751"/>
      <c r="DJ136" s="0" t="s">
        <v>797</v>
      </c>
      <c r="DK136" s="1751"/>
      <c r="DL136" s="1751"/>
      <c r="DM136" s="0" t="s">
        <v>886</v>
      </c>
      <c r="DN136" s="1751"/>
      <c r="DO136" s="0" t="s">
        <v>303</v>
      </c>
      <c r="DP136" s="0" t="s">
        <v>2133</v>
      </c>
      <c r="DQ136" s="0" t="s">
        <v>2134</v>
      </c>
      <c r="DR136" s="1751"/>
    </row>
    <row s="1751" customFormat="1" customHeight="1" ht="14.25" hidden="1">
      <c r="A137" s="371"/>
      <c r="B137" s="1548"/>
      <c r="C137" s="1506"/>
      <c r="D137" s="1506"/>
      <c r="E137" s="180">
        <v>15</v>
      </c>
      <c r="F137" s="175" cm="1" t="str">
        <f t="array" ref="F137:F137">OFFSET(G137,-1,-1)</f>
        <v>1</v>
      </c>
      <c r="G137" s="1659"/>
      <c r="H137" s="1659"/>
      <c r="I137" s="1659"/>
      <c r="J137" s="1659"/>
      <c r="K137" s="1659"/>
      <c r="L137" s="193" t="s">
        <v>2067</v>
      </c>
      <c r="M137" s="1506"/>
      <c r="N137" s="1506"/>
      <c r="O137" s="1506"/>
      <c r="P137" s="1506"/>
      <c r="Q137" s="1506"/>
      <c r="R137" s="1506"/>
      <c r="S137" s="1506"/>
      <c r="T137" s="753" cm="1" t="str">
        <f t="array" ref="T137:T137">T136</f>
        <v>false</v>
      </c>
      <c r="U137" s="1548"/>
      <c r="V137" s="1548"/>
      <c r="W137" s="1548"/>
      <c r="X137" s="1548"/>
      <c r="Y137" s="1548"/>
      <c r="Z137" s="1548"/>
      <c r="AA137" s="286"/>
      <c r="AB137" s="836" t="str">
        <f>AB134&amp;".3"</f>
        <v>18.3</v>
      </c>
      <c r="AC137" s="842" t="s">
        <v>2138</v>
      </c>
      <c r="AD137" s="332" t="s">
        <v>495</v>
      </c>
      <c r="AE137" s="849">
        <f>_xlfn.IFERROR(AE136/AE135,0)</f>
        <v>0</v>
      </c>
      <c r="AF137" s="804"/>
      <c r="AG137" s="804"/>
      <c r="AH137" s="850"/>
      <c r="AI137" s="843">
        <f>_xlfn.IFERROR(AI136/AI135,0)</f>
        <v>0</v>
      </c>
      <c r="AJ137" s="843">
        <f>_xlfn.IFERROR(AJ136/AJ135,0)</f>
        <v>0</v>
      </c>
      <c r="AK137" s="843">
        <f>_xlfn.IFERROR(AK136/AK135,0)</f>
        <v>0</v>
      </c>
      <c r="AL137" s="843">
        <f>_xlfn.IFERROR(AL136/AL135,0)</f>
        <v>0</v>
      </c>
      <c r="AM137" s="843">
        <f>_xlfn.IFERROR(AM136/AM135,0)</f>
        <v>0</v>
      </c>
      <c r="AN137" s="843">
        <f>_xlfn.IFERROR(AN136/AN135,0)</f>
        <v>0</v>
      </c>
      <c r="AO137" s="843">
        <f>_xlfn.IFERROR(AO136/AO135,0)</f>
        <v>0</v>
      </c>
      <c r="AP137" s="843">
        <f>_xlfn.IFERROR(AP136/AP135,0)</f>
        <v>0</v>
      </c>
      <c r="AQ137" s="843">
        <f>_xlfn.IFERROR(AQ136/AQ135,0)</f>
        <v>0</v>
      </c>
      <c r="AR137" s="843">
        <f>_xlfn.IFERROR(AR136/AR135,0)</f>
        <v>0</v>
      </c>
      <c r="AS137" s="843">
        <f>_xlfn.IFERROR(AS136/AS135,0)</f>
        <v>0</v>
      </c>
      <c r="AT137" s="843">
        <f>_xlfn.IFERROR(AT136/AT135,0)</f>
        <v>0</v>
      </c>
      <c r="AU137" s="843">
        <f>_xlfn.IFERROR(AU136/AU135,0)</f>
        <v>0</v>
      </c>
      <c r="AV137" s="843">
        <f>_xlfn.IFERROR(AV136/AV135,0)</f>
        <v>0</v>
      </c>
      <c r="AW137" s="843">
        <f>_xlfn.IFERROR(AW136/AW135,0)</f>
        <v>0</v>
      </c>
      <c r="AX137" s="843">
        <f>_xlfn.IFERROR(AX136/AX135,0)</f>
        <v>0</v>
      </c>
      <c r="AY137" s="843">
        <f>_xlfn.IFERROR(AY136/AY135,0)</f>
        <v>0</v>
      </c>
      <c r="AZ137" s="843">
        <f>_xlfn.IFERROR(AZ136/AZ135,0)</f>
        <v>0</v>
      </c>
      <c r="BA137" s="843">
        <f>_xlfn.IFERROR(BA136/BA135,0)</f>
        <v>0</v>
      </c>
      <c r="BB137" s="843">
        <f>_xlfn.IFERROR(BB136/BB135,0)</f>
        <v>0</v>
      </c>
      <c r="BC137" s="843">
        <f>_xlfn.IFERROR(BC136/BC135,0)</f>
        <v>0</v>
      </c>
      <c r="BD137" s="843">
        <f>_xlfn.IFERROR(BD136/BD135,0)</f>
        <v>0</v>
      </c>
      <c r="BE137" s="843">
        <f>_xlfn.IFERROR(BE136/BE135,0)</f>
        <v>0</v>
      </c>
      <c r="BF137" s="843">
        <f>_xlfn.IFERROR(BF136/BF135,0)</f>
        <v>0</v>
      </c>
      <c r="BG137" s="843">
        <f>_xlfn.IFERROR(BG136/BG135,0)</f>
        <v>0</v>
      </c>
      <c r="BH137" s="843">
        <f>_xlfn.IFERROR(BH136/BH135,0)</f>
        <v>0</v>
      </c>
      <c r="BI137" s="843">
        <f>_xlfn.IFERROR(BI136/BI135,0)</f>
        <v>0</v>
      </c>
      <c r="BJ137" s="843">
        <f>_xlfn.IFERROR(BJ136/BJ135,0)</f>
        <v>0</v>
      </c>
      <c r="BK137" s="843">
        <f>_xlfn.IFERROR(BK136/BK135,0)</f>
        <v>0</v>
      </c>
      <c r="BL137" s="843">
        <f>_xlfn.IFERROR(BL136/BL135,0)</f>
        <v>0</v>
      </c>
      <c r="BM137" s="843">
        <f>_xlfn.IFERROR(BM136/BM135,0)</f>
        <v>0</v>
      </c>
      <c r="BN137" s="843">
        <f>_xlfn.IFERROR(BN136/BN135,0)</f>
        <v>0</v>
      </c>
      <c r="BO137" s="843">
        <f>_xlfn.IFERROR(BO136/BO135,0)</f>
        <v>0</v>
      </c>
      <c r="BP137" s="843">
        <f>_xlfn.IFERROR(BP136/BP135,0)</f>
        <v>0</v>
      </c>
      <c r="BQ137" s="843">
        <f>_xlfn.IFERROR(BQ136/BQ135,0)</f>
        <v>0</v>
      </c>
      <c r="BR137" s="843">
        <f>_xlfn.IFERROR(BR136/BR135,0)</f>
        <v>0</v>
      </c>
      <c r="BS137" s="843">
        <f>_xlfn.IFERROR(BS136/BS135,0)</f>
        <v>0</v>
      </c>
      <c r="BT137" s="843">
        <f>_xlfn.IFERROR(BT136/BT135,0)</f>
        <v>0</v>
      </c>
      <c r="BU137" s="843">
        <f>_xlfn.IFERROR(BU136/BU135,0)</f>
        <v>0</v>
      </c>
      <c r="BV137" s="843">
        <f>_xlfn.IFERROR(BV136/BV135,0)</f>
        <v>0</v>
      </c>
      <c r="BW137" s="843">
        <f>_xlfn.IFERROR(BW136/BW135,0)</f>
        <v>0</v>
      </c>
      <c r="BX137" s="804"/>
      <c r="BY137" s="804"/>
      <c r="BZ137" s="804"/>
      <c r="CA137" s="804"/>
      <c r="CB137" s="804"/>
      <c r="CC137" s="804"/>
      <c r="CD137" s="804"/>
      <c r="CE137" s="804"/>
      <c r="CF137" s="804"/>
      <c r="CG137" s="804"/>
      <c r="CH137" s="804"/>
      <c r="CI137" s="804"/>
      <c r="CJ137" s="804"/>
      <c r="CK137" s="804"/>
      <c r="CL137" s="804"/>
      <c r="CM137" s="804"/>
      <c r="CN137" s="804"/>
      <c r="CO137" s="804"/>
      <c r="CP137" s="804"/>
      <c r="CQ137" s="804"/>
      <c r="CR137" s="83"/>
      <c r="CS137" s="83"/>
      <c r="CT137" s="83"/>
      <c r="CU137" s="286"/>
      <c r="CV137" s="1659"/>
      <c r="CW137" s="489" t="s">
        <v>2139</v>
      </c>
      <c r="CX137" s="1125"/>
      <c r="CY137" s="1125"/>
      <c r="CZ137" s="1126"/>
      <c r="DA137" s="1126"/>
      <c r="DB137" s="1506"/>
      <c r="DC137" s="1506"/>
      <c r="DD137" s="0" cm="1" t="str">
        <f t="array" ref="DD137:DD137">DD136</f>
        <v>ТЭ.42.31656254.0001</v>
      </c>
      <c r="DE137" s="1751"/>
      <c r="DF137" s="1751"/>
      <c r="DG137" s="1751"/>
      <c r="DH137" s="1751"/>
      <c r="DI137" s="1751"/>
      <c r="DJ137" s="1751"/>
      <c r="DK137" s="0" t="s">
        <v>2140</v>
      </c>
      <c r="DL137" s="1751"/>
      <c r="DM137" s="1751"/>
      <c r="DN137" s="1751"/>
      <c r="DO137" s="0" t="s">
        <v>303</v>
      </c>
      <c r="DP137" s="0" t="s">
        <v>931</v>
      </c>
      <c r="DQ137" s="0" t="s">
        <v>932</v>
      </c>
      <c r="DR137" s="1751"/>
    </row>
    <row s="1751" customFormat="1" customHeight="1" ht="29.25">
      <c r="A138" s="371"/>
      <c r="B138" s="1548"/>
      <c r="C138" s="1506"/>
      <c r="D138" s="1506"/>
      <c r="E138" s="180">
        <v>30</v>
      </c>
      <c r="F138" s="175" cm="1" t="str">
        <f t="array" ref="F138:F138">OFFSET(G138,-1,-1)</f>
        <v>1</v>
      </c>
      <c r="G138" s="1659"/>
      <c r="H138" s="1659"/>
      <c r="I138" s="1659"/>
      <c r="J138" s="1659"/>
      <c r="K138" s="1659"/>
      <c r="L138" s="1659"/>
      <c r="M138" s="1506"/>
      <c r="N138" s="1506"/>
      <c r="O138" s="1506"/>
      <c r="P138" s="1506"/>
      <c r="Q138" s="1506"/>
      <c r="R138" s="1506"/>
      <c r="S138" s="1506"/>
      <c r="T138" s="753" cm="1" t="str">
        <f t="array" ref="T138:T138">T117</f>
        <v>true</v>
      </c>
      <c r="U138" s="1548"/>
      <c r="V138" s="1548"/>
      <c r="W138" s="1548"/>
      <c r="X138" s="1548"/>
      <c r="Y138" s="1548"/>
      <c r="Z138" s="1548"/>
      <c r="AA138" s="286"/>
      <c r="AB138" s="360">
        <v>19</v>
      </c>
      <c r="AC138" s="851" t="s">
        <v>2141</v>
      </c>
      <c r="AD138" s="352" t="s">
        <v>1178</v>
      </c>
      <c r="AE138" s="2280"/>
      <c r="AF138" s="2280"/>
      <c r="AG138" s="2372"/>
      <c r="AH138" s="695">
        <f>AG138-AF138</f>
        <v>0</v>
      </c>
      <c r="AI138" s="2373"/>
      <c r="AJ138" s="853"/>
      <c r="AK138" s="2373"/>
      <c r="AL138" s="2373"/>
      <c r="AM138" s="2373"/>
      <c r="AN138" s="2373"/>
      <c r="AO138" s="2373"/>
      <c r="AP138" s="2373"/>
      <c r="AQ138" s="2373"/>
      <c r="AR138" s="2373"/>
      <c r="AS138" s="2373"/>
      <c r="AT138" s="2373"/>
      <c r="AU138" s="2373"/>
      <c r="AV138" s="2373"/>
      <c r="AW138" s="2373"/>
      <c r="AX138" s="2373"/>
      <c r="AY138" s="2373"/>
      <c r="AZ138" s="2373"/>
      <c r="BA138" s="2373"/>
      <c r="BB138" s="2373"/>
      <c r="BC138" s="2373"/>
      <c r="BD138" s="853"/>
      <c r="BE138" s="2373"/>
      <c r="BF138" s="2373"/>
      <c r="BG138" s="2373"/>
      <c r="BH138" s="2373"/>
      <c r="BI138" s="2373"/>
      <c r="BJ138" s="2373"/>
      <c r="BK138" s="2373"/>
      <c r="BL138" s="2373"/>
      <c r="BM138" s="2373"/>
      <c r="BN138" s="2373"/>
      <c r="BO138" s="2373"/>
      <c r="BP138" s="2373"/>
      <c r="BQ138" s="2373"/>
      <c r="BR138" s="2373"/>
      <c r="BS138" s="2373"/>
      <c r="BT138" s="2373"/>
      <c r="BU138" s="2373"/>
      <c r="BV138" s="2373"/>
      <c r="BW138" s="2373"/>
      <c r="BX138" s="695">
        <f>IF(AI138=0,0,(BD138-AI138)/AI138*100)</f>
        <v>0</v>
      </c>
      <c r="BY138" s="695">
        <f>IF(BD138=0,0,(BE138-BD138)/BD138*100)</f>
        <v>0</v>
      </c>
      <c r="BZ138" s="695">
        <f>IF(BE138=0,0,(BF138-BE138)/BE138*100)</f>
        <v>0</v>
      </c>
      <c r="CA138" s="695">
        <f>IF(BF138=0,0,(BG138-BF138)/BF138*100)</f>
        <v>0</v>
      </c>
      <c r="CB138" s="695">
        <f>IF(BG138=0,0,(BH138-BG138)/BG138*100)</f>
        <v>0</v>
      </c>
      <c r="CC138" s="695">
        <f>IF(BH138=0,0,(BI138-BH138)/BH138*100)</f>
        <v>0</v>
      </c>
      <c r="CD138" s="695">
        <f>IF(BI138=0,0,(BJ138-BI138)/BI138*100)</f>
        <v>0</v>
      </c>
      <c r="CE138" s="695">
        <f>IF(BJ138=0,0,(BK138-BJ138)/BJ138*100)</f>
        <v>0</v>
      </c>
      <c r="CF138" s="695">
        <f>IF(BK138=0,0,(BL138-BK138)/BK138*100)</f>
        <v>0</v>
      </c>
      <c r="CG138" s="695">
        <f>IF(BL138=0,0,(BM138-BL138)/BL138*100)</f>
        <v>0</v>
      </c>
      <c r="CH138" s="695">
        <f>IF(BM138=0,0,(BN138-BM138)/BM138*100)</f>
        <v>0</v>
      </c>
      <c r="CI138" s="695">
        <f>IF(BN138=0,0,(BO138-BN138)/BN138*100)</f>
        <v>0</v>
      </c>
      <c r="CJ138" s="695">
        <f>IF(BO138=0,0,(BP138-BO138)/BO138*100)</f>
        <v>0</v>
      </c>
      <c r="CK138" s="695">
        <f>IF(BP138=0,0,(BQ138-BP138)/BP138*100)</f>
        <v>0</v>
      </c>
      <c r="CL138" s="695">
        <f>IF(BQ138=0,0,(BR138-BQ138)/BQ138*100)</f>
        <v>0</v>
      </c>
      <c r="CM138" s="695">
        <f>IF(BR138=0,0,(BS138-BR138)/BR138*100)</f>
        <v>0</v>
      </c>
      <c r="CN138" s="695">
        <f>IF(BS138=0,0,(BT138-BS138)/BS138*100)</f>
        <v>0</v>
      </c>
      <c r="CO138" s="695">
        <f>IF(BT138=0,0,(BU138-BT138)/BT138*100)</f>
        <v>0</v>
      </c>
      <c r="CP138" s="695">
        <f>IF(BU138=0,0,(BV138-BU138)/BU138*100)</f>
        <v>0</v>
      </c>
      <c r="CQ138" s="695">
        <f>IF(BV138=0,0,(BW138-BV138)/BV138*100)</f>
        <v>0</v>
      </c>
      <c r="CR138" s="1897"/>
      <c r="CS138" s="1897"/>
      <c r="CT138" s="1897"/>
      <c r="CU138" s="286"/>
      <c r="CV138" s="1659"/>
      <c r="CW138" s="489" t="s">
        <v>2142</v>
      </c>
      <c r="CX138" s="1125"/>
      <c r="CY138" s="1125"/>
      <c r="CZ138" s="1126"/>
      <c r="DA138" s="1126"/>
      <c r="DB138" s="1506"/>
      <c r="DC138" s="1506"/>
      <c r="DD138" s="0" cm="1" t="str">
        <f t="array" ref="DD138:DD138">DD137</f>
        <v>ТЭ.42.31656254.0001</v>
      </c>
      <c r="DE138" s="1751"/>
      <c r="DF138" s="1751"/>
      <c r="DG138" s="1751"/>
      <c r="DH138" s="1751"/>
      <c r="DI138" s="1751"/>
      <c r="DJ138" s="1751"/>
      <c r="DK138" s="1751"/>
      <c r="DL138" s="1751"/>
      <c r="DM138" s="0" t="s">
        <v>2143</v>
      </c>
      <c r="DN138" s="1751"/>
      <c r="DO138" s="0" t="s">
        <v>303</v>
      </c>
      <c r="DP138" s="0" t="s">
        <v>2144</v>
      </c>
      <c r="DQ138" s="0" t="s">
        <v>2145</v>
      </c>
      <c r="DR138" s="1751"/>
    </row>
    <row customHeight="1" ht="9.75">
      <c r="E139" s="180">
        <v>10</v>
      </c>
      <c r="U139" s="175" t="s">
        <v>191</v>
      </c>
      <c r="V139" s="176" t="s">
        <v>2146</v>
      </c>
      <c r="AA139" s="679"/>
      <c r="AB139" s="678"/>
      <c r="AC139" s="681"/>
      <c r="AD139" s="678"/>
      <c r="AE139" s="679"/>
      <c r="AF139" s="679"/>
      <c r="AG139" s="679"/>
      <c r="AH139" s="679"/>
      <c r="AI139" s="679"/>
      <c r="AJ139" s="679"/>
      <c r="AK139" s="679"/>
      <c r="AL139" s="679"/>
      <c r="AM139" s="679"/>
      <c r="AN139" s="679"/>
      <c r="AO139" s="679"/>
      <c r="AP139" s="679"/>
      <c r="AQ139" s="679"/>
      <c r="AR139" s="679"/>
      <c r="AS139" s="679"/>
      <c r="AT139" s="679"/>
      <c r="AU139" s="679"/>
      <c r="AV139" s="679"/>
      <c r="AW139" s="679"/>
      <c r="AX139" s="679"/>
      <c r="AY139" s="679"/>
      <c r="AZ139" s="679"/>
      <c r="BA139" s="679"/>
      <c r="BB139" s="679"/>
      <c r="BC139" s="679"/>
      <c r="BD139" s="679"/>
      <c r="BE139" s="679"/>
      <c r="BF139" s="679"/>
      <c r="BG139" s="679"/>
      <c r="BH139" s="679"/>
      <c r="BI139" s="679"/>
      <c r="BJ139" s="679"/>
      <c r="BK139" s="679"/>
      <c r="BL139" s="679"/>
      <c r="BM139" s="679"/>
      <c r="BN139" s="679"/>
      <c r="BO139" s="679"/>
      <c r="BP139" s="679"/>
      <c r="BQ139" s="679"/>
      <c r="BR139" s="679"/>
      <c r="BS139" s="679"/>
      <c r="BT139" s="679"/>
      <c r="BU139" s="679"/>
      <c r="BV139" s="679"/>
      <c r="BW139" s="679"/>
      <c r="BX139" s="679"/>
      <c r="BY139" s="679"/>
      <c r="BZ139" s="679"/>
      <c r="CA139" s="679"/>
      <c r="CB139" s="679"/>
      <c r="CC139" s="679"/>
      <c r="CD139" s="679"/>
      <c r="CE139" s="679"/>
      <c r="CF139" s="679"/>
      <c r="CG139" s="679"/>
      <c r="CH139" s="679"/>
      <c r="CI139" s="679"/>
      <c r="CJ139" s="679"/>
      <c r="CK139" s="679"/>
      <c r="CL139" s="679"/>
      <c r="CM139" s="679"/>
      <c r="CN139" s="679"/>
      <c r="CO139" s="679"/>
      <c r="CP139" s="679"/>
      <c r="CQ139" s="679"/>
      <c r="CR139" s="679"/>
      <c r="CS139" s="679"/>
      <c r="CT139" s="679"/>
      <c r="CU139" s="679"/>
    </row>
    <row customHeight="1" ht="11.25" hidden="1">
      <c r="E140" s="965">
        <v>0</v>
      </c>
      <c r="AA140" s="679"/>
      <c r="AB140" s="678"/>
      <c r="AC140" s="681"/>
      <c r="AD140" s="678"/>
      <c r="AE140" s="679"/>
      <c r="AF140" s="679"/>
      <c r="AG140" s="679"/>
      <c r="AH140" s="679"/>
      <c r="AI140" s="679"/>
      <c r="AJ140" s="679"/>
      <c r="AK140" s="679"/>
      <c r="AL140" s="679"/>
      <c r="AM140" s="679"/>
      <c r="AN140" s="679"/>
      <c r="AO140" s="679"/>
      <c r="AP140" s="679"/>
      <c r="AQ140" s="679"/>
      <c r="AR140" s="679"/>
      <c r="AS140" s="679"/>
      <c r="AT140" s="679"/>
      <c r="AU140" s="679"/>
      <c r="AV140" s="679"/>
      <c r="AW140" s="679"/>
      <c r="AX140" s="679"/>
      <c r="AY140" s="679"/>
      <c r="AZ140" s="679"/>
      <c r="BA140" s="679"/>
      <c r="BB140" s="679"/>
      <c r="BC140" s="679"/>
      <c r="BD140" s="679"/>
      <c r="BE140" s="679"/>
      <c r="BF140" s="679"/>
      <c r="BG140" s="679"/>
      <c r="BH140" s="679"/>
      <c r="BI140" s="679"/>
      <c r="BJ140" s="679"/>
      <c r="BK140" s="679"/>
      <c r="BL140" s="679"/>
      <c r="BM140" s="679"/>
      <c r="BN140" s="679"/>
      <c r="BO140" s="679"/>
      <c r="BP140" s="679"/>
      <c r="BQ140" s="679"/>
      <c r="BR140" s="679"/>
      <c r="BS140" s="679"/>
      <c r="BT140" s="679"/>
      <c r="BU140" s="679"/>
      <c r="BV140" s="679"/>
      <c r="BW140" s="679"/>
      <c r="BX140" s="679"/>
      <c r="BY140" s="679"/>
      <c r="BZ140" s="679"/>
      <c r="CA140" s="679"/>
      <c r="CB140" s="679"/>
      <c r="CC140" s="679"/>
      <c r="CD140" s="679"/>
      <c r="CE140" s="679"/>
      <c r="CF140" s="679"/>
      <c r="CG140" s="679"/>
      <c r="CH140" s="679"/>
      <c r="CI140" s="679"/>
      <c r="CJ140" s="679"/>
      <c r="CK140" s="679"/>
      <c r="CL140" s="679"/>
      <c r="CM140" s="679"/>
      <c r="CN140" s="679"/>
      <c r="CO140" s="679"/>
      <c r="CP140" s="679"/>
      <c r="CQ140" s="679"/>
      <c r="CR140" s="679"/>
      <c r="CS140" s="679"/>
      <c r="CT140" s="679"/>
      <c r="CU140" s="679"/>
    </row>
    <row customHeight="1" ht="14.625">
      <c r="E141" s="180">
        <v>15</v>
      </c>
      <c r="AA141" s="679"/>
      <c r="AB141" s="1653" t="s">
        <v>765</v>
      </c>
      <c r="AC141" s="1653"/>
      <c r="AD141" s="1653"/>
      <c r="AE141" s="1653"/>
      <c r="AF141" s="1653"/>
      <c r="AG141" s="1653"/>
      <c r="AH141" s="1653"/>
      <c r="AI141" s="1653"/>
      <c r="AJ141" s="1653"/>
      <c r="AK141" s="1653"/>
      <c r="AL141" s="1653"/>
      <c r="AM141" s="1653"/>
      <c r="AN141" s="1653"/>
      <c r="AO141" s="1653"/>
      <c r="AP141" s="1653"/>
      <c r="AQ141" s="1653"/>
      <c r="AR141" s="1653"/>
      <c r="AS141" s="1653"/>
      <c r="AT141" s="1653"/>
      <c r="AU141" s="1653"/>
      <c r="AV141" s="1653"/>
      <c r="AW141" s="1653"/>
      <c r="AX141" s="1653"/>
      <c r="AY141" s="1653"/>
      <c r="AZ141" s="1653"/>
      <c r="BA141" s="1653"/>
      <c r="BB141" s="1653"/>
      <c r="BC141" s="1653"/>
      <c r="BD141" s="1653"/>
      <c r="BE141" s="1653"/>
      <c r="BF141" s="1653"/>
      <c r="BG141" s="1653"/>
      <c r="BH141" s="1653"/>
      <c r="BI141" s="1653"/>
      <c r="BJ141" s="1653"/>
      <c r="BK141" s="1653"/>
      <c r="BL141" s="1653"/>
      <c r="BM141" s="1653"/>
      <c r="BN141" s="1653"/>
      <c r="BO141" s="1653"/>
      <c r="BP141" s="1653"/>
      <c r="BQ141" s="1653"/>
      <c r="BR141" s="1653"/>
      <c r="BS141" s="1653"/>
      <c r="BT141" s="1653"/>
      <c r="BU141" s="1653"/>
      <c r="BV141" s="1653"/>
      <c r="BW141" s="1653"/>
      <c r="BX141" s="1653"/>
      <c r="BY141" s="1653"/>
      <c r="BZ141" s="1653"/>
      <c r="CA141" s="1653"/>
      <c r="CB141" s="1653"/>
      <c r="CC141" s="1653"/>
      <c r="CD141" s="1653"/>
      <c r="CE141" s="1653"/>
      <c r="CF141" s="1653"/>
      <c r="CG141" s="1653"/>
      <c r="CH141" s="1653"/>
      <c r="CI141" s="1653"/>
      <c r="CJ141" s="1653"/>
      <c r="CK141" s="1653"/>
      <c r="CL141" s="1653"/>
      <c r="CM141" s="1653"/>
      <c r="CN141" s="1653"/>
      <c r="CO141" s="1653"/>
      <c r="CP141" s="1653"/>
      <c r="CQ141" s="1653"/>
      <c r="CR141" s="1653"/>
      <c r="CS141" s="1653"/>
      <c r="CT141" s="1653"/>
      <c r="CU141" s="679"/>
    </row>
    <row customHeight="1" ht="14.625">
      <c r="E142" s="180">
        <v>15</v>
      </c>
      <c r="AA142" s="477"/>
      <c r="AB142" s="1675"/>
      <c r="AC142" s="1676"/>
      <c r="AD142" s="1676"/>
      <c r="AE142" s="1676"/>
      <c r="AF142" s="1676"/>
      <c r="AG142" s="1676"/>
      <c r="AH142" s="1676"/>
      <c r="AI142" s="1676"/>
      <c r="AJ142" s="1676"/>
      <c r="AK142" s="1676"/>
      <c r="AL142" s="1676"/>
      <c r="AM142" s="1676"/>
      <c r="AN142" s="1676"/>
      <c r="AO142" s="1676"/>
      <c r="AP142" s="1676"/>
      <c r="AQ142" s="1676"/>
      <c r="AR142" s="1676"/>
      <c r="AS142" s="1676"/>
      <c r="AT142" s="1676"/>
      <c r="AU142" s="1676"/>
      <c r="AV142" s="1676"/>
      <c r="AW142" s="1676"/>
      <c r="AX142" s="1676"/>
      <c r="AY142" s="1676"/>
      <c r="AZ142" s="1676"/>
      <c r="BA142" s="1676"/>
      <c r="BB142" s="1676"/>
      <c r="BC142" s="1676"/>
      <c r="BD142" s="1676"/>
      <c r="BE142" s="1676"/>
      <c r="BF142" s="1676"/>
      <c r="BG142" s="1676"/>
      <c r="BH142" s="1676"/>
      <c r="BI142" s="1676"/>
      <c r="BJ142" s="1676"/>
      <c r="BK142" s="1676"/>
      <c r="BL142" s="1676"/>
      <c r="BM142" s="1676"/>
      <c r="BN142" s="1676"/>
      <c r="BO142" s="1676"/>
      <c r="BP142" s="1676"/>
      <c r="BQ142" s="1676"/>
      <c r="BR142" s="1676"/>
      <c r="BS142" s="1676"/>
      <c r="BT142" s="1676"/>
      <c r="BU142" s="1676"/>
      <c r="BV142" s="1676"/>
      <c r="BW142" s="1676"/>
      <c r="BX142" s="1676"/>
      <c r="BY142" s="1676"/>
      <c r="BZ142" s="1676"/>
      <c r="CA142" s="1676"/>
      <c r="CB142" s="1676"/>
      <c r="CC142" s="1676"/>
      <c r="CD142" s="1676"/>
      <c r="CE142" s="1676"/>
      <c r="CF142" s="1676"/>
      <c r="CG142" s="1676"/>
      <c r="CH142" s="1676"/>
      <c r="CI142" s="1676"/>
      <c r="CJ142" s="1676"/>
      <c r="CK142" s="1676"/>
      <c r="CL142" s="1676"/>
      <c r="CM142" s="1676"/>
      <c r="CN142" s="1676"/>
      <c r="CO142" s="1676"/>
      <c r="CP142" s="1676"/>
      <c r="CQ142" s="1676"/>
      <c r="CR142" s="1676"/>
      <c r="CS142" s="1676"/>
      <c r="CT142" s="1676"/>
      <c r="CU142" s="679"/>
    </row>
    <row customHeight="1" ht="14.625" hidden="1">
      <c r="A143" s="371"/>
      <c r="B143" s="1548"/>
      <c r="C143" s="1506"/>
      <c r="D143" s="1506"/>
      <c r="E143" s="180">
        <v>15</v>
      </c>
      <c r="F143" s="1548"/>
      <c r="G143" s="1659"/>
      <c r="H143" s="1659"/>
      <c r="I143" s="1659"/>
      <c r="J143" s="1659"/>
      <c r="K143" s="1659"/>
      <c r="L143" s="1659"/>
      <c r="M143" s="1506"/>
      <c r="N143" s="1506"/>
      <c r="O143" s="1506"/>
      <c r="P143" s="1506"/>
      <c r="Q143" s="1506"/>
      <c r="R143" s="1506"/>
      <c r="S143" s="1506"/>
      <c r="T143" s="753">
        <f>ROW(W143)&gt;ROW(W$143)</f>
        <v>0</v>
      </c>
      <c r="U143" s="1548"/>
      <c r="V143" s="1548"/>
      <c r="W143" s="175" t="s">
        <v>189</v>
      </c>
      <c r="X143" s="1548"/>
      <c r="Y143" s="1548"/>
      <c r="Z143" s="1548"/>
      <c r="AA143" s="477" t="s">
        <v>171</v>
      </c>
      <c r="AB143" s="2334"/>
      <c r="AC143" s="1676"/>
      <c r="AD143" s="1676"/>
      <c r="AE143" s="1676"/>
      <c r="AF143" s="1676"/>
      <c r="AG143" s="1676"/>
      <c r="AH143" s="1676"/>
      <c r="AI143" s="1676"/>
      <c r="AJ143" s="1676"/>
      <c r="AK143" s="1676"/>
      <c r="AL143" s="1676"/>
      <c r="AM143" s="1676"/>
      <c r="AN143" s="1676"/>
      <c r="AO143" s="1676"/>
      <c r="AP143" s="1676"/>
      <c r="AQ143" s="1676"/>
      <c r="AR143" s="1676"/>
      <c r="AS143" s="1676"/>
      <c r="AT143" s="1676"/>
      <c r="AU143" s="1676"/>
      <c r="AV143" s="1676"/>
      <c r="AW143" s="1676"/>
      <c r="AX143" s="1676"/>
      <c r="AY143" s="1676"/>
      <c r="AZ143" s="1676"/>
      <c r="BA143" s="1676"/>
      <c r="BB143" s="1676"/>
      <c r="BC143" s="1676"/>
      <c r="BD143" s="1676"/>
      <c r="BE143" s="1676"/>
      <c r="BF143" s="1676"/>
      <c r="BG143" s="1676"/>
      <c r="BH143" s="1676"/>
      <c r="BI143" s="1676"/>
      <c r="BJ143" s="1676"/>
      <c r="BK143" s="1676"/>
      <c r="BL143" s="1676"/>
      <c r="BM143" s="1676"/>
      <c r="BN143" s="1676"/>
      <c r="BO143" s="1676"/>
      <c r="BP143" s="1676"/>
      <c r="BQ143" s="1676"/>
      <c r="BR143" s="1676"/>
      <c r="BS143" s="1676"/>
      <c r="BT143" s="1676"/>
      <c r="BU143" s="1676"/>
      <c r="BV143" s="1676"/>
      <c r="BW143" s="1676"/>
      <c r="BX143" s="1676"/>
      <c r="BY143" s="1676"/>
      <c r="BZ143" s="1676"/>
      <c r="CA143" s="1676"/>
      <c r="CB143" s="1676"/>
      <c r="CC143" s="1676"/>
      <c r="CD143" s="1676"/>
      <c r="CE143" s="1676"/>
      <c r="CF143" s="1676"/>
      <c r="CG143" s="1676"/>
      <c r="CH143" s="1676"/>
      <c r="CI143" s="1676"/>
      <c r="CJ143" s="1676"/>
      <c r="CK143" s="1676"/>
      <c r="CL143" s="1676"/>
      <c r="CM143" s="1676"/>
      <c r="CN143" s="1676"/>
      <c r="CO143" s="1676"/>
      <c r="CP143" s="1676"/>
      <c r="CQ143" s="1676"/>
      <c r="CR143" s="1676"/>
      <c r="CS143" s="1676"/>
      <c r="CT143" s="1676"/>
      <c r="CU143" s="679"/>
      <c r="CV143" s="1659"/>
      <c r="CW143" s="1125"/>
      <c r="CX143" s="1125"/>
      <c r="CY143" s="1125"/>
      <c r="CZ143" s="1126"/>
      <c r="DA143" s="1126"/>
      <c r="DB143" s="1506"/>
      <c r="DC143" s="1506"/>
      <c r="DD143" s="1752"/>
      <c r="DE143" s="1752"/>
      <c r="DF143" s="1752"/>
      <c r="DG143" s="1752"/>
      <c r="DH143" s="1752"/>
      <c r="DI143" s="1752"/>
      <c r="DJ143" s="1752"/>
      <c r="DK143" s="1752"/>
      <c r="DL143" s="1752"/>
      <c r="DM143" s="1752"/>
      <c r="DN143" s="1752"/>
      <c r="DO143" s="1752"/>
      <c r="DP143" s="1752"/>
      <c r="DQ143" s="1752"/>
      <c r="DR143" s="1752"/>
    </row>
    <row customHeight="1" ht="14.625">
      <c r="E144" s="180">
        <v>15</v>
      </c>
      <c r="W144" s="176" t="s">
        <v>190</v>
      </c>
      <c r="AB144" s="1599" t="s">
        <v>766</v>
      </c>
      <c r="AC144" s="1600"/>
      <c r="AD144" s="480"/>
      <c r="AE144" s="480"/>
      <c r="AF144" s="480"/>
      <c r="AG144" s="480"/>
      <c r="AH144" s="480"/>
      <c r="AI144" s="480"/>
      <c r="AJ144" s="480"/>
      <c r="AK144" s="480"/>
      <c r="AL144" s="480"/>
      <c r="AM144" s="480"/>
      <c r="AN144" s="480"/>
      <c r="AO144" s="480"/>
      <c r="AP144" s="480"/>
      <c r="AQ144" s="480"/>
      <c r="AR144" s="480"/>
      <c r="AS144" s="480"/>
      <c r="AT144" s="480"/>
      <c r="AU144" s="480"/>
      <c r="AV144" s="480"/>
      <c r="AW144" s="480"/>
      <c r="AX144" s="480"/>
      <c r="AY144" s="480"/>
      <c r="AZ144" s="480"/>
      <c r="BA144" s="480"/>
      <c r="BB144" s="480"/>
      <c r="BC144" s="480"/>
      <c r="BD144" s="480"/>
      <c r="BE144" s="480"/>
      <c r="BF144" s="480"/>
      <c r="BG144" s="480"/>
      <c r="BH144" s="480"/>
      <c r="BI144" s="480"/>
      <c r="BJ144" s="480"/>
      <c r="BK144" s="480"/>
      <c r="BL144" s="480"/>
      <c r="BM144" s="480"/>
      <c r="BN144" s="480"/>
      <c r="BO144" s="480"/>
      <c r="BP144" s="480"/>
      <c r="BQ144" s="480"/>
      <c r="BR144" s="480"/>
      <c r="BS144" s="480"/>
      <c r="BT144" s="480"/>
      <c r="BU144" s="480"/>
      <c r="BV144" s="480"/>
      <c r="BW144" s="480"/>
      <c r="BX144" s="480"/>
      <c r="BY144" s="480"/>
      <c r="BZ144" s="480"/>
      <c r="CA144" s="480"/>
      <c r="CB144" s="480"/>
      <c r="CC144" s="480"/>
      <c r="CD144" s="480"/>
      <c r="CE144" s="480"/>
      <c r="CF144" s="480"/>
      <c r="CG144" s="480"/>
      <c r="CH144" s="480"/>
      <c r="CI144" s="480"/>
      <c r="CJ144" s="480"/>
      <c r="CK144" s="480"/>
      <c r="CL144" s="480"/>
      <c r="CM144" s="480"/>
      <c r="CN144" s="480"/>
      <c r="CO144" s="480"/>
      <c r="CP144" s="480"/>
      <c r="CQ144" s="480"/>
      <c r="CR144" s="480"/>
      <c r="CS144" s="480"/>
      <c r="CT144" s="482"/>
      <c r="CU144" s="679"/>
    </row>
    <row customHeight="1" ht="11.25">
      <c r="AA145" s="679"/>
      <c r="AB145" s="678"/>
      <c r="AC145" s="681"/>
      <c r="AD145" s="678"/>
      <c r="AE145" s="679"/>
      <c r="AF145" s="679"/>
      <c r="AG145" s="679"/>
      <c r="AH145" s="679"/>
      <c r="AI145" s="679"/>
      <c r="AJ145" s="679"/>
      <c r="AK145" s="679"/>
      <c r="AL145" s="679"/>
      <c r="AM145" s="679"/>
      <c r="AN145" s="679"/>
      <c r="AO145" s="679"/>
      <c r="AP145" s="679"/>
      <c r="AQ145" s="679"/>
      <c r="AR145" s="679"/>
      <c r="AS145" s="679"/>
      <c r="AT145" s="679"/>
      <c r="AU145" s="679"/>
      <c r="AV145" s="679"/>
      <c r="AW145" s="679"/>
      <c r="AX145" s="679"/>
      <c r="AY145" s="679"/>
      <c r="AZ145" s="679"/>
      <c r="BA145" s="679"/>
      <c r="BB145" s="679"/>
      <c r="BC145" s="679"/>
      <c r="BD145" s="679"/>
      <c r="BE145" s="679"/>
      <c r="BF145" s="679"/>
      <c r="BG145" s="679"/>
      <c r="BH145" s="679"/>
      <c r="BI145" s="679"/>
      <c r="BJ145" s="679"/>
      <c r="BK145" s="679"/>
      <c r="BL145" s="679"/>
      <c r="BM145" s="679"/>
      <c r="BN145" s="679"/>
      <c r="BO145" s="679"/>
      <c r="BP145" s="679"/>
      <c r="BQ145" s="679"/>
      <c r="BR145" s="679"/>
      <c r="BS145" s="679"/>
      <c r="BT145" s="679"/>
      <c r="BU145" s="679"/>
      <c r="BV145" s="679"/>
      <c r="BW145" s="679"/>
      <c r="BX145" s="679"/>
      <c r="BY145" s="679"/>
      <c r="BZ145" s="679"/>
      <c r="CA145" s="679"/>
      <c r="CB145" s="679"/>
      <c r="CC145" s="679"/>
      <c r="CD145" s="679"/>
      <c r="CE145" s="679"/>
      <c r="CF145" s="679"/>
      <c r="CG145" s="679"/>
      <c r="CH145" s="679"/>
      <c r="CI145" s="679"/>
      <c r="CJ145" s="679"/>
      <c r="CK145" s="679"/>
      <c r="CL145" s="679"/>
      <c r="CM145" s="679"/>
      <c r="CN145" s="679"/>
      <c r="CO145" s="679"/>
      <c r="CP145" s="679"/>
      <c r="CQ145" s="679"/>
      <c r="CR145" s="679"/>
      <c r="CS145" s="679"/>
      <c r="CT145" s="679"/>
      <c r="CU145" s="679"/>
    </row>
  </sheetData>
  <sheetProtection formatColumns="0" formatRows="0" insertRows="0" deleteColumns="0" deleteRows="0" sort="0" autoFilter="0" insertColumns="1"/>
  <mergeCells count="15">
    <mergeCell ref="X27:X82"/>
    <mergeCell ref="Z27:Z82"/>
    <mergeCell ref="AB144:AC144"/>
    <mergeCell ref="AB142:CT142"/>
    <mergeCell ref="CT24:CT25"/>
    <mergeCell ref="CR24:CR25"/>
    <mergeCell ref="CS24:CS25"/>
    <mergeCell ref="AB141:CT141"/>
    <mergeCell ref="AB24:AB25"/>
    <mergeCell ref="AC24:AC25"/>
    <mergeCell ref="AD24:AD25"/>
    <mergeCell ref="BX25:CQ25"/>
    <mergeCell ref="AB143:CT143"/>
    <mergeCell ref="X83:X138"/>
    <mergeCell ref="Z83:Z138"/>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0688F2-9AA8-3E1A-1168-97C8392EDED8}" mc:Ignorable="x14ac xr xr2 xr3">
  <sheetPr>
    <tabColor rgb="FF92D050"/>
    <outlinePr summaryRight="0" summaryBelow="0"/>
    <pageSetUpPr fitToPage="1"/>
  </sheetPr>
  <dimension ref="A1:BN1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371" width="4.421875" hidden="1" customWidth="1"/>
    <col min="2" max="2" style="1548" width="3.00390625" hidden="1" customWidth="1"/>
    <col min="3" max="4" style="1659" width="3.57421875" hidden="1" customWidth="1"/>
    <col min="5" max="5" style="1718" width="3.8515625" hidden="1" customWidth="1"/>
    <col min="6" max="6" style="1548" width="6.421875" hidden="1" customWidth="1"/>
    <col min="7" max="19" style="1659" width="3.57421875" hidden="1" customWidth="1"/>
    <col min="20" max="20" style="1548" width="8.281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77" width="8.00390625" customWidth="1"/>
    <col min="29" max="29" style="285" width="70.00390625" customWidth="1"/>
    <col min="30" max="30" style="277" width="14.00390625" customWidth="1"/>
    <col min="31" max="33" style="286" width="13.00390625" customWidth="1"/>
    <col min="34" max="34" style="286" width="19.00390625" customWidth="1"/>
    <col min="35" max="37" style="286" width="13.00390625" customWidth="1"/>
    <col min="38" max="38" style="286" width="36.00390625" customWidth="1"/>
    <col min="39" max="39" style="286" width="19.00390625" customWidth="1"/>
    <col min="40" max="40" style="286" width="17.00390625" customWidth="1"/>
    <col min="41" max="41" style="286" width="31.00390625" customWidth="1"/>
    <col min="42" max="42" style="286" width="3.00390625" customWidth="1"/>
    <col min="43" max="43" style="1659" width="9.140625" hidden="1"/>
    <col min="44" max="44" style="1142" width="9.140625" hidden="1"/>
    <col min="45" max="47" style="1506" width="9.140625" hidden="1"/>
    <col min="48" max="66" width="9.140625" hidden="1"/>
  </cols>
  <sheetData>
    <row s="1548" customFormat="1" customHeight="1" ht="11.25" hidden="1">
      <c r="A1" s="371"/>
      <c r="C1" s="193"/>
      <c r="D1" s="193"/>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J1" s="1548"/>
      <c r="AK1" s="1548"/>
      <c r="AL1" s="1548"/>
      <c r="AR1" s="309" t="s">
        <v>336</v>
      </c>
      <c r="AS1" s="175" t="s">
        <v>2147</v>
      </c>
      <c r="AT1" s="175" t="s">
        <v>2148</v>
      </c>
      <c r="AU1" s="1509" t="s">
        <v>2149</v>
      </c>
      <c r="AV1" s="0" t="s">
        <v>94</v>
      </c>
      <c r="AW1" s="0" t="s">
        <v>789</v>
      </c>
      <c r="AX1" s="0" t="s">
        <v>1515</v>
      </c>
      <c r="AY1" s="0" t="s">
        <v>2150</v>
      </c>
      <c r="AZ1" s="0" t="s">
        <v>1545</v>
      </c>
      <c r="BA1" s="0" t="s">
        <v>2151</v>
      </c>
      <c r="BB1" s="0" t="s">
        <v>1626</v>
      </c>
      <c r="BC1" s="0" t="s">
        <v>2152</v>
      </c>
      <c r="BD1" s="0" t="s">
        <v>2153</v>
      </c>
      <c r="BE1" s="0" t="s">
        <v>2154</v>
      </c>
      <c r="BF1" s="0" t="s">
        <v>1600</v>
      </c>
      <c r="BG1" s="0" t="s">
        <v>620</v>
      </c>
      <c r="BH1" s="0" t="s">
        <v>794</v>
      </c>
      <c r="BI1" s="0" t="s">
        <v>1943</v>
      </c>
      <c r="BJ1" s="0" t="s">
        <v>595</v>
      </c>
      <c r="BK1" s="0" t="s">
        <v>110</v>
      </c>
      <c r="BL1" s="0" t="s">
        <v>112</v>
      </c>
      <c r="BM1" s="0" t="s">
        <v>113</v>
      </c>
      <c r="BN1" s="0" t="s">
        <v>114</v>
      </c>
    </row>
    <row s="1548" customFormat="1" customHeight="1" ht="11.25" hidden="1">
      <c r="A2" s="371"/>
      <c r="B2" s="179" t="s">
        <v>16</v>
      </c>
      <c r="C2" s="193"/>
      <c r="D2" s="193"/>
      <c r="G2" s="193"/>
      <c r="H2" s="193"/>
      <c r="I2" s="193"/>
      <c r="J2" s="193"/>
      <c r="K2" s="193"/>
      <c r="L2" s="193"/>
      <c r="M2" s="193"/>
      <c r="N2" s="193"/>
      <c r="O2" s="193"/>
      <c r="P2" s="193"/>
      <c r="Q2" s="193"/>
      <c r="R2" s="193"/>
      <c r="S2" s="193"/>
      <c r="AC2" s="176"/>
      <c r="AF2" s="179" cm="1" t="str">
        <f t="array" ref="AF2:AF2">isOrgDeclare</f>
        <v>true</v>
      </c>
      <c r="AH2" s="179" cm="1" t="str">
        <f t="array" ref="AH2:AH2">isOrgDeclare</f>
        <v>true</v>
      </c>
      <c r="AJ2" s="179">
        <f>AND(AJ9&lt;=last_year_vis,isOrgDeclare)</f>
        <v>1</v>
      </c>
      <c r="AK2" s="179">
        <f>AK9&lt;=last_year_vis</f>
        <v>1</v>
      </c>
      <c r="AL2" s="179">
        <f>AL9&lt;=last_year_vis</f>
        <v>1</v>
      </c>
      <c r="AR2" s="309"/>
      <c r="AU2" s="1509"/>
      <c r="AV2" s="0"/>
      <c r="AW2" s="0"/>
      <c r="AX2" s="0"/>
      <c r="AY2" s="0"/>
      <c r="AZ2" s="0"/>
      <c r="BA2" s="0"/>
      <c r="BB2" s="0"/>
      <c r="BC2" s="0"/>
      <c r="BD2" s="0"/>
      <c r="BE2" s="0"/>
      <c r="BF2" s="0"/>
      <c r="BG2" s="0"/>
      <c r="BH2" s="0"/>
      <c r="BI2" s="0"/>
      <c r="BJ2" s="0"/>
      <c r="BK2" s="0"/>
      <c r="BL2" s="0"/>
      <c r="BM2" s="0"/>
      <c r="BN2" s="0"/>
    </row>
    <row s="1548" customFormat="1" customHeight="1" ht="11.25" hidden="1">
      <c r="A3" s="371"/>
      <c r="C3" s="193"/>
      <c r="D3" s="193"/>
      <c r="G3" s="193"/>
      <c r="H3" s="193"/>
      <c r="I3" s="193"/>
      <c r="J3" s="193"/>
      <c r="K3" s="193"/>
      <c r="L3" s="193"/>
      <c r="M3" s="193"/>
      <c r="N3" s="193"/>
      <c r="O3" s="193"/>
      <c r="P3" s="193"/>
      <c r="Q3" s="193"/>
      <c r="R3" s="193"/>
      <c r="S3" s="193"/>
      <c r="AC3" s="176"/>
      <c r="AJ3" s="1548"/>
      <c r="AK3" s="1548"/>
      <c r="AL3" s="1548"/>
      <c r="AR3" s="309"/>
      <c r="AU3" s="1509"/>
      <c r="AV3" s="0"/>
      <c r="AW3" s="0"/>
      <c r="AX3" s="0"/>
      <c r="AY3" s="0"/>
      <c r="AZ3" s="0"/>
      <c r="BA3" s="0"/>
      <c r="BB3" s="0"/>
      <c r="BC3" s="0"/>
      <c r="BD3" s="0"/>
      <c r="BE3" s="0"/>
      <c r="BF3" s="0"/>
      <c r="BG3" s="0"/>
      <c r="BH3" s="0"/>
      <c r="BI3" s="0"/>
      <c r="BJ3" s="0"/>
      <c r="BK3" s="0"/>
      <c r="BL3" s="0"/>
      <c r="BM3" s="0"/>
      <c r="BN3" s="0"/>
    </row>
    <row s="1548" customFormat="1" customHeight="1" ht="11.25" hidden="1">
      <c r="A4" s="371"/>
      <c r="C4" s="193"/>
      <c r="D4" s="193"/>
      <c r="G4" s="193"/>
      <c r="H4" s="193"/>
      <c r="I4" s="193"/>
      <c r="J4" s="193"/>
      <c r="K4" s="193"/>
      <c r="L4" s="193"/>
      <c r="M4" s="193"/>
      <c r="N4" s="193"/>
      <c r="O4" s="193"/>
      <c r="P4" s="193"/>
      <c r="Q4" s="193"/>
      <c r="R4" s="193"/>
      <c r="S4" s="193"/>
      <c r="AC4" s="176"/>
      <c r="AJ4" s="1548"/>
      <c r="AK4" s="1548"/>
      <c r="AL4" s="1548"/>
      <c r="AR4" s="309"/>
      <c r="AU4" s="1509"/>
      <c r="AV4" s="0"/>
      <c r="AW4" s="0"/>
      <c r="AX4" s="0"/>
      <c r="AY4" s="0"/>
      <c r="AZ4" s="0"/>
      <c r="BA4" s="0"/>
      <c r="BB4" s="0"/>
      <c r="BC4" s="0"/>
      <c r="BD4" s="0"/>
      <c r="BE4" s="0"/>
      <c r="BF4" s="0"/>
      <c r="BG4" s="0"/>
      <c r="BH4" s="0"/>
      <c r="BI4" s="0"/>
      <c r="BJ4" s="0"/>
      <c r="BK4" s="0"/>
      <c r="BL4" s="0"/>
      <c r="BM4" s="0"/>
      <c r="BN4" s="0"/>
    </row>
    <row s="1718" customFormat="1" customHeight="1" ht="11.25" hidden="1">
      <c r="A5" s="371"/>
      <c r="B5" s="175"/>
      <c r="C5" s="193"/>
      <c r="D5" s="193"/>
      <c r="E5" s="180" t="s">
        <v>17</v>
      </c>
      <c r="G5" s="194"/>
      <c r="H5" s="194"/>
      <c r="I5" s="194"/>
      <c r="J5" s="194"/>
      <c r="K5" s="194"/>
      <c r="L5" s="194"/>
      <c r="M5" s="194"/>
      <c r="N5" s="194"/>
      <c r="O5" s="194"/>
      <c r="P5" s="194"/>
      <c r="Q5" s="194"/>
      <c r="R5" s="194"/>
      <c r="S5" s="194"/>
      <c r="AA5" s="180">
        <v>3</v>
      </c>
      <c r="AB5" s="180">
        <v>8</v>
      </c>
      <c r="AC5" s="284">
        <v>70</v>
      </c>
      <c r="AD5" s="180">
        <v>14</v>
      </c>
      <c r="AE5" s="180">
        <v>13</v>
      </c>
      <c r="AF5" s="180">
        <v>13</v>
      </c>
      <c r="AG5" s="180">
        <v>13</v>
      </c>
      <c r="AH5" s="180">
        <v>19</v>
      </c>
      <c r="AI5" s="180">
        <v>13</v>
      </c>
      <c r="AJ5" s="180">
        <v>13</v>
      </c>
      <c r="AK5" s="180">
        <v>13</v>
      </c>
      <c r="AL5" s="180">
        <v>36</v>
      </c>
      <c r="AM5" s="180">
        <v>19</v>
      </c>
      <c r="AN5" s="180">
        <v>17</v>
      </c>
      <c r="AO5" s="180">
        <v>31</v>
      </c>
      <c r="AP5" s="180">
        <v>3</v>
      </c>
      <c r="AR5" s="309"/>
      <c r="AV5" s="1729"/>
      <c r="AW5" s="1729"/>
      <c r="AX5" s="1729"/>
      <c r="AY5" s="1729"/>
      <c r="AZ5" s="1729"/>
      <c r="BA5" s="1729"/>
      <c r="BB5" s="1729"/>
      <c r="BC5" s="1729"/>
      <c r="BD5" s="1729"/>
      <c r="BE5" s="1729"/>
      <c r="BF5" s="1729"/>
      <c r="BG5" s="1729"/>
      <c r="BH5" s="1729"/>
      <c r="BI5" s="1729"/>
      <c r="BJ5" s="1729"/>
      <c r="BK5" s="1729"/>
      <c r="BL5" s="1729"/>
      <c r="BM5" s="1729"/>
      <c r="BN5" s="1729"/>
    </row>
    <row s="1548" customFormat="1" customHeight="1" ht="11.25" hidden="1">
      <c r="A6" s="371"/>
      <c r="C6" s="193"/>
      <c r="D6" s="193"/>
      <c r="E6" s="180"/>
      <c r="G6" s="193"/>
      <c r="H6" s="193"/>
      <c r="I6" s="193"/>
      <c r="J6" s="193"/>
      <c r="K6" s="193"/>
      <c r="L6" s="193"/>
      <c r="M6" s="193"/>
      <c r="N6" s="193"/>
      <c r="O6" s="193"/>
      <c r="P6" s="193"/>
      <c r="Q6" s="193"/>
      <c r="R6" s="193"/>
      <c r="S6" s="193"/>
      <c r="AC6" s="176"/>
      <c r="AJ6" s="1548"/>
      <c r="AK6" s="1548"/>
      <c r="AL6" s="1548"/>
      <c r="AR6" s="309"/>
      <c r="AU6" s="1509"/>
      <c r="AV6" s="0"/>
      <c r="AW6" s="0"/>
      <c r="AX6" s="0"/>
      <c r="AY6" s="0"/>
      <c r="AZ6" s="0"/>
      <c r="BA6" s="0"/>
      <c r="BB6" s="0"/>
      <c r="BC6" s="0"/>
      <c r="BD6" s="0"/>
      <c r="BE6" s="0"/>
      <c r="BF6" s="0"/>
      <c r="BG6" s="0"/>
      <c r="BH6" s="0"/>
      <c r="BI6" s="0"/>
      <c r="BJ6" s="0"/>
      <c r="BK6" s="0"/>
      <c r="BL6" s="0"/>
      <c r="BM6" s="0"/>
      <c r="BN6" s="0"/>
    </row>
    <row customHeight="1" ht="11.25" hidden="1">
      <c r="F7" s="193"/>
      <c r="T7" s="193"/>
      <c r="U7" s="193"/>
      <c r="V7" s="193"/>
      <c r="W7" s="193"/>
      <c r="X7" s="193"/>
      <c r="Y7" s="193"/>
      <c r="Z7" s="193"/>
      <c r="AA7" s="193"/>
      <c r="AB7" s="193"/>
      <c r="AC7" s="308"/>
      <c r="AD7" s="193"/>
      <c r="AE7" s="193"/>
      <c r="AF7" s="193"/>
      <c r="AG7" s="193"/>
      <c r="AH7" s="193"/>
      <c r="AI7" s="193"/>
      <c r="AJ7" s="193"/>
      <c r="AK7" s="193"/>
      <c r="AL7" s="193"/>
      <c r="AM7" s="193"/>
      <c r="AN7" s="193"/>
      <c r="AO7" s="193"/>
      <c r="AP7" s="193"/>
    </row>
    <row customHeight="1" ht="11.25" hidden="1">
      <c r="F8" s="193"/>
      <c r="T8" s="193"/>
      <c r="U8" s="193"/>
      <c r="V8" s="193"/>
      <c r="W8" s="193"/>
      <c r="X8" s="193"/>
      <c r="Y8" s="193"/>
      <c r="Z8" s="193"/>
      <c r="AA8" s="193"/>
      <c r="AB8" s="193"/>
      <c r="AC8" s="308"/>
      <c r="AD8" s="193"/>
      <c r="AE8" s="193"/>
      <c r="AF8" s="193"/>
      <c r="AG8" s="193"/>
      <c r="AH8" s="193"/>
      <c r="AI8" s="193"/>
      <c r="AJ8" s="193"/>
      <c r="AK8" s="193"/>
      <c r="AL8" s="193"/>
      <c r="AM8" s="193"/>
      <c r="AN8" s="193"/>
      <c r="AO8" s="193"/>
      <c r="AP8" s="193"/>
    </row>
    <row s="1143" customFormat="1" customHeight="1" ht="11.25" hidden="1">
      <c r="A9" s="309" t="s">
        <v>403</v>
      </c>
      <c r="AE9" s="312">
        <f>god-2</f>
        <v>2025</v>
      </c>
      <c r="AF9" s="312">
        <f>god-2</f>
        <v>2025</v>
      </c>
      <c r="AG9" s="312">
        <f>god-2</f>
        <v>2025</v>
      </c>
      <c r="AH9" s="312">
        <f>god-2</f>
        <v>2025</v>
      </c>
      <c r="AI9" s="312">
        <f>god-1</f>
        <v>2026</v>
      </c>
      <c r="AJ9" s="312" cm="1" t="str">
        <f t="array" ref="AJ9:AJ9">god</f>
        <v>2027</v>
      </c>
      <c r="AK9" s="312" cm="1" t="str">
        <f t="array" ref="AK9:AK9">god</f>
        <v>2027</v>
      </c>
      <c r="AL9" s="312" cm="1" t="str">
        <f t="array" ref="AL9:AL9">god</f>
        <v>2027</v>
      </c>
      <c r="AR9" s="309"/>
      <c r="AV9" s="1730"/>
      <c r="AW9" s="1730"/>
      <c r="AX9" s="1730"/>
      <c r="AY9" s="1730"/>
      <c r="AZ9" s="1730"/>
      <c r="BA9" s="1730"/>
      <c r="BB9" s="1730"/>
      <c r="BC9" s="1730"/>
      <c r="BD9" s="1730"/>
      <c r="BE9" s="1730"/>
      <c r="BF9" s="1730"/>
      <c r="BG9" s="1730"/>
      <c r="BH9" s="1730"/>
      <c r="BI9" s="1730"/>
      <c r="BJ9" s="1730"/>
      <c r="BK9" s="1730"/>
      <c r="BL9" s="1730"/>
      <c r="BM9" s="1730"/>
      <c r="BN9" s="1730"/>
    </row>
    <row s="1143" customFormat="1" customHeight="1" ht="11.25" hidden="1">
      <c r="A10" s="309" t="s">
        <v>404</v>
      </c>
      <c r="AE10" s="312" cm="1" t="str">
        <f t="array" ref="AE10:AE10">AE25</f>
        <v>Принято органом регулирования</v>
      </c>
      <c r="AF10" s="312" cm="1" t="str">
        <f t="array" ref="AF10:AF10">AF25</f>
        <v>Факт по данным организации</v>
      </c>
      <c r="AG10" s="312" cm="1" t="str">
        <f t="array" ref="AG10:AG10">AG25</f>
        <v>Факт, принятый органом регулирования</v>
      </c>
      <c r="AH10" s="312" cm="1" t="str">
        <f t="array" ref="AH10:AH10">AH25</f>
        <v>отклонение факта по данным организации к факту принятому органом регулирования</v>
      </c>
      <c r="AI10" s="312" cm="1" t="str">
        <f t="array" ref="AI10:AI10">AI25</f>
        <v>Принято органом регулирования</v>
      </c>
      <c r="AJ10" s="312" cm="1" t="str">
        <f t="array" ref="AJ10:AJ10">AJ25</f>
        <v>Предложение организации</v>
      </c>
      <c r="AK10" s="312" cm="1" t="str">
        <f t="array" ref="AK10:AK10">AK25</f>
        <v>Принято органом регулирования</v>
      </c>
      <c r="AL10" s="312"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309"/>
      <c r="AV10" s="1730"/>
      <c r="AW10" s="1730"/>
      <c r="AX10" s="1730"/>
      <c r="AY10" s="1730"/>
      <c r="AZ10" s="1730"/>
      <c r="BA10" s="1730"/>
      <c r="BB10" s="1730"/>
      <c r="BC10" s="1730"/>
      <c r="BD10" s="1730"/>
      <c r="BE10" s="1730"/>
      <c r="BF10" s="1730"/>
      <c r="BG10" s="1730"/>
      <c r="BH10" s="1730"/>
      <c r="BI10" s="1730"/>
      <c r="BJ10" s="1730"/>
      <c r="BK10" s="1730"/>
      <c r="BL10" s="1730"/>
      <c r="BM10" s="1730"/>
      <c r="BN10" s="1730"/>
    </row>
    <row s="1143" customFormat="1" customHeight="1" ht="11.25" hidden="1">
      <c r="A11" s="309" t="s">
        <v>405</v>
      </c>
      <c r="C11" s="483"/>
      <c r="D11" s="483"/>
      <c r="G11" s="483"/>
      <c r="H11" s="483"/>
      <c r="I11" s="483"/>
      <c r="J11" s="483"/>
      <c r="K11" s="483"/>
      <c r="L11" s="483"/>
      <c r="M11" s="483"/>
      <c r="N11" s="483"/>
      <c r="O11" s="483"/>
      <c r="P11" s="483"/>
      <c r="Q11" s="483"/>
      <c r="R11" s="483"/>
      <c r="S11" s="483"/>
      <c r="AC11" s="326"/>
      <c r="AJ11" s="1143"/>
      <c r="AK11" s="1143"/>
      <c r="AL11" s="1143"/>
      <c r="AM11" s="312" cm="1" t="str">
        <f t="array" ref="AM11:AM11">AM24</f>
        <v>Указание на подтверждающие документы / URL-ссылка на копии подтверждающих документов</v>
      </c>
      <c r="AN11" s="312" cm="1" t="str">
        <f t="array" ref="AN11:AN11">AN24</f>
        <v>Ссылка на правовую норму (основание для принятия показателя в расчет тарифа)</v>
      </c>
      <c r="AO11" s="312"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309"/>
      <c r="AV11" s="1730"/>
      <c r="AW11" s="1730"/>
      <c r="AX11" s="1730"/>
      <c r="AY11" s="1730"/>
      <c r="AZ11" s="1730"/>
      <c r="BA11" s="1730"/>
      <c r="BB11" s="1730"/>
      <c r="BC11" s="1730"/>
      <c r="BD11" s="1730"/>
      <c r="BE11" s="1730"/>
      <c r="BF11" s="1730"/>
      <c r="BG11" s="1730"/>
      <c r="BH11" s="1730"/>
      <c r="BI11" s="1730"/>
      <c r="BJ11" s="1730"/>
      <c r="BK11" s="1730"/>
      <c r="BL11" s="1730"/>
      <c r="BM11" s="1730"/>
      <c r="BN11" s="1730"/>
    </row>
    <row customHeight="1" ht="11.25" hidden="1">
      <c r="A12" s="0" t="s">
        <v>109</v>
      </c>
      <c r="AE12" s="0" t="str">
        <f>"389.0."&amp;AE$9-2010&amp;"."</f>
        <v>389.0.15.</v>
      </c>
      <c r="AF12" s="0" t="str">
        <f>"389.0."&amp;AF$9-2010&amp;"."</f>
        <v>389.0.15.</v>
      </c>
      <c r="AG12" s="0" t="str">
        <f>"389.0."&amp;AG$9-2010&amp;"."</f>
        <v>389.0.15.</v>
      </c>
      <c r="AH12" s="0" t="str">
        <f>"389.0."&amp;AH$9-2010&amp;"."</f>
        <v>389.0.15.</v>
      </c>
      <c r="AI12" s="0" t="str">
        <f>"389.0."&amp;AI$9-2010&amp;"."</f>
        <v>389.0.16.</v>
      </c>
      <c r="AJ12" s="0" t="str">
        <f>"389.0."&amp;AJ$9-2010&amp;"."</f>
        <v>389.0.17.</v>
      </c>
      <c r="AK12" s="0" t="str">
        <f>"389.0."&amp;AK$9-2010&amp;"."</f>
        <v>389.0.17.</v>
      </c>
      <c r="AL12" s="0" t="str">
        <f>"389.0."&amp;AL$9-2010&amp;"."</f>
        <v>389.0.17.</v>
      </c>
    </row>
    <row customHeight="1" ht="11.25" hidden="1">
      <c r="A13" s="0" t="s">
        <v>406</v>
      </c>
      <c r="AE13" s="0" cm="1" t="str">
        <f t="array" ref="AE13:AE13">IF($A13="uni_org_reg_NAME",INDEX(org_reg_values,MATCH(AE$10,org_reg_codes,0),1),IF($A13="uni_pf_NAME",INDEX(pf_codes_values,MATCH(AE$10,pf_codes,0),1),""))</f>
        <v>328.0.2.</v>
      </c>
      <c r="AF13" s="0" cm="1" t="str">
        <f t="array" ref="AF13:AF13">IF($A13="uni_org_reg_NAME",INDEX(org_reg_values,MATCH(AF$10,org_reg_codes,0),1),IF($A13="uni_pf_NAME",INDEX(pf_codes_values,MATCH(AF$10,pf_codes,0),1),""))</f>
        <v>328.0.1.</v>
      </c>
      <c r="AG13" s="0" cm="1" t="str">
        <f t="array" ref="AG13:AG13">IF($A13="uni_org_reg_NAME",INDEX(org_reg_values,MATCH(AG$10,org_reg_codes,0),1),IF($A13="uni_pf_NAME",INDEX(pf_codes_values,MATCH(AG$10,pf_codes,0),1),""))</f>
        <v>328.0.2.</v>
      </c>
      <c r="AH13" s="0" cm="1" t="str">
        <f t="array" ref="AH13:AH13">IF($A13="uni_org_reg_NAME",INDEX(org_reg_values,MATCH(AH$10,org_reg_codes,0),1),IF($A13="uni_pf_NAME",INDEX(pf_codes_values,MATCH(AH$10,pf_codes,0),1),""))</f>
        <v>328.0.1.</v>
      </c>
      <c r="AI13" s="0" cm="1" t="str">
        <f t="array" ref="AI13:AI13">IF($A13="uni_org_reg_NAME",INDEX(org_reg_values,MATCH(AI$10,org_reg_codes,0),1),IF($A13="uni_pf_NAME",INDEX(pf_codes_values,MATCH(AI$10,pf_codes,0),1),""))</f>
        <v>328.0.2.</v>
      </c>
      <c r="AJ13" s="0" cm="1" t="str">
        <f t="array" ref="AJ13:AJ13">IF($A13="uni_org_reg_NAME",INDEX(org_reg_values,MATCH(AJ$10,org_reg_codes,0),1),IF($A13="uni_pf_NAME",INDEX(pf_codes_values,MATCH(AJ$10,pf_codes,0),1),""))</f>
        <v>328.0.1.</v>
      </c>
      <c r="AK13" s="0" cm="1" t="str">
        <f t="array" ref="AK13:AK13">IF($A13="uni_org_reg_NAME",INDEX(org_reg_values,MATCH(AK$10,org_reg_codes,0),1),IF($A13="uni_pf_NAME",INDEX(pf_codes_values,MATCH(AK$10,pf_codes,0),1),""))</f>
        <v>328.0.2.</v>
      </c>
      <c r="AL13" s="0" t="s">
        <v>407</v>
      </c>
    </row>
    <row customHeight="1" ht="11.25" hidden="1">
      <c r="A14" s="0" t="s">
        <v>409</v>
      </c>
      <c r="AE14" s="0" cm="1" t="str">
        <f t="array" ref="AE14:AE14">IF($A14="uni_org_reg_NAME",INDEX(org_reg_values,MATCH(AE$10,org_reg_codes,0),1),IF($A14="uni_pf_NAME",INDEX(pf_codes_values,MATCH(AE$10,pf_codes,0),1),""))</f>
        <v>36.0.7.</v>
      </c>
      <c r="AF14" s="0" cm="1" t="str">
        <f t="array" ref="AF14:AF14">IF($A14="uni_org_reg_NAME",INDEX(org_reg_values,MATCH(AF$10,org_reg_codes,0),1),IF($A14="uni_pf_NAME",INDEX(pf_codes_values,MATCH(AF$10,pf_codes,0),1),""))</f>
        <v>36.0.1.</v>
      </c>
      <c r="AG14" s="0" cm="1" t="str">
        <f t="array" ref="AG14:AG14">IF($A14="uni_org_reg_NAME",INDEX(org_reg_values,MATCH(AG$10,org_reg_codes,0),1),IF($A14="uni_pf_NAME",INDEX(pf_codes_values,MATCH(AG$10,pf_codes,0),1),""))</f>
        <v>36.0.1.</v>
      </c>
      <c r="AI14" s="0" cm="1" t="str">
        <f t="array" ref="AI14:AI14">IF($A14="uni_org_reg_NAME",INDEX(org_reg_values,MATCH(AI$10,org_reg_codes,0),1),IF($A14="uni_pf_NAME",INDEX(pf_codes_values,MATCH(AI$10,pf_codes,0),1),""))</f>
        <v>36.0.7.</v>
      </c>
      <c r="AJ14" s="0" cm="1" t="str">
        <f t="array" ref="AJ14:AJ14">IF($A14="uni_org_reg_NAME",INDEX(org_reg_values,MATCH(AJ$10,org_reg_codes,0),1),IF($A14="uni_pf_NAME",INDEX(pf_codes_values,MATCH(AJ$10,pf_codes,0),1),""))</f>
        <v>36.0.3.</v>
      </c>
      <c r="AK14" s="0" cm="1" t="str">
        <f t="array" ref="AK14:AK14">IF($A14="uni_org_reg_NAME",INDEX(org_reg_values,MATCH(AK$10,org_reg_codes,0),1),IF($A14="uni_pf_NAME",INDEX(pf_codes_values,MATCH(AK$10,pf_codes,0),1),""))</f>
        <v>36.0.7.</v>
      </c>
      <c r="AL14" s="286"/>
    </row>
    <row customHeight="1" ht="11.25" hidden="1">
      <c r="A15" s="0" t="s">
        <v>351</v>
      </c>
      <c r="AJ15" s="286"/>
      <c r="AK15" s="286"/>
      <c r="AL15" s="286"/>
      <c r="AM15" s="0" t="s">
        <v>178</v>
      </c>
      <c r="AN15" s="0" t="s">
        <v>178</v>
      </c>
      <c r="AO15" s="0" t="s">
        <v>178</v>
      </c>
    </row>
    <row customHeight="1" ht="11.25" hidden="1">
      <c r="A16" s="0" t="s">
        <v>352</v>
      </c>
      <c r="AJ16" s="286"/>
      <c r="AK16" s="286"/>
      <c r="AL16" s="286"/>
      <c r="AM16" s="0" t="s">
        <v>798</v>
      </c>
      <c r="AN16" s="0" t="s">
        <v>622</v>
      </c>
      <c r="AO16" s="0" t="s">
        <v>1601</v>
      </c>
    </row>
    <row customHeight="1" ht="11.25" hidden="1">
      <c r="A17" s="0" t="s">
        <v>379</v>
      </c>
      <c r="AJ17" s="286"/>
      <c r="AK17" s="286"/>
      <c r="AL17" s="286"/>
      <c r="AM17" s="0" t="s">
        <v>799</v>
      </c>
      <c r="AN17" s="0" t="s">
        <v>623</v>
      </c>
      <c r="AO17" s="0" t="s">
        <v>1602</v>
      </c>
    </row>
    <row s="1548" customFormat="1" customHeight="1" ht="11.25" hidden="1">
      <c r="A18" s="371"/>
      <c r="C18" s="193"/>
      <c r="D18" s="193"/>
      <c r="E18" s="180"/>
      <c r="G18" s="193"/>
      <c r="H18" s="193"/>
      <c r="I18" s="193"/>
      <c r="J18" s="193"/>
      <c r="K18" s="193"/>
      <c r="L18" s="193"/>
      <c r="M18" s="193"/>
      <c r="N18" s="193"/>
      <c r="O18" s="193"/>
      <c r="P18" s="193"/>
      <c r="Q18" s="193"/>
      <c r="R18" s="193"/>
      <c r="S18" s="193"/>
      <c r="AC18" s="176"/>
      <c r="AJ18" s="1548"/>
      <c r="AK18" s="1548"/>
      <c r="AL18" s="1548"/>
      <c r="AR18" s="309"/>
      <c r="AU18" s="1509"/>
      <c r="AV18" s="0"/>
      <c r="AW18" s="0"/>
      <c r="AX18" s="0"/>
      <c r="AY18" s="0"/>
      <c r="AZ18" s="0"/>
      <c r="BA18" s="0"/>
      <c r="BB18" s="0"/>
      <c r="BC18" s="0"/>
      <c r="BD18" s="0"/>
      <c r="BE18" s="0"/>
      <c r="BF18" s="0"/>
      <c r="BG18" s="0"/>
      <c r="BH18" s="0"/>
      <c r="BI18" s="0"/>
      <c r="BJ18" s="0"/>
      <c r="BK18" s="0"/>
      <c r="BL18" s="0"/>
      <c r="BM18" s="0"/>
      <c r="BN18" s="0"/>
    </row>
    <row s="1548" customFormat="1" customHeight="1" ht="11.25" hidden="1">
      <c r="A19" s="371"/>
      <c r="C19" s="193"/>
      <c r="D19" s="193"/>
      <c r="E19" s="180"/>
      <c r="G19" s="193"/>
      <c r="H19" s="193"/>
      <c r="I19" s="193"/>
      <c r="J19" s="193"/>
      <c r="K19" s="193"/>
      <c r="L19" s="193"/>
      <c r="M19" s="193"/>
      <c r="N19" s="193"/>
      <c r="O19" s="193"/>
      <c r="P19" s="193"/>
      <c r="Q19" s="193"/>
      <c r="R19" s="193"/>
      <c r="S19" s="193"/>
      <c r="AC19" s="176"/>
      <c r="AJ19" s="1548"/>
      <c r="AK19" s="1548"/>
      <c r="AL19" s="1548"/>
      <c r="AR19" s="309"/>
      <c r="AU19" s="1509"/>
      <c r="AV19" s="0"/>
      <c r="AW19" s="0"/>
      <c r="AX19" s="0"/>
      <c r="AY19" s="0"/>
      <c r="AZ19" s="0"/>
      <c r="BA19" s="0"/>
      <c r="BB19" s="0"/>
      <c r="BC19" s="0"/>
      <c r="BD19" s="0"/>
      <c r="BE19" s="0"/>
      <c r="BF19" s="0"/>
      <c r="BG19" s="0"/>
      <c r="BH19" s="0"/>
      <c r="BI19" s="0"/>
      <c r="BJ19" s="0"/>
      <c r="BK19" s="0"/>
      <c r="BL19" s="0"/>
      <c r="BM19" s="0"/>
      <c r="BN19" s="0"/>
    </row>
    <row s="1548" customFormat="1" customHeight="1" ht="11.25" hidden="1">
      <c r="A20" s="371"/>
      <c r="C20" s="193"/>
      <c r="D20" s="193"/>
      <c r="E20" s="180"/>
      <c r="G20" s="193"/>
      <c r="H20" s="193"/>
      <c r="I20" s="193"/>
      <c r="J20" s="193"/>
      <c r="K20" s="193"/>
      <c r="L20" s="193"/>
      <c r="M20" s="193"/>
      <c r="N20" s="193"/>
      <c r="O20" s="193"/>
      <c r="P20" s="193"/>
      <c r="Q20" s="193"/>
      <c r="R20" s="193"/>
      <c r="S20" s="193"/>
      <c r="AC20" s="176"/>
      <c r="AJ20" s="1548"/>
      <c r="AK20" s="1548"/>
      <c r="AL20" s="1548"/>
      <c r="AR20" s="309"/>
      <c r="AU20" s="1509"/>
      <c r="AV20" s="0"/>
      <c r="AW20" s="0"/>
      <c r="AX20" s="0"/>
      <c r="AY20" s="0"/>
      <c r="AZ20" s="0"/>
      <c r="BA20" s="0"/>
      <c r="BB20" s="0"/>
      <c r="BC20" s="0"/>
      <c r="BD20" s="0"/>
      <c r="BE20" s="0"/>
      <c r="BF20" s="0"/>
      <c r="BG20" s="0"/>
      <c r="BH20" s="0"/>
      <c r="BI20" s="0"/>
      <c r="BJ20" s="0"/>
      <c r="BK20" s="0"/>
      <c r="BL20" s="0"/>
      <c r="BM20" s="0"/>
      <c r="BN20" s="0"/>
    </row>
    <row customHeight="1" ht="14.625">
      <c r="E21" s="180">
        <v>15</v>
      </c>
      <c r="AA21" s="182"/>
      <c r="AB21" s="679"/>
      <c r="AC21" s="278" cm="1" t="str">
        <f t="array" ref="AC21:AC21">tpl_title</f>
        <v>Кемеровская область / 2027 / ООО "КК-ИНВЕСТ" (ИНН:1901133713, КПП:190101001) / ДПР: 2025-2027</v>
      </c>
      <c r="AD21" s="679"/>
      <c r="AE21" s="679"/>
      <c r="AF21" s="679"/>
      <c r="AG21" s="679"/>
      <c r="AH21" s="679"/>
      <c r="AI21" s="679"/>
      <c r="AJ21" s="679"/>
      <c r="AK21" s="679"/>
      <c r="AL21" s="679"/>
      <c r="AM21" s="679"/>
      <c r="AN21" s="679"/>
      <c r="AO21" s="679"/>
      <c r="AP21" s="679"/>
    </row>
    <row s="1659" customFormat="1" customHeight="1" ht="19.5">
      <c r="A22" s="371"/>
      <c r="B22" s="175"/>
      <c r="E22" s="180">
        <v>20</v>
      </c>
      <c r="F22" s="175"/>
      <c r="T22" s="175"/>
      <c r="U22" s="175"/>
      <c r="V22" s="175"/>
      <c r="W22" s="175"/>
      <c r="X22" s="175"/>
      <c r="Y22" s="175"/>
      <c r="Z22" s="175"/>
      <c r="AA22" s="200"/>
      <c r="AB22" s="547" t="s">
        <v>66</v>
      </c>
      <c r="AC22" s="682"/>
      <c r="AD22" s="682"/>
      <c r="AE22" s="682"/>
      <c r="AF22" s="682"/>
      <c r="AG22" s="682"/>
      <c r="AH22" s="682"/>
      <c r="AI22" s="682"/>
      <c r="AJ22" s="682"/>
      <c r="AK22" s="682"/>
      <c r="AL22" s="682"/>
      <c r="AM22" s="682"/>
      <c r="AN22" s="682"/>
      <c r="AO22" s="682"/>
      <c r="AP22" s="200"/>
      <c r="AR22" s="309"/>
      <c r="AU22" s="1510"/>
      <c r="AV22" s="0"/>
      <c r="AW22" s="0"/>
      <c r="AX22" s="0"/>
      <c r="AY22" s="0"/>
      <c r="AZ22" s="0"/>
      <c r="BA22" s="0"/>
      <c r="BB22" s="0"/>
      <c r="BC22" s="0"/>
      <c r="BD22" s="0"/>
      <c r="BE22" s="0"/>
      <c r="BF22" s="0"/>
      <c r="BG22" s="0"/>
      <c r="BH22" s="0"/>
      <c r="BI22" s="0"/>
      <c r="BJ22" s="0"/>
      <c r="BK22" s="0"/>
      <c r="BL22" s="0"/>
      <c r="BM22" s="0"/>
      <c r="BN22" s="0"/>
    </row>
    <row s="1659" customFormat="1" customHeight="1" ht="9.75">
      <c r="A23" s="371"/>
      <c r="B23" s="175"/>
      <c r="E23" s="180">
        <v>10</v>
      </c>
      <c r="F23" s="175"/>
      <c r="T23" s="175"/>
      <c r="U23" s="175"/>
      <c r="V23" s="175"/>
      <c r="W23" s="175"/>
      <c r="X23" s="175"/>
      <c r="Y23" s="175"/>
      <c r="Z23" s="175"/>
      <c r="AA23" s="200"/>
      <c r="AB23" s="683"/>
      <c r="AC23" s="683"/>
      <c r="AD23" s="683"/>
      <c r="AE23" s="683"/>
      <c r="AF23" s="683"/>
      <c r="AG23" s="683"/>
      <c r="AH23" s="683"/>
      <c r="AI23" s="683"/>
      <c r="AJ23" s="683"/>
      <c r="AK23" s="683"/>
      <c r="AL23" s="683"/>
      <c r="AM23" s="683"/>
      <c r="AN23" s="683"/>
      <c r="AO23" s="683"/>
      <c r="AP23" s="200"/>
      <c r="AR23" s="309"/>
      <c r="AU23" s="1510"/>
      <c r="AV23" s="0"/>
      <c r="AW23" s="0"/>
      <c r="AX23" s="0"/>
      <c r="AY23" s="0"/>
      <c r="AZ23" s="0"/>
      <c r="BA23" s="0"/>
      <c r="BB23" s="0"/>
      <c r="BC23" s="0"/>
      <c r="BD23" s="0"/>
      <c r="BE23" s="0"/>
      <c r="BF23" s="0"/>
      <c r="BG23" s="0"/>
      <c r="BH23" s="0"/>
      <c r="BI23" s="0"/>
      <c r="BJ23" s="0"/>
      <c r="BK23" s="0"/>
      <c r="BL23" s="0"/>
      <c r="BM23" s="0"/>
      <c r="BN23" s="0"/>
    </row>
    <row s="308" customFormat="1" customHeight="1" ht="24.375">
      <c r="A24" s="371"/>
      <c r="B24" s="176"/>
      <c r="E24" s="284">
        <v>25</v>
      </c>
      <c r="F24" s="176"/>
      <c r="T24" s="176"/>
      <c r="U24" s="176"/>
      <c r="V24" s="176"/>
      <c r="W24" s="176"/>
      <c r="X24" s="176"/>
      <c r="Y24" s="176"/>
      <c r="Z24" s="176"/>
      <c r="AA24" s="681"/>
      <c r="AB24" s="1679" t="s">
        <v>355</v>
      </c>
      <c r="AC24" s="1679" t="s">
        <v>412</v>
      </c>
      <c r="AD24" s="1679" t="s">
        <v>413</v>
      </c>
      <c r="AE24" s="684" t="str">
        <f>god-2&amp;" год"</f>
        <v>2025 год</v>
      </c>
      <c r="AF24" s="685" t="str">
        <f>god-2&amp;" год"</f>
        <v>2025 год</v>
      </c>
      <c r="AG24" s="684" t="str">
        <f>god-2&amp;" год"</f>
        <v>2025 год</v>
      </c>
      <c r="AH24" s="684" t="str">
        <f>god-2&amp;" год"</f>
        <v>2025 год</v>
      </c>
      <c r="AI24" s="384" t="str">
        <f>god-1&amp;" год"</f>
        <v>2026 год</v>
      </c>
      <c r="AJ24" s="329" t="str">
        <f>god&amp;" год"</f>
        <v>2027 год</v>
      </c>
      <c r="AK24" s="328" t="str">
        <f>god&amp;" год"</f>
        <v>2027 год</v>
      </c>
      <c r="AL24" s="328" t="str">
        <f>god&amp;" год"</f>
        <v>2027 год</v>
      </c>
      <c r="AM24" s="1678" t="s">
        <v>1546</v>
      </c>
      <c r="AN24" s="1678" t="s">
        <v>625</v>
      </c>
      <c r="AO24" s="1678" t="s">
        <v>1547</v>
      </c>
      <c r="AP24" s="681"/>
      <c r="AR24" s="309"/>
      <c r="AV24" s="0"/>
      <c r="AW24" s="0"/>
      <c r="AX24" s="0"/>
      <c r="AY24" s="0"/>
      <c r="AZ24" s="0"/>
      <c r="BA24" s="0"/>
      <c r="BB24" s="0"/>
      <c r="BC24" s="0"/>
      <c r="BD24" s="0"/>
      <c r="BE24" s="0"/>
      <c r="BF24" s="0"/>
      <c r="BG24" s="0"/>
      <c r="BH24" s="0"/>
      <c r="BI24" s="0"/>
      <c r="BJ24" s="0"/>
      <c r="BK24" s="0"/>
      <c r="BL24" s="0"/>
      <c r="BM24" s="0"/>
      <c r="BN24" s="0"/>
    </row>
    <row s="308" customFormat="1" customHeight="1" ht="44.85">
      <c r="A25" s="371"/>
      <c r="B25" s="176"/>
      <c r="E25" s="284">
        <v>46</v>
      </c>
      <c r="F25" s="176"/>
      <c r="T25" s="176"/>
      <c r="U25" s="176"/>
      <c r="V25" s="176"/>
      <c r="W25" s="176"/>
      <c r="X25" s="176"/>
      <c r="Y25" s="176"/>
      <c r="Z25" s="176"/>
      <c r="AA25" s="681"/>
      <c r="AB25" s="1679"/>
      <c r="AC25" s="1679"/>
      <c r="AD25" s="1679"/>
      <c r="AE25" s="384" t="s">
        <v>415</v>
      </c>
      <c r="AF25" s="382" t="s">
        <v>626</v>
      </c>
      <c r="AG25" s="384" t="s">
        <v>627</v>
      </c>
      <c r="AH25" s="684" t="s">
        <v>1134</v>
      </c>
      <c r="AI25" s="384" t="s">
        <v>415</v>
      </c>
      <c r="AJ25" s="331" t="s">
        <v>416</v>
      </c>
      <c r="AK25" s="424" t="s">
        <v>415</v>
      </c>
      <c r="AL25" s="684" t="s">
        <v>1548</v>
      </c>
      <c r="AM25" s="1678"/>
      <c r="AN25" s="1678"/>
      <c r="AO25" s="1678"/>
      <c r="AP25" s="681"/>
      <c r="AR25" s="309"/>
      <c r="AV25" s="0"/>
      <c r="AW25" s="0"/>
      <c r="AX25" s="0"/>
      <c r="AY25" s="0"/>
      <c r="AZ25" s="0"/>
      <c r="BA25" s="0"/>
      <c r="BB25" s="0"/>
      <c r="BC25" s="0"/>
      <c r="BD25" s="0"/>
      <c r="BE25" s="0"/>
      <c r="BF25" s="0"/>
      <c r="BG25" s="0"/>
      <c r="BH25" s="0"/>
      <c r="BI25" s="0"/>
      <c r="BJ25" s="0"/>
      <c r="BK25" s="0"/>
      <c r="BL25" s="0"/>
      <c r="BM25" s="0"/>
      <c r="BN25" s="0"/>
    </row>
    <row s="308" customFormat="1" customHeight="1" ht="14.25" hidden="1">
      <c r="A26" s="371"/>
      <c r="B26" s="176"/>
      <c r="E26" s="966">
        <v>0</v>
      </c>
      <c r="F26" s="176"/>
      <c r="T26" s="176"/>
      <c r="U26" s="176"/>
      <c r="V26" s="176"/>
      <c r="W26" s="176"/>
      <c r="X26" s="176"/>
      <c r="Y26" s="176"/>
      <c r="Z26" s="176"/>
      <c r="AA26" s="681"/>
      <c r="AB26" s="687"/>
      <c r="AC26" s="687"/>
      <c r="AD26" s="687"/>
      <c r="AE26" s="279"/>
      <c r="AF26" s="279"/>
      <c r="AG26" s="279"/>
      <c r="AH26" s="680"/>
      <c r="AI26" s="279"/>
      <c r="AJ26" s="279"/>
      <c r="AK26" s="279"/>
      <c r="AL26" s="680"/>
      <c r="AM26" s="680"/>
      <c r="AN26" s="680"/>
      <c r="AO26" s="680"/>
      <c r="AP26" s="681"/>
      <c r="AR26" s="309"/>
      <c r="AV26" s="0"/>
      <c r="AW26" s="0"/>
      <c r="AX26" s="0"/>
      <c r="AY26" s="0"/>
      <c r="AZ26" s="0"/>
      <c r="BA26" s="0"/>
      <c r="BB26" s="0"/>
      <c r="BC26" s="0"/>
      <c r="BD26" s="0"/>
      <c r="BE26" s="0"/>
      <c r="BF26" s="0"/>
      <c r="BG26" s="0"/>
      <c r="BH26" s="0"/>
      <c r="BI26" s="0"/>
      <c r="BJ26" s="0"/>
      <c r="BK26" s="0"/>
      <c r="BL26" s="0"/>
      <c r="BM26" s="0"/>
      <c r="BN26" s="0"/>
    </row>
    <row s="969" customFormat="1" customHeight="1" ht="16.575" hidden="1">
      <c r="E27" s="180">
        <v>17</v>
      </c>
      <c r="F27" s="175" cm="1" t="str">
        <f t="array" ref="F27:F27">X27</f>
        <v>0</v>
      </c>
      <c r="G27" s="193" cm="1" t="str">
        <f t="array" ref="G27:G27">INDEX('Общие сведения'!$AK$169:$AK$202,MATCH($F27,'Общие сведения'!$Y$169:$Y$202,0))</f>
        <v>0</v>
      </c>
      <c r="I27" s="193" cm="1" t="str">
        <f t="array" ref="I27:I27">INDEX('Общие сведения'!$AE$169:$AE$202,MATCH($F27,'Общие сведения'!$Y$169:$Y$202,0))</f>
        <v>Теплоснабжение</v>
      </c>
      <c r="K27" s="193" cm="1" t="str">
        <f t="array" ref="K27:K27">INDEX('Общие сведения'!$AL$169:$AL$202,MATCH($F27,'Общие сведения'!$Y$169:$Y$202,0))</f>
        <v>0</v>
      </c>
      <c r="T27" s="753">
        <f>X27&gt;0</f>
        <v>0</v>
      </c>
      <c r="V27" s="175" t="s">
        <v>266</v>
      </c>
      <c r="X27" s="1644">
        <v>0</v>
      </c>
      <c r="AB27" s="688" cm="1" t="str">
        <f t="array" ref="AB27:AB27">INDEX('Общие сведения'!$AG$169:$AG$202,MATCH($F27,'Общие сведения'!$Y$169:$Y$202,0))</f>
        <v>Тариф 0 (Теплоснабжение) - </v>
      </c>
      <c r="AC27" s="334"/>
      <c r="AD27" s="334"/>
      <c r="AE27" s="334"/>
      <c r="AF27" s="334"/>
      <c r="AG27" s="334"/>
      <c r="AH27" s="334"/>
      <c r="AI27" s="334"/>
      <c r="AJ27" s="334"/>
      <c r="AK27" s="334"/>
      <c r="AL27" s="334"/>
      <c r="AM27" s="334"/>
      <c r="AN27" s="334"/>
      <c r="AO27" s="334"/>
      <c r="AR27" s="975"/>
    </row>
    <row customHeight="1" ht="34.125" hidden="1">
      <c r="E28" s="180">
        <v>35</v>
      </c>
      <c r="F28" s="175" cm="1" t="str">
        <f t="array" ref="F28:F28">OFFSET(G28,-1,-1)</f>
        <v>0</v>
      </c>
      <c r="T28" s="753" cm="1" t="str">
        <f t="array" ref="T28:T28">T27</f>
        <v>false</v>
      </c>
      <c r="AB28" s="854">
        <v>1</v>
      </c>
      <c r="AC28" s="855" t="s">
        <v>2155</v>
      </c>
      <c r="AD28" s="856" t="s">
        <v>1178</v>
      </c>
      <c r="AE28" s="746">
        <f>AE29+AE30+AE31+AE34+AE35+AE36+AE37+AE38+AE40+AE41+AE42+AE43+AE44+AE45+AE46+AE47+AE48+AE49</f>
        <v>0</v>
      </c>
      <c r="AF28" s="746">
        <f>AF29+AF30+AF31+AF34+AF35+AF36+AF37+AF38+AF40+AF41+AF42+AF43+AF44+AF45+AF46+AF47+AF48+AF49</f>
        <v>0</v>
      </c>
      <c r="AG28" s="746">
        <f>AG29+AG30+AG31+AG34+AG35+AG36+AG37+AG38+AG40+AG41+AG42+AG43+AG44+AG45+AG46+AG47+AG48+AG49</f>
        <v>0</v>
      </c>
      <c r="AH28" s="695">
        <f>AG28-AF28</f>
        <v>0</v>
      </c>
      <c r="AI28" s="746">
        <f>AI29+AI30+AI31+AI34+AI35+AI36+AI37+AI38+AI40+AI41+AI42+AI43+AI44+AI45+AI46+AI47+AI48+AI49</f>
        <v>0</v>
      </c>
      <c r="AJ28" s="746">
        <f>AJ29+AJ30+AJ31+AJ34+AJ35+AJ36+AJ37+AJ38+AJ40+AJ41+AJ42+AJ43+AJ44+AJ45+AJ46+AJ47+AJ48+AJ49</f>
        <v>0</v>
      </c>
      <c r="AK28" s="746">
        <f>AK29+AK30+AK31+AK34+AK35+AK36+AK37+AK38+AK40+AK41+AK42+AK43+AK44+AK45+AK46+AK47+AK48+AK49</f>
        <v>0</v>
      </c>
      <c r="AL28" s="695">
        <f>IF(AI28=0,0,(AK28-AI28)/AI28*100)</f>
        <v>0</v>
      </c>
      <c r="AM28" s="83"/>
      <c r="AN28" s="83"/>
      <c r="AO28" s="83"/>
      <c r="AR28" s="309" t="s">
        <v>2156</v>
      </c>
      <c r="AV28" s="0" cm="1" t="str">
        <f t="array" ref="AV28:AV28">INDEX('Общие сведения'!$N$170:$N$202,MATCH($F28,'Общие сведения'!$Y$170:$Y$202,0)+1)</f>
        <v>0</v>
      </c>
      <c r="AX28" s="0" t="s">
        <v>1699</v>
      </c>
      <c r="BL28" s="0" t="s">
        <v>303</v>
      </c>
      <c r="BM28" s="0" t="s">
        <v>1044</v>
      </c>
      <c r="BN28" s="0" t="s">
        <v>1045</v>
      </c>
    </row>
    <row customHeight="1" ht="16.575" hidden="1">
      <c r="E29" s="180">
        <v>17</v>
      </c>
      <c r="F29" s="175" cm="1" t="str">
        <f t="array" ref="F29:F29">OFFSET(G29,-1,-1)</f>
        <v>0</v>
      </c>
      <c r="T29" s="753" cm="1" t="str">
        <f t="array" ref="T29:T29">T28</f>
        <v>false</v>
      </c>
      <c r="AB29" s="857">
        <v>1.1</v>
      </c>
      <c r="AC29" s="858" t="s">
        <v>2157</v>
      </c>
      <c r="AD29" s="859" t="s">
        <v>1178</v>
      </c>
      <c r="AE29" s="132"/>
      <c r="AF29" s="132"/>
      <c r="AG29" s="132"/>
      <c r="AH29" s="695">
        <f>AG29-AF29</f>
        <v>0</v>
      </c>
      <c r="AI29" s="132"/>
      <c r="AJ29" s="749"/>
      <c r="AK29" s="749"/>
      <c r="AL29" s="695">
        <f>IF(AI29=0,0,(AK29-AI29)/AI29*100)</f>
        <v>0</v>
      </c>
      <c r="AM29" s="83"/>
      <c r="AN29" s="83"/>
      <c r="AO29" s="83"/>
      <c r="AR29" s="309" t="s">
        <v>1555</v>
      </c>
      <c r="AT29" s="1512" t="s">
        <v>1555</v>
      </c>
      <c r="AV29" s="0" cm="1" t="str">
        <f t="array" ref="AV29:AV29">AV28</f>
        <v>0</v>
      </c>
      <c r="AW29" s="0" t="s">
        <v>2158</v>
      </c>
      <c r="BL29" s="0" t="s">
        <v>303</v>
      </c>
      <c r="BM29" s="0" t="s">
        <v>1044</v>
      </c>
      <c r="BN29" s="0" t="s">
        <v>1045</v>
      </c>
    </row>
    <row customHeight="1" ht="25.350000000000005" hidden="1">
      <c r="E30" s="180">
        <v>26</v>
      </c>
      <c r="F30" s="175" cm="1" t="str">
        <f t="array" ref="F30:F30">OFFSET(G30,-1,-1)</f>
        <v>0</v>
      </c>
      <c r="G30" s="193" t="s">
        <v>1688</v>
      </c>
      <c r="T30" s="753" cm="1" t="str">
        <f t="array" ref="T30:T30">T29</f>
        <v>false</v>
      </c>
      <c r="AB30" s="857">
        <v>1.2</v>
      </c>
      <c r="AC30" s="858" t="s">
        <v>1689</v>
      </c>
      <c r="AD30" s="859" t="s">
        <v>1178</v>
      </c>
      <c r="AE30" s="695">
        <f>_xlfn.SUMIFS('Топливо 4.4'!AH$27:AH$275,'Топливо 4.4'!$F$27:$F$275,$F30,'Топливо 4.4'!$G$27:$G$275,$G30)</f>
        <v>0</v>
      </c>
      <c r="AF30" s="695">
        <f>_xlfn.SUMIFS('Топливо 4.4'!AI$27:AI$275,'Топливо 4.4'!$F$27:$F$275,$F30,'Топливо 4.4'!$G$27:$G$275,$G30)</f>
        <v>0</v>
      </c>
      <c r="AG30" s="695">
        <f>_xlfn.SUMIFS('Топливо 4.4'!AJ$27:AJ$275,'Топливо 4.4'!$F$27:$F$275,$F30,'Топливо 4.4'!$G$27:$G$275,$G30)</f>
        <v>0</v>
      </c>
      <c r="AH30" s="695">
        <f>AG30-AF30</f>
        <v>0</v>
      </c>
      <c r="AI30" s="695">
        <f>_xlfn.SUMIFS('Топливо 4.4'!AK$27:AK$275,'Топливо 4.4'!$F$27:$F$275,$F30,'Топливо 4.4'!$G$27:$G$275,$G30)</f>
        <v>0</v>
      </c>
      <c r="AJ30" s="695">
        <f>_xlfn.SUMIFS('Топливо 4.4'!AL$27:AL$275,'Топливо 4.4'!$F$27:$F$275,$F30,'Топливо 4.4'!$G$27:$G$275,$G30)</f>
        <v>0</v>
      </c>
      <c r="AK30" s="695">
        <f>_xlfn.SUMIFS('Топливо 4.4'!CT$27:CT$275,'Топливо 4.4'!$F$27:$F$275,$F30,'Топливо 4.4'!$G$27:$G$275,$G30)</f>
        <v>0</v>
      </c>
      <c r="AL30" s="695">
        <f>IF(AI30=0,0,(AK30-AI30)/AI30*100)</f>
        <v>0</v>
      </c>
      <c r="AM30" s="83"/>
      <c r="AN30" s="83"/>
      <c r="AO30" s="83"/>
      <c r="AR30" s="309" t="s">
        <v>1678</v>
      </c>
      <c r="AV30" s="0" cm="1" t="str">
        <f t="array" ref="AV30:AV30">AV29</f>
        <v>0</v>
      </c>
      <c r="AW30" s="0" t="s">
        <v>1690</v>
      </c>
      <c r="BL30" s="0" t="s">
        <v>303</v>
      </c>
      <c r="BM30" s="0" t="s">
        <v>1044</v>
      </c>
      <c r="BN30" s="0" t="s">
        <v>1045</v>
      </c>
    </row>
    <row customHeight="1" ht="16.575" hidden="1">
      <c r="E31" s="180">
        <v>17</v>
      </c>
      <c r="F31" s="175" cm="1" t="str">
        <f t="array" ref="F31:F31">OFFSET(G31,-1,-1)</f>
        <v>0</v>
      </c>
      <c r="T31" s="753" cm="1" t="str">
        <f t="array" ref="T31:T31">T30</f>
        <v>false</v>
      </c>
      <c r="AB31" s="857">
        <v>1.3</v>
      </c>
      <c r="AC31" s="858" t="s">
        <v>40</v>
      </c>
      <c r="AD31" s="859" t="s">
        <v>1178</v>
      </c>
      <c r="AE31" s="746">
        <f>SUM(AE32:AE33)</f>
        <v>0</v>
      </c>
      <c r="AF31" s="746">
        <f>SUM(AF32:AF33)</f>
        <v>0</v>
      </c>
      <c r="AG31" s="746">
        <f>SUM(AG32:AG33)</f>
        <v>0</v>
      </c>
      <c r="AH31" s="695">
        <f>AG31-AF31</f>
        <v>0</v>
      </c>
      <c r="AI31" s="746">
        <f>SUM(AI32:AI33)</f>
        <v>0</v>
      </c>
      <c r="AJ31" s="746">
        <f>SUM(AJ32:AJ33)</f>
        <v>0</v>
      </c>
      <c r="AK31" s="746">
        <f>SUM(AK32:AK33)</f>
        <v>0</v>
      </c>
      <c r="AL31" s="695">
        <f>IF(AI31=0,0,(AK31-AI31)/AI31*100)</f>
        <v>0</v>
      </c>
      <c r="AM31" s="83"/>
      <c r="AN31" s="83"/>
      <c r="AO31" s="83"/>
      <c r="AR31" s="309" t="s">
        <v>2159</v>
      </c>
      <c r="AV31" s="0" cm="1" t="str">
        <f t="array" ref="AV31:AV31">AV30</f>
        <v>0</v>
      </c>
      <c r="AW31" s="0" t="s">
        <v>2160</v>
      </c>
      <c r="BL31" s="0" t="s">
        <v>303</v>
      </c>
      <c r="BM31" s="0" t="s">
        <v>1044</v>
      </c>
      <c r="BN31" s="0" t="s">
        <v>1045</v>
      </c>
    </row>
    <row customHeight="1" ht="16.575" hidden="1">
      <c r="E32" s="180">
        <v>17</v>
      </c>
      <c r="F32" s="175" cm="1" t="str">
        <f t="array" ref="F32:F32">OFFSET(G32,-1,-1)</f>
        <v>0</v>
      </c>
      <c r="G32" s="193" t="s">
        <v>1039</v>
      </c>
      <c r="T32" s="753" cm="1" t="str">
        <f t="array" ref="T32:T32">T31</f>
        <v>false</v>
      </c>
      <c r="AB32" s="857" t="s">
        <v>1360</v>
      </c>
      <c r="AC32" s="456" t="s">
        <v>2161</v>
      </c>
      <c r="AD32" s="859" t="s">
        <v>1178</v>
      </c>
      <c r="AE32" s="695">
        <f>_xlfn.SUMIFS(ЭнергоРесурсы!AF$26:AF$112,ЭнергоРесурсы!$F$26:$F$112,$F32,ЭнергоРесурсы!$G$26:$G$112,$G32)</f>
        <v>0</v>
      </c>
      <c r="AF32" s="695">
        <f>_xlfn.SUMIFS(ЭнергоРесурсы!AG$26:AG$112,ЭнергоРесурсы!$F$26:$F$112,$F32,ЭнергоРесурсы!$G$26:$G$112,$G32)</f>
        <v>0</v>
      </c>
      <c r="AG32" s="695">
        <f>_xlfn.SUMIFS(ЭнергоРесурсы!AH$26:AH$112,ЭнергоРесурсы!$F$26:$F$112,$F32,ЭнергоРесурсы!$G$26:$G$112,$G32)</f>
        <v>0</v>
      </c>
      <c r="AH32" s="695">
        <f>AG32-AF32</f>
        <v>0</v>
      </c>
      <c r="AI32" s="695">
        <f>_xlfn.SUMIFS(ЭнергоРесурсы!AI$26:AI$112,ЭнергоРесурсы!$F$26:$F$112,$F32,ЭнергоРесурсы!$G$26:$G$112,$G32)</f>
        <v>0</v>
      </c>
      <c r="AJ32" s="695">
        <f>_xlfn.SUMIFS(ЭнергоРесурсы!AJ$26:AJ$112,ЭнергоРесурсы!$F$26:$F$112,$F32,ЭнергоРесурсы!$G$26:$G$112,$G32)</f>
        <v>0</v>
      </c>
      <c r="AK32" s="695">
        <f>_xlfn.SUMIFS(ЭнергоРесурсы!BD$26:BD$112,ЭнергоРесурсы!$F$26:$F$112,$F32,ЭнергоРесурсы!$G$26:$G$112,$G32)</f>
        <v>0</v>
      </c>
      <c r="AL32" s="695">
        <f>IF(AI32=0,0,(AK32-AI32)/AI32*100)</f>
        <v>0</v>
      </c>
      <c r="AM32" s="83"/>
      <c r="AN32" s="83"/>
      <c r="AO32" s="83"/>
      <c r="AR32" s="309" t="s">
        <v>2162</v>
      </c>
      <c r="AV32" s="0" cm="1" t="str">
        <f t="array" ref="AV32:AV32">AV31</f>
        <v>0</v>
      </c>
      <c r="AW32" s="0" t="s">
        <v>2163</v>
      </c>
      <c r="BL32" s="0" t="s">
        <v>303</v>
      </c>
      <c r="BM32" s="0" t="s">
        <v>1044</v>
      </c>
      <c r="BN32" s="0" t="s">
        <v>1045</v>
      </c>
    </row>
    <row customHeight="1" ht="16.575" hidden="1">
      <c r="E33" s="180">
        <v>17</v>
      </c>
      <c r="F33" s="175" cm="1" t="str">
        <f t="array" ref="F33:F33">OFFSET(G33,-1,-1)</f>
        <v>0</v>
      </c>
      <c r="G33" s="193" t="s">
        <v>1088</v>
      </c>
      <c r="T33" s="753" cm="1" t="str">
        <f t="array" ref="T33:T33">T32</f>
        <v>false</v>
      </c>
      <c r="AB33" s="857" t="s">
        <v>1366</v>
      </c>
      <c r="AC33" s="456" t="s">
        <v>2164</v>
      </c>
      <c r="AD33" s="859" t="s">
        <v>1178</v>
      </c>
      <c r="AE33" s="695">
        <f>_xlfn.SUMIFS(ЭнергоРесурсы!AF$26:AF$112,ЭнергоРесурсы!$F$26:$F$112,$F33,ЭнергоРесурсы!$G$26:$G$112,$G33)</f>
        <v>0</v>
      </c>
      <c r="AF33" s="695">
        <f>_xlfn.SUMIFS(ЭнергоРесурсы!AG$26:AG$112,ЭнергоРесурсы!$F$26:$F$112,$F33,ЭнергоРесурсы!$G$26:$G$112,$G33)</f>
        <v>0</v>
      </c>
      <c r="AG33" s="695">
        <f>_xlfn.SUMIFS(ЭнергоРесурсы!AH$26:AH$112,ЭнергоРесурсы!$F$26:$F$112,$F33,ЭнергоРесурсы!$G$26:$G$112,$G33)</f>
        <v>0</v>
      </c>
      <c r="AH33" s="695">
        <f>AG33-AF33</f>
        <v>0</v>
      </c>
      <c r="AI33" s="695">
        <f>_xlfn.SUMIFS(ЭнергоРесурсы!AI$26:AI$112,ЭнергоРесурсы!$F$26:$F$112,$F33,ЭнергоРесурсы!$G$26:$G$112,$G33)</f>
        <v>0</v>
      </c>
      <c r="AJ33" s="695">
        <f>_xlfn.SUMIFS(ЭнергоРесурсы!AJ$26:AJ$112,ЭнергоРесурсы!$F$26:$F$112,$F33,ЭнергоРесурсы!$G$26:$G$112,$G33)</f>
        <v>0</v>
      </c>
      <c r="AK33" s="695">
        <f>_xlfn.SUMIFS(ЭнергоРесурсы!BD$26:BD$112,ЭнергоРесурсы!$F$26:$F$112,$F33,ЭнергоРесурсы!$G$26:$G$112,$G33)</f>
        <v>0</v>
      </c>
      <c r="AL33" s="695">
        <f>IF(AI33=0,0,(AK33-AI33)/AI33*100)</f>
        <v>0</v>
      </c>
      <c r="AM33" s="83"/>
      <c r="AN33" s="83"/>
      <c r="AO33" s="83"/>
      <c r="AR33" s="309" t="s">
        <v>2165</v>
      </c>
      <c r="AV33" s="0" cm="1" t="str">
        <f t="array" ref="AV33:AV33">AV32</f>
        <v>0</v>
      </c>
      <c r="AW33" s="0" t="s">
        <v>1615</v>
      </c>
      <c r="BL33" s="0" t="s">
        <v>303</v>
      </c>
      <c r="BM33" s="0" t="s">
        <v>1044</v>
      </c>
      <c r="BN33" s="0" t="s">
        <v>1045</v>
      </c>
    </row>
    <row customHeight="1" ht="16.575" hidden="1">
      <c r="E34" s="180">
        <v>17</v>
      </c>
      <c r="F34" s="175" cm="1" t="str">
        <f t="array" ref="F34:F34">OFFSET(G34,-1,-1)</f>
        <v>0</v>
      </c>
      <c r="G34" s="193" t="s">
        <v>1136</v>
      </c>
      <c r="T34" s="753" cm="1" t="str">
        <f t="array" ref="T34:T34">T33</f>
        <v>false</v>
      </c>
      <c r="AB34" s="857">
        <v>1.4</v>
      </c>
      <c r="AC34" s="858" t="s">
        <v>1137</v>
      </c>
      <c r="AD34" s="859" t="s">
        <v>1178</v>
      </c>
      <c r="AE34" s="761">
        <f>_xlfn.SUMIFS('ХВС, ТН'!AF$26:AF$53,'ХВС, ТН'!$F$26:$F$53,$F34,'ХВС, ТН'!$G$26:$G$53,$G34)</f>
        <v>0</v>
      </c>
      <c r="AF34" s="761">
        <f>_xlfn.SUMIFS('ХВС, ТН'!AG$26:AG$53,'ХВС, ТН'!$F$26:$F$53,$F34,'ХВС, ТН'!$G$26:$G$53,$G34)</f>
        <v>0</v>
      </c>
      <c r="AG34" s="761">
        <f>_xlfn.SUMIFS('ХВС, ТН'!AH$26:AH$53,'ХВС, ТН'!$F$26:$F$53,$F34,'ХВС, ТН'!$G$26:$G$53,$G34)</f>
        <v>0</v>
      </c>
      <c r="AH34" s="695">
        <f>AG34-AF34</f>
        <v>0</v>
      </c>
      <c r="AI34" s="761">
        <f>_xlfn.SUMIFS('ХВС, ТН'!AI$26:AI$53,'ХВС, ТН'!$F$26:$F$53,$F34,'ХВС, ТН'!$G$26:$G$53,$G34)</f>
        <v>0</v>
      </c>
      <c r="AJ34" s="761">
        <f>_xlfn.SUMIFS('ХВС, ТН'!AJ$26:AJ$53,'ХВС, ТН'!$F$26:$F$53,$F34,'ХВС, ТН'!$G$26:$G$53,$G34)</f>
        <v>0</v>
      </c>
      <c r="AK34" s="761">
        <f>_xlfn.SUMIFS('ХВС, ТН'!BD$26:BD$53,'ХВС, ТН'!$F$26:$F$53,$F34,'ХВС, ТН'!$G$26:$G$53,$G34)</f>
        <v>0</v>
      </c>
      <c r="AL34" s="695">
        <f>IF(AI34=0,0,(AK34-AI34)/AI34*100)</f>
        <v>0</v>
      </c>
      <c r="AM34" s="83"/>
      <c r="AN34" s="83"/>
      <c r="AO34" s="83"/>
      <c r="AR34" s="309" t="s">
        <v>1695</v>
      </c>
      <c r="AV34" s="0" cm="1" t="str">
        <f t="array" ref="AV34:AV34">AV33</f>
        <v>0</v>
      </c>
      <c r="AW34" s="0" t="s">
        <v>1139</v>
      </c>
      <c r="BL34" s="0" t="s">
        <v>303</v>
      </c>
      <c r="BM34" s="0" t="s">
        <v>1044</v>
      </c>
      <c r="BN34" s="0" t="s">
        <v>1045</v>
      </c>
    </row>
    <row customHeight="1" ht="16.575" hidden="1">
      <c r="E35" s="180">
        <v>17</v>
      </c>
      <c r="F35" s="175" cm="1" t="str">
        <f t="array" ref="F35:F35">OFFSET(G35,-1,-1)</f>
        <v>0</v>
      </c>
      <c r="G35" s="193" t="s">
        <v>1154</v>
      </c>
      <c r="T35" s="753" cm="1" t="str">
        <f t="array" ref="T35:T35">T34</f>
        <v>false</v>
      </c>
      <c r="AB35" s="857">
        <v>1.5</v>
      </c>
      <c r="AC35" s="858" t="s">
        <v>1155</v>
      </c>
      <c r="AD35" s="859" t="s">
        <v>1178</v>
      </c>
      <c r="AE35" s="761">
        <f>_xlfn.SUMIFS('ХВС, ТН'!AF$26:AF$53,'ХВС, ТН'!$F$26:$F$53,$F35,'ХВС, ТН'!$G$26:$G$53,$G35)</f>
        <v>0</v>
      </c>
      <c r="AF35" s="761">
        <f>_xlfn.SUMIFS('ХВС, ТН'!AG$26:AG$53,'ХВС, ТН'!$F$26:$F$53,$F35,'ХВС, ТН'!$G$26:$G$53,$G35)</f>
        <v>0</v>
      </c>
      <c r="AG35" s="761">
        <f>_xlfn.SUMIFS('ХВС, ТН'!AH$26:AH$53,'ХВС, ТН'!$F$26:$F$53,$F35,'ХВС, ТН'!$G$26:$G$53,$G35)</f>
        <v>0</v>
      </c>
      <c r="AH35" s="695">
        <f>AG35-AF35</f>
        <v>0</v>
      </c>
      <c r="AI35" s="761">
        <f>_xlfn.SUMIFS('ХВС, ТН'!AI$26:AI$53,'ХВС, ТН'!$F$26:$F$53,$F35,'ХВС, ТН'!$G$26:$G$53,$G35)</f>
        <v>0</v>
      </c>
      <c r="AJ35" s="761">
        <f>_xlfn.SUMIFS('ХВС, ТН'!AJ$26:AJ$53,'ХВС, ТН'!$F$26:$F$53,$F35,'ХВС, ТН'!$G$26:$G$53,$G35)</f>
        <v>0</v>
      </c>
      <c r="AK35" s="761">
        <f>_xlfn.SUMIFS('ХВС, ТН'!BD$26:BD$53,'ХВС, ТН'!$F$26:$F$53,$F35,'ХВС, ТН'!$G$26:$G$53,$G35)</f>
        <v>0</v>
      </c>
      <c r="AL35" s="695">
        <f>IF(AI35=0,0,(AK35-AI35)/AI35*100)</f>
        <v>0</v>
      </c>
      <c r="AM35" s="83"/>
      <c r="AN35" s="83"/>
      <c r="AO35" s="83"/>
      <c r="AR35" s="309" t="s">
        <v>1696</v>
      </c>
      <c r="AV35" s="0" cm="1" t="str">
        <f t="array" ref="AV35:AV35">AV34</f>
        <v>0</v>
      </c>
      <c r="AW35" s="0" t="s">
        <v>1157</v>
      </c>
      <c r="BL35" s="0" t="s">
        <v>303</v>
      </c>
      <c r="BM35" s="0" t="s">
        <v>1044</v>
      </c>
      <c r="BN35" s="0" t="s">
        <v>1045</v>
      </c>
    </row>
    <row customHeight="1" ht="16.575" hidden="1">
      <c r="E36" s="180">
        <v>17</v>
      </c>
      <c r="F36" s="175" cm="1" t="str">
        <f t="array" ref="F36:F36">OFFSET(G36,-1,-1)</f>
        <v>0</v>
      </c>
      <c r="G36" s="193" t="s">
        <v>1309</v>
      </c>
      <c r="T36" s="753" cm="1" t="str">
        <f t="array" ref="T36:T36">T35</f>
        <v>false</v>
      </c>
      <c r="AB36" s="857">
        <v>1.6</v>
      </c>
      <c r="AC36" s="858" t="s">
        <v>1660</v>
      </c>
      <c r="AD36" s="859" t="s">
        <v>1178</v>
      </c>
      <c r="AE36" s="746">
        <f>_xlfn.SUMIFS(Амортизация!AE$26:AE$225,Амортизация!$F$26:$F$225,$F36,Амортизация!$G$26:$G$225,$G36)</f>
        <v>0</v>
      </c>
      <c r="AF36" s="746">
        <f>_xlfn.SUMIFS(Амортизация!AF$26:AF$225,Амортизация!$F$26:$F$225,$F36,Амортизация!$G$26:$G$225,$G36)</f>
        <v>0</v>
      </c>
      <c r="AG36" s="746">
        <f>_xlfn.SUMIFS(Амортизация!AG$26:AG$225,Амортизация!$F$26:$F$225,$F36,Амортизация!$G$26:$G$225,$G36)</f>
        <v>0</v>
      </c>
      <c r="AH36" s="695">
        <f>AG36-AF36</f>
        <v>0</v>
      </c>
      <c r="AI36" s="746">
        <f>_xlfn.SUMIFS(Амортизация!AH$26:AH$225,Амортизация!$F$26:$F$225,$F36,Амортизация!$G$26:$G$225,$G36)</f>
        <v>0</v>
      </c>
      <c r="AJ36" s="746">
        <f>_xlfn.SUMIFS(Амортизация!AI$26:AI$225,Амортизация!$F$26:$F$225,$F36,Амортизация!$G$26:$G$225,$G36)</f>
        <v>0</v>
      </c>
      <c r="AK36" s="746">
        <f>_xlfn.SUMIFS(Амортизация!BC$26:BC$225,Амортизация!$F$26:$F$225,$F36,Амортизация!$G$26:$G$225,$G36)</f>
        <v>0</v>
      </c>
      <c r="AL36" s="695">
        <f>IF(AI36=0,0,(AK36-AI36)/AI36*100)</f>
        <v>0</v>
      </c>
      <c r="AM36" s="83"/>
      <c r="AN36" s="83"/>
      <c r="AO36" s="83"/>
      <c r="AR36" s="309" t="s">
        <v>1661</v>
      </c>
      <c r="AV36" s="0" cm="1" t="str">
        <f t="array" ref="AV36:AV36">AV35</f>
        <v>0</v>
      </c>
      <c r="BK36" s="0" t="s">
        <v>219</v>
      </c>
      <c r="BL36" s="0" t="s">
        <v>303</v>
      </c>
      <c r="BM36" s="0" t="s">
        <v>1663</v>
      </c>
      <c r="BN36" s="0" t="s">
        <v>1660</v>
      </c>
    </row>
    <row customHeight="1" ht="16.575" hidden="1">
      <c r="E37" s="180">
        <v>17</v>
      </c>
      <c r="F37" s="175" cm="1" t="str">
        <f t="array" ref="F37:F37">OFFSET(G37,-1,-1)</f>
        <v>0</v>
      </c>
      <c r="G37" s="193" t="s">
        <v>49</v>
      </c>
      <c r="T37" s="753" cm="1" t="str">
        <f t="array" ref="T37:T37">T36</f>
        <v>false</v>
      </c>
      <c r="AB37" s="857">
        <v>1.7</v>
      </c>
      <c r="AC37" s="858" t="s">
        <v>2166</v>
      </c>
      <c r="AD37" s="859" t="s">
        <v>1178</v>
      </c>
      <c r="AE37" s="695">
        <f>_xlfn.SUMIFS(ФОТ!AE$26:AE$80,ФОТ!$F$26:$F$80,$F37,ФОТ!$G$26:$G$80,$G37)</f>
        <v>0</v>
      </c>
      <c r="AF37" s="695">
        <f>_xlfn.SUMIFS(ФОТ!AF$26:AF$80,ФОТ!$F$26:$F$80,$F37,ФОТ!$G$26:$G$80,$G37)</f>
        <v>0</v>
      </c>
      <c r="AG37" s="695">
        <f>_xlfn.SUMIFS(ФОТ!AG$26:AG$80,ФОТ!$F$26:$F$80,$F37,ФОТ!$G$26:$G$80,$G37)</f>
        <v>0</v>
      </c>
      <c r="AH37" s="695">
        <f>AG37-AF37</f>
        <v>0</v>
      </c>
      <c r="AI37" s="695">
        <f>_xlfn.SUMIFS(ФОТ!AH$26:AH$80,ФОТ!$F$26:$F$80,$F37,ФОТ!$G$26:$G$80,$G37)</f>
        <v>0</v>
      </c>
      <c r="AJ37" s="695">
        <f>_xlfn.SUMIFS(ФОТ!AI$26:AI$80,ФОТ!$F$26:$F$80,$F37,ФОТ!$G$26:$G$80,$G37)</f>
        <v>0</v>
      </c>
      <c r="AK37" s="695">
        <f>_xlfn.SUMIFS(ФОТ!AJ$26:AJ$80,ФОТ!$F$26:$F$80,$F37,ФОТ!$G$26:$G$80,$G37)</f>
        <v>0</v>
      </c>
      <c r="AL37" s="695">
        <f>IF(AI37=0,0,(AK37-AI37)/AI37*100)</f>
        <v>0</v>
      </c>
      <c r="AM37" s="83"/>
      <c r="AN37" s="83"/>
      <c r="AO37" s="83"/>
      <c r="AR37" s="309" t="s">
        <v>1560</v>
      </c>
      <c r="AV37" s="0" cm="1" t="str">
        <f t="array" ref="AV37:AV37">AV36</f>
        <v>0</v>
      </c>
      <c r="BK37" s="0" t="s">
        <v>255</v>
      </c>
      <c r="BL37" s="0" t="s">
        <v>303</v>
      </c>
      <c r="BM37" s="0" t="s">
        <v>1427</v>
      </c>
      <c r="BN37" s="0" t="s">
        <v>1428</v>
      </c>
    </row>
    <row customHeight="1" ht="16.575" hidden="1">
      <c r="E38" s="180">
        <v>17</v>
      </c>
      <c r="F38" s="175" cm="1" t="str">
        <f t="array" ref="F38:F38">OFFSET(G38,-1,-1)</f>
        <v>0</v>
      </c>
      <c r="T38" s="753" cm="1" t="str">
        <f t="array" ref="T38:T38">T37</f>
        <v>false</v>
      </c>
      <c r="AB38" s="857">
        <v>1.8</v>
      </c>
      <c r="AC38" s="858" t="s">
        <v>1647</v>
      </c>
      <c r="AD38" s="859" t="s">
        <v>1178</v>
      </c>
      <c r="AE38" s="132"/>
      <c r="AF38" s="132"/>
      <c r="AG38" s="132"/>
      <c r="AH38" s="695">
        <f>AG38-AF38</f>
        <v>0</v>
      </c>
      <c r="AI38" s="132"/>
      <c r="AJ38" s="749"/>
      <c r="AK38" s="749"/>
      <c r="AL38" s="695">
        <f>IF(AI38=0,0,(AK38-AI38)/AI38*100)</f>
        <v>0</v>
      </c>
      <c r="AM38" s="83"/>
      <c r="AN38" s="83"/>
      <c r="AO38" s="83"/>
      <c r="AR38" s="309" t="s">
        <v>1648</v>
      </c>
      <c r="AU38" s="1513" t="s">
        <v>1648</v>
      </c>
      <c r="AV38" s="0" cm="1" t="str">
        <f t="array" ref="AV38:AV38">AV37</f>
        <v>0</v>
      </c>
      <c r="BK38" s="0" t="s">
        <v>449</v>
      </c>
      <c r="BL38" s="0" t="s">
        <v>303</v>
      </c>
      <c r="BM38" s="0" t="s">
        <v>1650</v>
      </c>
      <c r="BN38" s="0" t="s">
        <v>1651</v>
      </c>
    </row>
    <row customHeight="1" ht="16.575" hidden="1">
      <c r="E39" s="180">
        <v>17</v>
      </c>
      <c r="F39" s="175" cm="1" t="str">
        <f t="array" ref="F39:F39">OFFSET(G39,-1,-1)</f>
        <v>0</v>
      </c>
      <c r="T39" s="753" cm="1" t="str">
        <f t="array" ref="T39:T39">T38</f>
        <v>false</v>
      </c>
      <c r="AB39" s="857" t="s">
        <v>2167</v>
      </c>
      <c r="AC39" s="456" t="s">
        <v>2168</v>
      </c>
      <c r="AD39" s="859" t="s">
        <v>495</v>
      </c>
      <c r="AE39" s="132"/>
      <c r="AF39" s="132"/>
      <c r="AG39" s="132"/>
      <c r="AH39" s="695">
        <f>AG39-AF39</f>
        <v>0</v>
      </c>
      <c r="AI39" s="132"/>
      <c r="AJ39" s="749"/>
      <c r="AK39" s="749"/>
      <c r="AL39" s="695">
        <f>IF(AI39=0,0,(AK39-AI39)/AI39*100)</f>
        <v>0</v>
      </c>
      <c r="AM39" s="83"/>
      <c r="AN39" s="83"/>
      <c r="AO39" s="83"/>
      <c r="AR39" s="309" t="s">
        <v>1644</v>
      </c>
      <c r="AU39" s="1513" t="s">
        <v>1654</v>
      </c>
      <c r="AV39" s="0" cm="1" t="str">
        <f t="array" ref="AV39:AV39">AV38</f>
        <v>0</v>
      </c>
      <c r="BK39" s="0" t="s">
        <v>883</v>
      </c>
      <c r="BL39" s="0" t="s">
        <v>303</v>
      </c>
      <c r="BM39" s="0" t="s">
        <v>2169</v>
      </c>
      <c r="BN39" s="0" t="s">
        <v>2170</v>
      </c>
    </row>
    <row customHeight="1" ht="16.575" hidden="1">
      <c r="E40" s="180">
        <v>17</v>
      </c>
      <c r="F40" s="175" cm="1" t="str">
        <f t="array" ref="F40:F40">OFFSET(G40,-1,-1)</f>
        <v>0</v>
      </c>
      <c r="T40" s="753" cm="1" t="str">
        <f t="array" ref="T40:T40">T39</f>
        <v>false</v>
      </c>
      <c r="AB40" s="857">
        <v>1.9</v>
      </c>
      <c r="AC40" s="858" t="s">
        <v>2171</v>
      </c>
      <c r="AD40" s="859" t="s">
        <v>1178</v>
      </c>
      <c r="AE40" s="132"/>
      <c r="AF40" s="132"/>
      <c r="AG40" s="132"/>
      <c r="AH40" s="695">
        <f>AG40-AF40</f>
        <v>0</v>
      </c>
      <c r="AI40" s="132"/>
      <c r="AJ40" s="749"/>
      <c r="AK40" s="749"/>
      <c r="AL40" s="695">
        <f>IF(AI40=0,0,(AK40-AI40)/AI40*100)</f>
        <v>0</v>
      </c>
      <c r="AM40" s="83"/>
      <c r="AN40" s="83"/>
      <c r="AO40" s="83"/>
      <c r="AR40" s="309" t="s">
        <v>2172</v>
      </c>
      <c r="AT40" s="1512" t="s">
        <v>1558</v>
      </c>
      <c r="AV40" s="0" cm="1" t="str">
        <f t="array" ref="AV40:AV40">AV39</f>
        <v>0</v>
      </c>
      <c r="BK40" s="0" t="s">
        <v>886</v>
      </c>
      <c r="BL40" s="0" t="s">
        <v>303</v>
      </c>
      <c r="BM40" s="0" t="s">
        <v>2173</v>
      </c>
      <c r="BN40" s="0" t="s">
        <v>2174</v>
      </c>
    </row>
    <row customHeight="1" ht="34.125" hidden="1">
      <c r="E41" s="180">
        <v>35</v>
      </c>
      <c r="F41" s="175" cm="1" t="str">
        <f t="array" ref="F41:F41">OFFSET(G41,-1,-1)</f>
        <v>0</v>
      </c>
      <c r="G41" s="193" t="s">
        <v>1386</v>
      </c>
      <c r="T41" s="753" cm="1" t="str">
        <f t="array" ref="T41:T41">T40</f>
        <v>false</v>
      </c>
      <c r="AB41" s="857" t="s">
        <v>2175</v>
      </c>
      <c r="AC41" s="858" t="s">
        <v>2176</v>
      </c>
      <c r="AD41" s="859" t="s">
        <v>1178</v>
      </c>
      <c r="AE41" s="746">
        <f>_xlfn.SUMIFS('Покупка услуг'!AF$26:AF$65,'Покупка услуг'!$F$26:$F$65,$F41,'Покупка услуг'!$G$26:$G$65,$G41)</f>
        <v>0</v>
      </c>
      <c r="AF41" s="746">
        <f>_xlfn.SUMIFS('Покупка услуг'!AG$26:AG$65,'Покупка услуг'!$F$26:$F$65,$F41,'Покупка услуг'!$G$26:$G$65,$G41)</f>
        <v>0</v>
      </c>
      <c r="AG41" s="746">
        <f>_xlfn.SUMIFS('Покупка услуг'!AH$26:AH$65,'Покупка услуг'!$F$26:$F$65,$F41,'Покупка услуг'!$G$26:$G$65,$G41)</f>
        <v>0</v>
      </c>
      <c r="AH41" s="695">
        <f>AG41-AF41</f>
        <v>0</v>
      </c>
      <c r="AI41" s="746">
        <f>_xlfn.SUMIFS('Покупка услуг'!AI$26:AI$65,'Покупка услуг'!$F$26:$F$65,$F41,'Покупка услуг'!$G$26:$G$65,$G41)</f>
        <v>0</v>
      </c>
      <c r="AJ41" s="746">
        <f>_xlfn.SUMIFS('Покупка услуг'!AJ$26:AJ$65,'Покупка услуг'!$F$26:$F$65,$F41,'Покупка услуг'!$G$26:$G$65,$G41)</f>
        <v>0</v>
      </c>
      <c r="AK41" s="746">
        <f>_xlfn.SUMIFS('Покупка услуг'!BD$26:BD$65,'Покупка услуг'!$F$26:$F$65,$F41,'Покупка услуг'!$G$26:$G$65,$G41)</f>
        <v>0</v>
      </c>
      <c r="AL41" s="695">
        <f>IF(AI41=0,0,(AK41-AI41)/AI41*100)</f>
        <v>0</v>
      </c>
      <c r="AM41" s="83"/>
      <c r="AN41" s="83"/>
      <c r="AO41" s="83"/>
      <c r="AR41" s="309" t="s">
        <v>2177</v>
      </c>
      <c r="AV41" s="0" cm="1" t="str">
        <f t="array" ref="AV41:AV41">AV40</f>
        <v>0</v>
      </c>
      <c r="AX41" s="0" t="s">
        <v>1634</v>
      </c>
      <c r="BL41" s="0" t="s">
        <v>303</v>
      </c>
      <c r="BM41" s="0" t="s">
        <v>1044</v>
      </c>
      <c r="BN41" s="0" t="s">
        <v>1045</v>
      </c>
    </row>
    <row customHeight="1" ht="34.125" hidden="1">
      <c r="E42" s="180">
        <v>35</v>
      </c>
      <c r="F42" s="175" cm="1" t="str">
        <f t="array" ref="F42:F42">OFFSET(G42,-1,-1)</f>
        <v>0</v>
      </c>
      <c r="T42" s="753" cm="1" t="str">
        <f t="array" ref="T42:T42">T41</f>
        <v>false</v>
      </c>
      <c r="AB42" s="857">
        <v>1.11</v>
      </c>
      <c r="AC42" s="858" t="s">
        <v>2178</v>
      </c>
      <c r="AD42" s="859" t="s">
        <v>1178</v>
      </c>
      <c r="AE42" s="132"/>
      <c r="AF42" s="132"/>
      <c r="AG42" s="132"/>
      <c r="AH42" s="695">
        <f>AG42-AF42</f>
        <v>0</v>
      </c>
      <c r="AI42" s="132"/>
      <c r="AJ42" s="749"/>
      <c r="AK42" s="749"/>
      <c r="AL42" s="695">
        <f>IF(AI42=0,0,(AK42-AI42)/AI42*100)</f>
        <v>0</v>
      </c>
      <c r="AM42" s="83"/>
      <c r="AN42" s="83"/>
      <c r="AO42" s="83"/>
      <c r="AR42" s="309" t="s">
        <v>2179</v>
      </c>
      <c r="AT42" s="1512" t="s">
        <v>1563</v>
      </c>
      <c r="AV42" s="0" cm="1" t="str">
        <f t="array" ref="AV42:AV42">AV41</f>
        <v>0</v>
      </c>
      <c r="AX42" s="0" t="s">
        <v>1565</v>
      </c>
      <c r="AY42" s="0" t="s">
        <v>2180</v>
      </c>
      <c r="BL42" s="0" t="s">
        <v>303</v>
      </c>
      <c r="BM42" s="0" t="s">
        <v>1044</v>
      </c>
      <c r="BN42" s="0" t="s">
        <v>1045</v>
      </c>
    </row>
    <row customHeight="1" ht="53.625" hidden="1">
      <c r="E43" s="180">
        <v>55</v>
      </c>
      <c r="F43" s="175" cm="1" t="str">
        <f t="array" ref="F43:F43">OFFSET(G43,-1,-1)</f>
        <v>0</v>
      </c>
      <c r="T43" s="753" cm="1" t="str">
        <f t="array" ref="T43:T43">T42</f>
        <v>false</v>
      </c>
      <c r="AB43" s="857">
        <v>1.12</v>
      </c>
      <c r="AC43" s="858" t="s">
        <v>2181</v>
      </c>
      <c r="AD43" s="859" t="s">
        <v>1178</v>
      </c>
      <c r="AE43" s="132"/>
      <c r="AF43" s="132"/>
      <c r="AG43" s="132"/>
      <c r="AH43" s="695">
        <f>AG43-AF43</f>
        <v>0</v>
      </c>
      <c r="AI43" s="132"/>
      <c r="AJ43" s="749"/>
      <c r="AK43" s="749"/>
      <c r="AL43" s="695">
        <f>IF(AI43=0,0,(AK43-AI43)/AI43*100)</f>
        <v>0</v>
      </c>
      <c r="AM43" s="83"/>
      <c r="AN43" s="83"/>
      <c r="AO43" s="83"/>
      <c r="AR43" s="309" t="s">
        <v>2182</v>
      </c>
      <c r="AT43" s="1512" t="s">
        <v>1563</v>
      </c>
      <c r="AV43" s="0" cm="1" t="str">
        <f t="array" ref="AV43:AV43">AV42</f>
        <v>0</v>
      </c>
      <c r="AW43" s="0" t="s">
        <v>2183</v>
      </c>
      <c r="AY43" s="0" t="s">
        <v>2180</v>
      </c>
      <c r="BL43" s="0" t="s">
        <v>303</v>
      </c>
      <c r="BM43" s="0" t="s">
        <v>1044</v>
      </c>
      <c r="BN43" s="0" t="s">
        <v>1045</v>
      </c>
    </row>
    <row customHeight="1" ht="39" hidden="1">
      <c r="E44" s="180">
        <v>40</v>
      </c>
      <c r="F44" s="175" cm="1" t="str">
        <f t="array" ref="F44:F44">OFFSET(G44,-1,-1)</f>
        <v>0</v>
      </c>
      <c r="G44" s="193" t="s">
        <v>1478</v>
      </c>
      <c r="T44" s="753" cm="1" t="str">
        <f t="array" ref="T44:T44">T43</f>
        <v>false</v>
      </c>
      <c r="AB44" s="857">
        <v>1.13</v>
      </c>
      <c r="AC44" s="858" t="s">
        <v>1642</v>
      </c>
      <c r="AD44" s="859" t="s">
        <v>1178</v>
      </c>
      <c r="AE44" s="746">
        <f>_xlfn.SUMIFS(Налоги!AE$26:AE$55,Налоги!$F$26:$F$55,$F44,Налоги!$G$26:$G$55,$G44)</f>
        <v>0</v>
      </c>
      <c r="AF44" s="746">
        <f>_xlfn.SUMIFS(Налоги!AF$26:AF$55,Налоги!$F$26:$F$55,$F44,Налоги!$G$26:$G$55,$G44)</f>
        <v>0</v>
      </c>
      <c r="AG44" s="746">
        <f>_xlfn.SUMIFS(Налоги!AG$26:AG$55,Налоги!$F$26:$F$55,$F44,Налоги!$G$26:$G$55,$G44)</f>
        <v>0</v>
      </c>
      <c r="AH44" s="695">
        <f>AG44-AF44</f>
        <v>0</v>
      </c>
      <c r="AI44" s="746">
        <f>_xlfn.SUMIFS(Налоги!AH$26:AH$55,Налоги!$F$26:$F$55,$F44,Налоги!$G$26:$G$55,$G44)</f>
        <v>0</v>
      </c>
      <c r="AJ44" s="746">
        <f>_xlfn.SUMIFS(Налоги!AI$26:AI$55,Налоги!$F$26:$F$55,$F44,Налоги!$G$26:$G$55,$G44)</f>
        <v>0</v>
      </c>
      <c r="AK44" s="746">
        <f>_xlfn.SUMIFS(Налоги!BC$26:BC$55,Налоги!$F$26:$F$55,$F44,Налоги!$G$26:$G$55,$G44)</f>
        <v>0</v>
      </c>
      <c r="AL44" s="695">
        <f>IF(AI44=0,0,(AK44-AI44)/AI44*100)</f>
        <v>0</v>
      </c>
      <c r="AM44" s="83"/>
      <c r="AN44" s="83"/>
      <c r="AO44" s="83"/>
      <c r="AR44" s="309" t="s">
        <v>1640</v>
      </c>
      <c r="AV44" s="0" cm="1" t="str">
        <f t="array" ref="AV44:AV44">AV43</f>
        <v>0</v>
      </c>
      <c r="AW44" s="0" t="s">
        <v>1481</v>
      </c>
      <c r="BL44" s="0" t="s">
        <v>303</v>
      </c>
      <c r="BM44" s="0" t="s">
        <v>2184</v>
      </c>
      <c r="BN44" s="0" t="s">
        <v>2185</v>
      </c>
    </row>
    <row customHeight="1" ht="16.575" hidden="1">
      <c r="E45" s="180">
        <v>17</v>
      </c>
      <c r="F45" s="175" cm="1" t="str">
        <f t="array" ref="F45:F45">OFFSET(G45,-1,-1)</f>
        <v>0</v>
      </c>
      <c r="G45" s="193" t="s">
        <v>1331</v>
      </c>
      <c r="T45" s="753" cm="1" t="str">
        <f t="array" ref="T45:T45">T44</f>
        <v>false</v>
      </c>
      <c r="AB45" s="857">
        <v>1.14</v>
      </c>
      <c r="AC45" s="858" t="s">
        <v>2186</v>
      </c>
      <c r="AD45" s="859" t="s">
        <v>1178</v>
      </c>
      <c r="AE45" s="695">
        <f>_xlfn.SUMIFS(Аренда!AE$26:AE$51,Аренда!$F$26:$F$51,$F45,Аренда!$G$26:$G$51,$G45)</f>
        <v>0</v>
      </c>
      <c r="AF45" s="695">
        <f>_xlfn.SUMIFS(Аренда!AF$26:AF$51,Аренда!$F$26:$F$51,$F45,Аренда!$G$26:$G$51,$G45)</f>
        <v>0</v>
      </c>
      <c r="AG45" s="695">
        <f>_xlfn.SUMIFS(Аренда!AG$26:AG$51,Аренда!$F$26:$F$51,$F45,Аренда!$G$26:$G$51,$G45)</f>
        <v>0</v>
      </c>
      <c r="AH45" s="695">
        <f>AG45-AF45</f>
        <v>0</v>
      </c>
      <c r="AI45" s="695">
        <f>_xlfn.SUMIFS(Аренда!AH$26:AH$51,Аренда!$F$26:$F$51,$F45,Аренда!$G$26:$G$51,$G45)</f>
        <v>0</v>
      </c>
      <c r="AJ45" s="695">
        <f>_xlfn.SUMIFS(Аренда!AI$26:AI$51,Аренда!$F$26:$F$51,$F45,Аренда!$G$26:$G$51,$G45)</f>
        <v>0</v>
      </c>
      <c r="AK45" s="695">
        <f>_xlfn.SUMIFS(Аренда!BC$26:BC$51,Аренда!$F$26:$F$51,$F45,Аренда!$G$26:$G$51,$G45)</f>
        <v>0</v>
      </c>
      <c r="AL45" s="695">
        <f>IF(AI45=0,0,(AK45-AI45)/AI45*100)</f>
        <v>0</v>
      </c>
      <c r="AM45" s="83"/>
      <c r="AN45" s="83"/>
      <c r="AO45" s="83"/>
      <c r="AR45" s="309" t="s">
        <v>2187</v>
      </c>
      <c r="AV45" s="0" cm="1" t="str">
        <f t="array" ref="AV45:AV45">AV44</f>
        <v>0</v>
      </c>
      <c r="AX45" s="0" t="s">
        <v>2188</v>
      </c>
      <c r="BL45" s="0" t="s">
        <v>303</v>
      </c>
      <c r="BM45" s="0" t="s">
        <v>1333</v>
      </c>
      <c r="BN45" s="0" t="s">
        <v>1334</v>
      </c>
    </row>
    <row customHeight="1" ht="16.575" hidden="1">
      <c r="E46" s="180">
        <v>17</v>
      </c>
      <c r="F46" s="175" cm="1" t="str">
        <f t="array" ref="F46:F46">OFFSET(G46,-1,-1)</f>
        <v>0</v>
      </c>
      <c r="T46" s="753" cm="1" t="str">
        <f t="array" ref="T46:T46">T45</f>
        <v>false</v>
      </c>
      <c r="AB46" s="857">
        <v>1.15</v>
      </c>
      <c r="AC46" s="858" t="s">
        <v>1583</v>
      </c>
      <c r="AD46" s="859" t="s">
        <v>1178</v>
      </c>
      <c r="AE46" s="132"/>
      <c r="AF46" s="132"/>
      <c r="AG46" s="132"/>
      <c r="AH46" s="695">
        <f>AG46-AF46</f>
        <v>0</v>
      </c>
      <c r="AI46" s="132"/>
      <c r="AJ46" s="749"/>
      <c r="AK46" s="749"/>
      <c r="AL46" s="695">
        <f>IF(AI46=0,0,(AK46-AI46)/AI46*100)</f>
        <v>0</v>
      </c>
      <c r="AM46" s="83"/>
      <c r="AN46" s="83"/>
      <c r="AO46" s="83"/>
      <c r="AR46" s="309" t="s">
        <v>2189</v>
      </c>
      <c r="AT46" s="1512" t="s">
        <v>1584</v>
      </c>
      <c r="AV46" s="0" cm="1" t="str">
        <f t="array" ref="AV46:AV46">AV45</f>
        <v>0</v>
      </c>
      <c r="AZ46" s="0" t="s">
        <v>1585</v>
      </c>
      <c r="BL46" s="0" t="s">
        <v>303</v>
      </c>
      <c r="BM46" s="0" t="s">
        <v>1044</v>
      </c>
      <c r="BN46" s="0" t="s">
        <v>1045</v>
      </c>
    </row>
    <row customHeight="1" ht="16.575" hidden="1">
      <c r="E47" s="180">
        <v>17</v>
      </c>
      <c r="F47" s="175" cm="1" t="str">
        <f t="array" ref="F47:F47">OFFSET(G47,-1,-1)</f>
        <v>0</v>
      </c>
      <c r="T47" s="753" cm="1" t="str">
        <f t="array" ref="T47:T47">T46</f>
        <v>false</v>
      </c>
      <c r="AB47" s="857">
        <v>1.16</v>
      </c>
      <c r="AC47" s="858" t="s">
        <v>1586</v>
      </c>
      <c r="AD47" s="859" t="s">
        <v>1178</v>
      </c>
      <c r="AE47" s="132"/>
      <c r="AF47" s="132"/>
      <c r="AG47" s="132"/>
      <c r="AH47" s="695">
        <f>AG47-AF47</f>
        <v>0</v>
      </c>
      <c r="AI47" s="132"/>
      <c r="AJ47" s="749"/>
      <c r="AK47" s="749"/>
      <c r="AL47" s="695">
        <f>IF(AI47=0,0,(AK47-AI47)/AI47*100)</f>
        <v>0</v>
      </c>
      <c r="AM47" s="83"/>
      <c r="AN47" s="83"/>
      <c r="AO47" s="83"/>
      <c r="AR47" s="309" t="s">
        <v>1587</v>
      </c>
      <c r="AT47" s="1512" t="s">
        <v>1587</v>
      </c>
      <c r="AV47" s="0" cm="1" t="str">
        <f t="array" ref="AV47:AV47">AV46</f>
        <v>0</v>
      </c>
      <c r="AZ47" s="0" t="s">
        <v>1588</v>
      </c>
      <c r="BL47" s="0" t="s">
        <v>303</v>
      </c>
      <c r="BM47" s="0" t="s">
        <v>1044</v>
      </c>
      <c r="BN47" s="0" t="s">
        <v>1045</v>
      </c>
    </row>
    <row customHeight="1" ht="34.125" hidden="1">
      <c r="E48" s="180">
        <v>35</v>
      </c>
      <c r="F48" s="175" cm="1" t="str">
        <f t="array" ref="F48:F48">OFFSET(G48,-1,-1)</f>
        <v>0</v>
      </c>
      <c r="G48" s="193" t="s">
        <v>1487</v>
      </c>
      <c r="T48" s="753" cm="1" t="str">
        <f t="array" ref="T48:T48">T47</f>
        <v>false</v>
      </c>
      <c r="AB48" s="857">
        <v>1.17</v>
      </c>
      <c r="AC48" s="858" t="s">
        <v>2190</v>
      </c>
      <c r="AD48" s="859" t="s">
        <v>1178</v>
      </c>
      <c r="AE48" s="746">
        <f>_xlfn.SUMIFS(Налоги!AE$26:AE$55,Налоги!$F$26:$F$55,$F48,Налоги!$G$26:$G$55,$G48)</f>
        <v>0</v>
      </c>
      <c r="AF48" s="746">
        <f>_xlfn.SUMIFS(Налоги!AF$26:AF$55,Налоги!$F$26:$F$55,$F48,Налоги!$G$26:$G$55,$G48)</f>
        <v>0</v>
      </c>
      <c r="AG48" s="746">
        <f>_xlfn.SUMIFS(Налоги!AG$26:AG$55,Налоги!$F$26:$F$55,$F48,Налоги!$G$26:$G$55,$G48)</f>
        <v>0</v>
      </c>
      <c r="AH48" s="695">
        <f>AG48-AF48</f>
        <v>0</v>
      </c>
      <c r="AI48" s="746">
        <f>_xlfn.SUMIFS(Налоги!AH$26:AH$55,Налоги!$F$26:$F$55,$F48,Налоги!$G$26:$G$55,$G48)</f>
        <v>0</v>
      </c>
      <c r="AJ48" s="746">
        <f>_xlfn.SUMIFS(Налоги!AI$26:AI$55,Налоги!$F$26:$F$55,$F48,Налоги!$G$26:$G$55,$G48)</f>
        <v>0</v>
      </c>
      <c r="AK48" s="746">
        <f>_xlfn.SUMIFS(Налоги!BC$26:BC$55,Налоги!$F$26:$F$55,$F48,Налоги!$G$26:$G$55,$G48)</f>
        <v>0</v>
      </c>
      <c r="AL48" s="695">
        <f>IF(AI48=0,0,(AK48-AI48)/AI48*100)</f>
        <v>0</v>
      </c>
      <c r="AM48" s="83"/>
      <c r="AN48" s="83"/>
      <c r="AO48" s="83"/>
      <c r="AR48" s="309" t="s">
        <v>2191</v>
      </c>
      <c r="AV48" s="2308" cm="1" t="str">
        <f t="array" ref="AV48:AV48">AV47</f>
        <v>0</v>
      </c>
      <c r="AZ48" s="2308" t="s">
        <v>2192</v>
      </c>
      <c r="BL48" s="2308" t="s">
        <v>303</v>
      </c>
      <c r="BM48" s="2308" t="s">
        <v>1044</v>
      </c>
      <c r="BN48" s="2308" t="s">
        <v>1045</v>
      </c>
    </row>
    <row customHeight="1" ht="34.125" hidden="1">
      <c r="E49" s="180">
        <v>35</v>
      </c>
      <c r="F49" s="175" cm="1" t="str">
        <f t="array" ref="F49:F49">OFFSET(G49,-1,-1)</f>
        <v>0</v>
      </c>
      <c r="T49" s="753" cm="1" t="str">
        <f t="array" ref="T49:T49">T48</f>
        <v>false</v>
      </c>
      <c r="AB49" s="857">
        <v>1.18</v>
      </c>
      <c r="AC49" s="858" t="s">
        <v>2193</v>
      </c>
      <c r="AD49" s="859" t="s">
        <v>1178</v>
      </c>
      <c r="AE49" s="746">
        <f>SUM(AE50:AE54)</f>
        <v>0</v>
      </c>
      <c r="AF49" s="746">
        <f>SUM(AF50:AF54)</f>
        <v>0</v>
      </c>
      <c r="AG49" s="746">
        <f>SUM(AG50:AG54)</f>
        <v>0</v>
      </c>
      <c r="AH49" s="695">
        <f>AG49-AF49</f>
        <v>0</v>
      </c>
      <c r="AI49" s="746">
        <f>SUM(AI50:AI54)</f>
        <v>0</v>
      </c>
      <c r="AJ49" s="746">
        <f>SUM(AJ50:AJ54)</f>
        <v>0</v>
      </c>
      <c r="AK49" s="746">
        <f>SUM(AK50:AK54)</f>
        <v>0</v>
      </c>
      <c r="AL49" s="695">
        <f>IF(AI49=0,0,(AK49-AI49)/AI49*100)</f>
        <v>0</v>
      </c>
      <c r="AM49" s="83"/>
      <c r="AN49" s="83"/>
      <c r="AO49" s="83"/>
      <c r="AR49" s="309" t="s">
        <v>1509</v>
      </c>
      <c r="AV49" s="2308" cm="1" t="str">
        <f t="array" ref="AV49:AV49">AV48</f>
        <v>0</v>
      </c>
      <c r="AY49" s="2308" t="s">
        <v>2194</v>
      </c>
      <c r="BL49" s="2308" t="s">
        <v>303</v>
      </c>
      <c r="BM49" s="2308" t="s">
        <v>1044</v>
      </c>
      <c r="BN49" s="2308" t="s">
        <v>1045</v>
      </c>
    </row>
    <row customHeight="1" ht="16.575" hidden="1">
      <c r="E50" s="180">
        <v>17</v>
      </c>
      <c r="F50" s="175" cm="1" t="str">
        <f t="array" ref="F50:F50">OFFSET(G50,-1,-1)</f>
        <v>0</v>
      </c>
      <c r="G50" s="193" t="s">
        <v>1493</v>
      </c>
      <c r="T50" s="753" cm="1" t="str">
        <f t="array" ref="T50:T50">T49</f>
        <v>false</v>
      </c>
      <c r="AB50" s="857" t="s">
        <v>2195</v>
      </c>
      <c r="AC50" s="858" t="s">
        <v>2196</v>
      </c>
      <c r="AD50" s="859" t="s">
        <v>1178</v>
      </c>
      <c r="AE50" s="746">
        <f>_xlfn.SUMIFS(Налоги!AE$26:AE$55,Налоги!$F$26:$F$55,$F50,Налоги!$H$26:$H$55,$G50)</f>
        <v>0</v>
      </c>
      <c r="AF50" s="746">
        <f>_xlfn.SUMIFS(Налоги!AF$26:AF$55,Налоги!$F$26:$F$55,$F50,Налоги!$H$26:$H$55,$G50)</f>
        <v>0</v>
      </c>
      <c r="AG50" s="746">
        <f>_xlfn.SUMIFS(Налоги!AG$26:AG$55,Налоги!$F$26:$F$55,$F50,Налоги!$H$26:$H$55,$G50)</f>
        <v>0</v>
      </c>
      <c r="AH50" s="695">
        <f>AG50-AF50</f>
        <v>0</v>
      </c>
      <c r="AI50" s="746">
        <f>_xlfn.SUMIFS(Налоги!AH$26:AH$55,Налоги!$F$26:$F$55,$F50,Налоги!$H$26:$H$55,$G50)</f>
        <v>0</v>
      </c>
      <c r="AJ50" s="746">
        <f>_xlfn.SUMIFS(Налоги!AI$26:AI$55,Налоги!$F$26:$F$55,$F50,Налоги!$H$26:$H$55,$G50)</f>
        <v>0</v>
      </c>
      <c r="AK50" s="746">
        <f>_xlfn.SUMIFS(Налоги!BC$26:BC$55,Налоги!$F$26:$F$55,$F50,Налоги!$H$26:$H$55,$G50)</f>
        <v>0</v>
      </c>
      <c r="AL50" s="695">
        <f>IF(AI50=0,0,(AK50-AI50)/AI50*100)</f>
        <v>0</v>
      </c>
      <c r="AM50" s="83"/>
      <c r="AN50" s="83"/>
      <c r="AO50" s="83"/>
      <c r="AR50" s="309" t="s">
        <v>582</v>
      </c>
      <c r="AV50" s="2308" cm="1" t="str">
        <f t="array" ref="AV50:AV50">AV49</f>
        <v>0</v>
      </c>
      <c r="AW50" s="2308" t="s">
        <v>2197</v>
      </c>
      <c r="BL50" s="2308" t="s">
        <v>303</v>
      </c>
      <c r="BM50" s="2308" t="s">
        <v>2198</v>
      </c>
      <c r="BN50" s="2308" t="s">
        <v>2199</v>
      </c>
    </row>
    <row customHeight="1" ht="16.575" hidden="1">
      <c r="E51" s="180">
        <v>17</v>
      </c>
      <c r="F51" s="175" cm="1" t="str">
        <f t="array" ref="F51:F51">OFFSET(G51,-1,-1)</f>
        <v>0</v>
      </c>
      <c r="G51" s="193" t="s">
        <v>1496</v>
      </c>
      <c r="T51" s="753" cm="1" t="str">
        <f t="array" ref="T51:T51">T50</f>
        <v>false</v>
      </c>
      <c r="AB51" s="857" t="s">
        <v>2200</v>
      </c>
      <c r="AC51" s="858" t="s">
        <v>1497</v>
      </c>
      <c r="AD51" s="859" t="s">
        <v>1178</v>
      </c>
      <c r="AE51" s="746">
        <f>_xlfn.SUMIFS(Налоги!AE$26:AE$55,Налоги!$F$26:$F$55,$F51,Налоги!$H$26:$H$55,$G51)</f>
        <v>0</v>
      </c>
      <c r="AF51" s="746">
        <f>_xlfn.SUMIFS(Налоги!AF$26:AF$55,Налоги!$F$26:$F$55,$F51,Налоги!$H$26:$H$55,$G51)</f>
        <v>0</v>
      </c>
      <c r="AG51" s="746">
        <f>_xlfn.SUMIFS(Налоги!AG$26:AG$55,Налоги!$F$26:$F$55,$F51,Налоги!$H$26:$H$55,$G51)</f>
        <v>0</v>
      </c>
      <c r="AH51" s="695">
        <f>AG51-AF51</f>
        <v>0</v>
      </c>
      <c r="AI51" s="746">
        <f>_xlfn.SUMIFS(Налоги!AH$26:AH$55,Налоги!$F$26:$F$55,$F51,Налоги!$H$26:$H$55,$G51)</f>
        <v>0</v>
      </c>
      <c r="AJ51" s="746">
        <f>_xlfn.SUMIFS(Налоги!AI$26:AI$55,Налоги!$F$26:$F$55,$F51,Налоги!$H$26:$H$55,$G51)</f>
        <v>0</v>
      </c>
      <c r="AK51" s="746">
        <f>_xlfn.SUMIFS(Налоги!BC$26:BC$55,Налоги!$F$26:$F$55,$F51,Налоги!$H$26:$H$55,$G51)</f>
        <v>0</v>
      </c>
      <c r="AL51" s="695">
        <f>IF(AI51=0,0,(AK51-AI51)/AI51*100)</f>
        <v>0</v>
      </c>
      <c r="AM51" s="83"/>
      <c r="AN51" s="83"/>
      <c r="AO51" s="83"/>
      <c r="AR51" s="309" t="s">
        <v>1498</v>
      </c>
      <c r="AV51" s="2308" cm="1" t="str">
        <f t="array" ref="AV51:AV51">AV50</f>
        <v>0</v>
      </c>
      <c r="AW51" s="2308" t="s">
        <v>2201</v>
      </c>
      <c r="BL51" s="2308" t="s">
        <v>303</v>
      </c>
      <c r="BM51" s="2308" t="s">
        <v>2198</v>
      </c>
      <c r="BN51" s="2308" t="s">
        <v>2199</v>
      </c>
    </row>
    <row customHeight="1" ht="16.575" hidden="1">
      <c r="E52" s="180">
        <v>17</v>
      </c>
      <c r="F52" s="175" cm="1" t="str">
        <f t="array" ref="F52:F52">OFFSET(G52,-1,-1)</f>
        <v>0</v>
      </c>
      <c r="G52" s="193" t="s">
        <v>1483</v>
      </c>
      <c r="T52" s="753" cm="1" t="str">
        <f t="array" ref="T52:T52">T51</f>
        <v>false</v>
      </c>
      <c r="AB52" s="860" t="s">
        <v>2202</v>
      </c>
      <c r="AC52" s="861" t="s">
        <v>1484</v>
      </c>
      <c r="AD52" s="862" t="s">
        <v>1178</v>
      </c>
      <c r="AE52" s="746">
        <f>_xlfn.SUMIFS(Налоги!AE$26:AE$55,Налоги!$F$26:$F$55,$F52,Налоги!$H$26:$H$55,$G52)</f>
        <v>0</v>
      </c>
      <c r="AF52" s="746">
        <f>_xlfn.SUMIFS(Налоги!AF$26:AF$55,Налоги!$F$26:$F$55,$F52,Налоги!$H$26:$H$55,$G52)</f>
        <v>0</v>
      </c>
      <c r="AG52" s="746">
        <f>_xlfn.SUMIFS(Налоги!AG$26:AG$55,Налоги!$F$26:$F$55,$F52,Налоги!$H$26:$H$55,$G52)</f>
        <v>0</v>
      </c>
      <c r="AH52" s="695">
        <f>AG52-AF52</f>
        <v>0</v>
      </c>
      <c r="AI52" s="746">
        <f>_xlfn.SUMIFS(Налоги!AH$26:AH$55,Налоги!$F$26:$F$55,$F52,Налоги!$H$26:$H$55,$G52)</f>
        <v>0</v>
      </c>
      <c r="AJ52" s="746">
        <f>_xlfn.SUMIFS(Налоги!AI$26:AI$55,Налоги!$F$26:$F$55,$F52,Налоги!$H$26:$H$55,$G52)</f>
        <v>0</v>
      </c>
      <c r="AK52" s="746">
        <f>_xlfn.SUMIFS(Налоги!BC$26:BC$55,Налоги!$F$26:$F$55,$F52,Налоги!$H$26:$H$55,$G52)</f>
        <v>0</v>
      </c>
      <c r="AL52" s="695">
        <f>IF(AI52=0,0,(AK52-AI52)/AI52*100)</f>
        <v>0</v>
      </c>
      <c r="AM52" s="83"/>
      <c r="AN52" s="83"/>
      <c r="AO52" s="83"/>
      <c r="AR52" s="309" t="s">
        <v>2203</v>
      </c>
      <c r="AV52" s="2308" cm="1" t="str">
        <f t="array" ref="AV52:AV52">AV51</f>
        <v>0</v>
      </c>
      <c r="AW52" s="2308" t="s">
        <v>2204</v>
      </c>
      <c r="BL52" s="2308" t="s">
        <v>303</v>
      </c>
      <c r="BM52" s="2308" t="s">
        <v>2198</v>
      </c>
      <c r="BN52" s="2308" t="s">
        <v>2199</v>
      </c>
    </row>
    <row customHeight="1" ht="16.575" hidden="1">
      <c r="E53" s="180">
        <v>17</v>
      </c>
      <c r="F53" s="175" cm="1" t="str">
        <f t="array" ref="F53:F53">OFFSET(G53,-1,-1)</f>
        <v>0</v>
      </c>
      <c r="G53" s="193" t="s">
        <v>1503</v>
      </c>
      <c r="T53" s="753" cm="1" t="str">
        <f t="array" ref="T53:T53">T52</f>
        <v>false</v>
      </c>
      <c r="AB53" s="470" t="s">
        <v>2205</v>
      </c>
      <c r="AC53" s="863" t="s">
        <v>1504</v>
      </c>
      <c r="AD53" s="470" t="s">
        <v>1178</v>
      </c>
      <c r="AE53" s="746">
        <f>_xlfn.SUMIFS(Налоги!AE$26:AE$55,Налоги!$F$26:$F$55,$F53,Налоги!$H$26:$H$55,$G53)</f>
        <v>0</v>
      </c>
      <c r="AF53" s="746">
        <f>_xlfn.SUMIFS(Налоги!AF$26:AF$55,Налоги!$F$26:$F$55,$F53,Налоги!$H$26:$H$55,$G53)</f>
        <v>0</v>
      </c>
      <c r="AG53" s="746">
        <f>_xlfn.SUMIFS(Налоги!AG$26:AG$55,Налоги!$F$26:$F$55,$F53,Налоги!$H$26:$H$55,$G53)</f>
        <v>0</v>
      </c>
      <c r="AH53" s="695">
        <f>AG53-AF53</f>
        <v>0</v>
      </c>
      <c r="AI53" s="746">
        <f>_xlfn.SUMIFS(Налоги!AH$26:AH$55,Налоги!$F$26:$F$55,$F53,Налоги!$H$26:$H$55,$G53)</f>
        <v>0</v>
      </c>
      <c r="AJ53" s="746">
        <f>_xlfn.SUMIFS(Налоги!AI$26:AI$55,Налоги!$F$26:$F$55,$F53,Налоги!$H$26:$H$55,$G53)</f>
        <v>0</v>
      </c>
      <c r="AK53" s="746">
        <f>_xlfn.SUMIFS(Налоги!BC$26:BC$55,Налоги!$F$26:$F$55,$F53,Налоги!$H$26:$H$55,$G53)</f>
        <v>0</v>
      </c>
      <c r="AL53" s="695">
        <f>IF(AI53=0,0,(AK53-AI53)/AI53*100)</f>
        <v>0</v>
      </c>
      <c r="AM53" s="83"/>
      <c r="AN53" s="83"/>
      <c r="AO53" s="83"/>
      <c r="AR53" s="309" t="s">
        <v>1505</v>
      </c>
      <c r="AV53" s="2308" cm="1" t="str">
        <f t="array" ref="AV53:AV53">AV52</f>
        <v>0</v>
      </c>
      <c r="AW53" s="2308" t="s">
        <v>1506</v>
      </c>
      <c r="BL53" s="2308" t="s">
        <v>303</v>
      </c>
      <c r="BM53" s="2308" t="s">
        <v>2198</v>
      </c>
      <c r="BN53" s="2308" t="s">
        <v>2199</v>
      </c>
    </row>
    <row customHeight="1" ht="16.575" hidden="1">
      <c r="E54" s="180">
        <v>17</v>
      </c>
      <c r="F54" s="175" cm="1" t="str">
        <f t="array" ref="F54:F54">OFFSET(G54,-1,-1)</f>
        <v>0</v>
      </c>
      <c r="G54" s="193" t="s">
        <v>1482</v>
      </c>
      <c r="T54" s="753" cm="1" t="str">
        <f t="array" ref="T54:T54">T53</f>
        <v>false</v>
      </c>
      <c r="AB54" s="470" t="s">
        <v>2206</v>
      </c>
      <c r="AC54" s="863" t="s">
        <v>2207</v>
      </c>
      <c r="AD54" s="470" t="s">
        <v>1178</v>
      </c>
      <c r="AE54" s="746">
        <f>_xlfn.SUMIFS(Налоги!AE$26:AE$55,Налоги!$F$26:$F$55,$F54,Налоги!$H$26:$H$55,$G54)</f>
        <v>0</v>
      </c>
      <c r="AF54" s="746">
        <f>_xlfn.SUMIFS(Налоги!AF$26:AF$55,Налоги!$F$26:$F$55,$F54,Налоги!$H$26:$H$55,$G54)</f>
        <v>0</v>
      </c>
      <c r="AG54" s="746">
        <f>_xlfn.SUMIFS(Налоги!AG$26:AG$55,Налоги!$F$26:$F$55,$F54,Налоги!$H$26:$H$55,$G54)</f>
        <v>0</v>
      </c>
      <c r="AH54" s="695">
        <f>AG54-AF54</f>
        <v>0</v>
      </c>
      <c r="AI54" s="746">
        <f>_xlfn.SUMIFS(Налоги!AH$26:AH$55,Налоги!$F$26:$F$55,$F54,Налоги!$H$26:$H$55,$G54)</f>
        <v>0</v>
      </c>
      <c r="AJ54" s="746">
        <f>_xlfn.SUMIFS(Налоги!AI$26:AI$55,Налоги!$F$26:$F$55,$F54,Налоги!$H$26:$H$55,$G54)</f>
        <v>0</v>
      </c>
      <c r="AK54" s="746">
        <f>_xlfn.SUMIFS(Налоги!BC$26:BC$55,Налоги!$F$26:$F$55,$F54,Налоги!$H$26:$H$55,$G54)</f>
        <v>0</v>
      </c>
      <c r="AL54" s="695">
        <f>IF(AI54=0,0,(AK54-AI54)/AI54*100)</f>
        <v>0</v>
      </c>
      <c r="AM54" s="83"/>
      <c r="AN54" s="83"/>
      <c r="AO54" s="83"/>
      <c r="AR54" s="309" t="s">
        <v>2208</v>
      </c>
      <c r="AV54" s="2308" cm="1" t="str">
        <f t="array" ref="AV54:AV54">AV53</f>
        <v>0</v>
      </c>
      <c r="AW54" s="2308" t="s">
        <v>1508</v>
      </c>
      <c r="BL54" s="2308" t="s">
        <v>303</v>
      </c>
      <c r="BM54" s="2308" t="s">
        <v>2198</v>
      </c>
      <c r="BN54" s="2308" t="s">
        <v>2199</v>
      </c>
    </row>
    <row customHeight="1" ht="16.575" hidden="1">
      <c r="E55" s="180">
        <v>17</v>
      </c>
      <c r="F55" s="175" cm="1" t="str">
        <f t="array" ref="F55:F55">OFFSET(G55,-1,-1)</f>
        <v>0</v>
      </c>
      <c r="T55" s="753" cm="1" t="str">
        <f t="array" ref="T55:T55">T54</f>
        <v>false</v>
      </c>
      <c r="AB55" s="738">
        <v>2</v>
      </c>
      <c r="AC55" s="864" t="s">
        <v>2209</v>
      </c>
      <c r="AD55" s="738" t="s">
        <v>1178</v>
      </c>
      <c r="AE55" s="746">
        <f>AE56+AE57+AE58+AE59</f>
        <v>0</v>
      </c>
      <c r="AF55" s="746">
        <f>AF56+AF57+AF58+AF59</f>
        <v>0</v>
      </c>
      <c r="AG55" s="746">
        <f>AG56+AG57+AG58+AG59</f>
        <v>0</v>
      </c>
      <c r="AH55" s="695">
        <f>AG55-AF55</f>
        <v>0</v>
      </c>
      <c r="AI55" s="746">
        <f>AI56+AI57+AI58+AI59</f>
        <v>0</v>
      </c>
      <c r="AJ55" s="746">
        <f>AJ56+AJ57+AJ58+AJ59</f>
        <v>0</v>
      </c>
      <c r="AK55" s="746">
        <f>AK56+AK57+AK58+AK59</f>
        <v>0</v>
      </c>
      <c r="AL55" s="695">
        <f>IF(AI55=0,0,(AK55-AI55)/AI55*100)</f>
        <v>0</v>
      </c>
      <c r="AM55" s="83"/>
      <c r="AN55" s="83"/>
      <c r="AO55" s="83"/>
      <c r="AR55" s="309" t="s">
        <v>2210</v>
      </c>
      <c r="AV55" s="2308" cm="1" t="str">
        <f t="array" ref="AV55:AV55">AV54</f>
        <v>0</v>
      </c>
      <c r="AX55" s="2308" t="s">
        <v>2211</v>
      </c>
      <c r="BL55" s="2308" t="s">
        <v>303</v>
      </c>
      <c r="BM55" s="2308" t="s">
        <v>1044</v>
      </c>
      <c r="BN55" s="2308" t="s">
        <v>1045</v>
      </c>
    </row>
    <row customHeight="1" ht="43.875" hidden="1">
      <c r="E56" s="180">
        <v>45</v>
      </c>
      <c r="F56" s="175" cm="1" t="str">
        <f t="array" ref="F56:F56">OFFSET(G56,-1,-1)</f>
        <v>0</v>
      </c>
      <c r="T56" s="753" cm="1" t="str">
        <f t="array" ref="T56:T56">T55</f>
        <v>false</v>
      </c>
      <c r="AB56" s="470">
        <v>2.1</v>
      </c>
      <c r="AC56" s="760" t="s">
        <v>2212</v>
      </c>
      <c r="AD56" s="470" t="s">
        <v>1178</v>
      </c>
      <c r="AE56" s="132"/>
      <c r="AF56" s="132"/>
      <c r="AG56" s="132"/>
      <c r="AH56" s="695">
        <f>AG56-AF56</f>
        <v>0</v>
      </c>
      <c r="AI56" s="132"/>
      <c r="AJ56" s="749"/>
      <c r="AK56" s="749"/>
      <c r="AL56" s="695">
        <f>IF(AI56=0,0,(AK56-AI56)/AI56*100)</f>
        <v>0</v>
      </c>
      <c r="AM56" s="83"/>
      <c r="AN56" s="83"/>
      <c r="AO56" s="83"/>
      <c r="AR56" s="309" t="s">
        <v>2213</v>
      </c>
      <c r="AU56" s="1513" t="s">
        <v>1680</v>
      </c>
      <c r="AV56" s="2308" cm="1" t="str">
        <f t="array" ref="AV56:AV56">AV55</f>
        <v>0</v>
      </c>
      <c r="BA56" s="2308" t="s">
        <v>2214</v>
      </c>
      <c r="BL56" s="2308" t="s">
        <v>303</v>
      </c>
      <c r="BM56" s="2308" t="s">
        <v>1044</v>
      </c>
      <c r="BN56" s="2308" t="s">
        <v>1045</v>
      </c>
    </row>
    <row customHeight="1" ht="16.575" hidden="1">
      <c r="E57" s="180">
        <v>17</v>
      </c>
      <c r="F57" s="175" cm="1" t="str">
        <f t="array" ref="F57:F57">OFFSET(G57,-1,-1)</f>
        <v>0</v>
      </c>
      <c r="T57" s="753" cm="1" t="str">
        <f t="array" ref="T57:T57">T56</f>
        <v>false</v>
      </c>
      <c r="AB57" s="369">
        <v>2.2</v>
      </c>
      <c r="AC57" s="865" t="s">
        <v>1657</v>
      </c>
      <c r="AD57" s="364" t="s">
        <v>1178</v>
      </c>
      <c r="AE57" s="132"/>
      <c r="AF57" s="132"/>
      <c r="AG57" s="132"/>
      <c r="AH57" s="695">
        <f>AG57-AF57</f>
        <v>0</v>
      </c>
      <c r="AI57" s="132"/>
      <c r="AJ57" s="749"/>
      <c r="AK57" s="749"/>
      <c r="AL57" s="695">
        <f>IF(AI57=0,0,(AK57-AI57)/AI57*100)</f>
        <v>0</v>
      </c>
      <c r="AM57" s="83"/>
      <c r="AN57" s="83"/>
      <c r="AO57" s="83"/>
      <c r="AR57" s="309" t="s">
        <v>2215</v>
      </c>
      <c r="AU57" s="1513" t="s">
        <v>1658</v>
      </c>
      <c r="AV57" s="2308" cm="1" t="str">
        <f t="array" ref="AV57:AV57">AV56</f>
        <v>0</v>
      </c>
      <c r="BB57" s="2308" t="s">
        <v>1659</v>
      </c>
      <c r="BL57" s="2308" t="s">
        <v>303</v>
      </c>
      <c r="BM57" s="2308" t="s">
        <v>1044</v>
      </c>
      <c r="BN57" s="2308" t="s">
        <v>1045</v>
      </c>
    </row>
    <row customHeight="1" ht="34.125" hidden="1">
      <c r="E58" s="180">
        <v>35</v>
      </c>
      <c r="F58" s="175" cm="1" t="str">
        <f t="array" ref="F58:F58">OFFSET(G58,-1,-1)</f>
        <v>0</v>
      </c>
      <c r="T58" s="753" cm="1" t="str">
        <f t="array" ref="T58:T58">T57</f>
        <v>false</v>
      </c>
      <c r="AB58" s="467">
        <v>2.3</v>
      </c>
      <c r="AC58" s="866" t="s">
        <v>1677</v>
      </c>
      <c r="AD58" s="366" t="s">
        <v>1178</v>
      </c>
      <c r="AE58" s="132"/>
      <c r="AF58" s="132"/>
      <c r="AG58" s="132"/>
      <c r="AH58" s="695">
        <f>AG58-AF58</f>
        <v>0</v>
      </c>
      <c r="AI58" s="132"/>
      <c r="AJ58" s="749"/>
      <c r="AK58" s="749"/>
      <c r="AL58" s="695">
        <f>IF(AI58=0,0,(AK58-AI58)/AI58*100)</f>
        <v>0</v>
      </c>
      <c r="AM58" s="83"/>
      <c r="AN58" s="83"/>
      <c r="AO58" s="83"/>
      <c r="AR58" s="309" t="s">
        <v>2216</v>
      </c>
      <c r="AU58" s="1513" t="s">
        <v>1678</v>
      </c>
      <c r="AV58" s="2308" cm="1" t="str">
        <f t="array" ref="AV58:AV58">AV57</f>
        <v>0</v>
      </c>
      <c r="AW58" s="2308" t="s">
        <v>1679</v>
      </c>
      <c r="BL58" s="2308" t="s">
        <v>303</v>
      </c>
      <c r="BM58" s="2308" t="s">
        <v>1044</v>
      </c>
      <c r="BN58" s="2308" t="s">
        <v>1045</v>
      </c>
    </row>
    <row customHeight="1" ht="16.575" hidden="1">
      <c r="E59" s="180">
        <v>17</v>
      </c>
      <c r="F59" s="175" cm="1" t="str">
        <f t="array" ref="F59:F59">OFFSET(G59,-1,-1)</f>
        <v>0</v>
      </c>
      <c r="T59" s="753" cm="1" t="str">
        <f t="array" ref="T59:T59">T58</f>
        <v>false</v>
      </c>
      <c r="AB59" s="467">
        <v>2.4</v>
      </c>
      <c r="AC59" s="866" t="s">
        <v>2217</v>
      </c>
      <c r="AD59" s="366" t="s">
        <v>1178</v>
      </c>
      <c r="AE59" s="746">
        <f>AE60+AE61</f>
        <v>0</v>
      </c>
      <c r="AF59" s="746">
        <f>AF60+AF61</f>
        <v>0</v>
      </c>
      <c r="AG59" s="746">
        <f>AG60+AG61</f>
        <v>0</v>
      </c>
      <c r="AH59" s="695">
        <f>AG59-AF59</f>
        <v>0</v>
      </c>
      <c r="AI59" s="746">
        <f>AI60+AI61</f>
        <v>0</v>
      </c>
      <c r="AJ59" s="746">
        <f>AJ60+AJ61</f>
        <v>0</v>
      </c>
      <c r="AK59" s="746">
        <f>AK60+AK61</f>
        <v>0</v>
      </c>
      <c r="AL59" s="695">
        <f>IF(AI59=0,0,(AK59-AI59)/AI59*100)</f>
        <v>0</v>
      </c>
      <c r="AM59" s="83"/>
      <c r="AN59" s="83"/>
      <c r="AO59" s="83"/>
      <c r="AR59" s="309" t="s">
        <v>2218</v>
      </c>
      <c r="AV59" s="2308" cm="1" t="str">
        <f t="array" ref="AV59:AV59">AV58</f>
        <v>0</v>
      </c>
      <c r="AX59" s="2308" t="s">
        <v>2219</v>
      </c>
      <c r="BL59" s="2308" t="s">
        <v>303</v>
      </c>
      <c r="BM59" s="2308" t="s">
        <v>1044</v>
      </c>
      <c r="BN59" s="2308" t="s">
        <v>1045</v>
      </c>
    </row>
    <row customHeight="1" ht="16.575" hidden="1">
      <c r="E60" s="180">
        <v>17</v>
      </c>
      <c r="F60" s="175" cm="1" t="str">
        <f t="array" ref="F60:F60">OFFSET(G60,-1,-1)</f>
        <v>0</v>
      </c>
      <c r="T60" s="753" cm="1" t="str">
        <f t="array" ref="T60:T60">T59</f>
        <v>false</v>
      </c>
      <c r="AB60" s="344" t="s">
        <v>2220</v>
      </c>
      <c r="AC60" s="867" t="s">
        <v>2221</v>
      </c>
      <c r="AD60" s="819" t="s">
        <v>1178</v>
      </c>
      <c r="AE60" s="132"/>
      <c r="AF60" s="132"/>
      <c r="AG60" s="132"/>
      <c r="AH60" s="695">
        <f>AG60-AF60</f>
        <v>0</v>
      </c>
      <c r="AI60" s="132"/>
      <c r="AJ60" s="749"/>
      <c r="AK60" s="749"/>
      <c r="AL60" s="695">
        <f>IF(AI60=0,0,(AK60-AI60)/AI60*100)</f>
        <v>0</v>
      </c>
      <c r="AM60" s="83"/>
      <c r="AN60" s="83"/>
      <c r="AO60" s="83"/>
      <c r="AR60" s="309" t="s">
        <v>2222</v>
      </c>
      <c r="AU60" s="1513" t="s">
        <v>1680</v>
      </c>
      <c r="AV60" s="2308" cm="1" t="str">
        <f t="array" ref="AV60:AV60">AV59</f>
        <v>0</v>
      </c>
      <c r="AW60" s="2308" t="s">
        <v>2223</v>
      </c>
      <c r="AX60" s="2308" t="s">
        <v>2219</v>
      </c>
      <c r="BL60" s="2308" t="s">
        <v>303</v>
      </c>
      <c r="BM60" s="2308" t="s">
        <v>1044</v>
      </c>
      <c r="BN60" s="2308" t="s">
        <v>1045</v>
      </c>
    </row>
    <row customHeight="1" ht="16.575" hidden="1">
      <c r="E61" s="180">
        <v>17</v>
      </c>
      <c r="F61" s="175" cm="1" t="str">
        <f t="array" ref="F61:F61">OFFSET(G61,-1,-1)</f>
        <v>0</v>
      </c>
      <c r="T61" s="753" cm="1" t="str">
        <f t="array" ref="T61:T61">T60</f>
        <v>false</v>
      </c>
      <c r="AB61" s="470" t="s">
        <v>2224</v>
      </c>
      <c r="AC61" s="760" t="s">
        <v>2225</v>
      </c>
      <c r="AD61" s="470" t="s">
        <v>1178</v>
      </c>
      <c r="AE61" s="132"/>
      <c r="AF61" s="132"/>
      <c r="AG61" s="132"/>
      <c r="AH61" s="695">
        <f>AG61-AF61</f>
        <v>0</v>
      </c>
      <c r="AI61" s="132"/>
      <c r="AJ61" s="749"/>
      <c r="AK61" s="749"/>
      <c r="AL61" s="695">
        <f>IF(AI61=0,0,(AK61-AI61)/AI61*100)</f>
        <v>0</v>
      </c>
      <c r="AM61" s="83"/>
      <c r="AN61" s="83"/>
      <c r="AO61" s="83"/>
      <c r="AR61" s="309" t="s">
        <v>2226</v>
      </c>
      <c r="AU61" s="1513" t="s">
        <v>1665</v>
      </c>
      <c r="AV61" s="2308" cm="1" t="str">
        <f t="array" ref="AV61:AV61">AV60</f>
        <v>0</v>
      </c>
      <c r="AX61" s="2308" t="s">
        <v>2219</v>
      </c>
      <c r="BC61" s="2308" t="s">
        <v>2227</v>
      </c>
      <c r="BL61" s="2308" t="s">
        <v>303</v>
      </c>
      <c r="BM61" s="2308" t="s">
        <v>1044</v>
      </c>
      <c r="BN61" s="2308" t="s">
        <v>1045</v>
      </c>
    </row>
    <row customHeight="1" ht="34.125" hidden="1">
      <c r="E62" s="180">
        <v>35</v>
      </c>
      <c r="F62" s="175" cm="1" t="str">
        <f t="array" ref="F62:F62">OFFSET(G62,-1,-1)</f>
        <v>0</v>
      </c>
      <c r="T62" s="753" cm="1" t="str">
        <f t="array" ref="T62:T62">T61</f>
        <v>false</v>
      </c>
      <c r="AB62" s="738">
        <v>3</v>
      </c>
      <c r="AC62" s="534" t="s">
        <v>2228</v>
      </c>
      <c r="AD62" s="738" t="s">
        <v>1178</v>
      </c>
      <c r="AE62" s="746">
        <f>AE63+AE64+AE65+AE66</f>
        <v>0</v>
      </c>
      <c r="AF62" s="746">
        <f>AF63+AF64+AF65+AF66</f>
        <v>0</v>
      </c>
      <c r="AG62" s="746">
        <f>AG63+AG64+AG65+AG66</f>
        <v>0</v>
      </c>
      <c r="AH62" s="695">
        <f>AG62-AF62</f>
        <v>0</v>
      </c>
      <c r="AI62" s="746">
        <f>AI63+AI64+AI65+AI66</f>
        <v>0</v>
      </c>
      <c r="AJ62" s="746">
        <f>AJ63+AJ64+AJ65+AJ66</f>
        <v>0</v>
      </c>
      <c r="AK62" s="746">
        <f>AK63+AK64+AK65+AK66</f>
        <v>0</v>
      </c>
      <c r="AL62" s="695">
        <f>IF(AI62=0,0,(AK62-AI62)/AI62*100)</f>
        <v>0</v>
      </c>
      <c r="AM62" s="83"/>
      <c r="AN62" s="83"/>
      <c r="AO62" s="83"/>
      <c r="AR62" s="309" t="s">
        <v>2229</v>
      </c>
      <c r="AV62" s="2308" cm="1" t="str">
        <f t="array" ref="AV62:AV62">AV61</f>
        <v>0</v>
      </c>
      <c r="AW62" s="2308" t="s">
        <v>2230</v>
      </c>
      <c r="BL62" s="2308" t="s">
        <v>303</v>
      </c>
      <c r="BM62" s="2308" t="s">
        <v>1044</v>
      </c>
      <c r="BN62" s="2308" t="s">
        <v>1045</v>
      </c>
    </row>
    <row customHeight="1" ht="16.575" hidden="1">
      <c r="E63" s="180">
        <v>17</v>
      </c>
      <c r="F63" s="175" cm="1" t="str">
        <f t="array" ref="F63:F63">OFFSET(G63,-1,-1)</f>
        <v>0</v>
      </c>
      <c r="T63" s="753" cm="1" t="str">
        <f t="array" ref="T63:T63">T62</f>
        <v>false</v>
      </c>
      <c r="AB63" s="470">
        <v>3.1</v>
      </c>
      <c r="AC63" s="863" t="s">
        <v>2231</v>
      </c>
      <c r="AD63" s="470" t="s">
        <v>1178</v>
      </c>
      <c r="AE63" s="132"/>
      <c r="AF63" s="132"/>
      <c r="AG63" s="132"/>
      <c r="AH63" s="695">
        <f>AG63-AF63</f>
        <v>0</v>
      </c>
      <c r="AI63" s="132"/>
      <c r="AJ63" s="749"/>
      <c r="AK63" s="749"/>
      <c r="AL63" s="695">
        <f>IF(AI63=0,0,(AK63-AI63)/AI63*100)</f>
        <v>0</v>
      </c>
      <c r="AM63" s="83"/>
      <c r="AN63" s="83"/>
      <c r="AO63" s="83"/>
      <c r="AR63" s="309" t="s">
        <v>2232</v>
      </c>
      <c r="AS63" s="1512" t="s">
        <v>2011</v>
      </c>
      <c r="AV63" s="2308" cm="1" t="str">
        <f t="array" ref="AV63:AV63">AV62</f>
        <v>0</v>
      </c>
      <c r="AX63" s="2308" t="s">
        <v>2233</v>
      </c>
      <c r="BL63" s="2308" t="s">
        <v>303</v>
      </c>
      <c r="BM63" s="2308" t="s">
        <v>1044</v>
      </c>
      <c r="BN63" s="2308" t="s">
        <v>1045</v>
      </c>
    </row>
    <row customHeight="1" ht="16.575" hidden="1">
      <c r="E64" s="180">
        <v>17</v>
      </c>
      <c r="F64" s="175" cm="1" t="str">
        <f t="array" ref="F64:F64">OFFSET(G64,-1,-1)</f>
        <v>0</v>
      </c>
      <c r="T64" s="753" cm="1" t="str">
        <f t="array" ref="T64:T64">T63</f>
        <v>false</v>
      </c>
      <c r="AB64" s="470">
        <v>3.2</v>
      </c>
      <c r="AC64" s="863" t="s">
        <v>2234</v>
      </c>
      <c r="AD64" s="470" t="s">
        <v>1178</v>
      </c>
      <c r="AE64" s="132"/>
      <c r="AF64" s="132"/>
      <c r="AG64" s="132"/>
      <c r="AH64" s="695">
        <f>AG64-AF64</f>
        <v>0</v>
      </c>
      <c r="AI64" s="132"/>
      <c r="AJ64" s="749"/>
      <c r="AK64" s="749"/>
      <c r="AL64" s="695">
        <f>IF(AI64=0,0,(AK64-AI64)/AI64*100)</f>
        <v>0</v>
      </c>
      <c r="AM64" s="83"/>
      <c r="AN64" s="83"/>
      <c r="AO64" s="83"/>
      <c r="AR64" s="309" t="s">
        <v>2235</v>
      </c>
      <c r="AS64" s="1512" t="s">
        <v>2021</v>
      </c>
      <c r="AV64" s="2308" cm="1" t="str">
        <f t="array" ref="AV64:AV64">AV63</f>
        <v>0</v>
      </c>
      <c r="BE64" s="2308" t="s">
        <v>2236</v>
      </c>
      <c r="BL64" s="2308" t="s">
        <v>303</v>
      </c>
      <c r="BM64" s="2308" t="s">
        <v>1044</v>
      </c>
      <c r="BN64" s="2308" t="s">
        <v>1045</v>
      </c>
    </row>
    <row customHeight="1" ht="16.575" hidden="1">
      <c r="E65" s="180">
        <v>17</v>
      </c>
      <c r="F65" s="175" cm="1" t="str">
        <f t="array" ref="F65:F65">OFFSET(G65,-1,-1)</f>
        <v>0</v>
      </c>
      <c r="T65" s="753" cm="1" t="str">
        <f t="array" ref="T65:T65">T64</f>
        <v>false</v>
      </c>
      <c r="AB65" s="470">
        <v>3.3</v>
      </c>
      <c r="AC65" s="863" t="s">
        <v>2237</v>
      </c>
      <c r="AD65" s="470" t="s">
        <v>1178</v>
      </c>
      <c r="AE65" s="132"/>
      <c r="AF65" s="132"/>
      <c r="AG65" s="132"/>
      <c r="AH65" s="695">
        <f>AG65-AF65</f>
        <v>0</v>
      </c>
      <c r="AI65" s="132"/>
      <c r="AJ65" s="749"/>
      <c r="AK65" s="749"/>
      <c r="AL65" s="695">
        <f>IF(AI65=0,0,(AK65-AI65)/AI65*100)</f>
        <v>0</v>
      </c>
      <c r="AM65" s="83"/>
      <c r="AN65" s="83"/>
      <c r="AO65" s="83"/>
      <c r="AR65" s="309" t="s">
        <v>2238</v>
      </c>
      <c r="AS65" s="1512" t="s">
        <v>2016</v>
      </c>
      <c r="AV65" s="2308" cm="1" t="str">
        <f t="array" ref="AV65:AV65">AV64</f>
        <v>0</v>
      </c>
      <c r="BD65" s="2308" t="s">
        <v>2239</v>
      </c>
      <c r="BL65" s="2308" t="s">
        <v>303</v>
      </c>
      <c r="BM65" s="2308" t="s">
        <v>1044</v>
      </c>
      <c r="BN65" s="2308" t="s">
        <v>1045</v>
      </c>
    </row>
    <row customHeight="1" ht="16.575" hidden="1">
      <c r="E66" s="180">
        <v>17</v>
      </c>
      <c r="F66" s="175" cm="1" t="str">
        <f t="array" ref="F66:F66">OFFSET(G66,-1,-1)</f>
        <v>0</v>
      </c>
      <c r="T66" s="753" cm="1" t="str">
        <f t="array" ref="T66:T66">T65</f>
        <v>false</v>
      </c>
      <c r="AB66" s="470">
        <v>3.4</v>
      </c>
      <c r="AC66" s="863" t="s">
        <v>1507</v>
      </c>
      <c r="AD66" s="470" t="s">
        <v>1178</v>
      </c>
      <c r="AE66" s="132"/>
      <c r="AF66" s="132"/>
      <c r="AG66" s="132"/>
      <c r="AH66" s="695">
        <f>AG66-AF66</f>
        <v>0</v>
      </c>
      <c r="AI66" s="132"/>
      <c r="AJ66" s="749"/>
      <c r="AK66" s="749"/>
      <c r="AL66" s="695">
        <f>IF(AI66=0,0,(AK66-AI66)/AI66*100)</f>
        <v>0</v>
      </c>
      <c r="AM66" s="83"/>
      <c r="AN66" s="83"/>
      <c r="AO66" s="83"/>
      <c r="AR66" s="309" t="s">
        <v>2240</v>
      </c>
      <c r="AS66" s="489" t="s">
        <v>2026</v>
      </c>
      <c r="AV66" s="2308" cm="1" t="str">
        <f t="array" ref="AV66:AV66">AV65</f>
        <v>0</v>
      </c>
      <c r="AX66" s="2308" t="s">
        <v>2241</v>
      </c>
      <c r="BL66" s="2308" t="s">
        <v>303</v>
      </c>
      <c r="BM66" s="2308" t="s">
        <v>1044</v>
      </c>
      <c r="BN66" s="2308" t="s">
        <v>1045</v>
      </c>
    </row>
    <row customHeight="1" ht="16.575" hidden="1">
      <c r="E67" s="180">
        <v>17</v>
      </c>
      <c r="F67" s="175" cm="1" t="str">
        <f t="array" ref="F67:F67">OFFSET(G67,-1,-1)</f>
        <v>0</v>
      </c>
      <c r="G67" s="193" t="s">
        <v>1500</v>
      </c>
      <c r="T67" s="753" cm="1" t="str">
        <f t="array" ref="T67:T67">T66</f>
        <v>false</v>
      </c>
      <c r="AB67" s="738">
        <v>4</v>
      </c>
      <c r="AC67" s="534" t="s">
        <v>1671</v>
      </c>
      <c r="AD67" s="738" t="s">
        <v>1178</v>
      </c>
      <c r="AE67" s="746">
        <f>_xlfn.SUMIFS(Налоги!AE$26:AE$55,Налоги!$F$26:$F$55,$F67,Налоги!$G$26:$G$55,$G67)</f>
        <v>0</v>
      </c>
      <c r="AF67" s="746">
        <f>_xlfn.SUMIFS(Налоги!AF$26:AF$55,Налоги!$F$26:$F$55,$F67,Налоги!$G$26:$G$55,$G67)</f>
        <v>0</v>
      </c>
      <c r="AG67" s="746">
        <f>_xlfn.SUMIFS(Налоги!AG$26:AG$55,Налоги!$F$26:$F$55,$F67,Налоги!$G$26:$G$55,$G67)</f>
        <v>0</v>
      </c>
      <c r="AH67" s="695">
        <f>AG67-AF67</f>
        <v>0</v>
      </c>
      <c r="AI67" s="746">
        <f>_xlfn.SUMIFS(Налоги!AH$26:AH$55,Налоги!$F$26:$F$55,$F67,Налоги!$G$26:$G$55,$G67)</f>
        <v>0</v>
      </c>
      <c r="AJ67" s="746">
        <f>_xlfn.SUMIFS(Налоги!AI$26:AI$55,Налоги!$F$26:$F$55,$F67,Налоги!$G$26:$G$55,$G67)</f>
        <v>0</v>
      </c>
      <c r="AK67" s="746">
        <f>_xlfn.SUMIFS(Налоги!BC$26:BC$55,Налоги!$F$26:$F$55,$F67,Налоги!$G$26:$G$55,$G67)</f>
        <v>0</v>
      </c>
      <c r="AL67" s="695">
        <f>IF(AI67=0,0,(AK67-AI67)/AI67*100)</f>
        <v>0</v>
      </c>
      <c r="AM67" s="83"/>
      <c r="AN67" s="83"/>
      <c r="AO67" s="83"/>
      <c r="AR67" s="309" t="s">
        <v>590</v>
      </c>
      <c r="AV67" s="2308" cm="1" t="str">
        <f t="array" ref="AV67:AV67">AV66</f>
        <v>0</v>
      </c>
      <c r="BK67" s="2308" t="s">
        <v>1290</v>
      </c>
      <c r="BL67" s="2308" t="s">
        <v>303</v>
      </c>
      <c r="BM67" s="2308" t="s">
        <v>1673</v>
      </c>
      <c r="BN67" s="2308" t="s">
        <v>1674</v>
      </c>
    </row>
    <row customHeight="1" ht="34.125" hidden="1">
      <c r="E68" s="180">
        <v>35</v>
      </c>
      <c r="F68" s="175" cm="1" t="str">
        <f t="array" ref="F68:F68">OFFSET(G68,-1,-1)</f>
        <v>0</v>
      </c>
      <c r="T68" s="753" cm="1" t="str">
        <f t="array" ref="T68:T68">T67</f>
        <v>false</v>
      </c>
      <c r="AB68" s="738">
        <v>5</v>
      </c>
      <c r="AC68" s="534" t="s">
        <v>2242</v>
      </c>
      <c r="AD68" s="738" t="s">
        <v>1178</v>
      </c>
      <c r="AE68" s="132"/>
      <c r="AF68" s="132"/>
      <c r="AG68" s="132"/>
      <c r="AH68" s="695">
        <f>AG68-AF68</f>
        <v>0</v>
      </c>
      <c r="AI68" s="132"/>
      <c r="AJ68" s="749"/>
      <c r="AK68" s="749"/>
      <c r="AL68" s="695">
        <f>IF(AI68=0,0,(AK68-AI68)/AI68*100)</f>
        <v>0</v>
      </c>
      <c r="AM68" s="83"/>
      <c r="AN68" s="83"/>
      <c r="AO68" s="83"/>
      <c r="AR68" s="309" t="s">
        <v>1846</v>
      </c>
      <c r="AS68" s="1512" t="s">
        <v>2027</v>
      </c>
      <c r="AV68" s="2308" cm="1" t="str">
        <f t="array" ref="AV68:AV68">AV67</f>
        <v>0</v>
      </c>
      <c r="BK68" s="2308" t="s">
        <v>1308</v>
      </c>
      <c r="BL68" s="2308" t="s">
        <v>303</v>
      </c>
      <c r="BM68" s="2308" t="s">
        <v>1847</v>
      </c>
      <c r="BN68" s="2308" t="s">
        <v>1848</v>
      </c>
    </row>
    <row customHeight="1" ht="16.575" hidden="1">
      <c r="E69" s="180">
        <v>17</v>
      </c>
      <c r="F69" s="175" cm="1" t="str">
        <f t="array" ref="F69:F69">OFFSET(G69,-1,-1)</f>
        <v>0</v>
      </c>
      <c r="T69" s="753" cm="1" t="str">
        <f t="array" ref="T69:T69">T68</f>
        <v>false</v>
      </c>
      <c r="AB69" s="738">
        <v>6</v>
      </c>
      <c r="AC69" s="534" t="s">
        <v>2243</v>
      </c>
      <c r="AD69" s="738" t="s">
        <v>1178</v>
      </c>
      <c r="AE69" s="132"/>
      <c r="AF69" s="132"/>
      <c r="AG69" s="132"/>
      <c r="AH69" s="695">
        <f>AG69-AF69</f>
        <v>0</v>
      </c>
      <c r="AI69" s="132"/>
      <c r="AJ69" s="749"/>
      <c r="AK69" s="749"/>
      <c r="AL69" s="695">
        <f>IF(AI69=0,0,(AK69-AI69)/AI69*100)</f>
        <v>0</v>
      </c>
      <c r="AM69" s="83"/>
      <c r="AN69" s="83"/>
      <c r="AO69" s="83"/>
      <c r="AR69" s="309" t="s">
        <v>1676</v>
      </c>
      <c r="AS69" s="1512" t="s">
        <v>2030</v>
      </c>
      <c r="AV69" s="2308" cm="1" t="str">
        <f t="array" ref="AV69:AV69">AV68</f>
        <v>0</v>
      </c>
      <c r="AX69" s="2308" t="s">
        <v>2244</v>
      </c>
      <c r="BL69" s="2308" t="s">
        <v>303</v>
      </c>
      <c r="BM69" s="2308" t="s">
        <v>1519</v>
      </c>
      <c r="BN69" s="2308" t="s">
        <v>1520</v>
      </c>
    </row>
    <row customHeight="1" ht="16.575" hidden="1">
      <c r="E70" s="180">
        <v>17</v>
      </c>
      <c r="F70" s="175" cm="1" t="str">
        <f t="array" ref="F70:F70">OFFSET(G70,-1,-1)</f>
        <v>0</v>
      </c>
      <c r="T70" s="753" cm="1" t="str">
        <f t="array" ref="T70:T70">T69</f>
        <v>false</v>
      </c>
      <c r="AB70" s="868">
        <v>7</v>
      </c>
      <c r="AC70" s="869" t="s">
        <v>2053</v>
      </c>
      <c r="AD70" s="539" t="s">
        <v>1178</v>
      </c>
      <c r="AE70" s="746">
        <f>AE28+AE55+AE62+AE67+AE68+AE69</f>
        <v>0</v>
      </c>
      <c r="AF70" s="746">
        <f>AF28+AF55+AF62+AF67+AF68+AF69</f>
        <v>0</v>
      </c>
      <c r="AG70" s="746">
        <f>AG28+AG55+AG62+AG67+AG68+AG69</f>
        <v>0</v>
      </c>
      <c r="AH70" s="695">
        <f>AG70-AF70</f>
        <v>0</v>
      </c>
      <c r="AI70" s="746">
        <f>AI28+AI55+AI62+AI67+AI68+AI69</f>
        <v>0</v>
      </c>
      <c r="AJ70" s="746">
        <f>AJ28+AJ55+AJ62+AJ67+AJ68+AJ69</f>
        <v>0</v>
      </c>
      <c r="AK70" s="746">
        <f>AK28+AK55+AK62+AK67+AK68+AK69</f>
        <v>0</v>
      </c>
      <c r="AL70" s="695">
        <f>IF(AI70=0,0,(AK70-AI70)/AI70*100)</f>
        <v>0</v>
      </c>
      <c r="AM70" s="83"/>
      <c r="AN70" s="83"/>
      <c r="AO70" s="83"/>
      <c r="AR70" s="309" t="s">
        <v>2245</v>
      </c>
      <c r="AV70" s="2308" cm="1" t="str">
        <f t="array" ref="AV70:AV70">AV69</f>
        <v>0</v>
      </c>
      <c r="AX70" s="2308" t="s">
        <v>2246</v>
      </c>
      <c r="BL70" s="2308" t="s">
        <v>303</v>
      </c>
      <c r="BM70" s="2308" t="s">
        <v>1717</v>
      </c>
      <c r="BN70" s="2308" t="s">
        <v>1718</v>
      </c>
    </row>
    <row customHeight="1" ht="48.75" hidden="1">
      <c r="E71" s="180">
        <v>50</v>
      </c>
      <c r="F71" s="175" cm="1" t="str">
        <f t="array" ref="F71:F71">OFFSET(G71,-1,-1)</f>
        <v>0</v>
      </c>
      <c r="T71" s="753" cm="1" t="str">
        <f t="array" ref="T71:T71">T70</f>
        <v>false</v>
      </c>
      <c r="AB71" s="526">
        <v>8</v>
      </c>
      <c r="AC71" s="832" t="s">
        <v>2056</v>
      </c>
      <c r="AD71" s="470" t="s">
        <v>1178</v>
      </c>
      <c r="AE71" s="132"/>
      <c r="AF71" s="132"/>
      <c r="AG71" s="132"/>
      <c r="AH71" s="695">
        <f>AG71-AF71</f>
        <v>0</v>
      </c>
      <c r="AI71" s="132"/>
      <c r="AJ71" s="749"/>
      <c r="AK71" s="749"/>
      <c r="AL71" s="695">
        <f>IF(AI71=0,0,(AK71-AI71)/AI71*100)</f>
        <v>0</v>
      </c>
      <c r="AM71" s="83"/>
      <c r="AN71" s="83"/>
      <c r="AO71" s="83"/>
      <c r="AR71" s="309" t="s">
        <v>2247</v>
      </c>
      <c r="AS71" s="1512" t="s">
        <v>2057</v>
      </c>
      <c r="AV71" s="2308" cm="1" t="str">
        <f t="array" ref="AV71:AV71">AV70</f>
        <v>0</v>
      </c>
      <c r="BF71" s="2308" t="s">
        <v>1624</v>
      </c>
      <c r="BL71" s="2308" t="s">
        <v>303</v>
      </c>
      <c r="BM71" s="2308" t="s">
        <v>2059</v>
      </c>
      <c r="BN71" s="2308" t="s">
        <v>2060</v>
      </c>
    </row>
    <row customHeight="1" ht="16.575" hidden="1">
      <c r="E72" s="180">
        <v>17</v>
      </c>
      <c r="F72" s="175" cm="1" t="str">
        <f t="array" ref="F72:F72">OFFSET(G72,-1,-1)</f>
        <v>0</v>
      </c>
      <c r="T72" s="753" cm="1" t="str">
        <f t="array" ref="T72:T72">T71</f>
        <v>false</v>
      </c>
      <c r="AB72" s="829">
        <v>9</v>
      </c>
      <c r="AC72" s="834" t="s">
        <v>2062</v>
      </c>
      <c r="AD72" s="870" t="s">
        <v>1178</v>
      </c>
      <c r="AE72" s="746">
        <f>AE70+AE71</f>
        <v>0</v>
      </c>
      <c r="AF72" s="746">
        <f>AF70+AF71</f>
        <v>0</v>
      </c>
      <c r="AG72" s="746">
        <f>AG70+AG71</f>
        <v>0</v>
      </c>
      <c r="AH72" s="695">
        <f>AG72-AF72</f>
        <v>0</v>
      </c>
      <c r="AI72" s="746">
        <f>AI70+AI71</f>
        <v>0</v>
      </c>
      <c r="AJ72" s="746">
        <f>AJ70+AJ71</f>
        <v>0</v>
      </c>
      <c r="AK72" s="746">
        <f>AK70+AK71</f>
        <v>0</v>
      </c>
      <c r="AL72" s="695">
        <f>IF(AI72=0,0,(AK72-AI72)/AI72*100)</f>
        <v>0</v>
      </c>
      <c r="AM72" s="83"/>
      <c r="AN72" s="83"/>
      <c r="AO72" s="83"/>
      <c r="AR72" s="309" t="s">
        <v>2248</v>
      </c>
      <c r="AV72" s="2308" cm="1" t="str">
        <f t="array" ref="AV72:AV72">AV71</f>
        <v>0</v>
      </c>
      <c r="AX72" s="2308" t="s">
        <v>2249</v>
      </c>
      <c r="BL72" s="2308" t="s">
        <v>303</v>
      </c>
      <c r="BM72" s="2308" t="s">
        <v>2065</v>
      </c>
      <c r="BN72" s="2308" t="s">
        <v>2066</v>
      </c>
    </row>
    <row customHeight="1" ht="16.575" hidden="1">
      <c r="E73" s="180">
        <v>17</v>
      </c>
      <c r="F73" s="175" cm="1" t="str">
        <f t="array" ref="F73:F73">OFFSET(G73,-1,-1)</f>
        <v>0</v>
      </c>
      <c r="H73" s="193" cm="1" t="str">
        <f t="array" ref="H73:H73">G27</f>
        <v>0</v>
      </c>
      <c r="T73" s="753">
        <f>AND(F73&gt;0,H73="двухставочный")</f>
        <v>0</v>
      </c>
      <c r="AB73" s="836" t="str">
        <f>AB72&amp;".1"</f>
        <v>9.1</v>
      </c>
      <c r="AC73" s="837" t="s">
        <v>2068</v>
      </c>
      <c r="AD73" s="666" t="s">
        <v>917</v>
      </c>
      <c r="AE73" s="132"/>
      <c r="AF73" s="132"/>
      <c r="AG73" s="132"/>
      <c r="AH73" s="695">
        <f>AG73-AF73</f>
        <v>0</v>
      </c>
      <c r="AI73" s="132"/>
      <c r="AJ73" s="749"/>
      <c r="AK73" s="749"/>
      <c r="AL73" s="695">
        <f>IF(AI73=0,0,(AK73-AI73)/AI73*100)</f>
        <v>0</v>
      </c>
      <c r="AM73" s="83"/>
      <c r="AN73" s="83"/>
      <c r="AO73" s="83"/>
      <c r="AR73" s="309" t="s">
        <v>2250</v>
      </c>
      <c r="AV73" s="2308" cm="1" t="str">
        <f t="array" ref="AV73:AV73">AV72</f>
        <v>0</v>
      </c>
      <c r="BK73" s="2308" t="s">
        <v>1327</v>
      </c>
      <c r="BL73" s="2308" t="s">
        <v>303</v>
      </c>
      <c r="BM73" s="2308" t="s">
        <v>2070</v>
      </c>
      <c r="BN73" s="2308" t="s">
        <v>2071</v>
      </c>
    </row>
    <row customHeight="1" ht="16.575" hidden="1">
      <c r="E74" s="180">
        <v>17</v>
      </c>
      <c r="F74" s="175" cm="1" t="str">
        <f t="array" ref="F74:F74">OFFSET(G74,-1,-1)</f>
        <v>0</v>
      </c>
      <c r="H74" s="193" cm="1" t="str">
        <f t="array" ref="H74:H74">G27</f>
        <v>0</v>
      </c>
      <c r="T74" s="753">
        <f>AND(F74&gt;0,H74="двухставочный")</f>
        <v>0</v>
      </c>
      <c r="AB74" s="836" t="str">
        <f>AB72&amp;".2"</f>
        <v>9.2</v>
      </c>
      <c r="AC74" s="837" t="s">
        <v>2072</v>
      </c>
      <c r="AD74" s="666" t="s">
        <v>917</v>
      </c>
      <c r="AE74" s="746">
        <f>AE72-AE73</f>
        <v>0</v>
      </c>
      <c r="AF74" s="746">
        <f>AF72-AF73</f>
        <v>0</v>
      </c>
      <c r="AG74" s="746">
        <f>AG72-AG73</f>
        <v>0</v>
      </c>
      <c r="AH74" s="695">
        <f>AG74-AF74</f>
        <v>0</v>
      </c>
      <c r="AI74" s="746">
        <f>AI72-AI73</f>
        <v>0</v>
      </c>
      <c r="AJ74" s="746">
        <f>AJ72-AJ73</f>
        <v>0</v>
      </c>
      <c r="AK74" s="746">
        <f>AK72-AK73</f>
        <v>0</v>
      </c>
      <c r="AL74" s="695">
        <f>IF(AI74=0,0,(AK74-AI74)/AI74*100)</f>
        <v>0</v>
      </c>
      <c r="AM74" s="83"/>
      <c r="AN74" s="83"/>
      <c r="AO74" s="83"/>
      <c r="AR74" s="309" t="s">
        <v>2251</v>
      </c>
      <c r="AV74" s="2308" cm="1" t="str">
        <f t="array" ref="AV74:AV74">AV73</f>
        <v>0</v>
      </c>
      <c r="BK74" s="2308" t="s">
        <v>1973</v>
      </c>
      <c r="BL74" s="2308" t="s">
        <v>303</v>
      </c>
      <c r="BM74" s="2308" t="s">
        <v>2074</v>
      </c>
      <c r="BN74" s="2308" t="s">
        <v>2075</v>
      </c>
    </row>
    <row customHeight="1" ht="16.575" hidden="1">
      <c r="E75" s="180">
        <v>17</v>
      </c>
      <c r="F75" s="175" cm="1" t="str">
        <f t="array" ref="F75:F75">OFFSET(G75,-1,-1)</f>
        <v>0</v>
      </c>
      <c r="T75" s="753" cm="1" t="str">
        <f t="array" ref="T75:T75">T72</f>
        <v>false</v>
      </c>
      <c r="AB75" s="838">
        <v>10</v>
      </c>
      <c r="AC75" s="839" t="s">
        <v>2076</v>
      </c>
      <c r="AD75" s="840" t="s">
        <v>629</v>
      </c>
      <c r="AE75" s="100">
        <f>IF($K27="передача тепловой энергии",_xlfn.SUMIFS('Баланс Тр'!AE$27:AE$43,'Баланс Тр'!$F$27:$F$43,$F75,'Баланс Тр'!$AB$27:$AB$43,"3"),_xlfn.SUMIFS('Баланс Пр'!AE$27:AE$165,'Баланс Пр'!$F$27:$F$165,$F75,'Баланс Пр'!$AB$27:$AB$165,"9.1"))</f>
        <v>0</v>
      </c>
      <c r="AF75" s="714"/>
      <c r="AG75" s="714"/>
      <c r="AH75" s="804"/>
      <c r="AI75" s="100">
        <f>IF($K27="передача тепловой энергии",_xlfn.SUMIFS('Баланс Тр'!AH$27:AH$43,'Баланс Тр'!$F$27:$F$43,$F75,'Баланс Тр'!$AB$27:$AB$43,"3"),_xlfn.SUMIFS('Баланс Пр'!AH$27:AH$165,'Баланс Пр'!$F$27:$F$165,$F75,'Баланс Пр'!$AB$27:$AB$165,"9.1"))</f>
        <v>0</v>
      </c>
      <c r="AJ75" s="561">
        <f>IF($K27="передача тепловой энергии",_xlfn.SUMIFS('Баланс Тр'!AI$27:AI$43,'Баланс Тр'!$F$27:$F$43,$F75,'Баланс Тр'!$AB$27:$AB$43,"3"),_xlfn.SUMIFS('Баланс Пр'!AI$27:AI$165,'Баланс Пр'!$F$27:$F$165,$F75,'Баланс Пр'!$AB$27:$AB$165,"9.1"))</f>
        <v>0</v>
      </c>
      <c r="AK75" s="561">
        <f>IF($K27="передача тепловой энергии",_xlfn.SUMIFS('Баланс Тр'!BC$27:BC$43,'Баланс Тр'!$F$27:$F$43,$F75,'Баланс Тр'!$AB$27:$AB$43,"3"),_xlfn.SUMIFS('Баланс Пр'!BC$27:BC$165,'Баланс Пр'!$F$27:$F$165,$F75,'Баланс Пр'!$AB$27:$AB$165,"9.1"))</f>
        <v>0</v>
      </c>
      <c r="AL75" s="695">
        <f>IF(AI75=0,0,(AK75-AI75)/AI75*100)</f>
        <v>0</v>
      </c>
      <c r="AM75" s="83"/>
      <c r="AN75" s="83"/>
      <c r="AO75" s="83"/>
      <c r="AR75" s="309" t="s">
        <v>2077</v>
      </c>
      <c r="AS75" s="309" t="s">
        <v>2077</v>
      </c>
      <c r="AV75" s="2308" cm="1" t="str">
        <f t="array" ref="AV75:AV75">AV74</f>
        <v>0</v>
      </c>
      <c r="BG75" s="2308" t="s">
        <v>845</v>
      </c>
      <c r="BK75" s="2308" t="s">
        <v>219</v>
      </c>
      <c r="BL75" s="2308" t="s">
        <v>303</v>
      </c>
      <c r="BM75" s="2308" t="s">
        <v>2079</v>
      </c>
      <c r="BN75" s="2308" t="s">
        <v>2080</v>
      </c>
    </row>
    <row s="972" customFormat="1" customHeight="1" ht="16.575" hidden="1">
      <c r="E76" s="180">
        <v>17</v>
      </c>
      <c r="F76" s="175" cm="1" t="str">
        <f t="array" ref="F76:F76">OFFSET(G76,-1,-1)</f>
        <v>0</v>
      </c>
      <c r="G76" s="193" t="s">
        <v>2081</v>
      </c>
      <c r="T76" s="753" cm="1" t="str">
        <f t="array" ref="T76:T76">T75</f>
        <v>false</v>
      </c>
      <c r="AB76" s="836" t="str">
        <f>AB75&amp;".1"</f>
        <v>10.1</v>
      </c>
      <c r="AC76" s="646" t="s">
        <v>2082</v>
      </c>
      <c r="AD76" s="666" t="s">
        <v>629</v>
      </c>
      <c r="AE76" s="132"/>
      <c r="AF76" s="714"/>
      <c r="AG76" s="714"/>
      <c r="AH76" s="804"/>
      <c r="AI76" s="132"/>
      <c r="AJ76" s="749"/>
      <c r="AK76" s="749"/>
      <c r="AL76" s="695">
        <f>IF(AI76=0,0,(AK76-AI76)/AI76*100)</f>
        <v>0</v>
      </c>
      <c r="AM76" s="83"/>
      <c r="AN76" s="83"/>
      <c r="AO76" s="83"/>
      <c r="AR76" s="309" t="s">
        <v>2083</v>
      </c>
      <c r="AS76" s="489" t="s">
        <v>2083</v>
      </c>
      <c r="AV76" s="0" cm="1" t="str">
        <f t="array" ref="AV76:AV76">AV75</f>
        <v>0</v>
      </c>
      <c r="BG76" s="0" t="s">
        <v>845</v>
      </c>
      <c r="BH76" s="0" t="s">
        <v>796</v>
      </c>
      <c r="BK76" s="0" t="s">
        <v>219</v>
      </c>
      <c r="BL76" s="0" t="s">
        <v>303</v>
      </c>
      <c r="BM76" s="0" t="s">
        <v>2079</v>
      </c>
      <c r="BN76" s="0" t="s">
        <v>2080</v>
      </c>
    </row>
    <row s="972" customFormat="1" customHeight="1" ht="16.575" hidden="1">
      <c r="E77" s="180">
        <v>17</v>
      </c>
      <c r="F77" s="175" cm="1" t="str">
        <f t="array" ref="F77:F77">OFFSET(G77,-1,-1)</f>
        <v>0</v>
      </c>
      <c r="G77" s="193" t="s">
        <v>2085</v>
      </c>
      <c r="T77" s="753" cm="1" t="str">
        <f t="array" ref="T77:T77">T76</f>
        <v>false</v>
      </c>
      <c r="AB77" s="836" t="str">
        <f>AB75&amp;".2"</f>
        <v>10.2</v>
      </c>
      <c r="AC77" s="646" t="s">
        <v>2086</v>
      </c>
      <c r="AD77" s="666" t="s">
        <v>1005</v>
      </c>
      <c r="AE77" s="132"/>
      <c r="AF77" s="714"/>
      <c r="AG77" s="714"/>
      <c r="AH77" s="804"/>
      <c r="AI77" s="132"/>
      <c r="AJ77" s="749"/>
      <c r="AK77" s="749"/>
      <c r="AL77" s="695">
        <f>IF(AI77=0,0,(AK77-AI77)/AI77*100)</f>
        <v>0</v>
      </c>
      <c r="AM77" s="83"/>
      <c r="AN77" s="83"/>
      <c r="AO77" s="83"/>
      <c r="AR77" s="309" t="s">
        <v>2087</v>
      </c>
      <c r="AS77" s="489" t="s">
        <v>2087</v>
      </c>
      <c r="AV77" s="0" cm="1" t="str">
        <f t="array" ref="AV77:AV77">AV76</f>
        <v>0</v>
      </c>
      <c r="BG77" s="0" t="s">
        <v>845</v>
      </c>
      <c r="BH77" s="0" t="s">
        <v>796</v>
      </c>
      <c r="BK77" s="0" t="s">
        <v>255</v>
      </c>
      <c r="BL77" s="0" t="s">
        <v>303</v>
      </c>
      <c r="BM77" s="0" t="s">
        <v>1100</v>
      </c>
      <c r="BN77" s="0" t="s">
        <v>1101</v>
      </c>
    </row>
    <row customHeight="1" ht="16.575" hidden="1">
      <c r="E78" s="180">
        <v>17</v>
      </c>
      <c r="F78" s="175" cm="1" t="str">
        <f t="array" ref="F78:F78">OFFSET(G78,-1,-1)</f>
        <v>0</v>
      </c>
      <c r="G78" s="193" t="s">
        <v>2088</v>
      </c>
      <c r="T78" s="753" cm="1" t="str">
        <f t="array" ref="T78:T78">T77</f>
        <v>false</v>
      </c>
      <c r="AB78" s="836" t="str">
        <f>AB75&amp;".3"</f>
        <v>10.3</v>
      </c>
      <c r="AC78" s="646" t="s">
        <v>2089</v>
      </c>
      <c r="AD78" s="666" t="s">
        <v>629</v>
      </c>
      <c r="AE78" s="871">
        <f>AE75-AE76</f>
        <v>0</v>
      </c>
      <c r="AF78" s="714"/>
      <c r="AG78" s="714"/>
      <c r="AH78" s="804"/>
      <c r="AI78" s="871">
        <f>AI75-AI76</f>
        <v>0</v>
      </c>
      <c r="AJ78" s="871">
        <f>AJ75-AJ76</f>
        <v>0</v>
      </c>
      <c r="AK78" s="871">
        <f>AK75-AK76</f>
        <v>0</v>
      </c>
      <c r="AL78" s="695">
        <f>IF(AI78=0,0,(AK78-AI78)/AI78*100)</f>
        <v>0</v>
      </c>
      <c r="AM78" s="84"/>
      <c r="AN78" s="84"/>
      <c r="AO78" s="84"/>
      <c r="AR78" s="309" t="s">
        <v>2090</v>
      </c>
      <c r="AS78" s="489"/>
      <c r="AV78" s="2308" cm="1" t="str">
        <f t="array" ref="AV78:AV78">AV77</f>
        <v>0</v>
      </c>
      <c r="BG78" s="2308" t="s">
        <v>845</v>
      </c>
      <c r="BH78" s="2308" t="s">
        <v>797</v>
      </c>
      <c r="BK78" s="2308" t="s">
        <v>219</v>
      </c>
      <c r="BL78" s="2308" t="s">
        <v>303</v>
      </c>
      <c r="BM78" s="2308" t="s">
        <v>2079</v>
      </c>
      <c r="BN78" s="2308" t="s">
        <v>2080</v>
      </c>
    </row>
    <row customHeight="1" ht="16.575" hidden="1">
      <c r="E79" s="180">
        <v>17</v>
      </c>
      <c r="F79" s="175" cm="1" t="str">
        <f t="array" ref="F79:F79">OFFSET(G79,-1,-1)</f>
        <v>0</v>
      </c>
      <c r="G79" s="193" t="s">
        <v>2091</v>
      </c>
      <c r="T79" s="753" cm="1" t="str">
        <f t="array" ref="T79:T79">T78</f>
        <v>false</v>
      </c>
      <c r="AB79" s="836" t="str">
        <f>AB75&amp;".4"</f>
        <v>10.4</v>
      </c>
      <c r="AC79" s="646" t="s">
        <v>2092</v>
      </c>
      <c r="AD79" s="666" t="s">
        <v>1005</v>
      </c>
      <c r="AE79" s="132">
        <f>_xlfn.IFERROR((AE72*1000-AE76*AE77)/AE78,0)</f>
        <v>0</v>
      </c>
      <c r="AF79" s="714"/>
      <c r="AG79" s="714"/>
      <c r="AH79" s="804"/>
      <c r="AI79" s="132">
        <f>_xlfn.IFERROR((AI72*1000-AI76*AI77)/AI78,0)</f>
        <v>0</v>
      </c>
      <c r="AJ79" s="749">
        <f>_xlfn.IFERROR((AJ72*1000-AJ76*AJ77)/AJ78,0)</f>
        <v>0</v>
      </c>
      <c r="AK79" s="749">
        <f>_xlfn.IFERROR((AK72*1000-AK76*AK77)/AK78,0)</f>
        <v>0</v>
      </c>
      <c r="AL79" s="695">
        <f>IF(AI79=0,0,(AK79-AI79)/AI79*100)</f>
        <v>0</v>
      </c>
      <c r="AM79" s="85"/>
      <c r="AN79" s="85"/>
      <c r="AO79" s="85"/>
      <c r="AR79" s="309" t="s">
        <v>2093</v>
      </c>
      <c r="AS79" s="489" t="s">
        <v>2093</v>
      </c>
      <c r="AV79" s="2308" cm="1" t="str">
        <f t="array" ref="AV79:AV79">AV78</f>
        <v>0</v>
      </c>
      <c r="BG79" s="2308" t="s">
        <v>845</v>
      </c>
      <c r="BH79" s="2308" t="s">
        <v>797</v>
      </c>
      <c r="BK79" s="2308" t="s">
        <v>255</v>
      </c>
      <c r="BL79" s="2308" t="s">
        <v>303</v>
      </c>
      <c r="BM79" s="2308" t="s">
        <v>1100</v>
      </c>
      <c r="BN79" s="2308" t="s">
        <v>1101</v>
      </c>
    </row>
    <row s="995" customFormat="1" customHeight="1" ht="16.575" hidden="1">
      <c r="E80" s="180">
        <v>17</v>
      </c>
      <c r="F80" s="175" cm="1" t="str">
        <f t="array" ref="F80:F80">OFFSET(G80,-1,-1)</f>
        <v>0</v>
      </c>
      <c r="T80" s="753" cm="1" t="str">
        <f t="array" ref="T80:T80">T79</f>
        <v>false</v>
      </c>
      <c r="AB80" s="836" t="str">
        <f>AB75&amp;".5"</f>
        <v>10.5</v>
      </c>
      <c r="AC80" s="842" t="s">
        <v>2094</v>
      </c>
      <c r="AD80" s="666" t="s">
        <v>495</v>
      </c>
      <c r="AE80" s="843">
        <f>_xlfn.IFERROR(AE79/AE77,0)</f>
        <v>0</v>
      </c>
      <c r="AF80" s="714"/>
      <c r="AG80" s="714"/>
      <c r="AH80" s="804"/>
      <c r="AI80" s="843">
        <f>_xlfn.IFERROR(AI79/AI77,0)</f>
        <v>0</v>
      </c>
      <c r="AJ80" s="843">
        <f>_xlfn.IFERROR(AJ79/AJ77,0)</f>
        <v>0</v>
      </c>
      <c r="AK80" s="843">
        <f>_xlfn.IFERROR(AK79/AK77,0)</f>
        <v>0</v>
      </c>
      <c r="AL80" s="695">
        <f>IF(AI80=0,0,(AK80-AI80)/AI80*100)</f>
        <v>0</v>
      </c>
      <c r="AM80" s="413"/>
      <c r="AN80" s="413"/>
      <c r="AO80" s="413"/>
      <c r="AP80" s="826"/>
      <c r="AR80" s="309" t="s">
        <v>2095</v>
      </c>
      <c r="AV80" s="1733" cm="1" t="str">
        <f t="array" ref="AV80:AV80">AV79</f>
        <v>0</v>
      </c>
      <c r="AW80" s="1733"/>
      <c r="AX80" s="1733"/>
      <c r="AY80" s="1733"/>
      <c r="AZ80" s="1733"/>
      <c r="BA80" s="1733"/>
      <c r="BB80" s="1733"/>
      <c r="BC80" s="1733"/>
      <c r="BD80" s="1733"/>
      <c r="BE80" s="1733"/>
      <c r="BF80" s="1733"/>
      <c r="BG80" s="1733" t="s">
        <v>845</v>
      </c>
      <c r="BH80" s="1733"/>
      <c r="BI80" s="1733"/>
      <c r="BJ80" s="1733"/>
      <c r="BK80" s="1733" t="s">
        <v>255</v>
      </c>
      <c r="BL80" s="1733" t="s">
        <v>303</v>
      </c>
      <c r="BM80" s="1733" t="s">
        <v>931</v>
      </c>
      <c r="BN80" s="1733" t="s">
        <v>932</v>
      </c>
    </row>
    <row customHeight="1" ht="16.575" hidden="1">
      <c r="E81" s="180">
        <v>17</v>
      </c>
      <c r="F81" s="175" cm="1" t="str">
        <f t="array" ref="F81:F81">OFFSET(G81,-1,-1)</f>
        <v>0</v>
      </c>
      <c r="T81" s="753" cm="1" t="str">
        <f t="array" ref="T81:T81">T80</f>
        <v>false</v>
      </c>
      <c r="AB81" s="836" t="str">
        <f>AB75&amp;".6"</f>
        <v>10.6</v>
      </c>
      <c r="AC81" s="842" t="s">
        <v>2097</v>
      </c>
      <c r="AD81" s="666" t="s">
        <v>1005</v>
      </c>
      <c r="AE81" s="871">
        <f>_xlfn.IFERROR(AE72/AE75*1000,0)</f>
        <v>0</v>
      </c>
      <c r="AF81" s="714"/>
      <c r="AG81" s="714"/>
      <c r="AH81" s="804"/>
      <c r="AI81" s="871">
        <f>_xlfn.IFERROR(AI72/AI75*1000,0)</f>
        <v>0</v>
      </c>
      <c r="AJ81" s="871">
        <f>_xlfn.IFERROR(AJ72/AJ75*1000,0)</f>
        <v>0</v>
      </c>
      <c r="AK81" s="871">
        <f>_xlfn.IFERROR(AK72/AK75*1000,0)</f>
        <v>0</v>
      </c>
      <c r="AL81" s="695">
        <f>IF(AI81=0,0,(AK81-AI81)/AI81*100)</f>
        <v>0</v>
      </c>
      <c r="AM81" s="85"/>
      <c r="AN81" s="85"/>
      <c r="AO81" s="85"/>
      <c r="AR81" s="309" t="s">
        <v>2098</v>
      </c>
      <c r="AV81" s="2308" cm="1" t="str">
        <f t="array" ref="AV81:AV81">AV80</f>
        <v>0</v>
      </c>
      <c r="BG81" s="2308" t="s">
        <v>845</v>
      </c>
      <c r="BK81" s="2308" t="s">
        <v>449</v>
      </c>
      <c r="BL81" s="2308" t="s">
        <v>303</v>
      </c>
      <c r="BM81" s="2308" t="s">
        <v>2100</v>
      </c>
      <c r="BN81" s="2308" t="s">
        <v>2101</v>
      </c>
    </row>
    <row s="995" customFormat="1" customHeight="1" ht="16.575" hidden="1">
      <c r="E82" s="180">
        <v>17</v>
      </c>
      <c r="F82" s="175" cm="1" t="str">
        <f t="array" ref="F82:F82">OFFSET(G82,-1,-1)</f>
        <v>0</v>
      </c>
      <c r="H82" s="193" cm="1" t="str">
        <f t="array" ref="H82:H82">G27</f>
        <v>0</v>
      </c>
      <c r="T82" s="753">
        <f>AND(F82&gt;0,H82="двухставочный")</f>
        <v>0</v>
      </c>
      <c r="AA82" s="826"/>
      <c r="AB82" s="838">
        <v>11</v>
      </c>
      <c r="AC82" s="844" t="s">
        <v>2102</v>
      </c>
      <c r="AD82" s="845" t="s">
        <v>752</v>
      </c>
      <c r="AE82" s="100">
        <f>_xlfn.SUMIFS('Баланс Пр'!AE$27:AE$165,'Баланс Пр'!$F$27:$F$165,$F82,'Баланс Пр'!$AB$27:$AB$165,"10")</f>
        <v>0</v>
      </c>
      <c r="AF82" s="714"/>
      <c r="AG82" s="714"/>
      <c r="AH82" s="804"/>
      <c r="AI82" s="100">
        <f>_xlfn.SUMIFS('Баланс Пр'!AH$27:AH$165,'Баланс Пр'!$F$27:$F$165,$F82,'Баланс Пр'!$AB$27:$AB$165,"10")</f>
        <v>0</v>
      </c>
      <c r="AJ82" s="561">
        <f>_xlfn.SUMIFS('Баланс Пр'!AI$27:AI$165,'Баланс Пр'!$F$27:$F$165,$F82,'Баланс Пр'!$AB$27:$AB$165,"10")</f>
        <v>0</v>
      </c>
      <c r="AK82" s="561">
        <f>_xlfn.SUMIFS('Баланс Пр'!BC$27:BC$165,'Баланс Пр'!$F$27:$F$165,$F82,'Баланс Пр'!$AB$27:$AB$165,"10")</f>
        <v>0</v>
      </c>
      <c r="AL82" s="695">
        <f>IF(AI82=0,0,(AK82-AI82)/AI82*100)</f>
        <v>0</v>
      </c>
      <c r="AM82" s="827"/>
      <c r="AN82" s="827"/>
      <c r="AO82" s="610"/>
      <c r="AP82" s="826"/>
      <c r="AR82" s="309" t="s">
        <v>753</v>
      </c>
      <c r="AV82" s="1733" cm="1" t="str">
        <f t="array" ref="AV82:AV82">AV81</f>
        <v>0</v>
      </c>
      <c r="AW82" s="1733"/>
      <c r="AX82" s="1733"/>
      <c r="AY82" s="1733"/>
      <c r="AZ82" s="1733"/>
      <c r="BA82" s="1733"/>
      <c r="BB82" s="1733"/>
      <c r="BC82" s="1733"/>
      <c r="BD82" s="1733"/>
      <c r="BE82" s="1733"/>
      <c r="BF82" s="1733"/>
      <c r="BG82" s="1733"/>
      <c r="BH82" s="1733"/>
      <c r="BI82" s="1733"/>
      <c r="BJ82" s="1733"/>
      <c r="BK82" s="1733" t="s">
        <v>1978</v>
      </c>
      <c r="BL82" s="1733" t="s">
        <v>303</v>
      </c>
      <c r="BM82" s="1733" t="s">
        <v>2104</v>
      </c>
      <c r="BN82" s="1733" t="s">
        <v>2105</v>
      </c>
    </row>
    <row customHeight="1" ht="16.575" hidden="1">
      <c r="E83" s="180">
        <v>17</v>
      </c>
      <c r="F83" s="175" cm="1" t="str">
        <f t="array" ref="F83:F83">OFFSET(G83,-1,-1)</f>
        <v>0</v>
      </c>
      <c r="H83" s="193" cm="1" t="str">
        <f t="array" ref="H83:H83">G27</f>
        <v>0</v>
      </c>
      <c r="T83" s="753">
        <f>AND(F83&gt;0,H83="двухставочный")</f>
        <v>0</v>
      </c>
      <c r="AB83" s="836" t="str">
        <f>AB82&amp;".1"</f>
        <v>11.1</v>
      </c>
      <c r="AC83" s="365" t="s">
        <v>2107</v>
      </c>
      <c r="AD83" s="846" t="s">
        <v>752</v>
      </c>
      <c r="AE83" s="141" cm="1" t="str">
        <f t="array" ref="AE83:AE83">AE82</f>
        <v>0</v>
      </c>
      <c r="AF83" s="714"/>
      <c r="AG83" s="714"/>
      <c r="AH83" s="804"/>
      <c r="AI83" s="141" cm="1" t="str">
        <f t="array" ref="AI83:AI83">AI82</f>
        <v>0</v>
      </c>
      <c r="AJ83" s="818" cm="1" t="str">
        <f t="array" ref="AJ83:AJ83">AJ82</f>
        <v>0</v>
      </c>
      <c r="AK83" s="818" cm="1" t="str">
        <f t="array" ref="AK83:AK83">AK82</f>
        <v>0</v>
      </c>
      <c r="AL83" s="695">
        <f>IF(AI83=0,0,(AK83-AI83)/AI83*100)</f>
        <v>0</v>
      </c>
      <c r="AM83" s="86"/>
      <c r="AN83" s="86"/>
      <c r="AO83" s="86"/>
      <c r="AR83" s="309" t="s">
        <v>2108</v>
      </c>
      <c r="AV83" s="2308" cm="1" t="str">
        <f t="array" ref="AV83:AV83">AV82</f>
        <v>0</v>
      </c>
      <c r="BH83" s="2308" t="s">
        <v>796</v>
      </c>
      <c r="BJ83" s="2308" t="s">
        <v>2084</v>
      </c>
      <c r="BK83" s="2308" t="s">
        <v>219</v>
      </c>
      <c r="BL83" s="2308" t="s">
        <v>303</v>
      </c>
      <c r="BM83" s="2308" t="s">
        <v>2104</v>
      </c>
      <c r="BN83" s="2308" t="s">
        <v>2105</v>
      </c>
    </row>
    <row customHeight="1" ht="16.575" hidden="1">
      <c r="E84" s="180">
        <v>17</v>
      </c>
      <c r="F84" s="175" cm="1" t="str">
        <f t="array" ref="F84:F84">OFFSET(G84,-1,-1)</f>
        <v>0</v>
      </c>
      <c r="H84" s="193" cm="1" t="str">
        <f t="array" ref="H84:H84">G27</f>
        <v>0</v>
      </c>
      <c r="T84" s="753">
        <f>AND(F84&gt;0,H84="двухставочный")</f>
        <v>0</v>
      </c>
      <c r="AB84" s="836" t="str">
        <f>AB82&amp;".2"</f>
        <v>11.2</v>
      </c>
      <c r="AC84" s="365" t="s">
        <v>2110</v>
      </c>
      <c r="AD84" s="846" t="s">
        <v>752</v>
      </c>
      <c r="AE84" s="141" cm="1" t="str">
        <f t="array" ref="AE84:AE84">AE82</f>
        <v>0</v>
      </c>
      <c r="AF84" s="714"/>
      <c r="AG84" s="714"/>
      <c r="AH84" s="804"/>
      <c r="AI84" s="141" cm="1" t="str">
        <f t="array" ref="AI84:AI84">AI82</f>
        <v>0</v>
      </c>
      <c r="AJ84" s="818" cm="1" t="str">
        <f t="array" ref="AJ84:AJ84">AJ82</f>
        <v>0</v>
      </c>
      <c r="AK84" s="818" cm="1" t="str">
        <f t="array" ref="AK84:AK84">AK82</f>
        <v>0</v>
      </c>
      <c r="AL84" s="695">
        <f>IF(AI84=0,0,(AK84-AI84)/AI84*100)</f>
        <v>0</v>
      </c>
      <c r="AM84" s="86"/>
      <c r="AN84" s="86"/>
      <c r="AO84" s="86"/>
      <c r="AR84" s="309" t="s">
        <v>2111</v>
      </c>
      <c r="AV84" s="2308" cm="1" t="str">
        <f t="array" ref="AV84:AV84">AV83</f>
        <v>0</v>
      </c>
      <c r="BH84" s="2308" t="s">
        <v>797</v>
      </c>
      <c r="BK84" s="2308" t="s">
        <v>219</v>
      </c>
      <c r="BL84" s="2308" t="s">
        <v>303</v>
      </c>
      <c r="BM84" s="2308" t="s">
        <v>2104</v>
      </c>
      <c r="BN84" s="2308" t="s">
        <v>2105</v>
      </c>
    </row>
    <row customHeight="1" ht="16.575" hidden="1">
      <c r="E85" s="180">
        <v>17</v>
      </c>
      <c r="F85" s="175" cm="1" t="str">
        <f t="array" ref="F85:F85">OFFSET(G85,-1,-1)</f>
        <v>0</v>
      </c>
      <c r="H85" s="193" cm="1" t="str">
        <f t="array" ref="H85:H85">G27</f>
        <v>0</v>
      </c>
      <c r="T85" s="753">
        <f>AND(F85&gt;0,H85="двухставочный")</f>
        <v>0</v>
      </c>
      <c r="AB85" s="641">
        <v>12</v>
      </c>
      <c r="AC85" s="437" t="s">
        <v>2112</v>
      </c>
      <c r="AD85" s="772"/>
      <c r="AE85" s="722"/>
      <c r="AF85" s="714"/>
      <c r="AG85" s="714"/>
      <c r="AH85" s="804"/>
      <c r="AI85" s="722"/>
      <c r="AJ85" s="722"/>
      <c r="AK85" s="722"/>
      <c r="AL85" s="804"/>
      <c r="AM85" s="83"/>
      <c r="AN85" s="83"/>
      <c r="AO85" s="83"/>
      <c r="AR85" s="309" t="s">
        <v>2113</v>
      </c>
      <c r="AV85" s="2308" cm="1" t="str">
        <f t="array" ref="AV85:AV85">AV84</f>
        <v>0</v>
      </c>
      <c r="BK85" s="2308" t="s">
        <v>1983</v>
      </c>
      <c r="BL85" s="2308" t="s">
        <v>176</v>
      </c>
    </row>
    <row customHeight="1" ht="16.575" hidden="1">
      <c r="E86" s="180">
        <v>17</v>
      </c>
      <c r="F86" s="175" cm="1" t="str">
        <f t="array" ref="F86:F86">OFFSET(G86,-1,-1)</f>
        <v>0</v>
      </c>
      <c r="G86" s="193" t="s">
        <v>2115</v>
      </c>
      <c r="H86" s="193" cm="1" t="str">
        <f t="array" ref="H86:H86">G27</f>
        <v>0</v>
      </c>
      <c r="T86" s="753">
        <f>AND(F86&gt;0,H86="двухставочный")</f>
        <v>0</v>
      </c>
      <c r="AB86" s="836" t="str">
        <f>AB85&amp;".1"</f>
        <v>12.1</v>
      </c>
      <c r="AC86" s="537" t="s">
        <v>2116</v>
      </c>
      <c r="AD86" s="333" t="s">
        <v>1005</v>
      </c>
      <c r="AE86" s="141"/>
      <c r="AF86" s="714"/>
      <c r="AG86" s="714"/>
      <c r="AH86" s="804"/>
      <c r="AI86" s="141"/>
      <c r="AJ86" s="818"/>
      <c r="AK86" s="818"/>
      <c r="AL86" s="695">
        <f>IF(AI86=0,0,(AK86-AI86)/AI86*100)</f>
        <v>0</v>
      </c>
      <c r="AM86" s="83"/>
      <c r="AN86" s="83"/>
      <c r="AO86" s="83"/>
      <c r="AR86" s="309" t="s">
        <v>2117</v>
      </c>
      <c r="AV86" s="2308" cm="1" t="str">
        <f t="array" ref="AV86:AV86">AV85</f>
        <v>0</v>
      </c>
      <c r="BH86" s="2308" t="s">
        <v>796</v>
      </c>
      <c r="BJ86" s="2308" t="s">
        <v>2084</v>
      </c>
      <c r="BK86" s="2308" t="s">
        <v>255</v>
      </c>
      <c r="BL86" s="2308" t="s">
        <v>303</v>
      </c>
      <c r="BM86" s="2308" t="s">
        <v>2118</v>
      </c>
      <c r="BN86" s="2308" t="s">
        <v>2119</v>
      </c>
    </row>
    <row customHeight="1" ht="16.575" hidden="1">
      <c r="E87" s="180">
        <v>17</v>
      </c>
      <c r="F87" s="175" cm="1" t="str">
        <f t="array" ref="F87:F87">OFFSET(G87,-1,-1)</f>
        <v>0</v>
      </c>
      <c r="G87" s="193" t="s">
        <v>2120</v>
      </c>
      <c r="H87" s="193" cm="1" t="str">
        <f t="array" ref="H87:H87">G27</f>
        <v>0</v>
      </c>
      <c r="T87" s="753">
        <f>AND(F87&gt;0,H87="двухставочный")</f>
        <v>0</v>
      </c>
      <c r="AB87" s="836" t="str">
        <f>AB85&amp;".2"</f>
        <v>12.2</v>
      </c>
      <c r="AC87" s="537" t="s">
        <v>2121</v>
      </c>
      <c r="AD87" s="333" t="s">
        <v>1005</v>
      </c>
      <c r="AE87" s="746">
        <f>_xlfn.IFERROR((AE73*1000-AE76*AE86)/AE78,0)</f>
        <v>0</v>
      </c>
      <c r="AF87" s="714"/>
      <c r="AG87" s="714"/>
      <c r="AH87" s="804"/>
      <c r="AI87" s="746">
        <f>_xlfn.IFERROR((AI73*1000-AI76*AI86)/AI78,0)</f>
        <v>0</v>
      </c>
      <c r="AJ87" s="746">
        <f>_xlfn.IFERROR((AJ73*1000-AJ76*AJ86)/AJ78,0)</f>
        <v>0</v>
      </c>
      <c r="AK87" s="746">
        <f>_xlfn.IFERROR((AK73*1000-AK76*AK86)/AK78,0)</f>
        <v>0</v>
      </c>
      <c r="AL87" s="695">
        <f>IF(AI87=0,0,(AK87-AI87)/AI87*100)</f>
        <v>0</v>
      </c>
      <c r="AM87" s="83"/>
      <c r="AN87" s="83"/>
      <c r="AO87" s="83"/>
      <c r="AR87" s="309" t="s">
        <v>2122</v>
      </c>
      <c r="AV87" s="2308" cm="1" t="str">
        <f t="array" ref="AV87:AV87">AV86</f>
        <v>0</v>
      </c>
      <c r="BH87" s="2308" t="s">
        <v>797</v>
      </c>
      <c r="BK87" s="2308" t="s">
        <v>255</v>
      </c>
      <c r="BL87" s="2308" t="s">
        <v>303</v>
      </c>
      <c r="BM87" s="2308" t="s">
        <v>2118</v>
      </c>
      <c r="BN87" s="2308" t="s">
        <v>2119</v>
      </c>
    </row>
    <row customHeight="1" ht="16.575" hidden="1">
      <c r="E88" s="180">
        <v>17</v>
      </c>
      <c r="F88" s="175" cm="1" t="str">
        <f t="array" ref="F88:F88">OFFSET(G88,-1,-1)</f>
        <v>0</v>
      </c>
      <c r="H88" s="193" cm="1" t="str">
        <f t="array" ref="H88:H88">G27</f>
        <v>0</v>
      </c>
      <c r="T88" s="753">
        <f>AND(F88&gt;0,H88="двухставочный")</f>
        <v>0</v>
      </c>
      <c r="AB88" s="836" t="str">
        <f>AB85&amp;".3"</f>
        <v>12.3</v>
      </c>
      <c r="AC88" s="842" t="s">
        <v>2123</v>
      </c>
      <c r="AD88" s="333" t="s">
        <v>495</v>
      </c>
      <c r="AE88" s="843">
        <f>_xlfn.IFERROR(AE87/AE86,0)</f>
        <v>0</v>
      </c>
      <c r="AF88" s="714"/>
      <c r="AG88" s="714"/>
      <c r="AH88" s="714"/>
      <c r="AI88" s="843">
        <f>_xlfn.IFERROR(AI87/AI86,0)</f>
        <v>0</v>
      </c>
      <c r="AJ88" s="843">
        <f>_xlfn.IFERROR(AJ87/AJ86,0)</f>
        <v>0</v>
      </c>
      <c r="AK88" s="843">
        <f>_xlfn.IFERROR(AK87/AK86,0)</f>
        <v>0</v>
      </c>
      <c r="AL88" s="804"/>
      <c r="AM88" s="83"/>
      <c r="AN88" s="83"/>
      <c r="AO88" s="83"/>
      <c r="AR88" s="309" t="s">
        <v>2124</v>
      </c>
      <c r="AV88" s="2308" cm="1" t="str">
        <f t="array" ref="AV88:AV88">AV87</f>
        <v>0</v>
      </c>
      <c r="BI88" s="2308" t="s">
        <v>2125</v>
      </c>
      <c r="BL88" s="2308" t="s">
        <v>303</v>
      </c>
      <c r="BM88" s="2308" t="s">
        <v>931</v>
      </c>
      <c r="BN88" s="2308" t="s">
        <v>932</v>
      </c>
    </row>
    <row customHeight="1" ht="34.125" hidden="1">
      <c r="E89" s="180">
        <v>35</v>
      </c>
      <c r="F89" s="175" cm="1" t="str">
        <f t="array" ref="F89:F89">OFFSET(G89,-1,-1)</f>
        <v>0</v>
      </c>
      <c r="H89" s="193" cm="1" t="str">
        <f t="array" ref="H89:H89">G27</f>
        <v>0</v>
      </c>
      <c r="T89" s="753">
        <f>AND(F89&gt;0,H89="двухставочный")</f>
        <v>0</v>
      </c>
      <c r="AB89" s="554">
        <v>13</v>
      </c>
      <c r="AC89" s="437" t="s">
        <v>2126</v>
      </c>
      <c r="AD89" s="848"/>
      <c r="AE89" s="722"/>
      <c r="AF89" s="714"/>
      <c r="AG89" s="714"/>
      <c r="AH89" s="714"/>
      <c r="AI89" s="722"/>
      <c r="AJ89" s="722"/>
      <c r="AK89" s="722"/>
      <c r="AL89" s="804"/>
      <c r="AM89" s="83"/>
      <c r="AN89" s="83"/>
      <c r="AO89" s="83"/>
      <c r="AR89" s="309" t="s">
        <v>2127</v>
      </c>
      <c r="AV89" s="2308" cm="1" t="str">
        <f t="array" ref="AV89:AV89">AV88</f>
        <v>0</v>
      </c>
      <c r="BK89" s="2308" t="s">
        <v>1989</v>
      </c>
      <c r="BL89" s="2308" t="s">
        <v>176</v>
      </c>
    </row>
    <row customHeight="1" ht="16.575" hidden="1">
      <c r="E90" s="180">
        <v>17</v>
      </c>
      <c r="F90" s="175" cm="1" t="str">
        <f t="array" ref="F90:F90">OFFSET(G90,-1,-1)</f>
        <v>0</v>
      </c>
      <c r="G90" s="193" t="s">
        <v>2129</v>
      </c>
      <c r="H90" s="193" cm="1" t="str">
        <f t="array" ref="H90:H90">G27</f>
        <v>0</v>
      </c>
      <c r="T90" s="753">
        <f>AND(F90&gt;0,H90="двухставочный")</f>
        <v>0</v>
      </c>
      <c r="AB90" s="836" t="str">
        <f>AB89&amp;".1"</f>
        <v>13.1</v>
      </c>
      <c r="AC90" s="368" t="s">
        <v>2130</v>
      </c>
      <c r="AD90" s="333" t="s">
        <v>2131</v>
      </c>
      <c r="AE90" s="100"/>
      <c r="AF90" s="714"/>
      <c r="AG90" s="714"/>
      <c r="AH90" s="804"/>
      <c r="AI90" s="100"/>
      <c r="AJ90" s="561"/>
      <c r="AK90" s="561"/>
      <c r="AL90" s="695">
        <f>IF(AI90=0,0,(AK90-AI90)/AI90*100)</f>
        <v>0</v>
      </c>
      <c r="AM90" s="83"/>
      <c r="AN90" s="83"/>
      <c r="AO90" s="83"/>
      <c r="AR90" s="309" t="s">
        <v>2132</v>
      </c>
      <c r="AV90" s="2308" cm="1" t="str">
        <f t="array" ref="AV90:AV90">AV89</f>
        <v>0</v>
      </c>
      <c r="BH90" s="2308" t="s">
        <v>796</v>
      </c>
      <c r="BJ90" s="2308" t="s">
        <v>2084</v>
      </c>
      <c r="BK90" s="2308" t="s">
        <v>449</v>
      </c>
      <c r="BL90" s="2308" t="s">
        <v>303</v>
      </c>
      <c r="BM90" s="2308" t="s">
        <v>2133</v>
      </c>
      <c r="BN90" s="2308" t="s">
        <v>2134</v>
      </c>
    </row>
    <row customHeight="1" ht="16.575" hidden="1">
      <c r="E91" s="180">
        <v>17</v>
      </c>
      <c r="F91" s="175" cm="1" t="str">
        <f t="array" ref="F91:F91">OFFSET(G91,-1,-1)</f>
        <v>0</v>
      </c>
      <c r="G91" s="193" t="s">
        <v>2135</v>
      </c>
      <c r="H91" s="193" cm="1" t="str">
        <f t="array" ref="H91:H91">G27</f>
        <v>0</v>
      </c>
      <c r="T91" s="753">
        <f>AND(F91&gt;0,H91="двухставочный")</f>
        <v>0</v>
      </c>
      <c r="AB91" s="836" t="str">
        <f>AB89&amp;".2"</f>
        <v>13.2</v>
      </c>
      <c r="AC91" s="368" t="s">
        <v>2136</v>
      </c>
      <c r="AD91" s="333" t="s">
        <v>2131</v>
      </c>
      <c r="AE91" s="695">
        <f>_xlfn.IFERROR((AE74-AE83*IF(AE9=2026,9,6)*AE90)/AE84/IF(AE9=2026,3,6),0)</f>
        <v>0</v>
      </c>
      <c r="AF91" s="714"/>
      <c r="AG91" s="714"/>
      <c r="AH91" s="804"/>
      <c r="AI91" s="695">
        <f>_xlfn.IFERROR((AI74-AI83*IF(AI9=2026,9,6)*AI90)/AI84/IF(AI9=2026,3,6),0)</f>
        <v>0</v>
      </c>
      <c r="AJ91" s="695">
        <f>_xlfn.IFERROR((AJ74-AJ83*IF(AJ9=2026,9,6)*AJ90)/AJ84/IF(AJ9=2026,3,6),0)</f>
        <v>0</v>
      </c>
      <c r="AK91" s="695">
        <f>_xlfn.IFERROR((AK74-AK83*IF(AK9=2026,9,6)*AK90)/AK84/IF(AK9=2026,3,6),0)</f>
        <v>0</v>
      </c>
      <c r="AL91" s="695">
        <f>IF(AI91=0,0,(AK91-AI91)/AI91*100)</f>
        <v>0</v>
      </c>
      <c r="AM91" s="83"/>
      <c r="AN91" s="83"/>
      <c r="AO91" s="83"/>
      <c r="AR91" s="309" t="s">
        <v>2137</v>
      </c>
      <c r="AV91" s="2308" cm="1" t="str">
        <f t="array" ref="AV91:AV91">AV90</f>
        <v>0</v>
      </c>
      <c r="BH91" s="2308" t="s">
        <v>797</v>
      </c>
      <c r="BK91" s="2308" t="s">
        <v>449</v>
      </c>
      <c r="BL91" s="2308" t="s">
        <v>303</v>
      </c>
      <c r="BM91" s="2308" t="s">
        <v>2133</v>
      </c>
      <c r="BN91" s="2308" t="s">
        <v>2134</v>
      </c>
    </row>
    <row customHeight="1" ht="16.575" hidden="1">
      <c r="E92" s="180">
        <v>17</v>
      </c>
      <c r="F92" s="175" cm="1" t="str">
        <f t="array" ref="F92:F92">OFFSET(G92,-1,-1)</f>
        <v>0</v>
      </c>
      <c r="H92" s="193" cm="1" t="str">
        <f t="array" ref="H92:H92">G27</f>
        <v>0</v>
      </c>
      <c r="T92" s="753">
        <f>AND(F92&gt;0,H92="двухставочный")</f>
        <v>0</v>
      </c>
      <c r="AB92" s="836" t="str">
        <f>AB89&amp;".3"</f>
        <v>13.3</v>
      </c>
      <c r="AC92" s="842" t="s">
        <v>2138</v>
      </c>
      <c r="AD92" s="333" t="s">
        <v>495</v>
      </c>
      <c r="AE92" s="843">
        <f>_xlfn.IFERROR(AE91/AE90,0)</f>
        <v>0</v>
      </c>
      <c r="AF92" s="872"/>
      <c r="AG92" s="714"/>
      <c r="AH92" s="714"/>
      <c r="AI92" s="843">
        <f>_xlfn.IFERROR(AI91/AI90,0)</f>
        <v>0</v>
      </c>
      <c r="AJ92" s="843">
        <f>_xlfn.IFERROR(AJ91/AJ90,0)</f>
        <v>0</v>
      </c>
      <c r="AK92" s="843">
        <f>_xlfn.IFERROR(AK91/AK90,0)</f>
        <v>0</v>
      </c>
      <c r="AL92" s="804"/>
      <c r="AM92" s="83"/>
      <c r="AN92" s="83"/>
      <c r="AO92" s="83"/>
      <c r="AR92" s="309" t="s">
        <v>2139</v>
      </c>
      <c r="AV92" s="2308" cm="1" t="str">
        <f t="array" ref="AV92:AV92">AV91</f>
        <v>0</v>
      </c>
      <c r="BI92" s="2308" t="s">
        <v>2140</v>
      </c>
      <c r="BL92" s="2308" t="s">
        <v>303</v>
      </c>
      <c r="BM92" s="2308" t="s">
        <v>931</v>
      </c>
      <c r="BN92" s="2308" t="s">
        <v>932</v>
      </c>
    </row>
    <row customHeight="1" ht="29.25" hidden="1">
      <c r="E93" s="180">
        <v>30</v>
      </c>
      <c r="F93" s="175" cm="1" t="str">
        <f t="array" ref="F93:F93">OFFSET(G93,-1,-1)</f>
        <v>0</v>
      </c>
      <c r="T93" s="753" cm="1" t="str">
        <f t="array" ref="T93:T93">T72</f>
        <v>false</v>
      </c>
      <c r="AB93" s="360">
        <v>14</v>
      </c>
      <c r="AC93" s="851" t="s">
        <v>2141</v>
      </c>
      <c r="AD93" s="352" t="s">
        <v>1178</v>
      </c>
      <c r="AE93" s="100"/>
      <c r="AF93" s="132"/>
      <c r="AG93" s="132"/>
      <c r="AH93" s="695">
        <f>AG93-AF93</f>
        <v>0</v>
      </c>
      <c r="AI93" s="100"/>
      <c r="AJ93" s="561"/>
      <c r="AK93" s="561"/>
      <c r="AL93" s="695">
        <f>IF(AI93=0,0,(AK93-AI93)/AI93*100)</f>
        <v>0</v>
      </c>
      <c r="AM93" s="83"/>
      <c r="AN93" s="83"/>
      <c r="AO93" s="83"/>
      <c r="AR93" s="309" t="s">
        <v>2142</v>
      </c>
      <c r="AV93" s="2308" cm="1" t="str">
        <f t="array" ref="AV93:AV93">AV92</f>
        <v>0</v>
      </c>
      <c r="BK93" s="2308" t="s">
        <v>1994</v>
      </c>
      <c r="BL93" s="2308" t="s">
        <v>303</v>
      </c>
      <c r="BM93" s="2308" t="s">
        <v>2144</v>
      </c>
      <c r="BN93" s="2308" t="s">
        <v>2145</v>
      </c>
    </row>
    <row s="969" customFormat="1" customHeight="1" ht="16.5">
      <c r="A94" s="969"/>
      <c r="B94" s="969"/>
      <c r="C94" s="969"/>
      <c r="D94" s="969"/>
      <c r="E94" s="180">
        <v>17</v>
      </c>
      <c r="F94" s="175" cm="1" t="str">
        <f t="array" ref="F94:F94">X94</f>
        <v>1</v>
      </c>
      <c r="G94" s="193" cm="1" t="str">
        <f t="array" ref="G94:G94">INDEX('Общие сведения'!$AK$169:$AK$202,MATCH($F94,'Общие сведения'!$Y$169:$Y$202,0))</f>
        <v>одноставочный</v>
      </c>
      <c r="H94" s="969"/>
      <c r="I94" s="193" cm="1" t="str">
        <f t="array" ref="I94:I94">INDEX('Общие сведения'!$AE$169:$AE$202,MATCH($F94,'Общие сведения'!$Y$169:$Y$202,0))</f>
        <v>Теплоснабжение</v>
      </c>
      <c r="J94" s="969"/>
      <c r="K94" s="193" cm="1" t="str">
        <f t="array" ref="K94:K94">INDEX('Общие сведения'!$AL$169:$AL$202,MATCH($F94,'Общие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L94" s="969"/>
      <c r="M94" s="969"/>
      <c r="N94" s="969"/>
      <c r="O94" s="969"/>
      <c r="P94" s="969"/>
      <c r="Q94" s="969"/>
      <c r="R94" s="969"/>
      <c r="S94" s="969"/>
      <c r="T94" s="753">
        <f>X94&gt;0</f>
        <v>1</v>
      </c>
      <c r="U94" s="969"/>
      <c r="V94" s="175" cm="1" t="str">
        <f t="array" ref="V94:V94">'Калькуляция (5.9)'!$AB$83</f>
        <v>Тариф 1 (Теплоснабжение) - Тариф на тепловую энергию (мощность), поставляемую потребителям (Доп. признак не требуется)</v>
      </c>
      <c r="W94" s="969"/>
      <c r="X94" s="1644" t="s">
        <v>308</v>
      </c>
      <c r="Y94" s="969"/>
      <c r="Z94" s="969"/>
      <c r="AA94" s="969"/>
      <c r="AB94" s="688" cm="1" t="str">
        <f t="array" ref="AB94:AB94">IF(ISBLANK('Калькуляция (5.9)'!$AB$83),"",'Калькуляция (5.9)'!$AB$83)</f>
        <v>Тариф 1 (Теплоснабжение) - Тариф на тепловую энергию (мощность), поставляемую потребителям (Доп. признак не требуется)</v>
      </c>
      <c r="AC94" s="334"/>
      <c r="AD94" s="334"/>
      <c r="AE94" s="334"/>
      <c r="AF94" s="334"/>
      <c r="AG94" s="334"/>
      <c r="AH94" s="334"/>
      <c r="AI94" s="334"/>
      <c r="AJ94" s="334"/>
      <c r="AK94" s="334"/>
      <c r="AL94" s="334"/>
      <c r="AM94" s="334"/>
      <c r="AN94" s="334"/>
      <c r="AO94" s="334"/>
      <c r="AP94" s="969"/>
      <c r="AQ94" s="969"/>
      <c r="AR94" s="975"/>
      <c r="AS94" s="969"/>
      <c r="AT94" s="969"/>
      <c r="AU94" s="969"/>
      <c r="AV94" s="969"/>
      <c r="AW94" s="969"/>
      <c r="AX94" s="969"/>
      <c r="AY94" s="969"/>
      <c r="AZ94" s="969"/>
      <c r="BA94" s="969"/>
      <c r="BB94" s="969"/>
      <c r="BC94" s="969"/>
      <c r="BD94" s="969"/>
      <c r="BE94" s="969"/>
      <c r="BF94" s="969"/>
      <c r="BG94" s="969"/>
      <c r="BH94" s="969"/>
      <c r="BI94" s="969"/>
      <c r="BJ94" s="969"/>
      <c r="BK94" s="969"/>
      <c r="BL94" s="969"/>
      <c r="BM94" s="969"/>
      <c r="BN94" s="969"/>
    </row>
    <row s="1751" customFormat="1" customHeight="1" ht="33.75">
      <c r="A95" s="371"/>
      <c r="B95" s="1548"/>
      <c r="C95" s="1659"/>
      <c r="D95" s="1659"/>
      <c r="E95" s="180">
        <v>35</v>
      </c>
      <c r="F95" s="175" cm="1" t="str">
        <f t="array" ref="F95:F95">OFFSET(G95,-1,-1)</f>
        <v>1</v>
      </c>
      <c r="G95" s="1659"/>
      <c r="H95" s="1659"/>
      <c r="I95" s="1659"/>
      <c r="J95" s="1659"/>
      <c r="K95" s="1659"/>
      <c r="L95" s="1659"/>
      <c r="M95" s="1659"/>
      <c r="N95" s="1659"/>
      <c r="O95" s="1659"/>
      <c r="P95" s="1659"/>
      <c r="Q95" s="1659"/>
      <c r="R95" s="1659"/>
      <c r="S95" s="1659"/>
      <c r="T95" s="753" cm="1" t="str">
        <f t="array" ref="T95:T95">T94</f>
        <v>true</v>
      </c>
      <c r="U95" s="1548"/>
      <c r="V95" s="1548"/>
      <c r="W95" s="1548"/>
      <c r="X95" s="1548"/>
      <c r="Y95" s="1548"/>
      <c r="Z95" s="1548"/>
      <c r="AA95" s="286"/>
      <c r="AB95" s="854">
        <v>1</v>
      </c>
      <c r="AC95" s="855" t="s">
        <v>2155</v>
      </c>
      <c r="AD95" s="856" t="s">
        <v>1178</v>
      </c>
      <c r="AE95" s="746">
        <f>AE96+AE97+AE98+AE101+AE102+AE103+AE104+AE105+AE107+AE108+AE109+AE110+AE111+AE112+AE113+AE114+AE115+AE116</f>
        <v>8593</v>
      </c>
      <c r="AF95" s="746">
        <f>AF96+AF97+AF98+AF101+AF102+AF103+AF104+AF105+AF107+AF108+AF109+AF110+AF111+AF112+AF113+AF114+AF115+AF116</f>
        <v>13345.36</v>
      </c>
      <c r="AG95" s="746">
        <f>AG96+AG97+AG98+AG101+AG102+AG103+AG104+AG105+AG107+AG108+AG109+AG110+AG111+AG112+AG113+AG114+AG115+AG116</f>
        <v>9343.86814247972</v>
      </c>
      <c r="AH95" s="695">
        <f>AG95-AF95</f>
        <v>-4001.49185752028</v>
      </c>
      <c r="AI95" s="746">
        <f>AI96+AI97+AI98+AI101+AI102+AI103+AI104+AI105+AI107+AI108+AI109+AI110+AI111+AI112+AI113+AI114+AI115+AI116</f>
        <v>9613</v>
      </c>
      <c r="AJ95" s="746">
        <f>AJ96+AJ97+AJ98+AJ101+AJ102+AJ103+AJ104+AJ105+AJ107+AJ108+AJ109+AJ110+AJ111+AJ112+AJ113+AJ114+AJ115+AJ116</f>
        <v>14982.0172230014</v>
      </c>
      <c r="AK95" s="746">
        <f>AK96+AK97+AK98+AK101+AK102+AK103+AK104+AK105+AK107+AK108+AK109+AK110+AK111+AK112+AK113+AK114+AK115+AK116</f>
        <v>10639.5560208322</v>
      </c>
      <c r="AL95" s="695">
        <f>IF(AI95=0,0,(AK95-AI95)/AI95*100)</f>
        <v>10.6788309667346</v>
      </c>
      <c r="AM95" s="1897"/>
      <c r="AN95" s="1897"/>
      <c r="AO95" s="1897"/>
      <c r="AP95" s="286"/>
      <c r="AQ95" s="1659"/>
      <c r="AR95" s="309" t="s">
        <v>2156</v>
      </c>
      <c r="AS95" s="1506"/>
      <c r="AT95" s="1506"/>
      <c r="AU95" s="1506"/>
      <c r="AV95" s="0" cm="1" t="str">
        <f t="array" ref="AV95:AV95">INDEX('Общие сведения'!$N$170:$N$202,MATCH($F95,'Общие сведения'!$Y$170:$Y$202,0)+1)</f>
        <v>ТЭ.42.31656254.0001</v>
      </c>
      <c r="AW95" s="1751"/>
      <c r="AX95" s="0" t="s">
        <v>1699</v>
      </c>
      <c r="AY95" s="1751"/>
      <c r="AZ95" s="1751"/>
      <c r="BA95" s="1751"/>
      <c r="BB95" s="1751"/>
      <c r="BC95" s="1751"/>
      <c r="BD95" s="1751"/>
      <c r="BE95" s="1751"/>
      <c r="BF95" s="1751"/>
      <c r="BG95" s="1751"/>
      <c r="BH95" s="1751"/>
      <c r="BI95" s="1751"/>
      <c r="BJ95" s="1751"/>
      <c r="BK95" s="1751"/>
      <c r="BL95" s="0" t="s">
        <v>303</v>
      </c>
      <c r="BM95" s="0" t="s">
        <v>1044</v>
      </c>
      <c r="BN95" s="0" t="s">
        <v>1045</v>
      </c>
    </row>
    <row s="1751" customFormat="1" customHeight="1" ht="16.5">
      <c r="A96" s="371"/>
      <c r="B96" s="1548"/>
      <c r="C96" s="1659"/>
      <c r="D96" s="1659"/>
      <c r="E96" s="180">
        <v>17</v>
      </c>
      <c r="F96" s="175" cm="1" t="str">
        <f t="array" ref="F96:F96">OFFSET(G96,-1,-1)</f>
        <v>1</v>
      </c>
      <c r="G96" s="1659"/>
      <c r="H96" s="1659"/>
      <c r="I96" s="1659"/>
      <c r="J96" s="1659"/>
      <c r="K96" s="1659"/>
      <c r="L96" s="1659"/>
      <c r="M96" s="1659"/>
      <c r="N96" s="1659"/>
      <c r="O96" s="1659"/>
      <c r="P96" s="1659"/>
      <c r="Q96" s="1659"/>
      <c r="R96" s="1659"/>
      <c r="S96" s="1659"/>
      <c r="T96" s="753" cm="1" t="str">
        <f t="array" ref="T96:T96">T95</f>
        <v>true</v>
      </c>
      <c r="U96" s="1548"/>
      <c r="V96" s="1548"/>
      <c r="W96" s="1548"/>
      <c r="X96" s="1548"/>
      <c r="Y96" s="1548"/>
      <c r="Z96" s="1548"/>
      <c r="AA96" s="286"/>
      <c r="AB96" s="857">
        <v>1.1</v>
      </c>
      <c r="AC96" s="858" t="s">
        <v>2157</v>
      </c>
      <c r="AD96" s="859" t="s">
        <v>1178</v>
      </c>
      <c r="AE96" s="2356"/>
      <c r="AF96" s="2356"/>
      <c r="AG96" s="2356"/>
      <c r="AH96" s="695">
        <f>AG96-AF96</f>
        <v>0</v>
      </c>
      <c r="AI96" s="2356"/>
      <c r="AJ96" s="749"/>
      <c r="AK96" s="749"/>
      <c r="AL96" s="695">
        <f>IF(AI96=0,0,(AK96-AI96)/AI96*100)</f>
        <v>0</v>
      </c>
      <c r="AM96" s="1897"/>
      <c r="AN96" s="1897"/>
      <c r="AO96" s="1897"/>
      <c r="AP96" s="286"/>
      <c r="AQ96" s="1659"/>
      <c r="AR96" s="309" t="s">
        <v>1555</v>
      </c>
      <c r="AS96" s="1506"/>
      <c r="AT96" s="1512" t="s">
        <v>1555</v>
      </c>
      <c r="AU96" s="1506"/>
      <c r="AV96" s="0" cm="1" t="str">
        <f t="array" ref="AV96:AV96">AV95</f>
        <v>ТЭ.42.31656254.0001</v>
      </c>
      <c r="AW96" s="0" t="s">
        <v>2158</v>
      </c>
      <c r="AX96" s="1751"/>
      <c r="AY96" s="1751"/>
      <c r="AZ96" s="1751"/>
      <c r="BA96" s="1751"/>
      <c r="BB96" s="1751"/>
      <c r="BC96" s="1751"/>
      <c r="BD96" s="1751"/>
      <c r="BE96" s="1751"/>
      <c r="BF96" s="1751"/>
      <c r="BG96" s="1751"/>
      <c r="BH96" s="1751"/>
      <c r="BI96" s="1751"/>
      <c r="BJ96" s="1751"/>
      <c r="BK96" s="1751"/>
      <c r="BL96" s="0" t="s">
        <v>303</v>
      </c>
      <c r="BM96" s="0" t="s">
        <v>1044</v>
      </c>
      <c r="BN96" s="0" t="s">
        <v>1045</v>
      </c>
    </row>
    <row s="1751" customFormat="1" customHeight="1" ht="24.75">
      <c r="A97" s="371"/>
      <c r="B97" s="1548"/>
      <c r="C97" s="1659"/>
      <c r="D97" s="1659"/>
      <c r="E97" s="180">
        <v>26</v>
      </c>
      <c r="F97" s="175" cm="1" t="str">
        <f t="array" ref="F97:F97">OFFSET(G97,-1,-1)</f>
        <v>1</v>
      </c>
      <c r="G97" s="193" t="s">
        <v>1688</v>
      </c>
      <c r="H97" s="1659"/>
      <c r="I97" s="1659"/>
      <c r="J97" s="1659"/>
      <c r="K97" s="1659"/>
      <c r="L97" s="1659"/>
      <c r="M97" s="1659"/>
      <c r="N97" s="1659"/>
      <c r="O97" s="1659"/>
      <c r="P97" s="1659"/>
      <c r="Q97" s="1659"/>
      <c r="R97" s="1659"/>
      <c r="S97" s="1659"/>
      <c r="T97" s="753" cm="1" t="str">
        <f t="array" ref="T97:T97">T96</f>
        <v>true</v>
      </c>
      <c r="U97" s="1548"/>
      <c r="V97" s="1548"/>
      <c r="W97" s="1548"/>
      <c r="X97" s="1548"/>
      <c r="Y97" s="1548"/>
      <c r="Z97" s="1548"/>
      <c r="AA97" s="286"/>
      <c r="AB97" s="857">
        <v>1.2</v>
      </c>
      <c r="AC97" s="858" t="s">
        <v>1689</v>
      </c>
      <c r="AD97" s="859" t="s">
        <v>1178</v>
      </c>
      <c r="AE97" s="695">
        <f>_xlfn.SUMIFS('Топливо 4.4'!AH$27:AH$275,'Топливо 4.4'!$F$27:$F$275,$F97,'Топливо 4.4'!$G$27:$G$275,$G97)</f>
        <v>2526</v>
      </c>
      <c r="AF97" s="695">
        <f>_xlfn.SUMIFS('Топливо 4.4'!AI$27:AI$275,'Топливо 4.4'!$F$27:$F$275,$F97,'Топливо 4.4'!$G$27:$G$275,$G97)</f>
        <v>3971.15</v>
      </c>
      <c r="AG97" s="695">
        <f>_xlfn.SUMIFS('Топливо 4.4'!AJ$27:AJ$275,'Топливо 4.4'!$F$27:$F$275,$F97,'Топливо 4.4'!$G$27:$G$275,$G97)</f>
        <v>2853.98814247972</v>
      </c>
      <c r="AH97" s="695">
        <f>AG97-AF97</f>
        <v>-1117.16185752028</v>
      </c>
      <c r="AI97" s="695">
        <f>_xlfn.SUMIFS('Топливо 4.4'!AK$27:AK$275,'Топливо 4.4'!$F$27:$F$275,$F97,'Топливо 4.4'!$G$27:$G$275,$G97)</f>
        <v>2957</v>
      </c>
      <c r="AJ97" s="695">
        <f>_xlfn.SUMIFS('Топливо 4.4'!AL$27:AL$275,'Топливо 4.4'!$F$27:$F$275,$F97,'Топливо 4.4'!$G$27:$G$275,$G97)</f>
        <v>4559.01722300141</v>
      </c>
      <c r="AK97" s="695">
        <f>_xlfn.SUMIFS('Топливо 4.4'!CT$27:CT$275,'Топливо 4.4'!$F$27:$F$275,$F97,'Топливо 4.4'!$G$27:$G$275,$G97)</f>
        <v>3292.57555763218</v>
      </c>
      <c r="AL97" s="695">
        <f>IF(AI97=0,0,(AK97-AI97)/AI97*100)</f>
        <v>11.3485139544193</v>
      </c>
      <c r="AM97" s="1897"/>
      <c r="AN97" s="1897"/>
      <c r="AO97" s="1897"/>
      <c r="AP97" s="286"/>
      <c r="AQ97" s="1659"/>
      <c r="AR97" s="309" t="s">
        <v>1678</v>
      </c>
      <c r="AS97" s="1506"/>
      <c r="AT97" s="1506"/>
      <c r="AU97" s="1506"/>
      <c r="AV97" s="0" cm="1" t="str">
        <f t="array" ref="AV97:AV97">AV96</f>
        <v>ТЭ.42.31656254.0001</v>
      </c>
      <c r="AW97" s="0" t="s">
        <v>1690</v>
      </c>
      <c r="AX97" s="1751"/>
      <c r="AY97" s="1751"/>
      <c r="AZ97" s="1751"/>
      <c r="BA97" s="1751"/>
      <c r="BB97" s="1751"/>
      <c r="BC97" s="1751"/>
      <c r="BD97" s="1751"/>
      <c r="BE97" s="1751"/>
      <c r="BF97" s="1751"/>
      <c r="BG97" s="1751"/>
      <c r="BH97" s="1751"/>
      <c r="BI97" s="1751"/>
      <c r="BJ97" s="1751"/>
      <c r="BK97" s="1751"/>
      <c r="BL97" s="0" t="s">
        <v>303</v>
      </c>
      <c r="BM97" s="0" t="s">
        <v>1044</v>
      </c>
      <c r="BN97" s="0" t="s">
        <v>1045</v>
      </c>
    </row>
    <row s="1751" customFormat="1" customHeight="1" ht="16.5">
      <c r="A98" s="371"/>
      <c r="B98" s="1548"/>
      <c r="C98" s="1659"/>
      <c r="D98" s="1659"/>
      <c r="E98" s="180">
        <v>17</v>
      </c>
      <c r="F98" s="175" cm="1" t="str">
        <f t="array" ref="F98:F98">OFFSET(G98,-1,-1)</f>
        <v>1</v>
      </c>
      <c r="G98" s="1659"/>
      <c r="H98" s="1659"/>
      <c r="I98" s="1659"/>
      <c r="J98" s="1659"/>
      <c r="K98" s="1659"/>
      <c r="L98" s="1659"/>
      <c r="M98" s="1659"/>
      <c r="N98" s="1659"/>
      <c r="O98" s="1659"/>
      <c r="P98" s="1659"/>
      <c r="Q98" s="1659"/>
      <c r="R98" s="1659"/>
      <c r="S98" s="1659"/>
      <c r="T98" s="753" cm="1" t="str">
        <f t="array" ref="T98:T98">T97</f>
        <v>true</v>
      </c>
      <c r="U98" s="1548"/>
      <c r="V98" s="1548"/>
      <c r="W98" s="1548"/>
      <c r="X98" s="1548"/>
      <c r="Y98" s="1548"/>
      <c r="Z98" s="1548"/>
      <c r="AA98" s="286"/>
      <c r="AB98" s="857">
        <v>1.3</v>
      </c>
      <c r="AC98" s="858" t="s">
        <v>40</v>
      </c>
      <c r="AD98" s="859" t="s">
        <v>1178</v>
      </c>
      <c r="AE98" s="746">
        <f>SUM(AE99:AE100)</f>
        <v>1174</v>
      </c>
      <c r="AF98" s="746">
        <f>SUM(AF99:AF100)</f>
        <v>2292.35</v>
      </c>
      <c r="AG98" s="746">
        <f>SUM(AG99:AG100)</f>
        <v>1348.45</v>
      </c>
      <c r="AH98" s="695">
        <f>AG98-AF98</f>
        <v>-943.9</v>
      </c>
      <c r="AI98" s="746">
        <f>SUM(AI99:AI100)</f>
        <v>1209</v>
      </c>
      <c r="AJ98" s="746">
        <f>SUM(AJ99:AJ100)</f>
        <v>2780</v>
      </c>
      <c r="AK98" s="746">
        <f>SUM(AK99:AK100)</f>
        <v>1610.2404632</v>
      </c>
      <c r="AL98" s="695">
        <f>IF(AI98=0,0,(AK98-AI98)/AI98*100)</f>
        <v>33.1877967907361</v>
      </c>
      <c r="AM98" s="1897"/>
      <c r="AN98" s="1897"/>
      <c r="AO98" s="1897"/>
      <c r="AP98" s="286"/>
      <c r="AQ98" s="1659"/>
      <c r="AR98" s="309" t="s">
        <v>2159</v>
      </c>
      <c r="AS98" s="1506"/>
      <c r="AT98" s="1506"/>
      <c r="AU98" s="1506"/>
      <c r="AV98" s="0" cm="1" t="str">
        <f t="array" ref="AV98:AV98">AV97</f>
        <v>ТЭ.42.31656254.0001</v>
      </c>
      <c r="AW98" s="0" t="s">
        <v>2160</v>
      </c>
      <c r="AX98" s="1751"/>
      <c r="AY98" s="1751"/>
      <c r="AZ98" s="1751"/>
      <c r="BA98" s="1751"/>
      <c r="BB98" s="1751"/>
      <c r="BC98" s="1751"/>
      <c r="BD98" s="1751"/>
      <c r="BE98" s="1751"/>
      <c r="BF98" s="1751"/>
      <c r="BG98" s="1751"/>
      <c r="BH98" s="1751"/>
      <c r="BI98" s="1751"/>
      <c r="BJ98" s="1751"/>
      <c r="BK98" s="1751"/>
      <c r="BL98" s="0" t="s">
        <v>303</v>
      </c>
      <c r="BM98" s="0" t="s">
        <v>1044</v>
      </c>
      <c r="BN98" s="0" t="s">
        <v>1045</v>
      </c>
    </row>
    <row s="1751" customFormat="1" customHeight="1" ht="16.5">
      <c r="A99" s="371"/>
      <c r="B99" s="1548"/>
      <c r="C99" s="1659"/>
      <c r="D99" s="1659"/>
      <c r="E99" s="180">
        <v>17</v>
      </c>
      <c r="F99" s="175" cm="1" t="str">
        <f t="array" ref="F99:F99">OFFSET(G99,-1,-1)</f>
        <v>1</v>
      </c>
      <c r="G99" s="193" t="s">
        <v>1039</v>
      </c>
      <c r="H99" s="1659"/>
      <c r="I99" s="1659"/>
      <c r="J99" s="1659"/>
      <c r="K99" s="1659"/>
      <c r="L99" s="1659"/>
      <c r="M99" s="1659"/>
      <c r="N99" s="1659"/>
      <c r="O99" s="1659"/>
      <c r="P99" s="1659"/>
      <c r="Q99" s="1659"/>
      <c r="R99" s="1659"/>
      <c r="S99" s="1659"/>
      <c r="T99" s="753" cm="1" t="str">
        <f t="array" ref="T99:T99">T98</f>
        <v>true</v>
      </c>
      <c r="U99" s="1548"/>
      <c r="V99" s="1548"/>
      <c r="W99" s="1548"/>
      <c r="X99" s="1548"/>
      <c r="Y99" s="1548"/>
      <c r="Z99" s="1548"/>
      <c r="AA99" s="286"/>
      <c r="AB99" s="857" t="s">
        <v>1360</v>
      </c>
      <c r="AC99" s="456" t="s">
        <v>2161</v>
      </c>
      <c r="AD99" s="859" t="s">
        <v>1178</v>
      </c>
      <c r="AE99" s="695">
        <f>_xlfn.SUMIFS(ЭнергоРесурсы!AF$26:AF$112,ЭнергоРесурсы!$F$26:$F$112,$F99,ЭнергоРесурсы!$G$26:$G$112,$G99)</f>
        <v>1174</v>
      </c>
      <c r="AF99" s="695">
        <f>_xlfn.SUMIFS(ЭнергоРесурсы!AG$26:AG$112,ЭнергоРесурсы!$F$26:$F$112,$F99,ЭнергоРесурсы!$G$26:$G$112,$G99)</f>
        <v>2292.35</v>
      </c>
      <c r="AG99" s="695">
        <f>_xlfn.SUMIFS(ЭнергоРесурсы!AH$26:AH$112,ЭнергоРесурсы!$F$26:$F$112,$F99,ЭнергоРесурсы!$G$26:$G$112,$G99)</f>
        <v>1348.45</v>
      </c>
      <c r="AH99" s="695">
        <f>AG99-AF99</f>
        <v>-943.9</v>
      </c>
      <c r="AI99" s="695">
        <f>_xlfn.SUMIFS(ЭнергоРесурсы!AI$26:AI$112,ЭнергоРесурсы!$F$26:$F$112,$F99,ЭнергоРесурсы!$G$26:$G$112,$G99)</f>
        <v>1209</v>
      </c>
      <c r="AJ99" s="695">
        <f>_xlfn.SUMIFS(ЭнергоРесурсы!AJ$26:AJ$112,ЭнергоРесурсы!$F$26:$F$112,$F99,ЭнергоРесурсы!$G$26:$G$112,$G99)</f>
        <v>2780</v>
      </c>
      <c r="AK99" s="695">
        <f>_xlfn.SUMIFS(ЭнергоРесурсы!BD$26:BD$112,ЭнергоРесурсы!$F$26:$F$112,$F99,ЭнергоРесурсы!$G$26:$G$112,$G99)</f>
        <v>1610.2404632</v>
      </c>
      <c r="AL99" s="695">
        <f>IF(AI99=0,0,(AK99-AI99)/AI99*100)</f>
        <v>33.1877967907361</v>
      </c>
      <c r="AM99" s="1897"/>
      <c r="AN99" s="1897"/>
      <c r="AO99" s="1897"/>
      <c r="AP99" s="286"/>
      <c r="AQ99" s="1659"/>
      <c r="AR99" s="309" t="s">
        <v>2162</v>
      </c>
      <c r="AS99" s="1506"/>
      <c r="AT99" s="1506"/>
      <c r="AU99" s="1506"/>
      <c r="AV99" s="0" cm="1" t="str">
        <f t="array" ref="AV99:AV99">AV98</f>
        <v>ТЭ.42.31656254.0001</v>
      </c>
      <c r="AW99" s="0" t="s">
        <v>2163</v>
      </c>
      <c r="AX99" s="1751"/>
      <c r="AY99" s="1751"/>
      <c r="AZ99" s="1751"/>
      <c r="BA99" s="1751"/>
      <c r="BB99" s="1751"/>
      <c r="BC99" s="1751"/>
      <c r="BD99" s="1751"/>
      <c r="BE99" s="1751"/>
      <c r="BF99" s="1751"/>
      <c r="BG99" s="1751"/>
      <c r="BH99" s="1751"/>
      <c r="BI99" s="1751"/>
      <c r="BJ99" s="1751"/>
      <c r="BK99" s="1751"/>
      <c r="BL99" s="0" t="s">
        <v>303</v>
      </c>
      <c r="BM99" s="0" t="s">
        <v>1044</v>
      </c>
      <c r="BN99" s="0" t="s">
        <v>1045</v>
      </c>
    </row>
    <row s="1751" customFormat="1" customHeight="1" ht="16.5">
      <c r="A100" s="371"/>
      <c r="B100" s="1548"/>
      <c r="C100" s="1659"/>
      <c r="D100" s="1659"/>
      <c r="E100" s="180">
        <v>17</v>
      </c>
      <c r="F100" s="175" cm="1" t="str">
        <f t="array" ref="F100:F100">OFFSET(G100,-1,-1)</f>
        <v>1</v>
      </c>
      <c r="G100" s="193" t="s">
        <v>1088</v>
      </c>
      <c r="H100" s="1659"/>
      <c r="I100" s="1659"/>
      <c r="J100" s="1659"/>
      <c r="K100" s="1659"/>
      <c r="L100" s="1659"/>
      <c r="M100" s="1659"/>
      <c r="N100" s="1659"/>
      <c r="O100" s="1659"/>
      <c r="P100" s="1659"/>
      <c r="Q100" s="1659"/>
      <c r="R100" s="1659"/>
      <c r="S100" s="1659"/>
      <c r="T100" s="753" cm="1" t="str">
        <f t="array" ref="T100:T100">T99</f>
        <v>true</v>
      </c>
      <c r="U100" s="1548"/>
      <c r="V100" s="1548"/>
      <c r="W100" s="1548"/>
      <c r="X100" s="1548"/>
      <c r="Y100" s="1548"/>
      <c r="Z100" s="1548"/>
      <c r="AA100" s="286"/>
      <c r="AB100" s="857" t="s">
        <v>1366</v>
      </c>
      <c r="AC100" s="456" t="s">
        <v>2164</v>
      </c>
      <c r="AD100" s="859" t="s">
        <v>1178</v>
      </c>
      <c r="AE100" s="695">
        <f>_xlfn.SUMIFS(ЭнергоРесурсы!AF$26:AF$112,ЭнергоРесурсы!$F$26:$F$112,$F100,ЭнергоРесурсы!$G$26:$G$112,$G100)</f>
        <v>0</v>
      </c>
      <c r="AF100" s="695">
        <f>_xlfn.SUMIFS(ЭнергоРесурсы!AG$26:AG$112,ЭнергоРесурсы!$F$26:$F$112,$F100,ЭнергоРесурсы!$G$26:$G$112,$G100)</f>
        <v>0</v>
      </c>
      <c r="AG100" s="695">
        <f>_xlfn.SUMIFS(ЭнергоРесурсы!AH$26:AH$112,ЭнергоРесурсы!$F$26:$F$112,$F100,ЭнергоРесурсы!$G$26:$G$112,$G100)</f>
        <v>0</v>
      </c>
      <c r="AH100" s="695">
        <f>AG100-AF100</f>
        <v>0</v>
      </c>
      <c r="AI100" s="695">
        <f>_xlfn.SUMIFS(ЭнергоРесурсы!AI$26:AI$112,ЭнергоРесурсы!$F$26:$F$112,$F100,ЭнергоРесурсы!$G$26:$G$112,$G100)</f>
        <v>0</v>
      </c>
      <c r="AJ100" s="695">
        <f>_xlfn.SUMIFS(ЭнергоРесурсы!AJ$26:AJ$112,ЭнергоРесурсы!$F$26:$F$112,$F100,ЭнергоРесурсы!$G$26:$G$112,$G100)</f>
        <v>0</v>
      </c>
      <c r="AK100" s="695">
        <f>_xlfn.SUMIFS(ЭнергоРесурсы!BD$26:BD$112,ЭнергоРесурсы!$F$26:$F$112,$F100,ЭнергоРесурсы!$G$26:$G$112,$G100)</f>
        <v>0</v>
      </c>
      <c r="AL100" s="695">
        <f>IF(AI100=0,0,(AK100-AI100)/AI100*100)</f>
        <v>0</v>
      </c>
      <c r="AM100" s="1897"/>
      <c r="AN100" s="1897"/>
      <c r="AO100" s="1897"/>
      <c r="AP100" s="286"/>
      <c r="AQ100" s="1659"/>
      <c r="AR100" s="309" t="s">
        <v>2165</v>
      </c>
      <c r="AS100" s="1506"/>
      <c r="AT100" s="1506"/>
      <c r="AU100" s="1506"/>
      <c r="AV100" s="0" cm="1" t="str">
        <f t="array" ref="AV100:AV100">AV99</f>
        <v>ТЭ.42.31656254.0001</v>
      </c>
      <c r="AW100" s="0" t="s">
        <v>1615</v>
      </c>
      <c r="AX100" s="1751"/>
      <c r="AY100" s="1751"/>
      <c r="AZ100" s="1751"/>
      <c r="BA100" s="1751"/>
      <c r="BB100" s="1751"/>
      <c r="BC100" s="1751"/>
      <c r="BD100" s="1751"/>
      <c r="BE100" s="1751"/>
      <c r="BF100" s="1751"/>
      <c r="BG100" s="1751"/>
      <c r="BH100" s="1751"/>
      <c r="BI100" s="1751"/>
      <c r="BJ100" s="1751"/>
      <c r="BK100" s="1751"/>
      <c r="BL100" s="0" t="s">
        <v>303</v>
      </c>
      <c r="BM100" s="0" t="s">
        <v>1044</v>
      </c>
      <c r="BN100" s="0" t="s">
        <v>1045</v>
      </c>
    </row>
    <row s="1751" customFormat="1" customHeight="1" ht="16.5">
      <c r="A101" s="371"/>
      <c r="B101" s="1548"/>
      <c r="C101" s="1659"/>
      <c r="D101" s="1659"/>
      <c r="E101" s="180">
        <v>17</v>
      </c>
      <c r="F101" s="175" cm="1" t="str">
        <f t="array" ref="F101:F101">OFFSET(G101,-1,-1)</f>
        <v>1</v>
      </c>
      <c r="G101" s="193" t="s">
        <v>1136</v>
      </c>
      <c r="H101" s="1659"/>
      <c r="I101" s="1659"/>
      <c r="J101" s="1659"/>
      <c r="K101" s="1659"/>
      <c r="L101" s="1659"/>
      <c r="M101" s="1659"/>
      <c r="N101" s="1659"/>
      <c r="O101" s="1659"/>
      <c r="P101" s="1659"/>
      <c r="Q101" s="1659"/>
      <c r="R101" s="1659"/>
      <c r="S101" s="1659"/>
      <c r="T101" s="753" cm="1" t="str">
        <f t="array" ref="T101:T101">T100</f>
        <v>true</v>
      </c>
      <c r="U101" s="1548"/>
      <c r="V101" s="1548"/>
      <c r="W101" s="1548"/>
      <c r="X101" s="1548"/>
      <c r="Y101" s="1548"/>
      <c r="Z101" s="1548"/>
      <c r="AA101" s="286"/>
      <c r="AB101" s="857">
        <v>1.4</v>
      </c>
      <c r="AC101" s="858" t="s">
        <v>1137</v>
      </c>
      <c r="AD101" s="859" t="s">
        <v>1178</v>
      </c>
      <c r="AE101" s="761">
        <f>_xlfn.SUMIFS('ХВС, ТН'!AF$26:AF$53,'ХВС, ТН'!$F$26:$F$53,$F101,'ХВС, ТН'!$G$26:$G$53,$G101)</f>
        <v>0</v>
      </c>
      <c r="AF101" s="761">
        <f>_xlfn.SUMIFS('ХВС, ТН'!AG$26:AG$53,'ХВС, ТН'!$F$26:$F$53,$F101,'ХВС, ТН'!$G$26:$G$53,$G101)</f>
        <v>0</v>
      </c>
      <c r="AG101" s="761">
        <f>_xlfn.SUMIFS('ХВС, ТН'!AH$26:AH$53,'ХВС, ТН'!$F$26:$F$53,$F101,'ХВС, ТН'!$G$26:$G$53,$G101)</f>
        <v>0</v>
      </c>
      <c r="AH101" s="695">
        <f>AG101-AF101</f>
        <v>0</v>
      </c>
      <c r="AI101" s="761">
        <f>_xlfn.SUMIFS('ХВС, ТН'!AI$26:AI$53,'ХВС, ТН'!$F$26:$F$53,$F101,'ХВС, ТН'!$G$26:$G$53,$G101)</f>
        <v>0</v>
      </c>
      <c r="AJ101" s="761">
        <f>_xlfn.SUMIFS('ХВС, ТН'!AJ$26:AJ$53,'ХВС, ТН'!$F$26:$F$53,$F101,'ХВС, ТН'!$G$26:$G$53,$G101)</f>
        <v>0</v>
      </c>
      <c r="AK101" s="761">
        <f>_xlfn.SUMIFS('ХВС, ТН'!BD$26:BD$53,'ХВС, ТН'!$F$26:$F$53,$F101,'ХВС, ТН'!$G$26:$G$53,$G101)</f>
        <v>0</v>
      </c>
      <c r="AL101" s="695">
        <f>IF(AI101=0,0,(AK101-AI101)/AI101*100)</f>
        <v>0</v>
      </c>
      <c r="AM101" s="1897"/>
      <c r="AN101" s="1897"/>
      <c r="AO101" s="1897"/>
      <c r="AP101" s="286"/>
      <c r="AQ101" s="1659"/>
      <c r="AR101" s="309" t="s">
        <v>1695</v>
      </c>
      <c r="AS101" s="1506"/>
      <c r="AT101" s="1506"/>
      <c r="AU101" s="1506"/>
      <c r="AV101" s="0" cm="1" t="str">
        <f t="array" ref="AV101:AV101">AV100</f>
        <v>ТЭ.42.31656254.0001</v>
      </c>
      <c r="AW101" s="0" t="s">
        <v>1139</v>
      </c>
      <c r="AX101" s="1751"/>
      <c r="AY101" s="1751"/>
      <c r="AZ101" s="1751"/>
      <c r="BA101" s="1751"/>
      <c r="BB101" s="1751"/>
      <c r="BC101" s="1751"/>
      <c r="BD101" s="1751"/>
      <c r="BE101" s="1751"/>
      <c r="BF101" s="1751"/>
      <c r="BG101" s="1751"/>
      <c r="BH101" s="1751"/>
      <c r="BI101" s="1751"/>
      <c r="BJ101" s="1751"/>
      <c r="BK101" s="1751"/>
      <c r="BL101" s="0" t="s">
        <v>303</v>
      </c>
      <c r="BM101" s="0" t="s">
        <v>1044</v>
      </c>
      <c r="BN101" s="0" t="s">
        <v>1045</v>
      </c>
    </row>
    <row s="1751" customFormat="1" customHeight="1" ht="16.5">
      <c r="A102" s="371"/>
      <c r="B102" s="1548"/>
      <c r="C102" s="1659"/>
      <c r="D102" s="1659"/>
      <c r="E102" s="180">
        <v>17</v>
      </c>
      <c r="F102" s="175" cm="1" t="str">
        <f t="array" ref="F102:F102">OFFSET(G102,-1,-1)</f>
        <v>1</v>
      </c>
      <c r="G102" s="193" t="s">
        <v>1154</v>
      </c>
      <c r="H102" s="1659"/>
      <c r="I102" s="1659"/>
      <c r="J102" s="1659"/>
      <c r="K102" s="1659"/>
      <c r="L102" s="1659"/>
      <c r="M102" s="1659"/>
      <c r="N102" s="1659"/>
      <c r="O102" s="1659"/>
      <c r="P102" s="1659"/>
      <c r="Q102" s="1659"/>
      <c r="R102" s="1659"/>
      <c r="S102" s="1659"/>
      <c r="T102" s="753" cm="1" t="str">
        <f t="array" ref="T102:T102">T101</f>
        <v>true</v>
      </c>
      <c r="U102" s="1548"/>
      <c r="V102" s="1548"/>
      <c r="W102" s="1548"/>
      <c r="X102" s="1548"/>
      <c r="Y102" s="1548"/>
      <c r="Z102" s="1548"/>
      <c r="AA102" s="286"/>
      <c r="AB102" s="857">
        <v>1.5</v>
      </c>
      <c r="AC102" s="858" t="s">
        <v>1155</v>
      </c>
      <c r="AD102" s="859" t="s">
        <v>1178</v>
      </c>
      <c r="AE102" s="761">
        <f>_xlfn.SUMIFS('ХВС, ТН'!AF$26:AF$53,'ХВС, ТН'!$F$26:$F$53,$F102,'ХВС, ТН'!$G$26:$G$53,$G102)</f>
        <v>0</v>
      </c>
      <c r="AF102" s="761">
        <f>_xlfn.SUMIFS('ХВС, ТН'!AG$26:AG$53,'ХВС, ТН'!$F$26:$F$53,$F102,'ХВС, ТН'!$G$26:$G$53,$G102)</f>
        <v>0</v>
      </c>
      <c r="AG102" s="761">
        <f>_xlfn.SUMIFS('ХВС, ТН'!AH$26:AH$53,'ХВС, ТН'!$F$26:$F$53,$F102,'ХВС, ТН'!$G$26:$G$53,$G102)</f>
        <v>0</v>
      </c>
      <c r="AH102" s="695">
        <f>AG102-AF102</f>
        <v>0</v>
      </c>
      <c r="AI102" s="761">
        <f>_xlfn.SUMIFS('ХВС, ТН'!AI$26:AI$53,'ХВС, ТН'!$F$26:$F$53,$F102,'ХВС, ТН'!$G$26:$G$53,$G102)</f>
        <v>0</v>
      </c>
      <c r="AJ102" s="761">
        <f>_xlfn.SUMIFS('ХВС, ТН'!AJ$26:AJ$53,'ХВС, ТН'!$F$26:$F$53,$F102,'ХВС, ТН'!$G$26:$G$53,$G102)</f>
        <v>0</v>
      </c>
      <c r="AK102" s="761">
        <f>_xlfn.SUMIFS('ХВС, ТН'!BD$26:BD$53,'ХВС, ТН'!$F$26:$F$53,$F102,'ХВС, ТН'!$G$26:$G$53,$G102)</f>
        <v>0</v>
      </c>
      <c r="AL102" s="695">
        <f>IF(AI102=0,0,(AK102-AI102)/AI102*100)</f>
        <v>0</v>
      </c>
      <c r="AM102" s="1897"/>
      <c r="AN102" s="1897"/>
      <c r="AO102" s="1897"/>
      <c r="AP102" s="286"/>
      <c r="AQ102" s="1659"/>
      <c r="AR102" s="309" t="s">
        <v>1696</v>
      </c>
      <c r="AS102" s="1506"/>
      <c r="AT102" s="1506"/>
      <c r="AU102" s="1506"/>
      <c r="AV102" s="0" cm="1" t="str">
        <f t="array" ref="AV102:AV102">AV101</f>
        <v>ТЭ.42.31656254.0001</v>
      </c>
      <c r="AW102" s="0" t="s">
        <v>1157</v>
      </c>
      <c r="AX102" s="1751"/>
      <c r="AY102" s="1751"/>
      <c r="AZ102" s="1751"/>
      <c r="BA102" s="1751"/>
      <c r="BB102" s="1751"/>
      <c r="BC102" s="1751"/>
      <c r="BD102" s="1751"/>
      <c r="BE102" s="1751"/>
      <c r="BF102" s="1751"/>
      <c r="BG102" s="1751"/>
      <c r="BH102" s="1751"/>
      <c r="BI102" s="1751"/>
      <c r="BJ102" s="1751"/>
      <c r="BK102" s="1751"/>
      <c r="BL102" s="0" t="s">
        <v>303</v>
      </c>
      <c r="BM102" s="0" t="s">
        <v>1044</v>
      </c>
      <c r="BN102" s="0" t="s">
        <v>1045</v>
      </c>
    </row>
    <row s="1751" customFormat="1" customHeight="1" ht="16.5">
      <c r="A103" s="371"/>
      <c r="B103" s="1548"/>
      <c r="C103" s="1659"/>
      <c r="D103" s="1659"/>
      <c r="E103" s="180">
        <v>17</v>
      </c>
      <c r="F103" s="175" cm="1" t="str">
        <f t="array" ref="F103:F103">OFFSET(G103,-1,-1)</f>
        <v>1</v>
      </c>
      <c r="G103" s="193" t="s">
        <v>1309</v>
      </c>
      <c r="H103" s="1659"/>
      <c r="I103" s="1659"/>
      <c r="J103" s="1659"/>
      <c r="K103" s="1659"/>
      <c r="L103" s="1659"/>
      <c r="M103" s="1659"/>
      <c r="N103" s="1659"/>
      <c r="O103" s="1659"/>
      <c r="P103" s="1659"/>
      <c r="Q103" s="1659"/>
      <c r="R103" s="1659"/>
      <c r="S103" s="1659"/>
      <c r="T103" s="753" cm="1" t="str">
        <f t="array" ref="T103:T103">T102</f>
        <v>true</v>
      </c>
      <c r="U103" s="1548"/>
      <c r="V103" s="1548"/>
      <c r="W103" s="1548"/>
      <c r="X103" s="1548"/>
      <c r="Y103" s="1548"/>
      <c r="Z103" s="1548"/>
      <c r="AA103" s="286"/>
      <c r="AB103" s="857">
        <v>1.6</v>
      </c>
      <c r="AC103" s="858" t="s">
        <v>1660</v>
      </c>
      <c r="AD103" s="859" t="s">
        <v>1178</v>
      </c>
      <c r="AE103" s="746">
        <f>_xlfn.SUMIFS(Амортизация!AE$26:AE$225,Амортизация!$F$26:$F$225,$F103,Амортизация!$G$26:$G$225,$G103)</f>
        <v>324</v>
      </c>
      <c r="AF103" s="746">
        <f>_xlfn.SUMIFS(Амортизация!AF$26:AF$225,Амортизация!$F$26:$F$225,$F103,Амортизация!$G$26:$G$225,$G103)</f>
        <v>781.8</v>
      </c>
      <c r="AG103" s="746">
        <f>_xlfn.SUMIFS(Амортизация!AG$26:AG$225,Амортизация!$F$26:$F$225,$F103,Амортизация!$G$26:$G$225,$G103)</f>
        <v>324.19</v>
      </c>
      <c r="AH103" s="695">
        <f>AG103-AF103</f>
        <v>-457.61</v>
      </c>
      <c r="AI103" s="746">
        <f>_xlfn.SUMIFS(Амортизация!AH$26:AH$225,Амортизация!$F$26:$F$225,$F103,Амортизация!$G$26:$G$225,$G103)</f>
        <v>611</v>
      </c>
      <c r="AJ103" s="746">
        <f>_xlfn.SUMIFS(Амортизация!AI$26:AI$225,Амортизация!$F$26:$F$225,$F103,Амортизация!$G$26:$G$225,$G103)</f>
        <v>848</v>
      </c>
      <c r="AK103" s="746">
        <f>_xlfn.SUMIFS(Амортизация!BC$26:BC$225,Амортизация!$F$26:$F$225,$F103,Амортизация!$G$26:$G$225,$G103)</f>
        <v>588.45</v>
      </c>
      <c r="AL103" s="695">
        <f>IF(AI103=0,0,(AK103-AI103)/AI103*100)</f>
        <v>-3.69067103109656</v>
      </c>
      <c r="AM103" s="1897"/>
      <c r="AN103" s="1897"/>
      <c r="AO103" s="1897"/>
      <c r="AP103" s="286"/>
      <c r="AQ103" s="1659"/>
      <c r="AR103" s="309" t="s">
        <v>1661</v>
      </c>
      <c r="AS103" s="1506"/>
      <c r="AT103" s="1506"/>
      <c r="AU103" s="1506"/>
      <c r="AV103" s="0" cm="1" t="str">
        <f t="array" ref="AV103:AV103">AV102</f>
        <v>ТЭ.42.31656254.0001</v>
      </c>
      <c r="AW103" s="1751"/>
      <c r="AX103" s="1751"/>
      <c r="AY103" s="1751"/>
      <c r="AZ103" s="1751"/>
      <c r="BA103" s="1751"/>
      <c r="BB103" s="1751"/>
      <c r="BC103" s="1751"/>
      <c r="BD103" s="1751"/>
      <c r="BE103" s="1751"/>
      <c r="BF103" s="1751"/>
      <c r="BG103" s="1751"/>
      <c r="BH103" s="1751"/>
      <c r="BI103" s="1751"/>
      <c r="BJ103" s="1751"/>
      <c r="BK103" s="0" t="s">
        <v>219</v>
      </c>
      <c r="BL103" s="0" t="s">
        <v>303</v>
      </c>
      <c r="BM103" s="0" t="s">
        <v>1663</v>
      </c>
      <c r="BN103" s="0" t="s">
        <v>1660</v>
      </c>
    </row>
    <row s="1751" customFormat="1" customHeight="1" ht="16.5">
      <c r="A104" s="371"/>
      <c r="B104" s="1548"/>
      <c r="C104" s="1659"/>
      <c r="D104" s="1659"/>
      <c r="E104" s="180">
        <v>17</v>
      </c>
      <c r="F104" s="175" cm="1" t="str">
        <f t="array" ref="F104:F104">OFFSET(G104,-1,-1)</f>
        <v>1</v>
      </c>
      <c r="G104" s="193" t="s">
        <v>49</v>
      </c>
      <c r="H104" s="1659"/>
      <c r="I104" s="1659"/>
      <c r="J104" s="1659"/>
      <c r="K104" s="1659"/>
      <c r="L104" s="1659"/>
      <c r="M104" s="1659"/>
      <c r="N104" s="1659"/>
      <c r="O104" s="1659"/>
      <c r="P104" s="1659"/>
      <c r="Q104" s="1659"/>
      <c r="R104" s="1659"/>
      <c r="S104" s="1659"/>
      <c r="T104" s="753" cm="1" t="str">
        <f t="array" ref="T104:T104">T103</f>
        <v>true</v>
      </c>
      <c r="U104" s="1548"/>
      <c r="V104" s="1548"/>
      <c r="W104" s="1548"/>
      <c r="X104" s="1548"/>
      <c r="Y104" s="1548"/>
      <c r="Z104" s="1548"/>
      <c r="AA104" s="286"/>
      <c r="AB104" s="857">
        <v>1.7</v>
      </c>
      <c r="AC104" s="858" t="s">
        <v>2166</v>
      </c>
      <c r="AD104" s="859" t="s">
        <v>1178</v>
      </c>
      <c r="AE104" s="695">
        <f>_xlfn.SUMIFS(ФОТ!AE$26:AE$80,ФОТ!$F$26:$F$80,$F104,ФОТ!$G$26:$G$80,$G104)</f>
        <v>3628</v>
      </c>
      <c r="AF104" s="695">
        <f>_xlfn.SUMIFS(ФОТ!AF$26:AF$80,ФОТ!$F$26:$F$80,$F104,ФОТ!$G$26:$G$80,$G104)</f>
        <v>4760</v>
      </c>
      <c r="AG104" s="695">
        <f>_xlfn.SUMIFS(ФОТ!AG$26:AG$80,ФОТ!$F$26:$F$80,$F104,ФОТ!$G$26:$G$80,$G104)</f>
        <v>3628</v>
      </c>
      <c r="AH104" s="695">
        <f>AG104-AF104</f>
        <v>-1132</v>
      </c>
      <c r="AI104" s="695">
        <f>_xlfn.SUMIFS(ФОТ!AH$26:AH$80,ФОТ!$F$26:$F$80,$F104,ФОТ!$G$26:$G$80,$G104)</f>
        <v>3747</v>
      </c>
      <c r="AJ104" s="695">
        <f>_xlfn.SUMIFS(ФОТ!AI$26:AI$80,ФОТ!$F$26:$F$80,$F104,ФОТ!$G$26:$G$80,$G104)</f>
        <v>5148</v>
      </c>
      <c r="AK104" s="695">
        <f>_xlfn.SUMIFS(ФОТ!AJ$26:AJ$80,ФОТ!$F$26:$F$80,$F104,ФОТ!$G$26:$G$80,$G104)</f>
        <v>3895</v>
      </c>
      <c r="AL104" s="695">
        <f>IF(AI104=0,0,(AK104-AI104)/AI104*100)</f>
        <v>3.94982652788898</v>
      </c>
      <c r="AM104" s="1897"/>
      <c r="AN104" s="1897"/>
      <c r="AO104" s="1897"/>
      <c r="AP104" s="286"/>
      <c r="AQ104" s="1659"/>
      <c r="AR104" s="309" t="s">
        <v>1560</v>
      </c>
      <c r="AS104" s="1506"/>
      <c r="AT104" s="1506"/>
      <c r="AU104" s="1506"/>
      <c r="AV104" s="0" cm="1" t="str">
        <f t="array" ref="AV104:AV104">AV103</f>
        <v>ТЭ.42.31656254.0001</v>
      </c>
      <c r="AW104" s="1751"/>
      <c r="AX104" s="1751"/>
      <c r="AY104" s="1751"/>
      <c r="AZ104" s="1751"/>
      <c r="BA104" s="1751"/>
      <c r="BB104" s="1751"/>
      <c r="BC104" s="1751"/>
      <c r="BD104" s="1751"/>
      <c r="BE104" s="1751"/>
      <c r="BF104" s="1751"/>
      <c r="BG104" s="1751"/>
      <c r="BH104" s="1751"/>
      <c r="BI104" s="1751"/>
      <c r="BJ104" s="1751"/>
      <c r="BK104" s="0" t="s">
        <v>255</v>
      </c>
      <c r="BL104" s="0" t="s">
        <v>303</v>
      </c>
      <c r="BM104" s="0" t="s">
        <v>1427</v>
      </c>
      <c r="BN104" s="0" t="s">
        <v>1428</v>
      </c>
    </row>
    <row s="1751" customFormat="1" customHeight="1" ht="16.5">
      <c r="A105" s="371"/>
      <c r="B105" s="1548"/>
      <c r="C105" s="1659"/>
      <c r="D105" s="1659"/>
      <c r="E105" s="180">
        <v>17</v>
      </c>
      <c r="F105" s="175" cm="1" t="str">
        <f t="array" ref="F105:F105">OFFSET(G105,-1,-1)</f>
        <v>1</v>
      </c>
      <c r="G105" s="1659"/>
      <c r="H105" s="1659"/>
      <c r="I105" s="1659"/>
      <c r="J105" s="1659"/>
      <c r="K105" s="1659"/>
      <c r="L105" s="1659"/>
      <c r="M105" s="1659"/>
      <c r="N105" s="1659"/>
      <c r="O105" s="1659"/>
      <c r="P105" s="1659"/>
      <c r="Q105" s="1659"/>
      <c r="R105" s="1659"/>
      <c r="S105" s="1659"/>
      <c r="T105" s="753" cm="1" t="str">
        <f t="array" ref="T105:T105">T104</f>
        <v>true</v>
      </c>
      <c r="U105" s="1548"/>
      <c r="V105" s="1548"/>
      <c r="W105" s="1548"/>
      <c r="X105" s="1548"/>
      <c r="Y105" s="1548"/>
      <c r="Z105" s="1548"/>
      <c r="AA105" s="286"/>
      <c r="AB105" s="857">
        <v>1.8</v>
      </c>
      <c r="AC105" s="858" t="s">
        <v>1647</v>
      </c>
      <c r="AD105" s="859" t="s">
        <v>1178</v>
      </c>
      <c r="AE105" s="2356"/>
      <c r="AF105" s="2356"/>
      <c r="AG105" s="2356"/>
      <c r="AH105" s="695">
        <f>AG105-AF105</f>
        <v>0</v>
      </c>
      <c r="AI105" s="2356"/>
      <c r="AJ105" s="749"/>
      <c r="AK105" s="749"/>
      <c r="AL105" s="695">
        <f>IF(AI105=0,0,(AK105-AI105)/AI105*100)</f>
        <v>0</v>
      </c>
      <c r="AM105" s="1897"/>
      <c r="AN105" s="1897"/>
      <c r="AO105" s="1897"/>
      <c r="AP105" s="286"/>
      <c r="AQ105" s="1659"/>
      <c r="AR105" s="309" t="s">
        <v>1648</v>
      </c>
      <c r="AS105" s="1506"/>
      <c r="AT105" s="1506"/>
      <c r="AU105" s="1513" t="s">
        <v>1648</v>
      </c>
      <c r="AV105" s="0" cm="1" t="str">
        <f t="array" ref="AV105:AV105">AV104</f>
        <v>ТЭ.42.31656254.0001</v>
      </c>
      <c r="AW105" s="1751"/>
      <c r="AX105" s="1751"/>
      <c r="AY105" s="1751"/>
      <c r="AZ105" s="1751"/>
      <c r="BA105" s="1751"/>
      <c r="BB105" s="1751"/>
      <c r="BC105" s="1751"/>
      <c r="BD105" s="1751"/>
      <c r="BE105" s="1751"/>
      <c r="BF105" s="1751"/>
      <c r="BG105" s="1751"/>
      <c r="BH105" s="1751"/>
      <c r="BI105" s="1751"/>
      <c r="BJ105" s="1751"/>
      <c r="BK105" s="0" t="s">
        <v>449</v>
      </c>
      <c r="BL105" s="0" t="s">
        <v>303</v>
      </c>
      <c r="BM105" s="0" t="s">
        <v>1650</v>
      </c>
      <c r="BN105" s="0" t="s">
        <v>1651</v>
      </c>
    </row>
    <row s="1751" customFormat="1" customHeight="1" ht="16.5">
      <c r="A106" s="371"/>
      <c r="B106" s="1548"/>
      <c r="C106" s="1659"/>
      <c r="D106" s="1659"/>
      <c r="E106" s="180">
        <v>17</v>
      </c>
      <c r="F106" s="175" cm="1" t="str">
        <f t="array" ref="F106:F106">OFFSET(G106,-1,-1)</f>
        <v>1</v>
      </c>
      <c r="G106" s="1659"/>
      <c r="H106" s="1659"/>
      <c r="I106" s="1659"/>
      <c r="J106" s="1659"/>
      <c r="K106" s="1659"/>
      <c r="L106" s="1659"/>
      <c r="M106" s="1659"/>
      <c r="N106" s="1659"/>
      <c r="O106" s="1659"/>
      <c r="P106" s="1659"/>
      <c r="Q106" s="1659"/>
      <c r="R106" s="1659"/>
      <c r="S106" s="1659"/>
      <c r="T106" s="753" cm="1" t="str">
        <f t="array" ref="T106:T106">T105</f>
        <v>true</v>
      </c>
      <c r="U106" s="1548"/>
      <c r="V106" s="1548"/>
      <c r="W106" s="1548"/>
      <c r="X106" s="1548"/>
      <c r="Y106" s="1548"/>
      <c r="Z106" s="1548"/>
      <c r="AA106" s="286"/>
      <c r="AB106" s="857" t="s">
        <v>2167</v>
      </c>
      <c r="AC106" s="456" t="s">
        <v>2168</v>
      </c>
      <c r="AD106" s="859" t="s">
        <v>495</v>
      </c>
      <c r="AE106" s="2356"/>
      <c r="AF106" s="2356"/>
      <c r="AG106" s="2356"/>
      <c r="AH106" s="695">
        <f>AG106-AF106</f>
        <v>0</v>
      </c>
      <c r="AI106" s="2356"/>
      <c r="AJ106" s="749"/>
      <c r="AK106" s="749"/>
      <c r="AL106" s="695">
        <f>IF(AI106=0,0,(AK106-AI106)/AI106*100)</f>
        <v>0</v>
      </c>
      <c r="AM106" s="1897"/>
      <c r="AN106" s="1897"/>
      <c r="AO106" s="1897"/>
      <c r="AP106" s="286"/>
      <c r="AQ106" s="1659"/>
      <c r="AR106" s="309" t="s">
        <v>1644</v>
      </c>
      <c r="AS106" s="1506"/>
      <c r="AT106" s="1506"/>
      <c r="AU106" s="1513" t="s">
        <v>1654</v>
      </c>
      <c r="AV106" s="0" cm="1" t="str">
        <f t="array" ref="AV106:AV106">AV105</f>
        <v>ТЭ.42.31656254.0001</v>
      </c>
      <c r="AW106" s="1751"/>
      <c r="AX106" s="1751"/>
      <c r="AY106" s="1751"/>
      <c r="AZ106" s="1751"/>
      <c r="BA106" s="1751"/>
      <c r="BB106" s="1751"/>
      <c r="BC106" s="1751"/>
      <c r="BD106" s="1751"/>
      <c r="BE106" s="1751"/>
      <c r="BF106" s="1751"/>
      <c r="BG106" s="1751"/>
      <c r="BH106" s="1751"/>
      <c r="BI106" s="1751"/>
      <c r="BJ106" s="1751"/>
      <c r="BK106" s="0" t="s">
        <v>883</v>
      </c>
      <c r="BL106" s="0" t="s">
        <v>303</v>
      </c>
      <c r="BM106" s="0" t="s">
        <v>2169</v>
      </c>
      <c r="BN106" s="0" t="s">
        <v>2170</v>
      </c>
    </row>
    <row s="1751" customFormat="1" customHeight="1" ht="16.5">
      <c r="A107" s="371"/>
      <c r="B107" s="1548"/>
      <c r="C107" s="1659"/>
      <c r="D107" s="1659"/>
      <c r="E107" s="180">
        <v>17</v>
      </c>
      <c r="F107" s="175" cm="1" t="str">
        <f t="array" ref="F107:F107">OFFSET(G107,-1,-1)</f>
        <v>1</v>
      </c>
      <c r="G107" s="1659"/>
      <c r="H107" s="1659"/>
      <c r="I107" s="1659"/>
      <c r="J107" s="1659"/>
      <c r="K107" s="1659"/>
      <c r="L107" s="1659"/>
      <c r="M107" s="1659"/>
      <c r="N107" s="1659"/>
      <c r="O107" s="1659"/>
      <c r="P107" s="1659"/>
      <c r="Q107" s="1659"/>
      <c r="R107" s="1659"/>
      <c r="S107" s="1659"/>
      <c r="T107" s="753" cm="1" t="str">
        <f t="array" ref="T107:T107">T106</f>
        <v>true</v>
      </c>
      <c r="U107" s="1548"/>
      <c r="V107" s="1548"/>
      <c r="W107" s="1548"/>
      <c r="X107" s="1548"/>
      <c r="Y107" s="1548"/>
      <c r="Z107" s="1548"/>
      <c r="AA107" s="286"/>
      <c r="AB107" s="857">
        <v>1.9</v>
      </c>
      <c r="AC107" s="858" t="s">
        <v>2171</v>
      </c>
      <c r="AD107" s="859" t="s">
        <v>1178</v>
      </c>
      <c r="AE107" s="2356"/>
      <c r="AF107" s="2356"/>
      <c r="AG107" s="2356"/>
      <c r="AH107" s="695">
        <f>AG107-AF107</f>
        <v>0</v>
      </c>
      <c r="AI107" s="2356"/>
      <c r="AJ107" s="749"/>
      <c r="AK107" s="749"/>
      <c r="AL107" s="695">
        <f>IF(AI107=0,0,(AK107-AI107)/AI107*100)</f>
        <v>0</v>
      </c>
      <c r="AM107" s="1897"/>
      <c r="AN107" s="1897"/>
      <c r="AO107" s="1897"/>
      <c r="AP107" s="286"/>
      <c r="AQ107" s="1659"/>
      <c r="AR107" s="309" t="s">
        <v>2172</v>
      </c>
      <c r="AS107" s="1506"/>
      <c r="AT107" s="1512" t="s">
        <v>1558</v>
      </c>
      <c r="AU107" s="1506"/>
      <c r="AV107" s="0" cm="1" t="str">
        <f t="array" ref="AV107:AV107">AV106</f>
        <v>ТЭ.42.31656254.0001</v>
      </c>
      <c r="AW107" s="1751"/>
      <c r="AX107" s="1751"/>
      <c r="AY107" s="1751"/>
      <c r="AZ107" s="1751"/>
      <c r="BA107" s="1751"/>
      <c r="BB107" s="1751"/>
      <c r="BC107" s="1751"/>
      <c r="BD107" s="1751"/>
      <c r="BE107" s="1751"/>
      <c r="BF107" s="1751"/>
      <c r="BG107" s="1751"/>
      <c r="BH107" s="1751"/>
      <c r="BI107" s="1751"/>
      <c r="BJ107" s="1751"/>
      <c r="BK107" s="0" t="s">
        <v>886</v>
      </c>
      <c r="BL107" s="0" t="s">
        <v>303</v>
      </c>
      <c r="BM107" s="0" t="s">
        <v>2173</v>
      </c>
      <c r="BN107" s="0" t="s">
        <v>2174</v>
      </c>
    </row>
    <row s="1751" customFormat="1" customHeight="1" ht="33.75">
      <c r="A108" s="371"/>
      <c r="B108" s="1548"/>
      <c r="C108" s="1659"/>
      <c r="D108" s="1659"/>
      <c r="E108" s="180">
        <v>35</v>
      </c>
      <c r="F108" s="175" cm="1" t="str">
        <f t="array" ref="F108:F108">OFFSET(G108,-1,-1)</f>
        <v>1</v>
      </c>
      <c r="G108" s="193" t="s">
        <v>1386</v>
      </c>
      <c r="H108" s="1659"/>
      <c r="I108" s="1659"/>
      <c r="J108" s="1659"/>
      <c r="K108" s="1659"/>
      <c r="L108" s="1659"/>
      <c r="M108" s="1659"/>
      <c r="N108" s="1659"/>
      <c r="O108" s="1659"/>
      <c r="P108" s="1659"/>
      <c r="Q108" s="1659"/>
      <c r="R108" s="1659"/>
      <c r="S108" s="1659"/>
      <c r="T108" s="753" cm="1" t="str">
        <f t="array" ref="T108:T108">T107</f>
        <v>true</v>
      </c>
      <c r="U108" s="1548"/>
      <c r="V108" s="1548"/>
      <c r="W108" s="1548"/>
      <c r="X108" s="1548"/>
      <c r="Y108" s="1548"/>
      <c r="Z108" s="1548"/>
      <c r="AA108" s="286"/>
      <c r="AB108" s="857" t="s">
        <v>2175</v>
      </c>
      <c r="AC108" s="858" t="s">
        <v>2176</v>
      </c>
      <c r="AD108" s="859" t="s">
        <v>1178</v>
      </c>
      <c r="AE108" s="746">
        <f>_xlfn.SUMIFS('Покупка услуг'!AF$26:AF$65,'Покупка услуг'!$F$26:$F$65,$F108,'Покупка услуг'!$G$26:$G$65,$G108)</f>
        <v>0</v>
      </c>
      <c r="AF108" s="746">
        <f>_xlfn.SUMIFS('Покупка услуг'!AG$26:AG$65,'Покупка услуг'!$F$26:$F$65,$F108,'Покупка услуг'!$G$26:$G$65,$G108)</f>
        <v>0</v>
      </c>
      <c r="AG108" s="746">
        <f>_xlfn.SUMIFS('Покупка услуг'!AH$26:AH$65,'Покупка услуг'!$F$26:$F$65,$F108,'Покупка услуг'!$G$26:$G$65,$G108)</f>
        <v>0</v>
      </c>
      <c r="AH108" s="695">
        <f>AG108-AF108</f>
        <v>0</v>
      </c>
      <c r="AI108" s="746">
        <f>_xlfn.SUMIFS('Покупка услуг'!AI$26:AI$65,'Покупка услуг'!$F$26:$F$65,$F108,'Покупка услуг'!$G$26:$G$65,$G108)</f>
        <v>0</v>
      </c>
      <c r="AJ108" s="746">
        <f>_xlfn.SUMIFS('Покупка услуг'!AJ$26:AJ$65,'Покупка услуг'!$F$26:$F$65,$F108,'Покупка услуг'!$G$26:$G$65,$G108)</f>
        <v>0</v>
      </c>
      <c r="AK108" s="746">
        <f>_xlfn.SUMIFS('Покупка услуг'!BD$26:BD$65,'Покупка услуг'!$F$26:$F$65,$F108,'Покупка услуг'!$G$26:$G$65,$G108)</f>
        <v>0</v>
      </c>
      <c r="AL108" s="695">
        <f>IF(AI108=0,0,(AK108-AI108)/AI108*100)</f>
        <v>0</v>
      </c>
      <c r="AM108" s="1897"/>
      <c r="AN108" s="1897"/>
      <c r="AO108" s="1897"/>
      <c r="AP108" s="286"/>
      <c r="AQ108" s="1659"/>
      <c r="AR108" s="309" t="s">
        <v>2177</v>
      </c>
      <c r="AS108" s="1506"/>
      <c r="AT108" s="1506"/>
      <c r="AU108" s="1506"/>
      <c r="AV108" s="0" cm="1" t="str">
        <f t="array" ref="AV108:AV108">AV107</f>
        <v>ТЭ.42.31656254.0001</v>
      </c>
      <c r="AW108" s="1751"/>
      <c r="AX108" s="0" t="s">
        <v>1634</v>
      </c>
      <c r="AY108" s="1751"/>
      <c r="AZ108" s="1751"/>
      <c r="BA108" s="1751"/>
      <c r="BB108" s="1751"/>
      <c r="BC108" s="1751"/>
      <c r="BD108" s="1751"/>
      <c r="BE108" s="1751"/>
      <c r="BF108" s="1751"/>
      <c r="BG108" s="1751"/>
      <c r="BH108" s="1751"/>
      <c r="BI108" s="1751"/>
      <c r="BJ108" s="1751"/>
      <c r="BK108" s="1751"/>
      <c r="BL108" s="0" t="s">
        <v>303</v>
      </c>
      <c r="BM108" s="0" t="s">
        <v>1044</v>
      </c>
      <c r="BN108" s="0" t="s">
        <v>1045</v>
      </c>
    </row>
    <row s="1751" customFormat="1" customHeight="1" ht="33.75">
      <c r="A109" s="371"/>
      <c r="B109" s="1548"/>
      <c r="C109" s="1659"/>
      <c r="D109" s="1659"/>
      <c r="E109" s="180">
        <v>35</v>
      </c>
      <c r="F109" s="175" cm="1" t="str">
        <f t="array" ref="F109:F109">OFFSET(G109,-1,-1)</f>
        <v>1</v>
      </c>
      <c r="G109" s="1659"/>
      <c r="H109" s="1659"/>
      <c r="I109" s="1659"/>
      <c r="J109" s="1659"/>
      <c r="K109" s="1659"/>
      <c r="L109" s="1659"/>
      <c r="M109" s="1659"/>
      <c r="N109" s="1659"/>
      <c r="O109" s="1659"/>
      <c r="P109" s="1659"/>
      <c r="Q109" s="1659"/>
      <c r="R109" s="1659"/>
      <c r="S109" s="1659"/>
      <c r="T109" s="753" cm="1" t="str">
        <f t="array" ref="T109:T109">T108</f>
        <v>true</v>
      </c>
      <c r="U109" s="1548"/>
      <c r="V109" s="1548"/>
      <c r="W109" s="1548"/>
      <c r="X109" s="1548"/>
      <c r="Y109" s="1548"/>
      <c r="Z109" s="1548"/>
      <c r="AA109" s="286"/>
      <c r="AB109" s="857">
        <v>1.11</v>
      </c>
      <c r="AC109" s="858" t="s">
        <v>2178</v>
      </c>
      <c r="AD109" s="859" t="s">
        <v>1178</v>
      </c>
      <c r="AE109" s="2356"/>
      <c r="AF109" s="2356"/>
      <c r="AG109" s="2356"/>
      <c r="AH109" s="695">
        <f>AG109-AF109</f>
        <v>0</v>
      </c>
      <c r="AI109" s="2356"/>
      <c r="AJ109" s="749"/>
      <c r="AK109" s="749"/>
      <c r="AL109" s="695">
        <f>IF(AI109=0,0,(AK109-AI109)/AI109*100)</f>
        <v>0</v>
      </c>
      <c r="AM109" s="1897"/>
      <c r="AN109" s="1897"/>
      <c r="AO109" s="1897"/>
      <c r="AP109" s="286"/>
      <c r="AQ109" s="1659"/>
      <c r="AR109" s="309" t="s">
        <v>2179</v>
      </c>
      <c r="AS109" s="1506"/>
      <c r="AT109" s="1512" t="s">
        <v>1563</v>
      </c>
      <c r="AU109" s="1506"/>
      <c r="AV109" s="0" cm="1" t="str">
        <f t="array" ref="AV109:AV109">AV108</f>
        <v>ТЭ.42.31656254.0001</v>
      </c>
      <c r="AW109" s="1751"/>
      <c r="AX109" s="0" t="s">
        <v>1565</v>
      </c>
      <c r="AY109" s="0" t="s">
        <v>2180</v>
      </c>
      <c r="AZ109" s="1751"/>
      <c r="BA109" s="1751"/>
      <c r="BB109" s="1751"/>
      <c r="BC109" s="1751"/>
      <c r="BD109" s="1751"/>
      <c r="BE109" s="1751"/>
      <c r="BF109" s="1751"/>
      <c r="BG109" s="1751"/>
      <c r="BH109" s="1751"/>
      <c r="BI109" s="1751"/>
      <c r="BJ109" s="1751"/>
      <c r="BK109" s="1751"/>
      <c r="BL109" s="0" t="s">
        <v>303</v>
      </c>
      <c r="BM109" s="0" t="s">
        <v>1044</v>
      </c>
      <c r="BN109" s="0" t="s">
        <v>1045</v>
      </c>
    </row>
    <row s="1751" customFormat="1" customHeight="1" ht="53.25">
      <c r="A110" s="371"/>
      <c r="B110" s="1548"/>
      <c r="C110" s="1659"/>
      <c r="D110" s="1659"/>
      <c r="E110" s="180">
        <v>55</v>
      </c>
      <c r="F110" s="175" cm="1" t="str">
        <f t="array" ref="F110:F110">OFFSET(G110,-1,-1)</f>
        <v>1</v>
      </c>
      <c r="G110" s="1659"/>
      <c r="H110" s="1659"/>
      <c r="I110" s="1659"/>
      <c r="J110" s="1659"/>
      <c r="K110" s="1659"/>
      <c r="L110" s="1659"/>
      <c r="M110" s="1659"/>
      <c r="N110" s="1659"/>
      <c r="O110" s="1659"/>
      <c r="P110" s="1659"/>
      <c r="Q110" s="1659"/>
      <c r="R110" s="1659"/>
      <c r="S110" s="1659"/>
      <c r="T110" s="753" cm="1" t="str">
        <f t="array" ref="T110:T110">T109</f>
        <v>true</v>
      </c>
      <c r="U110" s="1548"/>
      <c r="V110" s="1548"/>
      <c r="W110" s="1548"/>
      <c r="X110" s="1548"/>
      <c r="Y110" s="1548"/>
      <c r="Z110" s="1548"/>
      <c r="AA110" s="286"/>
      <c r="AB110" s="857">
        <v>1.12</v>
      </c>
      <c r="AC110" s="858" t="s">
        <v>2181</v>
      </c>
      <c r="AD110" s="859" t="s">
        <v>1178</v>
      </c>
      <c r="AE110" s="2356"/>
      <c r="AF110" s="2356"/>
      <c r="AG110" s="2356"/>
      <c r="AH110" s="695">
        <f>AG110-AF110</f>
        <v>0</v>
      </c>
      <c r="AI110" s="2356"/>
      <c r="AJ110" s="749"/>
      <c r="AK110" s="749"/>
      <c r="AL110" s="695">
        <f>IF(AI110=0,0,(AK110-AI110)/AI110*100)</f>
        <v>0</v>
      </c>
      <c r="AM110" s="1897"/>
      <c r="AN110" s="1897"/>
      <c r="AO110" s="1897"/>
      <c r="AP110" s="286"/>
      <c r="AQ110" s="1659"/>
      <c r="AR110" s="309" t="s">
        <v>2182</v>
      </c>
      <c r="AS110" s="1506"/>
      <c r="AT110" s="1512" t="s">
        <v>1563</v>
      </c>
      <c r="AU110" s="1506"/>
      <c r="AV110" s="0" cm="1" t="str">
        <f t="array" ref="AV110:AV110">AV109</f>
        <v>ТЭ.42.31656254.0001</v>
      </c>
      <c r="AW110" s="0" t="s">
        <v>2183</v>
      </c>
      <c r="AX110" s="1751"/>
      <c r="AY110" s="0" t="s">
        <v>2180</v>
      </c>
      <c r="AZ110" s="1751"/>
      <c r="BA110" s="1751"/>
      <c r="BB110" s="1751"/>
      <c r="BC110" s="1751"/>
      <c r="BD110" s="1751"/>
      <c r="BE110" s="1751"/>
      <c r="BF110" s="1751"/>
      <c r="BG110" s="1751"/>
      <c r="BH110" s="1751"/>
      <c r="BI110" s="1751"/>
      <c r="BJ110" s="1751"/>
      <c r="BK110" s="1751"/>
      <c r="BL110" s="0" t="s">
        <v>303</v>
      </c>
      <c r="BM110" s="0" t="s">
        <v>1044</v>
      </c>
      <c r="BN110" s="0" t="s">
        <v>1045</v>
      </c>
    </row>
    <row s="1751" customFormat="1" customHeight="1" ht="39">
      <c r="A111" s="371"/>
      <c r="B111" s="1548"/>
      <c r="C111" s="1659"/>
      <c r="D111" s="1659"/>
      <c r="E111" s="180">
        <v>40</v>
      </c>
      <c r="F111" s="175" cm="1" t="str">
        <f t="array" ref="F111:F111">OFFSET(G111,-1,-1)</f>
        <v>1</v>
      </c>
      <c r="G111" s="193" t="s">
        <v>1478</v>
      </c>
      <c r="H111" s="1659"/>
      <c r="I111" s="1659"/>
      <c r="J111" s="1659"/>
      <c r="K111" s="1659"/>
      <c r="L111" s="1659"/>
      <c r="M111" s="1659"/>
      <c r="N111" s="1659"/>
      <c r="O111" s="1659"/>
      <c r="P111" s="1659"/>
      <c r="Q111" s="1659"/>
      <c r="R111" s="1659"/>
      <c r="S111" s="1659"/>
      <c r="T111" s="753" cm="1" t="str">
        <f t="array" ref="T111:T111">T110</f>
        <v>true</v>
      </c>
      <c r="U111" s="1548"/>
      <c r="V111" s="1548"/>
      <c r="W111" s="1548"/>
      <c r="X111" s="1548"/>
      <c r="Y111" s="1548"/>
      <c r="Z111" s="1548"/>
      <c r="AA111" s="286"/>
      <c r="AB111" s="857">
        <v>1.13</v>
      </c>
      <c r="AC111" s="858" t="s">
        <v>1642</v>
      </c>
      <c r="AD111" s="859" t="s">
        <v>1178</v>
      </c>
      <c r="AE111" s="746">
        <f>_xlfn.SUMIFS(Налоги!AE$26:AE$55,Налоги!$F$26:$F$55,$F111,Налоги!$G$26:$G$55,$G111)</f>
        <v>0</v>
      </c>
      <c r="AF111" s="746">
        <f>_xlfn.SUMIFS(Налоги!AF$26:AF$55,Налоги!$F$26:$F$55,$F111,Налоги!$G$26:$G$55,$G111)</f>
        <v>0</v>
      </c>
      <c r="AG111" s="746">
        <f>_xlfn.SUMIFS(Налоги!AG$26:AG$55,Налоги!$F$26:$F$55,$F111,Налоги!$G$26:$G$55,$G111)</f>
        <v>0</v>
      </c>
      <c r="AH111" s="695">
        <f>AG111-AF111</f>
        <v>0</v>
      </c>
      <c r="AI111" s="746">
        <f>_xlfn.SUMIFS(Налоги!AH$26:AH$55,Налоги!$F$26:$F$55,$F111,Налоги!$G$26:$G$55,$G111)</f>
        <v>0</v>
      </c>
      <c r="AJ111" s="746">
        <f>_xlfn.SUMIFS(Налоги!AI$26:AI$55,Налоги!$F$26:$F$55,$F111,Налоги!$G$26:$G$55,$G111)</f>
        <v>0</v>
      </c>
      <c r="AK111" s="746">
        <f>_xlfn.SUMIFS(Налоги!BC$26:BC$55,Налоги!$F$26:$F$55,$F111,Налоги!$G$26:$G$55,$G111)</f>
        <v>0</v>
      </c>
      <c r="AL111" s="695">
        <f>IF(AI111=0,0,(AK111-AI111)/AI111*100)</f>
        <v>0</v>
      </c>
      <c r="AM111" s="1897"/>
      <c r="AN111" s="1897"/>
      <c r="AO111" s="1897"/>
      <c r="AP111" s="286"/>
      <c r="AQ111" s="1659"/>
      <c r="AR111" s="309" t="s">
        <v>1640</v>
      </c>
      <c r="AS111" s="1506"/>
      <c r="AT111" s="1506"/>
      <c r="AU111" s="1506"/>
      <c r="AV111" s="0" cm="1" t="str">
        <f t="array" ref="AV111:AV111">AV110</f>
        <v>ТЭ.42.31656254.0001</v>
      </c>
      <c r="AW111" s="0" t="s">
        <v>1481</v>
      </c>
      <c r="AX111" s="1751"/>
      <c r="AY111" s="1751"/>
      <c r="AZ111" s="1751"/>
      <c r="BA111" s="1751"/>
      <c r="BB111" s="1751"/>
      <c r="BC111" s="1751"/>
      <c r="BD111" s="1751"/>
      <c r="BE111" s="1751"/>
      <c r="BF111" s="1751"/>
      <c r="BG111" s="1751"/>
      <c r="BH111" s="1751"/>
      <c r="BI111" s="1751"/>
      <c r="BJ111" s="1751"/>
      <c r="BK111" s="1751"/>
      <c r="BL111" s="0" t="s">
        <v>303</v>
      </c>
      <c r="BM111" s="0" t="s">
        <v>2184</v>
      </c>
      <c r="BN111" s="0" t="s">
        <v>2185</v>
      </c>
    </row>
    <row s="1751" customFormat="1" customHeight="1" ht="16.5">
      <c r="A112" s="371"/>
      <c r="B112" s="1548"/>
      <c r="C112" s="1659"/>
      <c r="D112" s="1659"/>
      <c r="E112" s="180">
        <v>17</v>
      </c>
      <c r="F112" s="175" cm="1" t="str">
        <f t="array" ref="F112:F112">OFFSET(G112,-1,-1)</f>
        <v>1</v>
      </c>
      <c r="G112" s="193" t="s">
        <v>1331</v>
      </c>
      <c r="H112" s="1659"/>
      <c r="I112" s="1659"/>
      <c r="J112" s="1659"/>
      <c r="K112" s="1659"/>
      <c r="L112" s="1659"/>
      <c r="M112" s="1659"/>
      <c r="N112" s="1659"/>
      <c r="O112" s="1659"/>
      <c r="P112" s="1659"/>
      <c r="Q112" s="1659"/>
      <c r="R112" s="1659"/>
      <c r="S112" s="1659"/>
      <c r="T112" s="753" cm="1" t="str">
        <f t="array" ref="T112:T112">T111</f>
        <v>true</v>
      </c>
      <c r="U112" s="1548"/>
      <c r="V112" s="1548"/>
      <c r="W112" s="1548"/>
      <c r="X112" s="1548"/>
      <c r="Y112" s="1548"/>
      <c r="Z112" s="1548"/>
      <c r="AA112" s="286"/>
      <c r="AB112" s="857">
        <v>1.14</v>
      </c>
      <c r="AC112" s="858" t="s">
        <v>2186</v>
      </c>
      <c r="AD112" s="859" t="s">
        <v>1178</v>
      </c>
      <c r="AE112" s="695">
        <f>_xlfn.SUMIFS(Аренда!AE$26:AE$51,Аренда!$F$26:$F$51,$F112,Аренда!$G$26:$G$51,$G112)</f>
        <v>0</v>
      </c>
      <c r="AF112" s="695">
        <f>_xlfn.SUMIFS(Аренда!AF$26:AF$51,Аренда!$F$26:$F$51,$F112,Аренда!$G$26:$G$51,$G112)</f>
        <v>0</v>
      </c>
      <c r="AG112" s="695">
        <f>_xlfn.SUMIFS(Аренда!AG$26:AG$51,Аренда!$F$26:$F$51,$F112,Аренда!$G$26:$G$51,$G112)</f>
        <v>0</v>
      </c>
      <c r="AH112" s="695">
        <f>AG112-AF112</f>
        <v>0</v>
      </c>
      <c r="AI112" s="695">
        <f>_xlfn.SUMIFS(Аренда!AH$26:AH$51,Аренда!$F$26:$F$51,$F112,Аренда!$G$26:$G$51,$G112)</f>
        <v>0</v>
      </c>
      <c r="AJ112" s="695">
        <f>_xlfn.SUMIFS(Аренда!AI$26:AI$51,Аренда!$F$26:$F$51,$F112,Аренда!$G$26:$G$51,$G112)</f>
        <v>0</v>
      </c>
      <c r="AK112" s="695">
        <f>_xlfn.SUMIFS(Аренда!BC$26:BC$51,Аренда!$F$26:$F$51,$F112,Аренда!$G$26:$G$51,$G112)</f>
        <v>0</v>
      </c>
      <c r="AL112" s="695">
        <f>IF(AI112=0,0,(AK112-AI112)/AI112*100)</f>
        <v>0</v>
      </c>
      <c r="AM112" s="1897"/>
      <c r="AN112" s="1897"/>
      <c r="AO112" s="1897"/>
      <c r="AP112" s="286"/>
      <c r="AQ112" s="1659"/>
      <c r="AR112" s="309" t="s">
        <v>2187</v>
      </c>
      <c r="AS112" s="1506"/>
      <c r="AT112" s="1506"/>
      <c r="AU112" s="1506"/>
      <c r="AV112" s="0" cm="1" t="str">
        <f t="array" ref="AV112:AV112">AV111</f>
        <v>ТЭ.42.31656254.0001</v>
      </c>
      <c r="AW112" s="1751"/>
      <c r="AX112" s="0" t="s">
        <v>2188</v>
      </c>
      <c r="AY112" s="1751"/>
      <c r="AZ112" s="1751"/>
      <c r="BA112" s="1751"/>
      <c r="BB112" s="1751"/>
      <c r="BC112" s="1751"/>
      <c r="BD112" s="1751"/>
      <c r="BE112" s="1751"/>
      <c r="BF112" s="1751"/>
      <c r="BG112" s="1751"/>
      <c r="BH112" s="1751"/>
      <c r="BI112" s="1751"/>
      <c r="BJ112" s="1751"/>
      <c r="BK112" s="1751"/>
      <c r="BL112" s="0" t="s">
        <v>303</v>
      </c>
      <c r="BM112" s="0" t="s">
        <v>1333</v>
      </c>
      <c r="BN112" s="0" t="s">
        <v>1334</v>
      </c>
    </row>
    <row s="1751" customFormat="1" customHeight="1" ht="16.5">
      <c r="A113" s="371"/>
      <c r="B113" s="1548"/>
      <c r="C113" s="1659"/>
      <c r="D113" s="1659"/>
      <c r="E113" s="180">
        <v>17</v>
      </c>
      <c r="F113" s="175" cm="1" t="str">
        <f t="array" ref="F113:F113">OFFSET(G113,-1,-1)</f>
        <v>1</v>
      </c>
      <c r="G113" s="1659"/>
      <c r="H113" s="1659"/>
      <c r="I113" s="1659"/>
      <c r="J113" s="1659"/>
      <c r="K113" s="1659"/>
      <c r="L113" s="1659"/>
      <c r="M113" s="1659"/>
      <c r="N113" s="1659"/>
      <c r="O113" s="1659"/>
      <c r="P113" s="1659"/>
      <c r="Q113" s="1659"/>
      <c r="R113" s="1659"/>
      <c r="S113" s="1659"/>
      <c r="T113" s="753" cm="1" t="str">
        <f t="array" ref="T113:T113">T112</f>
        <v>true</v>
      </c>
      <c r="U113" s="1548"/>
      <c r="V113" s="1548"/>
      <c r="W113" s="1548"/>
      <c r="X113" s="1548"/>
      <c r="Y113" s="1548"/>
      <c r="Z113" s="1548"/>
      <c r="AA113" s="286"/>
      <c r="AB113" s="857">
        <v>1.15</v>
      </c>
      <c r="AC113" s="858" t="s">
        <v>1583</v>
      </c>
      <c r="AD113" s="859" t="s">
        <v>1178</v>
      </c>
      <c r="AE113" s="2356"/>
      <c r="AF113" s="2356"/>
      <c r="AG113" s="2356"/>
      <c r="AH113" s="695">
        <f>AG113-AF113</f>
        <v>0</v>
      </c>
      <c r="AI113" s="2356"/>
      <c r="AJ113" s="749"/>
      <c r="AK113" s="749"/>
      <c r="AL113" s="695">
        <f>IF(AI113=0,0,(AK113-AI113)/AI113*100)</f>
        <v>0</v>
      </c>
      <c r="AM113" s="1897"/>
      <c r="AN113" s="1897"/>
      <c r="AO113" s="1897"/>
      <c r="AP113" s="286"/>
      <c r="AQ113" s="1659"/>
      <c r="AR113" s="309" t="s">
        <v>2189</v>
      </c>
      <c r="AS113" s="1506"/>
      <c r="AT113" s="1512" t="s">
        <v>1584</v>
      </c>
      <c r="AU113" s="1506"/>
      <c r="AV113" s="0" cm="1" t="str">
        <f t="array" ref="AV113:AV113">AV112</f>
        <v>ТЭ.42.31656254.0001</v>
      </c>
      <c r="AW113" s="1751"/>
      <c r="AX113" s="1751"/>
      <c r="AY113" s="1751"/>
      <c r="AZ113" s="0" t="s">
        <v>1585</v>
      </c>
      <c r="BA113" s="1751"/>
      <c r="BB113" s="1751"/>
      <c r="BC113" s="1751"/>
      <c r="BD113" s="1751"/>
      <c r="BE113" s="1751"/>
      <c r="BF113" s="1751"/>
      <c r="BG113" s="1751"/>
      <c r="BH113" s="1751"/>
      <c r="BI113" s="1751"/>
      <c r="BJ113" s="1751"/>
      <c r="BK113" s="1751"/>
      <c r="BL113" s="0" t="s">
        <v>303</v>
      </c>
      <c r="BM113" s="0" t="s">
        <v>1044</v>
      </c>
      <c r="BN113" s="0" t="s">
        <v>1045</v>
      </c>
    </row>
    <row s="1751" customFormat="1" customHeight="1" ht="16.5">
      <c r="A114" s="371"/>
      <c r="B114" s="1548"/>
      <c r="C114" s="1659"/>
      <c r="D114" s="1659"/>
      <c r="E114" s="180">
        <v>17</v>
      </c>
      <c r="F114" s="175" cm="1" t="str">
        <f t="array" ref="F114:F114">OFFSET(G114,-1,-1)</f>
        <v>1</v>
      </c>
      <c r="G114" s="1659"/>
      <c r="H114" s="1659"/>
      <c r="I114" s="1659"/>
      <c r="J114" s="1659"/>
      <c r="K114" s="1659"/>
      <c r="L114" s="1659"/>
      <c r="M114" s="1659"/>
      <c r="N114" s="1659"/>
      <c r="O114" s="1659"/>
      <c r="P114" s="1659"/>
      <c r="Q114" s="1659"/>
      <c r="R114" s="1659"/>
      <c r="S114" s="1659"/>
      <c r="T114" s="753" cm="1" t="str">
        <f t="array" ref="T114:T114">T113</f>
        <v>true</v>
      </c>
      <c r="U114" s="1548"/>
      <c r="V114" s="1548"/>
      <c r="W114" s="1548"/>
      <c r="X114" s="1548"/>
      <c r="Y114" s="1548"/>
      <c r="Z114" s="1548"/>
      <c r="AA114" s="286"/>
      <c r="AB114" s="857">
        <v>1.16</v>
      </c>
      <c r="AC114" s="858" t="s">
        <v>1586</v>
      </c>
      <c r="AD114" s="859" t="s">
        <v>1178</v>
      </c>
      <c r="AE114" s="2356"/>
      <c r="AF114" s="2356"/>
      <c r="AG114" s="2356"/>
      <c r="AH114" s="695">
        <f>AG114-AF114</f>
        <v>0</v>
      </c>
      <c r="AI114" s="2356"/>
      <c r="AJ114" s="749"/>
      <c r="AK114" s="749"/>
      <c r="AL114" s="695">
        <f>IF(AI114=0,0,(AK114-AI114)/AI114*100)</f>
        <v>0</v>
      </c>
      <c r="AM114" s="1897"/>
      <c r="AN114" s="1897"/>
      <c r="AO114" s="1897"/>
      <c r="AP114" s="286"/>
      <c r="AQ114" s="1659"/>
      <c r="AR114" s="309" t="s">
        <v>1587</v>
      </c>
      <c r="AS114" s="1506"/>
      <c r="AT114" s="1512" t="s">
        <v>1587</v>
      </c>
      <c r="AU114" s="1506"/>
      <c r="AV114" s="0" cm="1" t="str">
        <f t="array" ref="AV114:AV114">AV113</f>
        <v>ТЭ.42.31656254.0001</v>
      </c>
      <c r="AW114" s="1751"/>
      <c r="AX114" s="1751"/>
      <c r="AY114" s="1751"/>
      <c r="AZ114" s="0" t="s">
        <v>1588</v>
      </c>
      <c r="BA114" s="1751"/>
      <c r="BB114" s="1751"/>
      <c r="BC114" s="1751"/>
      <c r="BD114" s="1751"/>
      <c r="BE114" s="1751"/>
      <c r="BF114" s="1751"/>
      <c r="BG114" s="1751"/>
      <c r="BH114" s="1751"/>
      <c r="BI114" s="1751"/>
      <c r="BJ114" s="1751"/>
      <c r="BK114" s="1751"/>
      <c r="BL114" s="0" t="s">
        <v>303</v>
      </c>
      <c r="BM114" s="0" t="s">
        <v>1044</v>
      </c>
      <c r="BN114" s="0" t="s">
        <v>1045</v>
      </c>
    </row>
    <row s="1751" customFormat="1" customHeight="1" ht="33.75">
      <c r="A115" s="371"/>
      <c r="B115" s="1548"/>
      <c r="C115" s="1659"/>
      <c r="D115" s="1659"/>
      <c r="E115" s="180">
        <v>35</v>
      </c>
      <c r="F115" s="175" cm="1" t="str">
        <f t="array" ref="F115:F115">OFFSET(G115,-1,-1)</f>
        <v>1</v>
      </c>
      <c r="G115" s="193" t="s">
        <v>1487</v>
      </c>
      <c r="H115" s="1659"/>
      <c r="I115" s="1659"/>
      <c r="J115" s="1659"/>
      <c r="K115" s="1659"/>
      <c r="L115" s="1659"/>
      <c r="M115" s="1659"/>
      <c r="N115" s="1659"/>
      <c r="O115" s="1659"/>
      <c r="P115" s="1659"/>
      <c r="Q115" s="1659"/>
      <c r="R115" s="1659"/>
      <c r="S115" s="1659"/>
      <c r="T115" s="753" cm="1" t="str">
        <f t="array" ref="T115:T115">T114</f>
        <v>true</v>
      </c>
      <c r="U115" s="1548"/>
      <c r="V115" s="1548"/>
      <c r="W115" s="1548"/>
      <c r="X115" s="1548"/>
      <c r="Y115" s="1548"/>
      <c r="Z115" s="1548"/>
      <c r="AA115" s="286"/>
      <c r="AB115" s="857">
        <v>1.17</v>
      </c>
      <c r="AC115" s="858" t="s">
        <v>2190</v>
      </c>
      <c r="AD115" s="859" t="s">
        <v>1178</v>
      </c>
      <c r="AE115" s="746">
        <f>_xlfn.SUMIFS(Налоги!AE$26:AE$55,Налоги!$F$26:$F$55,$F115,Налоги!$G$26:$G$55,$G115)</f>
        <v>853</v>
      </c>
      <c r="AF115" s="746">
        <f>_xlfn.SUMIFS(Налоги!AF$26:AF$55,Налоги!$F$26:$F$55,$F115,Налоги!$G$26:$G$55,$G115)</f>
        <v>1452.28</v>
      </c>
      <c r="AG115" s="746">
        <f>_xlfn.SUMIFS(Налоги!AG$26:AG$55,Налоги!$F$26:$F$55,$F115,Налоги!$G$26:$G$55,$G115)</f>
        <v>1101.46</v>
      </c>
      <c r="AH115" s="695">
        <f>AG115-AF115</f>
        <v>-350.82</v>
      </c>
      <c r="AI115" s="746">
        <f>_xlfn.SUMIFS(Налоги!AH$26:AH$55,Налоги!$F$26:$F$55,$F115,Налоги!$G$26:$G$55,$G115)</f>
        <v>1006</v>
      </c>
      <c r="AJ115" s="746">
        <f>_xlfn.SUMIFS(Налоги!AI$26:AI$55,Налоги!$F$26:$F$55,$F115,Налоги!$G$26:$G$55,$G115)</f>
        <v>1570</v>
      </c>
      <c r="AK115" s="746">
        <f>_xlfn.SUMIFS(Налоги!BC$26:BC$55,Налоги!$F$26:$F$55,$F115,Налоги!$G$26:$G$55,$G115)</f>
        <v>1176.29</v>
      </c>
      <c r="AL115" s="695">
        <f>IF(AI115=0,0,(AK115-AI115)/AI115*100)</f>
        <v>16.927435387674</v>
      </c>
      <c r="AM115" s="1897"/>
      <c r="AN115" s="1897"/>
      <c r="AO115" s="1897"/>
      <c r="AP115" s="286"/>
      <c r="AQ115" s="1659"/>
      <c r="AR115" s="309" t="s">
        <v>2191</v>
      </c>
      <c r="AS115" s="1506"/>
      <c r="AT115" s="1506"/>
      <c r="AU115" s="1506"/>
      <c r="AV115" s="2312" cm="1" t="str">
        <f t="array" ref="AV115:AV115">AV114</f>
        <v>ТЭ.42.31656254.0001</v>
      </c>
      <c r="AW115" s="1751"/>
      <c r="AX115" s="1751"/>
      <c r="AY115" s="1751"/>
      <c r="AZ115" s="2312" t="s">
        <v>2192</v>
      </c>
      <c r="BA115" s="1751"/>
      <c r="BB115" s="1751"/>
      <c r="BC115" s="1751"/>
      <c r="BD115" s="1751"/>
      <c r="BE115" s="1751"/>
      <c r="BF115" s="1751"/>
      <c r="BG115" s="1751"/>
      <c r="BH115" s="1751"/>
      <c r="BI115" s="1751"/>
      <c r="BJ115" s="1751"/>
      <c r="BK115" s="1751"/>
      <c r="BL115" s="2312" t="s">
        <v>303</v>
      </c>
      <c r="BM115" s="2312" t="s">
        <v>1044</v>
      </c>
      <c r="BN115" s="2312" t="s">
        <v>1045</v>
      </c>
    </row>
    <row s="1751" customFormat="1" customHeight="1" ht="33.75">
      <c r="A116" s="371"/>
      <c r="B116" s="1548"/>
      <c r="C116" s="1659"/>
      <c r="D116" s="1659"/>
      <c r="E116" s="180">
        <v>35</v>
      </c>
      <c r="F116" s="175" cm="1" t="str">
        <f t="array" ref="F116:F116">OFFSET(G116,-1,-1)</f>
        <v>1</v>
      </c>
      <c r="G116" s="1659"/>
      <c r="H116" s="1659"/>
      <c r="I116" s="1659"/>
      <c r="J116" s="1659"/>
      <c r="K116" s="1659"/>
      <c r="L116" s="1659"/>
      <c r="M116" s="1659"/>
      <c r="N116" s="1659"/>
      <c r="O116" s="1659"/>
      <c r="P116" s="1659"/>
      <c r="Q116" s="1659"/>
      <c r="R116" s="1659"/>
      <c r="S116" s="1659"/>
      <c r="T116" s="753" cm="1" t="str">
        <f t="array" ref="T116:T116">T115</f>
        <v>true</v>
      </c>
      <c r="U116" s="1548"/>
      <c r="V116" s="1548"/>
      <c r="W116" s="1548"/>
      <c r="X116" s="1548"/>
      <c r="Y116" s="1548"/>
      <c r="Z116" s="1548"/>
      <c r="AA116" s="286"/>
      <c r="AB116" s="857">
        <v>1.18</v>
      </c>
      <c r="AC116" s="858" t="s">
        <v>2193</v>
      </c>
      <c r="AD116" s="859" t="s">
        <v>1178</v>
      </c>
      <c r="AE116" s="746">
        <f>SUM(AE117:AE121)</f>
        <v>88</v>
      </c>
      <c r="AF116" s="746">
        <f>SUM(AF117:AF121)</f>
        <v>87.78</v>
      </c>
      <c r="AG116" s="746">
        <f>SUM(AG117:AG121)</f>
        <v>87.78</v>
      </c>
      <c r="AH116" s="695">
        <f>AG116-AF116</f>
        <v>0</v>
      </c>
      <c r="AI116" s="746">
        <f>SUM(AI117:AI121)</f>
        <v>83</v>
      </c>
      <c r="AJ116" s="746">
        <f>SUM(AJ117:AJ121)</f>
        <v>77</v>
      </c>
      <c r="AK116" s="746">
        <f>SUM(AK117:AK121)</f>
        <v>77</v>
      </c>
      <c r="AL116" s="695">
        <f>IF(AI116=0,0,(AK116-AI116)/AI116*100)</f>
        <v>-7.2289156626506</v>
      </c>
      <c r="AM116" s="1897"/>
      <c r="AN116" s="1897"/>
      <c r="AO116" s="1897"/>
      <c r="AP116" s="286"/>
      <c r="AQ116" s="1659"/>
      <c r="AR116" s="309" t="s">
        <v>1509</v>
      </c>
      <c r="AS116" s="1506"/>
      <c r="AT116" s="1506"/>
      <c r="AU116" s="1506"/>
      <c r="AV116" s="2312" cm="1" t="str">
        <f t="array" ref="AV116:AV116">AV115</f>
        <v>ТЭ.42.31656254.0001</v>
      </c>
      <c r="AW116" s="1751"/>
      <c r="AX116" s="1751"/>
      <c r="AY116" s="2312" t="s">
        <v>2194</v>
      </c>
      <c r="AZ116" s="1751"/>
      <c r="BA116" s="1751"/>
      <c r="BB116" s="1751"/>
      <c r="BC116" s="1751"/>
      <c r="BD116" s="1751"/>
      <c r="BE116" s="1751"/>
      <c r="BF116" s="1751"/>
      <c r="BG116" s="1751"/>
      <c r="BH116" s="1751"/>
      <c r="BI116" s="1751"/>
      <c r="BJ116" s="1751"/>
      <c r="BK116" s="1751"/>
      <c r="BL116" s="2312" t="s">
        <v>303</v>
      </c>
      <c r="BM116" s="2312" t="s">
        <v>1044</v>
      </c>
      <c r="BN116" s="2312" t="s">
        <v>1045</v>
      </c>
    </row>
    <row s="1751" customFormat="1" customHeight="1" ht="16.5">
      <c r="A117" s="371"/>
      <c r="B117" s="1548"/>
      <c r="C117" s="1659"/>
      <c r="D117" s="1659"/>
      <c r="E117" s="180">
        <v>17</v>
      </c>
      <c r="F117" s="175" cm="1" t="str">
        <f t="array" ref="F117:F117">OFFSET(G117,-1,-1)</f>
        <v>1</v>
      </c>
      <c r="G117" s="193" t="s">
        <v>1493</v>
      </c>
      <c r="H117" s="1659"/>
      <c r="I117" s="1659"/>
      <c r="J117" s="1659"/>
      <c r="K117" s="1659"/>
      <c r="L117" s="1659"/>
      <c r="M117" s="1659"/>
      <c r="N117" s="1659"/>
      <c r="O117" s="1659"/>
      <c r="P117" s="1659"/>
      <c r="Q117" s="1659"/>
      <c r="R117" s="1659"/>
      <c r="S117" s="1659"/>
      <c r="T117" s="753" cm="1" t="str">
        <f t="array" ref="T117:T117">T116</f>
        <v>true</v>
      </c>
      <c r="U117" s="1548"/>
      <c r="V117" s="1548"/>
      <c r="W117" s="1548"/>
      <c r="X117" s="1548"/>
      <c r="Y117" s="1548"/>
      <c r="Z117" s="1548"/>
      <c r="AA117" s="286"/>
      <c r="AB117" s="857" t="s">
        <v>2195</v>
      </c>
      <c r="AC117" s="858" t="s">
        <v>2196</v>
      </c>
      <c r="AD117" s="859" t="s">
        <v>1178</v>
      </c>
      <c r="AE117" s="746">
        <f>_xlfn.SUMIFS(Налоги!AE$26:AE$55,Налоги!$F$26:$F$55,$F117,Налоги!$H$26:$H$55,$G117)</f>
        <v>88</v>
      </c>
      <c r="AF117" s="746">
        <f>_xlfn.SUMIFS(Налоги!AF$26:AF$55,Налоги!$F$26:$F$55,$F117,Налоги!$H$26:$H$55,$G117)</f>
        <v>87.78</v>
      </c>
      <c r="AG117" s="746">
        <f>_xlfn.SUMIFS(Налоги!AG$26:AG$55,Налоги!$F$26:$F$55,$F117,Налоги!$H$26:$H$55,$G117)</f>
        <v>87.78</v>
      </c>
      <c r="AH117" s="695">
        <f>AG117-AF117</f>
        <v>0</v>
      </c>
      <c r="AI117" s="746">
        <f>_xlfn.SUMIFS(Налоги!AH$26:AH$55,Налоги!$F$26:$F$55,$F117,Налоги!$H$26:$H$55,$G117)</f>
        <v>83</v>
      </c>
      <c r="AJ117" s="746">
        <f>_xlfn.SUMIFS(Налоги!AI$26:AI$55,Налоги!$F$26:$F$55,$F117,Налоги!$H$26:$H$55,$G117)</f>
        <v>77</v>
      </c>
      <c r="AK117" s="746">
        <f>_xlfn.SUMIFS(Налоги!BC$26:BC$55,Налоги!$F$26:$F$55,$F117,Налоги!$H$26:$H$55,$G117)</f>
        <v>77</v>
      </c>
      <c r="AL117" s="695">
        <f>IF(AI117=0,0,(AK117-AI117)/AI117*100)</f>
        <v>-7.2289156626506</v>
      </c>
      <c r="AM117" s="1897"/>
      <c r="AN117" s="1897"/>
      <c r="AO117" s="1897"/>
      <c r="AP117" s="286"/>
      <c r="AQ117" s="1659"/>
      <c r="AR117" s="309" t="s">
        <v>582</v>
      </c>
      <c r="AS117" s="1506"/>
      <c r="AT117" s="1506"/>
      <c r="AU117" s="1506"/>
      <c r="AV117" s="2312" cm="1" t="str">
        <f t="array" ref="AV117:AV117">AV116</f>
        <v>ТЭ.42.31656254.0001</v>
      </c>
      <c r="AW117" s="2312" t="s">
        <v>2197</v>
      </c>
      <c r="AX117" s="1751"/>
      <c r="AY117" s="1751"/>
      <c r="AZ117" s="1751"/>
      <c r="BA117" s="1751"/>
      <c r="BB117" s="1751"/>
      <c r="BC117" s="1751"/>
      <c r="BD117" s="1751"/>
      <c r="BE117" s="1751"/>
      <c r="BF117" s="1751"/>
      <c r="BG117" s="1751"/>
      <c r="BH117" s="1751"/>
      <c r="BI117" s="1751"/>
      <c r="BJ117" s="1751"/>
      <c r="BK117" s="1751"/>
      <c r="BL117" s="2312" t="s">
        <v>303</v>
      </c>
      <c r="BM117" s="2312" t="s">
        <v>2198</v>
      </c>
      <c r="BN117" s="2312" t="s">
        <v>2199</v>
      </c>
    </row>
    <row s="1751" customFormat="1" customHeight="1" ht="16.5">
      <c r="A118" s="371"/>
      <c r="B118" s="1548"/>
      <c r="C118" s="1659"/>
      <c r="D118" s="1659"/>
      <c r="E118" s="180">
        <v>17</v>
      </c>
      <c r="F118" s="175" cm="1" t="str">
        <f t="array" ref="F118:F118">OFFSET(G118,-1,-1)</f>
        <v>1</v>
      </c>
      <c r="G118" s="193" t="s">
        <v>1496</v>
      </c>
      <c r="H118" s="1659"/>
      <c r="I118" s="1659"/>
      <c r="J118" s="1659"/>
      <c r="K118" s="1659"/>
      <c r="L118" s="1659"/>
      <c r="M118" s="1659"/>
      <c r="N118" s="1659"/>
      <c r="O118" s="1659"/>
      <c r="P118" s="1659"/>
      <c r="Q118" s="1659"/>
      <c r="R118" s="1659"/>
      <c r="S118" s="1659"/>
      <c r="T118" s="753" cm="1" t="str">
        <f t="array" ref="T118:T118">T117</f>
        <v>true</v>
      </c>
      <c r="U118" s="1548"/>
      <c r="V118" s="1548"/>
      <c r="W118" s="1548"/>
      <c r="X118" s="1548"/>
      <c r="Y118" s="1548"/>
      <c r="Z118" s="1548"/>
      <c r="AA118" s="286"/>
      <c r="AB118" s="857" t="s">
        <v>2200</v>
      </c>
      <c r="AC118" s="858" t="s">
        <v>1497</v>
      </c>
      <c r="AD118" s="859" t="s">
        <v>1178</v>
      </c>
      <c r="AE118" s="746">
        <f>_xlfn.SUMIFS(Налоги!AE$26:AE$55,Налоги!$F$26:$F$55,$F118,Налоги!$H$26:$H$55,$G118)</f>
        <v>0</v>
      </c>
      <c r="AF118" s="746">
        <f>_xlfn.SUMIFS(Налоги!AF$26:AF$55,Налоги!$F$26:$F$55,$F118,Налоги!$H$26:$H$55,$G118)</f>
        <v>0</v>
      </c>
      <c r="AG118" s="746">
        <f>_xlfn.SUMIFS(Налоги!AG$26:AG$55,Налоги!$F$26:$F$55,$F118,Налоги!$H$26:$H$55,$G118)</f>
        <v>0</v>
      </c>
      <c r="AH118" s="695">
        <f>AG118-AF118</f>
        <v>0</v>
      </c>
      <c r="AI118" s="746">
        <f>_xlfn.SUMIFS(Налоги!AH$26:AH$55,Налоги!$F$26:$F$55,$F118,Налоги!$H$26:$H$55,$G118)</f>
        <v>0</v>
      </c>
      <c r="AJ118" s="746">
        <f>_xlfn.SUMIFS(Налоги!AI$26:AI$55,Налоги!$F$26:$F$55,$F118,Налоги!$H$26:$H$55,$G118)</f>
        <v>0</v>
      </c>
      <c r="AK118" s="746">
        <f>_xlfn.SUMIFS(Налоги!BC$26:BC$55,Налоги!$F$26:$F$55,$F118,Налоги!$H$26:$H$55,$G118)</f>
        <v>0</v>
      </c>
      <c r="AL118" s="695">
        <f>IF(AI118=0,0,(AK118-AI118)/AI118*100)</f>
        <v>0</v>
      </c>
      <c r="AM118" s="1897"/>
      <c r="AN118" s="1897"/>
      <c r="AO118" s="1897"/>
      <c r="AP118" s="286"/>
      <c r="AQ118" s="1659"/>
      <c r="AR118" s="309" t="s">
        <v>1498</v>
      </c>
      <c r="AS118" s="1506"/>
      <c r="AT118" s="1506"/>
      <c r="AU118" s="1506"/>
      <c r="AV118" s="2312" cm="1" t="str">
        <f t="array" ref="AV118:AV118">AV117</f>
        <v>ТЭ.42.31656254.0001</v>
      </c>
      <c r="AW118" s="2312" t="s">
        <v>2201</v>
      </c>
      <c r="AX118" s="1751"/>
      <c r="AY118" s="1751"/>
      <c r="AZ118" s="1751"/>
      <c r="BA118" s="1751"/>
      <c r="BB118" s="1751"/>
      <c r="BC118" s="1751"/>
      <c r="BD118" s="1751"/>
      <c r="BE118" s="1751"/>
      <c r="BF118" s="1751"/>
      <c r="BG118" s="1751"/>
      <c r="BH118" s="1751"/>
      <c r="BI118" s="1751"/>
      <c r="BJ118" s="1751"/>
      <c r="BK118" s="1751"/>
      <c r="BL118" s="2312" t="s">
        <v>303</v>
      </c>
      <c r="BM118" s="2312" t="s">
        <v>2198</v>
      </c>
      <c r="BN118" s="2312" t="s">
        <v>2199</v>
      </c>
    </row>
    <row s="1751" customFormat="1" customHeight="1" ht="16.5">
      <c r="A119" s="371"/>
      <c r="B119" s="1548"/>
      <c r="C119" s="1659"/>
      <c r="D119" s="1659"/>
      <c r="E119" s="180">
        <v>17</v>
      </c>
      <c r="F119" s="175" cm="1" t="str">
        <f t="array" ref="F119:F119">OFFSET(G119,-1,-1)</f>
        <v>1</v>
      </c>
      <c r="G119" s="193" t="s">
        <v>1483</v>
      </c>
      <c r="H119" s="1659"/>
      <c r="I119" s="1659"/>
      <c r="J119" s="1659"/>
      <c r="K119" s="1659"/>
      <c r="L119" s="1659"/>
      <c r="M119" s="1659"/>
      <c r="N119" s="1659"/>
      <c r="O119" s="1659"/>
      <c r="P119" s="1659"/>
      <c r="Q119" s="1659"/>
      <c r="R119" s="1659"/>
      <c r="S119" s="1659"/>
      <c r="T119" s="753" cm="1" t="str">
        <f t="array" ref="T119:T119">T118</f>
        <v>true</v>
      </c>
      <c r="U119" s="1548"/>
      <c r="V119" s="1548"/>
      <c r="W119" s="1548"/>
      <c r="X119" s="1548"/>
      <c r="Y119" s="1548"/>
      <c r="Z119" s="1548"/>
      <c r="AA119" s="286"/>
      <c r="AB119" s="860" t="s">
        <v>2202</v>
      </c>
      <c r="AC119" s="861" t="s">
        <v>1484</v>
      </c>
      <c r="AD119" s="862" t="s">
        <v>1178</v>
      </c>
      <c r="AE119" s="746">
        <f>_xlfn.SUMIFS(Налоги!AE$26:AE$55,Налоги!$F$26:$F$55,$F119,Налоги!$H$26:$H$55,$G119)</f>
        <v>0</v>
      </c>
      <c r="AF119" s="746">
        <f>_xlfn.SUMIFS(Налоги!AF$26:AF$55,Налоги!$F$26:$F$55,$F119,Налоги!$H$26:$H$55,$G119)</f>
        <v>0</v>
      </c>
      <c r="AG119" s="746">
        <f>_xlfn.SUMIFS(Налоги!AG$26:AG$55,Налоги!$F$26:$F$55,$F119,Налоги!$H$26:$H$55,$G119)</f>
        <v>0</v>
      </c>
      <c r="AH119" s="695">
        <f>AG119-AF119</f>
        <v>0</v>
      </c>
      <c r="AI119" s="746">
        <f>_xlfn.SUMIFS(Налоги!AH$26:AH$55,Налоги!$F$26:$F$55,$F119,Налоги!$H$26:$H$55,$G119)</f>
        <v>0</v>
      </c>
      <c r="AJ119" s="746">
        <f>_xlfn.SUMIFS(Налоги!AI$26:AI$55,Налоги!$F$26:$F$55,$F119,Налоги!$H$26:$H$55,$G119)</f>
        <v>0</v>
      </c>
      <c r="AK119" s="746">
        <f>_xlfn.SUMIFS(Налоги!BC$26:BC$55,Налоги!$F$26:$F$55,$F119,Налоги!$H$26:$H$55,$G119)</f>
        <v>0</v>
      </c>
      <c r="AL119" s="695">
        <f>IF(AI119=0,0,(AK119-AI119)/AI119*100)</f>
        <v>0</v>
      </c>
      <c r="AM119" s="1897"/>
      <c r="AN119" s="1897"/>
      <c r="AO119" s="1897"/>
      <c r="AP119" s="286"/>
      <c r="AQ119" s="1659"/>
      <c r="AR119" s="309" t="s">
        <v>2203</v>
      </c>
      <c r="AS119" s="1506"/>
      <c r="AT119" s="1506"/>
      <c r="AU119" s="1506"/>
      <c r="AV119" s="2312" cm="1" t="str">
        <f t="array" ref="AV119:AV119">AV118</f>
        <v>ТЭ.42.31656254.0001</v>
      </c>
      <c r="AW119" s="2312" t="s">
        <v>2204</v>
      </c>
      <c r="AX119" s="1751"/>
      <c r="AY119" s="1751"/>
      <c r="AZ119" s="1751"/>
      <c r="BA119" s="1751"/>
      <c r="BB119" s="1751"/>
      <c r="BC119" s="1751"/>
      <c r="BD119" s="1751"/>
      <c r="BE119" s="1751"/>
      <c r="BF119" s="1751"/>
      <c r="BG119" s="1751"/>
      <c r="BH119" s="1751"/>
      <c r="BI119" s="1751"/>
      <c r="BJ119" s="1751"/>
      <c r="BK119" s="1751"/>
      <c r="BL119" s="2312" t="s">
        <v>303</v>
      </c>
      <c r="BM119" s="2312" t="s">
        <v>2198</v>
      </c>
      <c r="BN119" s="2312" t="s">
        <v>2199</v>
      </c>
    </row>
    <row s="1751" customFormat="1" customHeight="1" ht="16.5">
      <c r="A120" s="371"/>
      <c r="B120" s="1548"/>
      <c r="C120" s="1659"/>
      <c r="D120" s="1659"/>
      <c r="E120" s="180">
        <v>17</v>
      </c>
      <c r="F120" s="175" cm="1" t="str">
        <f t="array" ref="F120:F120">OFFSET(G120,-1,-1)</f>
        <v>1</v>
      </c>
      <c r="G120" s="193" t="s">
        <v>1503</v>
      </c>
      <c r="H120" s="1659"/>
      <c r="I120" s="1659"/>
      <c r="J120" s="1659"/>
      <c r="K120" s="1659"/>
      <c r="L120" s="1659"/>
      <c r="M120" s="1659"/>
      <c r="N120" s="1659"/>
      <c r="O120" s="1659"/>
      <c r="P120" s="1659"/>
      <c r="Q120" s="1659"/>
      <c r="R120" s="1659"/>
      <c r="S120" s="1659"/>
      <c r="T120" s="753" cm="1" t="str">
        <f t="array" ref="T120:T120">T119</f>
        <v>true</v>
      </c>
      <c r="U120" s="1548"/>
      <c r="V120" s="1548"/>
      <c r="W120" s="1548"/>
      <c r="X120" s="1548"/>
      <c r="Y120" s="1548"/>
      <c r="Z120" s="1548"/>
      <c r="AA120" s="286"/>
      <c r="AB120" s="470" t="s">
        <v>2205</v>
      </c>
      <c r="AC120" s="863" t="s">
        <v>1504</v>
      </c>
      <c r="AD120" s="470" t="s">
        <v>1178</v>
      </c>
      <c r="AE120" s="746">
        <f>_xlfn.SUMIFS(Налоги!AE$26:AE$55,Налоги!$F$26:$F$55,$F120,Налоги!$H$26:$H$55,$G120)</f>
        <v>0</v>
      </c>
      <c r="AF120" s="746">
        <f>_xlfn.SUMIFS(Налоги!AF$26:AF$55,Налоги!$F$26:$F$55,$F120,Налоги!$H$26:$H$55,$G120)</f>
        <v>0</v>
      </c>
      <c r="AG120" s="746">
        <f>_xlfn.SUMIFS(Налоги!AG$26:AG$55,Налоги!$F$26:$F$55,$F120,Налоги!$H$26:$H$55,$G120)</f>
        <v>0</v>
      </c>
      <c r="AH120" s="695">
        <f>AG120-AF120</f>
        <v>0</v>
      </c>
      <c r="AI120" s="746">
        <f>_xlfn.SUMIFS(Налоги!AH$26:AH$55,Налоги!$F$26:$F$55,$F120,Налоги!$H$26:$H$55,$G120)</f>
        <v>0</v>
      </c>
      <c r="AJ120" s="746">
        <f>_xlfn.SUMIFS(Налоги!AI$26:AI$55,Налоги!$F$26:$F$55,$F120,Налоги!$H$26:$H$55,$G120)</f>
        <v>0</v>
      </c>
      <c r="AK120" s="746">
        <f>_xlfn.SUMIFS(Налоги!BC$26:BC$55,Налоги!$F$26:$F$55,$F120,Налоги!$H$26:$H$55,$G120)</f>
        <v>0</v>
      </c>
      <c r="AL120" s="695">
        <f>IF(AI120=0,0,(AK120-AI120)/AI120*100)</f>
        <v>0</v>
      </c>
      <c r="AM120" s="1897"/>
      <c r="AN120" s="1897"/>
      <c r="AO120" s="1897"/>
      <c r="AP120" s="286"/>
      <c r="AQ120" s="1659"/>
      <c r="AR120" s="309" t="s">
        <v>1505</v>
      </c>
      <c r="AS120" s="1506"/>
      <c r="AT120" s="1506"/>
      <c r="AU120" s="1506"/>
      <c r="AV120" s="2312" cm="1" t="str">
        <f t="array" ref="AV120:AV120">AV119</f>
        <v>ТЭ.42.31656254.0001</v>
      </c>
      <c r="AW120" s="2312" t="s">
        <v>1506</v>
      </c>
      <c r="AX120" s="1751"/>
      <c r="AY120" s="1751"/>
      <c r="AZ120" s="1751"/>
      <c r="BA120" s="1751"/>
      <c r="BB120" s="1751"/>
      <c r="BC120" s="1751"/>
      <c r="BD120" s="1751"/>
      <c r="BE120" s="1751"/>
      <c r="BF120" s="1751"/>
      <c r="BG120" s="1751"/>
      <c r="BH120" s="1751"/>
      <c r="BI120" s="1751"/>
      <c r="BJ120" s="1751"/>
      <c r="BK120" s="1751"/>
      <c r="BL120" s="2312" t="s">
        <v>303</v>
      </c>
      <c r="BM120" s="2312" t="s">
        <v>2198</v>
      </c>
      <c r="BN120" s="2312" t="s">
        <v>2199</v>
      </c>
    </row>
    <row s="1751" customFormat="1" customHeight="1" ht="16.5">
      <c r="A121" s="371"/>
      <c r="B121" s="1548"/>
      <c r="C121" s="1659"/>
      <c r="D121" s="1659"/>
      <c r="E121" s="180">
        <v>17</v>
      </c>
      <c r="F121" s="175" cm="1" t="str">
        <f t="array" ref="F121:F121">OFFSET(G121,-1,-1)</f>
        <v>1</v>
      </c>
      <c r="G121" s="193" t="s">
        <v>1482</v>
      </c>
      <c r="H121" s="1659"/>
      <c r="I121" s="1659"/>
      <c r="J121" s="1659"/>
      <c r="K121" s="1659"/>
      <c r="L121" s="1659"/>
      <c r="M121" s="1659"/>
      <c r="N121" s="1659"/>
      <c r="O121" s="1659"/>
      <c r="P121" s="1659"/>
      <c r="Q121" s="1659"/>
      <c r="R121" s="1659"/>
      <c r="S121" s="1659"/>
      <c r="T121" s="753" cm="1" t="str">
        <f t="array" ref="T121:T121">T120</f>
        <v>true</v>
      </c>
      <c r="U121" s="1548"/>
      <c r="V121" s="1548"/>
      <c r="W121" s="1548"/>
      <c r="X121" s="1548"/>
      <c r="Y121" s="1548"/>
      <c r="Z121" s="1548"/>
      <c r="AA121" s="286"/>
      <c r="AB121" s="470" t="s">
        <v>2206</v>
      </c>
      <c r="AC121" s="863" t="s">
        <v>2207</v>
      </c>
      <c r="AD121" s="470" t="s">
        <v>1178</v>
      </c>
      <c r="AE121" s="746">
        <f>_xlfn.SUMIFS(Налоги!AE$26:AE$55,Налоги!$F$26:$F$55,$F121,Налоги!$H$26:$H$55,$G121)</f>
        <v>0</v>
      </c>
      <c r="AF121" s="746">
        <f>_xlfn.SUMIFS(Налоги!AF$26:AF$55,Налоги!$F$26:$F$55,$F121,Налоги!$H$26:$H$55,$G121)</f>
        <v>0</v>
      </c>
      <c r="AG121" s="746">
        <f>_xlfn.SUMIFS(Налоги!AG$26:AG$55,Налоги!$F$26:$F$55,$F121,Налоги!$H$26:$H$55,$G121)</f>
        <v>0</v>
      </c>
      <c r="AH121" s="695">
        <f>AG121-AF121</f>
        <v>0</v>
      </c>
      <c r="AI121" s="746">
        <f>_xlfn.SUMIFS(Налоги!AH$26:AH$55,Налоги!$F$26:$F$55,$F121,Налоги!$H$26:$H$55,$G121)</f>
        <v>0</v>
      </c>
      <c r="AJ121" s="746">
        <f>_xlfn.SUMIFS(Налоги!AI$26:AI$55,Налоги!$F$26:$F$55,$F121,Налоги!$H$26:$H$55,$G121)</f>
        <v>0</v>
      </c>
      <c r="AK121" s="746">
        <f>_xlfn.SUMIFS(Налоги!BC$26:BC$55,Налоги!$F$26:$F$55,$F121,Налоги!$H$26:$H$55,$G121)</f>
        <v>0</v>
      </c>
      <c r="AL121" s="695">
        <f>IF(AI121=0,0,(AK121-AI121)/AI121*100)</f>
        <v>0</v>
      </c>
      <c r="AM121" s="1897"/>
      <c r="AN121" s="1897"/>
      <c r="AO121" s="1897"/>
      <c r="AP121" s="286"/>
      <c r="AQ121" s="1659"/>
      <c r="AR121" s="309" t="s">
        <v>2208</v>
      </c>
      <c r="AS121" s="1506"/>
      <c r="AT121" s="1506"/>
      <c r="AU121" s="1506"/>
      <c r="AV121" s="2312" cm="1" t="str">
        <f t="array" ref="AV121:AV121">AV120</f>
        <v>ТЭ.42.31656254.0001</v>
      </c>
      <c r="AW121" s="2312" t="s">
        <v>1508</v>
      </c>
      <c r="AX121" s="1751"/>
      <c r="AY121" s="1751"/>
      <c r="AZ121" s="1751"/>
      <c r="BA121" s="1751"/>
      <c r="BB121" s="1751"/>
      <c r="BC121" s="1751"/>
      <c r="BD121" s="1751"/>
      <c r="BE121" s="1751"/>
      <c r="BF121" s="1751"/>
      <c r="BG121" s="1751"/>
      <c r="BH121" s="1751"/>
      <c r="BI121" s="1751"/>
      <c r="BJ121" s="1751"/>
      <c r="BK121" s="1751"/>
      <c r="BL121" s="2312" t="s">
        <v>303</v>
      </c>
      <c r="BM121" s="2312" t="s">
        <v>2198</v>
      </c>
      <c r="BN121" s="2312" t="s">
        <v>2199</v>
      </c>
    </row>
    <row s="1751" customFormat="1" customHeight="1" ht="16.5">
      <c r="A122" s="371"/>
      <c r="B122" s="1548"/>
      <c r="C122" s="1659"/>
      <c r="D122" s="1659"/>
      <c r="E122" s="180">
        <v>17</v>
      </c>
      <c r="F122" s="175" cm="1" t="str">
        <f t="array" ref="F122:F122">OFFSET(G122,-1,-1)</f>
        <v>1</v>
      </c>
      <c r="G122" s="1659"/>
      <c r="H122" s="1659"/>
      <c r="I122" s="1659"/>
      <c r="J122" s="1659"/>
      <c r="K122" s="1659"/>
      <c r="L122" s="1659"/>
      <c r="M122" s="1659"/>
      <c r="N122" s="1659"/>
      <c r="O122" s="1659"/>
      <c r="P122" s="1659"/>
      <c r="Q122" s="1659"/>
      <c r="R122" s="1659"/>
      <c r="S122" s="1659"/>
      <c r="T122" s="753" cm="1" t="str">
        <f t="array" ref="T122:T122">T121</f>
        <v>true</v>
      </c>
      <c r="U122" s="1548"/>
      <c r="V122" s="1548"/>
      <c r="W122" s="1548"/>
      <c r="X122" s="1548"/>
      <c r="Y122" s="1548"/>
      <c r="Z122" s="1548"/>
      <c r="AA122" s="286"/>
      <c r="AB122" s="738">
        <v>2</v>
      </c>
      <c r="AC122" s="864" t="s">
        <v>2209</v>
      </c>
      <c r="AD122" s="738" t="s">
        <v>1178</v>
      </c>
      <c r="AE122" s="746">
        <f>AE123+AE124+AE125+AE126</f>
        <v>0</v>
      </c>
      <c r="AF122" s="746">
        <f>AF123+AF124+AF125+AF126</f>
        <v>0</v>
      </c>
      <c r="AG122" s="746">
        <f>AG123+AG124+AG125+AG126</f>
        <v>0</v>
      </c>
      <c r="AH122" s="695">
        <f>AG122-AF122</f>
        <v>0</v>
      </c>
      <c r="AI122" s="746">
        <f>AI123+AI124+AI125+AI126</f>
        <v>0</v>
      </c>
      <c r="AJ122" s="746">
        <f>AJ123+AJ124+AJ125+AJ126</f>
        <v>0</v>
      </c>
      <c r="AK122" s="746">
        <f>AK123+AK124+AK125+AK126</f>
        <v>0</v>
      </c>
      <c r="AL122" s="695">
        <f>IF(AI122=0,0,(AK122-AI122)/AI122*100)</f>
        <v>0</v>
      </c>
      <c r="AM122" s="1897"/>
      <c r="AN122" s="1897"/>
      <c r="AO122" s="1897"/>
      <c r="AP122" s="286"/>
      <c r="AQ122" s="1659"/>
      <c r="AR122" s="309" t="s">
        <v>2210</v>
      </c>
      <c r="AS122" s="1506"/>
      <c r="AT122" s="1506"/>
      <c r="AU122" s="1506"/>
      <c r="AV122" s="2312" cm="1" t="str">
        <f t="array" ref="AV122:AV122">AV121</f>
        <v>ТЭ.42.31656254.0001</v>
      </c>
      <c r="AW122" s="1751"/>
      <c r="AX122" s="2312" t="s">
        <v>2211</v>
      </c>
      <c r="AY122" s="1751"/>
      <c r="AZ122" s="1751"/>
      <c r="BA122" s="1751"/>
      <c r="BB122" s="1751"/>
      <c r="BC122" s="1751"/>
      <c r="BD122" s="1751"/>
      <c r="BE122" s="1751"/>
      <c r="BF122" s="1751"/>
      <c r="BG122" s="1751"/>
      <c r="BH122" s="1751"/>
      <c r="BI122" s="1751"/>
      <c r="BJ122" s="1751"/>
      <c r="BK122" s="1751"/>
      <c r="BL122" s="2312" t="s">
        <v>303</v>
      </c>
      <c r="BM122" s="2312" t="s">
        <v>1044</v>
      </c>
      <c r="BN122" s="2312" t="s">
        <v>1045</v>
      </c>
    </row>
    <row s="1751" customFormat="1" customHeight="1" ht="43.5">
      <c r="A123" s="371"/>
      <c r="B123" s="1548"/>
      <c r="C123" s="1659"/>
      <c r="D123" s="1659"/>
      <c r="E123" s="180">
        <v>45</v>
      </c>
      <c r="F123" s="175" cm="1" t="str">
        <f t="array" ref="F123:F123">OFFSET(G123,-1,-1)</f>
        <v>1</v>
      </c>
      <c r="G123" s="1659"/>
      <c r="H123" s="1659"/>
      <c r="I123" s="1659"/>
      <c r="J123" s="1659"/>
      <c r="K123" s="1659"/>
      <c r="L123" s="1659"/>
      <c r="M123" s="1659"/>
      <c r="N123" s="1659"/>
      <c r="O123" s="1659"/>
      <c r="P123" s="1659"/>
      <c r="Q123" s="1659"/>
      <c r="R123" s="1659"/>
      <c r="S123" s="1659"/>
      <c r="T123" s="753" cm="1" t="str">
        <f t="array" ref="T123:T123">T122</f>
        <v>true</v>
      </c>
      <c r="U123" s="1548"/>
      <c r="V123" s="1548"/>
      <c r="W123" s="1548"/>
      <c r="X123" s="1548"/>
      <c r="Y123" s="1548"/>
      <c r="Z123" s="1548"/>
      <c r="AA123" s="286"/>
      <c r="AB123" s="470">
        <v>2.1</v>
      </c>
      <c r="AC123" s="760" t="s">
        <v>2212</v>
      </c>
      <c r="AD123" s="470" t="s">
        <v>1178</v>
      </c>
      <c r="AE123" s="2356"/>
      <c r="AF123" s="2356"/>
      <c r="AG123" s="2356"/>
      <c r="AH123" s="695">
        <f>AG123-AF123</f>
        <v>0</v>
      </c>
      <c r="AI123" s="2356"/>
      <c r="AJ123" s="749"/>
      <c r="AK123" s="749"/>
      <c r="AL123" s="695">
        <f>IF(AI123=0,0,(AK123-AI123)/AI123*100)</f>
        <v>0</v>
      </c>
      <c r="AM123" s="1897"/>
      <c r="AN123" s="1897"/>
      <c r="AO123" s="1897"/>
      <c r="AP123" s="286"/>
      <c r="AQ123" s="1659"/>
      <c r="AR123" s="309" t="s">
        <v>2213</v>
      </c>
      <c r="AS123" s="1506"/>
      <c r="AT123" s="1506"/>
      <c r="AU123" s="1513" t="s">
        <v>1680</v>
      </c>
      <c r="AV123" s="2312" cm="1" t="str">
        <f t="array" ref="AV123:AV123">AV122</f>
        <v>ТЭ.42.31656254.0001</v>
      </c>
      <c r="AW123" s="1751"/>
      <c r="AX123" s="1751"/>
      <c r="AY123" s="1751"/>
      <c r="AZ123" s="1751"/>
      <c r="BA123" s="2312" t="s">
        <v>2214</v>
      </c>
      <c r="BB123" s="1751"/>
      <c r="BC123" s="1751"/>
      <c r="BD123" s="1751"/>
      <c r="BE123" s="1751"/>
      <c r="BF123" s="1751"/>
      <c r="BG123" s="1751"/>
      <c r="BH123" s="1751"/>
      <c r="BI123" s="1751"/>
      <c r="BJ123" s="1751"/>
      <c r="BK123" s="1751"/>
      <c r="BL123" s="2312" t="s">
        <v>303</v>
      </c>
      <c r="BM123" s="2312" t="s">
        <v>1044</v>
      </c>
      <c r="BN123" s="2312" t="s">
        <v>1045</v>
      </c>
    </row>
    <row s="1751" customFormat="1" customHeight="1" ht="16.5">
      <c r="A124" s="371"/>
      <c r="B124" s="1548"/>
      <c r="C124" s="1659"/>
      <c r="D124" s="1659"/>
      <c r="E124" s="180">
        <v>17</v>
      </c>
      <c r="F124" s="175" cm="1" t="str">
        <f t="array" ref="F124:F124">OFFSET(G124,-1,-1)</f>
        <v>1</v>
      </c>
      <c r="G124" s="1659"/>
      <c r="H124" s="1659"/>
      <c r="I124" s="1659"/>
      <c r="J124" s="1659"/>
      <c r="K124" s="1659"/>
      <c r="L124" s="1659"/>
      <c r="M124" s="1659"/>
      <c r="N124" s="1659"/>
      <c r="O124" s="1659"/>
      <c r="P124" s="1659"/>
      <c r="Q124" s="1659"/>
      <c r="R124" s="1659"/>
      <c r="S124" s="1659"/>
      <c r="T124" s="753" cm="1" t="str">
        <f t="array" ref="T124:T124">T123</f>
        <v>true</v>
      </c>
      <c r="U124" s="1548"/>
      <c r="V124" s="1548"/>
      <c r="W124" s="1548"/>
      <c r="X124" s="1548"/>
      <c r="Y124" s="1548"/>
      <c r="Z124" s="1548"/>
      <c r="AA124" s="286"/>
      <c r="AB124" s="369">
        <v>2.2</v>
      </c>
      <c r="AC124" s="865" t="s">
        <v>1657</v>
      </c>
      <c r="AD124" s="364" t="s">
        <v>1178</v>
      </c>
      <c r="AE124" s="2356"/>
      <c r="AF124" s="2356"/>
      <c r="AG124" s="2356"/>
      <c r="AH124" s="695">
        <f>AG124-AF124</f>
        <v>0</v>
      </c>
      <c r="AI124" s="2356"/>
      <c r="AJ124" s="749"/>
      <c r="AK124" s="749"/>
      <c r="AL124" s="695">
        <f>IF(AI124=0,0,(AK124-AI124)/AI124*100)</f>
        <v>0</v>
      </c>
      <c r="AM124" s="1897"/>
      <c r="AN124" s="1897"/>
      <c r="AO124" s="1897"/>
      <c r="AP124" s="286"/>
      <c r="AQ124" s="1659"/>
      <c r="AR124" s="309" t="s">
        <v>2215</v>
      </c>
      <c r="AS124" s="1506"/>
      <c r="AT124" s="1506"/>
      <c r="AU124" s="1513" t="s">
        <v>1658</v>
      </c>
      <c r="AV124" s="2312" cm="1" t="str">
        <f t="array" ref="AV124:AV124">AV123</f>
        <v>ТЭ.42.31656254.0001</v>
      </c>
      <c r="AW124" s="1751"/>
      <c r="AX124" s="1751"/>
      <c r="AY124" s="1751"/>
      <c r="AZ124" s="1751"/>
      <c r="BA124" s="1751"/>
      <c r="BB124" s="2312" t="s">
        <v>1659</v>
      </c>
      <c r="BC124" s="1751"/>
      <c r="BD124" s="1751"/>
      <c r="BE124" s="1751"/>
      <c r="BF124" s="1751"/>
      <c r="BG124" s="1751"/>
      <c r="BH124" s="1751"/>
      <c r="BI124" s="1751"/>
      <c r="BJ124" s="1751"/>
      <c r="BK124" s="1751"/>
      <c r="BL124" s="2312" t="s">
        <v>303</v>
      </c>
      <c r="BM124" s="2312" t="s">
        <v>1044</v>
      </c>
      <c r="BN124" s="2312" t="s">
        <v>1045</v>
      </c>
    </row>
    <row s="1751" customFormat="1" customHeight="1" ht="33.75">
      <c r="A125" s="371"/>
      <c r="B125" s="1548"/>
      <c r="C125" s="1659"/>
      <c r="D125" s="1659"/>
      <c r="E125" s="180">
        <v>35</v>
      </c>
      <c r="F125" s="175" cm="1" t="str">
        <f t="array" ref="F125:F125">OFFSET(G125,-1,-1)</f>
        <v>1</v>
      </c>
      <c r="G125" s="1659"/>
      <c r="H125" s="1659"/>
      <c r="I125" s="1659"/>
      <c r="J125" s="1659"/>
      <c r="K125" s="1659"/>
      <c r="L125" s="1659"/>
      <c r="M125" s="1659"/>
      <c r="N125" s="1659"/>
      <c r="O125" s="1659"/>
      <c r="P125" s="1659"/>
      <c r="Q125" s="1659"/>
      <c r="R125" s="1659"/>
      <c r="S125" s="1659"/>
      <c r="T125" s="753" cm="1" t="str">
        <f t="array" ref="T125:T125">T124</f>
        <v>true</v>
      </c>
      <c r="U125" s="1548"/>
      <c r="V125" s="1548"/>
      <c r="W125" s="1548"/>
      <c r="X125" s="1548"/>
      <c r="Y125" s="1548"/>
      <c r="Z125" s="1548"/>
      <c r="AA125" s="286"/>
      <c r="AB125" s="467">
        <v>2.3</v>
      </c>
      <c r="AC125" s="866" t="s">
        <v>1677</v>
      </c>
      <c r="AD125" s="366" t="s">
        <v>1178</v>
      </c>
      <c r="AE125" s="2356"/>
      <c r="AF125" s="2356"/>
      <c r="AG125" s="2356"/>
      <c r="AH125" s="695">
        <f>AG125-AF125</f>
        <v>0</v>
      </c>
      <c r="AI125" s="2356"/>
      <c r="AJ125" s="749"/>
      <c r="AK125" s="749"/>
      <c r="AL125" s="695">
        <f>IF(AI125=0,0,(AK125-AI125)/AI125*100)</f>
        <v>0</v>
      </c>
      <c r="AM125" s="1897"/>
      <c r="AN125" s="1897"/>
      <c r="AO125" s="1897"/>
      <c r="AP125" s="286"/>
      <c r="AQ125" s="1659"/>
      <c r="AR125" s="309" t="s">
        <v>2216</v>
      </c>
      <c r="AS125" s="1506"/>
      <c r="AT125" s="1506"/>
      <c r="AU125" s="1513" t="s">
        <v>1678</v>
      </c>
      <c r="AV125" s="2312" cm="1" t="str">
        <f t="array" ref="AV125:AV125">AV124</f>
        <v>ТЭ.42.31656254.0001</v>
      </c>
      <c r="AW125" s="2312" t="s">
        <v>1679</v>
      </c>
      <c r="AX125" s="1751"/>
      <c r="AY125" s="1751"/>
      <c r="AZ125" s="1751"/>
      <c r="BA125" s="1751"/>
      <c r="BB125" s="1751"/>
      <c r="BC125" s="1751"/>
      <c r="BD125" s="1751"/>
      <c r="BE125" s="1751"/>
      <c r="BF125" s="1751"/>
      <c r="BG125" s="1751"/>
      <c r="BH125" s="1751"/>
      <c r="BI125" s="1751"/>
      <c r="BJ125" s="1751"/>
      <c r="BK125" s="1751"/>
      <c r="BL125" s="2312" t="s">
        <v>303</v>
      </c>
      <c r="BM125" s="2312" t="s">
        <v>1044</v>
      </c>
      <c r="BN125" s="2312" t="s">
        <v>1045</v>
      </c>
    </row>
    <row s="1751" customFormat="1" customHeight="1" ht="16.5">
      <c r="A126" s="371"/>
      <c r="B126" s="1548"/>
      <c r="C126" s="1659"/>
      <c r="D126" s="1659"/>
      <c r="E126" s="180">
        <v>17</v>
      </c>
      <c r="F126" s="175" cm="1" t="str">
        <f t="array" ref="F126:F126">OFFSET(G126,-1,-1)</f>
        <v>1</v>
      </c>
      <c r="G126" s="1659"/>
      <c r="H126" s="1659"/>
      <c r="I126" s="1659"/>
      <c r="J126" s="1659"/>
      <c r="K126" s="1659"/>
      <c r="L126" s="1659"/>
      <c r="M126" s="1659"/>
      <c r="N126" s="1659"/>
      <c r="O126" s="1659"/>
      <c r="P126" s="1659"/>
      <c r="Q126" s="1659"/>
      <c r="R126" s="1659"/>
      <c r="S126" s="1659"/>
      <c r="T126" s="753" cm="1" t="str">
        <f t="array" ref="T126:T126">T125</f>
        <v>true</v>
      </c>
      <c r="U126" s="1548"/>
      <c r="V126" s="1548"/>
      <c r="W126" s="1548"/>
      <c r="X126" s="1548"/>
      <c r="Y126" s="1548"/>
      <c r="Z126" s="1548"/>
      <c r="AA126" s="286"/>
      <c r="AB126" s="467">
        <v>2.4</v>
      </c>
      <c r="AC126" s="866" t="s">
        <v>2217</v>
      </c>
      <c r="AD126" s="366" t="s">
        <v>1178</v>
      </c>
      <c r="AE126" s="746">
        <f>AE127+AE128</f>
        <v>0</v>
      </c>
      <c r="AF126" s="746">
        <f>AF127+AF128</f>
        <v>0</v>
      </c>
      <c r="AG126" s="746">
        <f>AG127+AG128</f>
        <v>0</v>
      </c>
      <c r="AH126" s="695">
        <f>AG126-AF126</f>
        <v>0</v>
      </c>
      <c r="AI126" s="746">
        <f>AI127+AI128</f>
        <v>0</v>
      </c>
      <c r="AJ126" s="746">
        <f>AJ127+AJ128</f>
        <v>0</v>
      </c>
      <c r="AK126" s="746">
        <f>AK127+AK128</f>
        <v>0</v>
      </c>
      <c r="AL126" s="695">
        <f>IF(AI126=0,0,(AK126-AI126)/AI126*100)</f>
        <v>0</v>
      </c>
      <c r="AM126" s="1897"/>
      <c r="AN126" s="1897"/>
      <c r="AO126" s="1897"/>
      <c r="AP126" s="286"/>
      <c r="AQ126" s="1659"/>
      <c r="AR126" s="309" t="s">
        <v>2218</v>
      </c>
      <c r="AS126" s="1506"/>
      <c r="AT126" s="1506"/>
      <c r="AU126" s="1506"/>
      <c r="AV126" s="2312" cm="1" t="str">
        <f t="array" ref="AV126:AV126">AV125</f>
        <v>ТЭ.42.31656254.0001</v>
      </c>
      <c r="AW126" s="1751"/>
      <c r="AX126" s="2312" t="s">
        <v>2219</v>
      </c>
      <c r="AY126" s="1751"/>
      <c r="AZ126" s="1751"/>
      <c r="BA126" s="1751"/>
      <c r="BB126" s="1751"/>
      <c r="BC126" s="1751"/>
      <c r="BD126" s="1751"/>
      <c r="BE126" s="1751"/>
      <c r="BF126" s="1751"/>
      <c r="BG126" s="1751"/>
      <c r="BH126" s="1751"/>
      <c r="BI126" s="1751"/>
      <c r="BJ126" s="1751"/>
      <c r="BK126" s="1751"/>
      <c r="BL126" s="2312" t="s">
        <v>303</v>
      </c>
      <c r="BM126" s="2312" t="s">
        <v>1044</v>
      </c>
      <c r="BN126" s="2312" t="s">
        <v>1045</v>
      </c>
    </row>
    <row s="1751" customFormat="1" customHeight="1" ht="16.5">
      <c r="A127" s="371"/>
      <c r="B127" s="1548"/>
      <c r="C127" s="1659"/>
      <c r="D127" s="1659"/>
      <c r="E127" s="180">
        <v>17</v>
      </c>
      <c r="F127" s="175" cm="1" t="str">
        <f t="array" ref="F127:F127">OFFSET(G127,-1,-1)</f>
        <v>1</v>
      </c>
      <c r="G127" s="1659"/>
      <c r="H127" s="1659"/>
      <c r="I127" s="1659"/>
      <c r="J127" s="1659"/>
      <c r="K127" s="1659"/>
      <c r="L127" s="1659"/>
      <c r="M127" s="1659"/>
      <c r="N127" s="1659"/>
      <c r="O127" s="1659"/>
      <c r="P127" s="1659"/>
      <c r="Q127" s="1659"/>
      <c r="R127" s="1659"/>
      <c r="S127" s="1659"/>
      <c r="T127" s="753" cm="1" t="str">
        <f t="array" ref="T127:T127">T126</f>
        <v>true</v>
      </c>
      <c r="U127" s="1548"/>
      <c r="V127" s="1548"/>
      <c r="W127" s="1548"/>
      <c r="X127" s="1548"/>
      <c r="Y127" s="1548"/>
      <c r="Z127" s="1548"/>
      <c r="AA127" s="286"/>
      <c r="AB127" s="344" t="s">
        <v>2220</v>
      </c>
      <c r="AC127" s="867" t="s">
        <v>2221</v>
      </c>
      <c r="AD127" s="819" t="s">
        <v>1178</v>
      </c>
      <c r="AE127" s="2356"/>
      <c r="AF127" s="2356"/>
      <c r="AG127" s="2356"/>
      <c r="AH127" s="695">
        <f>AG127-AF127</f>
        <v>0</v>
      </c>
      <c r="AI127" s="2356"/>
      <c r="AJ127" s="749"/>
      <c r="AK127" s="749"/>
      <c r="AL127" s="695">
        <f>IF(AI127=0,0,(AK127-AI127)/AI127*100)</f>
        <v>0</v>
      </c>
      <c r="AM127" s="1897"/>
      <c r="AN127" s="1897"/>
      <c r="AO127" s="1897"/>
      <c r="AP127" s="286"/>
      <c r="AQ127" s="1659"/>
      <c r="AR127" s="309" t="s">
        <v>2222</v>
      </c>
      <c r="AS127" s="1506"/>
      <c r="AT127" s="1506"/>
      <c r="AU127" s="1513" t="s">
        <v>1680</v>
      </c>
      <c r="AV127" s="2312" cm="1" t="str">
        <f t="array" ref="AV127:AV127">AV126</f>
        <v>ТЭ.42.31656254.0001</v>
      </c>
      <c r="AW127" s="2312" t="s">
        <v>2223</v>
      </c>
      <c r="AX127" s="2312" t="s">
        <v>2219</v>
      </c>
      <c r="AY127" s="1751"/>
      <c r="AZ127" s="1751"/>
      <c r="BA127" s="1751"/>
      <c r="BB127" s="1751"/>
      <c r="BC127" s="1751"/>
      <c r="BD127" s="1751"/>
      <c r="BE127" s="1751"/>
      <c r="BF127" s="1751"/>
      <c r="BG127" s="1751"/>
      <c r="BH127" s="1751"/>
      <c r="BI127" s="1751"/>
      <c r="BJ127" s="1751"/>
      <c r="BK127" s="1751"/>
      <c r="BL127" s="2312" t="s">
        <v>303</v>
      </c>
      <c r="BM127" s="2312" t="s">
        <v>1044</v>
      </c>
      <c r="BN127" s="2312" t="s">
        <v>1045</v>
      </c>
    </row>
    <row s="1751" customFormat="1" customHeight="1" ht="16.5">
      <c r="A128" s="371"/>
      <c r="B128" s="1548"/>
      <c r="C128" s="1659"/>
      <c r="D128" s="1659"/>
      <c r="E128" s="180">
        <v>17</v>
      </c>
      <c r="F128" s="175" cm="1" t="str">
        <f t="array" ref="F128:F128">OFFSET(G128,-1,-1)</f>
        <v>1</v>
      </c>
      <c r="G128" s="1659"/>
      <c r="H128" s="1659"/>
      <c r="I128" s="1659"/>
      <c r="J128" s="1659"/>
      <c r="K128" s="1659"/>
      <c r="L128" s="1659"/>
      <c r="M128" s="1659"/>
      <c r="N128" s="1659"/>
      <c r="O128" s="1659"/>
      <c r="P128" s="1659"/>
      <c r="Q128" s="1659"/>
      <c r="R128" s="1659"/>
      <c r="S128" s="1659"/>
      <c r="T128" s="753" cm="1" t="str">
        <f t="array" ref="T128:T128">T127</f>
        <v>true</v>
      </c>
      <c r="U128" s="1548"/>
      <c r="V128" s="1548"/>
      <c r="W128" s="1548"/>
      <c r="X128" s="1548"/>
      <c r="Y128" s="1548"/>
      <c r="Z128" s="1548"/>
      <c r="AA128" s="286"/>
      <c r="AB128" s="470" t="s">
        <v>2224</v>
      </c>
      <c r="AC128" s="760" t="s">
        <v>2225</v>
      </c>
      <c r="AD128" s="470" t="s">
        <v>1178</v>
      </c>
      <c r="AE128" s="2356"/>
      <c r="AF128" s="2356"/>
      <c r="AG128" s="2356"/>
      <c r="AH128" s="695">
        <f>AG128-AF128</f>
        <v>0</v>
      </c>
      <c r="AI128" s="2356"/>
      <c r="AJ128" s="749"/>
      <c r="AK128" s="749"/>
      <c r="AL128" s="695">
        <f>IF(AI128=0,0,(AK128-AI128)/AI128*100)</f>
        <v>0</v>
      </c>
      <c r="AM128" s="1897"/>
      <c r="AN128" s="1897"/>
      <c r="AO128" s="1897"/>
      <c r="AP128" s="286"/>
      <c r="AQ128" s="1659"/>
      <c r="AR128" s="309" t="s">
        <v>2226</v>
      </c>
      <c r="AS128" s="1506"/>
      <c r="AT128" s="1506"/>
      <c r="AU128" s="1513" t="s">
        <v>1665</v>
      </c>
      <c r="AV128" s="2312" cm="1" t="str">
        <f t="array" ref="AV128:AV128">AV127</f>
        <v>ТЭ.42.31656254.0001</v>
      </c>
      <c r="AW128" s="1751"/>
      <c r="AX128" s="2312" t="s">
        <v>2219</v>
      </c>
      <c r="AY128" s="1751"/>
      <c r="AZ128" s="1751"/>
      <c r="BA128" s="1751"/>
      <c r="BB128" s="1751"/>
      <c r="BC128" s="2312" t="s">
        <v>2227</v>
      </c>
      <c r="BD128" s="1751"/>
      <c r="BE128" s="1751"/>
      <c r="BF128" s="1751"/>
      <c r="BG128" s="1751"/>
      <c r="BH128" s="1751"/>
      <c r="BI128" s="1751"/>
      <c r="BJ128" s="1751"/>
      <c r="BK128" s="1751"/>
      <c r="BL128" s="2312" t="s">
        <v>303</v>
      </c>
      <c r="BM128" s="2312" t="s">
        <v>1044</v>
      </c>
      <c r="BN128" s="2312" t="s">
        <v>1045</v>
      </c>
    </row>
    <row s="1751" customFormat="1" customHeight="1" ht="33.75">
      <c r="A129" s="371"/>
      <c r="B129" s="1548"/>
      <c r="C129" s="1659"/>
      <c r="D129" s="1659"/>
      <c r="E129" s="180">
        <v>35</v>
      </c>
      <c r="F129" s="175" cm="1" t="str">
        <f t="array" ref="F129:F129">OFFSET(G129,-1,-1)</f>
        <v>1</v>
      </c>
      <c r="G129" s="1659"/>
      <c r="H129" s="1659"/>
      <c r="I129" s="1659"/>
      <c r="J129" s="1659"/>
      <c r="K129" s="1659"/>
      <c r="L129" s="1659"/>
      <c r="M129" s="1659"/>
      <c r="N129" s="1659"/>
      <c r="O129" s="1659"/>
      <c r="P129" s="1659"/>
      <c r="Q129" s="1659"/>
      <c r="R129" s="1659"/>
      <c r="S129" s="1659"/>
      <c r="T129" s="753" cm="1" t="str">
        <f t="array" ref="T129:T129">T128</f>
        <v>true</v>
      </c>
      <c r="U129" s="1548"/>
      <c r="V129" s="1548"/>
      <c r="W129" s="1548"/>
      <c r="X129" s="1548"/>
      <c r="Y129" s="1548"/>
      <c r="Z129" s="1548"/>
      <c r="AA129" s="286"/>
      <c r="AB129" s="738">
        <v>3</v>
      </c>
      <c r="AC129" s="534" t="s">
        <v>2228</v>
      </c>
      <c r="AD129" s="738" t="s">
        <v>1178</v>
      </c>
      <c r="AE129" s="746">
        <f>AE130+AE131+AE132+AE133</f>
        <v>0</v>
      </c>
      <c r="AF129" s="746">
        <f>AF130+AF131+AF132+AF133</f>
        <v>0</v>
      </c>
      <c r="AG129" s="746">
        <f>AG130+AG131+AG132+AG133</f>
        <v>0</v>
      </c>
      <c r="AH129" s="695">
        <f>AG129-AF129</f>
        <v>0</v>
      </c>
      <c r="AI129" s="746">
        <f>AI130+AI131+AI132+AI133</f>
        <v>0</v>
      </c>
      <c r="AJ129" s="746">
        <f>AJ130+AJ131+AJ132+AJ133</f>
        <v>0</v>
      </c>
      <c r="AK129" s="746">
        <f>AK130+AK131+AK132+AK133</f>
        <v>0</v>
      </c>
      <c r="AL129" s="695">
        <f>IF(AI129=0,0,(AK129-AI129)/AI129*100)</f>
        <v>0</v>
      </c>
      <c r="AM129" s="1897"/>
      <c r="AN129" s="1897"/>
      <c r="AO129" s="1897"/>
      <c r="AP129" s="286"/>
      <c r="AQ129" s="1659"/>
      <c r="AR129" s="309" t="s">
        <v>2229</v>
      </c>
      <c r="AS129" s="1506"/>
      <c r="AT129" s="1506"/>
      <c r="AU129" s="1506"/>
      <c r="AV129" s="2312" cm="1" t="str">
        <f t="array" ref="AV129:AV129">AV128</f>
        <v>ТЭ.42.31656254.0001</v>
      </c>
      <c r="AW129" s="2312" t="s">
        <v>2230</v>
      </c>
      <c r="AX129" s="1751"/>
      <c r="AY129" s="1751"/>
      <c r="AZ129" s="1751"/>
      <c r="BA129" s="1751"/>
      <c r="BB129" s="1751"/>
      <c r="BC129" s="1751"/>
      <c r="BD129" s="1751"/>
      <c r="BE129" s="1751"/>
      <c r="BF129" s="1751"/>
      <c r="BG129" s="1751"/>
      <c r="BH129" s="1751"/>
      <c r="BI129" s="1751"/>
      <c r="BJ129" s="1751"/>
      <c r="BK129" s="1751"/>
      <c r="BL129" s="2312" t="s">
        <v>303</v>
      </c>
      <c r="BM129" s="2312" t="s">
        <v>1044</v>
      </c>
      <c r="BN129" s="2312" t="s">
        <v>1045</v>
      </c>
    </row>
    <row s="1751" customFormat="1" customHeight="1" ht="16.5">
      <c r="A130" s="371"/>
      <c r="B130" s="1548"/>
      <c r="C130" s="1659"/>
      <c r="D130" s="1659"/>
      <c r="E130" s="180">
        <v>17</v>
      </c>
      <c r="F130" s="175" cm="1" t="str">
        <f t="array" ref="F130:F130">OFFSET(G130,-1,-1)</f>
        <v>1</v>
      </c>
      <c r="G130" s="1659"/>
      <c r="H130" s="1659"/>
      <c r="I130" s="1659"/>
      <c r="J130" s="1659"/>
      <c r="K130" s="1659"/>
      <c r="L130" s="1659"/>
      <c r="M130" s="1659"/>
      <c r="N130" s="1659"/>
      <c r="O130" s="1659"/>
      <c r="P130" s="1659"/>
      <c r="Q130" s="1659"/>
      <c r="R130" s="1659"/>
      <c r="S130" s="1659"/>
      <c r="T130" s="753" cm="1" t="str">
        <f t="array" ref="T130:T130">T129</f>
        <v>true</v>
      </c>
      <c r="U130" s="1548"/>
      <c r="V130" s="1548"/>
      <c r="W130" s="1548"/>
      <c r="X130" s="1548"/>
      <c r="Y130" s="1548"/>
      <c r="Z130" s="1548"/>
      <c r="AA130" s="286"/>
      <c r="AB130" s="470">
        <v>3.1</v>
      </c>
      <c r="AC130" s="863" t="s">
        <v>2231</v>
      </c>
      <c r="AD130" s="470" t="s">
        <v>1178</v>
      </c>
      <c r="AE130" s="2356"/>
      <c r="AF130" s="2356"/>
      <c r="AG130" s="2356"/>
      <c r="AH130" s="695">
        <f>AG130-AF130</f>
        <v>0</v>
      </c>
      <c r="AI130" s="2356"/>
      <c r="AJ130" s="749"/>
      <c r="AK130" s="749"/>
      <c r="AL130" s="695">
        <f>IF(AI130=0,0,(AK130-AI130)/AI130*100)</f>
        <v>0</v>
      </c>
      <c r="AM130" s="1897"/>
      <c r="AN130" s="1897"/>
      <c r="AO130" s="1897"/>
      <c r="AP130" s="286"/>
      <c r="AQ130" s="1659"/>
      <c r="AR130" s="309" t="s">
        <v>2232</v>
      </c>
      <c r="AS130" s="1512" t="s">
        <v>2011</v>
      </c>
      <c r="AT130" s="1506"/>
      <c r="AU130" s="1506"/>
      <c r="AV130" s="2312" cm="1" t="str">
        <f t="array" ref="AV130:AV130">AV129</f>
        <v>ТЭ.42.31656254.0001</v>
      </c>
      <c r="AW130" s="1751"/>
      <c r="AX130" s="2312" t="s">
        <v>2233</v>
      </c>
      <c r="AY130" s="1751"/>
      <c r="AZ130" s="1751"/>
      <c r="BA130" s="1751"/>
      <c r="BB130" s="1751"/>
      <c r="BC130" s="1751"/>
      <c r="BD130" s="1751"/>
      <c r="BE130" s="1751"/>
      <c r="BF130" s="1751"/>
      <c r="BG130" s="1751"/>
      <c r="BH130" s="1751"/>
      <c r="BI130" s="1751"/>
      <c r="BJ130" s="1751"/>
      <c r="BK130" s="1751"/>
      <c r="BL130" s="2312" t="s">
        <v>303</v>
      </c>
      <c r="BM130" s="2312" t="s">
        <v>1044</v>
      </c>
      <c r="BN130" s="2312" t="s">
        <v>1045</v>
      </c>
    </row>
    <row s="1751" customFormat="1" customHeight="1" ht="16.5">
      <c r="A131" s="371"/>
      <c r="B131" s="1548"/>
      <c r="C131" s="1659"/>
      <c r="D131" s="1659"/>
      <c r="E131" s="180">
        <v>17</v>
      </c>
      <c r="F131" s="175" cm="1" t="str">
        <f t="array" ref="F131:F131">OFFSET(G131,-1,-1)</f>
        <v>1</v>
      </c>
      <c r="G131" s="1659"/>
      <c r="H131" s="1659"/>
      <c r="I131" s="1659"/>
      <c r="J131" s="1659"/>
      <c r="K131" s="1659"/>
      <c r="L131" s="1659"/>
      <c r="M131" s="1659"/>
      <c r="N131" s="1659"/>
      <c r="O131" s="1659"/>
      <c r="P131" s="1659"/>
      <c r="Q131" s="1659"/>
      <c r="R131" s="1659"/>
      <c r="S131" s="1659"/>
      <c r="T131" s="753" cm="1" t="str">
        <f t="array" ref="T131:T131">T130</f>
        <v>true</v>
      </c>
      <c r="U131" s="1548"/>
      <c r="V131" s="1548"/>
      <c r="W131" s="1548"/>
      <c r="X131" s="1548"/>
      <c r="Y131" s="1548"/>
      <c r="Z131" s="1548"/>
      <c r="AA131" s="286"/>
      <c r="AB131" s="470">
        <v>3.2</v>
      </c>
      <c r="AC131" s="863" t="s">
        <v>2234</v>
      </c>
      <c r="AD131" s="470" t="s">
        <v>1178</v>
      </c>
      <c r="AE131" s="2356"/>
      <c r="AF131" s="2356"/>
      <c r="AG131" s="2356"/>
      <c r="AH131" s="695">
        <f>AG131-AF131</f>
        <v>0</v>
      </c>
      <c r="AI131" s="2356"/>
      <c r="AJ131" s="749"/>
      <c r="AK131" s="749"/>
      <c r="AL131" s="695">
        <f>IF(AI131=0,0,(AK131-AI131)/AI131*100)</f>
        <v>0</v>
      </c>
      <c r="AM131" s="1897"/>
      <c r="AN131" s="1897"/>
      <c r="AO131" s="1897"/>
      <c r="AP131" s="286"/>
      <c r="AQ131" s="1659"/>
      <c r="AR131" s="309" t="s">
        <v>2235</v>
      </c>
      <c r="AS131" s="1512" t="s">
        <v>2021</v>
      </c>
      <c r="AT131" s="1506"/>
      <c r="AU131" s="1506"/>
      <c r="AV131" s="2312" cm="1" t="str">
        <f t="array" ref="AV131:AV131">AV130</f>
        <v>ТЭ.42.31656254.0001</v>
      </c>
      <c r="AW131" s="1751"/>
      <c r="AX131" s="1751"/>
      <c r="AY131" s="1751"/>
      <c r="AZ131" s="1751"/>
      <c r="BA131" s="1751"/>
      <c r="BB131" s="1751"/>
      <c r="BC131" s="1751"/>
      <c r="BD131" s="1751"/>
      <c r="BE131" s="2312" t="s">
        <v>2236</v>
      </c>
      <c r="BF131" s="1751"/>
      <c r="BG131" s="1751"/>
      <c r="BH131" s="1751"/>
      <c r="BI131" s="1751"/>
      <c r="BJ131" s="1751"/>
      <c r="BK131" s="1751"/>
      <c r="BL131" s="2312" t="s">
        <v>303</v>
      </c>
      <c r="BM131" s="2312" t="s">
        <v>1044</v>
      </c>
      <c r="BN131" s="2312" t="s">
        <v>1045</v>
      </c>
    </row>
    <row s="1751" customFormat="1" customHeight="1" ht="16.5">
      <c r="A132" s="371"/>
      <c r="B132" s="1548"/>
      <c r="C132" s="1659"/>
      <c r="D132" s="1659"/>
      <c r="E132" s="180">
        <v>17</v>
      </c>
      <c r="F132" s="175" cm="1" t="str">
        <f t="array" ref="F132:F132">OFFSET(G132,-1,-1)</f>
        <v>1</v>
      </c>
      <c r="G132" s="1659"/>
      <c r="H132" s="1659"/>
      <c r="I132" s="1659"/>
      <c r="J132" s="1659"/>
      <c r="K132" s="1659"/>
      <c r="L132" s="1659"/>
      <c r="M132" s="1659"/>
      <c r="N132" s="1659"/>
      <c r="O132" s="1659"/>
      <c r="P132" s="1659"/>
      <c r="Q132" s="1659"/>
      <c r="R132" s="1659"/>
      <c r="S132" s="1659"/>
      <c r="T132" s="753" cm="1" t="str">
        <f t="array" ref="T132:T132">T131</f>
        <v>true</v>
      </c>
      <c r="U132" s="1548"/>
      <c r="V132" s="1548"/>
      <c r="W132" s="1548"/>
      <c r="X132" s="1548"/>
      <c r="Y132" s="1548"/>
      <c r="Z132" s="1548"/>
      <c r="AA132" s="286"/>
      <c r="AB132" s="470">
        <v>3.3</v>
      </c>
      <c r="AC132" s="863" t="s">
        <v>2237</v>
      </c>
      <c r="AD132" s="470" t="s">
        <v>1178</v>
      </c>
      <c r="AE132" s="2356"/>
      <c r="AF132" s="2356"/>
      <c r="AG132" s="2356"/>
      <c r="AH132" s="695">
        <f>AG132-AF132</f>
        <v>0</v>
      </c>
      <c r="AI132" s="2356"/>
      <c r="AJ132" s="749"/>
      <c r="AK132" s="749"/>
      <c r="AL132" s="695">
        <f>IF(AI132=0,0,(AK132-AI132)/AI132*100)</f>
        <v>0</v>
      </c>
      <c r="AM132" s="1897"/>
      <c r="AN132" s="1897"/>
      <c r="AO132" s="1897"/>
      <c r="AP132" s="286"/>
      <c r="AQ132" s="1659"/>
      <c r="AR132" s="309" t="s">
        <v>2238</v>
      </c>
      <c r="AS132" s="1512" t="s">
        <v>2016</v>
      </c>
      <c r="AT132" s="1506"/>
      <c r="AU132" s="1506"/>
      <c r="AV132" s="2312" cm="1" t="str">
        <f t="array" ref="AV132:AV132">AV131</f>
        <v>ТЭ.42.31656254.0001</v>
      </c>
      <c r="AW132" s="1751"/>
      <c r="AX132" s="1751"/>
      <c r="AY132" s="1751"/>
      <c r="AZ132" s="1751"/>
      <c r="BA132" s="1751"/>
      <c r="BB132" s="1751"/>
      <c r="BC132" s="1751"/>
      <c r="BD132" s="2312" t="s">
        <v>2239</v>
      </c>
      <c r="BE132" s="1751"/>
      <c r="BF132" s="1751"/>
      <c r="BG132" s="1751"/>
      <c r="BH132" s="1751"/>
      <c r="BI132" s="1751"/>
      <c r="BJ132" s="1751"/>
      <c r="BK132" s="1751"/>
      <c r="BL132" s="2312" t="s">
        <v>303</v>
      </c>
      <c r="BM132" s="2312" t="s">
        <v>1044</v>
      </c>
      <c r="BN132" s="2312" t="s">
        <v>1045</v>
      </c>
    </row>
    <row s="1751" customFormat="1" customHeight="1" ht="16.5">
      <c r="A133" s="371"/>
      <c r="B133" s="1548"/>
      <c r="C133" s="1659"/>
      <c r="D133" s="1659"/>
      <c r="E133" s="180">
        <v>17</v>
      </c>
      <c r="F133" s="175" cm="1" t="str">
        <f t="array" ref="F133:F133">OFFSET(G133,-1,-1)</f>
        <v>1</v>
      </c>
      <c r="G133" s="1659"/>
      <c r="H133" s="1659"/>
      <c r="I133" s="1659"/>
      <c r="J133" s="1659"/>
      <c r="K133" s="1659"/>
      <c r="L133" s="1659"/>
      <c r="M133" s="1659"/>
      <c r="N133" s="1659"/>
      <c r="O133" s="1659"/>
      <c r="P133" s="1659"/>
      <c r="Q133" s="1659"/>
      <c r="R133" s="1659"/>
      <c r="S133" s="1659"/>
      <c r="T133" s="753" cm="1" t="str">
        <f t="array" ref="T133:T133">T132</f>
        <v>true</v>
      </c>
      <c r="U133" s="1548"/>
      <c r="V133" s="1548"/>
      <c r="W133" s="1548"/>
      <c r="X133" s="1548"/>
      <c r="Y133" s="1548"/>
      <c r="Z133" s="1548"/>
      <c r="AA133" s="286"/>
      <c r="AB133" s="470">
        <v>3.4</v>
      </c>
      <c r="AC133" s="863" t="s">
        <v>1507</v>
      </c>
      <c r="AD133" s="470" t="s">
        <v>1178</v>
      </c>
      <c r="AE133" s="2356"/>
      <c r="AF133" s="2356"/>
      <c r="AG133" s="2356"/>
      <c r="AH133" s="695">
        <f>AG133-AF133</f>
        <v>0</v>
      </c>
      <c r="AI133" s="2356"/>
      <c r="AJ133" s="749"/>
      <c r="AK133" s="749"/>
      <c r="AL133" s="695">
        <f>IF(AI133=0,0,(AK133-AI133)/AI133*100)</f>
        <v>0</v>
      </c>
      <c r="AM133" s="1897"/>
      <c r="AN133" s="1897"/>
      <c r="AO133" s="1897"/>
      <c r="AP133" s="286"/>
      <c r="AQ133" s="1659"/>
      <c r="AR133" s="309" t="s">
        <v>2240</v>
      </c>
      <c r="AS133" s="489" t="s">
        <v>2026</v>
      </c>
      <c r="AT133" s="1506"/>
      <c r="AU133" s="1506"/>
      <c r="AV133" s="2312" cm="1" t="str">
        <f t="array" ref="AV133:AV133">AV132</f>
        <v>ТЭ.42.31656254.0001</v>
      </c>
      <c r="AW133" s="1751"/>
      <c r="AX133" s="2312" t="s">
        <v>2241</v>
      </c>
      <c r="AY133" s="1751"/>
      <c r="AZ133" s="1751"/>
      <c r="BA133" s="1751"/>
      <c r="BB133" s="1751"/>
      <c r="BC133" s="1751"/>
      <c r="BD133" s="1751"/>
      <c r="BE133" s="1751"/>
      <c r="BF133" s="1751"/>
      <c r="BG133" s="1751"/>
      <c r="BH133" s="1751"/>
      <c r="BI133" s="1751"/>
      <c r="BJ133" s="1751"/>
      <c r="BK133" s="1751"/>
      <c r="BL133" s="2312" t="s">
        <v>303</v>
      </c>
      <c r="BM133" s="2312" t="s">
        <v>1044</v>
      </c>
      <c r="BN133" s="2312" t="s">
        <v>1045</v>
      </c>
    </row>
    <row s="1751" customFormat="1" customHeight="1" ht="16.5">
      <c r="A134" s="371"/>
      <c r="B134" s="1548"/>
      <c r="C134" s="1659"/>
      <c r="D134" s="1659"/>
      <c r="E134" s="180">
        <v>17</v>
      </c>
      <c r="F134" s="175" cm="1" t="str">
        <f t="array" ref="F134:F134">OFFSET(G134,-1,-1)</f>
        <v>1</v>
      </c>
      <c r="G134" s="193" t="s">
        <v>1500</v>
      </c>
      <c r="H134" s="1659"/>
      <c r="I134" s="1659"/>
      <c r="J134" s="1659"/>
      <c r="K134" s="1659"/>
      <c r="L134" s="1659"/>
      <c r="M134" s="1659"/>
      <c r="N134" s="1659"/>
      <c r="O134" s="1659"/>
      <c r="P134" s="1659"/>
      <c r="Q134" s="1659"/>
      <c r="R134" s="1659"/>
      <c r="S134" s="1659"/>
      <c r="T134" s="753" cm="1" t="str">
        <f t="array" ref="T134:T134">T133</f>
        <v>true</v>
      </c>
      <c r="U134" s="1548"/>
      <c r="V134" s="1548"/>
      <c r="W134" s="1548"/>
      <c r="X134" s="1548"/>
      <c r="Y134" s="1548"/>
      <c r="Z134" s="1548"/>
      <c r="AA134" s="286"/>
      <c r="AB134" s="738">
        <v>4</v>
      </c>
      <c r="AC134" s="534" t="s">
        <v>1671</v>
      </c>
      <c r="AD134" s="738" t="s">
        <v>1178</v>
      </c>
      <c r="AE134" s="746">
        <f>_xlfn.SUMIFS(Налоги!AE$26:AE$55,Налоги!$F$26:$F$55,$F134,Налоги!$G$26:$G$55,$G134)</f>
        <v>0</v>
      </c>
      <c r="AF134" s="746">
        <f>_xlfn.SUMIFS(Налоги!AF$26:AF$55,Налоги!$F$26:$F$55,$F134,Налоги!$G$26:$G$55,$G134)</f>
        <v>0</v>
      </c>
      <c r="AG134" s="746">
        <f>_xlfn.SUMIFS(Налоги!AG$26:AG$55,Налоги!$F$26:$F$55,$F134,Налоги!$G$26:$G$55,$G134)</f>
        <v>0</v>
      </c>
      <c r="AH134" s="695">
        <f>AG134-AF134</f>
        <v>0</v>
      </c>
      <c r="AI134" s="746">
        <f>_xlfn.SUMIFS(Налоги!AH$26:AH$55,Налоги!$F$26:$F$55,$F134,Налоги!$G$26:$G$55,$G134)</f>
        <v>0</v>
      </c>
      <c r="AJ134" s="746">
        <f>_xlfn.SUMIFS(Налоги!AI$26:AI$55,Налоги!$F$26:$F$55,$F134,Налоги!$G$26:$G$55,$G134)</f>
        <v>0</v>
      </c>
      <c r="AK134" s="746">
        <f>_xlfn.SUMIFS(Налоги!BC$26:BC$55,Налоги!$F$26:$F$55,$F134,Налоги!$G$26:$G$55,$G134)</f>
        <v>0</v>
      </c>
      <c r="AL134" s="695">
        <f>IF(AI134=0,0,(AK134-AI134)/AI134*100)</f>
        <v>0</v>
      </c>
      <c r="AM134" s="1897"/>
      <c r="AN134" s="1897"/>
      <c r="AO134" s="1897"/>
      <c r="AP134" s="286"/>
      <c r="AQ134" s="1659"/>
      <c r="AR134" s="309" t="s">
        <v>590</v>
      </c>
      <c r="AS134" s="1506"/>
      <c r="AT134" s="1506"/>
      <c r="AU134" s="1506"/>
      <c r="AV134" s="2312" cm="1" t="str">
        <f t="array" ref="AV134:AV134">AV133</f>
        <v>ТЭ.42.31656254.0001</v>
      </c>
      <c r="AW134" s="1751"/>
      <c r="AX134" s="1751"/>
      <c r="AY134" s="1751"/>
      <c r="AZ134" s="1751"/>
      <c r="BA134" s="1751"/>
      <c r="BB134" s="1751"/>
      <c r="BC134" s="1751"/>
      <c r="BD134" s="1751"/>
      <c r="BE134" s="1751"/>
      <c r="BF134" s="1751"/>
      <c r="BG134" s="1751"/>
      <c r="BH134" s="1751"/>
      <c r="BI134" s="1751"/>
      <c r="BJ134" s="1751"/>
      <c r="BK134" s="2312" t="s">
        <v>1290</v>
      </c>
      <c r="BL134" s="2312" t="s">
        <v>303</v>
      </c>
      <c r="BM134" s="2312" t="s">
        <v>1673</v>
      </c>
      <c r="BN134" s="2312" t="s">
        <v>1674</v>
      </c>
    </row>
    <row s="1751" customFormat="1" customHeight="1" ht="33.75">
      <c r="A135" s="371"/>
      <c r="B135" s="1548"/>
      <c r="C135" s="1659"/>
      <c r="D135" s="1659"/>
      <c r="E135" s="180">
        <v>35</v>
      </c>
      <c r="F135" s="175" cm="1" t="str">
        <f t="array" ref="F135:F135">OFFSET(G135,-1,-1)</f>
        <v>1</v>
      </c>
      <c r="G135" s="1659"/>
      <c r="H135" s="1659"/>
      <c r="I135" s="1659"/>
      <c r="J135" s="1659"/>
      <c r="K135" s="1659"/>
      <c r="L135" s="1659"/>
      <c r="M135" s="1659"/>
      <c r="N135" s="1659"/>
      <c r="O135" s="1659"/>
      <c r="P135" s="1659"/>
      <c r="Q135" s="1659"/>
      <c r="R135" s="1659"/>
      <c r="S135" s="1659"/>
      <c r="T135" s="753" cm="1" t="str">
        <f t="array" ref="T135:T135">T134</f>
        <v>true</v>
      </c>
      <c r="U135" s="1548"/>
      <c r="V135" s="1548"/>
      <c r="W135" s="1548"/>
      <c r="X135" s="1548"/>
      <c r="Y135" s="1548"/>
      <c r="Z135" s="1548"/>
      <c r="AA135" s="286"/>
      <c r="AB135" s="738">
        <v>5</v>
      </c>
      <c r="AC135" s="534" t="s">
        <v>2242</v>
      </c>
      <c r="AD135" s="738" t="s">
        <v>1178</v>
      </c>
      <c r="AE135" s="2356"/>
      <c r="AF135" s="2356"/>
      <c r="AG135" s="2356"/>
      <c r="AH135" s="695">
        <f>AG135-AF135</f>
        <v>0</v>
      </c>
      <c r="AI135" s="2356"/>
      <c r="AJ135" s="749"/>
      <c r="AK135" s="749"/>
      <c r="AL135" s="695">
        <f>IF(AI135=0,0,(AK135-AI135)/AI135*100)</f>
        <v>0</v>
      </c>
      <c r="AM135" s="1897"/>
      <c r="AN135" s="1897"/>
      <c r="AO135" s="1897"/>
      <c r="AP135" s="286"/>
      <c r="AQ135" s="1659"/>
      <c r="AR135" s="309" t="s">
        <v>1846</v>
      </c>
      <c r="AS135" s="1512" t="s">
        <v>2027</v>
      </c>
      <c r="AT135" s="1506"/>
      <c r="AU135" s="1506"/>
      <c r="AV135" s="2312" cm="1" t="str">
        <f t="array" ref="AV135:AV135">AV134</f>
        <v>ТЭ.42.31656254.0001</v>
      </c>
      <c r="AW135" s="1751"/>
      <c r="AX135" s="1751"/>
      <c r="AY135" s="1751"/>
      <c r="AZ135" s="1751"/>
      <c r="BA135" s="1751"/>
      <c r="BB135" s="1751"/>
      <c r="BC135" s="1751"/>
      <c r="BD135" s="1751"/>
      <c r="BE135" s="1751"/>
      <c r="BF135" s="1751"/>
      <c r="BG135" s="1751"/>
      <c r="BH135" s="1751"/>
      <c r="BI135" s="1751"/>
      <c r="BJ135" s="1751"/>
      <c r="BK135" s="2312" t="s">
        <v>1308</v>
      </c>
      <c r="BL135" s="2312" t="s">
        <v>303</v>
      </c>
      <c r="BM135" s="2312" t="s">
        <v>1847</v>
      </c>
      <c r="BN135" s="2312" t="s">
        <v>1848</v>
      </c>
    </row>
    <row s="1751" customFormat="1" customHeight="1" ht="16.5">
      <c r="A136" s="371"/>
      <c r="B136" s="1548"/>
      <c r="C136" s="1659"/>
      <c r="D136" s="1659"/>
      <c r="E136" s="180">
        <v>17</v>
      </c>
      <c r="F136" s="175" cm="1" t="str">
        <f t="array" ref="F136:F136">OFFSET(G136,-1,-1)</f>
        <v>1</v>
      </c>
      <c r="G136" s="1659"/>
      <c r="H136" s="1659"/>
      <c r="I136" s="1659"/>
      <c r="J136" s="1659"/>
      <c r="K136" s="1659"/>
      <c r="L136" s="1659"/>
      <c r="M136" s="1659"/>
      <c r="N136" s="1659"/>
      <c r="O136" s="1659"/>
      <c r="P136" s="1659"/>
      <c r="Q136" s="1659"/>
      <c r="R136" s="1659"/>
      <c r="S136" s="1659"/>
      <c r="T136" s="753" cm="1" t="str">
        <f t="array" ref="T136:T136">T135</f>
        <v>true</v>
      </c>
      <c r="U136" s="1548"/>
      <c r="V136" s="1548"/>
      <c r="W136" s="1548"/>
      <c r="X136" s="1548"/>
      <c r="Y136" s="1548"/>
      <c r="Z136" s="1548"/>
      <c r="AA136" s="286"/>
      <c r="AB136" s="738">
        <v>6</v>
      </c>
      <c r="AC136" s="534" t="s">
        <v>2243</v>
      </c>
      <c r="AD136" s="738" t="s">
        <v>1178</v>
      </c>
      <c r="AE136" s="2356"/>
      <c r="AF136" s="2356"/>
      <c r="AG136" s="2356"/>
      <c r="AH136" s="695">
        <f>AG136-AF136</f>
        <v>0</v>
      </c>
      <c r="AI136" s="2356"/>
      <c r="AJ136" s="749"/>
      <c r="AK136" s="749"/>
      <c r="AL136" s="695">
        <f>IF(AI136=0,0,(AK136-AI136)/AI136*100)</f>
        <v>0</v>
      </c>
      <c r="AM136" s="1897"/>
      <c r="AN136" s="1897"/>
      <c r="AO136" s="1897"/>
      <c r="AP136" s="286"/>
      <c r="AQ136" s="1659"/>
      <c r="AR136" s="309" t="s">
        <v>1676</v>
      </c>
      <c r="AS136" s="1512" t="s">
        <v>2030</v>
      </c>
      <c r="AT136" s="1506"/>
      <c r="AU136" s="1506"/>
      <c r="AV136" s="2312" cm="1" t="str">
        <f t="array" ref="AV136:AV136">AV135</f>
        <v>ТЭ.42.31656254.0001</v>
      </c>
      <c r="AW136" s="1751"/>
      <c r="AX136" s="2312" t="s">
        <v>2244</v>
      </c>
      <c r="AY136" s="1751"/>
      <c r="AZ136" s="1751"/>
      <c r="BA136" s="1751"/>
      <c r="BB136" s="1751"/>
      <c r="BC136" s="1751"/>
      <c r="BD136" s="1751"/>
      <c r="BE136" s="1751"/>
      <c r="BF136" s="1751"/>
      <c r="BG136" s="1751"/>
      <c r="BH136" s="1751"/>
      <c r="BI136" s="1751"/>
      <c r="BJ136" s="1751"/>
      <c r="BK136" s="1751"/>
      <c r="BL136" s="2312" t="s">
        <v>303</v>
      </c>
      <c r="BM136" s="2312" t="s">
        <v>1519</v>
      </c>
      <c r="BN136" s="2312" t="s">
        <v>1520</v>
      </c>
    </row>
    <row s="1751" customFormat="1" customHeight="1" ht="16.5">
      <c r="A137" s="371"/>
      <c r="B137" s="1548"/>
      <c r="C137" s="1659"/>
      <c r="D137" s="1659"/>
      <c r="E137" s="180">
        <v>17</v>
      </c>
      <c r="F137" s="175" cm="1" t="str">
        <f t="array" ref="F137:F137">OFFSET(G137,-1,-1)</f>
        <v>1</v>
      </c>
      <c r="G137" s="1659"/>
      <c r="H137" s="1659"/>
      <c r="I137" s="1659"/>
      <c r="J137" s="1659"/>
      <c r="K137" s="1659"/>
      <c r="L137" s="1659"/>
      <c r="M137" s="1659"/>
      <c r="N137" s="1659"/>
      <c r="O137" s="1659"/>
      <c r="P137" s="1659"/>
      <c r="Q137" s="1659"/>
      <c r="R137" s="1659"/>
      <c r="S137" s="1659"/>
      <c r="T137" s="753" cm="1" t="str">
        <f t="array" ref="T137:T137">T136</f>
        <v>true</v>
      </c>
      <c r="U137" s="1548"/>
      <c r="V137" s="1548"/>
      <c r="W137" s="1548"/>
      <c r="X137" s="1548"/>
      <c r="Y137" s="1548"/>
      <c r="Z137" s="1548"/>
      <c r="AA137" s="286"/>
      <c r="AB137" s="868">
        <v>7</v>
      </c>
      <c r="AC137" s="869" t="s">
        <v>2053</v>
      </c>
      <c r="AD137" s="539" t="s">
        <v>1178</v>
      </c>
      <c r="AE137" s="746">
        <f>AE95+AE122+AE129+AE134+AE135+AE136</f>
        <v>8593</v>
      </c>
      <c r="AF137" s="746">
        <f>AF95+AF122+AF129+AF134+AF135+AF136</f>
        <v>13345.36</v>
      </c>
      <c r="AG137" s="746">
        <f>AG95+AG122+AG129+AG134+AG135+AG136</f>
        <v>9343.86814247972</v>
      </c>
      <c r="AH137" s="695">
        <f>AG137-AF137</f>
        <v>-4001.49185752028</v>
      </c>
      <c r="AI137" s="746">
        <f>AI95+AI122+AI129+AI134+AI135+AI136</f>
        <v>9613</v>
      </c>
      <c r="AJ137" s="746">
        <f>AJ95+AJ122+AJ129+AJ134+AJ135+AJ136</f>
        <v>14982.0172230014</v>
      </c>
      <c r="AK137" s="746">
        <f>AK95+AK122+AK129+AK134+AK135+AK136</f>
        <v>10639.5560208322</v>
      </c>
      <c r="AL137" s="695">
        <f>IF(AI137=0,0,(AK137-AI137)/AI137*100)</f>
        <v>10.6788309667346</v>
      </c>
      <c r="AM137" s="1897"/>
      <c r="AN137" s="1897"/>
      <c r="AO137" s="1897"/>
      <c r="AP137" s="286"/>
      <c r="AQ137" s="1659"/>
      <c r="AR137" s="309" t="s">
        <v>2245</v>
      </c>
      <c r="AS137" s="1506"/>
      <c r="AT137" s="1506"/>
      <c r="AU137" s="1506"/>
      <c r="AV137" s="2312" cm="1" t="str">
        <f t="array" ref="AV137:AV137">AV136</f>
        <v>ТЭ.42.31656254.0001</v>
      </c>
      <c r="AW137" s="1751"/>
      <c r="AX137" s="2312" t="s">
        <v>2246</v>
      </c>
      <c r="AY137" s="1751"/>
      <c r="AZ137" s="1751"/>
      <c r="BA137" s="1751"/>
      <c r="BB137" s="1751"/>
      <c r="BC137" s="1751"/>
      <c r="BD137" s="1751"/>
      <c r="BE137" s="1751"/>
      <c r="BF137" s="1751"/>
      <c r="BG137" s="1751"/>
      <c r="BH137" s="1751"/>
      <c r="BI137" s="1751"/>
      <c r="BJ137" s="1751"/>
      <c r="BK137" s="1751"/>
      <c r="BL137" s="2312" t="s">
        <v>303</v>
      </c>
      <c r="BM137" s="2312" t="s">
        <v>1717</v>
      </c>
      <c r="BN137" s="2312" t="s">
        <v>1718</v>
      </c>
    </row>
    <row s="1751" customFormat="1" customHeight="1" ht="48.75">
      <c r="A138" s="371"/>
      <c r="B138" s="1548"/>
      <c r="C138" s="1659"/>
      <c r="D138" s="1659"/>
      <c r="E138" s="180">
        <v>50</v>
      </c>
      <c r="F138" s="175" cm="1" t="str">
        <f t="array" ref="F138:F138">OFFSET(G138,-1,-1)</f>
        <v>1</v>
      </c>
      <c r="G138" s="1659"/>
      <c r="H138" s="1659"/>
      <c r="I138" s="1659"/>
      <c r="J138" s="1659"/>
      <c r="K138" s="1659"/>
      <c r="L138" s="1659"/>
      <c r="M138" s="1659"/>
      <c r="N138" s="1659"/>
      <c r="O138" s="1659"/>
      <c r="P138" s="1659"/>
      <c r="Q138" s="1659"/>
      <c r="R138" s="1659"/>
      <c r="S138" s="1659"/>
      <c r="T138" s="753" cm="1" t="str">
        <f t="array" ref="T138:T138">T137</f>
        <v>true</v>
      </c>
      <c r="U138" s="1548"/>
      <c r="V138" s="1548"/>
      <c r="W138" s="1548"/>
      <c r="X138" s="1548"/>
      <c r="Y138" s="1548"/>
      <c r="Z138" s="1548"/>
      <c r="AA138" s="286"/>
      <c r="AB138" s="526">
        <v>8</v>
      </c>
      <c r="AC138" s="832" t="s">
        <v>2056</v>
      </c>
      <c r="AD138" s="470" t="s">
        <v>1178</v>
      </c>
      <c r="AE138" s="2356"/>
      <c r="AF138" s="2356"/>
      <c r="AG138" s="2356"/>
      <c r="AH138" s="695">
        <f>AG138-AF138</f>
        <v>0</v>
      </c>
      <c r="AI138" s="2356"/>
      <c r="AJ138" s="749"/>
      <c r="AK138" s="749"/>
      <c r="AL138" s="695">
        <f>IF(AI138=0,0,(AK138-AI138)/AI138*100)</f>
        <v>0</v>
      </c>
      <c r="AM138" s="1897"/>
      <c r="AN138" s="1897"/>
      <c r="AO138" s="1897"/>
      <c r="AP138" s="286"/>
      <c r="AQ138" s="1659"/>
      <c r="AR138" s="309" t="s">
        <v>2247</v>
      </c>
      <c r="AS138" s="1512" t="s">
        <v>2057</v>
      </c>
      <c r="AT138" s="1506"/>
      <c r="AU138" s="1506"/>
      <c r="AV138" s="2312" cm="1" t="str">
        <f t="array" ref="AV138:AV138">AV137</f>
        <v>ТЭ.42.31656254.0001</v>
      </c>
      <c r="AW138" s="1751"/>
      <c r="AX138" s="1751"/>
      <c r="AY138" s="1751"/>
      <c r="AZ138" s="1751"/>
      <c r="BA138" s="1751"/>
      <c r="BB138" s="1751"/>
      <c r="BC138" s="1751"/>
      <c r="BD138" s="1751"/>
      <c r="BE138" s="1751"/>
      <c r="BF138" s="2312" t="s">
        <v>1624</v>
      </c>
      <c r="BG138" s="1751"/>
      <c r="BH138" s="1751"/>
      <c r="BI138" s="1751"/>
      <c r="BJ138" s="1751"/>
      <c r="BK138" s="1751"/>
      <c r="BL138" s="2312" t="s">
        <v>303</v>
      </c>
      <c r="BM138" s="2312" t="s">
        <v>2059</v>
      </c>
      <c r="BN138" s="2312" t="s">
        <v>2060</v>
      </c>
    </row>
    <row s="1751" customFormat="1" customHeight="1" ht="16.5">
      <c r="A139" s="371"/>
      <c r="B139" s="1548"/>
      <c r="C139" s="1659"/>
      <c r="D139" s="1659"/>
      <c r="E139" s="180">
        <v>17</v>
      </c>
      <c r="F139" s="175" cm="1" t="str">
        <f t="array" ref="F139:F139">OFFSET(G139,-1,-1)</f>
        <v>1</v>
      </c>
      <c r="G139" s="1659"/>
      <c r="H139" s="1659"/>
      <c r="I139" s="1659"/>
      <c r="J139" s="1659"/>
      <c r="K139" s="1659"/>
      <c r="L139" s="1659"/>
      <c r="M139" s="1659"/>
      <c r="N139" s="1659"/>
      <c r="O139" s="1659"/>
      <c r="P139" s="1659"/>
      <c r="Q139" s="1659"/>
      <c r="R139" s="1659"/>
      <c r="S139" s="1659"/>
      <c r="T139" s="753" cm="1" t="str">
        <f t="array" ref="T139:T139">T138</f>
        <v>true</v>
      </c>
      <c r="U139" s="1548"/>
      <c r="V139" s="1548"/>
      <c r="W139" s="1548"/>
      <c r="X139" s="1548"/>
      <c r="Y139" s="1548"/>
      <c r="Z139" s="1548"/>
      <c r="AA139" s="286"/>
      <c r="AB139" s="829">
        <v>9</v>
      </c>
      <c r="AC139" s="834" t="s">
        <v>2062</v>
      </c>
      <c r="AD139" s="870" t="s">
        <v>1178</v>
      </c>
      <c r="AE139" s="746">
        <f>AE137+AE138</f>
        <v>8593</v>
      </c>
      <c r="AF139" s="746">
        <f>AF137+AF138</f>
        <v>13345.36</v>
      </c>
      <c r="AG139" s="746">
        <f>AG137+AG138</f>
        <v>9343.86814247972</v>
      </c>
      <c r="AH139" s="695">
        <f>AG139-AF139</f>
        <v>-4001.49185752028</v>
      </c>
      <c r="AI139" s="746">
        <f>AI137+AI138</f>
        <v>9613</v>
      </c>
      <c r="AJ139" s="746">
        <f>AJ137+AJ138</f>
        <v>14982.0172230014</v>
      </c>
      <c r="AK139" s="746">
        <f>AK137+AK138</f>
        <v>10639.5560208322</v>
      </c>
      <c r="AL139" s="695">
        <f>IF(AI139=0,0,(AK139-AI139)/AI139*100)</f>
        <v>10.6788309667346</v>
      </c>
      <c r="AM139" s="1897"/>
      <c r="AN139" s="1897"/>
      <c r="AO139" s="1897"/>
      <c r="AP139" s="286"/>
      <c r="AQ139" s="1659"/>
      <c r="AR139" s="309" t="s">
        <v>2248</v>
      </c>
      <c r="AS139" s="1506"/>
      <c r="AT139" s="1506"/>
      <c r="AU139" s="1506"/>
      <c r="AV139" s="2312" cm="1" t="str">
        <f t="array" ref="AV139:AV139">AV138</f>
        <v>ТЭ.42.31656254.0001</v>
      </c>
      <c r="AW139" s="1751"/>
      <c r="AX139" s="2312" t="s">
        <v>2249</v>
      </c>
      <c r="AY139" s="1751"/>
      <c r="AZ139" s="1751"/>
      <c r="BA139" s="1751"/>
      <c r="BB139" s="1751"/>
      <c r="BC139" s="1751"/>
      <c r="BD139" s="1751"/>
      <c r="BE139" s="1751"/>
      <c r="BF139" s="1751"/>
      <c r="BG139" s="1751"/>
      <c r="BH139" s="1751"/>
      <c r="BI139" s="1751"/>
      <c r="BJ139" s="1751"/>
      <c r="BK139" s="1751"/>
      <c r="BL139" s="2312" t="s">
        <v>303</v>
      </c>
      <c r="BM139" s="2312" t="s">
        <v>2065</v>
      </c>
      <c r="BN139" s="2312" t="s">
        <v>2066</v>
      </c>
    </row>
    <row s="1751" customFormat="1" customHeight="1" ht="16.5" hidden="1">
      <c r="A140" s="371"/>
      <c r="B140" s="1548"/>
      <c r="C140" s="1659"/>
      <c r="D140" s="1659"/>
      <c r="E140" s="180">
        <v>17</v>
      </c>
      <c r="F140" s="175" cm="1" t="str">
        <f t="array" ref="F140:F140">OFFSET(G140,-1,-1)</f>
        <v>1</v>
      </c>
      <c r="G140" s="1659"/>
      <c r="H140" s="193" cm="1" t="str">
        <f t="array" ref="H140:H140">G94</f>
        <v>одноставочный</v>
      </c>
      <c r="I140" s="1659"/>
      <c r="J140" s="1659"/>
      <c r="K140" s="1659"/>
      <c r="L140" s="1659"/>
      <c r="M140" s="1659"/>
      <c r="N140" s="1659"/>
      <c r="O140" s="1659"/>
      <c r="P140" s="1659"/>
      <c r="Q140" s="1659"/>
      <c r="R140" s="1659"/>
      <c r="S140" s="1659"/>
      <c r="T140" s="753">
        <f>AND(F140&gt;0,H140="двухставочный")</f>
        <v>0</v>
      </c>
      <c r="U140" s="1548"/>
      <c r="V140" s="1548"/>
      <c r="W140" s="1548"/>
      <c r="X140" s="1548"/>
      <c r="Y140" s="1548"/>
      <c r="Z140" s="1548"/>
      <c r="AA140" s="286"/>
      <c r="AB140" s="836" t="str">
        <f>AB139&amp;".1"</f>
        <v>9.1</v>
      </c>
      <c r="AC140" s="837" t="s">
        <v>2068</v>
      </c>
      <c r="AD140" s="666" t="s">
        <v>917</v>
      </c>
      <c r="AE140" s="132"/>
      <c r="AF140" s="132"/>
      <c r="AG140" s="132"/>
      <c r="AH140" s="695">
        <f>AG140-AF140</f>
        <v>0</v>
      </c>
      <c r="AI140" s="132"/>
      <c r="AJ140" s="749"/>
      <c r="AK140" s="749"/>
      <c r="AL140" s="695">
        <f>IF(AI140=0,0,(AK140-AI140)/AI140*100)</f>
        <v>0</v>
      </c>
      <c r="AM140" s="83"/>
      <c r="AN140" s="83"/>
      <c r="AO140" s="83"/>
      <c r="AP140" s="286"/>
      <c r="AQ140" s="1659"/>
      <c r="AR140" s="309" t="s">
        <v>2250</v>
      </c>
      <c r="AS140" s="1506"/>
      <c r="AT140" s="1506"/>
      <c r="AU140" s="1506"/>
      <c r="AV140" s="2312" cm="1" t="str">
        <f t="array" ref="AV140:AV140">AV139</f>
        <v>ТЭ.42.31656254.0001</v>
      </c>
      <c r="AW140" s="1751"/>
      <c r="AX140" s="1751"/>
      <c r="AY140" s="1751"/>
      <c r="AZ140" s="1751"/>
      <c r="BA140" s="1751"/>
      <c r="BB140" s="1751"/>
      <c r="BC140" s="1751"/>
      <c r="BD140" s="1751"/>
      <c r="BE140" s="1751"/>
      <c r="BF140" s="1751"/>
      <c r="BG140" s="1751"/>
      <c r="BH140" s="1751"/>
      <c r="BI140" s="1751"/>
      <c r="BJ140" s="1751"/>
      <c r="BK140" s="2312" t="s">
        <v>1327</v>
      </c>
      <c r="BL140" s="2312" t="s">
        <v>303</v>
      </c>
      <c r="BM140" s="2312" t="s">
        <v>2070</v>
      </c>
      <c r="BN140" s="2312" t="s">
        <v>2071</v>
      </c>
    </row>
    <row s="1751" customFormat="1" customHeight="1" ht="16.5" hidden="1">
      <c r="A141" s="371"/>
      <c r="B141" s="1548"/>
      <c r="C141" s="1659"/>
      <c r="D141" s="1659"/>
      <c r="E141" s="180">
        <v>17</v>
      </c>
      <c r="F141" s="175" cm="1" t="str">
        <f t="array" ref="F141:F141">OFFSET(G141,-1,-1)</f>
        <v>1</v>
      </c>
      <c r="G141" s="1659"/>
      <c r="H141" s="193" cm="1" t="str">
        <f t="array" ref="H141:H141">G94</f>
        <v>одноставочный</v>
      </c>
      <c r="I141" s="1659"/>
      <c r="J141" s="1659"/>
      <c r="K141" s="1659"/>
      <c r="L141" s="1659"/>
      <c r="M141" s="1659"/>
      <c r="N141" s="1659"/>
      <c r="O141" s="1659"/>
      <c r="P141" s="1659"/>
      <c r="Q141" s="1659"/>
      <c r="R141" s="1659"/>
      <c r="S141" s="1659"/>
      <c r="T141" s="753">
        <f>AND(F141&gt;0,H141="двухставочный")</f>
        <v>0</v>
      </c>
      <c r="U141" s="1548"/>
      <c r="V141" s="1548"/>
      <c r="W141" s="1548"/>
      <c r="X141" s="1548"/>
      <c r="Y141" s="1548"/>
      <c r="Z141" s="1548"/>
      <c r="AA141" s="286"/>
      <c r="AB141" s="836" t="str">
        <f>AB139&amp;".2"</f>
        <v>9.2</v>
      </c>
      <c r="AC141" s="837" t="s">
        <v>2072</v>
      </c>
      <c r="AD141" s="666" t="s">
        <v>917</v>
      </c>
      <c r="AE141" s="746">
        <f>AE139-AE140</f>
        <v>8593</v>
      </c>
      <c r="AF141" s="746">
        <f>AF139-AF140</f>
        <v>13345.36</v>
      </c>
      <c r="AG141" s="746">
        <f>AG139-AG140</f>
        <v>9343.86814247972</v>
      </c>
      <c r="AH141" s="695">
        <f>AG141-AF141</f>
        <v>-4001.49185752028</v>
      </c>
      <c r="AI141" s="746">
        <f>AI139-AI140</f>
        <v>9613</v>
      </c>
      <c r="AJ141" s="746">
        <f>AJ139-AJ140</f>
        <v>14982.0172230014</v>
      </c>
      <c r="AK141" s="746">
        <f>AK139-AK140</f>
        <v>10639.5560208322</v>
      </c>
      <c r="AL141" s="695">
        <f>IF(AI141=0,0,(AK141-AI141)/AI141*100)</f>
        <v>10.6788309667346</v>
      </c>
      <c r="AM141" s="83"/>
      <c r="AN141" s="83"/>
      <c r="AO141" s="83"/>
      <c r="AP141" s="286"/>
      <c r="AQ141" s="1659"/>
      <c r="AR141" s="309" t="s">
        <v>2251</v>
      </c>
      <c r="AS141" s="1506"/>
      <c r="AT141" s="1506"/>
      <c r="AU141" s="1506"/>
      <c r="AV141" s="2312" cm="1" t="str">
        <f t="array" ref="AV141:AV141">AV140</f>
        <v>ТЭ.42.31656254.0001</v>
      </c>
      <c r="AW141" s="1751"/>
      <c r="AX141" s="1751"/>
      <c r="AY141" s="1751"/>
      <c r="AZ141" s="1751"/>
      <c r="BA141" s="1751"/>
      <c r="BB141" s="1751"/>
      <c r="BC141" s="1751"/>
      <c r="BD141" s="1751"/>
      <c r="BE141" s="1751"/>
      <c r="BF141" s="1751"/>
      <c r="BG141" s="1751"/>
      <c r="BH141" s="1751"/>
      <c r="BI141" s="1751"/>
      <c r="BJ141" s="1751"/>
      <c r="BK141" s="2312" t="s">
        <v>1973</v>
      </c>
      <c r="BL141" s="2312" t="s">
        <v>303</v>
      </c>
      <c r="BM141" s="2312" t="s">
        <v>2074</v>
      </c>
      <c r="BN141" s="2312" t="s">
        <v>2075</v>
      </c>
    </row>
    <row s="1751" customFormat="1" customHeight="1" ht="16.5">
      <c r="A142" s="371"/>
      <c r="B142" s="1548"/>
      <c r="C142" s="1659"/>
      <c r="D142" s="1659"/>
      <c r="E142" s="180">
        <v>17</v>
      </c>
      <c r="F142" s="175" cm="1" t="str">
        <f t="array" ref="F142:F142">OFFSET(G142,-1,-1)</f>
        <v>1</v>
      </c>
      <c r="G142" s="1659"/>
      <c r="H142" s="1659"/>
      <c r="I142" s="1659"/>
      <c r="J142" s="1659"/>
      <c r="K142" s="1659"/>
      <c r="L142" s="1659"/>
      <c r="M142" s="1659"/>
      <c r="N142" s="1659"/>
      <c r="O142" s="1659"/>
      <c r="P142" s="1659"/>
      <c r="Q142" s="1659"/>
      <c r="R142" s="1659"/>
      <c r="S142" s="1659"/>
      <c r="T142" s="753" cm="1" t="str">
        <f t="array" ref="T142:T142">T139</f>
        <v>true</v>
      </c>
      <c r="U142" s="1548"/>
      <c r="V142" s="1548"/>
      <c r="W142" s="1548"/>
      <c r="X142" s="1548"/>
      <c r="Y142" s="1548"/>
      <c r="Z142" s="1548"/>
      <c r="AA142" s="286"/>
      <c r="AB142" s="838">
        <v>10</v>
      </c>
      <c r="AC142" s="839" t="s">
        <v>2076</v>
      </c>
      <c r="AD142" s="840" t="s">
        <v>629</v>
      </c>
      <c r="AE142" s="2280">
        <f>IF($K94="передача тепловой энергии",_xlfn.SUMIFS('Баланс Тр'!AE$27:AE$43,'Баланс Тр'!$F$27:$F$43,$F142,'Баланс Тр'!$AB$27:$AB$43,"3"),_xlfn.SUMIFS('Баланс Пр'!AE$27:AE$165,'Баланс Пр'!$F$27:$F$165,$F142,'Баланс Пр'!$AB$27:$AB$165,"9.1"))</f>
        <v>4383</v>
      </c>
      <c r="AF142" s="714"/>
      <c r="AG142" s="714"/>
      <c r="AH142" s="804"/>
      <c r="AI142" s="2280">
        <f>IF($K94="передача тепловой энергии",_xlfn.SUMIFS('Баланс Тр'!AH$27:AH$43,'Баланс Тр'!$F$27:$F$43,$F142,'Баланс Тр'!$AB$27:$AB$43,"3"),_xlfn.SUMIFS('Баланс Пр'!AH$27:AH$165,'Баланс Пр'!$F$27:$F$165,$F142,'Баланс Пр'!$AB$27:$AB$165,"9.1"))</f>
        <v>4671</v>
      </c>
      <c r="AJ142" s="561">
        <f>IF($K94="передача тепловой энергии",_xlfn.SUMIFS('Баланс Тр'!AI$27:AI$43,'Баланс Тр'!$F$27:$F$43,$F142,'Баланс Тр'!$AB$27:$AB$43,"3"),_xlfn.SUMIFS('Баланс Пр'!AI$27:AI$165,'Баланс Пр'!$F$27:$F$165,$F142,'Баланс Пр'!$AB$27:$AB$165,"9.1"))</f>
        <v>4637</v>
      </c>
      <c r="AK142" s="561">
        <f>IF($K94="передача тепловой энергии",_xlfn.SUMIFS('Баланс Тр'!BC$27:BC$43,'Баланс Тр'!$F$27:$F$43,$F142,'Баланс Тр'!$AB$27:$AB$43,"3"),_xlfn.SUMIFS('Баланс Пр'!BC$27:BC$165,'Баланс Пр'!$F$27:$F$165,$F142,'Баланс Пр'!$AB$27:$AB$165,"9.1"))</f>
        <v>4637</v>
      </c>
      <c r="AL142" s="695">
        <f>IF(AI142=0,0,(AK142-AI142)/AI142*100)</f>
        <v>-0.727895525583387</v>
      </c>
      <c r="AM142" s="1897"/>
      <c r="AN142" s="1897"/>
      <c r="AO142" s="1897"/>
      <c r="AP142" s="286"/>
      <c r="AQ142" s="1659"/>
      <c r="AR142" s="309" t="s">
        <v>2077</v>
      </c>
      <c r="AS142" s="309" t="s">
        <v>2077</v>
      </c>
      <c r="AT142" s="1506"/>
      <c r="AU142" s="1506"/>
      <c r="AV142" s="2312" cm="1" t="str">
        <f t="array" ref="AV142:AV142">AV141</f>
        <v>ТЭ.42.31656254.0001</v>
      </c>
      <c r="AW142" s="1751"/>
      <c r="AX142" s="1751"/>
      <c r="AY142" s="1751"/>
      <c r="AZ142" s="1751"/>
      <c r="BA142" s="1751"/>
      <c r="BB142" s="1751"/>
      <c r="BC142" s="1751"/>
      <c r="BD142" s="1751"/>
      <c r="BE142" s="1751"/>
      <c r="BF142" s="1751"/>
      <c r="BG142" s="2312" t="s">
        <v>845</v>
      </c>
      <c r="BH142" s="1751"/>
      <c r="BI142" s="1751"/>
      <c r="BJ142" s="1751"/>
      <c r="BK142" s="2312" t="s">
        <v>219</v>
      </c>
      <c r="BL142" s="2312" t="s">
        <v>303</v>
      </c>
      <c r="BM142" s="2312" t="s">
        <v>2079</v>
      </c>
      <c r="BN142" s="2312" t="s">
        <v>2080</v>
      </c>
    </row>
    <row s="972" customFormat="1" customHeight="1" ht="16.5">
      <c r="A143" s="972"/>
      <c r="B143" s="972"/>
      <c r="C143" s="972"/>
      <c r="D143" s="972"/>
      <c r="E143" s="180">
        <v>17</v>
      </c>
      <c r="F143" s="175" cm="1" t="str">
        <f t="array" ref="F143:F143">OFFSET(G143,-1,-1)</f>
        <v>1</v>
      </c>
      <c r="G143" s="193" t="s">
        <v>2081</v>
      </c>
      <c r="H143" s="972"/>
      <c r="I143" s="972"/>
      <c r="J143" s="972"/>
      <c r="K143" s="972"/>
      <c r="L143" s="972"/>
      <c r="M143" s="972"/>
      <c r="N143" s="972"/>
      <c r="O143" s="972"/>
      <c r="P143" s="972"/>
      <c r="Q143" s="972"/>
      <c r="R143" s="972"/>
      <c r="S143" s="972"/>
      <c r="T143" s="753" cm="1" t="str">
        <f t="array" ref="T143:T143">T142</f>
        <v>true</v>
      </c>
      <c r="U143" s="972"/>
      <c r="V143" s="972"/>
      <c r="W143" s="972"/>
      <c r="X143" s="972"/>
      <c r="Y143" s="972"/>
      <c r="Z143" s="972"/>
      <c r="AA143" s="972"/>
      <c r="AB143" s="836" t="str">
        <f>AB142&amp;".1"</f>
        <v>10.1</v>
      </c>
      <c r="AC143" s="646" t="s">
        <v>2082</v>
      </c>
      <c r="AD143" s="666" t="s">
        <v>629</v>
      </c>
      <c r="AE143" s="2356"/>
      <c r="AF143" s="714"/>
      <c r="AG143" s="714"/>
      <c r="AH143" s="804"/>
      <c r="AI143" s="2356"/>
      <c r="AJ143" s="749"/>
      <c r="AK143" s="749"/>
      <c r="AL143" s="695">
        <f>IF(AI143=0,0,(AK143-AI143)/AI143*100)</f>
        <v>0</v>
      </c>
      <c r="AM143" s="1897"/>
      <c r="AN143" s="1897"/>
      <c r="AO143" s="1897"/>
      <c r="AP143" s="972"/>
      <c r="AQ143" s="972"/>
      <c r="AR143" s="309" t="s">
        <v>2083</v>
      </c>
      <c r="AS143" s="489" t="s">
        <v>2083</v>
      </c>
      <c r="AT143" s="972"/>
      <c r="AU143" s="972"/>
      <c r="AV143" s="0" cm="1" t="str">
        <f t="array" ref="AV143:AV143">AV142</f>
        <v>ТЭ.42.31656254.0001</v>
      </c>
      <c r="AW143" s="972"/>
      <c r="AX143" s="972"/>
      <c r="AY143" s="972"/>
      <c r="AZ143" s="972"/>
      <c r="BA143" s="972"/>
      <c r="BB143" s="972"/>
      <c r="BC143" s="972"/>
      <c r="BD143" s="972"/>
      <c r="BE143" s="972"/>
      <c r="BF143" s="972"/>
      <c r="BG143" s="0" t="s">
        <v>845</v>
      </c>
      <c r="BH143" s="0" t="s">
        <v>796</v>
      </c>
      <c r="BI143" s="972"/>
      <c r="BJ143" s="972"/>
      <c r="BK143" s="0" t="s">
        <v>219</v>
      </c>
      <c r="BL143" s="0" t="s">
        <v>303</v>
      </c>
      <c r="BM143" s="0" t="s">
        <v>2079</v>
      </c>
      <c r="BN143" s="0" t="s">
        <v>2080</v>
      </c>
    </row>
    <row s="972" customFormat="1" customHeight="1" ht="16.5">
      <c r="A144" s="972"/>
      <c r="B144" s="972"/>
      <c r="C144" s="972"/>
      <c r="D144" s="972"/>
      <c r="E144" s="180">
        <v>17</v>
      </c>
      <c r="F144" s="175" cm="1" t="str">
        <f t="array" ref="F144:F144">OFFSET(G144,-1,-1)</f>
        <v>1</v>
      </c>
      <c r="G144" s="193" t="s">
        <v>2085</v>
      </c>
      <c r="H144" s="972"/>
      <c r="I144" s="972"/>
      <c r="J144" s="972"/>
      <c r="K144" s="972"/>
      <c r="L144" s="972"/>
      <c r="M144" s="972"/>
      <c r="N144" s="972"/>
      <c r="O144" s="972"/>
      <c r="P144" s="972"/>
      <c r="Q144" s="972"/>
      <c r="R144" s="972"/>
      <c r="S144" s="972"/>
      <c r="T144" s="753" cm="1" t="str">
        <f t="array" ref="T144:T144">T143</f>
        <v>true</v>
      </c>
      <c r="U144" s="972"/>
      <c r="V144" s="972"/>
      <c r="W144" s="972"/>
      <c r="X144" s="972"/>
      <c r="Y144" s="972"/>
      <c r="Z144" s="972"/>
      <c r="AA144" s="972"/>
      <c r="AB144" s="836" t="str">
        <f>AB142&amp;".2"</f>
        <v>10.2</v>
      </c>
      <c r="AC144" s="646" t="s">
        <v>2086</v>
      </c>
      <c r="AD144" s="666" t="s">
        <v>1005</v>
      </c>
      <c r="AE144" s="2356"/>
      <c r="AF144" s="714"/>
      <c r="AG144" s="714"/>
      <c r="AH144" s="804"/>
      <c r="AI144" s="2356"/>
      <c r="AJ144" s="749"/>
      <c r="AK144" s="749"/>
      <c r="AL144" s="695">
        <f>IF(AI144=0,0,(AK144-AI144)/AI144*100)</f>
        <v>0</v>
      </c>
      <c r="AM144" s="1897"/>
      <c r="AN144" s="1897"/>
      <c r="AO144" s="1897"/>
      <c r="AP144" s="972"/>
      <c r="AQ144" s="972"/>
      <c r="AR144" s="309" t="s">
        <v>2087</v>
      </c>
      <c r="AS144" s="489" t="s">
        <v>2087</v>
      </c>
      <c r="AT144" s="972"/>
      <c r="AU144" s="972"/>
      <c r="AV144" s="0" cm="1" t="str">
        <f t="array" ref="AV144:AV144">AV143</f>
        <v>ТЭ.42.31656254.0001</v>
      </c>
      <c r="AW144" s="972"/>
      <c r="AX144" s="972"/>
      <c r="AY144" s="972"/>
      <c r="AZ144" s="972"/>
      <c r="BA144" s="972"/>
      <c r="BB144" s="972"/>
      <c r="BC144" s="972"/>
      <c r="BD144" s="972"/>
      <c r="BE144" s="972"/>
      <c r="BF144" s="972"/>
      <c r="BG144" s="0" t="s">
        <v>845</v>
      </c>
      <c r="BH144" s="0" t="s">
        <v>796</v>
      </c>
      <c r="BI144" s="972"/>
      <c r="BJ144" s="972"/>
      <c r="BK144" s="0" t="s">
        <v>255</v>
      </c>
      <c r="BL144" s="0" t="s">
        <v>303</v>
      </c>
      <c r="BM144" s="0" t="s">
        <v>1100</v>
      </c>
      <c r="BN144" s="0" t="s">
        <v>1101</v>
      </c>
    </row>
    <row s="1751" customFormat="1" customHeight="1" ht="16.5">
      <c r="A145" s="371"/>
      <c r="B145" s="1548"/>
      <c r="C145" s="1659"/>
      <c r="D145" s="1659"/>
      <c r="E145" s="180">
        <v>17</v>
      </c>
      <c r="F145" s="175" cm="1" t="str">
        <f t="array" ref="F145:F145">OFFSET(G145,-1,-1)</f>
        <v>1</v>
      </c>
      <c r="G145" s="193" t="s">
        <v>2088</v>
      </c>
      <c r="H145" s="1659"/>
      <c r="I145" s="1659"/>
      <c r="J145" s="1659"/>
      <c r="K145" s="1659"/>
      <c r="L145" s="1659"/>
      <c r="M145" s="1659"/>
      <c r="N145" s="1659"/>
      <c r="O145" s="1659"/>
      <c r="P145" s="1659"/>
      <c r="Q145" s="1659"/>
      <c r="R145" s="1659"/>
      <c r="S145" s="1659"/>
      <c r="T145" s="753" cm="1" t="str">
        <f t="array" ref="T145:T145">T144</f>
        <v>true</v>
      </c>
      <c r="U145" s="1548"/>
      <c r="V145" s="1548"/>
      <c r="W145" s="1548"/>
      <c r="X145" s="1548"/>
      <c r="Y145" s="1548"/>
      <c r="Z145" s="1548"/>
      <c r="AA145" s="286"/>
      <c r="AB145" s="836" t="str">
        <f>AB142&amp;".3"</f>
        <v>10.3</v>
      </c>
      <c r="AC145" s="646" t="s">
        <v>2089</v>
      </c>
      <c r="AD145" s="666" t="s">
        <v>629</v>
      </c>
      <c r="AE145" s="871">
        <f>AE142-AE143</f>
        <v>4383</v>
      </c>
      <c r="AF145" s="714"/>
      <c r="AG145" s="714"/>
      <c r="AH145" s="804"/>
      <c r="AI145" s="871">
        <f>AI142-AI143</f>
        <v>4671</v>
      </c>
      <c r="AJ145" s="871">
        <f>AJ142-AJ143</f>
        <v>4637</v>
      </c>
      <c r="AK145" s="871">
        <f>AK142-AK143</f>
        <v>4637</v>
      </c>
      <c r="AL145" s="695">
        <f>IF(AI145=0,0,(AK145-AI145)/AI145*100)</f>
        <v>-0.727895525583387</v>
      </c>
      <c r="AM145" s="1906"/>
      <c r="AN145" s="1906"/>
      <c r="AO145" s="1906"/>
      <c r="AP145" s="286"/>
      <c r="AQ145" s="1659"/>
      <c r="AR145" s="309" t="s">
        <v>2090</v>
      </c>
      <c r="AS145" s="489"/>
      <c r="AT145" s="1506"/>
      <c r="AU145" s="1506"/>
      <c r="AV145" s="2312" cm="1" t="str">
        <f t="array" ref="AV145:AV145">AV144</f>
        <v>ТЭ.42.31656254.0001</v>
      </c>
      <c r="AW145" s="1751"/>
      <c r="AX145" s="1751"/>
      <c r="AY145" s="1751"/>
      <c r="AZ145" s="1751"/>
      <c r="BA145" s="1751"/>
      <c r="BB145" s="1751"/>
      <c r="BC145" s="1751"/>
      <c r="BD145" s="1751"/>
      <c r="BE145" s="1751"/>
      <c r="BF145" s="1751"/>
      <c r="BG145" s="2312" t="s">
        <v>845</v>
      </c>
      <c r="BH145" s="2312" t="s">
        <v>797</v>
      </c>
      <c r="BI145" s="1751"/>
      <c r="BJ145" s="1751"/>
      <c r="BK145" s="2312" t="s">
        <v>219</v>
      </c>
      <c r="BL145" s="2312" t="s">
        <v>303</v>
      </c>
      <c r="BM145" s="2312" t="s">
        <v>2079</v>
      </c>
      <c r="BN145" s="2312" t="s">
        <v>2080</v>
      </c>
    </row>
    <row s="1751" customFormat="1" customHeight="1" ht="16.5">
      <c r="A146" s="371"/>
      <c r="B146" s="1548"/>
      <c r="C146" s="1659"/>
      <c r="D146" s="1659"/>
      <c r="E146" s="180">
        <v>17</v>
      </c>
      <c r="F146" s="175" cm="1" t="str">
        <f t="array" ref="F146:F146">OFFSET(G146,-1,-1)</f>
        <v>1</v>
      </c>
      <c r="G146" s="193" t="s">
        <v>2091</v>
      </c>
      <c r="H146" s="1659"/>
      <c r="I146" s="1659"/>
      <c r="J146" s="1659"/>
      <c r="K146" s="1659"/>
      <c r="L146" s="1659"/>
      <c r="M146" s="1659"/>
      <c r="N146" s="1659"/>
      <c r="O146" s="1659"/>
      <c r="P146" s="1659"/>
      <c r="Q146" s="1659"/>
      <c r="R146" s="1659"/>
      <c r="S146" s="1659"/>
      <c r="T146" s="753" cm="1" t="str">
        <f t="array" ref="T146:T146">T145</f>
        <v>true</v>
      </c>
      <c r="U146" s="1548"/>
      <c r="V146" s="1548"/>
      <c r="W146" s="1548"/>
      <c r="X146" s="1548"/>
      <c r="Y146" s="1548"/>
      <c r="Z146" s="1548"/>
      <c r="AA146" s="286"/>
      <c r="AB146" s="836" t="str">
        <f>AB142&amp;".4"</f>
        <v>10.4</v>
      </c>
      <c r="AC146" s="646" t="s">
        <v>2092</v>
      </c>
      <c r="AD146" s="666" t="s">
        <v>1005</v>
      </c>
      <c r="AE146" s="2356">
        <f>_xlfn.IFERROR((AE139*1000-AE143*AE144)/AE145,0)</f>
        <v>1960.52931781885</v>
      </c>
      <c r="AF146" s="714"/>
      <c r="AG146" s="714"/>
      <c r="AH146" s="804"/>
      <c r="AI146" s="2356">
        <f>_xlfn.IFERROR((AI139*1000-AI143*AI144)/AI145,0)</f>
        <v>2058.01755512738</v>
      </c>
      <c r="AJ146" s="749">
        <f>_xlfn.IFERROR((AJ139*1000-AJ143*AJ144)/AJ145,0)</f>
        <v>3230.97201272405</v>
      </c>
      <c r="AK146" s="749">
        <f>_xlfn.IFERROR((AK139*1000-AK143*AK144)/AK145,0)</f>
        <v>2294.49127039728</v>
      </c>
      <c r="AL146" s="695">
        <f>IF(AI146=0,0,(AK146-AI146)/AI146*100)</f>
        <v>11.4903643402237</v>
      </c>
      <c r="AM146" s="1907"/>
      <c r="AN146" s="1907"/>
      <c r="AO146" s="1907"/>
      <c r="AP146" s="286"/>
      <c r="AQ146" s="1659"/>
      <c r="AR146" s="309" t="s">
        <v>2093</v>
      </c>
      <c r="AS146" s="489" t="s">
        <v>2093</v>
      </c>
      <c r="AT146" s="1506"/>
      <c r="AU146" s="1506"/>
      <c r="AV146" s="2312" cm="1" t="str">
        <f t="array" ref="AV146:AV146">AV145</f>
        <v>ТЭ.42.31656254.0001</v>
      </c>
      <c r="AW146" s="1751"/>
      <c r="AX146" s="1751"/>
      <c r="AY146" s="1751"/>
      <c r="AZ146" s="1751"/>
      <c r="BA146" s="1751"/>
      <c r="BB146" s="1751"/>
      <c r="BC146" s="1751"/>
      <c r="BD146" s="1751"/>
      <c r="BE146" s="1751"/>
      <c r="BF146" s="1751"/>
      <c r="BG146" s="2312" t="s">
        <v>845</v>
      </c>
      <c r="BH146" s="2312" t="s">
        <v>797</v>
      </c>
      <c r="BI146" s="1751"/>
      <c r="BJ146" s="1751"/>
      <c r="BK146" s="2312" t="s">
        <v>255</v>
      </c>
      <c r="BL146" s="2312" t="s">
        <v>303</v>
      </c>
      <c r="BM146" s="2312" t="s">
        <v>1100</v>
      </c>
      <c r="BN146" s="2312" t="s">
        <v>1101</v>
      </c>
    </row>
    <row s="995" customFormat="1" customHeight="1" ht="16.5">
      <c r="A147" s="995"/>
      <c r="B147" s="995"/>
      <c r="C147" s="995"/>
      <c r="D147" s="995"/>
      <c r="E147" s="180">
        <v>17</v>
      </c>
      <c r="F147" s="175" cm="1" t="str">
        <f t="array" ref="F147:F147">OFFSET(G147,-1,-1)</f>
        <v>1</v>
      </c>
      <c r="G147" s="995"/>
      <c r="H147" s="995"/>
      <c r="I147" s="995"/>
      <c r="J147" s="995"/>
      <c r="K147" s="995"/>
      <c r="L147" s="995"/>
      <c r="M147" s="995"/>
      <c r="N147" s="995"/>
      <c r="O147" s="995"/>
      <c r="P147" s="995"/>
      <c r="Q147" s="995"/>
      <c r="R147" s="995"/>
      <c r="S147" s="995"/>
      <c r="T147" s="753" cm="1" t="str">
        <f t="array" ref="T147:T147">T146</f>
        <v>true</v>
      </c>
      <c r="U147" s="995"/>
      <c r="V147" s="995"/>
      <c r="W147" s="995"/>
      <c r="X147" s="995"/>
      <c r="Y147" s="995"/>
      <c r="Z147" s="995"/>
      <c r="AA147" s="995"/>
      <c r="AB147" s="836" t="str">
        <f>AB142&amp;".5"</f>
        <v>10.5</v>
      </c>
      <c r="AC147" s="842" t="s">
        <v>2094</v>
      </c>
      <c r="AD147" s="666" t="s">
        <v>495</v>
      </c>
      <c r="AE147" s="843">
        <f>_xlfn.IFERROR(AE146/AE144,0)</f>
        <v>0</v>
      </c>
      <c r="AF147" s="714"/>
      <c r="AG147" s="714"/>
      <c r="AH147" s="804"/>
      <c r="AI147" s="843">
        <f>_xlfn.IFERROR(AI146/AI144,0)</f>
        <v>0</v>
      </c>
      <c r="AJ147" s="843">
        <f>_xlfn.IFERROR(AJ146/AJ144,0)</f>
        <v>0</v>
      </c>
      <c r="AK147" s="843">
        <f>_xlfn.IFERROR(AK146/AK144,0)</f>
        <v>0</v>
      </c>
      <c r="AL147" s="695">
        <f>IF(AI147=0,0,(AK147-AI147)/AI147*100)</f>
        <v>0</v>
      </c>
      <c r="AM147" s="413"/>
      <c r="AN147" s="413"/>
      <c r="AO147" s="413"/>
      <c r="AP147" s="826"/>
      <c r="AQ147" s="995"/>
      <c r="AR147" s="309" t="s">
        <v>2095</v>
      </c>
      <c r="AS147" s="995"/>
      <c r="AT147" s="995"/>
      <c r="AU147" s="995"/>
      <c r="AV147" s="1733" cm="1" t="str">
        <f t="array" ref="AV147:AV147">AV146</f>
        <v>ТЭ.42.31656254.0001</v>
      </c>
      <c r="AW147" s="1733"/>
      <c r="AX147" s="1733"/>
      <c r="AY147" s="1733"/>
      <c r="AZ147" s="1733"/>
      <c r="BA147" s="1733"/>
      <c r="BB147" s="1733"/>
      <c r="BC147" s="1733"/>
      <c r="BD147" s="1733"/>
      <c r="BE147" s="1733"/>
      <c r="BF147" s="1733"/>
      <c r="BG147" s="1733" t="s">
        <v>845</v>
      </c>
      <c r="BH147" s="1733"/>
      <c r="BI147" s="1733"/>
      <c r="BJ147" s="1733"/>
      <c r="BK147" s="1733" t="s">
        <v>255</v>
      </c>
      <c r="BL147" s="1733" t="s">
        <v>303</v>
      </c>
      <c r="BM147" s="1733" t="s">
        <v>931</v>
      </c>
      <c r="BN147" s="1733" t="s">
        <v>932</v>
      </c>
    </row>
    <row s="1751" customFormat="1" customHeight="1" ht="16.5">
      <c r="A148" s="371"/>
      <c r="B148" s="1548"/>
      <c r="C148" s="1659"/>
      <c r="D148" s="1659"/>
      <c r="E148" s="180">
        <v>17</v>
      </c>
      <c r="F148" s="175" cm="1" t="str">
        <f t="array" ref="F148:F148">OFFSET(G148,-1,-1)</f>
        <v>1</v>
      </c>
      <c r="G148" s="1659"/>
      <c r="H148" s="1659"/>
      <c r="I148" s="1659"/>
      <c r="J148" s="1659"/>
      <c r="K148" s="1659"/>
      <c r="L148" s="1659"/>
      <c r="M148" s="1659"/>
      <c r="N148" s="1659"/>
      <c r="O148" s="1659"/>
      <c r="P148" s="1659"/>
      <c r="Q148" s="1659"/>
      <c r="R148" s="1659"/>
      <c r="S148" s="1659"/>
      <c r="T148" s="753" cm="1" t="str">
        <f t="array" ref="T148:T148">T147</f>
        <v>true</v>
      </c>
      <c r="U148" s="1548"/>
      <c r="V148" s="1548"/>
      <c r="W148" s="1548"/>
      <c r="X148" s="1548"/>
      <c r="Y148" s="1548"/>
      <c r="Z148" s="1548"/>
      <c r="AA148" s="286"/>
      <c r="AB148" s="836" t="str">
        <f>AB142&amp;".6"</f>
        <v>10.6</v>
      </c>
      <c r="AC148" s="842" t="s">
        <v>2097</v>
      </c>
      <c r="AD148" s="666" t="s">
        <v>1005</v>
      </c>
      <c r="AE148" s="871">
        <f>_xlfn.IFERROR(AE139/AE142*1000,0)</f>
        <v>1960.52931781885</v>
      </c>
      <c r="AF148" s="714"/>
      <c r="AG148" s="714"/>
      <c r="AH148" s="804"/>
      <c r="AI148" s="871">
        <f>_xlfn.IFERROR(AI139/AI142*1000,0)</f>
        <v>2058.01755512738</v>
      </c>
      <c r="AJ148" s="871">
        <f>_xlfn.IFERROR(AJ139/AJ142*1000,0)</f>
        <v>3230.97201272405</v>
      </c>
      <c r="AK148" s="871">
        <f>_xlfn.IFERROR(AK139/AK142*1000,0)</f>
        <v>2294.49127039728</v>
      </c>
      <c r="AL148" s="695">
        <f>IF(AI148=0,0,(AK148-AI148)/AI148*100)</f>
        <v>11.4903643402237</v>
      </c>
      <c r="AM148" s="1907"/>
      <c r="AN148" s="1907"/>
      <c r="AO148" s="1907"/>
      <c r="AP148" s="286"/>
      <c r="AQ148" s="1659"/>
      <c r="AR148" s="309" t="s">
        <v>2098</v>
      </c>
      <c r="AS148" s="1506"/>
      <c r="AT148" s="1506"/>
      <c r="AU148" s="1506"/>
      <c r="AV148" s="2312" cm="1" t="str">
        <f t="array" ref="AV148:AV148">AV147</f>
        <v>ТЭ.42.31656254.0001</v>
      </c>
      <c r="AW148" s="1751"/>
      <c r="AX148" s="1751"/>
      <c r="AY148" s="1751"/>
      <c r="AZ148" s="1751"/>
      <c r="BA148" s="1751"/>
      <c r="BB148" s="1751"/>
      <c r="BC148" s="1751"/>
      <c r="BD148" s="1751"/>
      <c r="BE148" s="1751"/>
      <c r="BF148" s="1751"/>
      <c r="BG148" s="2312" t="s">
        <v>845</v>
      </c>
      <c r="BH148" s="1751"/>
      <c r="BI148" s="1751"/>
      <c r="BJ148" s="1751"/>
      <c r="BK148" s="2312" t="s">
        <v>449</v>
      </c>
      <c r="BL148" s="2312" t="s">
        <v>303</v>
      </c>
      <c r="BM148" s="2312" t="s">
        <v>2100</v>
      </c>
      <c r="BN148" s="2312" t="s">
        <v>2101</v>
      </c>
    </row>
    <row s="995" customFormat="1" customHeight="1" ht="16.5" hidden="1">
      <c r="A149" s="995"/>
      <c r="B149" s="995"/>
      <c r="C149" s="995"/>
      <c r="D149" s="995"/>
      <c r="E149" s="180">
        <v>17</v>
      </c>
      <c r="F149" s="175" cm="1" t="str">
        <f t="array" ref="F149:F149">OFFSET(G149,-1,-1)</f>
        <v>1</v>
      </c>
      <c r="G149" s="995"/>
      <c r="H149" s="193" cm="1" t="str">
        <f t="array" ref="H149:H149">G94</f>
        <v>одноставочный</v>
      </c>
      <c r="I149" s="995"/>
      <c r="J149" s="995"/>
      <c r="K149" s="995"/>
      <c r="L149" s="995"/>
      <c r="M149" s="995"/>
      <c r="N149" s="995"/>
      <c r="O149" s="995"/>
      <c r="P149" s="995"/>
      <c r="Q149" s="995"/>
      <c r="R149" s="995"/>
      <c r="S149" s="995"/>
      <c r="T149" s="753">
        <f>AND(F149&gt;0,H149="двухставочный")</f>
        <v>0</v>
      </c>
      <c r="U149" s="995"/>
      <c r="V149" s="995"/>
      <c r="W149" s="995"/>
      <c r="X149" s="995"/>
      <c r="Y149" s="995"/>
      <c r="Z149" s="995"/>
      <c r="AA149" s="826"/>
      <c r="AB149" s="838">
        <v>11</v>
      </c>
      <c r="AC149" s="844" t="s">
        <v>2102</v>
      </c>
      <c r="AD149" s="845" t="s">
        <v>752</v>
      </c>
      <c r="AE149" s="100">
        <f>_xlfn.SUMIFS('Баланс Пр'!AE$27:AE$165,'Баланс Пр'!$F$27:$F$165,$F149,'Баланс Пр'!$AB$27:$AB$165,"10")</f>
        <v>0</v>
      </c>
      <c r="AF149" s="714"/>
      <c r="AG149" s="714"/>
      <c r="AH149" s="804"/>
      <c r="AI149" s="100">
        <f>_xlfn.SUMIFS('Баланс Пр'!AH$27:AH$165,'Баланс Пр'!$F$27:$F$165,$F149,'Баланс Пр'!$AB$27:$AB$165,"10")</f>
        <v>0</v>
      </c>
      <c r="AJ149" s="561">
        <f>_xlfn.SUMIFS('Баланс Пр'!AI$27:AI$165,'Баланс Пр'!$F$27:$F$165,$F149,'Баланс Пр'!$AB$27:$AB$165,"10")</f>
        <v>0</v>
      </c>
      <c r="AK149" s="561">
        <f>_xlfn.SUMIFS('Баланс Пр'!BC$27:BC$165,'Баланс Пр'!$F$27:$F$165,$F149,'Баланс Пр'!$AB$27:$AB$165,"10")</f>
        <v>0</v>
      </c>
      <c r="AL149" s="695">
        <f>IF(AI149=0,0,(AK149-AI149)/AI149*100)</f>
        <v>0</v>
      </c>
      <c r="AM149" s="827"/>
      <c r="AN149" s="827"/>
      <c r="AO149" s="610"/>
      <c r="AP149" s="826"/>
      <c r="AQ149" s="995"/>
      <c r="AR149" s="309" t="s">
        <v>753</v>
      </c>
      <c r="AS149" s="995"/>
      <c r="AT149" s="995"/>
      <c r="AU149" s="995"/>
      <c r="AV149" s="1733" cm="1" t="str">
        <f t="array" ref="AV149:AV149">AV148</f>
        <v>ТЭ.42.31656254.0001</v>
      </c>
      <c r="AW149" s="1733"/>
      <c r="AX149" s="1733"/>
      <c r="AY149" s="1733"/>
      <c r="AZ149" s="1733"/>
      <c r="BA149" s="1733"/>
      <c r="BB149" s="1733"/>
      <c r="BC149" s="1733"/>
      <c r="BD149" s="1733"/>
      <c r="BE149" s="1733"/>
      <c r="BF149" s="1733"/>
      <c r="BG149" s="1733"/>
      <c r="BH149" s="1733"/>
      <c r="BI149" s="1733"/>
      <c r="BJ149" s="1733"/>
      <c r="BK149" s="1733" t="s">
        <v>1978</v>
      </c>
      <c r="BL149" s="1733" t="s">
        <v>303</v>
      </c>
      <c r="BM149" s="1733" t="s">
        <v>2104</v>
      </c>
      <c r="BN149" s="1733" t="s">
        <v>2105</v>
      </c>
    </row>
    <row s="1751" customFormat="1" customHeight="1" ht="16.5" hidden="1">
      <c r="A150" s="371"/>
      <c r="B150" s="1548"/>
      <c r="C150" s="1659"/>
      <c r="D150" s="1659"/>
      <c r="E150" s="180">
        <v>17</v>
      </c>
      <c r="F150" s="175" cm="1" t="str">
        <f t="array" ref="F150:F150">OFFSET(G150,-1,-1)</f>
        <v>1</v>
      </c>
      <c r="G150" s="1659"/>
      <c r="H150" s="193" cm="1" t="str">
        <f t="array" ref="H150:H150">G94</f>
        <v>одноставочный</v>
      </c>
      <c r="I150" s="1659"/>
      <c r="J150" s="1659"/>
      <c r="K150" s="1659"/>
      <c r="L150" s="1659"/>
      <c r="M150" s="1659"/>
      <c r="N150" s="1659"/>
      <c r="O150" s="1659"/>
      <c r="P150" s="1659"/>
      <c r="Q150" s="1659"/>
      <c r="R150" s="1659"/>
      <c r="S150" s="1659"/>
      <c r="T150" s="753">
        <f>AND(F150&gt;0,H150="двухставочный")</f>
        <v>0</v>
      </c>
      <c r="U150" s="1548"/>
      <c r="V150" s="1548"/>
      <c r="W150" s="1548"/>
      <c r="X150" s="1548"/>
      <c r="Y150" s="1548"/>
      <c r="Z150" s="1548"/>
      <c r="AA150" s="286"/>
      <c r="AB150" s="836" t="str">
        <f>AB149&amp;".1"</f>
        <v>11.1</v>
      </c>
      <c r="AC150" s="365" t="s">
        <v>2107</v>
      </c>
      <c r="AD150" s="846" t="s">
        <v>752</v>
      </c>
      <c r="AE150" s="141" cm="1" t="str">
        <f t="array" ref="AE150:AE150">AE149</f>
        <v>0</v>
      </c>
      <c r="AF150" s="714"/>
      <c r="AG150" s="714"/>
      <c r="AH150" s="804"/>
      <c r="AI150" s="141" cm="1" t="str">
        <f t="array" ref="AI150:AI150">AI149</f>
        <v>0</v>
      </c>
      <c r="AJ150" s="818" cm="1" t="str">
        <f t="array" ref="AJ150:AJ150">AJ149</f>
        <v>0</v>
      </c>
      <c r="AK150" s="818" cm="1" t="str">
        <f t="array" ref="AK150:AK150">AK149</f>
        <v>0</v>
      </c>
      <c r="AL150" s="695">
        <f>IF(AI150=0,0,(AK150-AI150)/AI150*100)</f>
        <v>0</v>
      </c>
      <c r="AM150" s="86"/>
      <c r="AN150" s="86"/>
      <c r="AO150" s="86"/>
      <c r="AP150" s="286"/>
      <c r="AQ150" s="1659"/>
      <c r="AR150" s="309" t="s">
        <v>2108</v>
      </c>
      <c r="AS150" s="1506"/>
      <c r="AT150" s="1506"/>
      <c r="AU150" s="1506"/>
      <c r="AV150" s="2312" cm="1" t="str">
        <f t="array" ref="AV150:AV150">AV149</f>
        <v>ТЭ.42.31656254.0001</v>
      </c>
      <c r="AW150" s="1751"/>
      <c r="AX150" s="1751"/>
      <c r="AY150" s="1751"/>
      <c r="AZ150" s="1751"/>
      <c r="BA150" s="1751"/>
      <c r="BB150" s="1751"/>
      <c r="BC150" s="1751"/>
      <c r="BD150" s="1751"/>
      <c r="BE150" s="1751"/>
      <c r="BF150" s="1751"/>
      <c r="BG150" s="1751"/>
      <c r="BH150" s="2312" t="s">
        <v>796</v>
      </c>
      <c r="BI150" s="1751"/>
      <c r="BJ150" s="2312" t="s">
        <v>2084</v>
      </c>
      <c r="BK150" s="2312" t="s">
        <v>219</v>
      </c>
      <c r="BL150" s="2312" t="s">
        <v>303</v>
      </c>
      <c r="BM150" s="2312" t="s">
        <v>2104</v>
      </c>
      <c r="BN150" s="2312" t="s">
        <v>2105</v>
      </c>
    </row>
    <row s="1751" customFormat="1" customHeight="1" ht="16.5" hidden="1">
      <c r="A151" s="371"/>
      <c r="B151" s="1548"/>
      <c r="C151" s="1659"/>
      <c r="D151" s="1659"/>
      <c r="E151" s="180">
        <v>17</v>
      </c>
      <c r="F151" s="175" cm="1" t="str">
        <f t="array" ref="F151:F151">OFFSET(G151,-1,-1)</f>
        <v>1</v>
      </c>
      <c r="G151" s="1659"/>
      <c r="H151" s="193" cm="1" t="str">
        <f t="array" ref="H151:H151">G94</f>
        <v>одноставочный</v>
      </c>
      <c r="I151" s="1659"/>
      <c r="J151" s="1659"/>
      <c r="K151" s="1659"/>
      <c r="L151" s="1659"/>
      <c r="M151" s="1659"/>
      <c r="N151" s="1659"/>
      <c r="O151" s="1659"/>
      <c r="P151" s="1659"/>
      <c r="Q151" s="1659"/>
      <c r="R151" s="1659"/>
      <c r="S151" s="1659"/>
      <c r="T151" s="753">
        <f>AND(F151&gt;0,H151="двухставочный")</f>
        <v>0</v>
      </c>
      <c r="U151" s="1548"/>
      <c r="V151" s="1548"/>
      <c r="W151" s="1548"/>
      <c r="X151" s="1548"/>
      <c r="Y151" s="1548"/>
      <c r="Z151" s="1548"/>
      <c r="AA151" s="286"/>
      <c r="AB151" s="836" t="str">
        <f>AB149&amp;".2"</f>
        <v>11.2</v>
      </c>
      <c r="AC151" s="365" t="s">
        <v>2110</v>
      </c>
      <c r="AD151" s="846" t="s">
        <v>752</v>
      </c>
      <c r="AE151" s="141" cm="1" t="str">
        <f t="array" ref="AE151:AE151">AE149</f>
        <v>0</v>
      </c>
      <c r="AF151" s="714"/>
      <c r="AG151" s="714"/>
      <c r="AH151" s="804"/>
      <c r="AI151" s="141" cm="1" t="str">
        <f t="array" ref="AI151:AI151">AI149</f>
        <v>0</v>
      </c>
      <c r="AJ151" s="818" cm="1" t="str">
        <f t="array" ref="AJ151:AJ151">AJ149</f>
        <v>0</v>
      </c>
      <c r="AK151" s="818" cm="1" t="str">
        <f t="array" ref="AK151:AK151">AK149</f>
        <v>0</v>
      </c>
      <c r="AL151" s="695">
        <f>IF(AI151=0,0,(AK151-AI151)/AI151*100)</f>
        <v>0</v>
      </c>
      <c r="AM151" s="86"/>
      <c r="AN151" s="86"/>
      <c r="AO151" s="86"/>
      <c r="AP151" s="286"/>
      <c r="AQ151" s="1659"/>
      <c r="AR151" s="309" t="s">
        <v>2111</v>
      </c>
      <c r="AS151" s="1506"/>
      <c r="AT151" s="1506"/>
      <c r="AU151" s="1506"/>
      <c r="AV151" s="2312" cm="1" t="str">
        <f t="array" ref="AV151:AV151">AV150</f>
        <v>ТЭ.42.31656254.0001</v>
      </c>
      <c r="AW151" s="1751"/>
      <c r="AX151" s="1751"/>
      <c r="AY151" s="1751"/>
      <c r="AZ151" s="1751"/>
      <c r="BA151" s="1751"/>
      <c r="BB151" s="1751"/>
      <c r="BC151" s="1751"/>
      <c r="BD151" s="1751"/>
      <c r="BE151" s="1751"/>
      <c r="BF151" s="1751"/>
      <c r="BG151" s="1751"/>
      <c r="BH151" s="2312" t="s">
        <v>797</v>
      </c>
      <c r="BI151" s="1751"/>
      <c r="BJ151" s="1751"/>
      <c r="BK151" s="2312" t="s">
        <v>219</v>
      </c>
      <c r="BL151" s="2312" t="s">
        <v>303</v>
      </c>
      <c r="BM151" s="2312" t="s">
        <v>2104</v>
      </c>
      <c r="BN151" s="2312" t="s">
        <v>2105</v>
      </c>
    </row>
    <row s="1751" customFormat="1" customHeight="1" ht="16.5" hidden="1">
      <c r="A152" s="371"/>
      <c r="B152" s="1548"/>
      <c r="C152" s="1659"/>
      <c r="D152" s="1659"/>
      <c r="E152" s="180">
        <v>17</v>
      </c>
      <c r="F152" s="175" cm="1" t="str">
        <f t="array" ref="F152:F152">OFFSET(G152,-1,-1)</f>
        <v>1</v>
      </c>
      <c r="G152" s="1659"/>
      <c r="H152" s="193" cm="1" t="str">
        <f t="array" ref="H152:H152">G94</f>
        <v>одноставочный</v>
      </c>
      <c r="I152" s="1659"/>
      <c r="J152" s="1659"/>
      <c r="K152" s="1659"/>
      <c r="L152" s="1659"/>
      <c r="M152" s="1659"/>
      <c r="N152" s="1659"/>
      <c r="O152" s="1659"/>
      <c r="P152" s="1659"/>
      <c r="Q152" s="1659"/>
      <c r="R152" s="1659"/>
      <c r="S152" s="1659"/>
      <c r="T152" s="753">
        <f>AND(F152&gt;0,H152="двухставочный")</f>
        <v>0</v>
      </c>
      <c r="U152" s="1548"/>
      <c r="V152" s="1548"/>
      <c r="W152" s="1548"/>
      <c r="X152" s="1548"/>
      <c r="Y152" s="1548"/>
      <c r="Z152" s="1548"/>
      <c r="AA152" s="286"/>
      <c r="AB152" s="641">
        <v>12</v>
      </c>
      <c r="AC152" s="437" t="s">
        <v>2112</v>
      </c>
      <c r="AD152" s="772"/>
      <c r="AE152" s="722"/>
      <c r="AF152" s="714"/>
      <c r="AG152" s="714"/>
      <c r="AH152" s="804"/>
      <c r="AI152" s="722"/>
      <c r="AJ152" s="722"/>
      <c r="AK152" s="722"/>
      <c r="AL152" s="804"/>
      <c r="AM152" s="83"/>
      <c r="AN152" s="83"/>
      <c r="AO152" s="83"/>
      <c r="AP152" s="286"/>
      <c r="AQ152" s="1659"/>
      <c r="AR152" s="309" t="s">
        <v>2113</v>
      </c>
      <c r="AS152" s="1506"/>
      <c r="AT152" s="1506"/>
      <c r="AU152" s="1506"/>
      <c r="AV152" s="2312" cm="1" t="str">
        <f t="array" ref="AV152:AV152">AV151</f>
        <v>ТЭ.42.31656254.0001</v>
      </c>
      <c r="AW152" s="1751"/>
      <c r="AX152" s="1751"/>
      <c r="AY152" s="1751"/>
      <c r="AZ152" s="1751"/>
      <c r="BA152" s="1751"/>
      <c r="BB152" s="1751"/>
      <c r="BC152" s="1751"/>
      <c r="BD152" s="1751"/>
      <c r="BE152" s="1751"/>
      <c r="BF152" s="1751"/>
      <c r="BG152" s="1751"/>
      <c r="BH152" s="1751"/>
      <c r="BI152" s="1751"/>
      <c r="BJ152" s="1751"/>
      <c r="BK152" s="2312" t="s">
        <v>1983</v>
      </c>
      <c r="BL152" s="2312" t="s">
        <v>176</v>
      </c>
      <c r="BM152" s="1751"/>
      <c r="BN152" s="1751"/>
    </row>
    <row s="1751" customFormat="1" customHeight="1" ht="16.5" hidden="1">
      <c r="A153" s="371"/>
      <c r="B153" s="1548"/>
      <c r="C153" s="1659"/>
      <c r="D153" s="1659"/>
      <c r="E153" s="180">
        <v>17</v>
      </c>
      <c r="F153" s="175" cm="1" t="str">
        <f t="array" ref="F153:F153">OFFSET(G153,-1,-1)</f>
        <v>1</v>
      </c>
      <c r="G153" s="193" t="s">
        <v>2115</v>
      </c>
      <c r="H153" s="193" cm="1" t="str">
        <f t="array" ref="H153:H153">G94</f>
        <v>одноставочный</v>
      </c>
      <c r="I153" s="1659"/>
      <c r="J153" s="1659"/>
      <c r="K153" s="1659"/>
      <c r="L153" s="1659"/>
      <c r="M153" s="1659"/>
      <c r="N153" s="1659"/>
      <c r="O153" s="1659"/>
      <c r="P153" s="1659"/>
      <c r="Q153" s="1659"/>
      <c r="R153" s="1659"/>
      <c r="S153" s="1659"/>
      <c r="T153" s="753">
        <f>AND(F153&gt;0,H153="двухставочный")</f>
        <v>0</v>
      </c>
      <c r="U153" s="1548"/>
      <c r="V153" s="1548"/>
      <c r="W153" s="1548"/>
      <c r="X153" s="1548"/>
      <c r="Y153" s="1548"/>
      <c r="Z153" s="1548"/>
      <c r="AA153" s="286"/>
      <c r="AB153" s="836" t="str">
        <f>AB152&amp;".1"</f>
        <v>12.1</v>
      </c>
      <c r="AC153" s="537" t="s">
        <v>2116</v>
      </c>
      <c r="AD153" s="333" t="s">
        <v>1005</v>
      </c>
      <c r="AE153" s="141"/>
      <c r="AF153" s="714"/>
      <c r="AG153" s="714"/>
      <c r="AH153" s="804"/>
      <c r="AI153" s="141"/>
      <c r="AJ153" s="818"/>
      <c r="AK153" s="818"/>
      <c r="AL153" s="695">
        <f>IF(AI153=0,0,(AK153-AI153)/AI153*100)</f>
        <v>0</v>
      </c>
      <c r="AM153" s="83"/>
      <c r="AN153" s="83"/>
      <c r="AO153" s="83"/>
      <c r="AP153" s="286"/>
      <c r="AQ153" s="1659"/>
      <c r="AR153" s="309" t="s">
        <v>2117</v>
      </c>
      <c r="AS153" s="1506"/>
      <c r="AT153" s="1506"/>
      <c r="AU153" s="1506"/>
      <c r="AV153" s="2312" cm="1" t="str">
        <f t="array" ref="AV153:AV153">AV152</f>
        <v>ТЭ.42.31656254.0001</v>
      </c>
      <c r="AW153" s="1751"/>
      <c r="AX153" s="1751"/>
      <c r="AY153" s="1751"/>
      <c r="AZ153" s="1751"/>
      <c r="BA153" s="1751"/>
      <c r="BB153" s="1751"/>
      <c r="BC153" s="1751"/>
      <c r="BD153" s="1751"/>
      <c r="BE153" s="1751"/>
      <c r="BF153" s="1751"/>
      <c r="BG153" s="1751"/>
      <c r="BH153" s="2312" t="s">
        <v>796</v>
      </c>
      <c r="BI153" s="1751"/>
      <c r="BJ153" s="2312" t="s">
        <v>2084</v>
      </c>
      <c r="BK153" s="2312" t="s">
        <v>255</v>
      </c>
      <c r="BL153" s="2312" t="s">
        <v>303</v>
      </c>
      <c r="BM153" s="2312" t="s">
        <v>2118</v>
      </c>
      <c r="BN153" s="2312" t="s">
        <v>2119</v>
      </c>
    </row>
    <row s="1751" customFormat="1" customHeight="1" ht="16.5" hidden="1">
      <c r="A154" s="371"/>
      <c r="B154" s="1548"/>
      <c r="C154" s="1659"/>
      <c r="D154" s="1659"/>
      <c r="E154" s="180">
        <v>17</v>
      </c>
      <c r="F154" s="175" cm="1" t="str">
        <f t="array" ref="F154:F154">OFFSET(G154,-1,-1)</f>
        <v>1</v>
      </c>
      <c r="G154" s="193" t="s">
        <v>2120</v>
      </c>
      <c r="H154" s="193" cm="1" t="str">
        <f t="array" ref="H154:H154">G94</f>
        <v>одноставочный</v>
      </c>
      <c r="I154" s="1659"/>
      <c r="J154" s="1659"/>
      <c r="K154" s="1659"/>
      <c r="L154" s="1659"/>
      <c r="M154" s="1659"/>
      <c r="N154" s="1659"/>
      <c r="O154" s="1659"/>
      <c r="P154" s="1659"/>
      <c r="Q154" s="1659"/>
      <c r="R154" s="1659"/>
      <c r="S154" s="1659"/>
      <c r="T154" s="753">
        <f>AND(F154&gt;0,H154="двухставочный")</f>
        <v>0</v>
      </c>
      <c r="U154" s="1548"/>
      <c r="V154" s="1548"/>
      <c r="W154" s="1548"/>
      <c r="X154" s="1548"/>
      <c r="Y154" s="1548"/>
      <c r="Z154" s="1548"/>
      <c r="AA154" s="286"/>
      <c r="AB154" s="836" t="str">
        <f>AB152&amp;".2"</f>
        <v>12.2</v>
      </c>
      <c r="AC154" s="537" t="s">
        <v>2121</v>
      </c>
      <c r="AD154" s="333" t="s">
        <v>1005</v>
      </c>
      <c r="AE154" s="746">
        <f>_xlfn.IFERROR((AE140*1000-AE143*AE153)/AE145,0)</f>
        <v>0</v>
      </c>
      <c r="AF154" s="714"/>
      <c r="AG154" s="714"/>
      <c r="AH154" s="804"/>
      <c r="AI154" s="746">
        <f>_xlfn.IFERROR((AI140*1000-AI143*AI153)/AI145,0)</f>
        <v>0</v>
      </c>
      <c r="AJ154" s="746">
        <f>_xlfn.IFERROR((AJ140*1000-AJ143*AJ153)/AJ145,0)</f>
        <v>0</v>
      </c>
      <c r="AK154" s="746">
        <f>_xlfn.IFERROR((AK140*1000-AK143*AK153)/AK145,0)</f>
        <v>0</v>
      </c>
      <c r="AL154" s="695">
        <f>IF(AI154=0,0,(AK154-AI154)/AI154*100)</f>
        <v>0</v>
      </c>
      <c r="AM154" s="83"/>
      <c r="AN154" s="83"/>
      <c r="AO154" s="83"/>
      <c r="AP154" s="286"/>
      <c r="AQ154" s="1659"/>
      <c r="AR154" s="309" t="s">
        <v>2122</v>
      </c>
      <c r="AS154" s="1506"/>
      <c r="AT154" s="1506"/>
      <c r="AU154" s="1506"/>
      <c r="AV154" s="2312" cm="1" t="str">
        <f t="array" ref="AV154:AV154">AV153</f>
        <v>ТЭ.42.31656254.0001</v>
      </c>
      <c r="AW154" s="1751"/>
      <c r="AX154" s="1751"/>
      <c r="AY154" s="1751"/>
      <c r="AZ154" s="1751"/>
      <c r="BA154" s="1751"/>
      <c r="BB154" s="1751"/>
      <c r="BC154" s="1751"/>
      <c r="BD154" s="1751"/>
      <c r="BE154" s="1751"/>
      <c r="BF154" s="1751"/>
      <c r="BG154" s="1751"/>
      <c r="BH154" s="2312" t="s">
        <v>797</v>
      </c>
      <c r="BI154" s="1751"/>
      <c r="BJ154" s="1751"/>
      <c r="BK154" s="2312" t="s">
        <v>255</v>
      </c>
      <c r="BL154" s="2312" t="s">
        <v>303</v>
      </c>
      <c r="BM154" s="2312" t="s">
        <v>2118</v>
      </c>
      <c r="BN154" s="2312" t="s">
        <v>2119</v>
      </c>
    </row>
    <row s="1751" customFormat="1" customHeight="1" ht="16.5" hidden="1">
      <c r="A155" s="371"/>
      <c r="B155" s="1548"/>
      <c r="C155" s="1659"/>
      <c r="D155" s="1659"/>
      <c r="E155" s="180">
        <v>17</v>
      </c>
      <c r="F155" s="175" cm="1" t="str">
        <f t="array" ref="F155:F155">OFFSET(G155,-1,-1)</f>
        <v>1</v>
      </c>
      <c r="G155" s="1659"/>
      <c r="H155" s="193" cm="1" t="str">
        <f t="array" ref="H155:H155">G94</f>
        <v>одноставочный</v>
      </c>
      <c r="I155" s="1659"/>
      <c r="J155" s="1659"/>
      <c r="K155" s="1659"/>
      <c r="L155" s="1659"/>
      <c r="M155" s="1659"/>
      <c r="N155" s="1659"/>
      <c r="O155" s="1659"/>
      <c r="P155" s="1659"/>
      <c r="Q155" s="1659"/>
      <c r="R155" s="1659"/>
      <c r="S155" s="1659"/>
      <c r="T155" s="753">
        <f>AND(F155&gt;0,H155="двухставочный")</f>
        <v>0</v>
      </c>
      <c r="U155" s="1548"/>
      <c r="V155" s="1548"/>
      <c r="W155" s="1548"/>
      <c r="X155" s="1548"/>
      <c r="Y155" s="1548"/>
      <c r="Z155" s="1548"/>
      <c r="AA155" s="286"/>
      <c r="AB155" s="836" t="str">
        <f>AB152&amp;".3"</f>
        <v>12.3</v>
      </c>
      <c r="AC155" s="842" t="s">
        <v>2123</v>
      </c>
      <c r="AD155" s="333" t="s">
        <v>495</v>
      </c>
      <c r="AE155" s="843">
        <f>_xlfn.IFERROR(AE154/AE153,0)</f>
        <v>0</v>
      </c>
      <c r="AF155" s="714"/>
      <c r="AG155" s="714"/>
      <c r="AH155" s="714"/>
      <c r="AI155" s="843">
        <f>_xlfn.IFERROR(AI154/AI153,0)</f>
        <v>0</v>
      </c>
      <c r="AJ155" s="843">
        <f>_xlfn.IFERROR(AJ154/AJ153,0)</f>
        <v>0</v>
      </c>
      <c r="AK155" s="843">
        <f>_xlfn.IFERROR(AK154/AK153,0)</f>
        <v>0</v>
      </c>
      <c r="AL155" s="804"/>
      <c r="AM155" s="83"/>
      <c r="AN155" s="83"/>
      <c r="AO155" s="83"/>
      <c r="AP155" s="286"/>
      <c r="AQ155" s="1659"/>
      <c r="AR155" s="309" t="s">
        <v>2124</v>
      </c>
      <c r="AS155" s="1506"/>
      <c r="AT155" s="1506"/>
      <c r="AU155" s="1506"/>
      <c r="AV155" s="2312" cm="1" t="str">
        <f t="array" ref="AV155:AV155">AV154</f>
        <v>ТЭ.42.31656254.0001</v>
      </c>
      <c r="AW155" s="1751"/>
      <c r="AX155" s="1751"/>
      <c r="AY155" s="1751"/>
      <c r="AZ155" s="1751"/>
      <c r="BA155" s="1751"/>
      <c r="BB155" s="1751"/>
      <c r="BC155" s="1751"/>
      <c r="BD155" s="1751"/>
      <c r="BE155" s="1751"/>
      <c r="BF155" s="1751"/>
      <c r="BG155" s="1751"/>
      <c r="BH155" s="1751"/>
      <c r="BI155" s="2312" t="s">
        <v>2125</v>
      </c>
      <c r="BJ155" s="1751"/>
      <c r="BK155" s="1751"/>
      <c r="BL155" s="2312" t="s">
        <v>303</v>
      </c>
      <c r="BM155" s="2312" t="s">
        <v>931</v>
      </c>
      <c r="BN155" s="2312" t="s">
        <v>932</v>
      </c>
    </row>
    <row s="1751" customFormat="1" customHeight="1" ht="33.75" hidden="1">
      <c r="A156" s="371"/>
      <c r="B156" s="1548"/>
      <c r="C156" s="1659"/>
      <c r="D156" s="1659"/>
      <c r="E156" s="180">
        <v>35</v>
      </c>
      <c r="F156" s="175" cm="1" t="str">
        <f t="array" ref="F156:F156">OFFSET(G156,-1,-1)</f>
        <v>1</v>
      </c>
      <c r="G156" s="1659"/>
      <c r="H156" s="193" cm="1" t="str">
        <f t="array" ref="H156:H156">G94</f>
        <v>одноставочный</v>
      </c>
      <c r="I156" s="1659"/>
      <c r="J156" s="1659"/>
      <c r="K156" s="1659"/>
      <c r="L156" s="1659"/>
      <c r="M156" s="1659"/>
      <c r="N156" s="1659"/>
      <c r="O156" s="1659"/>
      <c r="P156" s="1659"/>
      <c r="Q156" s="1659"/>
      <c r="R156" s="1659"/>
      <c r="S156" s="1659"/>
      <c r="T156" s="753">
        <f>AND(F156&gt;0,H156="двухставочный")</f>
        <v>0</v>
      </c>
      <c r="U156" s="1548"/>
      <c r="V156" s="1548"/>
      <c r="W156" s="1548"/>
      <c r="X156" s="1548"/>
      <c r="Y156" s="1548"/>
      <c r="Z156" s="1548"/>
      <c r="AA156" s="286"/>
      <c r="AB156" s="554">
        <v>13</v>
      </c>
      <c r="AC156" s="437" t="s">
        <v>2126</v>
      </c>
      <c r="AD156" s="848"/>
      <c r="AE156" s="722"/>
      <c r="AF156" s="714"/>
      <c r="AG156" s="714"/>
      <c r="AH156" s="714"/>
      <c r="AI156" s="722"/>
      <c r="AJ156" s="722"/>
      <c r="AK156" s="722"/>
      <c r="AL156" s="804"/>
      <c r="AM156" s="83"/>
      <c r="AN156" s="83"/>
      <c r="AO156" s="83"/>
      <c r="AP156" s="286"/>
      <c r="AQ156" s="1659"/>
      <c r="AR156" s="309" t="s">
        <v>2127</v>
      </c>
      <c r="AS156" s="1506"/>
      <c r="AT156" s="1506"/>
      <c r="AU156" s="1506"/>
      <c r="AV156" s="2312" cm="1" t="str">
        <f t="array" ref="AV156:AV156">AV155</f>
        <v>ТЭ.42.31656254.0001</v>
      </c>
      <c r="AW156" s="1751"/>
      <c r="AX156" s="1751"/>
      <c r="AY156" s="1751"/>
      <c r="AZ156" s="1751"/>
      <c r="BA156" s="1751"/>
      <c r="BB156" s="1751"/>
      <c r="BC156" s="1751"/>
      <c r="BD156" s="1751"/>
      <c r="BE156" s="1751"/>
      <c r="BF156" s="1751"/>
      <c r="BG156" s="1751"/>
      <c r="BH156" s="1751"/>
      <c r="BI156" s="1751"/>
      <c r="BJ156" s="1751"/>
      <c r="BK156" s="2312" t="s">
        <v>1989</v>
      </c>
      <c r="BL156" s="2312" t="s">
        <v>176</v>
      </c>
      <c r="BM156" s="1751"/>
      <c r="BN156" s="1751"/>
    </row>
    <row s="1751" customFormat="1" customHeight="1" ht="16.5" hidden="1">
      <c r="A157" s="371"/>
      <c r="B157" s="1548"/>
      <c r="C157" s="1659"/>
      <c r="D157" s="1659"/>
      <c r="E157" s="180">
        <v>17</v>
      </c>
      <c r="F157" s="175" cm="1" t="str">
        <f t="array" ref="F157:F157">OFFSET(G157,-1,-1)</f>
        <v>1</v>
      </c>
      <c r="G157" s="193" t="s">
        <v>2129</v>
      </c>
      <c r="H157" s="193" cm="1" t="str">
        <f t="array" ref="H157:H157">G94</f>
        <v>одноставочный</v>
      </c>
      <c r="I157" s="1659"/>
      <c r="J157" s="1659"/>
      <c r="K157" s="1659"/>
      <c r="L157" s="1659"/>
      <c r="M157" s="1659"/>
      <c r="N157" s="1659"/>
      <c r="O157" s="1659"/>
      <c r="P157" s="1659"/>
      <c r="Q157" s="1659"/>
      <c r="R157" s="1659"/>
      <c r="S157" s="1659"/>
      <c r="T157" s="753">
        <f>AND(F157&gt;0,H157="двухставочный")</f>
        <v>0</v>
      </c>
      <c r="U157" s="1548"/>
      <c r="V157" s="1548"/>
      <c r="W157" s="1548"/>
      <c r="X157" s="1548"/>
      <c r="Y157" s="1548"/>
      <c r="Z157" s="1548"/>
      <c r="AA157" s="286"/>
      <c r="AB157" s="836" t="str">
        <f>AB156&amp;".1"</f>
        <v>13.1</v>
      </c>
      <c r="AC157" s="368" t="s">
        <v>2130</v>
      </c>
      <c r="AD157" s="333" t="s">
        <v>2131</v>
      </c>
      <c r="AE157" s="100"/>
      <c r="AF157" s="714"/>
      <c r="AG157" s="714"/>
      <c r="AH157" s="804"/>
      <c r="AI157" s="100"/>
      <c r="AJ157" s="561"/>
      <c r="AK157" s="561"/>
      <c r="AL157" s="695">
        <f>IF(AI157=0,0,(AK157-AI157)/AI157*100)</f>
        <v>0</v>
      </c>
      <c r="AM157" s="83"/>
      <c r="AN157" s="83"/>
      <c r="AO157" s="83"/>
      <c r="AP157" s="286"/>
      <c r="AQ157" s="1659"/>
      <c r="AR157" s="309" t="s">
        <v>2132</v>
      </c>
      <c r="AS157" s="1506"/>
      <c r="AT157" s="1506"/>
      <c r="AU157" s="1506"/>
      <c r="AV157" s="2312" cm="1" t="str">
        <f t="array" ref="AV157:AV157">AV156</f>
        <v>ТЭ.42.31656254.0001</v>
      </c>
      <c r="AW157" s="1751"/>
      <c r="AX157" s="1751"/>
      <c r="AY157" s="1751"/>
      <c r="AZ157" s="1751"/>
      <c r="BA157" s="1751"/>
      <c r="BB157" s="1751"/>
      <c r="BC157" s="1751"/>
      <c r="BD157" s="1751"/>
      <c r="BE157" s="1751"/>
      <c r="BF157" s="1751"/>
      <c r="BG157" s="1751"/>
      <c r="BH157" s="2312" t="s">
        <v>796</v>
      </c>
      <c r="BI157" s="1751"/>
      <c r="BJ157" s="2312" t="s">
        <v>2084</v>
      </c>
      <c r="BK157" s="2312" t="s">
        <v>449</v>
      </c>
      <c r="BL157" s="2312" t="s">
        <v>303</v>
      </c>
      <c r="BM157" s="2312" t="s">
        <v>2133</v>
      </c>
      <c r="BN157" s="2312" t="s">
        <v>2134</v>
      </c>
    </row>
    <row s="1751" customFormat="1" customHeight="1" ht="16.5" hidden="1">
      <c r="A158" s="371"/>
      <c r="B158" s="1548"/>
      <c r="C158" s="1659"/>
      <c r="D158" s="1659"/>
      <c r="E158" s="180">
        <v>17</v>
      </c>
      <c r="F158" s="175" cm="1" t="str">
        <f t="array" ref="F158:F158">OFFSET(G158,-1,-1)</f>
        <v>1</v>
      </c>
      <c r="G158" s="193" t="s">
        <v>2135</v>
      </c>
      <c r="H158" s="193" cm="1" t="str">
        <f t="array" ref="H158:H158">G94</f>
        <v>одноставочный</v>
      </c>
      <c r="I158" s="1659"/>
      <c r="J158" s="1659"/>
      <c r="K158" s="1659"/>
      <c r="L158" s="1659"/>
      <c r="M158" s="1659"/>
      <c r="N158" s="1659"/>
      <c r="O158" s="1659"/>
      <c r="P158" s="1659"/>
      <c r="Q158" s="1659"/>
      <c r="R158" s="1659"/>
      <c r="S158" s="1659"/>
      <c r="T158" s="753">
        <f>AND(F158&gt;0,H158="двухставочный")</f>
        <v>0</v>
      </c>
      <c r="U158" s="1548"/>
      <c r="V158" s="1548"/>
      <c r="W158" s="1548"/>
      <c r="X158" s="1548"/>
      <c r="Y158" s="1548"/>
      <c r="Z158" s="1548"/>
      <c r="AA158" s="286"/>
      <c r="AB158" s="836" t="str">
        <f>AB156&amp;".2"</f>
        <v>13.2</v>
      </c>
      <c r="AC158" s="368" t="s">
        <v>2136</v>
      </c>
      <c r="AD158" s="333" t="s">
        <v>2131</v>
      </c>
      <c r="AE158" s="695">
        <f>_xlfn.IFERROR((AE141-AE150*IF(AE76=2026,9,6)*AE157)/AE151/IF(AE76=2026,3,6),0)</f>
        <v>0</v>
      </c>
      <c r="AF158" s="714"/>
      <c r="AG158" s="714"/>
      <c r="AH158" s="804"/>
      <c r="AI158" s="695">
        <f>_xlfn.IFERROR((AI141-AI150*IF(AI76=2026,9,6)*AI157)/AI151/IF(AI76=2026,3,6),0)</f>
        <v>0</v>
      </c>
      <c r="AJ158" s="695">
        <f>_xlfn.IFERROR((AJ141-AJ150*IF(AJ76=2026,9,6)*AJ157)/AJ151/IF(AJ76=2026,3,6),0)</f>
        <v>0</v>
      </c>
      <c r="AK158" s="695">
        <f>_xlfn.IFERROR((AK141-AK150*IF(AK76=2026,9,6)*AK157)/AK151/IF(AK76=2026,3,6),0)</f>
        <v>0</v>
      </c>
      <c r="AL158" s="695">
        <f>IF(AI158=0,0,(AK158-AI158)/AI158*100)</f>
        <v>0</v>
      </c>
      <c r="AM158" s="83"/>
      <c r="AN158" s="83"/>
      <c r="AO158" s="83"/>
      <c r="AP158" s="286"/>
      <c r="AQ158" s="1659"/>
      <c r="AR158" s="309" t="s">
        <v>2137</v>
      </c>
      <c r="AS158" s="1506"/>
      <c r="AT158" s="1506"/>
      <c r="AU158" s="1506"/>
      <c r="AV158" s="2312" cm="1" t="str">
        <f t="array" ref="AV158:AV158">AV157</f>
        <v>ТЭ.42.31656254.0001</v>
      </c>
      <c r="AW158" s="1751"/>
      <c r="AX158" s="1751"/>
      <c r="AY158" s="1751"/>
      <c r="AZ158" s="1751"/>
      <c r="BA158" s="1751"/>
      <c r="BB158" s="1751"/>
      <c r="BC158" s="1751"/>
      <c r="BD158" s="1751"/>
      <c r="BE158" s="1751"/>
      <c r="BF158" s="1751"/>
      <c r="BG158" s="1751"/>
      <c r="BH158" s="2312" t="s">
        <v>797</v>
      </c>
      <c r="BI158" s="1751"/>
      <c r="BJ158" s="1751"/>
      <c r="BK158" s="2312" t="s">
        <v>449</v>
      </c>
      <c r="BL158" s="2312" t="s">
        <v>303</v>
      </c>
      <c r="BM158" s="2312" t="s">
        <v>2133</v>
      </c>
      <c r="BN158" s="2312" t="s">
        <v>2134</v>
      </c>
    </row>
    <row s="1751" customFormat="1" customHeight="1" ht="16.5" hidden="1">
      <c r="A159" s="371"/>
      <c r="B159" s="1548"/>
      <c r="C159" s="1659"/>
      <c r="D159" s="1659"/>
      <c r="E159" s="180">
        <v>17</v>
      </c>
      <c r="F159" s="175" cm="1" t="str">
        <f t="array" ref="F159:F159">OFFSET(G159,-1,-1)</f>
        <v>1</v>
      </c>
      <c r="G159" s="1659"/>
      <c r="H159" s="193" cm="1" t="str">
        <f t="array" ref="H159:H159">G94</f>
        <v>одноставочный</v>
      </c>
      <c r="I159" s="1659"/>
      <c r="J159" s="1659"/>
      <c r="K159" s="1659"/>
      <c r="L159" s="1659"/>
      <c r="M159" s="1659"/>
      <c r="N159" s="1659"/>
      <c r="O159" s="1659"/>
      <c r="P159" s="1659"/>
      <c r="Q159" s="1659"/>
      <c r="R159" s="1659"/>
      <c r="S159" s="1659"/>
      <c r="T159" s="753">
        <f>AND(F159&gt;0,H159="двухставочный")</f>
        <v>0</v>
      </c>
      <c r="U159" s="1548"/>
      <c r="V159" s="1548"/>
      <c r="W159" s="1548"/>
      <c r="X159" s="1548"/>
      <c r="Y159" s="1548"/>
      <c r="Z159" s="1548"/>
      <c r="AA159" s="286"/>
      <c r="AB159" s="836" t="str">
        <f>AB156&amp;".3"</f>
        <v>13.3</v>
      </c>
      <c r="AC159" s="842" t="s">
        <v>2138</v>
      </c>
      <c r="AD159" s="333" t="s">
        <v>495</v>
      </c>
      <c r="AE159" s="843">
        <f>_xlfn.IFERROR(AE158/AE157,0)</f>
        <v>0</v>
      </c>
      <c r="AF159" s="872"/>
      <c r="AG159" s="714"/>
      <c r="AH159" s="714"/>
      <c r="AI159" s="843">
        <f>_xlfn.IFERROR(AI158/AI157,0)</f>
        <v>0</v>
      </c>
      <c r="AJ159" s="843">
        <f>_xlfn.IFERROR(AJ158/AJ157,0)</f>
        <v>0</v>
      </c>
      <c r="AK159" s="843">
        <f>_xlfn.IFERROR(AK158/AK157,0)</f>
        <v>0</v>
      </c>
      <c r="AL159" s="804"/>
      <c r="AM159" s="83"/>
      <c r="AN159" s="83"/>
      <c r="AO159" s="83"/>
      <c r="AP159" s="286"/>
      <c r="AQ159" s="1659"/>
      <c r="AR159" s="309" t="s">
        <v>2139</v>
      </c>
      <c r="AS159" s="1506"/>
      <c r="AT159" s="1506"/>
      <c r="AU159" s="1506"/>
      <c r="AV159" s="2312" cm="1" t="str">
        <f t="array" ref="AV159:AV159">AV158</f>
        <v>ТЭ.42.31656254.0001</v>
      </c>
      <c r="AW159" s="1751"/>
      <c r="AX159" s="1751"/>
      <c r="AY159" s="1751"/>
      <c r="AZ159" s="1751"/>
      <c r="BA159" s="1751"/>
      <c r="BB159" s="1751"/>
      <c r="BC159" s="1751"/>
      <c r="BD159" s="1751"/>
      <c r="BE159" s="1751"/>
      <c r="BF159" s="1751"/>
      <c r="BG159" s="1751"/>
      <c r="BH159" s="1751"/>
      <c r="BI159" s="2312" t="s">
        <v>2140</v>
      </c>
      <c r="BJ159" s="1751"/>
      <c r="BK159" s="1751"/>
      <c r="BL159" s="2312" t="s">
        <v>303</v>
      </c>
      <c r="BM159" s="2312" t="s">
        <v>931</v>
      </c>
      <c r="BN159" s="2312" t="s">
        <v>932</v>
      </c>
    </row>
    <row s="1751" customFormat="1" customHeight="1" ht="29.25">
      <c r="A160" s="371"/>
      <c r="B160" s="1548"/>
      <c r="C160" s="1659"/>
      <c r="D160" s="1659"/>
      <c r="E160" s="180">
        <v>30</v>
      </c>
      <c r="F160" s="175" cm="1" t="str">
        <f t="array" ref="F160:F160">OFFSET(G160,-1,-1)</f>
        <v>1</v>
      </c>
      <c r="G160" s="1659"/>
      <c r="H160" s="1659"/>
      <c r="I160" s="1659"/>
      <c r="J160" s="1659"/>
      <c r="K160" s="1659"/>
      <c r="L160" s="1659"/>
      <c r="M160" s="1659"/>
      <c r="N160" s="1659"/>
      <c r="O160" s="1659"/>
      <c r="P160" s="1659"/>
      <c r="Q160" s="1659"/>
      <c r="R160" s="1659"/>
      <c r="S160" s="1659"/>
      <c r="T160" s="753" cm="1" t="str">
        <f t="array" ref="T160:T160">T139</f>
        <v>true</v>
      </c>
      <c r="U160" s="1548"/>
      <c r="V160" s="1548"/>
      <c r="W160" s="1548"/>
      <c r="X160" s="1548"/>
      <c r="Y160" s="1548"/>
      <c r="Z160" s="1548"/>
      <c r="AA160" s="286"/>
      <c r="AB160" s="360">
        <v>14</v>
      </c>
      <c r="AC160" s="851" t="s">
        <v>2141</v>
      </c>
      <c r="AD160" s="352" t="s">
        <v>1178</v>
      </c>
      <c r="AE160" s="2280"/>
      <c r="AF160" s="2356"/>
      <c r="AG160" s="2356"/>
      <c r="AH160" s="695">
        <f>AG160-AF160</f>
        <v>0</v>
      </c>
      <c r="AI160" s="2280"/>
      <c r="AJ160" s="561"/>
      <c r="AK160" s="561"/>
      <c r="AL160" s="695">
        <f>IF(AI160=0,0,(AK160-AI160)/AI160*100)</f>
        <v>0</v>
      </c>
      <c r="AM160" s="1897"/>
      <c r="AN160" s="1897"/>
      <c r="AO160" s="1897"/>
      <c r="AP160" s="286"/>
      <c r="AQ160" s="1659"/>
      <c r="AR160" s="309" t="s">
        <v>2142</v>
      </c>
      <c r="AS160" s="1506"/>
      <c r="AT160" s="1506"/>
      <c r="AU160" s="1506"/>
      <c r="AV160" s="2312" cm="1" t="str">
        <f t="array" ref="AV160:AV160">AV159</f>
        <v>ТЭ.42.31656254.0001</v>
      </c>
      <c r="AW160" s="1751"/>
      <c r="AX160" s="1751"/>
      <c r="AY160" s="1751"/>
      <c r="AZ160" s="1751"/>
      <c r="BA160" s="1751"/>
      <c r="BB160" s="1751"/>
      <c r="BC160" s="1751"/>
      <c r="BD160" s="1751"/>
      <c r="BE160" s="1751"/>
      <c r="BF160" s="1751"/>
      <c r="BG160" s="1751"/>
      <c r="BH160" s="1751"/>
      <c r="BI160" s="1751"/>
      <c r="BJ160" s="1751"/>
      <c r="BK160" s="2312" t="s">
        <v>1994</v>
      </c>
      <c r="BL160" s="2312" t="s">
        <v>303</v>
      </c>
      <c r="BM160" s="2312" t="s">
        <v>2144</v>
      </c>
      <c r="BN160" s="2312" t="s">
        <v>2145</v>
      </c>
    </row>
    <row customHeight="1" ht="9.75">
      <c r="E161" s="180">
        <v>10</v>
      </c>
      <c r="U161" s="175" t="s">
        <v>191</v>
      </c>
      <c r="V161" s="176" t="s">
        <v>2252</v>
      </c>
      <c r="AA161" s="679"/>
      <c r="AB161" s="678"/>
      <c r="AC161" s="681"/>
      <c r="AD161" s="678"/>
      <c r="AE161" s="679"/>
      <c r="AF161" s="679"/>
      <c r="AG161" s="679"/>
      <c r="AH161" s="679"/>
      <c r="AI161" s="679"/>
      <c r="AJ161" s="679"/>
      <c r="AK161" s="679"/>
      <c r="AL161" s="679"/>
      <c r="AM161" s="679"/>
      <c r="AN161" s="679"/>
      <c r="AO161" s="679"/>
      <c r="AP161" s="679"/>
    </row>
    <row customHeight="1" ht="11.25" hidden="1">
      <c r="E162" s="965">
        <v>0</v>
      </c>
      <c r="AA162" s="679"/>
      <c r="AB162" s="678"/>
      <c r="AC162" s="681"/>
      <c r="AD162" s="678"/>
      <c r="AE162" s="679"/>
      <c r="AF162" s="679"/>
      <c r="AG162" s="679"/>
      <c r="AH162" s="679"/>
      <c r="AI162" s="679"/>
      <c r="AJ162" s="679"/>
      <c r="AK162" s="679"/>
      <c r="AL162" s="679"/>
      <c r="AM162" s="679"/>
      <c r="AN162" s="679"/>
      <c r="AO162" s="679"/>
      <c r="AP162" s="679"/>
    </row>
    <row customHeight="1" ht="14.625">
      <c r="E163" s="180">
        <v>15</v>
      </c>
      <c r="AA163" s="679"/>
      <c r="AB163" s="1653" t="s">
        <v>765</v>
      </c>
      <c r="AC163" s="1653"/>
      <c r="AD163" s="1653"/>
      <c r="AE163" s="1653"/>
      <c r="AF163" s="1653"/>
      <c r="AG163" s="1653"/>
      <c r="AH163" s="1653"/>
      <c r="AI163" s="1653"/>
      <c r="AJ163" s="1653"/>
      <c r="AK163" s="1653"/>
      <c r="AL163" s="1653"/>
      <c r="AM163" s="1653"/>
      <c r="AN163" s="1653"/>
      <c r="AO163" s="1653"/>
      <c r="AP163" s="679"/>
    </row>
    <row customHeight="1" ht="14.625">
      <c r="E164" s="180">
        <v>15</v>
      </c>
      <c r="AA164" s="477"/>
      <c r="AB164" s="1675"/>
      <c r="AC164" s="1676"/>
      <c r="AD164" s="1676"/>
      <c r="AE164" s="1676"/>
      <c r="AF164" s="1676"/>
      <c r="AG164" s="1676"/>
      <c r="AH164" s="1676"/>
      <c r="AI164" s="1676"/>
      <c r="AJ164" s="1676"/>
      <c r="AK164" s="1676"/>
      <c r="AL164" s="1676"/>
      <c r="AM164" s="1676"/>
      <c r="AN164" s="1676"/>
      <c r="AO164" s="1676"/>
      <c r="AP164" s="679"/>
    </row>
    <row customHeight="1" ht="14.625" hidden="1">
      <c r="A165" s="371"/>
      <c r="B165" s="1548"/>
      <c r="C165" s="1659"/>
      <c r="D165" s="1659"/>
      <c r="E165" s="180">
        <v>15</v>
      </c>
      <c r="F165" s="1548"/>
      <c r="G165" s="1659"/>
      <c r="H165" s="1659"/>
      <c r="I165" s="1659"/>
      <c r="J165" s="1659"/>
      <c r="K165" s="1659"/>
      <c r="L165" s="1659"/>
      <c r="M165" s="1659"/>
      <c r="N165" s="1659"/>
      <c r="O165" s="1659"/>
      <c r="P165" s="1659"/>
      <c r="Q165" s="1659"/>
      <c r="R165" s="1659"/>
      <c r="S165" s="1659"/>
      <c r="T165" s="753">
        <f>ROW(W165)&gt;ROW(W$165)</f>
        <v>0</v>
      </c>
      <c r="U165" s="1548"/>
      <c r="V165" s="1548"/>
      <c r="W165" s="175" t="s">
        <v>189</v>
      </c>
      <c r="X165" s="1548"/>
      <c r="Y165" s="1548"/>
      <c r="Z165" s="1548"/>
      <c r="AA165" s="958" t="s">
        <v>171</v>
      </c>
      <c r="AB165" s="2334"/>
      <c r="AC165" s="1676"/>
      <c r="AD165" s="1676"/>
      <c r="AE165" s="1676"/>
      <c r="AF165" s="1676"/>
      <c r="AG165" s="1676"/>
      <c r="AH165" s="1676"/>
      <c r="AI165" s="1676"/>
      <c r="AJ165" s="1676"/>
      <c r="AK165" s="1676"/>
      <c r="AL165" s="1676"/>
      <c r="AM165" s="1676"/>
      <c r="AN165" s="1676"/>
      <c r="AO165" s="1676"/>
      <c r="AP165" s="679"/>
      <c r="AQ165" s="1659"/>
      <c r="AR165" s="1142"/>
      <c r="AS165" s="1506"/>
      <c r="AT165" s="1506"/>
      <c r="AU165" s="1506"/>
      <c r="AV165" s="1752"/>
      <c r="AW165" s="1752"/>
      <c r="AX165" s="1752"/>
      <c r="AY165" s="1752"/>
      <c r="AZ165" s="1752"/>
      <c r="BA165" s="1752"/>
      <c r="BB165" s="1752"/>
      <c r="BC165" s="1752"/>
      <c r="BD165" s="1752"/>
      <c r="BE165" s="1752"/>
      <c r="BF165" s="1752"/>
      <c r="BG165" s="1752"/>
      <c r="BH165" s="1752"/>
      <c r="BI165" s="1752"/>
      <c r="BJ165" s="1752"/>
      <c r="BK165" s="1752"/>
      <c r="BL165" s="1752"/>
      <c r="BM165" s="1752"/>
      <c r="BN165" s="1752"/>
    </row>
    <row customHeight="1" ht="14.625">
      <c r="E166" s="180">
        <v>15</v>
      </c>
      <c r="W166" s="176" t="s">
        <v>190</v>
      </c>
      <c r="AB166" s="1599" t="s">
        <v>766</v>
      </c>
      <c r="AC166" s="1600"/>
      <c r="AD166" s="480"/>
      <c r="AE166" s="480"/>
      <c r="AF166" s="480"/>
      <c r="AG166" s="480"/>
      <c r="AH166" s="480"/>
      <c r="AI166" s="480"/>
      <c r="AJ166" s="480"/>
      <c r="AK166" s="480"/>
      <c r="AL166" s="480"/>
      <c r="AM166" s="480"/>
      <c r="AN166" s="480"/>
      <c r="AO166" s="482"/>
      <c r="AP166" s="679"/>
    </row>
    <row customHeight="1" ht="11.25">
      <c r="AA167" s="679"/>
      <c r="AB167" s="678"/>
      <c r="AC167" s="681"/>
      <c r="AD167" s="678"/>
      <c r="AE167" s="679"/>
      <c r="AF167" s="679"/>
      <c r="AG167" s="679"/>
      <c r="AH167" s="679"/>
      <c r="AI167" s="679"/>
      <c r="AJ167" s="679"/>
      <c r="AK167" s="679"/>
      <c r="AL167" s="679"/>
      <c r="AM167" s="679"/>
      <c r="AN167" s="679"/>
      <c r="AO167" s="679"/>
      <c r="AP167" s="679"/>
    </row>
  </sheetData>
  <sheetProtection formatColumns="0" formatRows="0" insertRows="0" deleteColumns="0" deleteRows="0" sort="0" autoFilter="0" insertColumns="1"/>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406288-E40D-8E44-077C-A4E7EDD3E99C}" mc:Ignorable="x14ac xr xr2 xr3">
  <sheetPr>
    <tabColor rgb="FF002060"/>
    <outlinePr summaryRight="0" summaryBelow="0"/>
    <pageSetUpPr fitToPage="1"/>
  </sheetPr>
  <dimension ref="A1:AV6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0" style="1659" width="3.57421875" hidden="1" customWidth="1"/>
    <col min="11" max="11" style="1659" width="7.140625" hidden="1" customWidth="1"/>
    <col min="12" max="17" style="1659" width="3.57421875" hidden="1" customWidth="1"/>
    <col min="18" max="18" style="1659" width="6.00390625" hidden="1" customWidth="1"/>
    <col min="19" max="19" style="1659" width="3.57421875" hidden="1" customWidth="1"/>
    <col min="20" max="20" style="1548" width="8.281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77" width="8.00390625" customWidth="1"/>
    <col min="29" max="29" style="285" width="70.00390625" customWidth="1"/>
    <col min="30" max="30" style="277" width="14.00390625" customWidth="1"/>
    <col min="31" max="32" style="286" width="15.00390625" customWidth="1"/>
    <col min="33" max="33" style="286" width="19.00390625" customWidth="1"/>
    <col min="34" max="34" style="286" width="17.00390625" customWidth="1"/>
    <col min="35" max="35" style="286" width="31.00390625" customWidth="1"/>
    <col min="36" max="36" style="286" width="3.00390625" customWidth="1"/>
    <col min="37" max="37" style="1659" width="9.140625" hidden="1"/>
    <col min="38" max="38" style="1125" width="9.140625" hidden="1"/>
    <col min="39" max="39" style="1506" width="9.140625" hidden="1"/>
    <col min="40" max="48" width="9.140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L1" s="489" t="s">
        <v>336</v>
      </c>
      <c r="AN1" s="0" t="s">
        <v>94</v>
      </c>
      <c r="AO1" s="0" t="s">
        <v>789</v>
      </c>
      <c r="AP1" s="0" t="s">
        <v>97</v>
      </c>
      <c r="AQ1" s="0" t="s">
        <v>2253</v>
      </c>
      <c r="AR1" s="0" t="s">
        <v>2254</v>
      </c>
      <c r="AS1" s="0" t="s">
        <v>110</v>
      </c>
      <c r="AT1" s="0" t="s">
        <v>112</v>
      </c>
      <c r="AU1" s="0" t="s">
        <v>113</v>
      </c>
      <c r="AV1" s="0" t="s">
        <v>114</v>
      </c>
    </row>
    <row s="1548" customFormat="1" customHeight="1" ht="11.25" hidden="1">
      <c r="A2" s="371"/>
      <c r="B2" s="179" t="s">
        <v>16</v>
      </c>
      <c r="G2" s="193"/>
      <c r="H2" s="193"/>
      <c r="I2" s="193"/>
      <c r="J2" s="193"/>
      <c r="K2" s="193"/>
      <c r="L2" s="193"/>
      <c r="M2" s="193"/>
      <c r="N2" s="193"/>
      <c r="O2" s="193"/>
      <c r="P2" s="193"/>
      <c r="Q2" s="193"/>
      <c r="R2" s="193"/>
      <c r="S2" s="193"/>
      <c r="AC2" s="176"/>
      <c r="AE2" s="179" cm="1" t="str">
        <f t="array" ref="AE2:AE2">isOrgDeclare</f>
        <v>true</v>
      </c>
      <c r="AL2" s="489"/>
      <c r="AN2" s="0"/>
      <c r="AO2" s="0"/>
      <c r="AP2" s="0"/>
      <c r="AQ2" s="0"/>
      <c r="AR2" s="0"/>
      <c r="AS2" s="0"/>
      <c r="AT2" s="0"/>
      <c r="AU2" s="0"/>
      <c r="AV2" s="0"/>
    </row>
    <row s="1548" customFormat="1" customHeight="1" ht="11.25" hidden="1">
      <c r="A3" s="371"/>
      <c r="G3" s="193"/>
      <c r="H3" s="193"/>
      <c r="I3" s="193"/>
      <c r="J3" s="193"/>
      <c r="K3" s="193"/>
      <c r="L3" s="193"/>
      <c r="M3" s="193"/>
      <c r="N3" s="193"/>
      <c r="O3" s="193"/>
      <c r="P3" s="193"/>
      <c r="Q3" s="193"/>
      <c r="R3" s="193"/>
      <c r="S3" s="193"/>
      <c r="AC3" s="176"/>
      <c r="AL3" s="489"/>
      <c r="AN3" s="0"/>
      <c r="AO3" s="0"/>
      <c r="AP3" s="0"/>
      <c r="AQ3" s="0"/>
      <c r="AR3" s="0"/>
      <c r="AS3" s="0"/>
      <c r="AT3" s="0"/>
      <c r="AU3" s="0"/>
      <c r="AV3" s="0"/>
    </row>
    <row s="1548" customFormat="1" customHeight="1" ht="11.25" hidden="1">
      <c r="A4" s="371"/>
      <c r="G4" s="193"/>
      <c r="H4" s="193"/>
      <c r="I4" s="193"/>
      <c r="J4" s="193"/>
      <c r="K4" s="193"/>
      <c r="L4" s="193"/>
      <c r="M4" s="193"/>
      <c r="N4" s="193"/>
      <c r="O4" s="193"/>
      <c r="P4" s="193"/>
      <c r="Q4" s="193"/>
      <c r="R4" s="193"/>
      <c r="S4" s="193"/>
      <c r="AC4" s="176"/>
      <c r="AL4" s="489"/>
      <c r="AN4" s="0"/>
      <c r="AO4" s="0"/>
      <c r="AP4" s="0"/>
      <c r="AQ4" s="0"/>
      <c r="AR4" s="0"/>
      <c r="AS4" s="0"/>
      <c r="AT4" s="0"/>
      <c r="AU4" s="0"/>
      <c r="AV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8</v>
      </c>
      <c r="AC5" s="284">
        <v>70</v>
      </c>
      <c r="AD5" s="180">
        <v>14</v>
      </c>
      <c r="AE5" s="180">
        <v>15</v>
      </c>
      <c r="AF5" s="180">
        <v>15</v>
      </c>
      <c r="AG5" s="180">
        <v>19</v>
      </c>
      <c r="AH5" s="180">
        <v>17</v>
      </c>
      <c r="AI5" s="180">
        <v>31</v>
      </c>
      <c r="AJ5" s="180">
        <v>3</v>
      </c>
      <c r="AL5" s="489"/>
      <c r="AN5" s="1729"/>
      <c r="AO5" s="1729"/>
      <c r="AP5" s="1729"/>
      <c r="AQ5" s="1729"/>
      <c r="AR5" s="1729"/>
      <c r="AS5" s="1729"/>
      <c r="AT5" s="1729"/>
      <c r="AU5" s="1729"/>
      <c r="AV5" s="1729"/>
    </row>
    <row s="1548" customFormat="1" customHeight="1" ht="11.25" hidden="1">
      <c r="A6" s="371"/>
      <c r="E6" s="180"/>
      <c r="G6" s="193"/>
      <c r="H6" s="193"/>
      <c r="I6" s="193"/>
      <c r="J6" s="193"/>
      <c r="K6" s="193"/>
      <c r="L6" s="193"/>
      <c r="M6" s="193"/>
      <c r="N6" s="193"/>
      <c r="O6" s="193"/>
      <c r="P6" s="193"/>
      <c r="Q6" s="193"/>
      <c r="R6" s="193"/>
      <c r="S6" s="193"/>
      <c r="AC6" s="176"/>
      <c r="AL6" s="489"/>
      <c r="AN6" s="0"/>
      <c r="AO6" s="0"/>
      <c r="AP6" s="0"/>
      <c r="AQ6" s="0"/>
      <c r="AR6" s="0"/>
      <c r="AS6" s="0"/>
      <c r="AT6" s="0"/>
      <c r="AU6" s="0"/>
      <c r="AV6" s="0"/>
    </row>
    <row customHeight="1" ht="11.25" hidden="1">
      <c r="F7" s="193"/>
      <c r="T7" s="193"/>
      <c r="U7" s="193"/>
      <c r="V7" s="193"/>
      <c r="W7" s="193"/>
      <c r="X7" s="193"/>
      <c r="Y7" s="193"/>
      <c r="Z7" s="193"/>
      <c r="AA7" s="193"/>
      <c r="AB7" s="193"/>
      <c r="AC7" s="308"/>
      <c r="AD7" s="193"/>
      <c r="AE7" s="193"/>
      <c r="AF7" s="193"/>
      <c r="AG7" s="193"/>
      <c r="AH7" s="193"/>
      <c r="AI7" s="193"/>
      <c r="AJ7" s="193"/>
    </row>
    <row customHeight="1" ht="11.25" hidden="1">
      <c r="F8" s="193"/>
      <c r="T8" s="193"/>
      <c r="U8" s="193"/>
      <c r="V8" s="193"/>
      <c r="W8" s="193"/>
      <c r="X8" s="193"/>
      <c r="Y8" s="193"/>
      <c r="Z8" s="193"/>
      <c r="AA8" s="193"/>
      <c r="AB8" s="193"/>
      <c r="AC8" s="308"/>
      <c r="AD8" s="193"/>
      <c r="AE8" s="193"/>
      <c r="AF8" s="193"/>
      <c r="AG8" s="193"/>
      <c r="AH8" s="193"/>
      <c r="AI8" s="193"/>
      <c r="AJ8" s="193"/>
    </row>
    <row s="1143" customFormat="1" customHeight="1" ht="11.25" hidden="1">
      <c r="A9" s="309" t="s">
        <v>403</v>
      </c>
      <c r="AE9" s="312">
        <f>god-2</f>
        <v>2025</v>
      </c>
      <c r="AF9" s="312" cm="1" t="str">
        <f t="array" ref="AF9:AF9">god</f>
        <v>2027</v>
      </c>
      <c r="AL9" s="489"/>
      <c r="AN9" s="1730"/>
      <c r="AO9" s="1730"/>
      <c r="AP9" s="1730"/>
      <c r="AQ9" s="1730"/>
      <c r="AR9" s="1730"/>
      <c r="AS9" s="1730"/>
      <c r="AT9" s="1730"/>
      <c r="AU9" s="1730"/>
      <c r="AV9" s="1730"/>
    </row>
    <row s="1143" customFormat="1" customHeight="1" ht="11.25" hidden="1">
      <c r="A10" s="309" t="s">
        <v>404</v>
      </c>
      <c r="AE10" s="312" cm="1" t="str">
        <f t="array" ref="AE10:AE10">AE25</f>
        <v>Предложение организации</v>
      </c>
      <c r="AF10" s="312" cm="1" t="str">
        <f t="array" ref="AF10:AF10">AF25</f>
        <v>Версия органа регулирования</v>
      </c>
      <c r="AL10" s="489"/>
      <c r="AN10" s="1730"/>
      <c r="AO10" s="1730"/>
      <c r="AP10" s="1730"/>
      <c r="AQ10" s="1730"/>
      <c r="AR10" s="1730"/>
      <c r="AS10" s="1730"/>
      <c r="AT10" s="1730"/>
      <c r="AU10" s="1730"/>
      <c r="AV10" s="1730"/>
    </row>
    <row s="1143" customFormat="1" customHeight="1" ht="11.25" hidden="1">
      <c r="A11" s="309" t="s">
        <v>405</v>
      </c>
      <c r="G11" s="483"/>
      <c r="H11" s="483"/>
      <c r="I11" s="483"/>
      <c r="J11" s="483"/>
      <c r="K11" s="483"/>
      <c r="L11" s="483"/>
      <c r="M11" s="483"/>
      <c r="N11" s="483"/>
      <c r="O11" s="483"/>
      <c r="P11" s="483"/>
      <c r="Q11" s="483"/>
      <c r="R11" s="483"/>
      <c r="S11" s="483"/>
      <c r="AC11" s="326"/>
      <c r="AG11" s="312" cm="1" t="str">
        <f t="array" ref="AG11:AG11">AG24</f>
        <v>Указание на подтверждающие документы / URL-ссылка на копии подтверждающих документов</v>
      </c>
      <c r="AH11" s="312" cm="1" t="str">
        <f t="array" ref="AH11:AH11">AH24</f>
        <v>Ссылка на правовую норму (основание для принятия показателя в расчет тарифа)</v>
      </c>
      <c r="AI11" s="312"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489"/>
      <c r="AN11" s="1730"/>
      <c r="AO11" s="1730"/>
      <c r="AP11" s="1730"/>
      <c r="AQ11" s="1730"/>
      <c r="AR11" s="1730"/>
      <c r="AS11" s="1730"/>
      <c r="AT11" s="1730"/>
      <c r="AU11" s="1730"/>
      <c r="AV11" s="1730"/>
    </row>
    <row customHeight="1" ht="11.25" hidden="1">
      <c r="A12" s="0" t="s">
        <v>109</v>
      </c>
      <c r="AE12" s="0" t="str">
        <f>"389.0."&amp;AE$9-2010&amp;"."</f>
        <v>389.0.15.</v>
      </c>
      <c r="AF12" s="0" t="str">
        <f>"389.0."&amp;AF$9-2010&amp;"."</f>
        <v>389.0.17.</v>
      </c>
    </row>
    <row customHeight="1" ht="11.25" hidden="1">
      <c r="A13" s="0" t="s">
        <v>406</v>
      </c>
      <c r="AE13" s="0" cm="1" t="str">
        <f t="array" ref="AE13:AE13">IF($A13="uni_org_reg_NAME",INDEX(org_reg_values,MATCH(AE$10,org_reg_codes,0),1),IF($A13="uni_pf_NAME",INDEX(pf_codes_values,MATCH(AE$10,pf_codes,0),1),""))</f>
        <v>328.0.1.</v>
      </c>
      <c r="AF13" s="0" cm="1" t="str">
        <f t="array" ref="AF13:AF13">IF($A13="uni_org_reg_NAME",INDEX(org_reg_values,MATCH(AF$10,org_reg_codes,0),1),IF($A13="uni_pf_NAME",INDEX(pf_codes_values,MATCH(AF$10,pf_codes,0),1),""))</f>
        <v>328.0.2.</v>
      </c>
    </row>
    <row customHeight="1" ht="11.25" hidden="1">
      <c r="A14" s="0" t="s">
        <v>351</v>
      </c>
      <c r="AG14" s="0" t="s">
        <v>178</v>
      </c>
      <c r="AH14" s="0" t="s">
        <v>178</v>
      </c>
      <c r="AI14" s="0" t="s">
        <v>178</v>
      </c>
    </row>
    <row customHeight="1" ht="11.25" hidden="1">
      <c r="A15" s="0" t="s">
        <v>352</v>
      </c>
      <c r="AG15" s="0" t="s">
        <v>798</v>
      </c>
      <c r="AH15" s="0" t="s">
        <v>622</v>
      </c>
      <c r="AI15" s="0" t="s">
        <v>1601</v>
      </c>
    </row>
    <row customHeight="1" ht="11.25" hidden="1">
      <c r="A16" s="0" t="s">
        <v>379</v>
      </c>
      <c r="AG16" s="0" t="s">
        <v>799</v>
      </c>
      <c r="AH16" s="0" t="s">
        <v>623</v>
      </c>
      <c r="AI16" s="0" t="s">
        <v>1602</v>
      </c>
    </row>
    <row s="1548" customFormat="1" customHeight="1" ht="11.25" hidden="1">
      <c r="A17" s="371"/>
      <c r="E17" s="180"/>
      <c r="G17" s="193"/>
      <c r="H17" s="193"/>
      <c r="I17" s="193"/>
      <c r="J17" s="193"/>
      <c r="K17" s="193"/>
      <c r="L17" s="193"/>
      <c r="M17" s="193"/>
      <c r="N17" s="193"/>
      <c r="O17" s="193"/>
      <c r="P17" s="193"/>
      <c r="Q17" s="193"/>
      <c r="R17" s="193"/>
      <c r="S17" s="193"/>
      <c r="AC17" s="176"/>
      <c r="AL17" s="489"/>
      <c r="AN17" s="0"/>
      <c r="AO17" s="0"/>
      <c r="AP17" s="0"/>
      <c r="AQ17" s="0"/>
      <c r="AR17" s="0"/>
      <c r="AS17" s="0"/>
      <c r="AT17" s="0"/>
      <c r="AU17" s="0"/>
      <c r="AV17" s="0"/>
    </row>
    <row s="1548" customFormat="1" customHeight="1" ht="11.25" hidden="1">
      <c r="A18" s="371"/>
      <c r="E18" s="180"/>
      <c r="G18" s="193"/>
      <c r="H18" s="193"/>
      <c r="I18" s="193"/>
      <c r="J18" s="193"/>
      <c r="K18" s="193"/>
      <c r="L18" s="193"/>
      <c r="M18" s="193"/>
      <c r="N18" s="193"/>
      <c r="O18" s="193"/>
      <c r="P18" s="193"/>
      <c r="Q18" s="193"/>
      <c r="R18" s="193"/>
      <c r="S18" s="193"/>
      <c r="AC18" s="176"/>
      <c r="AL18" s="489"/>
      <c r="AN18" s="0"/>
      <c r="AO18" s="0"/>
      <c r="AP18" s="0"/>
      <c r="AQ18" s="0"/>
      <c r="AR18" s="0"/>
      <c r="AS18" s="0"/>
      <c r="AT18" s="0"/>
      <c r="AU18" s="0"/>
      <c r="AV18" s="0"/>
    </row>
    <row s="1548" customFormat="1" customHeight="1" ht="11.25" hidden="1">
      <c r="A19" s="371"/>
      <c r="E19" s="180"/>
      <c r="G19" s="193"/>
      <c r="H19" s="193"/>
      <c r="I19" s="193"/>
      <c r="J19" s="193"/>
      <c r="K19" s="193"/>
      <c r="L19" s="193"/>
      <c r="M19" s="193"/>
      <c r="N19" s="193"/>
      <c r="O19" s="193"/>
      <c r="P19" s="193"/>
      <c r="Q19" s="193"/>
      <c r="R19" s="193"/>
      <c r="S19" s="193"/>
      <c r="AC19" s="176"/>
      <c r="AL19" s="489"/>
      <c r="AN19" s="0"/>
      <c r="AO19" s="0"/>
      <c r="AP19" s="0"/>
      <c r="AQ19" s="0"/>
      <c r="AR19" s="0"/>
      <c r="AS19" s="0"/>
      <c r="AT19" s="0"/>
      <c r="AU19" s="0"/>
      <c r="AV19" s="0"/>
    </row>
    <row s="1548" customFormat="1" customHeight="1" ht="11.25" hidden="1">
      <c r="A20" s="371"/>
      <c r="E20" s="180"/>
      <c r="G20" s="193"/>
      <c r="H20" s="193"/>
      <c r="I20" s="193"/>
      <c r="J20" s="193"/>
      <c r="K20" s="193"/>
      <c r="L20" s="193"/>
      <c r="M20" s="193"/>
      <c r="N20" s="193"/>
      <c r="O20" s="193"/>
      <c r="P20" s="193"/>
      <c r="Q20" s="193"/>
      <c r="R20" s="193"/>
      <c r="S20" s="193"/>
      <c r="AC20" s="176"/>
      <c r="AL20" s="489"/>
      <c r="AN20" s="0"/>
      <c r="AO20" s="0"/>
      <c r="AP20" s="0"/>
      <c r="AQ20" s="0"/>
      <c r="AR20" s="0"/>
      <c r="AS20" s="0"/>
      <c r="AT20" s="0"/>
      <c r="AU20" s="0"/>
      <c r="AV20" s="0"/>
    </row>
    <row customHeight="1" ht="14.625">
      <c r="E21" s="180">
        <v>15</v>
      </c>
      <c r="AA21" s="182"/>
      <c r="AB21" s="679"/>
      <c r="AC21" s="278" cm="1" t="str">
        <f t="array" ref="AC21:AC21">tpl_title</f>
        <v>Кемеровская область / 2027 / ООО "КК-ИНВЕСТ" (ИНН:1901133713, КПП:190101001) / ДПР: 2025-2027</v>
      </c>
      <c r="AD21" s="679"/>
      <c r="AE21" s="679"/>
      <c r="AF21" s="679"/>
      <c r="AG21" s="679"/>
      <c r="AH21" s="679"/>
      <c r="AI21" s="679"/>
      <c r="AJ21" s="679"/>
    </row>
    <row s="1659" customFormat="1" customHeight="1" ht="33.15">
      <c r="A22" s="371"/>
      <c r="B22" s="175"/>
      <c r="C22" s="175"/>
      <c r="D22" s="175"/>
      <c r="E22" s="180">
        <v>34</v>
      </c>
      <c r="F22" s="175"/>
      <c r="T22" s="175"/>
      <c r="U22" s="175"/>
      <c r="V22" s="175"/>
      <c r="W22" s="175"/>
      <c r="X22" s="175"/>
      <c r="Y22" s="175"/>
      <c r="Z22" s="175"/>
      <c r="AA22" s="200"/>
      <c r="AB22" s="1689" t="s">
        <v>2255</v>
      </c>
      <c r="AC22" s="1689"/>
      <c r="AD22" s="1689"/>
      <c r="AE22" s="1689"/>
      <c r="AF22" s="1689"/>
      <c r="AG22" s="1689"/>
      <c r="AH22" s="1689"/>
      <c r="AI22" s="1689"/>
      <c r="AJ22" s="200"/>
      <c r="AL22" s="489"/>
      <c r="AN22" s="0"/>
      <c r="AO22" s="0"/>
      <c r="AP22" s="0"/>
      <c r="AQ22" s="0"/>
      <c r="AR22" s="0"/>
      <c r="AS22" s="0"/>
      <c r="AT22" s="0"/>
      <c r="AU22" s="0"/>
      <c r="AV22" s="0"/>
    </row>
    <row s="1659" customFormat="1" customHeight="1" ht="9.75">
      <c r="A23" s="371"/>
      <c r="B23" s="175"/>
      <c r="C23" s="175"/>
      <c r="D23" s="175"/>
      <c r="E23" s="180">
        <v>10</v>
      </c>
      <c r="F23" s="175"/>
      <c r="T23" s="175"/>
      <c r="U23" s="175"/>
      <c r="V23" s="175"/>
      <c r="W23" s="175"/>
      <c r="X23" s="175"/>
      <c r="Y23" s="175"/>
      <c r="Z23" s="175"/>
      <c r="AA23" s="200"/>
      <c r="AB23" s="683"/>
      <c r="AC23" s="683"/>
      <c r="AD23" s="683"/>
      <c r="AE23" s="683"/>
      <c r="AF23" s="683"/>
      <c r="AG23" s="683"/>
      <c r="AH23" s="683"/>
      <c r="AI23" s="683"/>
      <c r="AJ23" s="200"/>
      <c r="AL23" s="489"/>
      <c r="AN23" s="0"/>
      <c r="AO23" s="0"/>
      <c r="AP23" s="0"/>
      <c r="AQ23" s="0"/>
      <c r="AR23" s="0"/>
      <c r="AS23" s="0"/>
      <c r="AT23" s="0"/>
      <c r="AU23" s="0"/>
      <c r="AV23" s="0"/>
    </row>
    <row s="308" customFormat="1" customHeight="1" ht="24.375">
      <c r="A24" s="371"/>
      <c r="B24" s="176"/>
      <c r="C24" s="176"/>
      <c r="D24" s="176"/>
      <c r="E24" s="284">
        <v>25</v>
      </c>
      <c r="F24" s="176"/>
      <c r="T24" s="176"/>
      <c r="U24" s="176"/>
      <c r="V24" s="176"/>
      <c r="W24" s="176"/>
      <c r="X24" s="176"/>
      <c r="Y24" s="176"/>
      <c r="Z24" s="176"/>
      <c r="AA24" s="681"/>
      <c r="AB24" s="1690" t="s">
        <v>355</v>
      </c>
      <c r="AC24" s="1679" t="s">
        <v>412</v>
      </c>
      <c r="AD24" s="1679" t="s">
        <v>413</v>
      </c>
      <c r="AE24" s="771" t="str">
        <f>god-2&amp;" год"</f>
        <v>2025 год</v>
      </c>
      <c r="AF24" s="385" t="str">
        <f>god-2&amp;" год"</f>
        <v>2025 год</v>
      </c>
      <c r="AG24" s="1678" t="s">
        <v>1546</v>
      </c>
      <c r="AH24" s="1678" t="s">
        <v>625</v>
      </c>
      <c r="AI24" s="1678" t="s">
        <v>1547</v>
      </c>
      <c r="AJ24" s="681"/>
      <c r="AL24" s="489"/>
      <c r="AN24" s="0"/>
      <c r="AO24" s="0"/>
      <c r="AP24" s="0"/>
      <c r="AQ24" s="0"/>
      <c r="AR24" s="0"/>
      <c r="AS24" s="0"/>
      <c r="AT24" s="0"/>
      <c r="AU24" s="0"/>
      <c r="AV24" s="0"/>
    </row>
    <row s="308" customFormat="1" customHeight="1" ht="44.85">
      <c r="A25" s="371"/>
      <c r="B25" s="176"/>
      <c r="C25" s="176"/>
      <c r="D25" s="176"/>
      <c r="E25" s="284">
        <v>46</v>
      </c>
      <c r="F25" s="176"/>
      <c r="T25" s="176"/>
      <c r="U25" s="176"/>
      <c r="V25" s="176"/>
      <c r="W25" s="176"/>
      <c r="X25" s="176"/>
      <c r="Y25" s="176"/>
      <c r="Z25" s="176"/>
      <c r="AA25" s="681"/>
      <c r="AB25" s="1691"/>
      <c r="AC25" s="1679"/>
      <c r="AD25" s="1679"/>
      <c r="AE25" s="771" t="s">
        <v>416</v>
      </c>
      <c r="AF25" s="385" t="s">
        <v>1133</v>
      </c>
      <c r="AG25" s="1678"/>
      <c r="AH25" s="1678"/>
      <c r="AI25" s="1678"/>
      <c r="AJ25" s="681"/>
      <c r="AL25" s="489"/>
      <c r="AN25" s="0"/>
      <c r="AO25" s="0"/>
      <c r="AP25" s="0"/>
      <c r="AQ25" s="0"/>
      <c r="AR25" s="0"/>
      <c r="AS25" s="0"/>
      <c r="AT25" s="0"/>
      <c r="AU25" s="0"/>
      <c r="AV25" s="0"/>
    </row>
    <row s="308" customFormat="1" customHeight="1" ht="14.25" hidden="1">
      <c r="A26" s="371"/>
      <c r="B26" s="176"/>
      <c r="C26" s="176"/>
      <c r="D26" s="176"/>
      <c r="E26" s="966">
        <v>0</v>
      </c>
      <c r="F26" s="176"/>
      <c r="T26" s="176"/>
      <c r="U26" s="176"/>
      <c r="V26" s="176"/>
      <c r="W26" s="176"/>
      <c r="X26" s="176"/>
      <c r="Y26" s="176"/>
      <c r="Z26" s="176"/>
      <c r="AA26" s="681"/>
      <c r="AB26" s="687"/>
      <c r="AC26" s="687"/>
      <c r="AD26" s="687"/>
      <c r="AE26" s="279"/>
      <c r="AF26" s="279"/>
      <c r="AG26" s="680"/>
      <c r="AH26" s="680"/>
      <c r="AI26" s="680"/>
      <c r="AJ26" s="681"/>
      <c r="AL26" s="489"/>
      <c r="AN26" s="0"/>
      <c r="AO26" s="0"/>
      <c r="AP26" s="0"/>
      <c r="AQ26" s="0"/>
      <c r="AR26" s="0"/>
      <c r="AS26" s="0"/>
      <c r="AT26" s="0"/>
      <c r="AU26" s="0"/>
      <c r="AV26" s="0"/>
    </row>
    <row s="969" customFormat="1" customHeight="1" ht="16.575" hidden="1">
      <c r="E27" s="180">
        <v>17</v>
      </c>
      <c r="F27" s="175" cm="1" t="str">
        <f t="array" ref="F27:F27">X27</f>
        <v>0</v>
      </c>
      <c r="G27" s="193" cm="1" t="str">
        <f t="array" ref="G27:G27">INDEX('Общие сведения'!$AK$169:$AK$202,MATCH($F27,'Общие сведения'!$Y$169:$Y$202,0))</f>
        <v>0</v>
      </c>
      <c r="I27" s="193" cm="1" t="str">
        <f t="array" ref="I27:I27">INDEX('Общие сведения'!$AE$169:$AE$202,MATCH($F27,'Общие сведения'!$Y$169:$Y$202,0))</f>
        <v>Теплоснабжение</v>
      </c>
      <c r="K27" s="193" cm="1" t="str">
        <f t="array" ref="K27:K27">INDEX('Общие сведения'!$AL$169:$AL$202,MATCH($F27,'Общие сведения'!$Y$169:$Y$202,0))</f>
        <v>0</v>
      </c>
      <c r="T27" s="753">
        <f>X27&gt;0</f>
        <v>0</v>
      </c>
      <c r="V27" s="175" t="s">
        <v>266</v>
      </c>
      <c r="X27" s="1644">
        <v>0</v>
      </c>
      <c r="AB27" s="688" cm="1" t="str">
        <f t="array" ref="AB27:AB27">INDEX('Общие сведения'!$AG$169:$AG$202,MATCH($F27,'Общие сведения'!$Y$169:$Y$202,0))</f>
        <v>Тариф 0 (Теплоснабжение) - </v>
      </c>
      <c r="AC27" s="334"/>
      <c r="AD27" s="334"/>
      <c r="AE27" s="334"/>
      <c r="AF27" s="334"/>
      <c r="AG27" s="334"/>
      <c r="AH27" s="334"/>
      <c r="AI27" s="334"/>
      <c r="AL27" s="489"/>
    </row>
    <row s="969" customFormat="1" customHeight="1" ht="16.575" hidden="1">
      <c r="E28" s="180">
        <v>17</v>
      </c>
      <c r="F28" s="175" cm="1" t="str">
        <f t="array" ref="F28:F28">OFFSET(G28,-1,-1)</f>
        <v>0</v>
      </c>
      <c r="T28" s="753" cm="1" t="str">
        <f t="array" ref="T28:T28">T27</f>
        <v>false</v>
      </c>
      <c r="AB28" s="591">
        <v>1</v>
      </c>
      <c r="AC28" s="873" t="s">
        <v>2256</v>
      </c>
      <c r="AD28" s="874"/>
      <c r="AE28" s="874"/>
      <c r="AF28" s="874"/>
      <c r="AG28" s="874"/>
      <c r="AH28" s="874"/>
      <c r="AI28" s="874"/>
      <c r="AL28" s="489"/>
    </row>
    <row s="969" customFormat="1" customHeight="1" ht="43.875" hidden="1">
      <c r="E29" s="180">
        <v>45</v>
      </c>
      <c r="F29" s="175" cm="1" t="str">
        <f t="array" ref="F29:F29">OFFSET(G29,-1,-1)</f>
        <v>0</v>
      </c>
      <c r="T29" s="753" cm="1" t="str">
        <f t="array" ref="T29:T29">T28</f>
        <v>false</v>
      </c>
      <c r="AB29" s="591" t="s">
        <v>2257</v>
      </c>
      <c r="AC29" s="646" t="s">
        <v>2258</v>
      </c>
      <c r="AD29" s="320" t="s">
        <v>1709</v>
      </c>
      <c r="AE29" s="71"/>
      <c r="AF29" s="71"/>
      <c r="AG29" s="158"/>
      <c r="AH29" s="158"/>
      <c r="AI29" s="69"/>
      <c r="AL29" s="489" t="s">
        <v>2259</v>
      </c>
      <c r="AN29" s="0" cm="1" t="str">
        <f t="array" ref="AN29:AN29">INDEX('Общие сведения'!$N$170:$N$202,MATCH($F29,'Общие сведения'!$Y$170:$Y$202,0)+1)</f>
        <v>0</v>
      </c>
      <c r="AO29" s="0" t="s">
        <v>1388</v>
      </c>
      <c r="AP29" s="0" t="s">
        <v>1605</v>
      </c>
      <c r="AS29" s="0" t="s">
        <v>219</v>
      </c>
      <c r="AT29" s="0" t="s">
        <v>303</v>
      </c>
      <c r="AU29" s="0" t="s">
        <v>1044</v>
      </c>
      <c r="AV29" s="0" t="s">
        <v>1045</v>
      </c>
    </row>
    <row s="969" customFormat="1" customHeight="1" ht="43.875" hidden="1">
      <c r="E30" s="180">
        <v>45</v>
      </c>
      <c r="F30" s="175" cm="1" t="str">
        <f t="array" ref="F30:F30">OFFSET(G30,-1,-1)</f>
        <v>0</v>
      </c>
      <c r="T30" s="753" cm="1" t="str">
        <f t="array" ref="T30:T30">T29</f>
        <v>false</v>
      </c>
      <c r="AB30" s="591" t="s">
        <v>2260</v>
      </c>
      <c r="AC30" s="646" t="s">
        <v>2261</v>
      </c>
      <c r="AD30" s="320" t="s">
        <v>447</v>
      </c>
      <c r="AE30" s="71"/>
      <c r="AF30" s="71"/>
      <c r="AG30" s="158"/>
      <c r="AH30" s="158"/>
      <c r="AI30" s="69"/>
      <c r="AL30" s="489" t="s">
        <v>2262</v>
      </c>
      <c r="AN30" s="0" cm="1" t="str">
        <f t="array" ref="AN30:AN30">AN29</f>
        <v>0</v>
      </c>
      <c r="AO30" s="0" t="s">
        <v>1388</v>
      </c>
      <c r="AP30" s="0" t="s">
        <v>1605</v>
      </c>
      <c r="AS30" s="0" t="s">
        <v>255</v>
      </c>
      <c r="AT30" s="0" t="s">
        <v>303</v>
      </c>
      <c r="AU30" s="0" t="s">
        <v>458</v>
      </c>
      <c r="AV30" s="0" t="s">
        <v>459</v>
      </c>
    </row>
    <row s="969" customFormat="1" customHeight="1" ht="39" hidden="1">
      <c r="E31" s="180">
        <v>40</v>
      </c>
      <c r="F31" s="175" cm="1" t="str">
        <f t="array" ref="F31:F31">OFFSET(G31,-1,-1)</f>
        <v>0</v>
      </c>
      <c r="T31" s="753" cm="1" t="str">
        <f t="array" ref="T31:T31">T30</f>
        <v>false</v>
      </c>
      <c r="AB31" s="591" t="s">
        <v>2263</v>
      </c>
      <c r="AC31" s="646" t="s">
        <v>2264</v>
      </c>
      <c r="AD31" s="320" t="s">
        <v>2265</v>
      </c>
      <c r="AE31" s="71">
        <f>_xlfn.IFERROR(AE29/AE30,0)</f>
        <v>0</v>
      </c>
      <c r="AF31" s="71">
        <f>_xlfn.IFERROR(AF29/AF30,0)</f>
        <v>0</v>
      </c>
      <c r="AG31" s="158"/>
      <c r="AH31" s="158"/>
      <c r="AI31" s="69"/>
      <c r="AL31" s="489" t="s">
        <v>2266</v>
      </c>
      <c r="AN31" s="0" cm="1" t="str">
        <f t="array" ref="AN31:AN31">AN30</f>
        <v>0</v>
      </c>
      <c r="AO31" s="0" t="s">
        <v>1388</v>
      </c>
      <c r="AP31" s="0" t="s">
        <v>1605</v>
      </c>
      <c r="AQ31" s="0" t="s">
        <v>2267</v>
      </c>
      <c r="AR31" s="0" t="s">
        <v>2268</v>
      </c>
      <c r="AT31" s="0" t="s">
        <v>303</v>
      </c>
      <c r="AU31" s="0" t="s">
        <v>2269</v>
      </c>
      <c r="AV31" s="0" t="s">
        <v>2270</v>
      </c>
    </row>
    <row s="969" customFormat="1" customHeight="1" ht="16.575" hidden="1">
      <c r="E32" s="180">
        <v>17</v>
      </c>
      <c r="F32" s="175" cm="1" t="str">
        <f t="array" ref="F32:F32">OFFSET(G32,-1,-1)</f>
        <v>0</v>
      </c>
      <c r="T32" s="753" cm="1" t="str">
        <f t="array" ref="T32:T32">T31</f>
        <v>false</v>
      </c>
      <c r="AB32" s="591" t="s">
        <v>2271</v>
      </c>
      <c r="AC32" s="646" t="s">
        <v>2272</v>
      </c>
      <c r="AD32" s="320" t="s">
        <v>495</v>
      </c>
      <c r="AE32" s="159"/>
      <c r="AF32" s="159"/>
      <c r="AG32" s="158"/>
      <c r="AH32" s="158"/>
      <c r="AI32" s="69"/>
      <c r="AL32" s="489" t="s">
        <v>2273</v>
      </c>
      <c r="AN32" s="0" cm="1" t="str">
        <f t="array" ref="AN32:AN32">AN31</f>
        <v>0</v>
      </c>
      <c r="AO32" s="0" t="s">
        <v>1388</v>
      </c>
      <c r="AT32" s="0" t="s">
        <v>303</v>
      </c>
      <c r="AU32" s="0" t="s">
        <v>1535</v>
      </c>
      <c r="AV32" s="0" t="s">
        <v>1536</v>
      </c>
    </row>
    <row s="969" customFormat="1" customHeight="1" ht="39" hidden="1">
      <c r="E33" s="180">
        <v>40</v>
      </c>
      <c r="F33" s="175" cm="1" t="str">
        <f t="array" ref="F33:F33">OFFSET(G33,-1,-1)</f>
        <v>0</v>
      </c>
      <c r="T33" s="753" cm="1" t="str">
        <f t="array" ref="T33:T33">T32</f>
        <v>false</v>
      </c>
      <c r="AB33" s="616" t="s">
        <v>2274</v>
      </c>
      <c r="AC33" s="876" t="s">
        <v>2275</v>
      </c>
      <c r="AD33" s="877" t="s">
        <v>2265</v>
      </c>
      <c r="AE33" s="72"/>
      <c r="AF33" s="72"/>
      <c r="AG33" s="160"/>
      <c r="AH33" s="160"/>
      <c r="AI33" s="161"/>
      <c r="AL33" s="489" t="s">
        <v>2276</v>
      </c>
      <c r="AN33" s="0" cm="1" t="str">
        <f t="array" ref="AN33:AN33">AN32</f>
        <v>0</v>
      </c>
      <c r="AO33" s="0" t="s">
        <v>1388</v>
      </c>
      <c r="AP33" s="0" t="s">
        <v>1605</v>
      </c>
      <c r="AQ33" s="0" t="s">
        <v>2267</v>
      </c>
      <c r="AR33" s="0" t="s">
        <v>2277</v>
      </c>
      <c r="AT33" s="0" t="s">
        <v>303</v>
      </c>
      <c r="AU33" s="0" t="s">
        <v>2269</v>
      </c>
      <c r="AV33" s="0" t="s">
        <v>2270</v>
      </c>
    </row>
    <row s="969" customFormat="1" customHeight="1" ht="16.575" hidden="1">
      <c r="E34" s="180">
        <v>17</v>
      </c>
      <c r="F34" s="175" cm="1" t="str">
        <f t="array" ref="F34:F34">OFFSET(G34,-1,-1)</f>
        <v>0</v>
      </c>
      <c r="T34" s="753" cm="1" t="str">
        <f t="array" ref="T34:T34">T33</f>
        <v>false</v>
      </c>
      <c r="AB34" s="320">
        <v>2</v>
      </c>
      <c r="AC34" s="873" t="s">
        <v>2278</v>
      </c>
      <c r="AD34" s="874"/>
      <c r="AE34" s="878"/>
      <c r="AF34" s="878"/>
      <c r="AG34" s="874"/>
      <c r="AH34" s="874"/>
      <c r="AI34" s="874"/>
      <c r="AL34" s="489"/>
      <c r="AN34" s="0" cm="1" t="str">
        <f t="array" ref="AN34:AN34">AN33</f>
        <v>0</v>
      </c>
      <c r="AT34" s="0" t="s">
        <v>176</v>
      </c>
    </row>
    <row s="969" customFormat="1" customHeight="1" ht="43.875" hidden="1">
      <c r="E35" s="180">
        <v>45</v>
      </c>
      <c r="F35" s="175" cm="1" t="str">
        <f t="array" ref="F35:F35">OFFSET(G35,-1,-1)</f>
        <v>0</v>
      </c>
      <c r="T35" s="753" cm="1" t="str">
        <f t="array" ref="T35:T35">T34</f>
        <v>false</v>
      </c>
      <c r="AB35" s="320" t="s">
        <v>2279</v>
      </c>
      <c r="AC35" s="646" t="s">
        <v>2280</v>
      </c>
      <c r="AD35" s="320" t="s">
        <v>1709</v>
      </c>
      <c r="AE35" s="72"/>
      <c r="AF35" s="72"/>
      <c r="AG35" s="160"/>
      <c r="AH35" s="160"/>
      <c r="AI35" s="161"/>
      <c r="AL35" s="489" t="s">
        <v>2281</v>
      </c>
      <c r="AN35" s="0" cm="1" t="str">
        <f t="array" ref="AN35:AN35">AN34</f>
        <v>0</v>
      </c>
      <c r="AO35" s="0" t="s">
        <v>824</v>
      </c>
      <c r="AP35" s="0" t="s">
        <v>1605</v>
      </c>
      <c r="AR35" s="0" t="s">
        <v>2268</v>
      </c>
      <c r="AS35" s="0" t="s">
        <v>219</v>
      </c>
      <c r="AT35" s="0" t="s">
        <v>303</v>
      </c>
      <c r="AU35" s="0" t="s">
        <v>1044</v>
      </c>
      <c r="AV35" s="0" t="s">
        <v>1045</v>
      </c>
    </row>
    <row s="969" customFormat="1" customHeight="1" ht="39" hidden="1">
      <c r="E36" s="180">
        <v>40</v>
      </c>
      <c r="F36" s="175" cm="1" t="str">
        <f t="array" ref="F36:F36">OFFSET(G36,-1,-1)</f>
        <v>0</v>
      </c>
      <c r="T36" s="753" cm="1" t="str">
        <f t="array" ref="T36:T36">T35</f>
        <v>false</v>
      </c>
      <c r="AB36" s="320" t="s">
        <v>2282</v>
      </c>
      <c r="AC36" s="646" t="s">
        <v>2283</v>
      </c>
      <c r="AD36" s="320" t="s">
        <v>2284</v>
      </c>
      <c r="AE36" s="72"/>
      <c r="AF36" s="72"/>
      <c r="AG36" s="160"/>
      <c r="AH36" s="160"/>
      <c r="AI36" s="161"/>
      <c r="AL36" s="489" t="s">
        <v>2285</v>
      </c>
      <c r="AN36" s="0" cm="1" t="str">
        <f t="array" ref="AN36:AN36">AN35</f>
        <v>0</v>
      </c>
      <c r="AO36" s="0" t="s">
        <v>824</v>
      </c>
      <c r="AP36" s="0" t="s">
        <v>1605</v>
      </c>
      <c r="AR36" s="0" t="s">
        <v>2268</v>
      </c>
      <c r="AS36" s="0" t="s">
        <v>255</v>
      </c>
      <c r="AT36" s="0" t="s">
        <v>303</v>
      </c>
      <c r="AU36" s="0" t="s">
        <v>2286</v>
      </c>
      <c r="AV36" s="0" t="s">
        <v>2287</v>
      </c>
    </row>
    <row s="969" customFormat="1" customHeight="1" ht="39" hidden="1">
      <c r="E37" s="180">
        <v>40</v>
      </c>
      <c r="F37" s="175" cm="1" t="str">
        <f t="array" ref="F37:F37">OFFSET(G37,-1,-1)</f>
        <v>0</v>
      </c>
      <c r="T37" s="753" cm="1" t="str">
        <f t="array" ref="T37:T37">T36</f>
        <v>false</v>
      </c>
      <c r="AB37" s="320" t="s">
        <v>2288</v>
      </c>
      <c r="AC37" s="646" t="s">
        <v>2289</v>
      </c>
      <c r="AD37" s="320" t="s">
        <v>1005</v>
      </c>
      <c r="AE37" s="71">
        <f>_xlfn.IFERROR(AE35/AE36,0)</f>
        <v>0</v>
      </c>
      <c r="AF37" s="71">
        <f>_xlfn.IFERROR(AF35/AF36,0)</f>
        <v>0</v>
      </c>
      <c r="AG37" s="160"/>
      <c r="AH37" s="160"/>
      <c r="AI37" s="161"/>
      <c r="AL37" s="489" t="s">
        <v>2266</v>
      </c>
      <c r="AN37" s="0" cm="1" t="str">
        <f t="array" ref="AN37:AN37">AN36</f>
        <v>0</v>
      </c>
      <c r="AO37" s="0" t="s">
        <v>824</v>
      </c>
      <c r="AP37" s="0" t="s">
        <v>1605</v>
      </c>
      <c r="AQ37" s="0" t="s">
        <v>2267</v>
      </c>
      <c r="AR37" s="0" t="s">
        <v>2268</v>
      </c>
      <c r="AS37" s="0" t="s">
        <v>219</v>
      </c>
      <c r="AT37" s="0" t="s">
        <v>303</v>
      </c>
      <c r="AU37" s="0" t="s">
        <v>2290</v>
      </c>
      <c r="AV37" s="0" t="s">
        <v>2291</v>
      </c>
    </row>
    <row s="969" customFormat="1" customHeight="1" ht="16.575" hidden="1">
      <c r="E38" s="180">
        <v>17</v>
      </c>
      <c r="F38" s="175" cm="1" t="str">
        <f t="array" ref="F38:F38">OFFSET(G38,-1,-1)</f>
        <v>0</v>
      </c>
      <c r="T38" s="753" cm="1" t="str">
        <f t="array" ref="T38:T38">T37</f>
        <v>false</v>
      </c>
      <c r="AB38" s="320" t="s">
        <v>2292</v>
      </c>
      <c r="AC38" s="646" t="s">
        <v>2272</v>
      </c>
      <c r="AD38" s="320" t="s">
        <v>495</v>
      </c>
      <c r="AE38" s="72"/>
      <c r="AF38" s="72"/>
      <c r="AG38" s="160"/>
      <c r="AH38" s="160"/>
      <c r="AI38" s="161"/>
      <c r="AL38" s="489" t="s">
        <v>2293</v>
      </c>
      <c r="AN38" s="0" cm="1" t="str">
        <f t="array" ref="AN38:AN38">AN37</f>
        <v>0</v>
      </c>
      <c r="AO38" s="0" t="s">
        <v>824</v>
      </c>
      <c r="AT38" s="0" t="s">
        <v>303</v>
      </c>
      <c r="AU38" s="0" t="s">
        <v>1535</v>
      </c>
      <c r="AV38" s="0" t="s">
        <v>1536</v>
      </c>
    </row>
    <row s="969" customFormat="1" customHeight="1" ht="39" hidden="1">
      <c r="E39" s="180">
        <v>40</v>
      </c>
      <c r="F39" s="175" cm="1" t="str">
        <f t="array" ref="F39:F39">OFFSET(G39,-1,-1)</f>
        <v>0</v>
      </c>
      <c r="T39" s="753" cm="1" t="str">
        <f t="array" ref="T39:T39">T38</f>
        <v>false</v>
      </c>
      <c r="AB39" s="320" t="s">
        <v>2294</v>
      </c>
      <c r="AC39" s="646" t="s">
        <v>2295</v>
      </c>
      <c r="AD39" s="591" t="s">
        <v>1005</v>
      </c>
      <c r="AE39" s="71"/>
      <c r="AF39" s="71"/>
      <c r="AG39" s="158"/>
      <c r="AH39" s="158"/>
      <c r="AI39" s="69"/>
      <c r="AL39" s="489" t="s">
        <v>2276</v>
      </c>
      <c r="AN39" s="0" cm="1" t="str">
        <f t="array" ref="AN39:AN39">AN38</f>
        <v>0</v>
      </c>
      <c r="AO39" s="0" t="s">
        <v>824</v>
      </c>
      <c r="AP39" s="0" t="s">
        <v>1605</v>
      </c>
      <c r="AQ39" s="0" t="s">
        <v>2267</v>
      </c>
      <c r="AR39" s="0" t="s">
        <v>2277</v>
      </c>
      <c r="AS39" s="0" t="s">
        <v>255</v>
      </c>
      <c r="AT39" s="0" t="s">
        <v>303</v>
      </c>
      <c r="AU39" s="0" t="s">
        <v>2290</v>
      </c>
      <c r="AV39" s="0" t="s">
        <v>2291</v>
      </c>
    </row>
    <row customHeight="1" ht="17.25" hidden="1">
      <c r="E40" s="965">
        <v>0</v>
      </c>
      <c r="F40" s="175" cm="1" t="str">
        <f t="array" ref="F40:F40">OFFSET(G40,-1,-1)</f>
        <v>0</v>
      </c>
      <c r="T40" s="753" cm="1" t="str">
        <f t="array" ref="T40:T40">T39</f>
        <v>false</v>
      </c>
    </row>
    <row s="969" customFormat="1" customHeight="1" ht="16.5">
      <c r="A41" s="969"/>
      <c r="B41" s="969"/>
      <c r="C41" s="969"/>
      <c r="D41" s="969"/>
      <c r="E41" s="180">
        <v>17</v>
      </c>
      <c r="F41" s="175" cm="1" t="str">
        <f t="array" ref="F41:F41">X41</f>
        <v>1</v>
      </c>
      <c r="G41" s="193" cm="1" t="str">
        <f t="array" ref="G41:G41">INDEX('Общие сведения'!$AK$169:$AK$202,MATCH($F41,'Общие сведения'!$Y$169:$Y$202,0))</f>
        <v>одноставочный</v>
      </c>
      <c r="H41" s="969"/>
      <c r="I41" s="193" cm="1" t="str">
        <f t="array" ref="I41:I41">INDEX('Общие сведения'!$AE$169:$AE$202,MATCH($F41,'Общие сведения'!$Y$169:$Y$202,0))</f>
        <v>Теплоснабжение</v>
      </c>
      <c r="J41" s="969"/>
      <c r="K41" s="193" cm="1" t="str">
        <f t="array" ref="K41:K41">INDEX('Общие сведения'!$AL$169:$AL$202,MATCH($F41,'Общие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L41" s="969"/>
      <c r="M41" s="969"/>
      <c r="N41" s="969"/>
      <c r="O41" s="969"/>
      <c r="P41" s="969"/>
      <c r="Q41" s="969"/>
      <c r="R41" s="969"/>
      <c r="S41" s="969"/>
      <c r="T41" s="753">
        <f>X41&gt;0</f>
        <v>1</v>
      </c>
      <c r="U41" s="969"/>
      <c r="V41" s="175" cm="1" t="str">
        <f t="array" ref="V41:V41">'Калькуляция (4.6)'!$AB$94</f>
        <v>Тариф 1 (Теплоснабжение) - Тариф на тепловую энергию (мощность), поставляемую потребителям (Доп. признак не требуется)</v>
      </c>
      <c r="W41" s="969"/>
      <c r="X41" s="1644" t="s">
        <v>308</v>
      </c>
      <c r="Y41" s="969"/>
      <c r="Z41" s="969"/>
      <c r="AA41" s="969"/>
      <c r="AB41" s="688" cm="1" t="str">
        <f t="array" ref="AB41:AB41">IF(ISBLANK('Калькуляция (4.6)'!$AB$94),"",'Калькуляция (4.6)'!$AB$94)</f>
        <v>Тариф 1 (Теплоснабжение) - Тариф на тепловую энергию (мощность), поставляемую потребителям (Доп. признак не требуется)</v>
      </c>
      <c r="AC41" s="334"/>
      <c r="AD41" s="334"/>
      <c r="AE41" s="334"/>
      <c r="AF41" s="334"/>
      <c r="AG41" s="334"/>
      <c r="AH41" s="334"/>
      <c r="AI41" s="334"/>
      <c r="AJ41" s="969"/>
      <c r="AK41" s="969"/>
      <c r="AL41" s="489"/>
      <c r="AM41" s="969"/>
      <c r="AN41" s="969"/>
      <c r="AO41" s="969"/>
      <c r="AP41" s="969"/>
      <c r="AQ41" s="969"/>
      <c r="AR41" s="969"/>
      <c r="AS41" s="969"/>
      <c r="AT41" s="969"/>
      <c r="AU41" s="969"/>
      <c r="AV41" s="969"/>
    </row>
    <row s="969" customFormat="1" customHeight="1" ht="16.5">
      <c r="A42" s="969"/>
      <c r="B42" s="969"/>
      <c r="C42" s="969"/>
      <c r="D42" s="969"/>
      <c r="E42" s="180">
        <v>17</v>
      </c>
      <c r="F42" s="175" cm="1" t="str">
        <f t="array" ref="F42:F42">OFFSET(G42,-1,-1)</f>
        <v>1</v>
      </c>
      <c r="G42" s="969"/>
      <c r="H42" s="969"/>
      <c r="I42" s="969"/>
      <c r="J42" s="969"/>
      <c r="K42" s="969"/>
      <c r="L42" s="969"/>
      <c r="M42" s="969"/>
      <c r="N42" s="969"/>
      <c r="O42" s="969"/>
      <c r="P42" s="969"/>
      <c r="Q42" s="969"/>
      <c r="R42" s="969"/>
      <c r="S42" s="969"/>
      <c r="T42" s="753" cm="1" t="str">
        <f t="array" ref="T42:T42">T41</f>
        <v>true</v>
      </c>
      <c r="U42" s="969"/>
      <c r="V42" s="969"/>
      <c r="W42" s="969"/>
      <c r="X42" s="969"/>
      <c r="Y42" s="969"/>
      <c r="Z42" s="969"/>
      <c r="AA42" s="969"/>
      <c r="AB42" s="591">
        <v>1</v>
      </c>
      <c r="AC42" s="873" t="s">
        <v>2256</v>
      </c>
      <c r="AD42" s="874"/>
      <c r="AE42" s="874"/>
      <c r="AF42" s="874"/>
      <c r="AG42" s="874"/>
      <c r="AH42" s="874"/>
      <c r="AI42" s="874"/>
      <c r="AJ42" s="969"/>
      <c r="AK42" s="969"/>
      <c r="AL42" s="489"/>
      <c r="AM42" s="969"/>
      <c r="AN42" s="969"/>
      <c r="AO42" s="969"/>
      <c r="AP42" s="969"/>
      <c r="AQ42" s="969"/>
      <c r="AR42" s="969"/>
      <c r="AS42" s="969"/>
      <c r="AT42" s="969"/>
      <c r="AU42" s="969"/>
      <c r="AV42" s="969"/>
    </row>
    <row s="969" customFormat="1" customHeight="1" ht="43.5">
      <c r="A43" s="969"/>
      <c r="B43" s="969"/>
      <c r="C43" s="969"/>
      <c r="D43" s="969"/>
      <c r="E43" s="180">
        <v>45</v>
      </c>
      <c r="F43" s="175" cm="1" t="str">
        <f t="array" ref="F43:F43">OFFSET(G43,-1,-1)</f>
        <v>1</v>
      </c>
      <c r="G43" s="969"/>
      <c r="H43" s="969"/>
      <c r="I43" s="969"/>
      <c r="J43" s="969"/>
      <c r="K43" s="969"/>
      <c r="L43" s="969"/>
      <c r="M43" s="969"/>
      <c r="N43" s="969"/>
      <c r="O43" s="969"/>
      <c r="P43" s="969"/>
      <c r="Q43" s="969"/>
      <c r="R43" s="969"/>
      <c r="S43" s="969"/>
      <c r="T43" s="753" cm="1" t="str">
        <f t="array" ref="T43:T43">T42</f>
        <v>true</v>
      </c>
      <c r="U43" s="969"/>
      <c r="V43" s="969"/>
      <c r="W43" s="969"/>
      <c r="X43" s="969"/>
      <c r="Y43" s="969"/>
      <c r="Z43" s="969"/>
      <c r="AA43" s="969"/>
      <c r="AB43" s="591" t="s">
        <v>2257</v>
      </c>
      <c r="AC43" s="646" t="s">
        <v>2258</v>
      </c>
      <c r="AD43" s="320" t="s">
        <v>1709</v>
      </c>
      <c r="AE43" s="1864"/>
      <c r="AF43" s="1864"/>
      <c r="AG43" s="2377"/>
      <c r="AH43" s="2377"/>
      <c r="AI43" s="1861"/>
      <c r="AJ43" s="969"/>
      <c r="AK43" s="969"/>
      <c r="AL43" s="489" t="s">
        <v>2259</v>
      </c>
      <c r="AM43" s="969"/>
      <c r="AN43" s="0" cm="1" t="str">
        <f t="array" ref="AN43:AN43">INDEX('Общие сведения'!$N$170:$N$202,MATCH($F43,'Общие сведения'!$Y$170:$Y$202,0)+1)</f>
        <v>ТЭ.42.31656254.0001</v>
      </c>
      <c r="AO43" s="0" t="s">
        <v>1388</v>
      </c>
      <c r="AP43" s="0" t="s">
        <v>1605</v>
      </c>
      <c r="AQ43" s="969"/>
      <c r="AR43" s="969"/>
      <c r="AS43" s="0" t="s">
        <v>219</v>
      </c>
      <c r="AT43" s="0" t="s">
        <v>303</v>
      </c>
      <c r="AU43" s="0" t="s">
        <v>1044</v>
      </c>
      <c r="AV43" s="0" t="s">
        <v>1045</v>
      </c>
    </row>
    <row s="969" customFormat="1" customHeight="1" ht="43.5">
      <c r="A44" s="969"/>
      <c r="B44" s="969"/>
      <c r="C44" s="969"/>
      <c r="D44" s="969"/>
      <c r="E44" s="180">
        <v>45</v>
      </c>
      <c r="F44" s="175" cm="1" t="str">
        <f t="array" ref="F44:F44">OFFSET(G44,-1,-1)</f>
        <v>1</v>
      </c>
      <c r="G44" s="969"/>
      <c r="H44" s="969"/>
      <c r="I44" s="969"/>
      <c r="J44" s="969"/>
      <c r="K44" s="969"/>
      <c r="L44" s="969"/>
      <c r="M44" s="969"/>
      <c r="N44" s="969"/>
      <c r="O44" s="969"/>
      <c r="P44" s="969"/>
      <c r="Q44" s="969"/>
      <c r="R44" s="969"/>
      <c r="S44" s="969"/>
      <c r="T44" s="753" cm="1" t="str">
        <f t="array" ref="T44:T44">T43</f>
        <v>true</v>
      </c>
      <c r="U44" s="969"/>
      <c r="V44" s="969"/>
      <c r="W44" s="969"/>
      <c r="X44" s="969"/>
      <c r="Y44" s="969"/>
      <c r="Z44" s="969"/>
      <c r="AA44" s="969"/>
      <c r="AB44" s="591" t="s">
        <v>2260</v>
      </c>
      <c r="AC44" s="646" t="s">
        <v>2261</v>
      </c>
      <c r="AD44" s="320" t="s">
        <v>447</v>
      </c>
      <c r="AE44" s="1864"/>
      <c r="AF44" s="1864"/>
      <c r="AG44" s="2377"/>
      <c r="AH44" s="2377"/>
      <c r="AI44" s="1861"/>
      <c r="AJ44" s="969"/>
      <c r="AK44" s="969"/>
      <c r="AL44" s="489" t="s">
        <v>2262</v>
      </c>
      <c r="AM44" s="969"/>
      <c r="AN44" s="0" cm="1" t="str">
        <f t="array" ref="AN44:AN44">AN43</f>
        <v>ТЭ.42.31656254.0001</v>
      </c>
      <c r="AO44" s="0" t="s">
        <v>1388</v>
      </c>
      <c r="AP44" s="0" t="s">
        <v>1605</v>
      </c>
      <c r="AQ44" s="969"/>
      <c r="AR44" s="969"/>
      <c r="AS44" s="0" t="s">
        <v>255</v>
      </c>
      <c r="AT44" s="0" t="s">
        <v>303</v>
      </c>
      <c r="AU44" s="0" t="s">
        <v>458</v>
      </c>
      <c r="AV44" s="0" t="s">
        <v>459</v>
      </c>
    </row>
    <row s="969" customFormat="1" customHeight="1" ht="39">
      <c r="A45" s="969"/>
      <c r="B45" s="969"/>
      <c r="C45" s="969"/>
      <c r="D45" s="969"/>
      <c r="E45" s="180">
        <v>40</v>
      </c>
      <c r="F45" s="175" cm="1" t="str">
        <f t="array" ref="F45:F45">OFFSET(G45,-1,-1)</f>
        <v>1</v>
      </c>
      <c r="G45" s="969"/>
      <c r="H45" s="969"/>
      <c r="I45" s="969"/>
      <c r="J45" s="969"/>
      <c r="K45" s="969"/>
      <c r="L45" s="969"/>
      <c r="M45" s="969"/>
      <c r="N45" s="969"/>
      <c r="O45" s="969"/>
      <c r="P45" s="969"/>
      <c r="Q45" s="969"/>
      <c r="R45" s="969"/>
      <c r="S45" s="969"/>
      <c r="T45" s="753" cm="1" t="str">
        <f t="array" ref="T45:T45">T44</f>
        <v>true</v>
      </c>
      <c r="U45" s="969"/>
      <c r="V45" s="969"/>
      <c r="W45" s="969"/>
      <c r="X45" s="969"/>
      <c r="Y45" s="969"/>
      <c r="Z45" s="969"/>
      <c r="AA45" s="969"/>
      <c r="AB45" s="591" t="s">
        <v>2263</v>
      </c>
      <c r="AC45" s="646" t="s">
        <v>2264</v>
      </c>
      <c r="AD45" s="320" t="s">
        <v>2265</v>
      </c>
      <c r="AE45" s="1864">
        <f>_xlfn.IFERROR(AE43/AE44,0)</f>
        <v>0</v>
      </c>
      <c r="AF45" s="1864">
        <f>_xlfn.IFERROR(AF43/AF44,0)</f>
        <v>0</v>
      </c>
      <c r="AG45" s="2377"/>
      <c r="AH45" s="2377"/>
      <c r="AI45" s="1861"/>
      <c r="AJ45" s="969"/>
      <c r="AK45" s="969"/>
      <c r="AL45" s="489" t="s">
        <v>2266</v>
      </c>
      <c r="AM45" s="969"/>
      <c r="AN45" s="0" cm="1" t="str">
        <f t="array" ref="AN45:AN45">AN44</f>
        <v>ТЭ.42.31656254.0001</v>
      </c>
      <c r="AO45" s="0" t="s">
        <v>1388</v>
      </c>
      <c r="AP45" s="0" t="s">
        <v>1605</v>
      </c>
      <c r="AQ45" s="0" t="s">
        <v>2267</v>
      </c>
      <c r="AR45" s="0" t="s">
        <v>2268</v>
      </c>
      <c r="AS45" s="969"/>
      <c r="AT45" s="0" t="s">
        <v>303</v>
      </c>
      <c r="AU45" s="0" t="s">
        <v>2269</v>
      </c>
      <c r="AV45" s="0" t="s">
        <v>2270</v>
      </c>
    </row>
    <row s="969" customFormat="1" customHeight="1" ht="16.5">
      <c r="A46" s="969"/>
      <c r="B46" s="969"/>
      <c r="C46" s="969"/>
      <c r="D46" s="969"/>
      <c r="E46" s="180">
        <v>17</v>
      </c>
      <c r="F46" s="175" cm="1" t="str">
        <f t="array" ref="F46:F46">OFFSET(G46,-1,-1)</f>
        <v>1</v>
      </c>
      <c r="G46" s="969"/>
      <c r="H46" s="969"/>
      <c r="I46" s="969"/>
      <c r="J46" s="969"/>
      <c r="K46" s="969"/>
      <c r="L46" s="969"/>
      <c r="M46" s="969"/>
      <c r="N46" s="969"/>
      <c r="O46" s="969"/>
      <c r="P46" s="969"/>
      <c r="Q46" s="969"/>
      <c r="R46" s="969"/>
      <c r="S46" s="969"/>
      <c r="T46" s="753" cm="1" t="str">
        <f t="array" ref="T46:T46">T45</f>
        <v>true</v>
      </c>
      <c r="U46" s="969"/>
      <c r="V46" s="969"/>
      <c r="W46" s="969"/>
      <c r="X46" s="969"/>
      <c r="Y46" s="969"/>
      <c r="Z46" s="969"/>
      <c r="AA46" s="969"/>
      <c r="AB46" s="591" t="s">
        <v>2271</v>
      </c>
      <c r="AC46" s="646" t="s">
        <v>2272</v>
      </c>
      <c r="AD46" s="320" t="s">
        <v>495</v>
      </c>
      <c r="AE46" s="2378"/>
      <c r="AF46" s="2378"/>
      <c r="AG46" s="2377"/>
      <c r="AH46" s="2377"/>
      <c r="AI46" s="1861"/>
      <c r="AJ46" s="969"/>
      <c r="AK46" s="969"/>
      <c r="AL46" s="489" t="s">
        <v>2273</v>
      </c>
      <c r="AM46" s="969"/>
      <c r="AN46" s="0" cm="1" t="str">
        <f t="array" ref="AN46:AN46">AN45</f>
        <v>ТЭ.42.31656254.0001</v>
      </c>
      <c r="AO46" s="0" t="s">
        <v>1388</v>
      </c>
      <c r="AP46" s="969"/>
      <c r="AQ46" s="969"/>
      <c r="AR46" s="969"/>
      <c r="AS46" s="969"/>
      <c r="AT46" s="0" t="s">
        <v>303</v>
      </c>
      <c r="AU46" s="0" t="s">
        <v>1535</v>
      </c>
      <c r="AV46" s="0" t="s">
        <v>1536</v>
      </c>
    </row>
    <row s="969" customFormat="1" customHeight="1" ht="39">
      <c r="A47" s="969"/>
      <c r="B47" s="969"/>
      <c r="C47" s="969"/>
      <c r="D47" s="969"/>
      <c r="E47" s="180">
        <v>40</v>
      </c>
      <c r="F47" s="175" cm="1" t="str">
        <f t="array" ref="F47:F47">OFFSET(G47,-1,-1)</f>
        <v>1</v>
      </c>
      <c r="G47" s="969"/>
      <c r="H47" s="969"/>
      <c r="I47" s="969"/>
      <c r="J47" s="969"/>
      <c r="K47" s="969"/>
      <c r="L47" s="969"/>
      <c r="M47" s="969"/>
      <c r="N47" s="969"/>
      <c r="O47" s="969"/>
      <c r="P47" s="969"/>
      <c r="Q47" s="969"/>
      <c r="R47" s="969"/>
      <c r="S47" s="969"/>
      <c r="T47" s="753" cm="1" t="str">
        <f t="array" ref="T47:T47">T46</f>
        <v>true</v>
      </c>
      <c r="U47" s="969"/>
      <c r="V47" s="969"/>
      <c r="W47" s="969"/>
      <c r="X47" s="969"/>
      <c r="Y47" s="969"/>
      <c r="Z47" s="969"/>
      <c r="AA47" s="969"/>
      <c r="AB47" s="616" t="s">
        <v>2274</v>
      </c>
      <c r="AC47" s="876" t="s">
        <v>2275</v>
      </c>
      <c r="AD47" s="877" t="s">
        <v>2265</v>
      </c>
      <c r="AE47" s="1866"/>
      <c r="AF47" s="1866"/>
      <c r="AG47" s="2379"/>
      <c r="AH47" s="2379"/>
      <c r="AI47" s="2380"/>
      <c r="AJ47" s="969"/>
      <c r="AK47" s="969"/>
      <c r="AL47" s="489" t="s">
        <v>2276</v>
      </c>
      <c r="AM47" s="969"/>
      <c r="AN47" s="0" cm="1" t="str">
        <f t="array" ref="AN47:AN47">AN46</f>
        <v>ТЭ.42.31656254.0001</v>
      </c>
      <c r="AO47" s="0" t="s">
        <v>1388</v>
      </c>
      <c r="AP47" s="0" t="s">
        <v>1605</v>
      </c>
      <c r="AQ47" s="0" t="s">
        <v>2267</v>
      </c>
      <c r="AR47" s="0" t="s">
        <v>2277</v>
      </c>
      <c r="AS47" s="969"/>
      <c r="AT47" s="0" t="s">
        <v>303</v>
      </c>
      <c r="AU47" s="0" t="s">
        <v>2269</v>
      </c>
      <c r="AV47" s="0" t="s">
        <v>2270</v>
      </c>
    </row>
    <row s="969" customFormat="1" customHeight="1" ht="16.5">
      <c r="A48" s="969"/>
      <c r="B48" s="969"/>
      <c r="C48" s="969"/>
      <c r="D48" s="969"/>
      <c r="E48" s="180">
        <v>17</v>
      </c>
      <c r="F48" s="175" cm="1" t="str">
        <f t="array" ref="F48:F48">OFFSET(G48,-1,-1)</f>
        <v>1</v>
      </c>
      <c r="G48" s="969"/>
      <c r="H48" s="969"/>
      <c r="I48" s="969"/>
      <c r="J48" s="969"/>
      <c r="K48" s="969"/>
      <c r="L48" s="969"/>
      <c r="M48" s="969"/>
      <c r="N48" s="969"/>
      <c r="O48" s="969"/>
      <c r="P48" s="969"/>
      <c r="Q48" s="969"/>
      <c r="R48" s="969"/>
      <c r="S48" s="969"/>
      <c r="T48" s="753" cm="1" t="str">
        <f t="array" ref="T48:T48">T47</f>
        <v>true</v>
      </c>
      <c r="U48" s="969"/>
      <c r="V48" s="969"/>
      <c r="W48" s="969"/>
      <c r="X48" s="969"/>
      <c r="Y48" s="969"/>
      <c r="Z48" s="969"/>
      <c r="AA48" s="969"/>
      <c r="AB48" s="320">
        <v>2</v>
      </c>
      <c r="AC48" s="873" t="s">
        <v>2278</v>
      </c>
      <c r="AD48" s="874"/>
      <c r="AE48" s="878"/>
      <c r="AF48" s="878"/>
      <c r="AG48" s="874"/>
      <c r="AH48" s="874"/>
      <c r="AI48" s="874"/>
      <c r="AJ48" s="969"/>
      <c r="AK48" s="969"/>
      <c r="AL48" s="489"/>
      <c r="AM48" s="969"/>
      <c r="AN48" s="0" cm="1" t="str">
        <f t="array" ref="AN48:AN48">AN47</f>
        <v>ТЭ.42.31656254.0001</v>
      </c>
      <c r="AO48" s="969"/>
      <c r="AP48" s="969"/>
      <c r="AQ48" s="969"/>
      <c r="AR48" s="969"/>
      <c r="AS48" s="969"/>
      <c r="AT48" s="0" t="s">
        <v>176</v>
      </c>
      <c r="AU48" s="969"/>
      <c r="AV48" s="969"/>
    </row>
    <row s="969" customFormat="1" customHeight="1" ht="43.5">
      <c r="A49" s="969"/>
      <c r="B49" s="969"/>
      <c r="C49" s="969"/>
      <c r="D49" s="969"/>
      <c r="E49" s="180">
        <v>45</v>
      </c>
      <c r="F49" s="175" cm="1" t="str">
        <f t="array" ref="F49:F49">OFFSET(G49,-1,-1)</f>
        <v>1</v>
      </c>
      <c r="G49" s="969"/>
      <c r="H49" s="969"/>
      <c r="I49" s="969"/>
      <c r="J49" s="969"/>
      <c r="K49" s="969"/>
      <c r="L49" s="969"/>
      <c r="M49" s="969"/>
      <c r="N49" s="969"/>
      <c r="O49" s="969"/>
      <c r="P49" s="969"/>
      <c r="Q49" s="969"/>
      <c r="R49" s="969"/>
      <c r="S49" s="969"/>
      <c r="T49" s="753" cm="1" t="str">
        <f t="array" ref="T49:T49">T48</f>
        <v>true</v>
      </c>
      <c r="U49" s="969"/>
      <c r="V49" s="969"/>
      <c r="W49" s="969"/>
      <c r="X49" s="969"/>
      <c r="Y49" s="969"/>
      <c r="Z49" s="969"/>
      <c r="AA49" s="969"/>
      <c r="AB49" s="320" t="s">
        <v>2279</v>
      </c>
      <c r="AC49" s="646" t="s">
        <v>2280</v>
      </c>
      <c r="AD49" s="320" t="s">
        <v>1709</v>
      </c>
      <c r="AE49" s="1866"/>
      <c r="AF49" s="1866"/>
      <c r="AG49" s="2379"/>
      <c r="AH49" s="2379"/>
      <c r="AI49" s="2380"/>
      <c r="AJ49" s="969"/>
      <c r="AK49" s="969"/>
      <c r="AL49" s="489" t="s">
        <v>2281</v>
      </c>
      <c r="AM49" s="969"/>
      <c r="AN49" s="0" cm="1" t="str">
        <f t="array" ref="AN49:AN49">AN48</f>
        <v>ТЭ.42.31656254.0001</v>
      </c>
      <c r="AO49" s="0" t="s">
        <v>824</v>
      </c>
      <c r="AP49" s="0" t="s">
        <v>1605</v>
      </c>
      <c r="AQ49" s="969"/>
      <c r="AR49" s="0" t="s">
        <v>2268</v>
      </c>
      <c r="AS49" s="0" t="s">
        <v>219</v>
      </c>
      <c r="AT49" s="0" t="s">
        <v>303</v>
      </c>
      <c r="AU49" s="0" t="s">
        <v>1044</v>
      </c>
      <c r="AV49" s="0" t="s">
        <v>1045</v>
      </c>
    </row>
    <row s="969" customFormat="1" customHeight="1" ht="39">
      <c r="A50" s="969"/>
      <c r="B50" s="969"/>
      <c r="C50" s="969"/>
      <c r="D50" s="969"/>
      <c r="E50" s="180">
        <v>40</v>
      </c>
      <c r="F50" s="175" cm="1" t="str">
        <f t="array" ref="F50:F50">OFFSET(G50,-1,-1)</f>
        <v>1</v>
      </c>
      <c r="G50" s="969"/>
      <c r="H50" s="969"/>
      <c r="I50" s="969"/>
      <c r="J50" s="969"/>
      <c r="K50" s="969"/>
      <c r="L50" s="969"/>
      <c r="M50" s="969"/>
      <c r="N50" s="969"/>
      <c r="O50" s="969"/>
      <c r="P50" s="969"/>
      <c r="Q50" s="969"/>
      <c r="R50" s="969"/>
      <c r="S50" s="969"/>
      <c r="T50" s="753" cm="1" t="str">
        <f t="array" ref="T50:T50">T49</f>
        <v>true</v>
      </c>
      <c r="U50" s="969"/>
      <c r="V50" s="969"/>
      <c r="W50" s="969"/>
      <c r="X50" s="969"/>
      <c r="Y50" s="969"/>
      <c r="Z50" s="969"/>
      <c r="AA50" s="969"/>
      <c r="AB50" s="320" t="s">
        <v>2282</v>
      </c>
      <c r="AC50" s="646" t="s">
        <v>2283</v>
      </c>
      <c r="AD50" s="320" t="s">
        <v>2284</v>
      </c>
      <c r="AE50" s="1866"/>
      <c r="AF50" s="1866"/>
      <c r="AG50" s="2379"/>
      <c r="AH50" s="2379"/>
      <c r="AI50" s="2380"/>
      <c r="AJ50" s="969"/>
      <c r="AK50" s="969"/>
      <c r="AL50" s="489" t="s">
        <v>2285</v>
      </c>
      <c r="AM50" s="969"/>
      <c r="AN50" s="0" cm="1" t="str">
        <f t="array" ref="AN50:AN50">AN49</f>
        <v>ТЭ.42.31656254.0001</v>
      </c>
      <c r="AO50" s="0" t="s">
        <v>824</v>
      </c>
      <c r="AP50" s="0" t="s">
        <v>1605</v>
      </c>
      <c r="AQ50" s="969"/>
      <c r="AR50" s="0" t="s">
        <v>2268</v>
      </c>
      <c r="AS50" s="0" t="s">
        <v>255</v>
      </c>
      <c r="AT50" s="0" t="s">
        <v>303</v>
      </c>
      <c r="AU50" s="0" t="s">
        <v>2286</v>
      </c>
      <c r="AV50" s="0" t="s">
        <v>2287</v>
      </c>
    </row>
    <row s="969" customFormat="1" customHeight="1" ht="39">
      <c r="A51" s="969"/>
      <c r="B51" s="969"/>
      <c r="C51" s="969"/>
      <c r="D51" s="969"/>
      <c r="E51" s="180">
        <v>40</v>
      </c>
      <c r="F51" s="175" cm="1" t="str">
        <f t="array" ref="F51:F51">OFFSET(G51,-1,-1)</f>
        <v>1</v>
      </c>
      <c r="G51" s="969"/>
      <c r="H51" s="969"/>
      <c r="I51" s="969"/>
      <c r="J51" s="969"/>
      <c r="K51" s="969"/>
      <c r="L51" s="969"/>
      <c r="M51" s="969"/>
      <c r="N51" s="969"/>
      <c r="O51" s="969"/>
      <c r="P51" s="969"/>
      <c r="Q51" s="969"/>
      <c r="R51" s="969"/>
      <c r="S51" s="969"/>
      <c r="T51" s="753" cm="1" t="str">
        <f t="array" ref="T51:T51">T50</f>
        <v>true</v>
      </c>
      <c r="U51" s="969"/>
      <c r="V51" s="969"/>
      <c r="W51" s="969"/>
      <c r="X51" s="969"/>
      <c r="Y51" s="969"/>
      <c r="Z51" s="969"/>
      <c r="AA51" s="969"/>
      <c r="AB51" s="320" t="s">
        <v>2288</v>
      </c>
      <c r="AC51" s="646" t="s">
        <v>2289</v>
      </c>
      <c r="AD51" s="320" t="s">
        <v>1005</v>
      </c>
      <c r="AE51" s="1864">
        <f>_xlfn.IFERROR(AE49/AE50,0)</f>
        <v>0</v>
      </c>
      <c r="AF51" s="1864">
        <f>_xlfn.IFERROR(AF49/AF50,0)</f>
        <v>0</v>
      </c>
      <c r="AG51" s="2379"/>
      <c r="AH51" s="2379"/>
      <c r="AI51" s="2380"/>
      <c r="AJ51" s="969"/>
      <c r="AK51" s="969"/>
      <c r="AL51" s="489" t="s">
        <v>2266</v>
      </c>
      <c r="AM51" s="969"/>
      <c r="AN51" s="0" cm="1" t="str">
        <f t="array" ref="AN51:AN51">AN50</f>
        <v>ТЭ.42.31656254.0001</v>
      </c>
      <c r="AO51" s="0" t="s">
        <v>824</v>
      </c>
      <c r="AP51" s="0" t="s">
        <v>1605</v>
      </c>
      <c r="AQ51" s="0" t="s">
        <v>2267</v>
      </c>
      <c r="AR51" s="0" t="s">
        <v>2268</v>
      </c>
      <c r="AS51" s="0" t="s">
        <v>219</v>
      </c>
      <c r="AT51" s="0" t="s">
        <v>303</v>
      </c>
      <c r="AU51" s="0" t="s">
        <v>2290</v>
      </c>
      <c r="AV51" s="0" t="s">
        <v>2291</v>
      </c>
    </row>
    <row s="969" customFormat="1" customHeight="1" ht="16.5">
      <c r="A52" s="969"/>
      <c r="B52" s="969"/>
      <c r="C52" s="969"/>
      <c r="D52" s="969"/>
      <c r="E52" s="180">
        <v>17</v>
      </c>
      <c r="F52" s="175" cm="1" t="str">
        <f t="array" ref="F52:F52">OFFSET(G52,-1,-1)</f>
        <v>1</v>
      </c>
      <c r="G52" s="969"/>
      <c r="H52" s="969"/>
      <c r="I52" s="969"/>
      <c r="J52" s="969"/>
      <c r="K52" s="969"/>
      <c r="L52" s="969"/>
      <c r="M52" s="969"/>
      <c r="N52" s="969"/>
      <c r="O52" s="969"/>
      <c r="P52" s="969"/>
      <c r="Q52" s="969"/>
      <c r="R52" s="969"/>
      <c r="S52" s="969"/>
      <c r="T52" s="753" cm="1" t="str">
        <f t="array" ref="T52:T52">T51</f>
        <v>true</v>
      </c>
      <c r="U52" s="969"/>
      <c r="V52" s="969"/>
      <c r="W52" s="969"/>
      <c r="X52" s="969"/>
      <c r="Y52" s="969"/>
      <c r="Z52" s="969"/>
      <c r="AA52" s="969"/>
      <c r="AB52" s="320" t="s">
        <v>2292</v>
      </c>
      <c r="AC52" s="646" t="s">
        <v>2272</v>
      </c>
      <c r="AD52" s="320" t="s">
        <v>495</v>
      </c>
      <c r="AE52" s="1866"/>
      <c r="AF52" s="1866"/>
      <c r="AG52" s="2379"/>
      <c r="AH52" s="2379"/>
      <c r="AI52" s="2380"/>
      <c r="AJ52" s="969"/>
      <c r="AK52" s="969"/>
      <c r="AL52" s="489" t="s">
        <v>2293</v>
      </c>
      <c r="AM52" s="969"/>
      <c r="AN52" s="0" cm="1" t="str">
        <f t="array" ref="AN52:AN52">AN51</f>
        <v>ТЭ.42.31656254.0001</v>
      </c>
      <c r="AO52" s="0" t="s">
        <v>824</v>
      </c>
      <c r="AP52" s="969"/>
      <c r="AQ52" s="969"/>
      <c r="AR52" s="969"/>
      <c r="AS52" s="969"/>
      <c r="AT52" s="0" t="s">
        <v>303</v>
      </c>
      <c r="AU52" s="0" t="s">
        <v>1535</v>
      </c>
      <c r="AV52" s="0" t="s">
        <v>1536</v>
      </c>
    </row>
    <row s="969" customFormat="1" customHeight="1" ht="39">
      <c r="A53" s="969"/>
      <c r="B53" s="969"/>
      <c r="C53" s="969"/>
      <c r="D53" s="969"/>
      <c r="E53" s="180">
        <v>40</v>
      </c>
      <c r="F53" s="175" cm="1" t="str">
        <f t="array" ref="F53:F53">OFFSET(G53,-1,-1)</f>
        <v>1</v>
      </c>
      <c r="G53" s="969"/>
      <c r="H53" s="969"/>
      <c r="I53" s="969"/>
      <c r="J53" s="969"/>
      <c r="K53" s="969"/>
      <c r="L53" s="969"/>
      <c r="M53" s="969"/>
      <c r="N53" s="969"/>
      <c r="O53" s="969"/>
      <c r="P53" s="969"/>
      <c r="Q53" s="969"/>
      <c r="R53" s="969"/>
      <c r="S53" s="969"/>
      <c r="T53" s="753" cm="1" t="str">
        <f t="array" ref="T53:T53">T52</f>
        <v>true</v>
      </c>
      <c r="U53" s="969"/>
      <c r="V53" s="969"/>
      <c r="W53" s="969"/>
      <c r="X53" s="969"/>
      <c r="Y53" s="969"/>
      <c r="Z53" s="969"/>
      <c r="AA53" s="969"/>
      <c r="AB53" s="320" t="s">
        <v>2294</v>
      </c>
      <c r="AC53" s="646" t="s">
        <v>2295</v>
      </c>
      <c r="AD53" s="591" t="s">
        <v>1005</v>
      </c>
      <c r="AE53" s="1864"/>
      <c r="AF53" s="1864"/>
      <c r="AG53" s="2377"/>
      <c r="AH53" s="2377"/>
      <c r="AI53" s="1861"/>
      <c r="AJ53" s="969"/>
      <c r="AK53" s="969"/>
      <c r="AL53" s="489" t="s">
        <v>2276</v>
      </c>
      <c r="AM53" s="969"/>
      <c r="AN53" s="0" cm="1" t="str">
        <f t="array" ref="AN53:AN53">AN52</f>
        <v>ТЭ.42.31656254.0001</v>
      </c>
      <c r="AO53" s="0" t="s">
        <v>824</v>
      </c>
      <c r="AP53" s="0" t="s">
        <v>1605</v>
      </c>
      <c r="AQ53" s="0" t="s">
        <v>2267</v>
      </c>
      <c r="AR53" s="0" t="s">
        <v>2277</v>
      </c>
      <c r="AS53" s="0" t="s">
        <v>255</v>
      </c>
      <c r="AT53" s="0" t="s">
        <v>303</v>
      </c>
      <c r="AU53" s="0" t="s">
        <v>2290</v>
      </c>
      <c r="AV53" s="0" t="s">
        <v>2291</v>
      </c>
    </row>
    <row s="1751" customFormat="1" customHeight="1" ht="17.25" hidden="1">
      <c r="A54" s="371"/>
      <c r="B54" s="1548"/>
      <c r="C54" s="1548"/>
      <c r="D54" s="1548"/>
      <c r="E54" s="965">
        <v>0</v>
      </c>
      <c r="F54" s="175" cm="1" t="str">
        <f t="array" ref="F54:F54">OFFSET(G54,-1,-1)</f>
        <v>1</v>
      </c>
      <c r="G54" s="1659"/>
      <c r="H54" s="1659"/>
      <c r="I54" s="1659"/>
      <c r="J54" s="1659"/>
      <c r="K54" s="1659"/>
      <c r="L54" s="1659"/>
      <c r="M54" s="1659"/>
      <c r="N54" s="1659"/>
      <c r="O54" s="1659"/>
      <c r="P54" s="1659"/>
      <c r="Q54" s="1659"/>
      <c r="R54" s="1659"/>
      <c r="S54" s="1659"/>
      <c r="T54" s="753" cm="1" t="str">
        <f t="array" ref="T54:T54">T53</f>
        <v>true</v>
      </c>
      <c r="U54" s="1548"/>
      <c r="V54" s="1548"/>
      <c r="W54" s="1548"/>
      <c r="X54" s="1548"/>
      <c r="Y54" s="1548"/>
      <c r="Z54" s="1548"/>
      <c r="AA54" s="286"/>
      <c r="AB54" s="277"/>
      <c r="AC54" s="285"/>
      <c r="AD54" s="277"/>
      <c r="AE54" s="286"/>
      <c r="AF54" s="286"/>
      <c r="AG54" s="286"/>
      <c r="AH54" s="286"/>
      <c r="AI54" s="286"/>
      <c r="AJ54" s="286"/>
      <c r="AK54" s="1659"/>
      <c r="AL54" s="1125"/>
      <c r="AM54" s="1506"/>
      <c r="AN54" s="1751"/>
      <c r="AO54" s="1751"/>
      <c r="AP54" s="1751"/>
      <c r="AQ54" s="1751"/>
      <c r="AR54" s="1751"/>
      <c r="AS54" s="1751"/>
      <c r="AT54" s="1751"/>
      <c r="AU54" s="1751"/>
      <c r="AV54" s="1751"/>
    </row>
    <row customHeight="1" ht="9.75">
      <c r="E55" s="180">
        <v>10</v>
      </c>
      <c r="U55" s="175" t="s">
        <v>191</v>
      </c>
      <c r="V55" s="176" t="s">
        <v>2296</v>
      </c>
      <c r="AA55" s="679"/>
      <c r="AB55" s="678"/>
      <c r="AC55" s="681"/>
      <c r="AD55" s="678"/>
      <c r="AE55" s="679"/>
      <c r="AF55" s="679"/>
      <c r="AG55" s="679"/>
      <c r="AH55" s="679"/>
      <c r="AI55" s="679"/>
      <c r="AJ55" s="679"/>
    </row>
    <row customHeight="1" ht="11.25" hidden="1">
      <c r="E56" s="965">
        <v>0</v>
      </c>
      <c r="AA56" s="679"/>
      <c r="AB56" s="678"/>
      <c r="AC56" s="681"/>
      <c r="AD56" s="678"/>
      <c r="AE56" s="679"/>
      <c r="AF56" s="679"/>
      <c r="AG56" s="679"/>
      <c r="AH56" s="679"/>
      <c r="AI56" s="679"/>
      <c r="AJ56" s="679"/>
    </row>
    <row customHeight="1" ht="14.625">
      <c r="E57" s="180">
        <v>15</v>
      </c>
      <c r="AA57" s="679"/>
      <c r="AB57" s="1692" t="s">
        <v>765</v>
      </c>
      <c r="AC57" s="1693"/>
      <c r="AD57" s="1693"/>
      <c r="AE57" s="1693"/>
      <c r="AF57" s="1693"/>
      <c r="AG57" s="1693"/>
      <c r="AH57" s="1693"/>
      <c r="AI57" s="1694"/>
      <c r="AJ57" s="679"/>
    </row>
    <row customHeight="1" ht="14.625">
      <c r="E58" s="180">
        <v>15</v>
      </c>
      <c r="AA58" s="477"/>
      <c r="AB58" s="1695"/>
      <c r="AC58" s="1696"/>
      <c r="AD58" s="1696"/>
      <c r="AE58" s="1696"/>
      <c r="AF58" s="1696"/>
      <c r="AG58" s="1697"/>
      <c r="AH58" s="1697"/>
      <c r="AI58" s="1698"/>
      <c r="AJ58" s="679"/>
    </row>
    <row customHeight="1" ht="14.625" hidden="1">
      <c r="A59" s="371"/>
      <c r="B59" s="1548"/>
      <c r="C59" s="1548"/>
      <c r="D59" s="1548"/>
      <c r="E59" s="180">
        <v>15</v>
      </c>
      <c r="F59" s="1548"/>
      <c r="G59" s="1659"/>
      <c r="H59" s="1659"/>
      <c r="I59" s="1659"/>
      <c r="J59" s="1659"/>
      <c r="K59" s="1659"/>
      <c r="L59" s="1659"/>
      <c r="M59" s="1659"/>
      <c r="N59" s="1659"/>
      <c r="O59" s="1659"/>
      <c r="P59" s="1659"/>
      <c r="Q59" s="1659"/>
      <c r="R59" s="1659"/>
      <c r="S59" s="1659"/>
      <c r="T59" s="753">
        <f>ROW(W59)&gt;ROW(W$59)</f>
        <v>0</v>
      </c>
      <c r="U59" s="1548"/>
      <c r="V59" s="1548"/>
      <c r="W59" s="175" t="s">
        <v>189</v>
      </c>
      <c r="X59" s="1548"/>
      <c r="Y59" s="1548"/>
      <c r="Z59" s="1548"/>
      <c r="AA59" s="477" t="s">
        <v>171</v>
      </c>
      <c r="AB59" s="2381"/>
      <c r="AC59" s="2382"/>
      <c r="AD59" s="2382"/>
      <c r="AE59" s="2382"/>
      <c r="AF59" s="2382"/>
      <c r="AG59" s="2383"/>
      <c r="AH59" s="2383"/>
      <c r="AI59" s="2384"/>
      <c r="AJ59" s="679"/>
      <c r="AK59" s="1659"/>
      <c r="AL59" s="1125"/>
      <c r="AM59" s="1506"/>
      <c r="AN59" s="1752"/>
      <c r="AO59" s="1752"/>
      <c r="AP59" s="1752"/>
      <c r="AQ59" s="1752"/>
      <c r="AR59" s="1752"/>
      <c r="AS59" s="1752"/>
      <c r="AT59" s="1752"/>
      <c r="AU59" s="1752"/>
      <c r="AV59" s="1752"/>
    </row>
    <row customHeight="1" ht="14.625">
      <c r="E60" s="180">
        <v>15</v>
      </c>
      <c r="W60" s="176" t="s">
        <v>2297</v>
      </c>
      <c r="AB60" s="1599" t="s">
        <v>766</v>
      </c>
      <c r="AC60" s="1600"/>
      <c r="AD60" s="479"/>
      <c r="AE60" s="480"/>
      <c r="AF60" s="480"/>
      <c r="AG60" s="480"/>
      <c r="AH60" s="480"/>
      <c r="AI60" s="482"/>
      <c r="AJ60" s="679"/>
    </row>
    <row customHeight="1" ht="11.25">
      <c r="AA61" s="679"/>
      <c r="AB61" s="678"/>
      <c r="AC61" s="681"/>
      <c r="AD61" s="678"/>
      <c r="AE61" s="679"/>
      <c r="AF61" s="679"/>
      <c r="AG61" s="679"/>
      <c r="AH61" s="679"/>
      <c r="AI61" s="679"/>
      <c r="AJ61" s="679"/>
    </row>
  </sheetData>
  <sheetProtection formatColumns="0" formatRows="0" insertRows="0" deleteColumns="0" deleteRows="0" sort="0" autoFilter="0" insertColumns="1"/>
  <mergeCells count="15">
    <mergeCell ref="AB60:AC60"/>
    <mergeCell ref="X27:X40"/>
    <mergeCell ref="Z27:Z40"/>
    <mergeCell ref="AB57:AI57"/>
    <mergeCell ref="AB58:AI58"/>
    <mergeCell ref="AB59:AI59"/>
    <mergeCell ref="AB22:AI22"/>
    <mergeCell ref="AH24:AH25"/>
    <mergeCell ref="AI24:AI25"/>
    <mergeCell ref="AB24:AB25"/>
    <mergeCell ref="AC24:AC25"/>
    <mergeCell ref="AD24:AD25"/>
    <mergeCell ref="AG24:AG25"/>
    <mergeCell ref="X41:X54"/>
    <mergeCell ref="Z41:Z5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57B478-468A-CF98-BF68-166C02F1BBAF}" mc:Ignorable="x14ac xr xr2 xr3">
  <sheetPr>
    <tabColor rgb="FF002060"/>
    <outlinePr summaryRight="0" summaryBelow="0"/>
    <pageSetUpPr fitToPage="1"/>
  </sheetPr>
  <dimension ref="A1:BE8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6" style="1548" width="6.421875" hidden="1" customWidth="1"/>
    <col min="7" max="10" style="1659" width="3.57421875" hidden="1" customWidth="1"/>
    <col min="11" max="11" style="1659" width="7.140625" hidden="1" customWidth="1"/>
    <col min="12" max="17" style="1659" width="3.57421875" hidden="1" customWidth="1"/>
    <col min="18" max="18" style="1659" width="22.8515625" hidden="1" customWidth="1"/>
    <col min="19" max="19" style="1659" width="3.57421875" hidden="1" customWidth="1"/>
    <col min="20" max="20" style="1548" width="8.281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77" width="8.00390625" customWidth="1"/>
    <col min="29" max="29" style="285" width="70.00390625" customWidth="1"/>
    <col min="30" max="30" style="277" width="14.00390625" customWidth="1"/>
    <col min="31" max="32" style="286" width="15.00390625" customWidth="1"/>
    <col min="33" max="33" style="286" width="19.00390625" customWidth="1"/>
    <col min="34" max="34" style="286" width="17.00390625" customWidth="1"/>
    <col min="35" max="35" style="286" width="31.00390625" customWidth="1"/>
    <col min="36" max="36" style="286" width="3.00390625" customWidth="1"/>
    <col min="37" max="37" style="1659" width="9.140625" hidden="1"/>
    <col min="38" max="40" style="1125" width="9.140625" hidden="1"/>
    <col min="41" max="42" style="1126" width="9.140625" hidden="1"/>
    <col min="43" max="44" style="1506" width="9.140625" hidden="1"/>
    <col min="45" max="57" width="9.140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C1" s="753" t="s">
        <v>92</v>
      </c>
      <c r="AL1" s="489" t="s">
        <v>336</v>
      </c>
      <c r="AM1" s="489" t="s">
        <v>337</v>
      </c>
      <c r="AN1" s="489" t="s">
        <v>338</v>
      </c>
      <c r="AO1" s="546" t="s">
        <v>341</v>
      </c>
      <c r="AP1" s="546" t="s">
        <v>342</v>
      </c>
      <c r="AS1" s="0" t="s">
        <v>94</v>
      </c>
      <c r="AT1" s="0" t="s">
        <v>789</v>
      </c>
      <c r="AU1" s="0" t="s">
        <v>97</v>
      </c>
      <c r="AV1" s="0" t="s">
        <v>2298</v>
      </c>
      <c r="AW1" s="0" t="s">
        <v>402</v>
      </c>
      <c r="AX1" s="0" t="s">
        <v>2253</v>
      </c>
      <c r="AY1" s="0" t="s">
        <v>794</v>
      </c>
      <c r="AZ1" s="0" t="s">
        <v>1701</v>
      </c>
      <c r="BA1" s="0" t="s">
        <v>110</v>
      </c>
      <c r="BB1" s="0" t="s">
        <v>111</v>
      </c>
      <c r="BC1" s="0" t="s">
        <v>112</v>
      </c>
      <c r="BD1" s="0" t="s">
        <v>113</v>
      </c>
      <c r="BE1" s="0" t="s">
        <v>114</v>
      </c>
    </row>
    <row s="1548" customFormat="1" customHeight="1" ht="11.25" hidden="1">
      <c r="A2" s="371"/>
      <c r="B2" s="179" t="s">
        <v>16</v>
      </c>
      <c r="G2" s="193"/>
      <c r="H2" s="193"/>
      <c r="I2" s="193"/>
      <c r="J2" s="193"/>
      <c r="K2" s="193"/>
      <c r="L2" s="193"/>
      <c r="M2" s="193"/>
      <c r="N2" s="193"/>
      <c r="O2" s="193"/>
      <c r="P2" s="193"/>
      <c r="Q2" s="193"/>
      <c r="R2" s="193"/>
      <c r="S2" s="193"/>
      <c r="AC2" s="176"/>
      <c r="AE2" s="179" cm="1" t="str">
        <f t="array" ref="AE2:AE2">isOrgDeclare</f>
        <v>true</v>
      </c>
      <c r="AL2" s="489"/>
      <c r="AM2" s="489"/>
      <c r="AN2" s="489"/>
      <c r="AO2" s="546"/>
      <c r="AP2" s="546"/>
      <c r="AS2" s="0"/>
      <c r="AT2" s="0"/>
      <c r="AU2" s="0"/>
      <c r="AV2" s="0"/>
      <c r="AW2" s="0"/>
      <c r="AX2" s="0"/>
      <c r="AY2" s="0"/>
      <c r="AZ2" s="0"/>
      <c r="BA2" s="0"/>
      <c r="BB2" s="0"/>
      <c r="BC2" s="0"/>
      <c r="BD2" s="0"/>
      <c r="BE2" s="0"/>
    </row>
    <row s="1548" customFormat="1" customHeight="1" ht="11.25" hidden="1">
      <c r="A3" s="371"/>
      <c r="G3" s="193"/>
      <c r="H3" s="193"/>
      <c r="I3" s="193"/>
      <c r="J3" s="193"/>
      <c r="K3" s="193"/>
      <c r="L3" s="193"/>
      <c r="M3" s="193"/>
      <c r="N3" s="193"/>
      <c r="O3" s="193"/>
      <c r="P3" s="193"/>
      <c r="Q3" s="193"/>
      <c r="R3" s="193"/>
      <c r="S3" s="193"/>
      <c r="AC3" s="176"/>
      <c r="AL3" s="489"/>
      <c r="AM3" s="489"/>
      <c r="AN3" s="489"/>
      <c r="AO3" s="546"/>
      <c r="AP3" s="546"/>
      <c r="AS3" s="0"/>
      <c r="AT3" s="0"/>
      <c r="AU3" s="0"/>
      <c r="AV3" s="0"/>
      <c r="AW3" s="0"/>
      <c r="AX3" s="0"/>
      <c r="AY3" s="0"/>
      <c r="AZ3" s="0"/>
      <c r="BA3" s="0"/>
      <c r="BB3" s="0"/>
      <c r="BC3" s="0"/>
      <c r="BD3" s="0"/>
      <c r="BE3" s="0"/>
    </row>
    <row s="1548" customFormat="1" customHeight="1" ht="11.25" hidden="1">
      <c r="A4" s="371"/>
      <c r="G4" s="193"/>
      <c r="H4" s="193"/>
      <c r="I4" s="193"/>
      <c r="J4" s="193"/>
      <c r="K4" s="193"/>
      <c r="L4" s="193"/>
      <c r="M4" s="193"/>
      <c r="N4" s="193"/>
      <c r="O4" s="193"/>
      <c r="P4" s="193"/>
      <c r="Q4" s="193"/>
      <c r="R4" s="193"/>
      <c r="S4" s="193"/>
      <c r="AC4" s="176"/>
      <c r="AL4" s="489"/>
      <c r="AM4" s="489"/>
      <c r="AN4" s="489"/>
      <c r="AO4" s="546"/>
      <c r="AP4" s="546"/>
      <c r="AS4" s="0"/>
      <c r="AT4" s="0"/>
      <c r="AU4" s="0"/>
      <c r="AV4" s="0"/>
      <c r="AW4" s="0"/>
      <c r="AX4" s="0"/>
      <c r="AY4" s="0"/>
      <c r="AZ4" s="0"/>
      <c r="BA4" s="0"/>
      <c r="BB4" s="0"/>
      <c r="BC4" s="0"/>
      <c r="BD4" s="0"/>
      <c r="BE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8</v>
      </c>
      <c r="AC5" s="284">
        <v>70</v>
      </c>
      <c r="AD5" s="180">
        <v>14</v>
      </c>
      <c r="AE5" s="180">
        <v>15</v>
      </c>
      <c r="AF5" s="180">
        <v>15</v>
      </c>
      <c r="AG5" s="180">
        <v>19</v>
      </c>
      <c r="AH5" s="180">
        <v>17</v>
      </c>
      <c r="AI5" s="180">
        <v>31</v>
      </c>
      <c r="AJ5" s="180">
        <v>3</v>
      </c>
      <c r="AL5" s="489"/>
      <c r="AM5" s="489"/>
      <c r="AN5" s="489"/>
      <c r="AO5" s="546"/>
      <c r="AP5" s="546"/>
      <c r="AS5" s="1729"/>
      <c r="AT5" s="1729"/>
      <c r="AU5" s="1729"/>
      <c r="AV5" s="1729"/>
      <c r="AW5" s="1729"/>
      <c r="AX5" s="1729"/>
      <c r="AY5" s="1729"/>
      <c r="AZ5" s="1729"/>
      <c r="BA5" s="1729"/>
      <c r="BB5" s="1729"/>
      <c r="BC5" s="1729"/>
      <c r="BD5" s="1729"/>
      <c r="BE5" s="1729"/>
    </row>
    <row s="1548" customFormat="1" customHeight="1" ht="11.25" hidden="1">
      <c r="A6" s="371"/>
      <c r="E6" s="180"/>
      <c r="G6" s="193"/>
      <c r="H6" s="193"/>
      <c r="I6" s="193"/>
      <c r="J6" s="193"/>
      <c r="K6" s="193"/>
      <c r="L6" s="193"/>
      <c r="M6" s="193"/>
      <c r="N6" s="193"/>
      <c r="O6" s="193"/>
      <c r="P6" s="193"/>
      <c r="Q6" s="193"/>
      <c r="R6" s="193"/>
      <c r="S6" s="193"/>
      <c r="AC6" s="176"/>
      <c r="AL6" s="489"/>
      <c r="AM6" s="489"/>
      <c r="AN6" s="489"/>
      <c r="AO6" s="546"/>
      <c r="AP6" s="546"/>
      <c r="AS6" s="0"/>
      <c r="AT6" s="0"/>
      <c r="AU6" s="0"/>
      <c r="AV6" s="0"/>
      <c r="AW6" s="0"/>
      <c r="AX6" s="0"/>
      <c r="AY6" s="0"/>
      <c r="AZ6" s="0"/>
      <c r="BA6" s="0"/>
      <c r="BB6" s="0"/>
      <c r="BC6" s="0"/>
      <c r="BD6" s="0"/>
      <c r="BE6" s="0"/>
    </row>
    <row customHeight="1" ht="11.25" hidden="1">
      <c r="F7" s="193"/>
      <c r="T7" s="193"/>
      <c r="U7" s="193"/>
      <c r="V7" s="193"/>
      <c r="W7" s="193"/>
      <c r="X7" s="193"/>
      <c r="Y7" s="193"/>
      <c r="Z7" s="193"/>
      <c r="AA7" s="193"/>
      <c r="AB7" s="193"/>
      <c r="AC7" s="308"/>
      <c r="AD7" s="193"/>
      <c r="AE7" s="193"/>
      <c r="AF7" s="193"/>
      <c r="AG7" s="193"/>
      <c r="AH7" s="193"/>
      <c r="AI7" s="193"/>
      <c r="AJ7" s="193"/>
    </row>
    <row customHeight="1" ht="11.25" hidden="1">
      <c r="F8" s="193"/>
      <c r="T8" s="193"/>
      <c r="U8" s="193"/>
      <c r="V8" s="193"/>
      <c r="W8" s="193"/>
      <c r="X8" s="193"/>
      <c r="Y8" s="193"/>
      <c r="Z8" s="193"/>
      <c r="AA8" s="193"/>
      <c r="AB8" s="193"/>
      <c r="AC8" s="308"/>
      <c r="AD8" s="193"/>
      <c r="AE8" s="193"/>
      <c r="AF8" s="193"/>
      <c r="AG8" s="193"/>
      <c r="AH8" s="193"/>
      <c r="AI8" s="193"/>
      <c r="AJ8" s="193"/>
    </row>
    <row s="1143" customFormat="1" customHeight="1" ht="11.25" hidden="1">
      <c r="A9" s="309" t="s">
        <v>403</v>
      </c>
      <c r="AE9" s="312">
        <f>god-2</f>
        <v>2025</v>
      </c>
      <c r="AF9" s="312" cm="1" t="str">
        <f t="array" ref="AF9:AF9">god</f>
        <v>2027</v>
      </c>
      <c r="AL9" s="489"/>
      <c r="AM9" s="489"/>
      <c r="AN9" s="489"/>
      <c r="AO9" s="546"/>
      <c r="AP9" s="546"/>
      <c r="AS9" s="1730"/>
      <c r="AT9" s="1730"/>
      <c r="AU9" s="1730"/>
      <c r="AV9" s="1730"/>
      <c r="AW9" s="1730"/>
      <c r="AX9" s="1730"/>
      <c r="AY9" s="1730"/>
      <c r="AZ9" s="1730"/>
      <c r="BA9" s="1730"/>
      <c r="BB9" s="1730"/>
      <c r="BC9" s="1730"/>
      <c r="BD9" s="1730"/>
      <c r="BE9" s="1730"/>
    </row>
    <row s="1143" customFormat="1" customHeight="1" ht="11.25" hidden="1">
      <c r="A10" s="309" t="s">
        <v>404</v>
      </c>
      <c r="AE10" s="312" cm="1" t="str">
        <f t="array" ref="AE10:AE10">AE25</f>
        <v>Предложение организации</v>
      </c>
      <c r="AF10" s="312" cm="1" t="str">
        <f t="array" ref="AF10:AF10">AF25</f>
        <v>Версия органа регулирования</v>
      </c>
      <c r="AL10" s="489"/>
      <c r="AM10" s="489"/>
      <c r="AN10" s="489"/>
      <c r="AO10" s="546"/>
      <c r="AP10" s="546"/>
      <c r="AS10" s="1730"/>
      <c r="AT10" s="1730"/>
      <c r="AU10" s="1730"/>
      <c r="AV10" s="1730"/>
      <c r="AW10" s="1730"/>
      <c r="AX10" s="1730"/>
      <c r="AY10" s="1730"/>
      <c r="AZ10" s="1730"/>
      <c r="BA10" s="1730"/>
      <c r="BB10" s="1730"/>
      <c r="BC10" s="1730"/>
      <c r="BD10" s="1730"/>
      <c r="BE10" s="1730"/>
    </row>
    <row s="1143" customFormat="1" customHeight="1" ht="11.25" hidden="1">
      <c r="A11" s="309" t="s">
        <v>405</v>
      </c>
      <c r="G11" s="483"/>
      <c r="H11" s="483"/>
      <c r="I11" s="483"/>
      <c r="J11" s="483"/>
      <c r="K11" s="483"/>
      <c r="L11" s="483"/>
      <c r="M11" s="483"/>
      <c r="N11" s="483"/>
      <c r="O11" s="483"/>
      <c r="P11" s="483"/>
      <c r="Q11" s="483"/>
      <c r="R11" s="483"/>
      <c r="S11" s="483"/>
      <c r="AC11" s="326"/>
      <c r="AG11" s="312" cm="1" t="str">
        <f t="array" ref="AG11:AG11">AG24</f>
        <v>Указание на подтверждающие документы / URL-ссылка на копии подтверждающих документов</v>
      </c>
      <c r="AH11" s="312" cm="1" t="str">
        <f t="array" ref="AH11:AH11">AH24</f>
        <v>Ссылка на правовую норму (основание для принятия показателя в расчет тарифа)</v>
      </c>
      <c r="AI11" s="312"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489"/>
      <c r="AM11" s="489"/>
      <c r="AN11" s="489"/>
      <c r="AO11" s="546"/>
      <c r="AP11" s="546"/>
      <c r="AS11" s="1730"/>
      <c r="AT11" s="1730"/>
      <c r="AU11" s="1730"/>
      <c r="AV11" s="1730"/>
      <c r="AW11" s="1730"/>
      <c r="AX11" s="1730"/>
      <c r="AY11" s="1730"/>
      <c r="AZ11" s="1730"/>
      <c r="BA11" s="1730"/>
      <c r="BB11" s="1730"/>
      <c r="BC11" s="1730"/>
      <c r="BD11" s="1730"/>
      <c r="BE11" s="1730"/>
    </row>
    <row s="1143" customFormat="1" customHeight="1" ht="11.25" hidden="1">
      <c r="A12" s="309" t="s">
        <v>2299</v>
      </c>
      <c r="G12" s="483"/>
      <c r="H12" s="483"/>
      <c r="I12" s="483"/>
      <c r="J12" s="483"/>
      <c r="K12" s="483"/>
      <c r="L12" s="483"/>
      <c r="M12" s="483"/>
      <c r="N12" s="483"/>
      <c r="O12" s="483"/>
      <c r="P12" s="483"/>
      <c r="Q12" s="483"/>
      <c r="R12" s="483"/>
      <c r="S12" s="483"/>
      <c r="AC12" s="326" t="s">
        <v>338</v>
      </c>
      <c r="AL12" s="489"/>
      <c r="AM12" s="489"/>
      <c r="AN12" s="489"/>
      <c r="AO12" s="546"/>
      <c r="AP12" s="546"/>
      <c r="AS12" s="1730"/>
      <c r="AT12" s="1730"/>
      <c r="AU12" s="1730"/>
      <c r="AV12" s="1730"/>
      <c r="AW12" s="1730"/>
      <c r="AX12" s="1730"/>
      <c r="AY12" s="1730"/>
      <c r="AZ12" s="1730"/>
      <c r="BA12" s="1730"/>
      <c r="BB12" s="1730"/>
      <c r="BC12" s="1730"/>
      <c r="BD12" s="1730"/>
      <c r="BE12" s="1730"/>
    </row>
    <row customHeight="1" ht="11.25" hidden="1">
      <c r="A13" s="0" t="s">
        <v>109</v>
      </c>
      <c r="AE13" s="0" t="str">
        <f>"389.0."&amp;AE$9-2010&amp;"."</f>
        <v>389.0.15.</v>
      </c>
      <c r="AF13" s="0" t="str">
        <f>"389.0."&amp;AF$9-2010&amp;"."</f>
        <v>389.0.17.</v>
      </c>
    </row>
    <row customHeight="1" ht="11.25" hidden="1">
      <c r="A14" s="0" t="s">
        <v>406</v>
      </c>
      <c r="AE14" s="0" cm="1" t="str">
        <f t="array" ref="AE14:AE14">IF($A14="uni_org_reg_NAME",INDEX(org_reg_values,MATCH(AE$10,org_reg_codes,0),1),IF($A14="uni_pf_NAME",INDEX(pf_codes_values,MATCH(AE$10,pf_codes,0),1),""))</f>
        <v>328.0.1.</v>
      </c>
      <c r="AF14" s="0" cm="1" t="str">
        <f t="array" ref="AF14:AF14">IF($A14="uni_org_reg_NAME",INDEX(org_reg_values,MATCH(AF$10,org_reg_codes,0),1),IF($A14="uni_pf_NAME",INDEX(pf_codes_values,MATCH(AF$10,pf_codes,0),1),""))</f>
        <v>328.0.2.</v>
      </c>
    </row>
    <row customHeight="1" ht="11.25" hidden="1">
      <c r="A15" s="0" t="s">
        <v>351</v>
      </c>
      <c r="AG15" s="0" t="s">
        <v>178</v>
      </c>
      <c r="AH15" s="0" t="s">
        <v>178</v>
      </c>
      <c r="AI15" s="0" t="s">
        <v>178</v>
      </c>
    </row>
    <row customHeight="1" ht="11.25" hidden="1">
      <c r="A16" s="0" t="s">
        <v>352</v>
      </c>
      <c r="AG16" s="0" t="s">
        <v>798</v>
      </c>
      <c r="AH16" s="0" t="s">
        <v>622</v>
      </c>
      <c r="AI16" s="0" t="s">
        <v>1601</v>
      </c>
    </row>
    <row customHeight="1" ht="11.25" hidden="1">
      <c r="A17" s="0" t="s">
        <v>379</v>
      </c>
      <c r="AG17" s="0" t="s">
        <v>799</v>
      </c>
      <c r="AH17" s="0" t="s">
        <v>623</v>
      </c>
      <c r="AI17" s="0" t="s">
        <v>1602</v>
      </c>
    </row>
    <row s="1548" customFormat="1" customHeight="1" ht="11.25" hidden="1">
      <c r="A18" s="371"/>
      <c r="E18" s="180"/>
      <c r="G18" s="193"/>
      <c r="H18" s="193"/>
      <c r="I18" s="193"/>
      <c r="J18" s="193"/>
      <c r="K18" s="193"/>
      <c r="L18" s="193"/>
      <c r="M18" s="193"/>
      <c r="N18" s="193"/>
      <c r="O18" s="193"/>
      <c r="P18" s="193"/>
      <c r="Q18" s="193"/>
      <c r="R18" s="193"/>
      <c r="S18" s="193"/>
      <c r="AC18" s="176"/>
      <c r="AL18" s="489"/>
      <c r="AM18" s="489"/>
      <c r="AN18" s="489"/>
      <c r="AO18" s="546"/>
      <c r="AP18" s="546"/>
      <c r="AS18" s="0"/>
      <c r="AT18" s="0"/>
      <c r="AU18" s="0"/>
      <c r="AV18" s="0"/>
      <c r="AW18" s="0"/>
      <c r="AX18" s="0"/>
      <c r="AY18" s="0"/>
      <c r="AZ18" s="0"/>
      <c r="BA18" s="0"/>
      <c r="BB18" s="0"/>
      <c r="BC18" s="0"/>
      <c r="BD18" s="0"/>
      <c r="BE18" s="0"/>
    </row>
    <row s="1548" customFormat="1" customHeight="1" ht="11.25" hidden="1">
      <c r="A19" s="371"/>
      <c r="E19" s="180"/>
      <c r="G19" s="193"/>
      <c r="H19" s="193"/>
      <c r="I19" s="193"/>
      <c r="J19" s="193"/>
      <c r="K19" s="193"/>
      <c r="L19" s="193"/>
      <c r="M19" s="193"/>
      <c r="N19" s="193"/>
      <c r="O19" s="193"/>
      <c r="P19" s="193"/>
      <c r="Q19" s="193"/>
      <c r="R19" s="193"/>
      <c r="S19" s="193"/>
      <c r="AC19" s="176"/>
      <c r="AL19" s="489"/>
      <c r="AM19" s="489"/>
      <c r="AN19" s="489"/>
      <c r="AO19" s="546"/>
      <c r="AP19" s="546"/>
      <c r="AS19" s="0"/>
      <c r="AT19" s="0"/>
      <c r="AU19" s="0"/>
      <c r="AV19" s="0"/>
      <c r="AW19" s="0"/>
      <c r="AX19" s="0"/>
      <c r="AY19" s="0"/>
      <c r="AZ19" s="0"/>
      <c r="BA19" s="0"/>
      <c r="BB19" s="0"/>
      <c r="BC19" s="0"/>
      <c r="BD19" s="0"/>
      <c r="BE19" s="0"/>
    </row>
    <row s="1548" customFormat="1" customHeight="1" ht="11.25" hidden="1">
      <c r="A20" s="371"/>
      <c r="E20" s="180"/>
      <c r="G20" s="193"/>
      <c r="H20" s="193"/>
      <c r="I20" s="193"/>
      <c r="J20" s="193"/>
      <c r="K20" s="193"/>
      <c r="L20" s="193"/>
      <c r="M20" s="193"/>
      <c r="N20" s="193"/>
      <c r="O20" s="193"/>
      <c r="P20" s="193"/>
      <c r="Q20" s="193"/>
      <c r="R20" s="193"/>
      <c r="S20" s="193"/>
      <c r="AC20" s="176"/>
      <c r="AL20" s="489"/>
      <c r="AM20" s="489"/>
      <c r="AN20" s="489"/>
      <c r="AO20" s="546"/>
      <c r="AP20" s="546"/>
      <c r="AS20" s="0"/>
      <c r="AT20" s="0"/>
      <c r="AU20" s="0"/>
      <c r="AV20" s="0"/>
      <c r="AW20" s="0"/>
      <c r="AX20" s="0"/>
      <c r="AY20" s="0"/>
      <c r="AZ20" s="0"/>
      <c r="BA20" s="0"/>
      <c r="BB20" s="0"/>
      <c r="BC20" s="0"/>
      <c r="BD20" s="0"/>
      <c r="BE20" s="0"/>
    </row>
    <row customHeight="1" ht="14.625">
      <c r="E21" s="180">
        <v>15</v>
      </c>
      <c r="AA21" s="182"/>
      <c r="AB21" s="679"/>
      <c r="AC21" s="278" cm="1" t="str">
        <f t="array" ref="AC21:AC21">tpl_title</f>
        <v>Кемеровская область / 2027 / ООО "КК-ИНВЕСТ" (ИНН:1901133713, КПП:190101001) / ДПР: 2025-2027</v>
      </c>
      <c r="AD21" s="679"/>
      <c r="AE21" s="679"/>
      <c r="AF21" s="679"/>
      <c r="AG21" s="679"/>
      <c r="AH21" s="679"/>
      <c r="AI21" s="679"/>
      <c r="AJ21" s="679"/>
    </row>
    <row s="1659" customFormat="1" customHeight="1" ht="33.15">
      <c r="A22" s="371"/>
      <c r="B22" s="175"/>
      <c r="C22" s="175"/>
      <c r="D22" s="175"/>
      <c r="E22" s="180">
        <v>34</v>
      </c>
      <c r="F22" s="175"/>
      <c r="T22" s="175"/>
      <c r="U22" s="175"/>
      <c r="V22" s="175"/>
      <c r="W22" s="175"/>
      <c r="X22" s="175"/>
      <c r="Y22" s="175"/>
      <c r="Z22" s="175"/>
      <c r="AA22" s="200"/>
      <c r="AB22" s="1689" t="s">
        <v>72</v>
      </c>
      <c r="AC22" s="1689"/>
      <c r="AD22" s="1689"/>
      <c r="AE22" s="1689"/>
      <c r="AF22" s="1689"/>
      <c r="AG22" s="1689"/>
      <c r="AH22" s="1689"/>
      <c r="AI22" s="1689"/>
      <c r="AJ22" s="200"/>
      <c r="AL22" s="489"/>
      <c r="AM22" s="489"/>
      <c r="AN22" s="489"/>
      <c r="AO22" s="546"/>
      <c r="AP22" s="546"/>
      <c r="AS22" s="0"/>
      <c r="AT22" s="0"/>
      <c r="AU22" s="0"/>
      <c r="AV22" s="0"/>
      <c r="AW22" s="0"/>
      <c r="AX22" s="0"/>
      <c r="AY22" s="0"/>
      <c r="AZ22" s="0"/>
      <c r="BA22" s="0"/>
      <c r="BB22" s="0"/>
      <c r="BC22" s="0"/>
      <c r="BD22" s="0"/>
      <c r="BE22" s="0"/>
    </row>
    <row s="1659" customFormat="1" customHeight="1" ht="9.75">
      <c r="A23" s="371"/>
      <c r="B23" s="175"/>
      <c r="C23" s="175"/>
      <c r="D23" s="175"/>
      <c r="E23" s="180">
        <v>10</v>
      </c>
      <c r="F23" s="175"/>
      <c r="T23" s="175"/>
      <c r="U23" s="175"/>
      <c r="V23" s="175"/>
      <c r="W23" s="175"/>
      <c r="X23" s="175"/>
      <c r="Y23" s="175"/>
      <c r="Z23" s="175"/>
      <c r="AA23" s="200"/>
      <c r="AB23" s="683"/>
      <c r="AC23" s="683"/>
      <c r="AD23" s="683"/>
      <c r="AE23" s="683"/>
      <c r="AF23" s="683"/>
      <c r="AG23" s="683"/>
      <c r="AH23" s="683"/>
      <c r="AI23" s="683"/>
      <c r="AJ23" s="200"/>
      <c r="AL23" s="489"/>
      <c r="AM23" s="489"/>
      <c r="AN23" s="489"/>
      <c r="AO23" s="546"/>
      <c r="AP23" s="546"/>
      <c r="AS23" s="0"/>
      <c r="AT23" s="0"/>
      <c r="AU23" s="0"/>
      <c r="AV23" s="0"/>
      <c r="AW23" s="0"/>
      <c r="AX23" s="0"/>
      <c r="AY23" s="0"/>
      <c r="AZ23" s="0"/>
      <c r="BA23" s="0"/>
      <c r="BB23" s="0"/>
      <c r="BC23" s="0"/>
      <c r="BD23" s="0"/>
      <c r="BE23" s="0"/>
    </row>
    <row s="308" customFormat="1" customHeight="1" ht="24.375">
      <c r="A24" s="371"/>
      <c r="B24" s="176"/>
      <c r="C24" s="176"/>
      <c r="D24" s="176"/>
      <c r="E24" s="284">
        <v>25</v>
      </c>
      <c r="F24" s="176"/>
      <c r="T24" s="176"/>
      <c r="U24" s="176"/>
      <c r="V24" s="176"/>
      <c r="W24" s="176"/>
      <c r="X24" s="176"/>
      <c r="Y24" s="176"/>
      <c r="Z24" s="176"/>
      <c r="AA24" s="681"/>
      <c r="AB24" s="1690" t="s">
        <v>355</v>
      </c>
      <c r="AC24" s="1679" t="s">
        <v>412</v>
      </c>
      <c r="AD24" s="1679" t="s">
        <v>413</v>
      </c>
      <c r="AE24" s="771" t="str">
        <f>god&amp;" год"</f>
        <v>2027 год</v>
      </c>
      <c r="AF24" s="385" t="str">
        <f>god&amp;" год"</f>
        <v>2027 год</v>
      </c>
      <c r="AG24" s="1678" t="s">
        <v>1546</v>
      </c>
      <c r="AH24" s="1678" t="s">
        <v>625</v>
      </c>
      <c r="AI24" s="1678" t="s">
        <v>1547</v>
      </c>
      <c r="AJ24" s="681"/>
      <c r="AL24" s="489"/>
      <c r="AM24" s="984"/>
      <c r="AN24" s="984"/>
      <c r="AO24" s="985"/>
      <c r="AP24" s="985"/>
      <c r="AS24" s="0"/>
      <c r="AT24" s="0"/>
      <c r="AU24" s="0"/>
      <c r="AV24" s="0"/>
      <c r="AW24" s="0"/>
      <c r="AX24" s="0"/>
      <c r="AY24" s="0"/>
      <c r="AZ24" s="0"/>
      <c r="BA24" s="0"/>
      <c r="BB24" s="0"/>
      <c r="BC24" s="0"/>
      <c r="BD24" s="0"/>
      <c r="BE24" s="0"/>
    </row>
    <row s="308" customFormat="1" customHeight="1" ht="44.85">
      <c r="A25" s="371"/>
      <c r="B25" s="176"/>
      <c r="C25" s="176"/>
      <c r="D25" s="176"/>
      <c r="E25" s="284">
        <v>46</v>
      </c>
      <c r="F25" s="176"/>
      <c r="T25" s="176"/>
      <c r="U25" s="176"/>
      <c r="V25" s="176"/>
      <c r="W25" s="176"/>
      <c r="X25" s="176"/>
      <c r="Y25" s="176"/>
      <c r="Z25" s="176"/>
      <c r="AA25" s="681"/>
      <c r="AB25" s="1691"/>
      <c r="AC25" s="1679"/>
      <c r="AD25" s="1679"/>
      <c r="AE25" s="771" t="s">
        <v>416</v>
      </c>
      <c r="AF25" s="385" t="s">
        <v>1133</v>
      </c>
      <c r="AG25" s="1678"/>
      <c r="AH25" s="1678"/>
      <c r="AI25" s="1678"/>
      <c r="AJ25" s="681"/>
      <c r="AL25" s="489"/>
      <c r="AM25" s="984"/>
      <c r="AN25" s="984"/>
      <c r="AO25" s="985"/>
      <c r="AP25" s="985"/>
      <c r="AS25" s="0"/>
      <c r="AT25" s="0"/>
      <c r="AU25" s="0"/>
      <c r="AV25" s="0"/>
      <c r="AW25" s="0"/>
      <c r="AX25" s="0"/>
      <c r="AY25" s="0"/>
      <c r="AZ25" s="0"/>
      <c r="BA25" s="0"/>
      <c r="BB25" s="0"/>
      <c r="BC25" s="0"/>
      <c r="BD25" s="0"/>
      <c r="BE25" s="0"/>
    </row>
    <row s="308" customFormat="1" customHeight="1" ht="14.25" hidden="1">
      <c r="A26" s="371"/>
      <c r="B26" s="176"/>
      <c r="C26" s="176"/>
      <c r="D26" s="176"/>
      <c r="E26" s="966">
        <v>0</v>
      </c>
      <c r="F26" s="176"/>
      <c r="T26" s="176"/>
      <c r="U26" s="176"/>
      <c r="V26" s="176"/>
      <c r="W26" s="176"/>
      <c r="X26" s="176"/>
      <c r="Y26" s="176"/>
      <c r="Z26" s="176"/>
      <c r="AA26" s="681"/>
      <c r="AB26" s="687"/>
      <c r="AC26" s="687"/>
      <c r="AD26" s="687"/>
      <c r="AE26" s="279"/>
      <c r="AF26" s="279"/>
      <c r="AG26" s="680"/>
      <c r="AH26" s="680"/>
      <c r="AI26" s="680"/>
      <c r="AJ26" s="681"/>
      <c r="AL26" s="489"/>
      <c r="AM26" s="984"/>
      <c r="AN26" s="984"/>
      <c r="AO26" s="985"/>
      <c r="AP26" s="985"/>
      <c r="AS26" s="0"/>
      <c r="AT26" s="0"/>
      <c r="AU26" s="0"/>
      <c r="AV26" s="0"/>
      <c r="AW26" s="0"/>
      <c r="AX26" s="0"/>
      <c r="AY26" s="0"/>
      <c r="AZ26" s="0"/>
      <c r="BA26" s="0"/>
      <c r="BB26" s="0"/>
      <c r="BC26" s="0"/>
      <c r="BD26" s="0"/>
      <c r="BE26" s="0"/>
    </row>
    <row s="969" customFormat="1" customHeight="1" ht="16.575" hidden="1">
      <c r="E27" s="180">
        <v>17</v>
      </c>
      <c r="F27" s="175" cm="1" t="str">
        <f t="array" ref="F27:F27">X27</f>
        <v>0</v>
      </c>
      <c r="G27" s="193" cm="1" t="str">
        <f t="array" ref="G27:G27">INDEX('Общие сведения'!$AK$169:$AK$202,MATCH($F27,'Общие сведения'!$Y$169:$Y$202,0))</f>
        <v>0</v>
      </c>
      <c r="I27" s="193" cm="1" t="str">
        <f t="array" ref="I27:I27">INDEX('Общие сведения'!$AE$169:$AE$202,MATCH($F27,'Общие сведения'!$Y$169:$Y$202,0))</f>
        <v>Теплоснабжение</v>
      </c>
      <c r="K27" s="193" cm="1" t="str">
        <f t="array" ref="K27:K27">INDEX('Общие сведения'!$AL$169:$AL$202,MATCH($F27,'Общие сведения'!$Y$169:$Y$202,0))</f>
        <v>0</v>
      </c>
      <c r="T27" s="753">
        <f>AND(F27&gt;0,OR(ISBLANK(Y27),Y27&gt;0))</f>
        <v>0</v>
      </c>
      <c r="V27" s="175" t="s">
        <v>266</v>
      </c>
      <c r="X27" s="1644">
        <v>0</v>
      </c>
      <c r="AB27" s="688" cm="1" t="str">
        <f t="array" ref="AB27:AB27">INDEX('Общие сведения'!$AG$169:$AG$202,MATCH($F27,'Общие сведения'!$Y$169:$Y$202,0))</f>
        <v>Тариф 0 (Теплоснабжение) - </v>
      </c>
      <c r="AC27" s="334"/>
      <c r="AD27" s="334"/>
      <c r="AE27" s="334"/>
      <c r="AF27" s="334"/>
      <c r="AG27" s="334"/>
      <c r="AH27" s="334"/>
      <c r="AI27" s="334"/>
      <c r="AL27" s="489"/>
      <c r="AM27" s="489"/>
      <c r="AN27" s="489"/>
      <c r="AO27" s="546"/>
      <c r="AP27" s="546"/>
    </row>
    <row s="969" customFormat="1" customHeight="1" ht="16.575" hidden="1">
      <c r="E28" s="180">
        <v>17</v>
      </c>
      <c r="F28" s="175" cm="1" t="str">
        <f t="array" ref="F28:F28">OFFSET(G28,-1,-1)</f>
        <v>0</v>
      </c>
      <c r="T28" s="753">
        <f>AND(F28&gt;0,OR(ISBLANK(Y28),Y28&gt;0))</f>
        <v>0</v>
      </c>
      <c r="AB28" s="354">
        <v>1</v>
      </c>
      <c r="AC28" s="873" t="s">
        <v>2300</v>
      </c>
      <c r="AD28" s="874"/>
      <c r="AE28" s="874"/>
      <c r="AF28" s="874"/>
      <c r="AG28" s="874"/>
      <c r="AH28" s="874"/>
      <c r="AI28" s="874"/>
      <c r="AL28" s="489"/>
      <c r="AM28" s="489"/>
      <c r="AN28" s="489"/>
      <c r="AO28" s="546"/>
      <c r="AP28" s="546"/>
    </row>
    <row s="969" customFormat="1" customHeight="1" ht="39" hidden="1">
      <c r="E29" s="180">
        <v>40</v>
      </c>
      <c r="F29" s="175" cm="1" t="str">
        <f t="array" ref="F29:F29">OFFSET(G29,-1,-1)</f>
        <v>0</v>
      </c>
      <c r="T29" s="753">
        <f>AND(F29&gt;0,OR(ISBLANK(Y29),Y29&gt;0))</f>
        <v>0</v>
      </c>
      <c r="AB29" s="354">
        <v>1.1</v>
      </c>
      <c r="AC29" s="646" t="s">
        <v>2301</v>
      </c>
      <c r="AD29" s="320" t="s">
        <v>1709</v>
      </c>
      <c r="AE29" s="71"/>
      <c r="AF29" s="71"/>
      <c r="AG29" s="158"/>
      <c r="AH29" s="158"/>
      <c r="AI29" s="69"/>
      <c r="AL29" s="489" t="s">
        <v>2302</v>
      </c>
      <c r="AM29" s="489"/>
      <c r="AN29" s="489"/>
      <c r="AO29" s="546"/>
      <c r="AP29" s="546"/>
      <c r="AS29" s="1501" cm="1" t="str">
        <f t="array" ref="AS29:AS29">INDEX('Общие сведения'!$N$170:$N$202,MATCH($F29,'Общие сведения'!$Y$170:$Y$202,0)+1)</f>
        <v>0</v>
      </c>
      <c r="AT29" s="1501" t="s">
        <v>1388</v>
      </c>
      <c r="AU29" s="1501" t="s">
        <v>1605</v>
      </c>
      <c r="AV29" s="1501"/>
      <c r="AW29" s="1501"/>
      <c r="AX29" s="1501"/>
      <c r="AY29" s="1501"/>
      <c r="AZ29" s="1501"/>
      <c r="BA29" s="1501"/>
      <c r="BB29" s="1501"/>
      <c r="BC29" s="1501" t="s">
        <v>303</v>
      </c>
      <c r="BD29" s="1501" t="s">
        <v>1044</v>
      </c>
      <c r="BE29" s="1501" t="s">
        <v>1045</v>
      </c>
    </row>
    <row s="969" customFormat="1" customHeight="1" ht="39" hidden="1">
      <c r="E30" s="180">
        <v>40</v>
      </c>
      <c r="F30" s="175" cm="1" t="str">
        <f t="array" ref="F30:F30">OFFSET(G30,-1,-1)</f>
        <v>0</v>
      </c>
      <c r="T30" s="753">
        <f>AND(F30&gt;0,OR(ISBLANK(Y30),Y30&gt;0))</f>
        <v>0</v>
      </c>
      <c r="AB30" s="354">
        <v>1.2</v>
      </c>
      <c r="AC30" s="646" t="s">
        <v>2303</v>
      </c>
      <c r="AD30" s="320" t="s">
        <v>447</v>
      </c>
      <c r="AE30" s="71"/>
      <c r="AF30" s="71"/>
      <c r="AG30" s="158"/>
      <c r="AH30" s="158"/>
      <c r="AI30" s="69"/>
      <c r="AL30" s="489" t="s">
        <v>2304</v>
      </c>
      <c r="AM30" s="489"/>
      <c r="AN30" s="489"/>
      <c r="AO30" s="546"/>
      <c r="AP30" s="546"/>
      <c r="AS30" s="1501" cm="1" t="str">
        <f t="array" ref="AS30:AS30">AS29</f>
        <v>0</v>
      </c>
      <c r="AT30" s="1501" t="s">
        <v>1388</v>
      </c>
      <c r="AU30" s="1501"/>
      <c r="AV30" s="1501" t="s">
        <v>2305</v>
      </c>
      <c r="AW30" s="1501" t="s">
        <v>455</v>
      </c>
      <c r="AX30" s="1501"/>
      <c r="AY30" s="1501"/>
      <c r="AZ30" s="1501"/>
      <c r="BA30" s="1501"/>
      <c r="BB30" s="1501"/>
      <c r="BC30" s="1501" t="s">
        <v>303</v>
      </c>
      <c r="BD30" s="1501" t="s">
        <v>458</v>
      </c>
      <c r="BE30" s="1501" t="s">
        <v>459</v>
      </c>
    </row>
    <row s="969" customFormat="1" customHeight="1" ht="34.125" hidden="1">
      <c r="E31" s="180">
        <v>35</v>
      </c>
      <c r="F31" s="175" cm="1" t="str">
        <f t="array" ref="F31:F31">OFFSET(G31,-1,-1)</f>
        <v>0</v>
      </c>
      <c r="T31" s="753">
        <f>AND(F31&gt;0,OR(ISBLANK(Y31),Y31&gt;0))</f>
        <v>0</v>
      </c>
      <c r="AB31" s="354">
        <v>1.3</v>
      </c>
      <c r="AC31" s="646" t="s">
        <v>2306</v>
      </c>
      <c r="AD31" s="320" t="s">
        <v>2265</v>
      </c>
      <c r="AE31" s="71">
        <f>_xlfn.IFERROR(AE29/AE30,0)</f>
        <v>0</v>
      </c>
      <c r="AF31" s="71">
        <f>_xlfn.IFERROR(AF29/AF30,0)</f>
        <v>0</v>
      </c>
      <c r="AG31" s="158"/>
      <c r="AH31" s="158"/>
      <c r="AI31" s="69"/>
      <c r="AL31" s="489" t="s">
        <v>2307</v>
      </c>
      <c r="AM31" s="489"/>
      <c r="AN31" s="489"/>
      <c r="AO31" s="546"/>
      <c r="AP31" s="546"/>
      <c r="AS31" s="1501" cm="1" t="str">
        <f t="array" ref="AS31:AS31">AS30</f>
        <v>0</v>
      </c>
      <c r="AT31" s="1501" t="s">
        <v>1388</v>
      </c>
      <c r="AU31" s="1501"/>
      <c r="AV31" s="1501"/>
      <c r="AW31" s="1501"/>
      <c r="AX31" s="1501"/>
      <c r="AY31" s="1501"/>
      <c r="AZ31" s="1501"/>
      <c r="BA31" s="1501" t="s">
        <v>219</v>
      </c>
      <c r="BB31" s="1501"/>
      <c r="BC31" s="1501" t="s">
        <v>303</v>
      </c>
      <c r="BD31" s="1501" t="s">
        <v>2308</v>
      </c>
      <c r="BE31" s="1501" t="s">
        <v>2309</v>
      </c>
    </row>
    <row s="969" customFormat="1" customHeight="1" ht="34.125" hidden="1">
      <c r="E32" s="180">
        <v>35</v>
      </c>
      <c r="F32" s="175" cm="1" t="str">
        <f t="array" ref="F32:F32">OFFSET(G32,-1,-1)</f>
        <v>0</v>
      </c>
      <c r="T32" s="753">
        <f>AND(F32&gt;0,OR(ISBLANK(Y32),Y32&gt;0))</f>
        <v>0</v>
      </c>
      <c r="AB32" s="354">
        <v>1.4</v>
      </c>
      <c r="AC32" s="646" t="s">
        <v>2310</v>
      </c>
      <c r="AD32" s="320"/>
      <c r="AE32" s="159"/>
      <c r="AF32" s="159"/>
      <c r="AG32" s="158"/>
      <c r="AH32" s="158"/>
      <c r="AI32" s="69"/>
      <c r="AL32" s="489" t="s">
        <v>2311</v>
      </c>
      <c r="AM32" s="489"/>
      <c r="AN32" s="489"/>
      <c r="AO32" s="546"/>
      <c r="AP32" s="546"/>
      <c r="AS32" s="1501" cm="1" t="str">
        <f t="array" ref="AS32:AS32">AS31</f>
        <v>0</v>
      </c>
      <c r="AT32" s="1501" t="s">
        <v>1388</v>
      </c>
      <c r="AU32" s="1501"/>
      <c r="AV32" s="1501"/>
      <c r="AW32" s="1501"/>
      <c r="AX32" s="1501"/>
      <c r="AY32" s="1501"/>
      <c r="AZ32" s="1501"/>
      <c r="BA32" s="1501" t="s">
        <v>255</v>
      </c>
      <c r="BB32" s="1501"/>
      <c r="BC32" s="1501" t="s">
        <v>303</v>
      </c>
      <c r="BD32" s="1501" t="s">
        <v>899</v>
      </c>
      <c r="BE32" s="1501" t="s">
        <v>900</v>
      </c>
    </row>
    <row s="969" customFormat="1" customHeight="1" ht="34.125" hidden="1">
      <c r="E33" s="180">
        <v>35</v>
      </c>
      <c r="F33" s="175" cm="1" t="str">
        <f t="array" ref="F33:F33">OFFSET(G33,-1,-1)</f>
        <v>0</v>
      </c>
      <c r="T33" s="753">
        <f>AND(F33&gt;0,OR(ISBLANK(Y33),Y33&gt;0))</f>
        <v>0</v>
      </c>
      <c r="AB33" s="354">
        <v>1.5</v>
      </c>
      <c r="AC33" s="876" t="s">
        <v>2312</v>
      </c>
      <c r="AD33" s="877" t="s">
        <v>2265</v>
      </c>
      <c r="AE33" s="72">
        <f>AE31*AE32</f>
        <v>0</v>
      </c>
      <c r="AF33" s="72">
        <f>AF31*AF32</f>
        <v>0</v>
      </c>
      <c r="AG33" s="160"/>
      <c r="AH33" s="160"/>
      <c r="AI33" s="161"/>
      <c r="AL33" s="489" t="s">
        <v>2313</v>
      </c>
      <c r="AM33" s="489"/>
      <c r="AN33" s="489"/>
      <c r="AO33" s="546"/>
      <c r="AP33" s="546"/>
      <c r="AS33" s="1501" cm="1" t="str">
        <f t="array" ref="AS33:AS33">AS32</f>
        <v>0</v>
      </c>
      <c r="AT33" s="1501" t="s">
        <v>1388</v>
      </c>
      <c r="AU33" s="1501"/>
      <c r="AV33" s="1501"/>
      <c r="AW33" s="1501"/>
      <c r="AX33" s="1501" t="s">
        <v>2267</v>
      </c>
      <c r="AY33" s="1501"/>
      <c r="AZ33" s="1501"/>
      <c r="BA33" s="1501"/>
      <c r="BB33" s="1501"/>
      <c r="BC33" s="1501" t="s">
        <v>303</v>
      </c>
      <c r="BD33" s="1501" t="s">
        <v>1044</v>
      </c>
      <c r="BE33" s="1501" t="s">
        <v>1045</v>
      </c>
    </row>
    <row s="969" customFormat="1" customHeight="1" ht="16.575" hidden="1">
      <c r="E34" s="180">
        <v>17</v>
      </c>
      <c r="F34" s="175" cm="1" t="str">
        <f t="array" ref="F34:F34">OFFSET(G34,-1,-1)</f>
        <v>0</v>
      </c>
      <c r="T34" s="753">
        <f>AND(F34&gt;0,OR(ISBLANK(Y34),Y34&gt;0))</f>
        <v>0</v>
      </c>
      <c r="AB34" s="354">
        <v>1.6</v>
      </c>
      <c r="AC34" s="876" t="s">
        <v>2314</v>
      </c>
      <c r="AD34" s="877" t="s">
        <v>495</v>
      </c>
      <c r="AE34" s="72"/>
      <c r="AF34" s="72"/>
      <c r="AG34" s="160"/>
      <c r="AH34" s="160"/>
      <c r="AI34" s="161"/>
      <c r="AL34" s="489" t="s">
        <v>2315</v>
      </c>
      <c r="AM34" s="489"/>
      <c r="AN34" s="489"/>
      <c r="AO34" s="546"/>
      <c r="AP34" s="546"/>
      <c r="AS34" s="1501" cm="1" t="str">
        <f t="array" ref="AS34:AS34">AS33</f>
        <v>0</v>
      </c>
      <c r="AT34" s="1501" t="s">
        <v>1388</v>
      </c>
      <c r="AU34" s="1501"/>
      <c r="AV34" s="1501"/>
      <c r="AW34" s="1501"/>
      <c r="AX34" s="1501"/>
      <c r="AY34" s="1501" t="s">
        <v>2316</v>
      </c>
      <c r="AZ34" s="1501" t="s">
        <v>2317</v>
      </c>
      <c r="BA34" s="1501"/>
      <c r="BB34" s="1501"/>
      <c r="BC34" s="1501" t="s">
        <v>303</v>
      </c>
      <c r="BD34" s="1501" t="s">
        <v>1535</v>
      </c>
      <c r="BE34" s="1501" t="s">
        <v>1536</v>
      </c>
    </row>
    <row s="969" customFormat="1" customHeight="1" ht="39" hidden="1">
      <c r="E35" s="180">
        <v>40</v>
      </c>
      <c r="F35" s="175" cm="1" t="str">
        <f t="array" ref="F35:F35">OFFSET(G35,-1,-1)</f>
        <v>0</v>
      </c>
      <c r="T35" s="753">
        <f>AND(F35&gt;0,OR(ISBLANK(Y35),Y35&gt;0))</f>
        <v>0</v>
      </c>
      <c r="AB35" s="354">
        <v>1.7</v>
      </c>
      <c r="AC35" s="876" t="s">
        <v>2318</v>
      </c>
      <c r="AD35" s="877" t="s">
        <v>447</v>
      </c>
      <c r="AE35" s="72"/>
      <c r="AF35" s="72"/>
      <c r="AG35" s="160"/>
      <c r="AH35" s="160"/>
      <c r="AI35" s="161"/>
      <c r="AL35" s="489" t="s">
        <v>2319</v>
      </c>
      <c r="AM35" s="489"/>
      <c r="AN35" s="489"/>
      <c r="AO35" s="546"/>
      <c r="AP35" s="546"/>
      <c r="AS35" s="1501" cm="1" t="str">
        <f t="array" ref="AS35:AS35">AS34</f>
        <v>0</v>
      </c>
      <c r="AT35" s="1501" t="s">
        <v>1388</v>
      </c>
      <c r="AU35" s="1501"/>
      <c r="AV35" s="1501"/>
      <c r="AW35" s="1501"/>
      <c r="AX35" s="1501"/>
      <c r="AY35" s="1501"/>
      <c r="AZ35" s="1501"/>
      <c r="BA35" s="1501" t="s">
        <v>449</v>
      </c>
      <c r="BB35" s="1501"/>
      <c r="BC35" s="1501" t="s">
        <v>303</v>
      </c>
      <c r="BD35" s="1501" t="s">
        <v>466</v>
      </c>
      <c r="BE35" s="1501" t="s">
        <v>467</v>
      </c>
    </row>
    <row s="969" customFormat="1" customHeight="1" ht="16.575" hidden="1">
      <c r="E36" s="180">
        <v>17</v>
      </c>
      <c r="F36" s="175" cm="1" t="str">
        <f t="array" ref="F36:F36">OFFSET(G36,-1,-1)</f>
        <v>0</v>
      </c>
      <c r="T36" s="753">
        <f>AND(F36&gt;0,OR(ISBLANK(Y36),Y36&gt;0))</f>
        <v>0</v>
      </c>
      <c r="AB36" s="354">
        <v>1.8</v>
      </c>
      <c r="AC36" s="876" t="s">
        <v>2320</v>
      </c>
      <c r="AD36" s="877" t="s">
        <v>1709</v>
      </c>
      <c r="AE36" s="72">
        <f>AE33*AE35*(1+AE34)</f>
        <v>0</v>
      </c>
      <c r="AF36" s="72">
        <f>AF33*AF35*(1+AF34)</f>
        <v>0</v>
      </c>
      <c r="AG36" s="160"/>
      <c r="AH36" s="160"/>
      <c r="AI36" s="161"/>
      <c r="AL36" s="489" t="s">
        <v>1721</v>
      </c>
      <c r="AM36" s="489"/>
      <c r="AN36" s="489"/>
      <c r="AO36" s="546"/>
      <c r="AP36" s="546"/>
      <c r="AS36" s="1501" cm="1" t="str">
        <f t="array" ref="AS36:AS36">AS35</f>
        <v>0</v>
      </c>
      <c r="AT36" s="1501" t="s">
        <v>1388</v>
      </c>
      <c r="AU36" s="1501"/>
      <c r="AV36" s="1501"/>
      <c r="AW36" s="1501"/>
      <c r="AX36" s="1501"/>
      <c r="AY36" s="1501"/>
      <c r="AZ36" s="1501"/>
      <c r="BA36" s="1501" t="s">
        <v>883</v>
      </c>
      <c r="BB36" s="1501"/>
      <c r="BC36" s="1501" t="s">
        <v>303</v>
      </c>
      <c r="BD36" s="1501" t="s">
        <v>1722</v>
      </c>
      <c r="BE36" s="1501" t="s">
        <v>1723</v>
      </c>
    </row>
    <row s="969" customFormat="1" customHeight="1" ht="16.575" hidden="1">
      <c r="E37" s="180">
        <v>17</v>
      </c>
      <c r="F37" s="175" cm="1" t="str">
        <f t="array" ref="F37:F37">OFFSET(G37,-1,-1)</f>
        <v>0</v>
      </c>
      <c r="T37" s="753">
        <f>AND(F37&gt;0,OR(ISBLANK(Y37),Y37&gt;0))</f>
        <v>0</v>
      </c>
      <c r="AB37" s="879">
        <v>2</v>
      </c>
      <c r="AC37" s="873" t="s">
        <v>2321</v>
      </c>
      <c r="AD37" s="874"/>
      <c r="AE37" s="880"/>
      <c r="AF37" s="880"/>
      <c r="AG37" s="873"/>
      <c r="AH37" s="873"/>
      <c r="AI37" s="873"/>
      <c r="AL37" s="489"/>
      <c r="AM37" s="489"/>
      <c r="AN37" s="489"/>
      <c r="AO37" s="546"/>
      <c r="AP37" s="546"/>
      <c r="AS37" s="1501" cm="1" t="str">
        <f t="array" ref="AS37:AS37">AS36</f>
        <v>0</v>
      </c>
      <c r="AT37" s="1501"/>
      <c r="AU37" s="1501"/>
      <c r="AV37" s="1501"/>
      <c r="AW37" s="1501"/>
      <c r="AX37" s="1501"/>
      <c r="AY37" s="1501"/>
      <c r="AZ37" s="1501"/>
      <c r="BA37" s="1501"/>
      <c r="BB37" s="1501"/>
      <c r="BC37" s="1501" t="s">
        <v>176</v>
      </c>
      <c r="BD37" s="1501"/>
      <c r="BE37" s="1501"/>
    </row>
    <row s="969" customFormat="1" customHeight="1" ht="39" hidden="1">
      <c r="E38" s="180">
        <v>40</v>
      </c>
      <c r="F38" s="175" cm="1" t="str">
        <f t="array" ref="F38:F38">OFFSET(G38,-1,-1)</f>
        <v>0</v>
      </c>
      <c r="T38" s="753">
        <f>AND(F38&gt;0,OR(ISBLANK(Y38),Y38&gt;0))</f>
        <v>0</v>
      </c>
      <c r="AB38" s="360">
        <v>2.1</v>
      </c>
      <c r="AC38" s="881" t="s">
        <v>2322</v>
      </c>
      <c r="AD38" s="320" t="s">
        <v>1709</v>
      </c>
      <c r="AE38" s="100">
        <f>SUM(AE39:AE40)</f>
        <v>0</v>
      </c>
      <c r="AF38" s="100">
        <f>SUM(AF39:AF40)</f>
        <v>0</v>
      </c>
      <c r="AG38" s="160"/>
      <c r="AH38" s="160"/>
      <c r="AI38" s="161"/>
      <c r="AL38" s="489" t="s">
        <v>2323</v>
      </c>
      <c r="AM38" s="489"/>
      <c r="AN38" s="489"/>
      <c r="AO38" s="546"/>
      <c r="AP38" s="546"/>
      <c r="AS38" s="1501" cm="1" t="str">
        <f t="array" ref="AS38:AS38">AS37</f>
        <v>0</v>
      </c>
      <c r="AT38" s="1501" t="s">
        <v>824</v>
      </c>
      <c r="AU38" s="1501" t="s">
        <v>1605</v>
      </c>
      <c r="AV38" s="1501"/>
      <c r="AW38" s="1501"/>
      <c r="AX38" s="1501"/>
      <c r="AY38" s="1501"/>
      <c r="AZ38" s="1501"/>
      <c r="BA38" s="1501" t="s">
        <v>219</v>
      </c>
      <c r="BB38" s="1501"/>
      <c r="BC38" s="1501" t="s">
        <v>303</v>
      </c>
      <c r="BD38" s="1501" t="s">
        <v>1044</v>
      </c>
      <c r="BE38" s="1501" t="s">
        <v>1045</v>
      </c>
    </row>
    <row s="969" customFormat="1" customHeight="1" ht="16.575" hidden="1">
      <c r="E39" s="180">
        <v>17</v>
      </c>
      <c r="F39" s="175" cm="1" t="str">
        <f t="array" ref="F39:F39">OFFSET(G39,-1,-1)</f>
        <v>0</v>
      </c>
      <c r="T39" s="753">
        <f>AND(F39&gt;0,OR(ISBLANK(Y39),Y39&gt;0))</f>
        <v>0</v>
      </c>
      <c r="W39" s="175" t="s">
        <v>189</v>
      </c>
      <c r="Y39" s="175">
        <v>0</v>
      </c>
      <c r="AA39" s="477" t="s">
        <v>171</v>
      </c>
      <c r="AB39" s="360" t="str">
        <f>"2.1."&amp;Y39</f>
        <v>2.1.0</v>
      </c>
      <c r="AC39" s="162"/>
      <c r="AD39" s="320" t="s">
        <v>1709</v>
      </c>
      <c r="AE39" s="100"/>
      <c r="AF39" s="100"/>
      <c r="AG39" s="160"/>
      <c r="AH39" s="160"/>
      <c r="AI39" s="161"/>
      <c r="AL39" s="489" t="s">
        <v>2323</v>
      </c>
      <c r="AM39" s="489" t="s">
        <v>2324</v>
      </c>
      <c r="AN39" s="489" cm="1" t="str">
        <f t="array" ref="AN39:AN39">AC39</f>
        <v>0</v>
      </c>
      <c r="AO39" s="546"/>
      <c r="AP39" s="546" t="b">
        <v>1</v>
      </c>
      <c r="AS39" s="1501" cm="1" t="str">
        <f t="array" ref="AS39:AS39">OFFSET(AT39,-1,-1)</f>
        <v>0</v>
      </c>
      <c r="AT39" s="1501" t="s">
        <v>824</v>
      </c>
      <c r="AU39" s="1501" t="s">
        <v>1605</v>
      </c>
      <c r="AV39" s="1501"/>
      <c r="AW39" s="1501"/>
      <c r="AX39" s="1501"/>
      <c r="AY39" s="1501"/>
      <c r="AZ39" s="1501"/>
      <c r="BA39" s="1501"/>
      <c r="BB39" s="1501" t="str">
        <f>$AB39&amp;"|"&amp;$AC39</f>
        <v>2.1.0|</v>
      </c>
      <c r="BC39" s="1501" t="s">
        <v>303</v>
      </c>
      <c r="BD39" s="1501" t="s">
        <v>1044</v>
      </c>
      <c r="BE39" s="1501" t="s">
        <v>1045</v>
      </c>
    </row>
    <row s="969" customFormat="1" customHeight="1" ht="16.575" hidden="1">
      <c r="E40" s="180">
        <v>17</v>
      </c>
      <c r="F40" s="175" cm="1" t="str">
        <f t="array" ref="F40:F40">OFFSET(G40,-1,-1)</f>
        <v>0</v>
      </c>
      <c r="T40" s="753">
        <f>AND(F40&gt;0,OR(ISBLANK(Y40),Y40&gt;0))</f>
        <v>0</v>
      </c>
      <c r="W40" s="980" t="s">
        <v>1070</v>
      </c>
      <c r="AB40" s="405"/>
      <c r="AC40" s="406" t="s">
        <v>191</v>
      </c>
      <c r="AD40" s="407"/>
      <c r="AE40" s="407"/>
      <c r="AF40" s="407"/>
      <c r="AG40" s="407"/>
      <c r="AH40" s="407"/>
      <c r="AI40" s="407"/>
      <c r="AL40" s="489" t="str">
        <f>IF(AND(ISNUMBER(VALUE(TRIM(SUBSTITUTE(AB40,".","")))),TRIM(SUBSTITUTE(AB40,".",""))&lt;&gt;""),"P"&amp;SUBSTITUTE(AB40,".",""),"")</f>
        <v/>
      </c>
      <c r="AM40" s="489"/>
      <c r="AN40" s="489"/>
      <c r="AO40" s="546" t="s">
        <v>2324</v>
      </c>
      <c r="AP40" s="546"/>
      <c r="AS40" s="1501" cm="1" t="str">
        <f t="array" ref="AS40:AS40">OFFSET(AT40,-1,-1)</f>
        <v>0</v>
      </c>
      <c r="AT40" s="1501"/>
      <c r="AU40" s="1501"/>
      <c r="AV40" s="1501"/>
      <c r="AW40" s="1501"/>
      <c r="AX40" s="1501"/>
      <c r="AY40" s="1501"/>
      <c r="AZ40" s="1501"/>
      <c r="BA40" s="1501"/>
      <c r="BB40" s="1501"/>
      <c r="BC40" s="1501"/>
      <c r="BD40" s="1501"/>
      <c r="BE40" s="1501"/>
    </row>
    <row s="969" customFormat="1" customHeight="1" ht="39" hidden="1">
      <c r="E41" s="180">
        <v>40</v>
      </c>
      <c r="F41" s="175" cm="1" t="str">
        <f t="array" ref="F41:F41">OFFSET(G41,-1,-1)</f>
        <v>0</v>
      </c>
      <c r="T41" s="753">
        <f>AND(F41&gt;0,OR(ISBLANK(Y41),Y41&gt;0))</f>
        <v>0</v>
      </c>
      <c r="AB41" s="360">
        <v>2.2</v>
      </c>
      <c r="AC41" s="881" t="s">
        <v>2325</v>
      </c>
      <c r="AD41" s="320" t="s">
        <v>2284</v>
      </c>
      <c r="AE41" s="100">
        <f>SUM(AE42:AE43)</f>
        <v>0</v>
      </c>
      <c r="AF41" s="100">
        <f>SUM(AF42:AF43)</f>
        <v>0</v>
      </c>
      <c r="AG41" s="160"/>
      <c r="AH41" s="160"/>
      <c r="AI41" s="161"/>
      <c r="AL41" s="489" t="s">
        <v>2285</v>
      </c>
      <c r="AM41" s="489"/>
      <c r="AN41" s="489"/>
      <c r="AO41" s="546"/>
      <c r="AP41" s="546"/>
      <c r="AS41" s="1501" cm="1" t="str">
        <f t="array" ref="AS41:AS41">AS40</f>
        <v>0</v>
      </c>
      <c r="AT41" s="1501" t="s">
        <v>824</v>
      </c>
      <c r="AU41" s="1501" t="s">
        <v>1605</v>
      </c>
      <c r="AV41" s="1501"/>
      <c r="AW41" s="1501"/>
      <c r="AX41" s="1501"/>
      <c r="AY41" s="1501"/>
      <c r="AZ41" s="1501"/>
      <c r="BA41" s="1501" t="s">
        <v>255</v>
      </c>
      <c r="BB41" s="1501"/>
      <c r="BC41" s="1501" t="s">
        <v>303</v>
      </c>
      <c r="BD41" s="1501" t="s">
        <v>2286</v>
      </c>
      <c r="BE41" s="1501" t="s">
        <v>2287</v>
      </c>
    </row>
    <row s="969" customFormat="1" customHeight="1" ht="16.575" hidden="1">
      <c r="E42" s="180">
        <v>17</v>
      </c>
      <c r="F42" s="175" cm="1" t="str">
        <f t="array" ref="F42:F42">OFFSET(G42,-1,-1)</f>
        <v>0</v>
      </c>
      <c r="T42" s="753">
        <f>AND(F42&gt;0,OR(ISBLANK(Y42),Y42&gt;0))</f>
        <v>0</v>
      </c>
      <c r="W42" s="175" t="s">
        <v>189</v>
      </c>
      <c r="Y42" s="175">
        <v>0</v>
      </c>
      <c r="AA42" s="477" t="s">
        <v>171</v>
      </c>
      <c r="AB42" s="360" t="str">
        <f>"2.2."&amp;Y42</f>
        <v>2.2.0</v>
      </c>
      <c r="AC42" s="162"/>
      <c r="AD42" s="320" t="s">
        <v>2284</v>
      </c>
      <c r="AE42" s="100"/>
      <c r="AF42" s="100"/>
      <c r="AG42" s="160"/>
      <c r="AH42" s="160"/>
      <c r="AI42" s="161"/>
      <c r="AL42" s="489" t="s">
        <v>2285</v>
      </c>
      <c r="AM42" s="489" t="s">
        <v>2326</v>
      </c>
      <c r="AN42" s="489" cm="1" t="str">
        <f t="array" ref="AN42:AN42">AC42</f>
        <v>0</v>
      </c>
      <c r="AO42" s="546"/>
      <c r="AP42" s="546" t="b">
        <v>1</v>
      </c>
      <c r="AS42" s="1501" cm="1" t="str">
        <f t="array" ref="AS42:AS42">OFFSET(AT42,-1,-1)</f>
        <v>0</v>
      </c>
      <c r="AT42" s="1501" t="s">
        <v>824</v>
      </c>
      <c r="AU42" s="1501" t="s">
        <v>1605</v>
      </c>
      <c r="AV42" s="1501"/>
      <c r="AW42" s="1501"/>
      <c r="AX42" s="1501"/>
      <c r="AY42" s="1501"/>
      <c r="AZ42" s="1501"/>
      <c r="BA42" s="1501"/>
      <c r="BB42" s="1501" t="str">
        <f>$AB42&amp;"|"&amp;$AC42</f>
        <v>2.2.0|</v>
      </c>
      <c r="BC42" s="1501" t="s">
        <v>303</v>
      </c>
      <c r="BD42" s="1501" t="s">
        <v>2286</v>
      </c>
      <c r="BE42" s="1501" t="s">
        <v>2287</v>
      </c>
    </row>
    <row s="969" customFormat="1" customHeight="1" ht="16.575" hidden="1">
      <c r="E43" s="180">
        <v>17</v>
      </c>
      <c r="F43" s="175" cm="1" t="str">
        <f t="array" ref="F43:F43">OFFSET(G43,-1,-1)</f>
        <v>0</v>
      </c>
      <c r="T43" s="753">
        <f>AND(F43&gt;0,OR(ISBLANK(Y43),Y43&gt;0))</f>
        <v>0</v>
      </c>
      <c r="W43" s="980" t="s">
        <v>1086</v>
      </c>
      <c r="AB43" s="405"/>
      <c r="AC43" s="406" t="s">
        <v>191</v>
      </c>
      <c r="AD43" s="407"/>
      <c r="AE43" s="407"/>
      <c r="AF43" s="407"/>
      <c r="AG43" s="407"/>
      <c r="AH43" s="407"/>
      <c r="AI43" s="407"/>
      <c r="AL43" s="489" t="str">
        <f>IF(AND(ISNUMBER(VALUE(TRIM(SUBSTITUTE(AB43,".","")))),TRIM(SUBSTITUTE(AB43,".",""))&lt;&gt;""),"P"&amp;SUBSTITUTE(AB43,".",""),"")</f>
        <v/>
      </c>
      <c r="AM43" s="489"/>
      <c r="AN43" s="489"/>
      <c r="AO43" s="546" t="s">
        <v>2326</v>
      </c>
      <c r="AP43" s="546"/>
      <c r="AS43" s="1501" cm="1" t="str">
        <f t="array" ref="AS43:AS43">OFFSET(AT43,-1,-1)</f>
        <v>0</v>
      </c>
      <c r="AT43" s="1501"/>
      <c r="AU43" s="1501"/>
      <c r="AV43" s="1501"/>
      <c r="AW43" s="1501"/>
      <c r="AX43" s="1501"/>
      <c r="AY43" s="1501"/>
      <c r="AZ43" s="1501"/>
      <c r="BA43" s="1501"/>
      <c r="BB43" s="1501"/>
      <c r="BC43" s="1501"/>
      <c r="BD43" s="1501"/>
      <c r="BE43" s="1501"/>
    </row>
    <row s="969" customFormat="1" customHeight="1" ht="34.125" hidden="1">
      <c r="E44" s="180">
        <v>35</v>
      </c>
      <c r="F44" s="175" cm="1" t="str">
        <f t="array" ref="F44:F44">OFFSET(G44,-1,-1)</f>
        <v>0</v>
      </c>
      <c r="T44" s="753">
        <f>AND(F44&gt;0,OR(ISBLANK(Y44),Y44&gt;0))</f>
        <v>0</v>
      </c>
      <c r="AB44" s="879">
        <v>2.3</v>
      </c>
      <c r="AC44" s="883" t="s">
        <v>2327</v>
      </c>
      <c r="AD44" s="616" t="s">
        <v>1709</v>
      </c>
      <c r="AE44" s="71"/>
      <c r="AF44" s="71"/>
      <c r="AG44" s="158"/>
      <c r="AH44" s="158"/>
      <c r="AI44" s="69"/>
      <c r="AL44" s="489" t="s">
        <v>2328</v>
      </c>
      <c r="AM44" s="489"/>
      <c r="AN44" s="489"/>
      <c r="AO44" s="546"/>
      <c r="AP44" s="546"/>
      <c r="AS44" s="1501" cm="1" t="str">
        <f t="array" ref="AS44:AS44">AS43</f>
        <v>0</v>
      </c>
      <c r="AT44" s="1501" t="s">
        <v>824</v>
      </c>
      <c r="AU44" s="1501"/>
      <c r="AV44" s="1501"/>
      <c r="AW44" s="1501"/>
      <c r="AX44" s="1501"/>
      <c r="AY44" s="1501"/>
      <c r="AZ44" s="1501"/>
      <c r="BA44" s="1501" t="s">
        <v>219</v>
      </c>
      <c r="BB44" s="1501"/>
      <c r="BC44" s="1501" t="s">
        <v>303</v>
      </c>
      <c r="BD44" s="1501" t="s">
        <v>1044</v>
      </c>
      <c r="BE44" s="1501" t="s">
        <v>1045</v>
      </c>
    </row>
    <row s="969" customFormat="1" customHeight="1" ht="39" hidden="1">
      <c r="E45" s="180">
        <v>40</v>
      </c>
      <c r="F45" s="175" cm="1" t="str">
        <f t="array" ref="F45:F45">OFFSET(G45,-1,-1)</f>
        <v>0</v>
      </c>
      <c r="T45" s="753">
        <f>AND(F45&gt;0,OR(ISBLANK(Y45),Y45&gt;0))</f>
        <v>0</v>
      </c>
      <c r="AB45" s="360">
        <v>2.4</v>
      </c>
      <c r="AC45" s="646" t="s">
        <v>2329</v>
      </c>
      <c r="AD45" s="320"/>
      <c r="AE45" s="74"/>
      <c r="AF45" s="71"/>
      <c r="AG45" s="158"/>
      <c r="AH45" s="158"/>
      <c r="AI45" s="69"/>
      <c r="AL45" s="489" t="s">
        <v>2330</v>
      </c>
      <c r="AM45" s="489"/>
      <c r="AN45" s="489"/>
      <c r="AO45" s="546"/>
      <c r="AP45" s="546"/>
      <c r="AS45" s="1501" cm="1" t="str">
        <f t="array" ref="AS45:AS45">AS44</f>
        <v>0</v>
      </c>
      <c r="AT45" s="1501" t="s">
        <v>824</v>
      </c>
      <c r="AU45" s="1501"/>
      <c r="AV45" s="1501"/>
      <c r="AW45" s="1501"/>
      <c r="AX45" s="1501"/>
      <c r="AY45" s="1501"/>
      <c r="AZ45" s="1501"/>
      <c r="BA45" s="1501" t="s">
        <v>255</v>
      </c>
      <c r="BB45" s="1501"/>
      <c r="BC45" s="1501" t="s">
        <v>303</v>
      </c>
      <c r="BD45" s="1501" t="s">
        <v>899</v>
      </c>
      <c r="BE45" s="1501" t="s">
        <v>900</v>
      </c>
    </row>
    <row s="969" customFormat="1" customHeight="1" ht="34.125" hidden="1">
      <c r="E46" s="180">
        <v>35</v>
      </c>
      <c r="F46" s="175" cm="1" t="str">
        <f t="array" ref="F46:F46">OFFSET(G46,-1,-1)</f>
        <v>0</v>
      </c>
      <c r="T46" s="753">
        <f>AND(F46&gt;0,OR(ISBLANK(Y46),Y46&gt;0))</f>
        <v>0</v>
      </c>
      <c r="AB46" s="360">
        <v>2.5</v>
      </c>
      <c r="AC46" s="646" t="s">
        <v>2331</v>
      </c>
      <c r="AD46" s="320" t="s">
        <v>1005</v>
      </c>
      <c r="AE46" s="74">
        <f>_xlfn.IFERROR(AE38/AE41*AE45,0)</f>
        <v>0</v>
      </c>
      <c r="AF46" s="74">
        <f>_xlfn.IFERROR(AF38/AF41*AF45,0)</f>
        <v>0</v>
      </c>
      <c r="AG46" s="158"/>
      <c r="AH46" s="158"/>
      <c r="AI46" s="69"/>
      <c r="AL46" s="489" t="s">
        <v>2332</v>
      </c>
      <c r="AM46" s="489"/>
      <c r="AN46" s="489"/>
      <c r="AO46" s="546"/>
      <c r="AP46" s="546"/>
      <c r="AS46" s="1501" cm="1" t="str">
        <f t="array" ref="AS46:AS46">AS45</f>
        <v>0</v>
      </c>
      <c r="AT46" s="1501" t="s">
        <v>824</v>
      </c>
      <c r="AU46" s="1501"/>
      <c r="AV46" s="1501"/>
      <c r="AW46" s="1501"/>
      <c r="AX46" s="1501" t="s">
        <v>2267</v>
      </c>
      <c r="AY46" s="1501"/>
      <c r="AZ46" s="1501"/>
      <c r="BA46" s="1501"/>
      <c r="BB46" s="1501"/>
      <c r="BC46" s="1501" t="s">
        <v>303</v>
      </c>
      <c r="BD46" s="1501" t="s">
        <v>1044</v>
      </c>
      <c r="BE46" s="1501" t="s">
        <v>1045</v>
      </c>
    </row>
    <row s="969" customFormat="1" customHeight="1" ht="16.575" hidden="1">
      <c r="E47" s="180">
        <v>17</v>
      </c>
      <c r="F47" s="175" cm="1" t="str">
        <f t="array" ref="F47:F47">OFFSET(G47,-1,-1)</f>
        <v>0</v>
      </c>
      <c r="T47" s="753">
        <f>AND(F47&gt;0,OR(ISBLANK(Y47),Y47&gt;0))</f>
        <v>0</v>
      </c>
      <c r="AB47" s="360">
        <v>2.6</v>
      </c>
      <c r="AC47" s="646" t="s">
        <v>2314</v>
      </c>
      <c r="AD47" s="320" t="s">
        <v>495</v>
      </c>
      <c r="AE47" s="74"/>
      <c r="AF47" s="71"/>
      <c r="AG47" s="158"/>
      <c r="AH47" s="158"/>
      <c r="AI47" s="69"/>
      <c r="AL47" s="489" t="s">
        <v>2333</v>
      </c>
      <c r="AM47" s="489"/>
      <c r="AN47" s="489"/>
      <c r="AO47" s="546"/>
      <c r="AP47" s="546"/>
      <c r="AS47" s="1501" cm="1" t="str">
        <f t="array" ref="AS47:AS47">AS46</f>
        <v>0</v>
      </c>
      <c r="AT47" s="1501" t="s">
        <v>824</v>
      </c>
      <c r="AU47" s="1501"/>
      <c r="AV47" s="1501"/>
      <c r="AW47" s="1501"/>
      <c r="AX47" s="1501"/>
      <c r="AY47" s="1501" t="s">
        <v>2316</v>
      </c>
      <c r="AZ47" s="1501" t="s">
        <v>2317</v>
      </c>
      <c r="BA47" s="1501"/>
      <c r="BB47" s="1501"/>
      <c r="BC47" s="1501" t="s">
        <v>303</v>
      </c>
      <c r="BD47" s="1501" t="s">
        <v>1535</v>
      </c>
      <c r="BE47" s="1501" t="s">
        <v>1536</v>
      </c>
    </row>
    <row s="969" customFormat="1" customHeight="1" ht="34.125" hidden="1">
      <c r="E48" s="180">
        <v>35</v>
      </c>
      <c r="F48" s="175" cm="1" t="str">
        <f t="array" ref="F48:F48">OFFSET(G48,-1,-1)</f>
        <v>0</v>
      </c>
      <c r="T48" s="753">
        <f>AND(F48&gt;0,OR(ISBLANK(Y48),Y48&gt;0))</f>
        <v>0</v>
      </c>
      <c r="AB48" s="360">
        <v>2.7</v>
      </c>
      <c r="AC48" s="646" t="s">
        <v>2334</v>
      </c>
      <c r="AD48" s="320" t="s">
        <v>2284</v>
      </c>
      <c r="AE48" s="163"/>
      <c r="AF48" s="72"/>
      <c r="AG48" s="158"/>
      <c r="AH48" s="158"/>
      <c r="AI48" s="69"/>
      <c r="AL48" s="489" t="s">
        <v>2335</v>
      </c>
      <c r="AM48" s="489"/>
      <c r="AN48" s="489"/>
      <c r="AO48" s="546"/>
      <c r="AP48" s="546"/>
      <c r="AS48" s="1501" cm="1" t="str">
        <f t="array" ref="AS48:AS48">AS47</f>
        <v>0</v>
      </c>
      <c r="AT48" s="1501" t="s">
        <v>824</v>
      </c>
      <c r="AU48" s="1501" t="s">
        <v>302</v>
      </c>
      <c r="AV48" s="1501"/>
      <c r="AW48" s="1501"/>
      <c r="AX48" s="1501"/>
      <c r="AY48" s="1501"/>
      <c r="AZ48" s="1501"/>
      <c r="BA48" s="1501"/>
      <c r="BB48" s="1501"/>
      <c r="BC48" s="1501" t="s">
        <v>303</v>
      </c>
      <c r="BD48" s="1501" t="s">
        <v>1772</v>
      </c>
      <c r="BE48" s="1501" t="s">
        <v>1773</v>
      </c>
    </row>
    <row s="969" customFormat="1" customHeight="1" ht="16.575" hidden="1">
      <c r="E49" s="180">
        <v>17</v>
      </c>
      <c r="F49" s="175" cm="1" t="str">
        <f t="array" ref="F49:F49">OFFSET(G49,-1,-1)</f>
        <v>0</v>
      </c>
      <c r="T49" s="753">
        <f>AND(F49&gt;0,OR(ISBLANK(Y49),Y49&gt;0))</f>
        <v>0</v>
      </c>
      <c r="AB49" s="360">
        <v>2.8</v>
      </c>
      <c r="AC49" s="646" t="s">
        <v>2336</v>
      </c>
      <c r="AD49" s="320" t="s">
        <v>1709</v>
      </c>
      <c r="AE49" s="71">
        <f>AE46*AE48*(1+AE47)</f>
        <v>0</v>
      </c>
      <c r="AF49" s="71">
        <f>AF46*AF48*(1+AF47)</f>
        <v>0</v>
      </c>
      <c r="AG49" s="158"/>
      <c r="AH49" s="158"/>
      <c r="AI49" s="69"/>
      <c r="AL49" s="489" t="s">
        <v>2337</v>
      </c>
      <c r="AM49" s="489"/>
      <c r="AN49" s="489"/>
      <c r="AO49" s="546"/>
      <c r="AP49" s="546"/>
      <c r="AS49" s="1501" cm="1" t="str">
        <f t="array" ref="AS49:AS49">AS48</f>
        <v>0</v>
      </c>
      <c r="AT49" s="1501" t="s">
        <v>824</v>
      </c>
      <c r="AU49" s="1501"/>
      <c r="AV49" s="1501"/>
      <c r="AW49" s="1501"/>
      <c r="AX49" s="1501"/>
      <c r="AY49" s="1501"/>
      <c r="AZ49" s="1501"/>
      <c r="BA49" s="1501" t="s">
        <v>449</v>
      </c>
      <c r="BB49" s="1501"/>
      <c r="BC49" s="1501" t="s">
        <v>303</v>
      </c>
      <c r="BD49" s="1501" t="s">
        <v>1722</v>
      </c>
      <c r="BE49" s="1501" t="s">
        <v>1723</v>
      </c>
    </row>
    <row customHeight="1" ht="17.25" hidden="1">
      <c r="E50" s="965">
        <v>0</v>
      </c>
      <c r="F50" s="175" cm="1" t="str">
        <f t="array" ref="F50:F50">OFFSET(G50,-1,-1)</f>
        <v>0</v>
      </c>
      <c r="T50" s="753">
        <f>AND(F50&gt;0,OR(ISBLANK(Y50),Y50&gt;0))</f>
        <v>0</v>
      </c>
    </row>
    <row s="969" customFormat="1" customHeight="1" ht="16.5">
      <c r="A51" s="969"/>
      <c r="B51" s="969"/>
      <c r="C51" s="969"/>
      <c r="D51" s="969"/>
      <c r="E51" s="180">
        <v>17</v>
      </c>
      <c r="F51" s="175" cm="1" t="str">
        <f t="array" ref="F51:F51">X51</f>
        <v>1</v>
      </c>
      <c r="G51" s="193" cm="1" t="str">
        <f t="array" ref="G51:G51">INDEX('Общие сведения'!$AK$169:$AK$202,MATCH($F51,'Общие сведения'!$Y$169:$Y$202,0))</f>
        <v>одноставочный</v>
      </c>
      <c r="H51" s="969"/>
      <c r="I51" s="193" cm="1" t="str">
        <f t="array" ref="I51:I51">INDEX('Общие сведения'!$AE$169:$AE$202,MATCH($F51,'Общие сведения'!$Y$169:$Y$202,0))</f>
        <v>Теплоснабжение</v>
      </c>
      <c r="J51" s="969"/>
      <c r="K51" s="193" cm="1" t="str">
        <f t="array" ref="K51:K51">INDEX('Общие сведения'!$AL$169:$AL$202,MATCH($F51,'Общие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L51" s="969"/>
      <c r="M51" s="969"/>
      <c r="N51" s="969"/>
      <c r="O51" s="969"/>
      <c r="P51" s="969"/>
      <c r="Q51" s="969"/>
      <c r="R51" s="969"/>
      <c r="S51" s="969"/>
      <c r="T51" s="753">
        <f>AND(F51&gt;0,OR(ISBLANK(Y51),Y51&gt;0))</f>
        <v>1</v>
      </c>
      <c r="U51" s="969"/>
      <c r="V51" s="175" cm="1" t="str">
        <f t="array" ref="V51:V51">'Удельные расходы (МСА)'!$AB$41</f>
        <v>Тариф 1 (Теплоснабжение) - Тариф на тепловую энергию (мощность), поставляемую потребителям (Доп. признак не требуется)</v>
      </c>
      <c r="W51" s="969"/>
      <c r="X51" s="1644" t="s">
        <v>308</v>
      </c>
      <c r="Y51" s="969"/>
      <c r="Z51" s="969"/>
      <c r="AA51" s="969"/>
      <c r="AB51" s="688" cm="1" t="str">
        <f t="array" ref="AB51:AB51">IF(ISBLANK('Удельные расходы (МСА)'!$AB$41),"",'Удельные расходы (МСА)'!$AB$41)</f>
        <v>Тариф 1 (Теплоснабжение) - Тариф на тепловую энергию (мощность), поставляемую потребителям (Доп. признак не требуется)</v>
      </c>
      <c r="AC51" s="334"/>
      <c r="AD51" s="334"/>
      <c r="AE51" s="334"/>
      <c r="AF51" s="334"/>
      <c r="AG51" s="334"/>
      <c r="AH51" s="334"/>
      <c r="AI51" s="334"/>
      <c r="AJ51" s="969"/>
      <c r="AK51" s="969"/>
      <c r="AL51" s="489"/>
      <c r="AM51" s="489"/>
      <c r="AN51" s="489"/>
      <c r="AO51" s="546"/>
      <c r="AP51" s="546"/>
      <c r="AQ51" s="969"/>
      <c r="AR51" s="969"/>
      <c r="AS51" s="969"/>
      <c r="AT51" s="969"/>
      <c r="AU51" s="969"/>
      <c r="AV51" s="969"/>
      <c r="AW51" s="969"/>
      <c r="AX51" s="969"/>
      <c r="AY51" s="969"/>
      <c r="AZ51" s="969"/>
      <c r="BA51" s="969"/>
      <c r="BB51" s="969"/>
      <c r="BC51" s="969"/>
      <c r="BD51" s="969"/>
      <c r="BE51" s="969"/>
    </row>
    <row s="969" customFormat="1" customHeight="1" ht="16.5">
      <c r="A52" s="969"/>
      <c r="B52" s="969"/>
      <c r="C52" s="969"/>
      <c r="D52" s="969"/>
      <c r="E52" s="180">
        <v>17</v>
      </c>
      <c r="F52" s="175" cm="1" t="str">
        <f t="array" ref="F52:F52">OFFSET(G52,-1,-1)</f>
        <v>1</v>
      </c>
      <c r="G52" s="969"/>
      <c r="H52" s="969"/>
      <c r="I52" s="969"/>
      <c r="J52" s="969"/>
      <c r="K52" s="969"/>
      <c r="L52" s="969"/>
      <c r="M52" s="969"/>
      <c r="N52" s="969"/>
      <c r="O52" s="969"/>
      <c r="P52" s="969"/>
      <c r="Q52" s="969"/>
      <c r="R52" s="969"/>
      <c r="S52" s="969"/>
      <c r="T52" s="753">
        <f>AND(F52&gt;0,OR(ISBLANK(Y52),Y52&gt;0))</f>
        <v>1</v>
      </c>
      <c r="U52" s="969"/>
      <c r="V52" s="969"/>
      <c r="W52" s="969"/>
      <c r="X52" s="969"/>
      <c r="Y52" s="969"/>
      <c r="Z52" s="969"/>
      <c r="AA52" s="969"/>
      <c r="AB52" s="354">
        <v>1</v>
      </c>
      <c r="AC52" s="873" t="s">
        <v>2300</v>
      </c>
      <c r="AD52" s="874"/>
      <c r="AE52" s="874"/>
      <c r="AF52" s="874"/>
      <c r="AG52" s="874"/>
      <c r="AH52" s="874"/>
      <c r="AI52" s="874"/>
      <c r="AJ52" s="969"/>
      <c r="AK52" s="969"/>
      <c r="AL52" s="489"/>
      <c r="AM52" s="489"/>
      <c r="AN52" s="489"/>
      <c r="AO52" s="546"/>
      <c r="AP52" s="546"/>
      <c r="AQ52" s="969"/>
      <c r="AR52" s="969"/>
      <c r="AS52" s="969"/>
      <c r="AT52" s="969"/>
      <c r="AU52" s="969"/>
      <c r="AV52" s="969"/>
      <c r="AW52" s="969"/>
      <c r="AX52" s="969"/>
      <c r="AY52" s="969"/>
      <c r="AZ52" s="969"/>
      <c r="BA52" s="969"/>
      <c r="BB52" s="969"/>
      <c r="BC52" s="969"/>
      <c r="BD52" s="969"/>
      <c r="BE52" s="969"/>
    </row>
    <row s="969" customFormat="1" customHeight="1" ht="39">
      <c r="A53" s="969"/>
      <c r="B53" s="969"/>
      <c r="C53" s="969"/>
      <c r="D53" s="969"/>
      <c r="E53" s="180">
        <v>40</v>
      </c>
      <c r="F53" s="175" cm="1" t="str">
        <f t="array" ref="F53:F53">OFFSET(G53,-1,-1)</f>
        <v>1</v>
      </c>
      <c r="G53" s="969"/>
      <c r="H53" s="969"/>
      <c r="I53" s="969"/>
      <c r="J53" s="969"/>
      <c r="K53" s="969"/>
      <c r="L53" s="969"/>
      <c r="M53" s="969"/>
      <c r="N53" s="969"/>
      <c r="O53" s="969"/>
      <c r="P53" s="969"/>
      <c r="Q53" s="969"/>
      <c r="R53" s="969"/>
      <c r="S53" s="969"/>
      <c r="T53" s="753">
        <f>AND(F53&gt;0,OR(ISBLANK(Y53),Y53&gt;0))</f>
        <v>1</v>
      </c>
      <c r="U53" s="969"/>
      <c r="V53" s="969"/>
      <c r="W53" s="969"/>
      <c r="X53" s="969"/>
      <c r="Y53" s="969"/>
      <c r="Z53" s="969"/>
      <c r="AA53" s="969"/>
      <c r="AB53" s="354">
        <v>1.1</v>
      </c>
      <c r="AC53" s="646" t="s">
        <v>2301</v>
      </c>
      <c r="AD53" s="320" t="s">
        <v>1709</v>
      </c>
      <c r="AE53" s="1864"/>
      <c r="AF53" s="1864"/>
      <c r="AG53" s="2377"/>
      <c r="AH53" s="2377"/>
      <c r="AI53" s="1861"/>
      <c r="AJ53" s="969"/>
      <c r="AK53" s="969"/>
      <c r="AL53" s="489" t="s">
        <v>2302</v>
      </c>
      <c r="AM53" s="489"/>
      <c r="AN53" s="489"/>
      <c r="AO53" s="546"/>
      <c r="AP53" s="546"/>
      <c r="AQ53" s="969"/>
      <c r="AR53" s="969"/>
      <c r="AS53" s="1501" cm="1" t="str">
        <f t="array" ref="AS53:AS53">INDEX('Общие сведения'!$N$170:$N$202,MATCH($F53,'Общие сведения'!$Y$170:$Y$202,0)+1)</f>
        <v>ТЭ.42.31656254.0001</v>
      </c>
      <c r="AT53" s="1501" t="s">
        <v>1388</v>
      </c>
      <c r="AU53" s="1501" t="s">
        <v>1605</v>
      </c>
      <c r="AV53" s="1501"/>
      <c r="AW53" s="1501"/>
      <c r="AX53" s="1501"/>
      <c r="AY53" s="1501"/>
      <c r="AZ53" s="1501"/>
      <c r="BA53" s="1501"/>
      <c r="BB53" s="1501"/>
      <c r="BC53" s="1501" t="s">
        <v>303</v>
      </c>
      <c r="BD53" s="1501" t="s">
        <v>1044</v>
      </c>
      <c r="BE53" s="1501" t="s">
        <v>1045</v>
      </c>
    </row>
    <row s="969" customFormat="1" customHeight="1" ht="39">
      <c r="A54" s="969"/>
      <c r="B54" s="969"/>
      <c r="C54" s="969"/>
      <c r="D54" s="969"/>
      <c r="E54" s="180">
        <v>40</v>
      </c>
      <c r="F54" s="175" cm="1" t="str">
        <f t="array" ref="F54:F54">OFFSET(G54,-1,-1)</f>
        <v>1</v>
      </c>
      <c r="G54" s="969"/>
      <c r="H54" s="969"/>
      <c r="I54" s="969"/>
      <c r="J54" s="969"/>
      <c r="K54" s="969"/>
      <c r="L54" s="969"/>
      <c r="M54" s="969"/>
      <c r="N54" s="969"/>
      <c r="O54" s="969"/>
      <c r="P54" s="969"/>
      <c r="Q54" s="969"/>
      <c r="R54" s="969"/>
      <c r="S54" s="969"/>
      <c r="T54" s="753">
        <f>AND(F54&gt;0,OR(ISBLANK(Y54),Y54&gt;0))</f>
        <v>1</v>
      </c>
      <c r="U54" s="969"/>
      <c r="V54" s="969"/>
      <c r="W54" s="969"/>
      <c r="X54" s="969"/>
      <c r="Y54" s="969"/>
      <c r="Z54" s="969"/>
      <c r="AA54" s="969"/>
      <c r="AB54" s="354">
        <v>1.2</v>
      </c>
      <c r="AC54" s="646" t="s">
        <v>2303</v>
      </c>
      <c r="AD54" s="320" t="s">
        <v>447</v>
      </c>
      <c r="AE54" s="1864"/>
      <c r="AF54" s="1864"/>
      <c r="AG54" s="2377"/>
      <c r="AH54" s="2377"/>
      <c r="AI54" s="1861"/>
      <c r="AJ54" s="969"/>
      <c r="AK54" s="969"/>
      <c r="AL54" s="489" t="s">
        <v>2304</v>
      </c>
      <c r="AM54" s="489"/>
      <c r="AN54" s="489"/>
      <c r="AO54" s="546"/>
      <c r="AP54" s="546"/>
      <c r="AQ54" s="969"/>
      <c r="AR54" s="969"/>
      <c r="AS54" s="1501" cm="1" t="str">
        <f t="array" ref="AS54:AS54">AS53</f>
        <v>ТЭ.42.31656254.0001</v>
      </c>
      <c r="AT54" s="1501" t="s">
        <v>1388</v>
      </c>
      <c r="AU54" s="1501"/>
      <c r="AV54" s="1501" t="s">
        <v>2305</v>
      </c>
      <c r="AW54" s="1501" t="s">
        <v>455</v>
      </c>
      <c r="AX54" s="1501"/>
      <c r="AY54" s="1501"/>
      <c r="AZ54" s="1501"/>
      <c r="BA54" s="1501"/>
      <c r="BB54" s="1501"/>
      <c r="BC54" s="1501" t="s">
        <v>303</v>
      </c>
      <c r="BD54" s="1501" t="s">
        <v>458</v>
      </c>
      <c r="BE54" s="1501" t="s">
        <v>459</v>
      </c>
    </row>
    <row s="969" customFormat="1" customHeight="1" ht="33.75">
      <c r="A55" s="969"/>
      <c r="B55" s="969"/>
      <c r="C55" s="969"/>
      <c r="D55" s="969"/>
      <c r="E55" s="180">
        <v>35</v>
      </c>
      <c r="F55" s="175" cm="1" t="str">
        <f t="array" ref="F55:F55">OFFSET(G55,-1,-1)</f>
        <v>1</v>
      </c>
      <c r="G55" s="969"/>
      <c r="H55" s="969"/>
      <c r="I55" s="969"/>
      <c r="J55" s="969"/>
      <c r="K55" s="969"/>
      <c r="L55" s="969"/>
      <c r="M55" s="969"/>
      <c r="N55" s="969"/>
      <c r="O55" s="969"/>
      <c r="P55" s="969"/>
      <c r="Q55" s="969"/>
      <c r="R55" s="969"/>
      <c r="S55" s="969"/>
      <c r="T55" s="753">
        <f>AND(F55&gt;0,OR(ISBLANK(Y55),Y55&gt;0))</f>
        <v>1</v>
      </c>
      <c r="U55" s="969"/>
      <c r="V55" s="969"/>
      <c r="W55" s="969"/>
      <c r="X55" s="969"/>
      <c r="Y55" s="969"/>
      <c r="Z55" s="969"/>
      <c r="AA55" s="969"/>
      <c r="AB55" s="354">
        <v>1.3</v>
      </c>
      <c r="AC55" s="646" t="s">
        <v>2306</v>
      </c>
      <c r="AD55" s="320" t="s">
        <v>2265</v>
      </c>
      <c r="AE55" s="1864">
        <f>_xlfn.IFERROR(AE53/AE54,0)</f>
        <v>0</v>
      </c>
      <c r="AF55" s="1864">
        <f>_xlfn.IFERROR(AF53/AF54,0)</f>
        <v>0</v>
      </c>
      <c r="AG55" s="2377"/>
      <c r="AH55" s="2377"/>
      <c r="AI55" s="1861"/>
      <c r="AJ55" s="969"/>
      <c r="AK55" s="969"/>
      <c r="AL55" s="489" t="s">
        <v>2307</v>
      </c>
      <c r="AM55" s="489"/>
      <c r="AN55" s="489"/>
      <c r="AO55" s="546"/>
      <c r="AP55" s="546"/>
      <c r="AQ55" s="969"/>
      <c r="AR55" s="969"/>
      <c r="AS55" s="1501" cm="1" t="str">
        <f t="array" ref="AS55:AS55">AS54</f>
        <v>ТЭ.42.31656254.0001</v>
      </c>
      <c r="AT55" s="1501" t="s">
        <v>1388</v>
      </c>
      <c r="AU55" s="1501"/>
      <c r="AV55" s="1501"/>
      <c r="AW55" s="1501"/>
      <c r="AX55" s="1501"/>
      <c r="AY55" s="1501"/>
      <c r="AZ55" s="1501"/>
      <c r="BA55" s="1501" t="s">
        <v>219</v>
      </c>
      <c r="BB55" s="1501"/>
      <c r="BC55" s="1501" t="s">
        <v>303</v>
      </c>
      <c r="BD55" s="1501" t="s">
        <v>2308</v>
      </c>
      <c r="BE55" s="1501" t="s">
        <v>2309</v>
      </c>
    </row>
    <row s="969" customFormat="1" customHeight="1" ht="33.75">
      <c r="A56" s="969"/>
      <c r="B56" s="969"/>
      <c r="C56" s="969"/>
      <c r="D56" s="969"/>
      <c r="E56" s="180">
        <v>35</v>
      </c>
      <c r="F56" s="175" cm="1" t="str">
        <f t="array" ref="F56:F56">OFFSET(G56,-1,-1)</f>
        <v>1</v>
      </c>
      <c r="G56" s="969"/>
      <c r="H56" s="969"/>
      <c r="I56" s="969"/>
      <c r="J56" s="969"/>
      <c r="K56" s="969"/>
      <c r="L56" s="969"/>
      <c r="M56" s="969"/>
      <c r="N56" s="969"/>
      <c r="O56" s="969"/>
      <c r="P56" s="969"/>
      <c r="Q56" s="969"/>
      <c r="R56" s="969"/>
      <c r="S56" s="969"/>
      <c r="T56" s="753">
        <f>AND(F56&gt;0,OR(ISBLANK(Y56),Y56&gt;0))</f>
        <v>1</v>
      </c>
      <c r="U56" s="969"/>
      <c r="V56" s="969"/>
      <c r="W56" s="969"/>
      <c r="X56" s="969"/>
      <c r="Y56" s="969"/>
      <c r="Z56" s="969"/>
      <c r="AA56" s="969"/>
      <c r="AB56" s="354">
        <v>1.4</v>
      </c>
      <c r="AC56" s="646" t="s">
        <v>2310</v>
      </c>
      <c r="AD56" s="320"/>
      <c r="AE56" s="2378"/>
      <c r="AF56" s="2378"/>
      <c r="AG56" s="2377"/>
      <c r="AH56" s="2377"/>
      <c r="AI56" s="1861"/>
      <c r="AJ56" s="969"/>
      <c r="AK56" s="969"/>
      <c r="AL56" s="489" t="s">
        <v>2311</v>
      </c>
      <c r="AM56" s="489"/>
      <c r="AN56" s="489"/>
      <c r="AO56" s="546"/>
      <c r="AP56" s="546"/>
      <c r="AQ56" s="969"/>
      <c r="AR56" s="969"/>
      <c r="AS56" s="1501" cm="1" t="str">
        <f t="array" ref="AS56:AS56">AS55</f>
        <v>ТЭ.42.31656254.0001</v>
      </c>
      <c r="AT56" s="1501" t="s">
        <v>1388</v>
      </c>
      <c r="AU56" s="1501"/>
      <c r="AV56" s="1501"/>
      <c r="AW56" s="1501"/>
      <c r="AX56" s="1501"/>
      <c r="AY56" s="1501"/>
      <c r="AZ56" s="1501"/>
      <c r="BA56" s="1501" t="s">
        <v>255</v>
      </c>
      <c r="BB56" s="1501"/>
      <c r="BC56" s="1501" t="s">
        <v>303</v>
      </c>
      <c r="BD56" s="1501" t="s">
        <v>899</v>
      </c>
      <c r="BE56" s="1501" t="s">
        <v>900</v>
      </c>
    </row>
    <row s="969" customFormat="1" customHeight="1" ht="33.75">
      <c r="A57" s="969"/>
      <c r="B57" s="969"/>
      <c r="C57" s="969"/>
      <c r="D57" s="969"/>
      <c r="E57" s="180">
        <v>35</v>
      </c>
      <c r="F57" s="175" cm="1" t="str">
        <f t="array" ref="F57:F57">OFFSET(G57,-1,-1)</f>
        <v>1</v>
      </c>
      <c r="G57" s="969"/>
      <c r="H57" s="969"/>
      <c r="I57" s="969"/>
      <c r="J57" s="969"/>
      <c r="K57" s="969"/>
      <c r="L57" s="969"/>
      <c r="M57" s="969"/>
      <c r="N57" s="969"/>
      <c r="O57" s="969"/>
      <c r="P57" s="969"/>
      <c r="Q57" s="969"/>
      <c r="R57" s="969"/>
      <c r="S57" s="969"/>
      <c r="T57" s="753">
        <f>AND(F57&gt;0,OR(ISBLANK(Y57),Y57&gt;0))</f>
        <v>1</v>
      </c>
      <c r="U57" s="969"/>
      <c r="V57" s="969"/>
      <c r="W57" s="969"/>
      <c r="X57" s="969"/>
      <c r="Y57" s="969"/>
      <c r="Z57" s="969"/>
      <c r="AA57" s="969"/>
      <c r="AB57" s="354">
        <v>1.5</v>
      </c>
      <c r="AC57" s="876" t="s">
        <v>2312</v>
      </c>
      <c r="AD57" s="877" t="s">
        <v>2265</v>
      </c>
      <c r="AE57" s="1866">
        <f>AE55*AE56</f>
        <v>0</v>
      </c>
      <c r="AF57" s="1866">
        <f>AF55*AF56</f>
        <v>0</v>
      </c>
      <c r="AG57" s="2379"/>
      <c r="AH57" s="2379"/>
      <c r="AI57" s="2380"/>
      <c r="AJ57" s="969"/>
      <c r="AK57" s="969"/>
      <c r="AL57" s="489" t="s">
        <v>2313</v>
      </c>
      <c r="AM57" s="489"/>
      <c r="AN57" s="489"/>
      <c r="AO57" s="546"/>
      <c r="AP57" s="546"/>
      <c r="AQ57" s="969"/>
      <c r="AR57" s="969"/>
      <c r="AS57" s="1501" cm="1" t="str">
        <f t="array" ref="AS57:AS57">AS56</f>
        <v>ТЭ.42.31656254.0001</v>
      </c>
      <c r="AT57" s="1501" t="s">
        <v>1388</v>
      </c>
      <c r="AU57" s="1501"/>
      <c r="AV57" s="1501"/>
      <c r="AW57" s="1501"/>
      <c r="AX57" s="1501" t="s">
        <v>2267</v>
      </c>
      <c r="AY57" s="1501"/>
      <c r="AZ57" s="1501"/>
      <c r="BA57" s="1501"/>
      <c r="BB57" s="1501"/>
      <c r="BC57" s="1501" t="s">
        <v>303</v>
      </c>
      <c r="BD57" s="1501" t="s">
        <v>1044</v>
      </c>
      <c r="BE57" s="1501" t="s">
        <v>1045</v>
      </c>
    </row>
    <row s="969" customFormat="1" customHeight="1" ht="16.5">
      <c r="A58" s="969"/>
      <c r="B58" s="969"/>
      <c r="C58" s="969"/>
      <c r="D58" s="969"/>
      <c r="E58" s="180">
        <v>17</v>
      </c>
      <c r="F58" s="175" cm="1" t="str">
        <f t="array" ref="F58:F58">OFFSET(G58,-1,-1)</f>
        <v>1</v>
      </c>
      <c r="G58" s="969"/>
      <c r="H58" s="969"/>
      <c r="I58" s="969"/>
      <c r="J58" s="969"/>
      <c r="K58" s="969"/>
      <c r="L58" s="969"/>
      <c r="M58" s="969"/>
      <c r="N58" s="969"/>
      <c r="O58" s="969"/>
      <c r="P58" s="969"/>
      <c r="Q58" s="969"/>
      <c r="R58" s="969"/>
      <c r="S58" s="969"/>
      <c r="T58" s="753">
        <f>AND(F58&gt;0,OR(ISBLANK(Y58),Y58&gt;0))</f>
        <v>1</v>
      </c>
      <c r="U58" s="969"/>
      <c r="V58" s="969"/>
      <c r="W58" s="969"/>
      <c r="X58" s="969"/>
      <c r="Y58" s="969"/>
      <c r="Z58" s="969"/>
      <c r="AA58" s="969"/>
      <c r="AB58" s="354">
        <v>1.6</v>
      </c>
      <c r="AC58" s="876" t="s">
        <v>2314</v>
      </c>
      <c r="AD58" s="877" t="s">
        <v>495</v>
      </c>
      <c r="AE58" s="1866"/>
      <c r="AF58" s="1866"/>
      <c r="AG58" s="2379"/>
      <c r="AH58" s="2379"/>
      <c r="AI58" s="2380"/>
      <c r="AJ58" s="969"/>
      <c r="AK58" s="969"/>
      <c r="AL58" s="489" t="s">
        <v>2315</v>
      </c>
      <c r="AM58" s="489"/>
      <c r="AN58" s="489"/>
      <c r="AO58" s="546"/>
      <c r="AP58" s="546"/>
      <c r="AQ58" s="969"/>
      <c r="AR58" s="969"/>
      <c r="AS58" s="1501" cm="1" t="str">
        <f t="array" ref="AS58:AS58">AS57</f>
        <v>ТЭ.42.31656254.0001</v>
      </c>
      <c r="AT58" s="1501" t="s">
        <v>1388</v>
      </c>
      <c r="AU58" s="1501"/>
      <c r="AV58" s="1501"/>
      <c r="AW58" s="1501"/>
      <c r="AX58" s="1501"/>
      <c r="AY58" s="1501" t="s">
        <v>2316</v>
      </c>
      <c r="AZ58" s="1501" t="s">
        <v>2317</v>
      </c>
      <c r="BA58" s="1501"/>
      <c r="BB58" s="1501"/>
      <c r="BC58" s="1501" t="s">
        <v>303</v>
      </c>
      <c r="BD58" s="1501" t="s">
        <v>1535</v>
      </c>
      <c r="BE58" s="1501" t="s">
        <v>1536</v>
      </c>
    </row>
    <row s="969" customFormat="1" customHeight="1" ht="39">
      <c r="A59" s="969"/>
      <c r="B59" s="969"/>
      <c r="C59" s="969"/>
      <c r="D59" s="969"/>
      <c r="E59" s="180">
        <v>40</v>
      </c>
      <c r="F59" s="175" cm="1" t="str">
        <f t="array" ref="F59:F59">OFFSET(G59,-1,-1)</f>
        <v>1</v>
      </c>
      <c r="G59" s="969"/>
      <c r="H59" s="969"/>
      <c r="I59" s="969"/>
      <c r="J59" s="969"/>
      <c r="K59" s="969"/>
      <c r="L59" s="969"/>
      <c r="M59" s="969"/>
      <c r="N59" s="969"/>
      <c r="O59" s="969"/>
      <c r="P59" s="969"/>
      <c r="Q59" s="969"/>
      <c r="R59" s="969"/>
      <c r="S59" s="969"/>
      <c r="T59" s="753">
        <f>AND(F59&gt;0,OR(ISBLANK(Y59),Y59&gt;0))</f>
        <v>1</v>
      </c>
      <c r="U59" s="969"/>
      <c r="V59" s="969"/>
      <c r="W59" s="969"/>
      <c r="X59" s="969"/>
      <c r="Y59" s="969"/>
      <c r="Z59" s="969"/>
      <c r="AA59" s="969"/>
      <c r="AB59" s="354">
        <v>1.7</v>
      </c>
      <c r="AC59" s="876" t="s">
        <v>2318</v>
      </c>
      <c r="AD59" s="877" t="s">
        <v>447</v>
      </c>
      <c r="AE59" s="1866"/>
      <c r="AF59" s="1866"/>
      <c r="AG59" s="2379"/>
      <c r="AH59" s="2379"/>
      <c r="AI59" s="2380"/>
      <c r="AJ59" s="969"/>
      <c r="AK59" s="969"/>
      <c r="AL59" s="489" t="s">
        <v>2319</v>
      </c>
      <c r="AM59" s="489"/>
      <c r="AN59" s="489"/>
      <c r="AO59" s="546"/>
      <c r="AP59" s="546"/>
      <c r="AQ59" s="969"/>
      <c r="AR59" s="969"/>
      <c r="AS59" s="1501" cm="1" t="str">
        <f t="array" ref="AS59:AS59">AS58</f>
        <v>ТЭ.42.31656254.0001</v>
      </c>
      <c r="AT59" s="1501" t="s">
        <v>1388</v>
      </c>
      <c r="AU59" s="1501"/>
      <c r="AV59" s="1501"/>
      <c r="AW59" s="1501"/>
      <c r="AX59" s="1501"/>
      <c r="AY59" s="1501"/>
      <c r="AZ59" s="1501"/>
      <c r="BA59" s="1501" t="s">
        <v>449</v>
      </c>
      <c r="BB59" s="1501"/>
      <c r="BC59" s="1501" t="s">
        <v>303</v>
      </c>
      <c r="BD59" s="1501" t="s">
        <v>466</v>
      </c>
      <c r="BE59" s="1501" t="s">
        <v>467</v>
      </c>
    </row>
    <row s="969" customFormat="1" customHeight="1" ht="16.5">
      <c r="A60" s="969"/>
      <c r="B60" s="969"/>
      <c r="C60" s="969"/>
      <c r="D60" s="969"/>
      <c r="E60" s="180">
        <v>17</v>
      </c>
      <c r="F60" s="175" cm="1" t="str">
        <f t="array" ref="F60:F60">OFFSET(G60,-1,-1)</f>
        <v>1</v>
      </c>
      <c r="G60" s="969"/>
      <c r="H60" s="969"/>
      <c r="I60" s="969"/>
      <c r="J60" s="969"/>
      <c r="K60" s="969"/>
      <c r="L60" s="969"/>
      <c r="M60" s="969"/>
      <c r="N60" s="969"/>
      <c r="O60" s="969"/>
      <c r="P60" s="969"/>
      <c r="Q60" s="969"/>
      <c r="R60" s="969"/>
      <c r="S60" s="969"/>
      <c r="T60" s="753">
        <f>AND(F60&gt;0,OR(ISBLANK(Y60),Y60&gt;0))</f>
        <v>1</v>
      </c>
      <c r="U60" s="969"/>
      <c r="V60" s="969"/>
      <c r="W60" s="969"/>
      <c r="X60" s="969"/>
      <c r="Y60" s="969"/>
      <c r="Z60" s="969"/>
      <c r="AA60" s="969"/>
      <c r="AB60" s="354">
        <v>1.8</v>
      </c>
      <c r="AC60" s="876" t="s">
        <v>2320</v>
      </c>
      <c r="AD60" s="877" t="s">
        <v>1709</v>
      </c>
      <c r="AE60" s="1866">
        <f>AE57*AE59*(1+AE58)</f>
        <v>0</v>
      </c>
      <c r="AF60" s="1866">
        <f>AF57*AF59*(1+AF58)</f>
        <v>0</v>
      </c>
      <c r="AG60" s="2379"/>
      <c r="AH60" s="2379"/>
      <c r="AI60" s="2380"/>
      <c r="AJ60" s="969"/>
      <c r="AK60" s="969"/>
      <c r="AL60" s="489" t="s">
        <v>1721</v>
      </c>
      <c r="AM60" s="489"/>
      <c r="AN60" s="489"/>
      <c r="AO60" s="546"/>
      <c r="AP60" s="546"/>
      <c r="AQ60" s="969"/>
      <c r="AR60" s="969"/>
      <c r="AS60" s="1501" cm="1" t="str">
        <f t="array" ref="AS60:AS60">AS59</f>
        <v>ТЭ.42.31656254.0001</v>
      </c>
      <c r="AT60" s="1501" t="s">
        <v>1388</v>
      </c>
      <c r="AU60" s="1501"/>
      <c r="AV60" s="1501"/>
      <c r="AW60" s="1501"/>
      <c r="AX60" s="1501"/>
      <c r="AY60" s="1501"/>
      <c r="AZ60" s="1501"/>
      <c r="BA60" s="1501" t="s">
        <v>883</v>
      </c>
      <c r="BB60" s="1501"/>
      <c r="BC60" s="1501" t="s">
        <v>303</v>
      </c>
      <c r="BD60" s="1501" t="s">
        <v>1722</v>
      </c>
      <c r="BE60" s="1501" t="s">
        <v>1723</v>
      </c>
    </row>
    <row s="969" customFormat="1" customHeight="1" ht="16.5">
      <c r="A61" s="969"/>
      <c r="B61" s="969"/>
      <c r="C61" s="969"/>
      <c r="D61" s="969"/>
      <c r="E61" s="180">
        <v>17</v>
      </c>
      <c r="F61" s="175" cm="1" t="str">
        <f t="array" ref="F61:F61">OFFSET(G61,-1,-1)</f>
        <v>1</v>
      </c>
      <c r="G61" s="969"/>
      <c r="H61" s="969"/>
      <c r="I61" s="969"/>
      <c r="J61" s="969"/>
      <c r="K61" s="969"/>
      <c r="L61" s="969"/>
      <c r="M61" s="969"/>
      <c r="N61" s="969"/>
      <c r="O61" s="969"/>
      <c r="P61" s="969"/>
      <c r="Q61" s="969"/>
      <c r="R61" s="969"/>
      <c r="S61" s="969"/>
      <c r="T61" s="753">
        <f>AND(F61&gt;0,OR(ISBLANK(Y61),Y61&gt;0))</f>
        <v>1</v>
      </c>
      <c r="U61" s="969"/>
      <c r="V61" s="969"/>
      <c r="W61" s="969"/>
      <c r="X61" s="969"/>
      <c r="Y61" s="969"/>
      <c r="Z61" s="969"/>
      <c r="AA61" s="969"/>
      <c r="AB61" s="879">
        <v>2</v>
      </c>
      <c r="AC61" s="873" t="s">
        <v>2321</v>
      </c>
      <c r="AD61" s="874"/>
      <c r="AE61" s="880"/>
      <c r="AF61" s="880"/>
      <c r="AG61" s="873"/>
      <c r="AH61" s="873"/>
      <c r="AI61" s="873"/>
      <c r="AJ61" s="969"/>
      <c r="AK61" s="969"/>
      <c r="AL61" s="489"/>
      <c r="AM61" s="489"/>
      <c r="AN61" s="489"/>
      <c r="AO61" s="546"/>
      <c r="AP61" s="546"/>
      <c r="AQ61" s="969"/>
      <c r="AR61" s="969"/>
      <c r="AS61" s="1501" cm="1" t="str">
        <f t="array" ref="AS61:AS61">AS60</f>
        <v>ТЭ.42.31656254.0001</v>
      </c>
      <c r="AT61" s="1501"/>
      <c r="AU61" s="1501"/>
      <c r="AV61" s="1501"/>
      <c r="AW61" s="1501"/>
      <c r="AX61" s="1501"/>
      <c r="AY61" s="1501"/>
      <c r="AZ61" s="1501"/>
      <c r="BA61" s="1501"/>
      <c r="BB61" s="1501"/>
      <c r="BC61" s="1501" t="s">
        <v>176</v>
      </c>
      <c r="BD61" s="1501"/>
      <c r="BE61" s="1501"/>
    </row>
    <row s="969" customFormat="1" customHeight="1" ht="39">
      <c r="A62" s="969"/>
      <c r="B62" s="969"/>
      <c r="C62" s="969"/>
      <c r="D62" s="969"/>
      <c r="E62" s="180">
        <v>40</v>
      </c>
      <c r="F62" s="175" cm="1" t="str">
        <f t="array" ref="F62:F62">OFFSET(G62,-1,-1)</f>
        <v>1</v>
      </c>
      <c r="G62" s="969"/>
      <c r="H62" s="969"/>
      <c r="I62" s="969"/>
      <c r="J62" s="969"/>
      <c r="K62" s="969"/>
      <c r="L62" s="969"/>
      <c r="M62" s="969"/>
      <c r="N62" s="969"/>
      <c r="O62" s="969"/>
      <c r="P62" s="969"/>
      <c r="Q62" s="969"/>
      <c r="R62" s="969"/>
      <c r="S62" s="969"/>
      <c r="T62" s="753">
        <f>AND(F62&gt;0,OR(ISBLANK(Y62),Y62&gt;0))</f>
        <v>1</v>
      </c>
      <c r="U62" s="969"/>
      <c r="V62" s="969"/>
      <c r="W62" s="969"/>
      <c r="X62" s="969"/>
      <c r="Y62" s="969"/>
      <c r="Z62" s="969"/>
      <c r="AA62" s="969"/>
      <c r="AB62" s="360">
        <v>2.1</v>
      </c>
      <c r="AC62" s="881" t="s">
        <v>2322</v>
      </c>
      <c r="AD62" s="320" t="s">
        <v>1709</v>
      </c>
      <c r="AE62" s="2280">
        <f>SUM(AE63:AE64)</f>
        <v>0</v>
      </c>
      <c r="AF62" s="2280">
        <f>SUM(AF63:AF64)</f>
        <v>0</v>
      </c>
      <c r="AG62" s="2379"/>
      <c r="AH62" s="2379"/>
      <c r="AI62" s="2380"/>
      <c r="AJ62" s="969"/>
      <c r="AK62" s="969"/>
      <c r="AL62" s="489" t="s">
        <v>2323</v>
      </c>
      <c r="AM62" s="489"/>
      <c r="AN62" s="489"/>
      <c r="AO62" s="546"/>
      <c r="AP62" s="546"/>
      <c r="AQ62" s="969"/>
      <c r="AR62" s="969"/>
      <c r="AS62" s="1501" cm="1" t="str">
        <f t="array" ref="AS62:AS62">AS61</f>
        <v>ТЭ.42.31656254.0001</v>
      </c>
      <c r="AT62" s="1501" t="s">
        <v>824</v>
      </c>
      <c r="AU62" s="1501" t="s">
        <v>1605</v>
      </c>
      <c r="AV62" s="1501"/>
      <c r="AW62" s="1501"/>
      <c r="AX62" s="1501"/>
      <c r="AY62" s="1501"/>
      <c r="AZ62" s="1501"/>
      <c r="BA62" s="1501" t="s">
        <v>219</v>
      </c>
      <c r="BB62" s="1501"/>
      <c r="BC62" s="1501" t="s">
        <v>303</v>
      </c>
      <c r="BD62" s="1501" t="s">
        <v>1044</v>
      </c>
      <c r="BE62" s="1501" t="s">
        <v>1045</v>
      </c>
    </row>
    <row s="969" customFormat="1" customHeight="1" ht="16.5" hidden="1">
      <c r="A63" s="969"/>
      <c r="B63" s="969"/>
      <c r="C63" s="969"/>
      <c r="D63" s="969"/>
      <c r="E63" s="180">
        <v>17</v>
      </c>
      <c r="F63" s="175" cm="1" t="str">
        <f t="array" ref="F63:F63">OFFSET(G63,-1,-1)</f>
        <v>1</v>
      </c>
      <c r="G63" s="969"/>
      <c r="H63" s="969"/>
      <c r="I63" s="969"/>
      <c r="J63" s="969"/>
      <c r="K63" s="969"/>
      <c r="L63" s="969"/>
      <c r="M63" s="969"/>
      <c r="N63" s="969"/>
      <c r="O63" s="969"/>
      <c r="P63" s="969"/>
      <c r="Q63" s="969"/>
      <c r="R63" s="969"/>
      <c r="S63" s="969"/>
      <c r="T63" s="753">
        <f>AND(F63&gt;0,OR(ISBLANK(Y63),Y63&gt;0))</f>
        <v>0</v>
      </c>
      <c r="U63" s="969"/>
      <c r="V63" s="969"/>
      <c r="W63" s="175" t="s">
        <v>189</v>
      </c>
      <c r="X63" s="969"/>
      <c r="Y63" s="175">
        <v>0</v>
      </c>
      <c r="Z63" s="969"/>
      <c r="AA63" s="477" t="s">
        <v>171</v>
      </c>
      <c r="AB63" s="360" t="str">
        <f>"2.1."&amp;Y63</f>
        <v>2.1.0</v>
      </c>
      <c r="AC63" s="162"/>
      <c r="AD63" s="320" t="s">
        <v>1709</v>
      </c>
      <c r="AE63" s="100"/>
      <c r="AF63" s="100"/>
      <c r="AG63" s="160"/>
      <c r="AH63" s="160"/>
      <c r="AI63" s="161"/>
      <c r="AJ63" s="969"/>
      <c r="AK63" s="969"/>
      <c r="AL63" s="489" t="s">
        <v>2323</v>
      </c>
      <c r="AM63" s="489" t="s">
        <v>2324</v>
      </c>
      <c r="AN63" s="489" cm="1" t="str">
        <f t="array" ref="AN63:AN63">AC63</f>
        <v>0</v>
      </c>
      <c r="AO63" s="546"/>
      <c r="AP63" s="546" t="b">
        <v>1</v>
      </c>
      <c r="AQ63" s="969"/>
      <c r="AR63" s="969"/>
      <c r="AS63" s="1501" cm="1" t="str">
        <f t="array" ref="AS63:AS63">OFFSET(AT63,-1,-1)</f>
        <v>ТЭ.42.31656254.0001</v>
      </c>
      <c r="AT63" s="1501" t="s">
        <v>824</v>
      </c>
      <c r="AU63" s="1501" t="s">
        <v>1605</v>
      </c>
      <c r="AV63" s="1501"/>
      <c r="AW63" s="1501"/>
      <c r="AX63" s="1501"/>
      <c r="AY63" s="1501"/>
      <c r="AZ63" s="1501"/>
      <c r="BA63" s="1501"/>
      <c r="BB63" s="1501" t="str">
        <f>$AB63&amp;"|"&amp;$AC63</f>
        <v>2.1.0|</v>
      </c>
      <c r="BC63" s="1501" t="s">
        <v>303</v>
      </c>
      <c r="BD63" s="1501" t="s">
        <v>1044</v>
      </c>
      <c r="BE63" s="1501" t="s">
        <v>1045</v>
      </c>
    </row>
    <row s="969" customFormat="1" customHeight="1" ht="16.5">
      <c r="A64" s="969"/>
      <c r="B64" s="969"/>
      <c r="C64" s="969"/>
      <c r="D64" s="969"/>
      <c r="E64" s="180">
        <v>17</v>
      </c>
      <c r="F64" s="175" cm="1" t="str">
        <f t="array" ref="F64:F64">OFFSET(G64,-1,-1)</f>
        <v>1</v>
      </c>
      <c r="G64" s="969"/>
      <c r="H64" s="969"/>
      <c r="I64" s="969"/>
      <c r="J64" s="969"/>
      <c r="K64" s="969"/>
      <c r="L64" s="969"/>
      <c r="M64" s="969"/>
      <c r="N64" s="969"/>
      <c r="O64" s="969"/>
      <c r="P64" s="969"/>
      <c r="Q64" s="969"/>
      <c r="R64" s="969"/>
      <c r="S64" s="969"/>
      <c r="T64" s="753">
        <f>AND(F64&gt;0,OR(ISBLANK(Y64),Y64&gt;0))</f>
        <v>1</v>
      </c>
      <c r="U64" s="969"/>
      <c r="V64" s="969"/>
      <c r="W64" s="980" t="s">
        <v>1070</v>
      </c>
      <c r="X64" s="969"/>
      <c r="Y64" s="969"/>
      <c r="Z64" s="969"/>
      <c r="AA64" s="969"/>
      <c r="AB64" s="405"/>
      <c r="AC64" s="406" t="s">
        <v>191</v>
      </c>
      <c r="AD64" s="407"/>
      <c r="AE64" s="407"/>
      <c r="AF64" s="407"/>
      <c r="AG64" s="407"/>
      <c r="AH64" s="407"/>
      <c r="AI64" s="407"/>
      <c r="AJ64" s="969"/>
      <c r="AK64" s="969"/>
      <c r="AL64" s="489" t="str">
        <f>IF(AND(ISNUMBER(VALUE(TRIM(SUBSTITUTE(AB64,".","")))),TRIM(SUBSTITUTE(AB64,".",""))&lt;&gt;""),"P"&amp;SUBSTITUTE(AB64,".",""),"")</f>
        <v/>
      </c>
      <c r="AM64" s="489"/>
      <c r="AN64" s="489"/>
      <c r="AO64" s="546" t="s">
        <v>2324</v>
      </c>
      <c r="AP64" s="546"/>
      <c r="AQ64" s="969"/>
      <c r="AR64" s="969"/>
      <c r="AS64" s="1501" cm="1" t="str">
        <f t="array" ref="AS64:AS64">OFFSET(AT64,-1,-1)</f>
        <v>ТЭ.42.31656254.0001</v>
      </c>
      <c r="AT64" s="1501"/>
      <c r="AU64" s="1501"/>
      <c r="AV64" s="1501"/>
      <c r="AW64" s="1501"/>
      <c r="AX64" s="1501"/>
      <c r="AY64" s="1501"/>
      <c r="AZ64" s="1501"/>
      <c r="BA64" s="1501"/>
      <c r="BB64" s="1501"/>
      <c r="BC64" s="1501"/>
      <c r="BD64" s="1501"/>
      <c r="BE64" s="1501"/>
    </row>
    <row s="969" customFormat="1" customHeight="1" ht="39">
      <c r="A65" s="969"/>
      <c r="B65" s="969"/>
      <c r="C65" s="969"/>
      <c r="D65" s="969"/>
      <c r="E65" s="180">
        <v>40</v>
      </c>
      <c r="F65" s="175" cm="1" t="str">
        <f t="array" ref="F65:F65">OFFSET(G65,-1,-1)</f>
        <v>1</v>
      </c>
      <c r="G65" s="969"/>
      <c r="H65" s="969"/>
      <c r="I65" s="969"/>
      <c r="J65" s="969"/>
      <c r="K65" s="969"/>
      <c r="L65" s="969"/>
      <c r="M65" s="969"/>
      <c r="N65" s="969"/>
      <c r="O65" s="969"/>
      <c r="P65" s="969"/>
      <c r="Q65" s="969"/>
      <c r="R65" s="969"/>
      <c r="S65" s="969"/>
      <c r="T65" s="753">
        <f>AND(F65&gt;0,OR(ISBLANK(Y65),Y65&gt;0))</f>
        <v>1</v>
      </c>
      <c r="U65" s="969"/>
      <c r="V65" s="969"/>
      <c r="W65" s="969"/>
      <c r="X65" s="969"/>
      <c r="Y65" s="969"/>
      <c r="Z65" s="969"/>
      <c r="AA65" s="969"/>
      <c r="AB65" s="360">
        <v>2.2</v>
      </c>
      <c r="AC65" s="881" t="s">
        <v>2325</v>
      </c>
      <c r="AD65" s="320" t="s">
        <v>2284</v>
      </c>
      <c r="AE65" s="2280">
        <f>SUM(AE66:AE67)</f>
        <v>0</v>
      </c>
      <c r="AF65" s="2280">
        <f>SUM(AF66:AF67)</f>
        <v>0</v>
      </c>
      <c r="AG65" s="2379"/>
      <c r="AH65" s="2379"/>
      <c r="AI65" s="2380"/>
      <c r="AJ65" s="969"/>
      <c r="AK65" s="969"/>
      <c r="AL65" s="489" t="s">
        <v>2285</v>
      </c>
      <c r="AM65" s="489"/>
      <c r="AN65" s="489"/>
      <c r="AO65" s="546"/>
      <c r="AP65" s="546"/>
      <c r="AQ65" s="969"/>
      <c r="AR65" s="969"/>
      <c r="AS65" s="1501" cm="1" t="str">
        <f t="array" ref="AS65:AS65">AS64</f>
        <v>ТЭ.42.31656254.0001</v>
      </c>
      <c r="AT65" s="1501" t="s">
        <v>824</v>
      </c>
      <c r="AU65" s="1501" t="s">
        <v>1605</v>
      </c>
      <c r="AV65" s="1501"/>
      <c r="AW65" s="1501"/>
      <c r="AX65" s="1501"/>
      <c r="AY65" s="1501"/>
      <c r="AZ65" s="1501"/>
      <c r="BA65" s="1501" t="s">
        <v>255</v>
      </c>
      <c r="BB65" s="1501"/>
      <c r="BC65" s="1501" t="s">
        <v>303</v>
      </c>
      <c r="BD65" s="1501" t="s">
        <v>2286</v>
      </c>
      <c r="BE65" s="1501" t="s">
        <v>2287</v>
      </c>
    </row>
    <row s="969" customFormat="1" customHeight="1" ht="16.5" hidden="1">
      <c r="A66" s="969"/>
      <c r="B66" s="969"/>
      <c r="C66" s="969"/>
      <c r="D66" s="969"/>
      <c r="E66" s="180">
        <v>17</v>
      </c>
      <c r="F66" s="175" cm="1" t="str">
        <f t="array" ref="F66:F66">OFFSET(G66,-1,-1)</f>
        <v>1</v>
      </c>
      <c r="G66" s="969"/>
      <c r="H66" s="969"/>
      <c r="I66" s="969"/>
      <c r="J66" s="969"/>
      <c r="K66" s="969"/>
      <c r="L66" s="969"/>
      <c r="M66" s="969"/>
      <c r="N66" s="969"/>
      <c r="O66" s="969"/>
      <c r="P66" s="969"/>
      <c r="Q66" s="969"/>
      <c r="R66" s="969"/>
      <c r="S66" s="969"/>
      <c r="T66" s="753">
        <f>AND(F66&gt;0,OR(ISBLANK(Y66),Y66&gt;0))</f>
        <v>0</v>
      </c>
      <c r="U66" s="969"/>
      <c r="V66" s="969"/>
      <c r="W66" s="175" t="s">
        <v>189</v>
      </c>
      <c r="X66" s="969"/>
      <c r="Y66" s="175">
        <v>0</v>
      </c>
      <c r="Z66" s="969"/>
      <c r="AA66" s="477" t="s">
        <v>171</v>
      </c>
      <c r="AB66" s="360" t="str">
        <f>"2.2."&amp;Y66</f>
        <v>2.2.0</v>
      </c>
      <c r="AC66" s="162"/>
      <c r="AD66" s="320" t="s">
        <v>2284</v>
      </c>
      <c r="AE66" s="100"/>
      <c r="AF66" s="100"/>
      <c r="AG66" s="160"/>
      <c r="AH66" s="160"/>
      <c r="AI66" s="161"/>
      <c r="AJ66" s="969"/>
      <c r="AK66" s="969"/>
      <c r="AL66" s="489" t="s">
        <v>2285</v>
      </c>
      <c r="AM66" s="489" t="s">
        <v>2326</v>
      </c>
      <c r="AN66" s="489" cm="1" t="str">
        <f t="array" ref="AN66:AN66">AC66</f>
        <v>0</v>
      </c>
      <c r="AO66" s="546"/>
      <c r="AP66" s="546" t="b">
        <v>1</v>
      </c>
      <c r="AQ66" s="969"/>
      <c r="AR66" s="969"/>
      <c r="AS66" s="1501" cm="1" t="str">
        <f t="array" ref="AS66:AS66">OFFSET(AT66,-1,-1)</f>
        <v>ТЭ.42.31656254.0001</v>
      </c>
      <c r="AT66" s="1501" t="s">
        <v>824</v>
      </c>
      <c r="AU66" s="1501" t="s">
        <v>1605</v>
      </c>
      <c r="AV66" s="1501"/>
      <c r="AW66" s="1501"/>
      <c r="AX66" s="1501"/>
      <c r="AY66" s="1501"/>
      <c r="AZ66" s="1501"/>
      <c r="BA66" s="1501"/>
      <c r="BB66" s="1501" t="str">
        <f>$AB66&amp;"|"&amp;$AC66</f>
        <v>2.2.0|</v>
      </c>
      <c r="BC66" s="1501" t="s">
        <v>303</v>
      </c>
      <c r="BD66" s="1501" t="s">
        <v>2286</v>
      </c>
      <c r="BE66" s="1501" t="s">
        <v>2287</v>
      </c>
    </row>
    <row s="969" customFormat="1" customHeight="1" ht="16.5">
      <c r="A67" s="969"/>
      <c r="B67" s="969"/>
      <c r="C67" s="969"/>
      <c r="D67" s="969"/>
      <c r="E67" s="180">
        <v>17</v>
      </c>
      <c r="F67" s="175" cm="1" t="str">
        <f t="array" ref="F67:F67">OFFSET(G67,-1,-1)</f>
        <v>1</v>
      </c>
      <c r="G67" s="969"/>
      <c r="H67" s="969"/>
      <c r="I67" s="969"/>
      <c r="J67" s="969"/>
      <c r="K67" s="969"/>
      <c r="L67" s="969"/>
      <c r="M67" s="969"/>
      <c r="N67" s="969"/>
      <c r="O67" s="969"/>
      <c r="P67" s="969"/>
      <c r="Q67" s="969"/>
      <c r="R67" s="969"/>
      <c r="S67" s="969"/>
      <c r="T67" s="753">
        <f>AND(F67&gt;0,OR(ISBLANK(Y67),Y67&gt;0))</f>
        <v>1</v>
      </c>
      <c r="U67" s="969"/>
      <c r="V67" s="969"/>
      <c r="W67" s="980" t="s">
        <v>1086</v>
      </c>
      <c r="X67" s="969"/>
      <c r="Y67" s="969"/>
      <c r="Z67" s="969"/>
      <c r="AA67" s="969"/>
      <c r="AB67" s="405"/>
      <c r="AC67" s="406" t="s">
        <v>191</v>
      </c>
      <c r="AD67" s="407"/>
      <c r="AE67" s="407"/>
      <c r="AF67" s="407"/>
      <c r="AG67" s="407"/>
      <c r="AH67" s="407"/>
      <c r="AI67" s="407"/>
      <c r="AJ67" s="969"/>
      <c r="AK67" s="969"/>
      <c r="AL67" s="489" t="str">
        <f>IF(AND(ISNUMBER(VALUE(TRIM(SUBSTITUTE(AB67,".","")))),TRIM(SUBSTITUTE(AB67,".",""))&lt;&gt;""),"P"&amp;SUBSTITUTE(AB67,".",""),"")</f>
        <v/>
      </c>
      <c r="AM67" s="489"/>
      <c r="AN67" s="489"/>
      <c r="AO67" s="546" t="s">
        <v>2326</v>
      </c>
      <c r="AP67" s="546"/>
      <c r="AQ67" s="969"/>
      <c r="AR67" s="969"/>
      <c r="AS67" s="1501" cm="1" t="str">
        <f t="array" ref="AS67:AS67">OFFSET(AT67,-1,-1)</f>
        <v>ТЭ.42.31656254.0001</v>
      </c>
      <c r="AT67" s="1501"/>
      <c r="AU67" s="1501"/>
      <c r="AV67" s="1501"/>
      <c r="AW67" s="1501"/>
      <c r="AX67" s="1501"/>
      <c r="AY67" s="1501"/>
      <c r="AZ67" s="1501"/>
      <c r="BA67" s="1501"/>
      <c r="BB67" s="1501"/>
      <c r="BC67" s="1501"/>
      <c r="BD67" s="1501"/>
      <c r="BE67" s="1501"/>
    </row>
    <row s="969" customFormat="1" customHeight="1" ht="33.75">
      <c r="A68" s="969"/>
      <c r="B68" s="969"/>
      <c r="C68" s="969"/>
      <c r="D68" s="969"/>
      <c r="E68" s="180">
        <v>35</v>
      </c>
      <c r="F68" s="175" cm="1" t="str">
        <f t="array" ref="F68:F68">OFFSET(G68,-1,-1)</f>
        <v>1</v>
      </c>
      <c r="G68" s="969"/>
      <c r="H68" s="969"/>
      <c r="I68" s="969"/>
      <c r="J68" s="969"/>
      <c r="K68" s="969"/>
      <c r="L68" s="969"/>
      <c r="M68" s="969"/>
      <c r="N68" s="969"/>
      <c r="O68" s="969"/>
      <c r="P68" s="969"/>
      <c r="Q68" s="969"/>
      <c r="R68" s="969"/>
      <c r="S68" s="969"/>
      <c r="T68" s="753">
        <f>AND(F68&gt;0,OR(ISBLANK(Y68),Y68&gt;0))</f>
        <v>1</v>
      </c>
      <c r="U68" s="969"/>
      <c r="V68" s="969"/>
      <c r="W68" s="969"/>
      <c r="X68" s="969"/>
      <c r="Y68" s="969"/>
      <c r="Z68" s="969"/>
      <c r="AA68" s="969"/>
      <c r="AB68" s="879">
        <v>2.3</v>
      </c>
      <c r="AC68" s="883" t="s">
        <v>2327</v>
      </c>
      <c r="AD68" s="616" t="s">
        <v>1709</v>
      </c>
      <c r="AE68" s="1864"/>
      <c r="AF68" s="1864"/>
      <c r="AG68" s="2377"/>
      <c r="AH68" s="2377"/>
      <c r="AI68" s="1861"/>
      <c r="AJ68" s="969"/>
      <c r="AK68" s="969"/>
      <c r="AL68" s="489" t="s">
        <v>2328</v>
      </c>
      <c r="AM68" s="489"/>
      <c r="AN68" s="489"/>
      <c r="AO68" s="546"/>
      <c r="AP68" s="546"/>
      <c r="AQ68" s="969"/>
      <c r="AR68" s="969"/>
      <c r="AS68" s="1501" cm="1" t="str">
        <f t="array" ref="AS68:AS68">AS67</f>
        <v>ТЭ.42.31656254.0001</v>
      </c>
      <c r="AT68" s="1501" t="s">
        <v>824</v>
      </c>
      <c r="AU68" s="1501"/>
      <c r="AV68" s="1501"/>
      <c r="AW68" s="1501"/>
      <c r="AX68" s="1501"/>
      <c r="AY68" s="1501"/>
      <c r="AZ68" s="1501"/>
      <c r="BA68" s="1501" t="s">
        <v>219</v>
      </c>
      <c r="BB68" s="1501"/>
      <c r="BC68" s="1501" t="s">
        <v>303</v>
      </c>
      <c r="BD68" s="1501" t="s">
        <v>1044</v>
      </c>
      <c r="BE68" s="1501" t="s">
        <v>1045</v>
      </c>
    </row>
    <row s="969" customFormat="1" customHeight="1" ht="39">
      <c r="A69" s="969"/>
      <c r="B69" s="969"/>
      <c r="C69" s="969"/>
      <c r="D69" s="969"/>
      <c r="E69" s="180">
        <v>40</v>
      </c>
      <c r="F69" s="175" cm="1" t="str">
        <f t="array" ref="F69:F69">OFFSET(G69,-1,-1)</f>
        <v>1</v>
      </c>
      <c r="G69" s="969"/>
      <c r="H69" s="969"/>
      <c r="I69" s="969"/>
      <c r="J69" s="969"/>
      <c r="K69" s="969"/>
      <c r="L69" s="969"/>
      <c r="M69" s="969"/>
      <c r="N69" s="969"/>
      <c r="O69" s="969"/>
      <c r="P69" s="969"/>
      <c r="Q69" s="969"/>
      <c r="R69" s="969"/>
      <c r="S69" s="969"/>
      <c r="T69" s="753">
        <f>AND(F69&gt;0,OR(ISBLANK(Y69),Y69&gt;0))</f>
        <v>1</v>
      </c>
      <c r="U69" s="969"/>
      <c r="V69" s="969"/>
      <c r="W69" s="969"/>
      <c r="X69" s="969"/>
      <c r="Y69" s="969"/>
      <c r="Z69" s="969"/>
      <c r="AA69" s="969"/>
      <c r="AB69" s="360">
        <v>2.4</v>
      </c>
      <c r="AC69" s="646" t="s">
        <v>2329</v>
      </c>
      <c r="AD69" s="320"/>
      <c r="AE69" s="1871"/>
      <c r="AF69" s="1864"/>
      <c r="AG69" s="2377"/>
      <c r="AH69" s="2377"/>
      <c r="AI69" s="1861"/>
      <c r="AJ69" s="969"/>
      <c r="AK69" s="969"/>
      <c r="AL69" s="489" t="s">
        <v>2330</v>
      </c>
      <c r="AM69" s="489"/>
      <c r="AN69" s="489"/>
      <c r="AO69" s="546"/>
      <c r="AP69" s="546"/>
      <c r="AQ69" s="969"/>
      <c r="AR69" s="969"/>
      <c r="AS69" s="1501" cm="1" t="str">
        <f t="array" ref="AS69:AS69">AS68</f>
        <v>ТЭ.42.31656254.0001</v>
      </c>
      <c r="AT69" s="1501" t="s">
        <v>824</v>
      </c>
      <c r="AU69" s="1501"/>
      <c r="AV69" s="1501"/>
      <c r="AW69" s="1501"/>
      <c r="AX69" s="1501"/>
      <c r="AY69" s="1501"/>
      <c r="AZ69" s="1501"/>
      <c r="BA69" s="1501" t="s">
        <v>255</v>
      </c>
      <c r="BB69" s="1501"/>
      <c r="BC69" s="1501" t="s">
        <v>303</v>
      </c>
      <c r="BD69" s="1501" t="s">
        <v>899</v>
      </c>
      <c r="BE69" s="1501" t="s">
        <v>900</v>
      </c>
    </row>
    <row s="969" customFormat="1" customHeight="1" ht="33.75">
      <c r="A70" s="969"/>
      <c r="B70" s="969"/>
      <c r="C70" s="969"/>
      <c r="D70" s="969"/>
      <c r="E70" s="180">
        <v>35</v>
      </c>
      <c r="F70" s="175" cm="1" t="str">
        <f t="array" ref="F70:F70">OFFSET(G70,-1,-1)</f>
        <v>1</v>
      </c>
      <c r="G70" s="969"/>
      <c r="H70" s="969"/>
      <c r="I70" s="969"/>
      <c r="J70" s="969"/>
      <c r="K70" s="969"/>
      <c r="L70" s="969"/>
      <c r="M70" s="969"/>
      <c r="N70" s="969"/>
      <c r="O70" s="969"/>
      <c r="P70" s="969"/>
      <c r="Q70" s="969"/>
      <c r="R70" s="969"/>
      <c r="S70" s="969"/>
      <c r="T70" s="753">
        <f>AND(F70&gt;0,OR(ISBLANK(Y70),Y70&gt;0))</f>
        <v>1</v>
      </c>
      <c r="U70" s="969"/>
      <c r="V70" s="969"/>
      <c r="W70" s="969"/>
      <c r="X70" s="969"/>
      <c r="Y70" s="969"/>
      <c r="Z70" s="969"/>
      <c r="AA70" s="969"/>
      <c r="AB70" s="360">
        <v>2.5</v>
      </c>
      <c r="AC70" s="646" t="s">
        <v>2331</v>
      </c>
      <c r="AD70" s="320" t="s">
        <v>1005</v>
      </c>
      <c r="AE70" s="1871">
        <f>_xlfn.IFERROR(AE62/AE65*AE69,0)</f>
        <v>0</v>
      </c>
      <c r="AF70" s="1871">
        <f>_xlfn.IFERROR(AF62/AF65*AF69,0)</f>
        <v>0</v>
      </c>
      <c r="AG70" s="2377"/>
      <c r="AH70" s="2377"/>
      <c r="AI70" s="1861"/>
      <c r="AJ70" s="969"/>
      <c r="AK70" s="969"/>
      <c r="AL70" s="489" t="s">
        <v>2332</v>
      </c>
      <c r="AM70" s="489"/>
      <c r="AN70" s="489"/>
      <c r="AO70" s="546"/>
      <c r="AP70" s="546"/>
      <c r="AQ70" s="969"/>
      <c r="AR70" s="969"/>
      <c r="AS70" s="1501" cm="1" t="str">
        <f t="array" ref="AS70:AS70">AS69</f>
        <v>ТЭ.42.31656254.0001</v>
      </c>
      <c r="AT70" s="1501" t="s">
        <v>824</v>
      </c>
      <c r="AU70" s="1501"/>
      <c r="AV70" s="1501"/>
      <c r="AW70" s="1501"/>
      <c r="AX70" s="1501" t="s">
        <v>2267</v>
      </c>
      <c r="AY70" s="1501"/>
      <c r="AZ70" s="1501"/>
      <c r="BA70" s="1501"/>
      <c r="BB70" s="1501"/>
      <c r="BC70" s="1501" t="s">
        <v>303</v>
      </c>
      <c r="BD70" s="1501" t="s">
        <v>1044</v>
      </c>
      <c r="BE70" s="1501" t="s">
        <v>1045</v>
      </c>
    </row>
    <row s="969" customFormat="1" customHeight="1" ht="16.5">
      <c r="A71" s="969"/>
      <c r="B71" s="969"/>
      <c r="C71" s="969"/>
      <c r="D71" s="969"/>
      <c r="E71" s="180">
        <v>17</v>
      </c>
      <c r="F71" s="175" cm="1" t="str">
        <f t="array" ref="F71:F71">OFFSET(G71,-1,-1)</f>
        <v>1</v>
      </c>
      <c r="G71" s="969"/>
      <c r="H71" s="969"/>
      <c r="I71" s="969"/>
      <c r="J71" s="969"/>
      <c r="K71" s="969"/>
      <c r="L71" s="969"/>
      <c r="M71" s="969"/>
      <c r="N71" s="969"/>
      <c r="O71" s="969"/>
      <c r="P71" s="969"/>
      <c r="Q71" s="969"/>
      <c r="R71" s="969"/>
      <c r="S71" s="969"/>
      <c r="T71" s="753">
        <f>AND(F71&gt;0,OR(ISBLANK(Y71),Y71&gt;0))</f>
        <v>1</v>
      </c>
      <c r="U71" s="969"/>
      <c r="V71" s="969"/>
      <c r="W71" s="969"/>
      <c r="X71" s="969"/>
      <c r="Y71" s="969"/>
      <c r="Z71" s="969"/>
      <c r="AA71" s="969"/>
      <c r="AB71" s="360">
        <v>2.6</v>
      </c>
      <c r="AC71" s="646" t="s">
        <v>2314</v>
      </c>
      <c r="AD71" s="320" t="s">
        <v>495</v>
      </c>
      <c r="AE71" s="1871"/>
      <c r="AF71" s="1864"/>
      <c r="AG71" s="2377"/>
      <c r="AH71" s="2377"/>
      <c r="AI71" s="1861"/>
      <c r="AJ71" s="969"/>
      <c r="AK71" s="969"/>
      <c r="AL71" s="489" t="s">
        <v>2333</v>
      </c>
      <c r="AM71" s="489"/>
      <c r="AN71" s="489"/>
      <c r="AO71" s="546"/>
      <c r="AP71" s="546"/>
      <c r="AQ71" s="969"/>
      <c r="AR71" s="969"/>
      <c r="AS71" s="1501" cm="1" t="str">
        <f t="array" ref="AS71:AS71">AS70</f>
        <v>ТЭ.42.31656254.0001</v>
      </c>
      <c r="AT71" s="1501" t="s">
        <v>824</v>
      </c>
      <c r="AU71" s="1501"/>
      <c r="AV71" s="1501"/>
      <c r="AW71" s="1501"/>
      <c r="AX71" s="1501"/>
      <c r="AY71" s="1501" t="s">
        <v>2316</v>
      </c>
      <c r="AZ71" s="1501" t="s">
        <v>2317</v>
      </c>
      <c r="BA71" s="1501"/>
      <c r="BB71" s="1501"/>
      <c r="BC71" s="1501" t="s">
        <v>303</v>
      </c>
      <c r="BD71" s="1501" t="s">
        <v>1535</v>
      </c>
      <c r="BE71" s="1501" t="s">
        <v>1536</v>
      </c>
    </row>
    <row s="969" customFormat="1" customHeight="1" ht="33.75">
      <c r="A72" s="969"/>
      <c r="B72" s="969"/>
      <c r="C72" s="969"/>
      <c r="D72" s="969"/>
      <c r="E72" s="180">
        <v>35</v>
      </c>
      <c r="F72" s="175" cm="1" t="str">
        <f t="array" ref="F72:F72">OFFSET(G72,-1,-1)</f>
        <v>1</v>
      </c>
      <c r="G72" s="969"/>
      <c r="H72" s="969"/>
      <c r="I72" s="969"/>
      <c r="J72" s="969"/>
      <c r="K72" s="969"/>
      <c r="L72" s="969"/>
      <c r="M72" s="969"/>
      <c r="N72" s="969"/>
      <c r="O72" s="969"/>
      <c r="P72" s="969"/>
      <c r="Q72" s="969"/>
      <c r="R72" s="969"/>
      <c r="S72" s="969"/>
      <c r="T72" s="753">
        <f>AND(F72&gt;0,OR(ISBLANK(Y72),Y72&gt;0))</f>
        <v>1</v>
      </c>
      <c r="U72" s="969"/>
      <c r="V72" s="969"/>
      <c r="W72" s="969"/>
      <c r="X72" s="969"/>
      <c r="Y72" s="969"/>
      <c r="Z72" s="969"/>
      <c r="AA72" s="969"/>
      <c r="AB72" s="360">
        <v>2.7</v>
      </c>
      <c r="AC72" s="646" t="s">
        <v>2334</v>
      </c>
      <c r="AD72" s="320" t="s">
        <v>2284</v>
      </c>
      <c r="AE72" s="2385"/>
      <c r="AF72" s="1866"/>
      <c r="AG72" s="2377"/>
      <c r="AH72" s="2377"/>
      <c r="AI72" s="1861"/>
      <c r="AJ72" s="969"/>
      <c r="AK72" s="969"/>
      <c r="AL72" s="489" t="s">
        <v>2335</v>
      </c>
      <c r="AM72" s="489"/>
      <c r="AN72" s="489"/>
      <c r="AO72" s="546"/>
      <c r="AP72" s="546"/>
      <c r="AQ72" s="969"/>
      <c r="AR72" s="969"/>
      <c r="AS72" s="1501" cm="1" t="str">
        <f t="array" ref="AS72:AS72">AS71</f>
        <v>ТЭ.42.31656254.0001</v>
      </c>
      <c r="AT72" s="1501" t="s">
        <v>824</v>
      </c>
      <c r="AU72" s="1501" t="s">
        <v>302</v>
      </c>
      <c r="AV72" s="1501"/>
      <c r="AW72" s="1501"/>
      <c r="AX72" s="1501"/>
      <c r="AY72" s="1501"/>
      <c r="AZ72" s="1501"/>
      <c r="BA72" s="1501"/>
      <c r="BB72" s="1501"/>
      <c r="BC72" s="1501" t="s">
        <v>303</v>
      </c>
      <c r="BD72" s="1501" t="s">
        <v>1772</v>
      </c>
      <c r="BE72" s="1501" t="s">
        <v>1773</v>
      </c>
    </row>
    <row s="969" customFormat="1" customHeight="1" ht="16.5">
      <c r="A73" s="969"/>
      <c r="B73" s="969"/>
      <c r="C73" s="969"/>
      <c r="D73" s="969"/>
      <c r="E73" s="180">
        <v>17</v>
      </c>
      <c r="F73" s="175" cm="1" t="str">
        <f t="array" ref="F73:F73">OFFSET(G73,-1,-1)</f>
        <v>1</v>
      </c>
      <c r="G73" s="969"/>
      <c r="H73" s="969"/>
      <c r="I73" s="969"/>
      <c r="J73" s="969"/>
      <c r="K73" s="969"/>
      <c r="L73" s="969"/>
      <c r="M73" s="969"/>
      <c r="N73" s="969"/>
      <c r="O73" s="969"/>
      <c r="P73" s="969"/>
      <c r="Q73" s="969"/>
      <c r="R73" s="969"/>
      <c r="S73" s="969"/>
      <c r="T73" s="753">
        <f>AND(F73&gt;0,OR(ISBLANK(Y73),Y73&gt;0))</f>
        <v>1</v>
      </c>
      <c r="U73" s="969"/>
      <c r="V73" s="969"/>
      <c r="W73" s="969"/>
      <c r="X73" s="969"/>
      <c r="Y73" s="969"/>
      <c r="Z73" s="969"/>
      <c r="AA73" s="969"/>
      <c r="AB73" s="360">
        <v>2.8</v>
      </c>
      <c r="AC73" s="646" t="s">
        <v>2336</v>
      </c>
      <c r="AD73" s="320" t="s">
        <v>1709</v>
      </c>
      <c r="AE73" s="1864">
        <f>AE70*AE72*(1+AE71)</f>
        <v>0</v>
      </c>
      <c r="AF73" s="1864">
        <f>AF70*AF72*(1+AF71)</f>
        <v>0</v>
      </c>
      <c r="AG73" s="2377"/>
      <c r="AH73" s="2377"/>
      <c r="AI73" s="1861"/>
      <c r="AJ73" s="969"/>
      <c r="AK73" s="969"/>
      <c r="AL73" s="489" t="s">
        <v>2337</v>
      </c>
      <c r="AM73" s="489"/>
      <c r="AN73" s="489"/>
      <c r="AO73" s="546"/>
      <c r="AP73" s="546"/>
      <c r="AQ73" s="969"/>
      <c r="AR73" s="969"/>
      <c r="AS73" s="1501" cm="1" t="str">
        <f t="array" ref="AS73:AS73">AS72</f>
        <v>ТЭ.42.31656254.0001</v>
      </c>
      <c r="AT73" s="1501" t="s">
        <v>824</v>
      </c>
      <c r="AU73" s="1501"/>
      <c r="AV73" s="1501"/>
      <c r="AW73" s="1501"/>
      <c r="AX73" s="1501"/>
      <c r="AY73" s="1501"/>
      <c r="AZ73" s="1501"/>
      <c r="BA73" s="1501" t="s">
        <v>449</v>
      </c>
      <c r="BB73" s="1501"/>
      <c r="BC73" s="1501" t="s">
        <v>303</v>
      </c>
      <c r="BD73" s="1501" t="s">
        <v>1722</v>
      </c>
      <c r="BE73" s="1501" t="s">
        <v>1723</v>
      </c>
    </row>
    <row s="1751" customFormat="1" customHeight="1" ht="17.25" hidden="1">
      <c r="A74" s="371"/>
      <c r="B74" s="1548"/>
      <c r="C74" s="1548"/>
      <c r="D74" s="1548"/>
      <c r="E74" s="965">
        <v>0</v>
      </c>
      <c r="F74" s="175" cm="1" t="str">
        <f t="array" ref="F74:F74">OFFSET(G74,-1,-1)</f>
        <v>1</v>
      </c>
      <c r="G74" s="1659"/>
      <c r="H74" s="1659"/>
      <c r="I74" s="1659"/>
      <c r="J74" s="1659"/>
      <c r="K74" s="1659"/>
      <c r="L74" s="1659"/>
      <c r="M74" s="1659"/>
      <c r="N74" s="1659"/>
      <c r="O74" s="1659"/>
      <c r="P74" s="1659"/>
      <c r="Q74" s="1659"/>
      <c r="R74" s="1659"/>
      <c r="S74" s="1659"/>
      <c r="T74" s="753">
        <f>AND(F74&gt;0,OR(ISBLANK(Y74),Y74&gt;0))</f>
        <v>1</v>
      </c>
      <c r="U74" s="1548"/>
      <c r="V74" s="1548"/>
      <c r="W74" s="1548"/>
      <c r="X74" s="1548"/>
      <c r="Y74" s="1548"/>
      <c r="Z74" s="1548"/>
      <c r="AA74" s="286"/>
      <c r="AB74" s="277"/>
      <c r="AC74" s="285"/>
      <c r="AD74" s="277"/>
      <c r="AE74" s="286"/>
      <c r="AF74" s="286"/>
      <c r="AG74" s="286"/>
      <c r="AH74" s="286"/>
      <c r="AI74" s="286"/>
      <c r="AJ74" s="286"/>
      <c r="AK74" s="1659"/>
      <c r="AL74" s="1125"/>
      <c r="AM74" s="1125"/>
      <c r="AN74" s="1125"/>
      <c r="AO74" s="1126"/>
      <c r="AP74" s="1126"/>
      <c r="AQ74" s="1506"/>
      <c r="AR74" s="1506"/>
      <c r="AS74" s="1751"/>
      <c r="AT74" s="1751"/>
      <c r="AU74" s="1751"/>
      <c r="AV74" s="1751"/>
      <c r="AW74" s="1751"/>
      <c r="AX74" s="1751"/>
      <c r="AY74" s="1751"/>
      <c r="AZ74" s="1751"/>
      <c r="BA74" s="1751"/>
      <c r="BB74" s="1751"/>
      <c r="BC74" s="1751"/>
      <c r="BD74" s="1751"/>
      <c r="BE74" s="1751"/>
    </row>
    <row customHeight="1" ht="9.75">
      <c r="E75" s="180">
        <v>10</v>
      </c>
      <c r="U75" s="175" t="s">
        <v>191</v>
      </c>
      <c r="V75" s="176" t="s">
        <v>2338</v>
      </c>
      <c r="AA75" s="679"/>
      <c r="AB75" s="678"/>
      <c r="AC75" s="681"/>
      <c r="AD75" s="678"/>
      <c r="AE75" s="679"/>
      <c r="AF75" s="679"/>
      <c r="AG75" s="679"/>
      <c r="AH75" s="679"/>
      <c r="AI75" s="679"/>
      <c r="AJ75" s="679"/>
    </row>
    <row customHeight="1" ht="11.25" hidden="1">
      <c r="E76" s="965">
        <v>0</v>
      </c>
      <c r="AA76" s="679"/>
      <c r="AB76" s="678"/>
      <c r="AC76" s="681"/>
      <c r="AD76" s="678"/>
      <c r="AE76" s="679"/>
      <c r="AF76" s="679"/>
      <c r="AG76" s="679"/>
      <c r="AH76" s="679"/>
      <c r="AI76" s="679"/>
      <c r="AJ76" s="679"/>
    </row>
    <row customHeight="1" ht="14.625">
      <c r="E77" s="180">
        <v>15</v>
      </c>
      <c r="AA77" s="679"/>
      <c r="AB77" s="1692" t="s">
        <v>765</v>
      </c>
      <c r="AC77" s="1693"/>
      <c r="AD77" s="1693"/>
      <c r="AE77" s="1693"/>
      <c r="AF77" s="1693"/>
      <c r="AG77" s="1693"/>
      <c r="AH77" s="1693"/>
      <c r="AI77" s="1694"/>
      <c r="AJ77" s="679"/>
    </row>
    <row customHeight="1" ht="14.625">
      <c r="E78" s="180">
        <v>15</v>
      </c>
      <c r="AA78" s="477"/>
      <c r="AB78" s="1695"/>
      <c r="AC78" s="1696"/>
      <c r="AD78" s="1696"/>
      <c r="AE78" s="1696"/>
      <c r="AF78" s="1696"/>
      <c r="AG78" s="1697"/>
      <c r="AH78" s="1697"/>
      <c r="AI78" s="1698"/>
      <c r="AJ78" s="679"/>
    </row>
    <row customHeight="1" ht="14.625" hidden="1">
      <c r="A79" s="371"/>
      <c r="B79" s="1548"/>
      <c r="C79" s="1548"/>
      <c r="D79" s="1548"/>
      <c r="E79" s="180">
        <v>15</v>
      </c>
      <c r="F79" s="1548"/>
      <c r="G79" s="1659"/>
      <c r="H79" s="1659"/>
      <c r="I79" s="1659"/>
      <c r="J79" s="1659"/>
      <c r="K79" s="1659"/>
      <c r="L79" s="1659"/>
      <c r="M79" s="1659"/>
      <c r="N79" s="1659"/>
      <c r="O79" s="1659"/>
      <c r="P79" s="1659"/>
      <c r="Q79" s="1659"/>
      <c r="R79" s="1659"/>
      <c r="S79" s="1659"/>
      <c r="T79" s="753">
        <f>ROW(W79)&gt;ROW(W$79)</f>
        <v>0</v>
      </c>
      <c r="U79" s="1548"/>
      <c r="V79" s="1548"/>
      <c r="W79" s="175" t="s">
        <v>189</v>
      </c>
      <c r="X79" s="1548"/>
      <c r="Y79" s="1548"/>
      <c r="Z79" s="1548"/>
      <c r="AA79" s="477" t="s">
        <v>171</v>
      </c>
      <c r="AB79" s="2381"/>
      <c r="AC79" s="2382"/>
      <c r="AD79" s="2382"/>
      <c r="AE79" s="2382"/>
      <c r="AF79" s="2382"/>
      <c r="AG79" s="2383"/>
      <c r="AH79" s="2383"/>
      <c r="AI79" s="2384"/>
      <c r="AJ79" s="679"/>
      <c r="AK79" s="1659"/>
      <c r="AL79" s="1125"/>
      <c r="AM79" s="1125"/>
      <c r="AN79" s="1125"/>
      <c r="AO79" s="1126"/>
      <c r="AP79" s="1126"/>
      <c r="AQ79" s="1506"/>
      <c r="AR79" s="1506"/>
      <c r="AS79" s="1752"/>
      <c r="AT79" s="1752"/>
      <c r="AU79" s="1752"/>
      <c r="AV79" s="1752"/>
      <c r="AW79" s="1752"/>
      <c r="AX79" s="1752"/>
      <c r="AY79" s="1752"/>
      <c r="AZ79" s="1752"/>
      <c r="BA79" s="1752"/>
      <c r="BB79" s="1752"/>
      <c r="BC79" s="1752"/>
      <c r="BD79" s="1752"/>
      <c r="BE79" s="1752"/>
    </row>
    <row customHeight="1" ht="14.625">
      <c r="E80" s="180">
        <v>15</v>
      </c>
      <c r="W80" s="176" t="s">
        <v>1167</v>
      </c>
      <c r="AB80" s="1599" t="s">
        <v>766</v>
      </c>
      <c r="AC80" s="1600"/>
      <c r="AD80" s="479"/>
      <c r="AE80" s="480"/>
      <c r="AF80" s="480"/>
      <c r="AG80" s="480"/>
      <c r="AH80" s="480"/>
      <c r="AI80" s="482"/>
      <c r="AJ80" s="679"/>
    </row>
    <row customHeight="1" ht="11.25">
      <c r="AA81" s="679"/>
      <c r="AB81" s="678"/>
      <c r="AC81" s="681"/>
      <c r="AD81" s="678"/>
      <c r="AE81" s="679"/>
      <c r="AF81" s="679"/>
      <c r="AG81" s="679"/>
      <c r="AH81" s="679"/>
      <c r="AI81" s="679"/>
      <c r="AJ81" s="679"/>
    </row>
  </sheetData>
  <sheetProtection formatColumns="0" formatRows="0" insertRows="0" deleteColumns="0" deleteRows="0" sort="0" autoFilter="0" insertColumns="1"/>
  <mergeCells count="15">
    <mergeCell ref="AB80:AC80"/>
    <mergeCell ref="AB22:AI22"/>
    <mergeCell ref="AB24:AB25"/>
    <mergeCell ref="AC24:AC25"/>
    <mergeCell ref="AD24:AD25"/>
    <mergeCell ref="AG24:AG25"/>
    <mergeCell ref="AH24:AH25"/>
    <mergeCell ref="AI24:AI25"/>
    <mergeCell ref="X27:X50"/>
    <mergeCell ref="Z27:Z50"/>
    <mergeCell ref="AB77:AI77"/>
    <mergeCell ref="AB78:AI78"/>
    <mergeCell ref="AB79:AI79"/>
    <mergeCell ref="X51:X74"/>
    <mergeCell ref="Z51:Z74"/>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67D133-DC78-8B08-B958-56ECFD24E5C8}" mc:Ignorable="x14ac xr xr2 xr3">
  <sheetPr>
    <tabColor rgb="FF92D050"/>
    <outlinePr summaryRight="0" summaryBelow="0"/>
    <pageSetUpPr fitToPage="1"/>
  </sheetPr>
  <dimension ref="A1:CP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371" width="3.57421875" hidden="1" customWidth="1"/>
    <col min="2" max="2" style="1548" width="3.140625" hidden="1" customWidth="1"/>
    <col min="3" max="4" style="1659" width="3.57421875" hidden="1" customWidth="1"/>
    <col min="5" max="5" style="1718" width="3.8515625" hidden="1" customWidth="1"/>
    <col min="6" max="6" style="1659" width="6.421875" hidden="1" customWidth="1"/>
    <col min="7" max="11" style="1659" width="6.57421875" hidden="1" customWidth="1"/>
    <col min="12" max="19" style="1659" width="3.57421875" hidden="1" customWidth="1"/>
    <col min="20" max="20" style="1548" width="8.281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277" width="8.00390625" customWidth="1"/>
    <col min="29" max="29" style="285" width="70.00390625" customWidth="1"/>
    <col min="30" max="30" style="277" width="14.00390625" customWidth="1"/>
    <col min="31" max="33" style="286" width="13.00390625" customWidth="1"/>
    <col min="34" max="50" style="286" width="13.00390625" hidden="1" customWidth="1"/>
    <col min="51" max="53" style="286" width="13.00390625" customWidth="1"/>
    <col min="54" max="70" style="286" width="13.00390625" hidden="1" customWidth="1"/>
    <col min="71" max="71" style="286" width="19.00390625" customWidth="1"/>
    <col min="72" max="72" style="286" width="17.00390625" customWidth="1"/>
    <col min="73" max="73" style="286" width="31.00390625" customWidth="1"/>
    <col min="74" max="74" style="286" width="3.00390625" customWidth="1"/>
    <col min="75" max="75" style="1659" width="9.140625" hidden="1"/>
    <col min="76" max="78" style="1125" width="9.140625" hidden="1"/>
    <col min="79" max="80" style="1126" width="9.140625" hidden="1"/>
    <col min="81" max="82" style="1506" width="9.140625" hidden="1"/>
    <col min="83" max="94" width="9.140625" hidden="1"/>
  </cols>
  <sheetData>
    <row s="1548" customFormat="1" customHeight="1" ht="11.25" hidden="1">
      <c r="A1" s="371"/>
      <c r="F1" s="753" t="s">
        <v>84</v>
      </c>
      <c r="T1" s="753" t="s">
        <v>85</v>
      </c>
      <c r="U1" s="753" t="s">
        <v>91</v>
      </c>
      <c r="V1" s="753" t="s">
        <v>86</v>
      </c>
      <c r="W1" s="753" t="s">
        <v>87</v>
      </c>
      <c r="X1" s="753" t="s">
        <v>88</v>
      </c>
      <c r="Y1" s="753" t="s">
        <v>89</v>
      </c>
      <c r="Z1" s="753" t="s">
        <v>93</v>
      </c>
      <c r="AA1" s="753" t="s">
        <v>90</v>
      </c>
      <c r="AB1" s="753" t="s">
        <v>92</v>
      </c>
      <c r="AC1" s="753" t="s">
        <v>92</v>
      </c>
      <c r="AE1" s="1548"/>
      <c r="AF1" s="1548"/>
      <c r="AG1" s="1548"/>
      <c r="AH1" s="1548"/>
      <c r="AI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X1" s="997" t="s">
        <v>336</v>
      </c>
      <c r="BY1" s="997" t="s">
        <v>337</v>
      </c>
      <c r="BZ1" s="997" t="s">
        <v>338</v>
      </c>
      <c r="CA1" s="998" t="s">
        <v>341</v>
      </c>
      <c r="CB1" s="998" t="s">
        <v>342</v>
      </c>
      <c r="CE1" s="0" t="s">
        <v>94</v>
      </c>
      <c r="CF1" s="0" t="s">
        <v>2339</v>
      </c>
      <c r="CG1" s="0" t="s">
        <v>2340</v>
      </c>
      <c r="CH1" s="0" t="s">
        <v>594</v>
      </c>
      <c r="CI1" s="0" t="s">
        <v>794</v>
      </c>
      <c r="CJ1" s="0" t="s">
        <v>789</v>
      </c>
      <c r="CK1" s="0" t="s">
        <v>595</v>
      </c>
      <c r="CL1" s="0" t="s">
        <v>110</v>
      </c>
      <c r="CM1" s="0" t="s">
        <v>111</v>
      </c>
      <c r="CN1" s="0" t="s">
        <v>112</v>
      </c>
      <c r="CO1" s="0" t="s">
        <v>113</v>
      </c>
      <c r="CP1" s="0" t="s">
        <v>114</v>
      </c>
    </row>
    <row s="1548" customFormat="1" customHeight="1" ht="11.25" hidden="1">
      <c r="A2" s="371"/>
      <c r="B2" s="179" t="s">
        <v>16</v>
      </c>
      <c r="C2" s="193"/>
      <c r="D2" s="193"/>
      <c r="F2" s="193"/>
      <c r="G2" s="193"/>
      <c r="H2" s="193"/>
      <c r="I2" s="193"/>
      <c r="J2" s="193"/>
      <c r="K2" s="193"/>
      <c r="L2" s="193"/>
      <c r="M2" s="193"/>
      <c r="N2" s="193"/>
      <c r="O2" s="193"/>
      <c r="P2" s="193"/>
      <c r="Q2" s="193"/>
      <c r="R2" s="193"/>
      <c r="S2" s="193"/>
      <c r="AC2" s="176"/>
      <c r="AE2" s="179">
        <f>AND(AE9&lt;=last_year_vis,isOrgDeclare)</f>
        <v>1</v>
      </c>
      <c r="AF2" s="179">
        <f>AND(AF9&lt;=last_year_vis,isOrgDeclare)</f>
        <v>1</v>
      </c>
      <c r="AG2" s="179">
        <f>AND(AG9&lt;=last_year_vis,isOrgDeclare)</f>
        <v>1</v>
      </c>
      <c r="AH2" s="179">
        <f>AND(AH9&lt;=last_year_vis,isOrgDeclare)</f>
        <v>0</v>
      </c>
      <c r="AI2" s="179">
        <f>AND(AI9&lt;=last_year_vis,isOrgDeclare)</f>
        <v>0</v>
      </c>
      <c r="AJ2" s="179">
        <f>AND(AJ9&lt;=last_year_vis,isOrgDeclare)</f>
        <v>0</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AY9&lt;=last_year_vis</f>
        <v>1</v>
      </c>
      <c r="AZ2" s="179">
        <f>AZ9&lt;=last_year_vis</f>
        <v>1</v>
      </c>
      <c r="BA2" s="179">
        <f>BA9&lt;=last_year_vis</f>
        <v>1</v>
      </c>
      <c r="BB2" s="179">
        <f>BB9&lt;=last_year_vis</f>
        <v>0</v>
      </c>
      <c r="BC2" s="179">
        <f>BC9&lt;=last_year_vis</f>
        <v>0</v>
      </c>
      <c r="BD2" s="179">
        <f>BD9&lt;=last_year_vis</f>
        <v>0</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X2" s="489"/>
      <c r="BY2" s="489"/>
      <c r="BZ2" s="489"/>
      <c r="CA2" s="546"/>
      <c r="CB2" s="546"/>
      <c r="CE2" s="0"/>
      <c r="CF2" s="0"/>
      <c r="CG2" s="0"/>
      <c r="CH2" s="0"/>
      <c r="CI2" s="0"/>
      <c r="CJ2" s="0"/>
      <c r="CK2" s="0"/>
      <c r="CL2" s="0"/>
      <c r="CM2" s="0"/>
      <c r="CN2" s="0"/>
      <c r="CO2" s="0"/>
      <c r="CP2" s="0"/>
    </row>
    <row s="1548" customFormat="1" customHeight="1" ht="11.25" hidden="1">
      <c r="A3" s="371"/>
      <c r="C3" s="193"/>
      <c r="D3" s="193"/>
      <c r="F3" s="193"/>
      <c r="G3" s="193"/>
      <c r="H3" s="193"/>
      <c r="I3" s="193"/>
      <c r="J3" s="193"/>
      <c r="K3" s="193"/>
      <c r="L3" s="193"/>
      <c r="M3" s="193"/>
      <c r="N3" s="193"/>
      <c r="O3" s="193"/>
      <c r="P3" s="193"/>
      <c r="Q3" s="193"/>
      <c r="R3" s="193"/>
      <c r="S3" s="193"/>
      <c r="AC3" s="176"/>
      <c r="AE3" s="1548"/>
      <c r="AF3" s="1548"/>
      <c r="AG3" s="1548"/>
      <c r="AH3" s="1548"/>
      <c r="AI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X3" s="489"/>
      <c r="BY3" s="489"/>
      <c r="BZ3" s="489"/>
      <c r="CA3" s="546"/>
      <c r="CB3" s="546"/>
      <c r="CE3" s="0"/>
      <c r="CF3" s="0"/>
      <c r="CG3" s="0"/>
      <c r="CH3" s="0"/>
      <c r="CI3" s="0"/>
      <c r="CJ3" s="0"/>
      <c r="CK3" s="0"/>
      <c r="CL3" s="0"/>
      <c r="CM3" s="0"/>
      <c r="CN3" s="0"/>
      <c r="CO3" s="0"/>
      <c r="CP3" s="0"/>
    </row>
    <row s="1548" customFormat="1" customHeight="1" ht="11.25" hidden="1">
      <c r="A4" s="371"/>
      <c r="C4" s="193"/>
      <c r="D4" s="193"/>
      <c r="F4" s="193"/>
      <c r="G4" s="193"/>
      <c r="H4" s="193"/>
      <c r="I4" s="193"/>
      <c r="J4" s="193"/>
      <c r="K4" s="193"/>
      <c r="L4" s="193"/>
      <c r="M4" s="193"/>
      <c r="N4" s="193"/>
      <c r="O4" s="193"/>
      <c r="P4" s="193"/>
      <c r="Q4" s="193"/>
      <c r="R4" s="193"/>
      <c r="S4" s="193"/>
      <c r="AC4" s="176"/>
      <c r="AE4" s="1548"/>
      <c r="AF4" s="1548"/>
      <c r="AG4" s="1548"/>
      <c r="AH4" s="1548"/>
      <c r="AI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X4" s="489"/>
      <c r="BY4" s="489"/>
      <c r="BZ4" s="489"/>
      <c r="CA4" s="546"/>
      <c r="CB4" s="546"/>
      <c r="CE4" s="0"/>
      <c r="CF4" s="0"/>
      <c r="CG4" s="0"/>
      <c r="CH4" s="0"/>
      <c r="CI4" s="0"/>
      <c r="CJ4" s="0"/>
      <c r="CK4" s="0"/>
      <c r="CL4" s="0"/>
      <c r="CM4" s="0"/>
      <c r="CN4" s="0"/>
      <c r="CO4" s="0"/>
      <c r="CP4" s="0"/>
    </row>
    <row s="1718" customFormat="1" customHeight="1" ht="11.25" hidden="1">
      <c r="A5" s="371"/>
      <c r="B5" s="175"/>
      <c r="C5" s="175"/>
      <c r="D5" s="175"/>
      <c r="E5" s="180" t="s">
        <v>17</v>
      </c>
      <c r="F5" s="194"/>
      <c r="G5" s="194"/>
      <c r="H5" s="194"/>
      <c r="I5" s="194"/>
      <c r="J5" s="194"/>
      <c r="K5" s="194"/>
      <c r="L5" s="194"/>
      <c r="M5" s="194"/>
      <c r="N5" s="194"/>
      <c r="O5" s="194"/>
      <c r="P5" s="194"/>
      <c r="Q5" s="194"/>
      <c r="R5" s="194"/>
      <c r="S5" s="194"/>
      <c r="AA5" s="180">
        <v>3</v>
      </c>
      <c r="AB5" s="180">
        <v>8</v>
      </c>
      <c r="AC5" s="284">
        <v>70</v>
      </c>
      <c r="AD5" s="180">
        <v>14</v>
      </c>
      <c r="AE5" s="180">
        <v>13</v>
      </c>
      <c r="AF5" s="180">
        <v>13</v>
      </c>
      <c r="AG5" s="180">
        <v>13</v>
      </c>
      <c r="AH5" s="180">
        <v>13</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19</v>
      </c>
      <c r="BT5" s="180">
        <v>17</v>
      </c>
      <c r="BU5" s="180">
        <v>31</v>
      </c>
      <c r="BV5" s="180">
        <v>3</v>
      </c>
      <c r="BX5" s="489"/>
      <c r="BY5" s="489"/>
      <c r="BZ5" s="489"/>
      <c r="CA5" s="546"/>
      <c r="CB5" s="546"/>
      <c r="CE5" s="1729"/>
      <c r="CF5" s="1729"/>
      <c r="CG5" s="1729"/>
      <c r="CH5" s="1729"/>
      <c r="CI5" s="1729"/>
      <c r="CJ5" s="1729"/>
      <c r="CK5" s="1729"/>
      <c r="CL5" s="1729"/>
      <c r="CM5" s="1729"/>
      <c r="CN5" s="1729"/>
      <c r="CO5" s="1729"/>
      <c r="CP5" s="1729"/>
    </row>
    <row s="1548" customFormat="1" customHeight="1" ht="11.25" hidden="1">
      <c r="A6" s="371"/>
      <c r="C6" s="193"/>
      <c r="D6" s="193"/>
      <c r="E6" s="180"/>
      <c r="F6" s="193"/>
      <c r="G6" s="193"/>
      <c r="H6" s="193"/>
      <c r="I6" s="193"/>
      <c r="J6" s="193"/>
      <c r="K6" s="193"/>
      <c r="L6" s="193"/>
      <c r="M6" s="193"/>
      <c r="N6" s="193"/>
      <c r="O6" s="193"/>
      <c r="P6" s="193"/>
      <c r="Q6" s="193"/>
      <c r="R6" s="193"/>
      <c r="S6" s="193"/>
      <c r="AC6" s="176"/>
      <c r="AE6" s="1548"/>
      <c r="AF6" s="1548"/>
      <c r="AG6" s="1548"/>
      <c r="AH6" s="1548"/>
      <c r="AI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X6" s="489"/>
      <c r="BY6" s="489"/>
      <c r="BZ6" s="489"/>
      <c r="CA6" s="546"/>
      <c r="CB6" s="546"/>
      <c r="CE6" s="0"/>
      <c r="CF6" s="0"/>
      <c r="CG6" s="0"/>
      <c r="CH6" s="0"/>
      <c r="CI6" s="0"/>
      <c r="CJ6" s="0"/>
      <c r="CK6" s="0"/>
      <c r="CL6" s="0"/>
      <c r="CM6" s="0"/>
      <c r="CN6" s="0"/>
      <c r="CO6" s="0"/>
      <c r="CP6" s="0"/>
    </row>
    <row customHeight="1" ht="11.25" hidden="1">
      <c r="T7" s="193"/>
      <c r="U7" s="193"/>
      <c r="V7" s="193"/>
      <c r="W7" s="193"/>
      <c r="X7" s="193"/>
      <c r="Y7" s="193"/>
      <c r="Z7" s="193"/>
      <c r="AA7" s="193"/>
      <c r="AB7" s="193"/>
      <c r="AC7" s="308"/>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row>
    <row customHeight="1" ht="11.25" hidden="1">
      <c r="T8" s="193"/>
      <c r="U8" s="193"/>
      <c r="V8" s="193"/>
      <c r="W8" s="193"/>
      <c r="X8" s="193"/>
      <c r="Y8" s="193"/>
      <c r="Z8" s="193"/>
      <c r="AA8" s="193"/>
      <c r="AB8" s="193"/>
      <c r="AC8" s="308"/>
      <c r="AD8" s="193"/>
      <c r="AE8" s="193" t="str">
        <f>AE9&amp;AE10</f>
        <v>2025Предложение организации</v>
      </c>
      <c r="AF8" s="193" t="str">
        <f>AF9&amp;AF10</f>
        <v>2026Предложение организации</v>
      </c>
      <c r="AG8" s="193" t="str">
        <f>AG9&amp;AG10</f>
        <v>2027Предложение организации</v>
      </c>
      <c r="AH8" s="193" t="str">
        <f>AH9&amp;AH10</f>
        <v>2028Предложение организации</v>
      </c>
      <c r="AI8" s="193" t="str">
        <f>AI9&amp;AI10</f>
        <v>2029Предложение организации</v>
      </c>
      <c r="AJ8" s="193" t="str">
        <f>AJ9&amp;AJ10</f>
        <v>2030Предложение организации</v>
      </c>
      <c r="AK8" s="193" t="str">
        <f>AK9&amp;AK10</f>
        <v>2031Предложение организации</v>
      </c>
      <c r="AL8" s="193" t="str">
        <f>AL9&amp;AL10</f>
        <v>2032Предложение организации</v>
      </c>
      <c r="AM8" s="193" t="str">
        <f>AM9&amp;AM10</f>
        <v>2033Предложение организации</v>
      </c>
      <c r="AN8" s="193" t="str">
        <f>AN9&amp;AN10</f>
        <v>2034Предложение организации</v>
      </c>
      <c r="AO8" s="193" t="str">
        <f>AO9&amp;AO10</f>
        <v>2035Предложение организации</v>
      </c>
      <c r="AP8" s="193" t="str">
        <f>AP9&amp;AP10</f>
        <v>2036Предложение организации</v>
      </c>
      <c r="AQ8" s="193" t="str">
        <f>AQ9&amp;AQ10</f>
        <v>2037Предложение организации</v>
      </c>
      <c r="AR8" s="193" t="str">
        <f>AR9&amp;AR10</f>
        <v>2038Предложение организации</v>
      </c>
      <c r="AS8" s="193" t="str">
        <f>AS9&amp;AS10</f>
        <v>2039Предложение организации</v>
      </c>
      <c r="AT8" s="193" t="str">
        <f>AT9&amp;AT10</f>
        <v>2040Предложение организации</v>
      </c>
      <c r="AU8" s="193" t="str">
        <f>AU9&amp;AU10</f>
        <v>2041Предложение организации</v>
      </c>
      <c r="AV8" s="193" t="str">
        <f>AV9&amp;AV10</f>
        <v>2042Предложение организации</v>
      </c>
      <c r="AW8" s="193" t="str">
        <f>AW9&amp;AW10</f>
        <v>2043Предложение организации</v>
      </c>
      <c r="AX8" s="193" t="str">
        <f>AX9&amp;AX10</f>
        <v>2044Предложение организации</v>
      </c>
      <c r="AY8" s="193" t="str">
        <f>AY9&amp;AY10</f>
        <v>2025Принято органом регулирования</v>
      </c>
      <c r="AZ8" s="193" t="str">
        <f>AZ9&amp;AZ10</f>
        <v>2026Принято органом регулирования</v>
      </c>
      <c r="BA8" s="193" t="str">
        <f>BA9&amp;BA10</f>
        <v>2027Принято органом регулирования</v>
      </c>
      <c r="BB8" s="193" t="str">
        <f>BB9&amp;BB10</f>
        <v>2028Принято органом регулирования</v>
      </c>
      <c r="BC8" s="193" t="str">
        <f>BC9&amp;BC10</f>
        <v>2029Принято органом регулирования</v>
      </c>
      <c r="BD8" s="193" t="str">
        <f>BD9&amp;BD10</f>
        <v>2030Принято органом регулирования</v>
      </c>
      <c r="BE8" s="193" t="str">
        <f>BE9&amp;BE10</f>
        <v>2031Принято органом регулирования</v>
      </c>
      <c r="BF8" s="193" t="str">
        <f>BF9&amp;BF10</f>
        <v>2032Принято органом регулирования</v>
      </c>
      <c r="BG8" s="193" t="str">
        <f>BG9&amp;BG10</f>
        <v>2033Принято органом регулирования</v>
      </c>
      <c r="BH8" s="193" t="str">
        <f>BH9&amp;BH10</f>
        <v>2034Принято органом регулирования</v>
      </c>
      <c r="BI8" s="193" t="str">
        <f>BI9&amp;BI10</f>
        <v>2035Принято органом регулирования</v>
      </c>
      <c r="BJ8" s="193" t="str">
        <f>BJ9&amp;BJ10</f>
        <v>2036Принято органом регулирования</v>
      </c>
      <c r="BK8" s="193" t="str">
        <f>BK9&amp;BK10</f>
        <v>2037Принято органом регулирования</v>
      </c>
      <c r="BL8" s="193" t="str">
        <f>BL9&amp;BL10</f>
        <v>2038Принято органом регулирования</v>
      </c>
      <c r="BM8" s="193" t="str">
        <f>BM9&amp;BM10</f>
        <v>2039Принято органом регулирования</v>
      </c>
      <c r="BN8" s="193" t="str">
        <f>BN9&amp;BN10</f>
        <v>2040Принято органом регулирования</v>
      </c>
      <c r="BO8" s="193" t="str">
        <f>BO9&amp;BO10</f>
        <v>2041Принято органом регулирования</v>
      </c>
      <c r="BP8" s="193" t="str">
        <f>BP9&amp;BP10</f>
        <v>2042Принято органом регулирования</v>
      </c>
      <c r="BQ8" s="193" t="str">
        <f>BQ9&amp;BQ10</f>
        <v>2043Принято органом регулирования</v>
      </c>
      <c r="BR8" s="193" t="str">
        <f>BR9&amp;BR10</f>
        <v>2044Принято органом регулирования</v>
      </c>
      <c r="BS8" s="193"/>
      <c r="BT8" s="193"/>
      <c r="BU8" s="193"/>
      <c r="BV8" s="193"/>
    </row>
    <row s="1143" customFormat="1" customHeight="1" ht="11.25" hidden="1">
      <c r="A9" s="309" t="s">
        <v>403</v>
      </c>
      <c r="C9" s="483"/>
      <c r="D9" s="483"/>
      <c r="F9" s="483"/>
      <c r="G9" s="483"/>
      <c r="H9" s="483"/>
      <c r="I9" s="483"/>
      <c r="J9" s="483"/>
      <c r="K9" s="483"/>
      <c r="L9" s="483"/>
      <c r="M9" s="483"/>
      <c r="N9" s="483"/>
      <c r="O9" s="483"/>
      <c r="P9" s="483"/>
      <c r="Q9" s="483"/>
      <c r="R9" s="483"/>
      <c r="S9" s="483"/>
      <c r="AE9" s="312" cm="1" t="str">
        <f t="array" ref="AE9:AE9">first_year</f>
        <v>2025</v>
      </c>
      <c r="AF9" s="312">
        <f>AE9+1</f>
        <v>2026</v>
      </c>
      <c r="AG9" s="312">
        <f>AF9+1</f>
        <v>2027</v>
      </c>
      <c r="AH9" s="312">
        <f>AG9+1</f>
        <v>2028</v>
      </c>
      <c r="AI9" s="312">
        <f>AH9+1</f>
        <v>2029</v>
      </c>
      <c r="AJ9" s="312">
        <f>AI9+1</f>
        <v>2030</v>
      </c>
      <c r="AK9" s="312">
        <f>AJ9+1</f>
        <v>2031</v>
      </c>
      <c r="AL9" s="312">
        <f>AK9+1</f>
        <v>2032</v>
      </c>
      <c r="AM9" s="312">
        <f>AL9+1</f>
        <v>2033</v>
      </c>
      <c r="AN9" s="312">
        <f>AL9+2</f>
        <v>2034</v>
      </c>
      <c r="AO9" s="312">
        <f>AL9+3</f>
        <v>2035</v>
      </c>
      <c r="AP9" s="312">
        <f>AL9+4</f>
        <v>2036</v>
      </c>
      <c r="AQ9" s="312">
        <f>AL9+5</f>
        <v>2037</v>
      </c>
      <c r="AR9" s="312">
        <f>AL9+6</f>
        <v>2038</v>
      </c>
      <c r="AS9" s="312">
        <f>AL9+7</f>
        <v>2039</v>
      </c>
      <c r="AT9" s="312">
        <f>AL9+8</f>
        <v>2040</v>
      </c>
      <c r="AU9" s="312">
        <f>AL9+9</f>
        <v>2041</v>
      </c>
      <c r="AV9" s="312">
        <f>AL9+10</f>
        <v>2042</v>
      </c>
      <c r="AW9" s="312">
        <f>AL9+11</f>
        <v>2043</v>
      </c>
      <c r="AX9" s="312">
        <f>AL9+12</f>
        <v>2044</v>
      </c>
      <c r="AY9" s="312" cm="1" t="str">
        <f t="array" ref="AY9:AY9">first_year</f>
        <v>2025</v>
      </c>
      <c r="AZ9" s="312">
        <f>AY9+1</f>
        <v>2026</v>
      </c>
      <c r="BA9" s="312">
        <f>AZ9+1</f>
        <v>2027</v>
      </c>
      <c r="BB9" s="312">
        <f>BA9+1</f>
        <v>2028</v>
      </c>
      <c r="BC9" s="312">
        <f>BB9+1</f>
        <v>2029</v>
      </c>
      <c r="BD9" s="312">
        <f>BC9+1</f>
        <v>2030</v>
      </c>
      <c r="BE9" s="312">
        <f>BD9+1</f>
        <v>2031</v>
      </c>
      <c r="BF9" s="312">
        <f>BE9+1</f>
        <v>2032</v>
      </c>
      <c r="BG9" s="312">
        <f>BF9+1</f>
        <v>2033</v>
      </c>
      <c r="BH9" s="312">
        <f>BF9+2</f>
        <v>2034</v>
      </c>
      <c r="BI9" s="312">
        <f>BF9+3</f>
        <v>2035</v>
      </c>
      <c r="BJ9" s="312">
        <f>BF9+4</f>
        <v>2036</v>
      </c>
      <c r="BK9" s="312">
        <f>BF9+5</f>
        <v>2037</v>
      </c>
      <c r="BL9" s="312">
        <f>BF9+6</f>
        <v>2038</v>
      </c>
      <c r="BM9" s="312">
        <f>BF9+7</f>
        <v>2039</v>
      </c>
      <c r="BN9" s="312">
        <f>BF9+8</f>
        <v>2040</v>
      </c>
      <c r="BO9" s="312">
        <f>BF9+9</f>
        <v>2041</v>
      </c>
      <c r="BP9" s="312">
        <f>BF9+10</f>
        <v>2042</v>
      </c>
      <c r="BQ9" s="312">
        <f>BF9+11</f>
        <v>2043</v>
      </c>
      <c r="BR9" s="312">
        <f>BF9+12</f>
        <v>2044</v>
      </c>
      <c r="BX9" s="489"/>
      <c r="BY9" s="489"/>
      <c r="BZ9" s="489"/>
      <c r="CA9" s="546"/>
      <c r="CB9" s="546"/>
      <c r="CE9" s="1730"/>
      <c r="CF9" s="1730"/>
      <c r="CG9" s="1730"/>
      <c r="CH9" s="1730"/>
      <c r="CI9" s="1730"/>
      <c r="CJ9" s="1730"/>
      <c r="CK9" s="1730"/>
      <c r="CL9" s="1730"/>
      <c r="CM9" s="1730"/>
      <c r="CN9" s="1730"/>
      <c r="CO9" s="1730"/>
      <c r="CP9" s="1730"/>
    </row>
    <row s="1143" customFormat="1" customHeight="1" ht="11.25" hidden="1">
      <c r="A10" s="309" t="s">
        <v>404</v>
      </c>
      <c r="C10" s="483"/>
      <c r="D10" s="483"/>
      <c r="F10" s="483"/>
      <c r="G10" s="483"/>
      <c r="H10" s="483"/>
      <c r="I10" s="483"/>
      <c r="J10" s="483"/>
      <c r="K10" s="483"/>
      <c r="L10" s="483"/>
      <c r="M10" s="483"/>
      <c r="N10" s="483"/>
      <c r="O10" s="483"/>
      <c r="P10" s="483"/>
      <c r="Q10" s="483"/>
      <c r="R10" s="483"/>
      <c r="S10" s="483"/>
      <c r="AE10" s="312" cm="1" t="str">
        <f t="array" ref="AE10:AE10">AE25</f>
        <v>Предложение организации</v>
      </c>
      <c r="AF10" s="312" cm="1" t="str">
        <f t="array" ref="AF10:AF10">AF25</f>
        <v>Предложение организации</v>
      </c>
      <c r="AG10" s="312" cm="1" t="str">
        <f t="array" ref="AG10:AG10">AG25</f>
        <v>Предложение организации</v>
      </c>
      <c r="AH10" s="312" cm="1" t="str">
        <f t="array" ref="AH10:AH10">AH25</f>
        <v>Предложение организации</v>
      </c>
      <c r="AI10" s="312" cm="1" t="str">
        <f t="array" ref="AI10:AI10">AI25</f>
        <v>Предложение организации</v>
      </c>
      <c r="AJ10" s="312" cm="1" t="str">
        <f t="array" ref="AJ10:AJ10">AJ25</f>
        <v>Предложение организации</v>
      </c>
      <c r="AK10" s="312" cm="1" t="str">
        <f t="array" ref="AK10:AK10">AK25</f>
        <v>Предложение организации</v>
      </c>
      <c r="AL10" s="312" cm="1" t="str">
        <f t="array" ref="AL10:AL10">AL25</f>
        <v>Предложение организации</v>
      </c>
      <c r="AM10" s="312" cm="1" t="str">
        <f t="array" ref="AM10:AM10">AM25</f>
        <v>Предложение организации</v>
      </c>
      <c r="AN10" s="312" cm="1" t="str">
        <f t="array" ref="AN10:AN10">AN25</f>
        <v>Предложение организации</v>
      </c>
      <c r="AO10" s="312" cm="1" t="str">
        <f t="array" ref="AO10:AO10">AO25</f>
        <v>Предложение организации</v>
      </c>
      <c r="AP10" s="312" cm="1" t="str">
        <f t="array" ref="AP10:AP10">AP25</f>
        <v>Предложение организации</v>
      </c>
      <c r="AQ10" s="312" cm="1" t="str">
        <f t="array" ref="AQ10:AQ10">AQ25</f>
        <v>Предложение организации</v>
      </c>
      <c r="AR10" s="312" cm="1" t="str">
        <f t="array" ref="AR10:AR10">AR25</f>
        <v>Предложение организации</v>
      </c>
      <c r="AS10" s="312" cm="1" t="str">
        <f t="array" ref="AS10:AS10">AS25</f>
        <v>Предложение организации</v>
      </c>
      <c r="AT10" s="312" cm="1" t="str">
        <f t="array" ref="AT10:AT10">AT25</f>
        <v>Предложение организации</v>
      </c>
      <c r="AU10" s="312" cm="1" t="str">
        <f t="array" ref="AU10:AU10">AU25</f>
        <v>Предложение организации</v>
      </c>
      <c r="AV10" s="312" cm="1" t="str">
        <f t="array" ref="AV10:AV10">AV25</f>
        <v>Предложение организации</v>
      </c>
      <c r="AW10" s="312" cm="1" t="str">
        <f t="array" ref="AW10:AW10">AW25</f>
        <v>Предложение организации</v>
      </c>
      <c r="AX10" s="312" cm="1" t="str">
        <f t="array" ref="AX10:AX10">AX25</f>
        <v>Предложение организации</v>
      </c>
      <c r="AY10" s="312" cm="1" t="str">
        <f t="array" ref="AY10:AY10">AY25</f>
        <v>Принято органом регулирования</v>
      </c>
      <c r="AZ10" s="312" cm="1" t="str">
        <f t="array" ref="AZ10:AZ10">AZ25</f>
        <v>Принято органом регулирования</v>
      </c>
      <c r="BA10" s="312" cm="1" t="str">
        <f t="array" ref="BA10:BA10">BA25</f>
        <v>Принято органом регулирования</v>
      </c>
      <c r="BB10" s="312" cm="1" t="str">
        <f t="array" ref="BB10:BB10">BB25</f>
        <v>Принято органом регулирования</v>
      </c>
      <c r="BC10" s="312" cm="1" t="str">
        <f t="array" ref="BC10:BC10">BC25</f>
        <v>Принято органом регулирования</v>
      </c>
      <c r="BD10" s="312" cm="1" t="str">
        <f t="array" ref="BD10:BD10">BD25</f>
        <v>Принято органом регулирования</v>
      </c>
      <c r="BE10" s="312" cm="1" t="str">
        <f t="array" ref="BE10:BE10">BE25</f>
        <v>Принято органом регулирования</v>
      </c>
      <c r="BF10" s="312" cm="1" t="str">
        <f t="array" ref="BF10:BF10">BF25</f>
        <v>Принято органом регулирования</v>
      </c>
      <c r="BG10" s="312" cm="1" t="str">
        <f t="array" ref="BG10:BG10">BG25</f>
        <v>Принято органом регулирования</v>
      </c>
      <c r="BH10" s="312" cm="1" t="str">
        <f t="array" ref="BH10:BH10">BH25</f>
        <v>Принято органом регулирования</v>
      </c>
      <c r="BI10" s="312" cm="1" t="str">
        <f t="array" ref="BI10:BI10">BI25</f>
        <v>Принято органом регулирования</v>
      </c>
      <c r="BJ10" s="312" cm="1" t="str">
        <f t="array" ref="BJ10:BJ10">BJ25</f>
        <v>Принято органом регулирования</v>
      </c>
      <c r="BK10" s="312" cm="1" t="str">
        <f t="array" ref="BK10:BK10">BK25</f>
        <v>Принято органом регулирования</v>
      </c>
      <c r="BL10" s="312" cm="1" t="str">
        <f t="array" ref="BL10:BL10">BL25</f>
        <v>Принято органом регулирования</v>
      </c>
      <c r="BM10" s="312" cm="1" t="str">
        <f t="array" ref="BM10:BM10">BM25</f>
        <v>Принято органом регулирования</v>
      </c>
      <c r="BN10" s="312" cm="1" t="str">
        <f t="array" ref="BN10:BN10">BN25</f>
        <v>Принято органом регулирования</v>
      </c>
      <c r="BO10" s="312" cm="1" t="str">
        <f t="array" ref="BO10:BO10">BO25</f>
        <v>Принято органом регулирования</v>
      </c>
      <c r="BP10" s="312" cm="1" t="str">
        <f t="array" ref="BP10:BP10">BP25</f>
        <v>Принято органом регулирования</v>
      </c>
      <c r="BQ10" s="312" cm="1" t="str">
        <f t="array" ref="BQ10:BQ10">BQ25</f>
        <v>Принято органом регулирования</v>
      </c>
      <c r="BR10" s="312" cm="1" t="str">
        <f t="array" ref="BR10:BR10">BR25</f>
        <v>Принято органом регулирования</v>
      </c>
      <c r="BX10" s="489"/>
      <c r="BY10" s="489"/>
      <c r="BZ10" s="489"/>
      <c r="CA10" s="546"/>
      <c r="CB10" s="546"/>
      <c r="CE10" s="1730"/>
      <c r="CF10" s="1730"/>
      <c r="CG10" s="1730"/>
      <c r="CH10" s="1730"/>
      <c r="CI10" s="1730"/>
      <c r="CJ10" s="1730"/>
      <c r="CK10" s="1730"/>
      <c r="CL10" s="1730"/>
      <c r="CM10" s="1730"/>
      <c r="CN10" s="1730"/>
      <c r="CO10" s="1730"/>
      <c r="CP10" s="1730"/>
    </row>
    <row s="1143" customFormat="1" customHeight="1" ht="11.25" hidden="1">
      <c r="A11" s="309" t="s">
        <v>405</v>
      </c>
      <c r="C11" s="483"/>
      <c r="D11" s="483"/>
      <c r="F11" s="483"/>
      <c r="G11" s="483"/>
      <c r="H11" s="483"/>
      <c r="I11" s="483"/>
      <c r="J11" s="483"/>
      <c r="K11" s="483"/>
      <c r="L11" s="483"/>
      <c r="M11" s="483"/>
      <c r="N11" s="483"/>
      <c r="O11" s="483"/>
      <c r="P11" s="483"/>
      <c r="Q11" s="483"/>
      <c r="R11" s="483"/>
      <c r="S11" s="483"/>
      <c r="AC11" s="326"/>
      <c r="AE11" s="1143"/>
      <c r="AF11" s="1143"/>
      <c r="AG11" s="1143"/>
      <c r="AH11" s="1143"/>
      <c r="AI11" s="1143"/>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312" cm="1" t="str">
        <f t="array" ref="BS11:BS11">BS24</f>
        <v>Указание на подтверждающие документы / URL-ссылка на копии подтверждающих документов</v>
      </c>
      <c r="BT11" s="312" cm="1" t="str">
        <f t="array" ref="BT11:BT11">BT24</f>
        <v>Ссылка на правовую норму (основание для принятия показателя в расчет тарифа)</v>
      </c>
      <c r="BU11" s="312" cm="1" t="str">
        <f t="array" ref="BU11:BU11">BU24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X11" s="489"/>
      <c r="BY11" s="489"/>
      <c r="BZ11" s="489"/>
      <c r="CA11" s="546"/>
      <c r="CB11" s="546"/>
      <c r="CE11" s="1730"/>
      <c r="CF11" s="1730"/>
      <c r="CG11" s="1730"/>
      <c r="CH11" s="1730"/>
      <c r="CI11" s="1730"/>
      <c r="CJ11" s="1730"/>
      <c r="CK11" s="1730"/>
      <c r="CL11" s="1730"/>
      <c r="CM11" s="1730"/>
      <c r="CN11" s="1730"/>
      <c r="CO11" s="1730"/>
      <c r="CP11" s="1730"/>
    </row>
    <row s="1143" customFormat="1" customHeight="1" ht="11.25" hidden="1">
      <c r="A12" s="309" t="s">
        <v>350</v>
      </c>
      <c r="C12" s="483"/>
      <c r="D12" s="483"/>
      <c r="F12" s="483"/>
      <c r="G12" s="483"/>
      <c r="H12" s="483"/>
      <c r="I12" s="483"/>
      <c r="J12" s="483"/>
      <c r="K12" s="483"/>
      <c r="L12" s="483"/>
      <c r="M12" s="483"/>
      <c r="N12" s="483"/>
      <c r="O12" s="483"/>
      <c r="P12" s="483"/>
      <c r="Q12" s="483"/>
      <c r="R12" s="483"/>
      <c r="S12" s="483"/>
      <c r="AC12" s="326" t="s">
        <v>338</v>
      </c>
      <c r="AE12" s="1143"/>
      <c r="AF12" s="1143"/>
      <c r="AG12" s="1143"/>
      <c r="AH12" s="1143"/>
      <c r="AI12" s="1143"/>
      <c r="AJ12" s="1143"/>
      <c r="AK12" s="1143"/>
      <c r="AL12" s="1143"/>
      <c r="AM12" s="1143"/>
      <c r="AN12" s="1143"/>
      <c r="AO12" s="1143"/>
      <c r="AP12" s="1143"/>
      <c r="AQ12" s="1143"/>
      <c r="AR12" s="1143"/>
      <c r="AS12" s="1143"/>
      <c r="AT12" s="1143"/>
      <c r="AU12" s="1143"/>
      <c r="AV12" s="1143"/>
      <c r="AW12" s="1143"/>
      <c r="AX12" s="1143"/>
      <c r="AY12" s="1143"/>
      <c r="AZ12" s="1143"/>
      <c r="BA12" s="1143"/>
      <c r="BB12" s="1143"/>
      <c r="BC12" s="1143"/>
      <c r="BD12" s="1143"/>
      <c r="BE12" s="1143"/>
      <c r="BF12" s="1143"/>
      <c r="BG12" s="1143"/>
      <c r="BH12" s="1143"/>
      <c r="BI12" s="1143"/>
      <c r="BJ12" s="1143"/>
      <c r="BK12" s="1143"/>
      <c r="BL12" s="1143"/>
      <c r="BM12" s="1143"/>
      <c r="BN12" s="1143"/>
      <c r="BO12" s="1143"/>
      <c r="BP12" s="1143"/>
      <c r="BQ12" s="1143"/>
      <c r="BR12" s="1143"/>
      <c r="BX12" s="489"/>
      <c r="BY12" s="489"/>
      <c r="BZ12" s="489"/>
      <c r="CA12" s="546"/>
      <c r="CB12" s="546"/>
      <c r="CE12" s="1730"/>
      <c r="CF12" s="1730"/>
      <c r="CG12" s="1730"/>
      <c r="CH12" s="1730"/>
      <c r="CI12" s="1730"/>
      <c r="CJ12" s="1730"/>
      <c r="CK12" s="1730"/>
      <c r="CL12" s="1730"/>
      <c r="CM12" s="1730"/>
      <c r="CN12" s="1730"/>
      <c r="CO12" s="1730"/>
      <c r="CP12" s="1730"/>
    </row>
    <row customHeight="1" ht="11.25" hidden="1">
      <c r="A13" s="0" t="s">
        <v>109</v>
      </c>
      <c r="AE13" s="0" t="str">
        <f>"389.0."&amp;AE$9-2010&amp;"."</f>
        <v>389.0.15.</v>
      </c>
      <c r="AF13" s="0" t="str">
        <f>"389.0."&amp;AF$9-2010&amp;"."</f>
        <v>389.0.16.</v>
      </c>
      <c r="AG13" s="0" t="str">
        <f>"389.0."&amp;AG$9-2010&amp;"."</f>
        <v>389.0.17.</v>
      </c>
      <c r="AH13" s="0" t="str">
        <f>"389.0."&amp;AH$9-2010&amp;"."</f>
        <v>389.0.18.</v>
      </c>
      <c r="AI13" s="0" t="str">
        <f>"389.0."&amp;AI$9-2010&amp;"."</f>
        <v>389.0.19.</v>
      </c>
      <c r="AJ13" s="0" t="str">
        <f>"389.0."&amp;AJ$9-2010&amp;"."</f>
        <v>389.0.20.</v>
      </c>
      <c r="AK13" s="0" t="str">
        <f>"389.0."&amp;AK$9-2010&amp;"."</f>
        <v>389.0.21.</v>
      </c>
      <c r="AL13" s="0" t="str">
        <f>"389.0."&amp;AL$9-2010&amp;"."</f>
        <v>389.0.22.</v>
      </c>
      <c r="AM13" s="0" t="str">
        <f>"389.0."&amp;AM$9-2010&amp;"."</f>
        <v>389.0.23.</v>
      </c>
      <c r="AN13" s="0" t="str">
        <f>"389.0."&amp;AN$9-2010&amp;"."</f>
        <v>389.0.24.</v>
      </c>
      <c r="AO13" s="0" t="str">
        <f>"389.0."&amp;AO$9-2010&amp;"."</f>
        <v>389.0.25.</v>
      </c>
      <c r="AP13" s="0" t="str">
        <f>"389.0."&amp;AP$9-2010&amp;"."</f>
        <v>389.0.26.</v>
      </c>
      <c r="AQ13" s="0" t="str">
        <f>"389.0."&amp;AQ$9-2010&amp;"."</f>
        <v>389.0.27.</v>
      </c>
      <c r="AR13" s="0" t="str">
        <f>"389.0."&amp;AR$9-2010&amp;"."</f>
        <v>389.0.28.</v>
      </c>
      <c r="AS13" s="0" t="str">
        <f>"389.0."&amp;AS$9-2010&amp;"."</f>
        <v>389.0.29.</v>
      </c>
      <c r="AT13" s="0" t="str">
        <f>"389.0."&amp;AT$9-2010&amp;"."</f>
        <v>389.0.30.</v>
      </c>
      <c r="AU13" s="0" t="str">
        <f>"389.0."&amp;AU$9-2010&amp;"."</f>
        <v>389.0.31.</v>
      </c>
      <c r="AV13" s="0" t="str">
        <f>"389.0."&amp;AV$9-2010&amp;"."</f>
        <v>389.0.32.</v>
      </c>
      <c r="AW13" s="0" t="str">
        <f>"389.0."&amp;AW$9-2010&amp;"."</f>
        <v>389.0.33.</v>
      </c>
      <c r="AX13" s="0" t="str">
        <f>"389.0."&amp;AX$9-2010&amp;"."</f>
        <v>389.0.34.</v>
      </c>
      <c r="AY13" s="0" t="str">
        <f>"389.0."&amp;AY$9-2010&amp;"."</f>
        <v>389.0.15.</v>
      </c>
      <c r="AZ13" s="0" t="str">
        <f>"389.0."&amp;AZ$9-2010&amp;"."</f>
        <v>389.0.16.</v>
      </c>
      <c r="BA13" s="0" t="str">
        <f>"389.0."&amp;BA$9-2010&amp;"."</f>
        <v>389.0.17.</v>
      </c>
      <c r="BB13" s="0" t="str">
        <f>"389.0."&amp;BB$9-2010&amp;"."</f>
        <v>389.0.18.</v>
      </c>
      <c r="BC13" s="0" t="str">
        <f>"389.0."&amp;BC$9-2010&amp;"."</f>
        <v>389.0.19.</v>
      </c>
      <c r="BD13" s="0" t="str">
        <f>"389.0."&amp;BD$9-2010&amp;"."</f>
        <v>389.0.20.</v>
      </c>
      <c r="BE13" s="0" t="str">
        <f>"389.0."&amp;BE$9-2010&amp;"."</f>
        <v>389.0.21.</v>
      </c>
      <c r="BF13" s="0" t="str">
        <f>"389.0."&amp;BF$9-2010&amp;"."</f>
        <v>389.0.22.</v>
      </c>
      <c r="BG13" s="0" t="str">
        <f>"389.0."&amp;BG$9-2010&amp;"."</f>
        <v>389.0.23.</v>
      </c>
      <c r="BH13" s="0" t="str">
        <f>"389.0."&amp;BH$9-2010&amp;"."</f>
        <v>389.0.24.</v>
      </c>
      <c r="BI13" s="0" t="str">
        <f>"389.0."&amp;BI$9-2010&amp;"."</f>
        <v>389.0.25.</v>
      </c>
      <c r="BJ13" s="0" t="str">
        <f>"389.0."&amp;BJ$9-2010&amp;"."</f>
        <v>389.0.26.</v>
      </c>
      <c r="BK13" s="0" t="str">
        <f>"389.0."&amp;BK$9-2010&amp;"."</f>
        <v>389.0.27.</v>
      </c>
      <c r="BL13" s="0" t="str">
        <f>"389.0."&amp;BL$9-2010&amp;"."</f>
        <v>389.0.28.</v>
      </c>
      <c r="BM13" s="0" t="str">
        <f>"389.0."&amp;BM$9-2010&amp;"."</f>
        <v>389.0.29.</v>
      </c>
      <c r="BN13" s="0" t="str">
        <f>"389.0."&amp;BN$9-2010&amp;"."</f>
        <v>389.0.30.</v>
      </c>
      <c r="BO13" s="0" t="str">
        <f>"389.0."&amp;BO$9-2010&amp;"."</f>
        <v>389.0.31.</v>
      </c>
      <c r="BP13" s="0" t="str">
        <f>"389.0."&amp;BP$9-2010&amp;"."</f>
        <v>389.0.32.</v>
      </c>
      <c r="BQ13" s="0" t="str">
        <f>"389.0."&amp;BQ$9-2010&amp;"."</f>
        <v>389.0.33.</v>
      </c>
      <c r="BR13" s="0" t="str">
        <f>"389.0."&amp;BR$9-2010&amp;"."</f>
        <v>389.0.34.</v>
      </c>
    </row>
    <row customHeight="1" ht="11.25" hidden="1">
      <c r="A14" s="0" t="s">
        <v>406</v>
      </c>
      <c r="AE14" s="0" cm="1" t="str">
        <f t="array" ref="AE14:AE14">IF($A14="uni_org_reg_NAME",INDEX(org_reg_values,MATCH(AE$10,org_reg_codes,0),1),IF($A14="uni_pf_NAME",INDEX(pf_codes_values,MATCH(AE$10,pf_codes,0),1),""))</f>
        <v>328.0.1.</v>
      </c>
      <c r="AF14" s="0" cm="1" t="str">
        <f t="array" ref="AF14:AF14">IF($A14="uni_org_reg_NAME",INDEX(org_reg_values,MATCH(AF$10,org_reg_codes,0),1),IF($A14="uni_pf_NAME",INDEX(pf_codes_values,MATCH(AF$10,pf_codes,0),1),""))</f>
        <v>328.0.1.</v>
      </c>
      <c r="AG14" s="0" cm="1" t="str">
        <f t="array" ref="AG14:AG14">IF($A14="uni_org_reg_NAME",INDEX(org_reg_values,MATCH(AG$10,org_reg_codes,0),1),IF($A14="uni_pf_NAME",INDEX(pf_codes_values,MATCH(AG$10,pf_codes,0),1),""))</f>
        <v>328.0.1.</v>
      </c>
      <c r="AH14" s="0" cm="1" t="str">
        <f t="array" ref="AH14:AH14">IF($A14="uni_org_reg_NAME",INDEX(org_reg_values,MATCH(AH$10,org_reg_codes,0),1),IF($A14="uni_pf_NAME",INDEX(pf_codes_values,MATCH(AH$10,pf_codes,0),1),""))</f>
        <v>328.0.1.</v>
      </c>
      <c r="AI14" s="0" cm="1" t="str">
        <f t="array" ref="AI14:AI14">IF($A14="uni_org_reg_NAME",INDEX(org_reg_values,MATCH(AI$10,org_reg_codes,0),1),IF($A14="uni_pf_NAME",INDEX(pf_codes_values,MATCH(AI$10,pf_codes,0),1),""))</f>
        <v>328.0.1.</v>
      </c>
      <c r="AJ14" s="0" cm="1" t="str">
        <f t="array" ref="AJ14:AJ14">IF($A14="uni_org_reg_NAME",INDEX(org_reg_values,MATCH(AJ$10,org_reg_codes,0),1),IF($A14="uni_pf_NAME",INDEX(pf_codes_values,MATCH(AJ$10,pf_codes,0),1),""))</f>
        <v>328.0.1.</v>
      </c>
      <c r="AK14" s="0" cm="1" t="str">
        <f t="array" ref="AK14:AK14">IF($A14="uni_org_reg_NAME",INDEX(org_reg_values,MATCH(AK$10,org_reg_codes,0),1),IF($A14="uni_pf_NAME",INDEX(pf_codes_values,MATCH(AK$10,pf_codes,0),1),""))</f>
        <v>328.0.1.</v>
      </c>
      <c r="AL14" s="0" cm="1" t="str">
        <f t="array" ref="AL14:AL14">IF($A14="uni_org_reg_NAME",INDEX(org_reg_values,MATCH(AL$10,org_reg_codes,0),1),IF($A14="uni_pf_NAME",INDEX(pf_codes_values,MATCH(AL$10,pf_codes,0),1),""))</f>
        <v>328.0.1.</v>
      </c>
      <c r="AM14" s="0" cm="1" t="str">
        <f t="array" ref="AM14:AM14">IF($A14="uni_org_reg_NAME",INDEX(org_reg_values,MATCH(AM$10,org_reg_codes,0),1),IF($A14="uni_pf_NAME",INDEX(pf_codes_values,MATCH(AM$10,pf_codes,0),1),""))</f>
        <v>328.0.1.</v>
      </c>
      <c r="AN14" s="0" cm="1" t="str">
        <f t="array" ref="AN14:AN14">IF($A14="uni_org_reg_NAME",INDEX(org_reg_values,MATCH(AN$10,org_reg_codes,0),1),IF($A14="uni_pf_NAME",INDEX(pf_codes_values,MATCH(AN$10,pf_codes,0),1),""))</f>
        <v>328.0.1.</v>
      </c>
      <c r="AO14" s="0" cm="1" t="str">
        <f t="array" ref="AO14:AO14">IF($A14="uni_org_reg_NAME",INDEX(org_reg_values,MATCH(AO$10,org_reg_codes,0),1),IF($A14="uni_pf_NAME",INDEX(pf_codes_values,MATCH(AO$10,pf_codes,0),1),""))</f>
        <v>328.0.1.</v>
      </c>
      <c r="AP14" s="0" cm="1" t="str">
        <f t="array" ref="AP14:AP14">IF($A14="uni_org_reg_NAME",INDEX(org_reg_values,MATCH(AP$10,org_reg_codes,0),1),IF($A14="uni_pf_NAME",INDEX(pf_codes_values,MATCH(AP$10,pf_codes,0),1),""))</f>
        <v>328.0.1.</v>
      </c>
      <c r="AQ14" s="0" cm="1" t="str">
        <f t="array" ref="AQ14:AQ14">IF($A14="uni_org_reg_NAME",INDEX(org_reg_values,MATCH(AQ$10,org_reg_codes,0),1),IF($A14="uni_pf_NAME",INDEX(pf_codes_values,MATCH(AQ$10,pf_codes,0),1),""))</f>
        <v>328.0.1.</v>
      </c>
      <c r="AR14" s="0" cm="1" t="str">
        <f t="array" ref="AR14:AR14">IF($A14="uni_org_reg_NAME",INDEX(org_reg_values,MATCH(AR$10,org_reg_codes,0),1),IF($A14="uni_pf_NAME",INDEX(pf_codes_values,MATCH(AR$10,pf_codes,0),1),""))</f>
        <v>328.0.1.</v>
      </c>
      <c r="AS14" s="0" cm="1" t="str">
        <f t="array" ref="AS14:AS14">IF($A14="uni_org_reg_NAME",INDEX(org_reg_values,MATCH(AS$10,org_reg_codes,0),1),IF($A14="uni_pf_NAME",INDEX(pf_codes_values,MATCH(AS$10,pf_codes,0),1),""))</f>
        <v>328.0.1.</v>
      </c>
      <c r="AT14" s="0" cm="1" t="str">
        <f t="array" ref="AT14:AT14">IF($A14="uni_org_reg_NAME",INDEX(org_reg_values,MATCH(AT$10,org_reg_codes,0),1),IF($A14="uni_pf_NAME",INDEX(pf_codes_values,MATCH(AT$10,pf_codes,0),1),""))</f>
        <v>328.0.1.</v>
      </c>
      <c r="AU14" s="0" cm="1" t="str">
        <f t="array" ref="AU14:AU14">IF($A14="uni_org_reg_NAME",INDEX(org_reg_values,MATCH(AU$10,org_reg_codes,0),1),IF($A14="uni_pf_NAME",INDEX(pf_codes_values,MATCH(AU$10,pf_codes,0),1),""))</f>
        <v>328.0.1.</v>
      </c>
      <c r="AV14" s="0" cm="1" t="str">
        <f t="array" ref="AV14:AV14">IF($A14="uni_org_reg_NAME",INDEX(org_reg_values,MATCH(AV$10,org_reg_codes,0),1),IF($A14="uni_pf_NAME",INDEX(pf_codes_values,MATCH(AV$10,pf_codes,0),1),""))</f>
        <v>328.0.1.</v>
      </c>
      <c r="AW14" s="0" cm="1" t="str">
        <f t="array" ref="AW14:AW14">IF($A14="uni_org_reg_NAME",INDEX(org_reg_values,MATCH(AW$10,org_reg_codes,0),1),IF($A14="uni_pf_NAME",INDEX(pf_codes_values,MATCH(AW$10,pf_codes,0),1),""))</f>
        <v>328.0.1.</v>
      </c>
      <c r="AX14" s="0" cm="1" t="str">
        <f t="array" ref="AX14:AX14">IF($A14="uni_org_reg_NAME",INDEX(org_reg_values,MATCH(AX$10,org_reg_codes,0),1),IF($A14="uni_pf_NAME",INDEX(pf_codes_values,MATCH(AX$10,pf_codes,0),1),""))</f>
        <v>328.0.1.</v>
      </c>
      <c r="AY14" s="0" cm="1" t="str">
        <f t="array" ref="AY14:AY14">IF($A14="uni_org_reg_NAME",INDEX(org_reg_values,MATCH(AY$10,org_reg_codes,0),1),IF($A14="uni_pf_NAME",INDEX(pf_codes_values,MATCH(AY$10,pf_codes,0),1),""))</f>
        <v>328.0.2.</v>
      </c>
      <c r="AZ14" s="0" cm="1" t="str">
        <f t="array" ref="AZ14:AZ14">IF($A14="uni_org_reg_NAME",INDEX(org_reg_values,MATCH(AZ$10,org_reg_codes,0),1),IF($A14="uni_pf_NAME",INDEX(pf_codes_values,MATCH(AZ$10,pf_codes,0),1),""))</f>
        <v>328.0.2.</v>
      </c>
      <c r="BA14" s="0" cm="1" t="str">
        <f t="array" ref="BA14:BA14">IF($A14="uni_org_reg_NAME",INDEX(org_reg_values,MATCH(BA$10,org_reg_codes,0),1),IF($A14="uni_pf_NAME",INDEX(pf_codes_values,MATCH(BA$10,pf_codes,0),1),""))</f>
        <v>328.0.2.</v>
      </c>
      <c r="BB14" s="0" cm="1" t="str">
        <f t="array" ref="BB14:BB14">IF($A14="uni_org_reg_NAME",INDEX(org_reg_values,MATCH(BB$10,org_reg_codes,0),1),IF($A14="uni_pf_NAME",INDEX(pf_codes_values,MATCH(BB$10,pf_codes,0),1),""))</f>
        <v>328.0.2.</v>
      </c>
      <c r="BC14" s="0" cm="1" t="str">
        <f t="array" ref="BC14:BC14">IF($A14="uni_org_reg_NAME",INDEX(org_reg_values,MATCH(BC$10,org_reg_codes,0),1),IF($A14="uni_pf_NAME",INDEX(pf_codes_values,MATCH(BC$10,pf_codes,0),1),""))</f>
        <v>328.0.2.</v>
      </c>
      <c r="BD14" s="0" cm="1" t="str">
        <f t="array" ref="BD14:BD14">IF($A14="uni_org_reg_NAME",INDEX(org_reg_values,MATCH(BD$10,org_reg_codes,0),1),IF($A14="uni_pf_NAME",INDEX(pf_codes_values,MATCH(BD$10,pf_codes,0),1),""))</f>
        <v>328.0.2.</v>
      </c>
      <c r="BE14" s="0" cm="1" t="str">
        <f t="array" ref="BE14:BE14">IF($A14="uni_org_reg_NAME",INDEX(org_reg_values,MATCH(BE$10,org_reg_codes,0),1),IF($A14="uni_pf_NAME",INDEX(pf_codes_values,MATCH(BE$10,pf_codes,0),1),""))</f>
        <v>328.0.2.</v>
      </c>
      <c r="BF14" s="0" cm="1" t="str">
        <f t="array" ref="BF14:BF14">IF($A14="uni_org_reg_NAME",INDEX(org_reg_values,MATCH(BF$10,org_reg_codes,0),1),IF($A14="uni_pf_NAME",INDEX(pf_codes_values,MATCH(BF$10,pf_codes,0),1),""))</f>
        <v>328.0.2.</v>
      </c>
      <c r="BG14" s="0" cm="1" t="str">
        <f t="array" ref="BG14:BG14">IF($A14="uni_org_reg_NAME",INDEX(org_reg_values,MATCH(BG$10,org_reg_codes,0),1),IF($A14="uni_pf_NAME",INDEX(pf_codes_values,MATCH(BG$10,pf_codes,0),1),""))</f>
        <v>328.0.2.</v>
      </c>
      <c r="BH14" s="0" cm="1" t="str">
        <f t="array" ref="BH14:BH14">IF($A14="uni_org_reg_NAME",INDEX(org_reg_values,MATCH(BH$10,org_reg_codes,0),1),IF($A14="uni_pf_NAME",INDEX(pf_codes_values,MATCH(BH$10,pf_codes,0),1),""))</f>
        <v>328.0.2.</v>
      </c>
      <c r="BI14" s="0" cm="1" t="str">
        <f t="array" ref="BI14:BI14">IF($A14="uni_org_reg_NAME",INDEX(org_reg_values,MATCH(BI$10,org_reg_codes,0),1),IF($A14="uni_pf_NAME",INDEX(pf_codes_values,MATCH(BI$10,pf_codes,0),1),""))</f>
        <v>328.0.2.</v>
      </c>
      <c r="BJ14" s="0" cm="1" t="str">
        <f t="array" ref="BJ14:BJ14">IF($A14="uni_org_reg_NAME",INDEX(org_reg_values,MATCH(BJ$10,org_reg_codes,0),1),IF($A14="uni_pf_NAME",INDEX(pf_codes_values,MATCH(BJ$10,pf_codes,0),1),""))</f>
        <v>328.0.2.</v>
      </c>
      <c r="BK14" s="0" cm="1" t="str">
        <f t="array" ref="BK14:BK14">IF($A14="uni_org_reg_NAME",INDEX(org_reg_values,MATCH(BK$10,org_reg_codes,0),1),IF($A14="uni_pf_NAME",INDEX(pf_codes_values,MATCH(BK$10,pf_codes,0),1),""))</f>
        <v>328.0.2.</v>
      </c>
      <c r="BL14" s="0" cm="1" t="str">
        <f t="array" ref="BL14:BL14">IF($A14="uni_org_reg_NAME",INDEX(org_reg_values,MATCH(BL$10,org_reg_codes,0),1),IF($A14="uni_pf_NAME",INDEX(pf_codes_values,MATCH(BL$10,pf_codes,0),1),""))</f>
        <v>328.0.2.</v>
      </c>
      <c r="BM14" s="0" cm="1" t="str">
        <f t="array" ref="BM14:BM14">IF($A14="uni_org_reg_NAME",INDEX(org_reg_values,MATCH(BM$10,org_reg_codes,0),1),IF($A14="uni_pf_NAME",INDEX(pf_codes_values,MATCH(BM$10,pf_codes,0),1),""))</f>
        <v>328.0.2.</v>
      </c>
      <c r="BN14" s="0" cm="1" t="str">
        <f t="array" ref="BN14:BN14">IF($A14="uni_org_reg_NAME",INDEX(org_reg_values,MATCH(BN$10,org_reg_codes,0),1),IF($A14="uni_pf_NAME",INDEX(pf_codes_values,MATCH(BN$10,pf_codes,0),1),""))</f>
        <v>328.0.2.</v>
      </c>
      <c r="BO14" s="0" cm="1" t="str">
        <f t="array" ref="BO14:BO14">IF($A14="uni_org_reg_NAME",INDEX(org_reg_values,MATCH(BO$10,org_reg_codes,0),1),IF($A14="uni_pf_NAME",INDEX(pf_codes_values,MATCH(BO$10,pf_codes,0),1),""))</f>
        <v>328.0.2.</v>
      </c>
      <c r="BP14" s="0" cm="1" t="str">
        <f t="array" ref="BP14:BP14">IF($A14="uni_org_reg_NAME",INDEX(org_reg_values,MATCH(BP$10,org_reg_codes,0),1),IF($A14="uni_pf_NAME",INDEX(pf_codes_values,MATCH(BP$10,pf_codes,0),1),""))</f>
        <v>328.0.2.</v>
      </c>
      <c r="BQ14" s="0" cm="1" t="str">
        <f t="array" ref="BQ14:BQ14">IF($A14="uni_org_reg_NAME",INDEX(org_reg_values,MATCH(BQ$10,org_reg_codes,0),1),IF($A14="uni_pf_NAME",INDEX(pf_codes_values,MATCH(BQ$10,pf_codes,0),1),""))</f>
        <v>328.0.2.</v>
      </c>
      <c r="BR14" s="0" cm="1" t="str">
        <f t="array" ref="BR14:BR14">IF($A14="uni_org_reg_NAME",INDEX(org_reg_values,MATCH(BR$10,org_reg_codes,0),1),IF($A14="uni_pf_NAME",INDEX(pf_codes_values,MATCH(BR$10,pf_codes,0),1),""))</f>
        <v>328.0.2.</v>
      </c>
    </row>
    <row customHeight="1" ht="11.25" hidden="1">
      <c r="A15" s="0" t="s">
        <v>351</v>
      </c>
      <c r="AE15" s="286"/>
      <c r="AF15" s="286"/>
      <c r="AG15" s="286"/>
      <c r="AH15" s="286"/>
      <c r="AI15" s="286"/>
      <c r="AJ15" s="286"/>
      <c r="AK15" s="286"/>
      <c r="AL15" s="286"/>
      <c r="AM15" s="286"/>
      <c r="AN15" s="286"/>
      <c r="AO15" s="286"/>
      <c r="AP15" s="286"/>
      <c r="AQ15" s="286"/>
      <c r="AR15" s="286"/>
      <c r="AS15" s="286"/>
      <c r="AT15" s="286"/>
      <c r="AU15" s="286"/>
      <c r="AV15" s="286"/>
      <c r="AW15" s="286"/>
      <c r="AX15" s="286"/>
      <c r="AY15" s="286"/>
      <c r="AZ15" s="286"/>
      <c r="BA15" s="286"/>
      <c r="BB15" s="286"/>
      <c r="BC15" s="286"/>
      <c r="BD15" s="286"/>
      <c r="BE15" s="286"/>
      <c r="BF15" s="286"/>
      <c r="BG15" s="286"/>
      <c r="BH15" s="286"/>
      <c r="BI15" s="286"/>
      <c r="BJ15" s="286"/>
      <c r="BK15" s="286"/>
      <c r="BL15" s="286"/>
      <c r="BM15" s="286"/>
      <c r="BN15" s="286"/>
      <c r="BO15" s="286"/>
      <c r="BP15" s="286"/>
      <c r="BQ15" s="286"/>
      <c r="BR15" s="286"/>
      <c r="BS15" s="0" t="s">
        <v>178</v>
      </c>
      <c r="BT15" s="0" t="s">
        <v>178</v>
      </c>
      <c r="BU15" s="0" t="s">
        <v>178</v>
      </c>
    </row>
    <row customHeight="1" ht="11.25" hidden="1">
      <c r="A16" s="0" t="s">
        <v>352</v>
      </c>
      <c r="AE16" s="286"/>
      <c r="AF16" s="286"/>
      <c r="AG16" s="286"/>
      <c r="AH16" s="286"/>
      <c r="AI16" s="286"/>
      <c r="AJ16" s="286"/>
      <c r="AK16" s="286"/>
      <c r="AL16" s="286"/>
      <c r="AM16" s="286"/>
      <c r="AN16" s="286"/>
      <c r="AO16" s="286"/>
      <c r="AP16" s="286"/>
      <c r="AQ16" s="286"/>
      <c r="AR16" s="286"/>
      <c r="AS16" s="286"/>
      <c r="AT16" s="286"/>
      <c r="AU16" s="286"/>
      <c r="AV16" s="286"/>
      <c r="AW16" s="286"/>
      <c r="AX16" s="286"/>
      <c r="AY16" s="286"/>
      <c r="AZ16" s="286"/>
      <c r="BA16" s="286"/>
      <c r="BB16" s="286"/>
      <c r="BC16" s="286"/>
      <c r="BD16" s="286"/>
      <c r="BE16" s="286"/>
      <c r="BF16" s="286"/>
      <c r="BG16" s="286"/>
      <c r="BH16" s="286"/>
      <c r="BI16" s="286"/>
      <c r="BJ16" s="286"/>
      <c r="BK16" s="286"/>
      <c r="BL16" s="286"/>
      <c r="BM16" s="286"/>
      <c r="BN16" s="286"/>
      <c r="BO16" s="286"/>
      <c r="BP16" s="286"/>
      <c r="BQ16" s="286"/>
      <c r="BR16" s="286"/>
      <c r="BS16" s="0" t="s">
        <v>798</v>
      </c>
      <c r="BT16" s="0" t="s">
        <v>622</v>
      </c>
      <c r="BU16" s="0" t="s">
        <v>1601</v>
      </c>
    </row>
    <row customHeight="1" ht="11.25" hidden="1">
      <c r="A17" s="0" t="s">
        <v>379</v>
      </c>
      <c r="AE17" s="286"/>
      <c r="AF17" s="286"/>
      <c r="AG17" s="286"/>
      <c r="AH17" s="286"/>
      <c r="AI17" s="286"/>
      <c r="AJ17" s="286"/>
      <c r="AK17" s="286"/>
      <c r="AL17" s="286"/>
      <c r="AM17" s="286"/>
      <c r="AN17" s="286"/>
      <c r="AO17" s="286"/>
      <c r="AP17" s="286"/>
      <c r="AQ17" s="286"/>
      <c r="AR17" s="286"/>
      <c r="AS17" s="286"/>
      <c r="AT17" s="286"/>
      <c r="AU17" s="286"/>
      <c r="AV17" s="286"/>
      <c r="AW17" s="286"/>
      <c r="AX17" s="286"/>
      <c r="AY17" s="286"/>
      <c r="AZ17" s="286"/>
      <c r="BA17" s="286"/>
      <c r="BB17" s="286"/>
      <c r="BC17" s="286"/>
      <c r="BD17" s="286"/>
      <c r="BE17" s="286"/>
      <c r="BF17" s="286"/>
      <c r="BG17" s="286"/>
      <c r="BH17" s="286"/>
      <c r="BI17" s="286"/>
      <c r="BJ17" s="286"/>
      <c r="BK17" s="286"/>
      <c r="BL17" s="286"/>
      <c r="BM17" s="286"/>
      <c r="BN17" s="286"/>
      <c r="BO17" s="286"/>
      <c r="BP17" s="286"/>
      <c r="BQ17" s="286"/>
      <c r="BR17" s="286"/>
      <c r="BS17" s="0" t="s">
        <v>799</v>
      </c>
      <c r="BT17" s="0" t="s">
        <v>623</v>
      </c>
      <c r="BU17" s="0" t="s">
        <v>1602</v>
      </c>
    </row>
    <row s="1548" customFormat="1" customHeight="1" ht="11.25" hidden="1">
      <c r="A18" s="371"/>
      <c r="C18" s="193"/>
      <c r="D18" s="193"/>
      <c r="E18" s="180"/>
      <c r="F18" s="193"/>
      <c r="G18" s="193"/>
      <c r="H18" s="193"/>
      <c r="I18" s="193"/>
      <c r="J18" s="193"/>
      <c r="K18" s="193"/>
      <c r="L18" s="193"/>
      <c r="M18" s="193"/>
      <c r="N18" s="193"/>
      <c r="O18" s="193"/>
      <c r="P18" s="193"/>
      <c r="Q18" s="193"/>
      <c r="R18" s="193"/>
      <c r="S18" s="193"/>
      <c r="AC18" s="176"/>
      <c r="AE18" s="1548"/>
      <c r="AF18" s="1548"/>
      <c r="AG18" s="1548"/>
      <c r="AH18" s="1548"/>
      <c r="AI18" s="1548"/>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X18" s="489"/>
      <c r="BY18" s="489"/>
      <c r="BZ18" s="489"/>
      <c r="CA18" s="546"/>
      <c r="CB18" s="546"/>
      <c r="CE18" s="0"/>
      <c r="CF18" s="0"/>
      <c r="CG18" s="0"/>
      <c r="CH18" s="0"/>
      <c r="CI18" s="0"/>
      <c r="CJ18" s="0"/>
      <c r="CK18" s="0"/>
      <c r="CL18" s="0"/>
      <c r="CM18" s="0"/>
      <c r="CN18" s="0"/>
      <c r="CO18" s="0"/>
      <c r="CP18" s="0"/>
    </row>
    <row s="1548" customFormat="1" customHeight="1" ht="11.25" hidden="1">
      <c r="A19" s="371"/>
      <c r="C19" s="193"/>
      <c r="D19" s="193"/>
      <c r="E19" s="180"/>
      <c r="F19" s="193"/>
      <c r="G19" s="193"/>
      <c r="H19" s="193"/>
      <c r="I19" s="193"/>
      <c r="J19" s="193"/>
      <c r="K19" s="193"/>
      <c r="L19" s="193"/>
      <c r="M19" s="193"/>
      <c r="N19" s="193"/>
      <c r="O19" s="193"/>
      <c r="P19" s="193"/>
      <c r="Q19" s="193"/>
      <c r="R19" s="193"/>
      <c r="S19" s="193"/>
      <c r="AC19" s="176"/>
      <c r="AE19" s="1548"/>
      <c r="AF19" s="1548"/>
      <c r="AG19" s="1548"/>
      <c r="AH19" s="1548"/>
      <c r="AI19" s="1548"/>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X19" s="489"/>
      <c r="BY19" s="489"/>
      <c r="BZ19" s="489"/>
      <c r="CA19" s="546"/>
      <c r="CB19" s="546"/>
      <c r="CE19" s="0"/>
      <c r="CF19" s="0"/>
      <c r="CG19" s="0"/>
      <c r="CH19" s="0"/>
      <c r="CI19" s="0"/>
      <c r="CJ19" s="0"/>
      <c r="CK19" s="0"/>
      <c r="CL19" s="0"/>
      <c r="CM19" s="0"/>
      <c r="CN19" s="0"/>
      <c r="CO19" s="0"/>
      <c r="CP19" s="0"/>
    </row>
    <row s="1548" customFormat="1" customHeight="1" ht="11.25" hidden="1">
      <c r="A20" s="371"/>
      <c r="C20" s="193"/>
      <c r="D20" s="193"/>
      <c r="E20" s="180"/>
      <c r="F20" s="193"/>
      <c r="G20" s="193"/>
      <c r="H20" s="193"/>
      <c r="I20" s="193"/>
      <c r="J20" s="193"/>
      <c r="K20" s="193"/>
      <c r="L20" s="193"/>
      <c r="M20" s="193"/>
      <c r="N20" s="193"/>
      <c r="O20" s="193"/>
      <c r="P20" s="193"/>
      <c r="Q20" s="193"/>
      <c r="R20" s="193"/>
      <c r="S20" s="193"/>
      <c r="AC20" s="176"/>
      <c r="AE20" s="1548"/>
      <c r="AF20" s="1548"/>
      <c r="AG20" s="1548"/>
      <c r="AH20" s="1548"/>
      <c r="AI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X20" s="489"/>
      <c r="BY20" s="489"/>
      <c r="BZ20" s="489"/>
      <c r="CA20" s="546"/>
      <c r="CB20" s="546"/>
      <c r="CE20" s="0"/>
      <c r="CF20" s="0"/>
      <c r="CG20" s="0"/>
      <c r="CH20" s="0"/>
      <c r="CI20" s="0"/>
      <c r="CJ20" s="0"/>
      <c r="CK20" s="0"/>
      <c r="CL20" s="0"/>
      <c r="CM20" s="0"/>
      <c r="CN20" s="0"/>
      <c r="CO20" s="0"/>
      <c r="CP20" s="0"/>
    </row>
    <row customHeight="1" ht="14.625">
      <c r="E21" s="180">
        <v>15</v>
      </c>
      <c r="AA21" s="182"/>
      <c r="AB21" s="679"/>
      <c r="AC21" s="278" cm="1" t="str">
        <f t="array" ref="AC21:AC21">tpl_title</f>
        <v>Кемеровская область / 2027 / ООО "КК-ИНВЕСТ" (ИНН:1901133713, КПП:190101001) / ДПР: 2025-2027</v>
      </c>
      <c r="AD21" s="679"/>
      <c r="AE21" s="679"/>
      <c r="AF21" s="679"/>
      <c r="AG21" s="679"/>
      <c r="AH21" s="679"/>
      <c r="AI21" s="679"/>
      <c r="AJ21" s="679"/>
      <c r="AK21" s="679"/>
      <c r="AL21" s="679"/>
      <c r="AM21" s="679"/>
      <c r="AN21" s="679"/>
      <c r="AO21" s="679"/>
      <c r="AP21" s="679"/>
      <c r="AQ21" s="679"/>
      <c r="AR21" s="679"/>
      <c r="AS21" s="679"/>
      <c r="AT21" s="679"/>
      <c r="AU21" s="679"/>
      <c r="AV21" s="679"/>
      <c r="AW21" s="679"/>
      <c r="AX21" s="679"/>
      <c r="AY21" s="679"/>
      <c r="AZ21" s="679"/>
      <c r="BA21" s="679"/>
      <c r="BB21" s="679"/>
      <c r="BC21" s="679"/>
      <c r="BD21" s="679"/>
      <c r="BE21" s="679"/>
      <c r="BF21" s="679"/>
      <c r="BG21" s="679"/>
      <c r="BH21" s="679"/>
      <c r="BI21" s="679"/>
      <c r="BJ21" s="679"/>
      <c r="BK21" s="679"/>
      <c r="BL21" s="679"/>
      <c r="BM21" s="679"/>
      <c r="BN21" s="679"/>
      <c r="BO21" s="679"/>
      <c r="BP21" s="679"/>
      <c r="BQ21" s="679"/>
      <c r="BR21" s="679"/>
      <c r="BS21" s="679"/>
      <c r="BT21" s="679"/>
      <c r="BU21" s="679"/>
      <c r="BV21" s="679"/>
    </row>
    <row s="1659" customFormat="1" customHeight="1" ht="19.5">
      <c r="A22" s="371"/>
      <c r="B22" s="175"/>
      <c r="E22" s="180">
        <v>20</v>
      </c>
      <c r="T22" s="175"/>
      <c r="U22" s="175"/>
      <c r="V22" s="175"/>
      <c r="W22" s="175"/>
      <c r="X22" s="175"/>
      <c r="Y22" s="175"/>
      <c r="Z22" s="175"/>
      <c r="AA22" s="200"/>
      <c r="AB22" s="547" t="s">
        <v>74</v>
      </c>
      <c r="AC22" s="682"/>
      <c r="AD22" s="682"/>
      <c r="AE22" s="682"/>
      <c r="AF22" s="682"/>
      <c r="AG22" s="682"/>
      <c r="AH22" s="682"/>
      <c r="AI22" s="682"/>
      <c r="AJ22" s="682"/>
      <c r="AK22" s="682"/>
      <c r="AL22" s="682"/>
      <c r="AM22" s="682"/>
      <c r="AN22" s="682"/>
      <c r="AO22" s="682"/>
      <c r="AP22" s="682"/>
      <c r="AQ22" s="682"/>
      <c r="AR22" s="682"/>
      <c r="AS22" s="682"/>
      <c r="AT22" s="682"/>
      <c r="AU22" s="682"/>
      <c r="AV22" s="682"/>
      <c r="AW22" s="682"/>
      <c r="AX22" s="682"/>
      <c r="AY22" s="682"/>
      <c r="AZ22" s="682"/>
      <c r="BA22" s="682"/>
      <c r="BB22" s="682"/>
      <c r="BC22" s="682"/>
      <c r="BD22" s="682"/>
      <c r="BE22" s="682"/>
      <c r="BF22" s="682"/>
      <c r="BG22" s="682"/>
      <c r="BH22" s="682"/>
      <c r="BI22" s="682"/>
      <c r="BJ22" s="682"/>
      <c r="BK22" s="682"/>
      <c r="BL22" s="682"/>
      <c r="BM22" s="682"/>
      <c r="BN22" s="682"/>
      <c r="BO22" s="682"/>
      <c r="BP22" s="682"/>
      <c r="BQ22" s="682"/>
      <c r="BR22" s="682"/>
      <c r="BS22" s="682"/>
      <c r="BT22" s="682"/>
      <c r="BU22" s="682"/>
      <c r="BV22" s="200"/>
      <c r="BX22" s="489"/>
      <c r="BY22" s="489"/>
      <c r="BZ22" s="489"/>
      <c r="CA22" s="546"/>
      <c r="CB22" s="546"/>
      <c r="CE22" s="0"/>
      <c r="CF22" s="0"/>
      <c r="CG22" s="0"/>
      <c r="CH22" s="0"/>
      <c r="CI22" s="0"/>
      <c r="CJ22" s="0"/>
      <c r="CK22" s="0"/>
      <c r="CL22" s="0"/>
      <c r="CM22" s="0"/>
      <c r="CN22" s="0"/>
      <c r="CO22" s="0"/>
      <c r="CP22" s="0"/>
    </row>
    <row s="1659" customFormat="1" customHeight="1" ht="9.75">
      <c r="A23" s="371"/>
      <c r="B23" s="175"/>
      <c r="E23" s="180">
        <v>10</v>
      </c>
      <c r="T23" s="175"/>
      <c r="U23" s="175"/>
      <c r="V23" s="175"/>
      <c r="W23" s="175"/>
      <c r="X23" s="175"/>
      <c r="Y23" s="175"/>
      <c r="Z23" s="175"/>
      <c r="AA23" s="200"/>
      <c r="AB23" s="683"/>
      <c r="AC23" s="683"/>
      <c r="AD23" s="683"/>
      <c r="AE23" s="683"/>
      <c r="AF23" s="683"/>
      <c r="AG23" s="683"/>
      <c r="AH23" s="683"/>
      <c r="AI23" s="683"/>
      <c r="AJ23" s="683"/>
      <c r="AK23" s="683"/>
      <c r="AL23" s="683"/>
      <c r="AM23" s="683"/>
      <c r="AN23" s="683"/>
      <c r="AO23" s="683"/>
      <c r="AP23" s="683"/>
      <c r="AQ23" s="683"/>
      <c r="AR23" s="683"/>
      <c r="AS23" s="683"/>
      <c r="AT23" s="683"/>
      <c r="AU23" s="683"/>
      <c r="AV23" s="683"/>
      <c r="AW23" s="683"/>
      <c r="AX23" s="683"/>
      <c r="AY23" s="683"/>
      <c r="AZ23" s="683"/>
      <c r="BA23" s="683"/>
      <c r="BB23" s="683"/>
      <c r="BC23" s="683"/>
      <c r="BD23" s="683"/>
      <c r="BE23" s="683"/>
      <c r="BF23" s="683"/>
      <c r="BG23" s="683"/>
      <c r="BH23" s="683"/>
      <c r="BI23" s="683"/>
      <c r="BJ23" s="683"/>
      <c r="BK23" s="683"/>
      <c r="BL23" s="683"/>
      <c r="BM23" s="683"/>
      <c r="BN23" s="683"/>
      <c r="BO23" s="683"/>
      <c r="BP23" s="683"/>
      <c r="BQ23" s="683"/>
      <c r="BR23" s="683"/>
      <c r="BS23" s="683"/>
      <c r="BT23" s="683"/>
      <c r="BU23" s="683"/>
      <c r="BV23" s="200"/>
      <c r="BX23" s="489"/>
      <c r="BY23" s="489"/>
      <c r="BZ23" s="489"/>
      <c r="CA23" s="546"/>
      <c r="CB23" s="546"/>
      <c r="CE23" s="0"/>
      <c r="CF23" s="0"/>
      <c r="CG23" s="0"/>
      <c r="CH23" s="0"/>
      <c r="CI23" s="0"/>
      <c r="CJ23" s="0"/>
      <c r="CK23" s="0"/>
      <c r="CL23" s="0"/>
      <c r="CM23" s="0"/>
      <c r="CN23" s="0"/>
      <c r="CO23" s="0"/>
      <c r="CP23" s="0"/>
    </row>
    <row s="308" customFormat="1" customHeight="1" ht="24.375">
      <c r="A24" s="371"/>
      <c r="B24" s="176"/>
      <c r="E24" s="284">
        <v>25</v>
      </c>
      <c r="T24" s="176"/>
      <c r="U24" s="176"/>
      <c r="V24" s="176"/>
      <c r="W24" s="176"/>
      <c r="X24" s="176"/>
      <c r="Y24" s="176"/>
      <c r="Z24" s="176"/>
      <c r="AA24" s="681"/>
      <c r="AB24" s="1679" t="s">
        <v>355</v>
      </c>
      <c r="AC24" s="1679" t="s">
        <v>412</v>
      </c>
      <c r="AD24" s="1679" t="s">
        <v>413</v>
      </c>
      <c r="AE24" s="422" t="str">
        <f>first_year&amp;" год"</f>
        <v>2025 год</v>
      </c>
      <c r="AF24" s="422" t="str">
        <f>first_year+1&amp;" год"</f>
        <v>2026 год</v>
      </c>
      <c r="AG24" s="422" t="str">
        <f>first_year+2&amp;" год"</f>
        <v>2027 год</v>
      </c>
      <c r="AH24" s="422" t="str">
        <f>first_year+3&amp;" год"</f>
        <v>2028 год</v>
      </c>
      <c r="AI24" s="422" t="str">
        <f>first_year+4&amp;" год"</f>
        <v>2029 год</v>
      </c>
      <c r="AJ24" s="329" t="str">
        <f>first_year+5&amp;" год"</f>
        <v>2030 год</v>
      </c>
      <c r="AK24" s="329" t="str">
        <f>first_year+6&amp;" год"</f>
        <v>2031 год</v>
      </c>
      <c r="AL24" s="329" t="str">
        <f>first_year+7&amp;" год"</f>
        <v>2032 год</v>
      </c>
      <c r="AM24" s="329" t="str">
        <f>first_year+8&amp;" год"</f>
        <v>2033 год</v>
      </c>
      <c r="AN24" s="329" t="str">
        <f>first_year+9&amp;" год"</f>
        <v>2034 год</v>
      </c>
      <c r="AO24" s="329" t="str">
        <f>first_year+10&amp;" год"</f>
        <v>2035 год</v>
      </c>
      <c r="AP24" s="329" t="str">
        <f>first_year+11&amp;" год"</f>
        <v>2036 год</v>
      </c>
      <c r="AQ24" s="329" t="str">
        <f>first_year+12&amp;" год"</f>
        <v>2037 год</v>
      </c>
      <c r="AR24" s="329" t="str">
        <f>first_year+13&amp;" год"</f>
        <v>2038 год</v>
      </c>
      <c r="AS24" s="329" t="str">
        <f>first_year+14&amp;" год"</f>
        <v>2039 год</v>
      </c>
      <c r="AT24" s="329" t="str">
        <f>first_year+15&amp;" год"</f>
        <v>2040 год</v>
      </c>
      <c r="AU24" s="329" t="str">
        <f>first_year+16&amp;" год"</f>
        <v>2041 год</v>
      </c>
      <c r="AV24" s="329" t="str">
        <f>first_year+17&amp;" год"</f>
        <v>2042 год</v>
      </c>
      <c r="AW24" s="329" t="str">
        <f>first_year+18&amp;" год"</f>
        <v>2043 год</v>
      </c>
      <c r="AX24" s="329" t="str">
        <f>first_year+19&amp;" год"</f>
        <v>2044 год</v>
      </c>
      <c r="AY24" s="328" t="str">
        <f>first_year&amp;" год"</f>
        <v>2025 год</v>
      </c>
      <c r="AZ24" s="328" t="str">
        <f>first_year+1&amp;" год"</f>
        <v>2026 год</v>
      </c>
      <c r="BA24" s="328" t="str">
        <f>first_year+2&amp;" год"</f>
        <v>2027 год</v>
      </c>
      <c r="BB24" s="328" t="str">
        <f>first_year+3&amp;" год"</f>
        <v>2028 год</v>
      </c>
      <c r="BC24" s="328" t="str">
        <f>first_year+4&amp;" год"</f>
        <v>2029 год</v>
      </c>
      <c r="BD24" s="328" t="str">
        <f>first_year+5&amp;" год"</f>
        <v>2030 год</v>
      </c>
      <c r="BE24" s="328" t="str">
        <f>first_year+6&amp;" год"</f>
        <v>2031 год</v>
      </c>
      <c r="BF24" s="328" t="str">
        <f>first_year+7&amp;" год"</f>
        <v>2032 год</v>
      </c>
      <c r="BG24" s="328" t="str">
        <f>first_year+8&amp;" год"</f>
        <v>2033 год</v>
      </c>
      <c r="BH24" s="330" t="str">
        <f>first_year+9&amp;" год"</f>
        <v>2034 год</v>
      </c>
      <c r="BI24" s="330" t="str">
        <f>first_year+10&amp;" год"</f>
        <v>2035 год</v>
      </c>
      <c r="BJ24" s="330" t="str">
        <f>first_year+11&amp;" год"</f>
        <v>2036 год</v>
      </c>
      <c r="BK24" s="330" t="str">
        <f>first_year+12&amp;" год"</f>
        <v>2037 год</v>
      </c>
      <c r="BL24" s="330" t="str">
        <f>first_year+13&amp;" год"</f>
        <v>2038 год</v>
      </c>
      <c r="BM24" s="330" t="str">
        <f>first_year+14&amp;" год"</f>
        <v>2039 год</v>
      </c>
      <c r="BN24" s="330" t="str">
        <f>first_year+15&amp;" год"</f>
        <v>2040 год</v>
      </c>
      <c r="BO24" s="330" t="str">
        <f>first_year+16&amp;" год"</f>
        <v>2041 год</v>
      </c>
      <c r="BP24" s="330" t="str">
        <f>first_year+17&amp;" год"</f>
        <v>2042 год</v>
      </c>
      <c r="BQ24" s="330" t="str">
        <f>first_year+18&amp;" год"</f>
        <v>2043 год</v>
      </c>
      <c r="BR24" s="330" t="str">
        <f>first_year+19&amp;" год"</f>
        <v>2044 год</v>
      </c>
      <c r="BS24" s="1678" t="s">
        <v>1546</v>
      </c>
      <c r="BT24" s="1678" t="s">
        <v>625</v>
      </c>
      <c r="BU24" s="1678" t="s">
        <v>1547</v>
      </c>
      <c r="BV24" s="681"/>
      <c r="BX24" s="489"/>
      <c r="BY24" s="984"/>
      <c r="BZ24" s="984"/>
      <c r="CA24" s="985"/>
      <c r="CB24" s="985"/>
      <c r="CE24" s="0"/>
      <c r="CF24" s="0"/>
      <c r="CG24" s="0"/>
      <c r="CH24" s="0"/>
      <c r="CI24" s="0"/>
      <c r="CJ24" s="0"/>
      <c r="CK24" s="0"/>
      <c r="CL24" s="0"/>
      <c r="CM24" s="0"/>
      <c r="CN24" s="0"/>
      <c r="CO24" s="0"/>
      <c r="CP24" s="0"/>
    </row>
    <row s="308" customFormat="1" customHeight="1" ht="44.85">
      <c r="A25" s="371"/>
      <c r="B25" s="176"/>
      <c r="E25" s="284">
        <v>46</v>
      </c>
      <c r="T25" s="176"/>
      <c r="U25" s="176"/>
      <c r="V25" s="176"/>
      <c r="W25" s="176"/>
      <c r="X25" s="176"/>
      <c r="Y25" s="176"/>
      <c r="Z25" s="176"/>
      <c r="AA25" s="681"/>
      <c r="AB25" s="1679"/>
      <c r="AC25" s="1679"/>
      <c r="AD25" s="1679"/>
      <c r="AE25" s="331" t="s">
        <v>416</v>
      </c>
      <c r="AF25" s="331" t="s">
        <v>416</v>
      </c>
      <c r="AG25" s="331" t="s">
        <v>416</v>
      </c>
      <c r="AH25" s="331" t="s">
        <v>416</v>
      </c>
      <c r="AI25" s="331" t="s">
        <v>416</v>
      </c>
      <c r="AJ25" s="331" t="s">
        <v>416</v>
      </c>
      <c r="AK25" s="331" t="s">
        <v>416</v>
      </c>
      <c r="AL25" s="331" t="s">
        <v>416</v>
      </c>
      <c r="AM25" s="331" t="s">
        <v>416</v>
      </c>
      <c r="AN25" s="331" t="s">
        <v>416</v>
      </c>
      <c r="AO25" s="331" t="s">
        <v>416</v>
      </c>
      <c r="AP25" s="331" t="s">
        <v>416</v>
      </c>
      <c r="AQ25" s="331" t="s">
        <v>416</v>
      </c>
      <c r="AR25" s="331" t="s">
        <v>416</v>
      </c>
      <c r="AS25" s="331" t="s">
        <v>416</v>
      </c>
      <c r="AT25" s="331" t="s">
        <v>416</v>
      </c>
      <c r="AU25" s="331" t="s">
        <v>416</v>
      </c>
      <c r="AV25" s="331" t="s">
        <v>416</v>
      </c>
      <c r="AW25" s="331" t="s">
        <v>416</v>
      </c>
      <c r="AX25" s="331" t="s">
        <v>416</v>
      </c>
      <c r="AY25" s="424" t="s">
        <v>415</v>
      </c>
      <c r="AZ25" s="424" t="s">
        <v>415</v>
      </c>
      <c r="BA25" s="424" t="s">
        <v>415</v>
      </c>
      <c r="BB25" s="424" t="s">
        <v>415</v>
      </c>
      <c r="BC25" s="424" t="s">
        <v>415</v>
      </c>
      <c r="BD25" s="424" t="s">
        <v>415</v>
      </c>
      <c r="BE25" s="424" t="s">
        <v>415</v>
      </c>
      <c r="BF25" s="424" t="s">
        <v>415</v>
      </c>
      <c r="BG25" s="424" t="s">
        <v>415</v>
      </c>
      <c r="BH25" s="424" t="s">
        <v>415</v>
      </c>
      <c r="BI25" s="424" t="s">
        <v>415</v>
      </c>
      <c r="BJ25" s="424" t="s">
        <v>415</v>
      </c>
      <c r="BK25" s="424" t="s">
        <v>415</v>
      </c>
      <c r="BL25" s="424" t="s">
        <v>415</v>
      </c>
      <c r="BM25" s="424" t="s">
        <v>415</v>
      </c>
      <c r="BN25" s="424" t="s">
        <v>415</v>
      </c>
      <c r="BO25" s="424" t="s">
        <v>415</v>
      </c>
      <c r="BP25" s="424" t="s">
        <v>415</v>
      </c>
      <c r="BQ25" s="424" t="s">
        <v>415</v>
      </c>
      <c r="BR25" s="424" t="s">
        <v>415</v>
      </c>
      <c r="BS25" s="1678"/>
      <c r="BT25" s="1678"/>
      <c r="BU25" s="1678"/>
      <c r="BV25" s="681"/>
      <c r="BX25" s="489"/>
      <c r="BY25" s="984"/>
      <c r="BZ25" s="984"/>
      <c r="CA25" s="985"/>
      <c r="CB25" s="985"/>
      <c r="CE25" s="0"/>
      <c r="CF25" s="0"/>
      <c r="CG25" s="0"/>
      <c r="CH25" s="0"/>
      <c r="CI25" s="0"/>
      <c r="CJ25" s="0"/>
      <c r="CK25" s="0"/>
      <c r="CL25" s="0"/>
      <c r="CM25" s="0"/>
      <c r="CN25" s="0"/>
      <c r="CO25" s="0"/>
      <c r="CP25" s="0"/>
    </row>
    <row s="308" customFormat="1" customHeight="1" ht="14.25" hidden="1">
      <c r="A26" s="371"/>
      <c r="B26" s="176"/>
      <c r="E26" s="966">
        <v>0</v>
      </c>
      <c r="T26" s="176"/>
      <c r="U26" s="176"/>
      <c r="V26" s="176"/>
      <c r="W26" s="176"/>
      <c r="X26" s="176"/>
      <c r="Y26" s="176"/>
      <c r="Z26" s="176"/>
      <c r="AA26" s="681"/>
      <c r="AB26" s="687"/>
      <c r="AC26" s="687"/>
      <c r="AD26" s="687"/>
      <c r="AE26" s="279"/>
      <c r="AF26" s="279"/>
      <c r="AG26" s="279"/>
      <c r="AH26" s="279"/>
      <c r="AI26" s="279"/>
      <c r="AJ26" s="279"/>
      <c r="AK26" s="279"/>
      <c r="AL26" s="279"/>
      <c r="AM26" s="279"/>
      <c r="AN26" s="279"/>
      <c r="AO26" s="279"/>
      <c r="AP26" s="279"/>
      <c r="AQ26" s="279"/>
      <c r="AR26" s="279"/>
      <c r="AS26" s="279"/>
      <c r="AT26" s="279"/>
      <c r="AU26" s="279"/>
      <c r="AV26" s="279"/>
      <c r="AW26" s="279"/>
      <c r="AX26" s="279"/>
      <c r="AY26" s="279"/>
      <c r="AZ26" s="279"/>
      <c r="BA26" s="279"/>
      <c r="BB26" s="279"/>
      <c r="BC26" s="279"/>
      <c r="BD26" s="279"/>
      <c r="BE26" s="279"/>
      <c r="BF26" s="279"/>
      <c r="BG26" s="279"/>
      <c r="BH26" s="279"/>
      <c r="BI26" s="279"/>
      <c r="BJ26" s="279"/>
      <c r="BK26" s="279"/>
      <c r="BL26" s="279"/>
      <c r="BM26" s="279"/>
      <c r="BN26" s="279"/>
      <c r="BO26" s="279"/>
      <c r="BP26" s="279"/>
      <c r="BQ26" s="279"/>
      <c r="BR26" s="279"/>
      <c r="BS26" s="680"/>
      <c r="BT26" s="680"/>
      <c r="BU26" s="680"/>
      <c r="BV26" s="681"/>
      <c r="BX26" s="489"/>
      <c r="BY26" s="984"/>
      <c r="BZ26" s="984"/>
      <c r="CA26" s="985"/>
      <c r="CB26" s="985"/>
      <c r="CE26" s="0"/>
      <c r="CF26" s="0"/>
      <c r="CG26" s="0"/>
      <c r="CH26" s="0"/>
      <c r="CI26" s="0"/>
      <c r="CJ26" s="0"/>
      <c r="CK26" s="0"/>
      <c r="CL26" s="0"/>
      <c r="CM26" s="0"/>
      <c r="CN26" s="0"/>
      <c r="CO26" s="0"/>
      <c r="CP26" s="0"/>
    </row>
    <row s="969" customFormat="1" customHeight="1" ht="16.575" hidden="1">
      <c r="E27" s="180">
        <v>17</v>
      </c>
      <c r="F27" s="193" cm="1" t="str">
        <f t="array" ref="F27:F27">X27</f>
        <v>0</v>
      </c>
      <c r="G27" s="193" cm="1" t="str">
        <f t="array" ref="G27:G27">INDEX('Общие сведения'!$AK$169:$AK$202,MATCH($F27,'Общие сведения'!$Y$169:$Y$202,0))</f>
        <v>0</v>
      </c>
      <c r="I27" s="193" cm="1" t="str">
        <f t="array" ref="I27:I27">INDEX('Общие сведения'!$AE$169:$AE$202,MATCH($F27,'Общие сведения'!$Y$169:$Y$202,0))</f>
        <v>Теплоснабжение</v>
      </c>
      <c r="K27" s="193" cm="1" t="str">
        <f t="array" ref="K27:K27">INDEX('Общие сведения'!$AL$169:$AL$202,MATCH($F27,'Общие сведения'!$Y$169:$Y$202,0))</f>
        <v>0</v>
      </c>
      <c r="T27" s="753">
        <f>AND(F27&gt;0,OR(ISBLANK(Y27),Y27&gt;0))</f>
        <v>0</v>
      </c>
      <c r="V27" s="175" t="s">
        <v>266</v>
      </c>
      <c r="X27" s="1644">
        <v>0</v>
      </c>
      <c r="AB27" s="688" cm="1" t="str">
        <f t="array" ref="AB27:AB27">INDEX('Общие сведения'!$AG$169:$AG$202,MATCH($F27,'Общие сведения'!$Y$169:$Y$202,0))</f>
        <v>Тариф 0 (Теплоснабжение) - </v>
      </c>
      <c r="AC27" s="334"/>
      <c r="AD27" s="334"/>
      <c r="AE27" s="334"/>
      <c r="AF27" s="334"/>
      <c r="AG27" s="334"/>
      <c r="AH27" s="334"/>
      <c r="AI27" s="334"/>
      <c r="AJ27" s="334"/>
      <c r="AK27" s="334"/>
      <c r="AL27" s="334"/>
      <c r="AM27" s="334"/>
      <c r="AN27" s="334"/>
      <c r="AO27" s="334"/>
      <c r="AP27" s="334"/>
      <c r="AQ27" s="334"/>
      <c r="AR27" s="334"/>
      <c r="AS27" s="334"/>
      <c r="AT27" s="334"/>
      <c r="AU27" s="334"/>
      <c r="AV27" s="334"/>
      <c r="AW27" s="334"/>
      <c r="AX27" s="334"/>
      <c r="AY27" s="334"/>
      <c r="AZ27" s="334"/>
      <c r="BA27" s="334"/>
      <c r="BB27" s="334"/>
      <c r="BC27" s="334"/>
      <c r="BD27" s="334"/>
      <c r="BE27" s="334"/>
      <c r="BF27" s="334"/>
      <c r="BG27" s="334"/>
      <c r="BH27" s="334"/>
      <c r="BI27" s="334"/>
      <c r="BJ27" s="334"/>
      <c r="BK27" s="334"/>
      <c r="BL27" s="334"/>
      <c r="BM27" s="334"/>
      <c r="BN27" s="334"/>
      <c r="BO27" s="334"/>
      <c r="BP27" s="334"/>
      <c r="BQ27" s="334"/>
      <c r="BR27" s="334"/>
      <c r="BS27" s="334"/>
      <c r="BT27" s="334"/>
      <c r="BU27" s="334"/>
      <c r="BX27" s="489"/>
      <c r="BY27" s="489"/>
      <c r="BZ27" s="489"/>
      <c r="CA27" s="546"/>
      <c r="CB27" s="546"/>
    </row>
    <row customHeight="1" ht="16.575" hidden="1">
      <c r="E28" s="180">
        <v>17</v>
      </c>
      <c r="F28" s="193" cm="1" t="str">
        <f t="array" ref="F28:F28">OFFSET(G28,-1,-1)</f>
        <v>0</v>
      </c>
      <c r="T28" s="753">
        <f>AND(F28&gt;0,OR(ISBLANK(Y28),Y28&gt;0))</f>
        <v>0</v>
      </c>
      <c r="AB28" s="327">
        <v>1</v>
      </c>
      <c r="AC28" s="773" t="s">
        <v>2341</v>
      </c>
      <c r="AD28" s="369" t="s">
        <v>1709</v>
      </c>
      <c r="AE28" s="561">
        <f>AE29+AE35+AE45</f>
        <v>0</v>
      </c>
      <c r="AF28" s="561">
        <f>AF29+AF35+AF45</f>
        <v>0</v>
      </c>
      <c r="AG28" s="561">
        <f>AG29+AG35+AG45</f>
        <v>0</v>
      </c>
      <c r="AH28" s="100">
        <f>AH29+AH35+AH45</f>
        <v>0</v>
      </c>
      <c r="AI28" s="100">
        <f>AI29+AI35+AI45</f>
        <v>0</v>
      </c>
      <c r="AJ28" s="100">
        <f>AJ29+AJ35+AJ45</f>
        <v>0</v>
      </c>
      <c r="AK28" s="100">
        <f>AK29+AK35+AK45</f>
        <v>0</v>
      </c>
      <c r="AL28" s="100">
        <f>AL29+AL35+AL45</f>
        <v>0</v>
      </c>
      <c r="AM28" s="100">
        <f>AM29+AM35+AM45</f>
        <v>0</v>
      </c>
      <c r="AN28" s="100">
        <f>AN29+AN35+AN45</f>
        <v>0</v>
      </c>
      <c r="AO28" s="100">
        <f>AO29+AO35+AO45</f>
        <v>0</v>
      </c>
      <c r="AP28" s="100">
        <f>AP29+AP35+AP45</f>
        <v>0</v>
      </c>
      <c r="AQ28" s="100">
        <f>AQ29+AQ35+AQ45</f>
        <v>0</v>
      </c>
      <c r="AR28" s="100">
        <f>AR29+AR35+AR45</f>
        <v>0</v>
      </c>
      <c r="AS28" s="100">
        <f>AS29+AS35+AS45</f>
        <v>0</v>
      </c>
      <c r="AT28" s="100">
        <f>AT29+AT35+AT45</f>
        <v>0</v>
      </c>
      <c r="AU28" s="100">
        <f>AU29+AU35+AU45</f>
        <v>0</v>
      </c>
      <c r="AV28" s="100">
        <f>AV29+AV35+AV45</f>
        <v>0</v>
      </c>
      <c r="AW28" s="100">
        <f>AW29+AW35+AW45</f>
        <v>0</v>
      </c>
      <c r="AX28" s="100">
        <f>AX29+AX35+AX45</f>
        <v>0</v>
      </c>
      <c r="AY28" s="561">
        <f>AY29+AY35+AY45</f>
        <v>0</v>
      </c>
      <c r="AZ28" s="561">
        <f>AZ29+AZ35+AZ45</f>
        <v>0</v>
      </c>
      <c r="BA28" s="561">
        <f>BA29+BA35+BA45</f>
        <v>0</v>
      </c>
      <c r="BB28" s="100">
        <f>BB29+BB35+BB45</f>
        <v>0</v>
      </c>
      <c r="BC28" s="100">
        <f>BC29+BC35+BC45</f>
        <v>0</v>
      </c>
      <c r="BD28" s="100">
        <f>BD29+BD35+BD45</f>
        <v>0</v>
      </c>
      <c r="BE28" s="100">
        <f>BE29+BE35+BE45</f>
        <v>0</v>
      </c>
      <c r="BF28" s="100">
        <f>BF29+BF35+BF45</f>
        <v>0</v>
      </c>
      <c r="BG28" s="100">
        <f>BG29+BG35+BG45</f>
        <v>0</v>
      </c>
      <c r="BH28" s="100">
        <f>BH29+BH35+BH45</f>
        <v>0</v>
      </c>
      <c r="BI28" s="100">
        <f>BI29+BI35+BI45</f>
        <v>0</v>
      </c>
      <c r="BJ28" s="100">
        <f>BJ29+BJ35+BJ45</f>
        <v>0</v>
      </c>
      <c r="BK28" s="100">
        <f>BK29+BK35+BK45</f>
        <v>0</v>
      </c>
      <c r="BL28" s="100">
        <f>BL29+BL35+BL45</f>
        <v>0</v>
      </c>
      <c r="BM28" s="100">
        <f>BM29+BM35+BM45</f>
        <v>0</v>
      </c>
      <c r="BN28" s="100">
        <f>BN29+BN35+BN45</f>
        <v>0</v>
      </c>
      <c r="BO28" s="100">
        <f>BO29+BO35+BO45</f>
        <v>0</v>
      </c>
      <c r="BP28" s="100">
        <f>BP29+BP35+BP45</f>
        <v>0</v>
      </c>
      <c r="BQ28" s="100">
        <f>BQ29+BQ35+BQ45</f>
        <v>0</v>
      </c>
      <c r="BR28" s="100">
        <f>BR29+BR35+BR45</f>
        <v>0</v>
      </c>
      <c r="BS28" s="83"/>
      <c r="BT28" s="83"/>
      <c r="BU28" s="83"/>
      <c r="BX28" s="489" t="s">
        <v>2342</v>
      </c>
      <c r="CE28" s="1501" cm="1" t="str">
        <f t="array" ref="CE28:CE28">INDEX('Общие сведения'!$N$170:$N$202,MATCH($F28,'Общие сведения'!$Y$170:$Y$202,0)+1)</f>
        <v>0</v>
      </c>
      <c r="CF28" s="1501"/>
      <c r="CG28" s="1501"/>
      <c r="CH28" s="1501"/>
      <c r="CI28" s="1501"/>
      <c r="CJ28" s="1501"/>
      <c r="CK28" s="1501"/>
      <c r="CL28" s="1501"/>
      <c r="CM28" s="1501"/>
      <c r="CN28" s="1501" t="s">
        <v>303</v>
      </c>
      <c r="CO28" s="1501" t="s">
        <v>1717</v>
      </c>
      <c r="CP28" s="1501" t="s">
        <v>1718</v>
      </c>
    </row>
    <row customHeight="1" ht="16.575" hidden="1">
      <c r="E29" s="180">
        <v>17</v>
      </c>
      <c r="F29" s="193" cm="1" t="str">
        <f t="array" ref="F29:F29">OFFSET(G29,-1,-1)</f>
        <v>0</v>
      </c>
      <c r="T29" s="753">
        <f>AND(F29&gt;0,OR(ISBLANK(Y29),Y29&gt;0))</f>
        <v>0</v>
      </c>
      <c r="AB29" s="327">
        <v>1.1</v>
      </c>
      <c r="AC29" s="885" t="s">
        <v>2343</v>
      </c>
      <c r="AD29" s="369" t="s">
        <v>1709</v>
      </c>
      <c r="AE29" s="561">
        <f>AE30+AE34</f>
        <v>0</v>
      </c>
      <c r="AF29" s="561">
        <f>AF30+AF34</f>
        <v>0</v>
      </c>
      <c r="AG29" s="561">
        <f>AG30+AG34</f>
        <v>0</v>
      </c>
      <c r="AH29" s="100">
        <f>AH30+AH34</f>
        <v>0</v>
      </c>
      <c r="AI29" s="100">
        <f>AI30+AI34</f>
        <v>0</v>
      </c>
      <c r="AJ29" s="100">
        <f>AJ30+AJ34</f>
        <v>0</v>
      </c>
      <c r="AK29" s="100">
        <f>AK30+AK34</f>
        <v>0</v>
      </c>
      <c r="AL29" s="100">
        <f>AL30+AL34</f>
        <v>0</v>
      </c>
      <c r="AM29" s="100">
        <f>AM30+AM34</f>
        <v>0</v>
      </c>
      <c r="AN29" s="100">
        <f>AN30+AN34</f>
        <v>0</v>
      </c>
      <c r="AO29" s="100">
        <f>AO30+AO34</f>
        <v>0</v>
      </c>
      <c r="AP29" s="100">
        <f>AP30+AP34</f>
        <v>0</v>
      </c>
      <c r="AQ29" s="100">
        <f>AQ30+AQ34</f>
        <v>0</v>
      </c>
      <c r="AR29" s="100">
        <f>AR30+AR34</f>
        <v>0</v>
      </c>
      <c r="AS29" s="100">
        <f>AS30+AS34</f>
        <v>0</v>
      </c>
      <c r="AT29" s="100">
        <f>AT30+AT34</f>
        <v>0</v>
      </c>
      <c r="AU29" s="100">
        <f>AU30+AU34</f>
        <v>0</v>
      </c>
      <c r="AV29" s="100">
        <f>AV30+AV34</f>
        <v>0</v>
      </c>
      <c r="AW29" s="100">
        <f>AW30+AW34</f>
        <v>0</v>
      </c>
      <c r="AX29" s="100">
        <f>AX30+AX34</f>
        <v>0</v>
      </c>
      <c r="AY29" s="561">
        <f>AY30+AY34</f>
        <v>0</v>
      </c>
      <c r="AZ29" s="561">
        <f>AZ30+AZ34</f>
        <v>0</v>
      </c>
      <c r="BA29" s="561">
        <f>BA30+BA34</f>
        <v>0</v>
      </c>
      <c r="BB29" s="100">
        <f>BB30+BB34</f>
        <v>0</v>
      </c>
      <c r="BC29" s="100">
        <f>BC30+BC34</f>
        <v>0</v>
      </c>
      <c r="BD29" s="100">
        <f>BD30+BD34</f>
        <v>0</v>
      </c>
      <c r="BE29" s="100">
        <f>BE30+BE34</f>
        <v>0</v>
      </c>
      <c r="BF29" s="100">
        <f>BF30+BF34</f>
        <v>0</v>
      </c>
      <c r="BG29" s="100">
        <f>BG30+BG34</f>
        <v>0</v>
      </c>
      <c r="BH29" s="100">
        <f>BH30+BH34</f>
        <v>0</v>
      </c>
      <c r="BI29" s="100">
        <f>BI30+BI34</f>
        <v>0</v>
      </c>
      <c r="BJ29" s="100">
        <f>BJ30+BJ34</f>
        <v>0</v>
      </c>
      <c r="BK29" s="100">
        <f>BK30+BK34</f>
        <v>0</v>
      </c>
      <c r="BL29" s="100">
        <f>BL30+BL34</f>
        <v>0</v>
      </c>
      <c r="BM29" s="100">
        <f>BM30+BM34</f>
        <v>0</v>
      </c>
      <c r="BN29" s="100">
        <f>BN30+BN34</f>
        <v>0</v>
      </c>
      <c r="BO29" s="100">
        <f>BO30+BO34</f>
        <v>0</v>
      </c>
      <c r="BP29" s="100">
        <f>BP30+BP34</f>
        <v>0</v>
      </c>
      <c r="BQ29" s="100">
        <f>BQ30+BQ34</f>
        <v>0</v>
      </c>
      <c r="BR29" s="100">
        <f>BR30+BR34</f>
        <v>0</v>
      </c>
      <c r="BS29" s="83"/>
      <c r="BT29" s="83"/>
      <c r="BU29" s="83"/>
      <c r="BX29" s="489" t="s">
        <v>2344</v>
      </c>
      <c r="CE29" s="1501" cm="1" t="str">
        <f t="array" ref="CE29:CE29">CE28</f>
        <v>0</v>
      </c>
      <c r="CF29" s="1501" t="s">
        <v>2345</v>
      </c>
      <c r="CG29" s="1501" t="s">
        <v>2346</v>
      </c>
      <c r="CH29" s="1501"/>
      <c r="CI29" s="1501"/>
      <c r="CJ29" s="1501"/>
      <c r="CK29" s="1501"/>
      <c r="CL29" s="1501"/>
      <c r="CM29" s="1501"/>
      <c r="CN29" s="1501" t="s">
        <v>303</v>
      </c>
      <c r="CO29" s="1501" t="s">
        <v>1717</v>
      </c>
      <c r="CP29" s="1501" t="s">
        <v>1718</v>
      </c>
    </row>
    <row customHeight="1" ht="16.575" hidden="1">
      <c r="E30" s="180">
        <v>17</v>
      </c>
      <c r="F30" s="193" cm="1" t="str">
        <f t="array" ref="F30:F30">OFFSET(G30,-1,-1)</f>
        <v>0</v>
      </c>
      <c r="T30" s="753">
        <f>AND(F30&gt;0,OR(ISBLANK(Y30),Y30&gt;0))</f>
        <v>0</v>
      </c>
      <c r="AB30" s="352" t="s">
        <v>1339</v>
      </c>
      <c r="AC30" s="355" t="s">
        <v>2347</v>
      </c>
      <c r="AD30" s="886" t="s">
        <v>1709</v>
      </c>
      <c r="AE30" s="561"/>
      <c r="AF30" s="561"/>
      <c r="AG30" s="561"/>
      <c r="AH30" s="100"/>
      <c r="AI30" s="100"/>
      <c r="AJ30" s="100"/>
      <c r="AK30" s="100"/>
      <c r="AL30" s="100"/>
      <c r="AM30" s="100"/>
      <c r="AN30" s="100"/>
      <c r="AO30" s="100"/>
      <c r="AP30" s="100"/>
      <c r="AQ30" s="100"/>
      <c r="AR30" s="100"/>
      <c r="AS30" s="100"/>
      <c r="AT30" s="100"/>
      <c r="AU30" s="100"/>
      <c r="AV30" s="100"/>
      <c r="AW30" s="100"/>
      <c r="AX30" s="100"/>
      <c r="AY30" s="561"/>
      <c r="AZ30" s="561"/>
      <c r="BA30" s="561"/>
      <c r="BB30" s="100"/>
      <c r="BC30" s="100"/>
      <c r="BD30" s="100"/>
      <c r="BE30" s="100"/>
      <c r="BF30" s="100"/>
      <c r="BG30" s="100"/>
      <c r="BH30" s="100"/>
      <c r="BI30" s="100"/>
      <c r="BJ30" s="100"/>
      <c r="BK30" s="100"/>
      <c r="BL30" s="100"/>
      <c r="BM30" s="100"/>
      <c r="BN30" s="100"/>
      <c r="BO30" s="100"/>
      <c r="BP30" s="100"/>
      <c r="BQ30" s="100"/>
      <c r="BR30" s="100"/>
      <c r="BS30" s="83"/>
      <c r="BT30" s="83"/>
      <c r="BU30" s="83"/>
      <c r="BX30" s="489" t="s">
        <v>2348</v>
      </c>
      <c r="CE30" s="1501" cm="1" t="str">
        <f t="array" ref="CE30:CE30">CE29</f>
        <v>0</v>
      </c>
      <c r="CF30" s="1501" t="s">
        <v>2345</v>
      </c>
      <c r="CG30" s="1501" t="s">
        <v>2349</v>
      </c>
      <c r="CH30" s="1501"/>
      <c r="CI30" s="1501"/>
      <c r="CJ30" s="1501"/>
      <c r="CK30" s="1501"/>
      <c r="CL30" s="1501"/>
      <c r="CM30" s="1501"/>
      <c r="CN30" s="1501" t="s">
        <v>303</v>
      </c>
      <c r="CO30" s="1501" t="s">
        <v>1717</v>
      </c>
      <c r="CP30" s="1501" t="s">
        <v>1718</v>
      </c>
    </row>
    <row customHeight="1" ht="16.575" hidden="1">
      <c r="E31" s="180">
        <v>17</v>
      </c>
      <c r="F31" s="193" cm="1" t="str">
        <f t="array" ref="F31:F31">OFFSET(G31,-1,-1)</f>
        <v>0</v>
      </c>
      <c r="T31" s="753">
        <f>AND(F31&gt;0,OR(ISBLANK(Y31),Y31&gt;0))</f>
        <v>0</v>
      </c>
      <c r="AB31" s="352" t="s">
        <v>2350</v>
      </c>
      <c r="AC31" s="589" t="s">
        <v>2351</v>
      </c>
      <c r="AD31" s="886" t="s">
        <v>1709</v>
      </c>
      <c r="AE31" s="561"/>
      <c r="AF31" s="561"/>
      <c r="AG31" s="561"/>
      <c r="AH31" s="100"/>
      <c r="AI31" s="100"/>
      <c r="AJ31" s="100"/>
      <c r="AK31" s="100"/>
      <c r="AL31" s="100"/>
      <c r="AM31" s="100"/>
      <c r="AN31" s="100"/>
      <c r="AO31" s="100"/>
      <c r="AP31" s="100"/>
      <c r="AQ31" s="100"/>
      <c r="AR31" s="100"/>
      <c r="AS31" s="100"/>
      <c r="AT31" s="100"/>
      <c r="AU31" s="100"/>
      <c r="AV31" s="100"/>
      <c r="AW31" s="100"/>
      <c r="AX31" s="100"/>
      <c r="AY31" s="561"/>
      <c r="AZ31" s="561"/>
      <c r="BA31" s="561"/>
      <c r="BB31" s="100"/>
      <c r="BC31" s="100"/>
      <c r="BD31" s="100"/>
      <c r="BE31" s="100"/>
      <c r="BF31" s="100"/>
      <c r="BG31" s="100"/>
      <c r="BH31" s="100"/>
      <c r="BI31" s="100"/>
      <c r="BJ31" s="100"/>
      <c r="BK31" s="100"/>
      <c r="BL31" s="100"/>
      <c r="BM31" s="100"/>
      <c r="BN31" s="100"/>
      <c r="BO31" s="100"/>
      <c r="BP31" s="100"/>
      <c r="BQ31" s="100"/>
      <c r="BR31" s="100"/>
      <c r="BS31" s="83"/>
      <c r="BT31" s="83"/>
      <c r="BU31" s="83"/>
      <c r="BX31" s="489" t="s">
        <v>2352</v>
      </c>
      <c r="CE31" s="1501" cm="1" t="str">
        <f t="array" ref="CE31:CE31">CE30</f>
        <v>0</v>
      </c>
      <c r="CF31" s="1501" t="s">
        <v>2345</v>
      </c>
      <c r="CG31" s="1501" t="s">
        <v>2349</v>
      </c>
      <c r="CH31" s="1501" t="s">
        <v>600</v>
      </c>
      <c r="CI31" s="1501"/>
      <c r="CJ31" s="1501"/>
      <c r="CK31" s="1501"/>
      <c r="CL31" s="1501"/>
      <c r="CM31" s="1501"/>
      <c r="CN31" s="1501" t="s">
        <v>303</v>
      </c>
      <c r="CO31" s="1501" t="s">
        <v>1717</v>
      </c>
      <c r="CP31" s="1501" t="s">
        <v>1718</v>
      </c>
    </row>
    <row customHeight="1" ht="34.125" hidden="1">
      <c r="E32" s="180">
        <v>35</v>
      </c>
      <c r="F32" s="193" cm="1" t="str">
        <f t="array" ref="F32:F32">OFFSET(G32,-1,-1)</f>
        <v>0</v>
      </c>
      <c r="T32" s="753">
        <f>AND(F32&gt;0,OR(ISBLANK(Y32),Y32&gt;0))</f>
        <v>0</v>
      </c>
      <c r="AB32" s="352" t="s">
        <v>2353</v>
      </c>
      <c r="AC32" s="350" t="s">
        <v>2354</v>
      </c>
      <c r="AD32" s="886" t="s">
        <v>1709</v>
      </c>
      <c r="AE32" s="561"/>
      <c r="AF32" s="561"/>
      <c r="AG32" s="561"/>
      <c r="AH32" s="100"/>
      <c r="AI32" s="100"/>
      <c r="AJ32" s="100"/>
      <c r="AK32" s="100"/>
      <c r="AL32" s="100"/>
      <c r="AM32" s="100"/>
      <c r="AN32" s="100"/>
      <c r="AO32" s="100"/>
      <c r="AP32" s="100"/>
      <c r="AQ32" s="100"/>
      <c r="AR32" s="100"/>
      <c r="AS32" s="100"/>
      <c r="AT32" s="100"/>
      <c r="AU32" s="100"/>
      <c r="AV32" s="100"/>
      <c r="AW32" s="100"/>
      <c r="AX32" s="100"/>
      <c r="AY32" s="561"/>
      <c r="AZ32" s="561"/>
      <c r="BA32" s="561"/>
      <c r="BB32" s="100"/>
      <c r="BC32" s="100"/>
      <c r="BD32" s="100"/>
      <c r="BE32" s="100"/>
      <c r="BF32" s="100"/>
      <c r="BG32" s="100"/>
      <c r="BH32" s="100"/>
      <c r="BI32" s="100"/>
      <c r="BJ32" s="100"/>
      <c r="BK32" s="100"/>
      <c r="BL32" s="100"/>
      <c r="BM32" s="100"/>
      <c r="BN32" s="100"/>
      <c r="BO32" s="100"/>
      <c r="BP32" s="100"/>
      <c r="BQ32" s="100"/>
      <c r="BR32" s="100"/>
      <c r="BS32" s="83"/>
      <c r="BT32" s="83"/>
      <c r="BU32" s="83"/>
      <c r="BX32" s="489" t="s">
        <v>2355</v>
      </c>
      <c r="CE32" s="1501" cm="1" t="str">
        <f t="array" ref="CE32:CE32">CE31</f>
        <v>0</v>
      </c>
      <c r="CF32" s="1501" t="s">
        <v>2345</v>
      </c>
      <c r="CG32" s="1501" t="s">
        <v>2349</v>
      </c>
      <c r="CH32" s="1501" t="s">
        <v>2356</v>
      </c>
      <c r="CI32" s="1501"/>
      <c r="CJ32" s="1501"/>
      <c r="CK32" s="1501"/>
      <c r="CL32" s="1501"/>
      <c r="CM32" s="1501"/>
      <c r="CN32" s="1501" t="s">
        <v>303</v>
      </c>
      <c r="CO32" s="1501" t="s">
        <v>1857</v>
      </c>
      <c r="CP32" s="1501" t="s">
        <v>1858</v>
      </c>
    </row>
    <row customHeight="1" ht="16.575" hidden="1">
      <c r="E33" s="180">
        <v>17</v>
      </c>
      <c r="F33" s="193" cm="1" t="str">
        <f t="array" ref="F33:F33">OFFSET(G33,-1,-1)</f>
        <v>0</v>
      </c>
      <c r="T33" s="753">
        <f>AND(F33&gt;0,OR(ISBLANK(Y33),Y33&gt;0))</f>
        <v>0</v>
      </c>
      <c r="AB33" s="352" t="s">
        <v>2357</v>
      </c>
      <c r="AC33" s="350" t="s">
        <v>2358</v>
      </c>
      <c r="AD33" s="886" t="s">
        <v>1709</v>
      </c>
      <c r="AE33" s="561"/>
      <c r="AF33" s="561"/>
      <c r="AG33" s="561"/>
      <c r="AH33" s="100"/>
      <c r="AI33" s="100"/>
      <c r="AJ33" s="100"/>
      <c r="AK33" s="100"/>
      <c r="AL33" s="100"/>
      <c r="AM33" s="100"/>
      <c r="AN33" s="100"/>
      <c r="AO33" s="100"/>
      <c r="AP33" s="100"/>
      <c r="AQ33" s="100"/>
      <c r="AR33" s="100"/>
      <c r="AS33" s="100"/>
      <c r="AT33" s="100"/>
      <c r="AU33" s="100"/>
      <c r="AV33" s="100"/>
      <c r="AW33" s="100"/>
      <c r="AX33" s="100"/>
      <c r="AY33" s="561"/>
      <c r="AZ33" s="561"/>
      <c r="BA33" s="561"/>
      <c r="BB33" s="100"/>
      <c r="BC33" s="100"/>
      <c r="BD33" s="100"/>
      <c r="BE33" s="100"/>
      <c r="BF33" s="100"/>
      <c r="BG33" s="100"/>
      <c r="BH33" s="100"/>
      <c r="BI33" s="100"/>
      <c r="BJ33" s="100"/>
      <c r="BK33" s="100"/>
      <c r="BL33" s="100"/>
      <c r="BM33" s="100"/>
      <c r="BN33" s="100"/>
      <c r="BO33" s="100"/>
      <c r="BP33" s="100"/>
      <c r="BQ33" s="100"/>
      <c r="BR33" s="100"/>
      <c r="BS33" s="83"/>
      <c r="BT33" s="83"/>
      <c r="BU33" s="83"/>
      <c r="BX33" s="489" t="s">
        <v>2359</v>
      </c>
      <c r="CE33" s="1501" cm="1" t="str">
        <f t="array" ref="CE33:CE33">CE32</f>
        <v>0</v>
      </c>
      <c r="CF33" s="1501" t="s">
        <v>2345</v>
      </c>
      <c r="CG33" s="1501" t="s">
        <v>2349</v>
      </c>
      <c r="CH33" s="1501" t="s">
        <v>2050</v>
      </c>
      <c r="CI33" s="1501"/>
      <c r="CJ33" s="1501"/>
      <c r="CK33" s="1501"/>
      <c r="CL33" s="1501"/>
      <c r="CM33" s="1501"/>
      <c r="CN33" s="1501" t="s">
        <v>303</v>
      </c>
      <c r="CO33" s="1501" t="s">
        <v>1857</v>
      </c>
      <c r="CP33" s="1501" t="s">
        <v>1858</v>
      </c>
    </row>
    <row customHeight="1" ht="16.575" hidden="1">
      <c r="E34" s="180">
        <v>17</v>
      </c>
      <c r="F34" s="193" cm="1" t="str">
        <f t="array" ref="F34:F34">OFFSET(G34,-1,-1)</f>
        <v>0</v>
      </c>
      <c r="T34" s="753">
        <f>AND(F34&gt;0,OR(ISBLANK(Y34),Y34&gt;0))</f>
        <v>0</v>
      </c>
      <c r="AB34" s="887" t="s">
        <v>1344</v>
      </c>
      <c r="AC34" s="355" t="s">
        <v>2360</v>
      </c>
      <c r="AD34" s="886" t="s">
        <v>1709</v>
      </c>
      <c r="AE34" s="561"/>
      <c r="AF34" s="561"/>
      <c r="AG34" s="561"/>
      <c r="AH34" s="100"/>
      <c r="AI34" s="100"/>
      <c r="AJ34" s="100"/>
      <c r="AK34" s="100"/>
      <c r="AL34" s="100"/>
      <c r="AM34" s="100"/>
      <c r="AN34" s="100"/>
      <c r="AO34" s="100"/>
      <c r="AP34" s="100"/>
      <c r="AQ34" s="100"/>
      <c r="AR34" s="100"/>
      <c r="AS34" s="100"/>
      <c r="AT34" s="100"/>
      <c r="AU34" s="100"/>
      <c r="AV34" s="100"/>
      <c r="AW34" s="100"/>
      <c r="AX34" s="100"/>
      <c r="AY34" s="561"/>
      <c r="AZ34" s="561"/>
      <c r="BA34" s="561"/>
      <c r="BB34" s="100"/>
      <c r="BC34" s="100"/>
      <c r="BD34" s="100"/>
      <c r="BE34" s="100"/>
      <c r="BF34" s="100"/>
      <c r="BG34" s="100"/>
      <c r="BH34" s="100"/>
      <c r="BI34" s="100"/>
      <c r="BJ34" s="100"/>
      <c r="BK34" s="100"/>
      <c r="BL34" s="100"/>
      <c r="BM34" s="100"/>
      <c r="BN34" s="100"/>
      <c r="BO34" s="100"/>
      <c r="BP34" s="100"/>
      <c r="BQ34" s="100"/>
      <c r="BR34" s="100"/>
      <c r="BS34" s="83"/>
      <c r="BT34" s="83"/>
      <c r="BU34" s="83"/>
      <c r="BX34" s="489" t="s">
        <v>2361</v>
      </c>
      <c r="CE34" s="1501" cm="1" t="str">
        <f t="array" ref="CE34:CE34">CE33</f>
        <v>0</v>
      </c>
      <c r="CF34" s="1501" t="s">
        <v>2345</v>
      </c>
      <c r="CG34" s="1501" t="s">
        <v>2362</v>
      </c>
      <c r="CH34" s="1501"/>
      <c r="CI34" s="1501"/>
      <c r="CJ34" s="1501"/>
      <c r="CK34" s="1501"/>
      <c r="CL34" s="1501"/>
      <c r="CM34" s="1501"/>
      <c r="CN34" s="1501" t="s">
        <v>303</v>
      </c>
      <c r="CO34" s="1501" t="s">
        <v>1717</v>
      </c>
      <c r="CP34" s="1501" t="s">
        <v>1718</v>
      </c>
    </row>
    <row customHeight="1" ht="34.125" hidden="1">
      <c r="E35" s="180">
        <v>35</v>
      </c>
      <c r="F35" s="193" cm="1" t="str">
        <f t="array" ref="F35:F35">OFFSET(G35,-1,-1)</f>
        <v>0</v>
      </c>
      <c r="T35" s="753">
        <f>AND(F35&gt;0,OR(ISBLANK(Y35),Y35&gt;0))</f>
        <v>0</v>
      </c>
      <c r="AB35" s="352">
        <v>1.2</v>
      </c>
      <c r="AC35" s="368" t="s">
        <v>2363</v>
      </c>
      <c r="AD35" s="886" t="s">
        <v>1709</v>
      </c>
      <c r="AE35" s="561">
        <f>AE36+AE39+AE42</f>
        <v>0</v>
      </c>
      <c r="AF35" s="561">
        <f>AF36+AF39+AF42</f>
        <v>0</v>
      </c>
      <c r="AG35" s="561">
        <f>AG36+AG39+AG42</f>
        <v>0</v>
      </c>
      <c r="AH35" s="100">
        <f>AH36+AH39+AH42</f>
        <v>0</v>
      </c>
      <c r="AI35" s="100">
        <f>AI36+AI39+AI42</f>
        <v>0</v>
      </c>
      <c r="AJ35" s="100">
        <f>AJ36+AJ39+AJ42</f>
        <v>0</v>
      </c>
      <c r="AK35" s="100">
        <f>AK36+AK39+AK42</f>
        <v>0</v>
      </c>
      <c r="AL35" s="100">
        <f>AL36+AL39+AL42</f>
        <v>0</v>
      </c>
      <c r="AM35" s="100">
        <f>AM36+AM39+AM42</f>
        <v>0</v>
      </c>
      <c r="AN35" s="100">
        <f>AN36+AN39+AN42</f>
        <v>0</v>
      </c>
      <c r="AO35" s="100">
        <f>AO36+AO39+AO42</f>
        <v>0</v>
      </c>
      <c r="AP35" s="100">
        <f>AP36+AP39+AP42</f>
        <v>0</v>
      </c>
      <c r="AQ35" s="100">
        <f>AQ36+AQ39+AQ42</f>
        <v>0</v>
      </c>
      <c r="AR35" s="100">
        <f>AR36+AR39+AR42</f>
        <v>0</v>
      </c>
      <c r="AS35" s="100">
        <f>AS36+AS39+AS42</f>
        <v>0</v>
      </c>
      <c r="AT35" s="100">
        <f>AT36+AT39+AT42</f>
        <v>0</v>
      </c>
      <c r="AU35" s="100">
        <f>AU36+AU39+AU42</f>
        <v>0</v>
      </c>
      <c r="AV35" s="100">
        <f>AV36+AV39+AV42</f>
        <v>0</v>
      </c>
      <c r="AW35" s="100">
        <f>AW36+AW39+AW42</f>
        <v>0</v>
      </c>
      <c r="AX35" s="100">
        <f>AX36+AX39+AX42</f>
        <v>0</v>
      </c>
      <c r="AY35" s="561">
        <f>AY36+AY39+AY42</f>
        <v>0</v>
      </c>
      <c r="AZ35" s="561">
        <f>AZ36+AZ39+AZ42</f>
        <v>0</v>
      </c>
      <c r="BA35" s="561">
        <f>BA36+BA39+BA42</f>
        <v>0</v>
      </c>
      <c r="BB35" s="100">
        <f>BB36+BB39+BB42</f>
        <v>0</v>
      </c>
      <c r="BC35" s="100">
        <f>BC36+BC39+BC42</f>
        <v>0</v>
      </c>
      <c r="BD35" s="100">
        <f>BD36+BD39+BD42</f>
        <v>0</v>
      </c>
      <c r="BE35" s="100">
        <f>BE36+BE39+BE42</f>
        <v>0</v>
      </c>
      <c r="BF35" s="100">
        <f>BF36+BF39+BF42</f>
        <v>0</v>
      </c>
      <c r="BG35" s="100">
        <f>BG36+BG39+BG42</f>
        <v>0</v>
      </c>
      <c r="BH35" s="100">
        <f>BH36+BH39+BH42</f>
        <v>0</v>
      </c>
      <c r="BI35" s="100">
        <f>BI36+BI39+BI42</f>
        <v>0</v>
      </c>
      <c r="BJ35" s="100">
        <f>BJ36+BJ39+BJ42</f>
        <v>0</v>
      </c>
      <c r="BK35" s="100">
        <f>BK36+BK39+BK42</f>
        <v>0</v>
      </c>
      <c r="BL35" s="100">
        <f>BL36+BL39+BL42</f>
        <v>0</v>
      </c>
      <c r="BM35" s="100">
        <f>BM36+BM39+BM42</f>
        <v>0</v>
      </c>
      <c r="BN35" s="100">
        <f>BN36+BN39+BN42</f>
        <v>0</v>
      </c>
      <c r="BO35" s="100">
        <f>BO36+BO39+BO42</f>
        <v>0</v>
      </c>
      <c r="BP35" s="100">
        <f>BP36+BP39+BP42</f>
        <v>0</v>
      </c>
      <c r="BQ35" s="100">
        <f>BQ36+BQ39+BQ42</f>
        <v>0</v>
      </c>
      <c r="BR35" s="100">
        <f>BR36+BR39+BR42</f>
        <v>0</v>
      </c>
      <c r="BS35" s="83"/>
      <c r="BT35" s="83"/>
      <c r="BU35" s="83"/>
      <c r="BX35" s="489" t="s">
        <v>2364</v>
      </c>
      <c r="CE35" s="1501" cm="1" t="str">
        <f t="array" ref="CE35:CE35">CE34</f>
        <v>0</v>
      </c>
      <c r="CF35" s="1501" t="s">
        <v>2365</v>
      </c>
      <c r="CG35" s="1501"/>
      <c r="CH35" s="1501"/>
      <c r="CI35" s="1501"/>
      <c r="CJ35" s="1501"/>
      <c r="CK35" s="1501"/>
      <c r="CL35" s="1501"/>
      <c r="CM35" s="1501"/>
      <c r="CN35" s="1501" t="s">
        <v>303</v>
      </c>
      <c r="CO35" s="1501" t="s">
        <v>1717</v>
      </c>
      <c r="CP35" s="1501" t="s">
        <v>1718</v>
      </c>
    </row>
    <row customHeight="1" ht="16.575" hidden="1">
      <c r="E36" s="180">
        <v>17</v>
      </c>
      <c r="F36" s="193" cm="1" t="str">
        <f t="array" ref="F36:F36">OFFSET(G36,-1,-1)</f>
        <v>0</v>
      </c>
      <c r="T36" s="753">
        <f>AND(F36&gt;0,OR(ISBLANK(Y36),Y36&gt;0))</f>
        <v>0</v>
      </c>
      <c r="AB36" s="352" t="s">
        <v>2366</v>
      </c>
      <c r="AC36" s="355" t="s">
        <v>2351</v>
      </c>
      <c r="AD36" s="886" t="s">
        <v>1709</v>
      </c>
      <c r="AE36" s="561">
        <f>SUM(AE37:AE38)</f>
        <v>0</v>
      </c>
      <c r="AF36" s="561">
        <f>SUM(AF37:AF38)</f>
        <v>0</v>
      </c>
      <c r="AG36" s="561">
        <f>SUM(AG37:AG38)</f>
        <v>0</v>
      </c>
      <c r="AH36" s="100">
        <f>SUM(AH37:AH38)</f>
        <v>0</v>
      </c>
      <c r="AI36" s="100">
        <f>SUM(AI37:AI38)</f>
        <v>0</v>
      </c>
      <c r="AJ36" s="100">
        <f>SUM(AJ37:AJ38)</f>
        <v>0</v>
      </c>
      <c r="AK36" s="100">
        <f>SUM(AK37:AK38)</f>
        <v>0</v>
      </c>
      <c r="AL36" s="100">
        <f>SUM(AL37:AL38)</f>
        <v>0</v>
      </c>
      <c r="AM36" s="100">
        <f>SUM(AM37:AM38)</f>
        <v>0</v>
      </c>
      <c r="AN36" s="100">
        <f>SUM(AN37:AN38)</f>
        <v>0</v>
      </c>
      <c r="AO36" s="100">
        <f>SUM(AO37:AO38)</f>
        <v>0</v>
      </c>
      <c r="AP36" s="100">
        <f>SUM(AP37:AP38)</f>
        <v>0</v>
      </c>
      <c r="AQ36" s="100">
        <f>SUM(AQ37:AQ38)</f>
        <v>0</v>
      </c>
      <c r="AR36" s="100">
        <f>SUM(AR37:AR38)</f>
        <v>0</v>
      </c>
      <c r="AS36" s="100">
        <f>SUM(AS37:AS38)</f>
        <v>0</v>
      </c>
      <c r="AT36" s="100">
        <f>SUM(AT37:AT38)</f>
        <v>0</v>
      </c>
      <c r="AU36" s="100">
        <f>SUM(AU37:AU38)</f>
        <v>0</v>
      </c>
      <c r="AV36" s="100">
        <f>SUM(AV37:AV38)</f>
        <v>0</v>
      </c>
      <c r="AW36" s="100">
        <f>SUM(AW37:AW38)</f>
        <v>0</v>
      </c>
      <c r="AX36" s="100">
        <f>SUM(AX37:AX38)</f>
        <v>0</v>
      </c>
      <c r="AY36" s="561">
        <f>SUM(AY37:AY38)</f>
        <v>0</v>
      </c>
      <c r="AZ36" s="561">
        <f>SUM(AZ37:AZ38)</f>
        <v>0</v>
      </c>
      <c r="BA36" s="561">
        <f>SUM(BA37:BA38)</f>
        <v>0</v>
      </c>
      <c r="BB36" s="100">
        <f>SUM(BB37:BB38)</f>
        <v>0</v>
      </c>
      <c r="BC36" s="100">
        <f>SUM(BC37:BC38)</f>
        <v>0</v>
      </c>
      <c r="BD36" s="100">
        <f>SUM(BD37:BD38)</f>
        <v>0</v>
      </c>
      <c r="BE36" s="100">
        <f>SUM(BE37:BE38)</f>
        <v>0</v>
      </c>
      <c r="BF36" s="100">
        <f>SUM(BF37:BF38)</f>
        <v>0</v>
      </c>
      <c r="BG36" s="100">
        <f>SUM(BG37:BG38)</f>
        <v>0</v>
      </c>
      <c r="BH36" s="100">
        <f>SUM(BH37:BH38)</f>
        <v>0</v>
      </c>
      <c r="BI36" s="100">
        <f>SUM(BI37:BI38)</f>
        <v>0</v>
      </c>
      <c r="BJ36" s="100">
        <f>SUM(BJ37:BJ38)</f>
        <v>0</v>
      </c>
      <c r="BK36" s="100">
        <f>SUM(BK37:BK38)</f>
        <v>0</v>
      </c>
      <c r="BL36" s="100">
        <f>SUM(BL37:BL38)</f>
        <v>0</v>
      </c>
      <c r="BM36" s="100">
        <f>SUM(BM37:BM38)</f>
        <v>0</v>
      </c>
      <c r="BN36" s="100">
        <f>SUM(BN37:BN38)</f>
        <v>0</v>
      </c>
      <c r="BO36" s="100">
        <f>SUM(BO37:BO38)</f>
        <v>0</v>
      </c>
      <c r="BP36" s="100">
        <f>SUM(BP37:BP38)</f>
        <v>0</v>
      </c>
      <c r="BQ36" s="100">
        <f>SUM(BQ37:BQ38)</f>
        <v>0</v>
      </c>
      <c r="BR36" s="100">
        <f>SUM(BR37:BR38)</f>
        <v>0</v>
      </c>
      <c r="BS36" s="83"/>
      <c r="BT36" s="83"/>
      <c r="BU36" s="83"/>
      <c r="BX36" s="489" t="s">
        <v>2367</v>
      </c>
      <c r="CE36" s="1501" cm="1" t="str">
        <f t="array" ref="CE36:CE36">CE35</f>
        <v>0</v>
      </c>
      <c r="CF36" s="1501" t="s">
        <v>2365</v>
      </c>
      <c r="CG36" s="1501"/>
      <c r="CH36" s="1501" t="s">
        <v>600</v>
      </c>
      <c r="CI36" s="1501"/>
      <c r="CJ36" s="1501"/>
      <c r="CK36" s="1501"/>
      <c r="CL36" s="1501"/>
      <c r="CM36" s="1501"/>
      <c r="CN36" s="1501" t="s">
        <v>303</v>
      </c>
      <c r="CO36" s="1501" t="s">
        <v>1717</v>
      </c>
      <c r="CP36" s="1501" t="s">
        <v>1718</v>
      </c>
    </row>
    <row customHeight="1" ht="16.575" hidden="1">
      <c r="E37" s="180">
        <v>17</v>
      </c>
      <c r="F37" s="193" cm="1" t="str">
        <f t="array" ref="F37:F37">OFFSET(G37,-1,-1)</f>
        <v>0</v>
      </c>
      <c r="T37" s="753">
        <f>AND(F37&gt;0,OR(ISBLANK(Y37),Y37&gt;0))</f>
        <v>0</v>
      </c>
      <c r="W37" s="175" t="s">
        <v>189</v>
      </c>
      <c r="Y37" s="175">
        <v>0</v>
      </c>
      <c r="AA37" s="477" t="s">
        <v>171</v>
      </c>
      <c r="AB37" s="352" t="str">
        <f>"1.2.1."&amp;Y37</f>
        <v>1.2.1.0</v>
      </c>
      <c r="AC37" s="164"/>
      <c r="AD37" s="886" t="s">
        <v>1709</v>
      </c>
      <c r="AE37" s="561"/>
      <c r="AF37" s="561"/>
      <c r="AG37" s="561"/>
      <c r="AH37" s="100"/>
      <c r="AI37" s="100"/>
      <c r="AJ37" s="100"/>
      <c r="AK37" s="100"/>
      <c r="AL37" s="100"/>
      <c r="AM37" s="100"/>
      <c r="AN37" s="100"/>
      <c r="AO37" s="100"/>
      <c r="AP37" s="100"/>
      <c r="AQ37" s="100"/>
      <c r="AR37" s="100"/>
      <c r="AS37" s="100"/>
      <c r="AT37" s="100"/>
      <c r="AU37" s="100"/>
      <c r="AV37" s="100"/>
      <c r="AW37" s="100"/>
      <c r="AX37" s="100"/>
      <c r="AY37" s="561"/>
      <c r="AZ37" s="561"/>
      <c r="BA37" s="561"/>
      <c r="BB37" s="100"/>
      <c r="BC37" s="100"/>
      <c r="BD37" s="100"/>
      <c r="BE37" s="100"/>
      <c r="BF37" s="100"/>
      <c r="BG37" s="100"/>
      <c r="BH37" s="100"/>
      <c r="BI37" s="100"/>
      <c r="BJ37" s="100"/>
      <c r="BK37" s="100"/>
      <c r="BL37" s="100"/>
      <c r="BM37" s="100"/>
      <c r="BN37" s="100"/>
      <c r="BO37" s="100"/>
      <c r="BP37" s="100"/>
      <c r="BQ37" s="100"/>
      <c r="BR37" s="100"/>
      <c r="BS37" s="83"/>
      <c r="BT37" s="83"/>
      <c r="BU37" s="83"/>
      <c r="BX37" s="489" t="s">
        <v>2367</v>
      </c>
      <c r="BY37" s="489" t="s">
        <v>2368</v>
      </c>
      <c r="BZ37" s="489" cm="1" t="str">
        <f t="array" ref="BZ37:BZ37">AC37</f>
        <v>0</v>
      </c>
      <c r="CB37" s="546" t="b">
        <v>1</v>
      </c>
      <c r="CE37" s="1501" cm="1" t="str">
        <f t="array" ref="CE37:CE37">OFFSET(CF37,-1,-1)</f>
        <v>0</v>
      </c>
      <c r="CF37" s="1501" t="s">
        <v>2365</v>
      </c>
      <c r="CG37" s="1501"/>
      <c r="CH37" s="1501" t="s">
        <v>600</v>
      </c>
      <c r="CI37" s="1501"/>
      <c r="CJ37" s="1501"/>
      <c r="CK37" s="1501"/>
      <c r="CL37" s="1501"/>
      <c r="CM37" s="1501" t="str">
        <f>$AC37&amp;"|"&amp;$AB37</f>
        <v>|1.2.1.0</v>
      </c>
      <c r="CN37" s="1501" t="s">
        <v>303</v>
      </c>
      <c r="CO37" s="1501" t="s">
        <v>1717</v>
      </c>
      <c r="CP37" s="1501" t="s">
        <v>1718</v>
      </c>
    </row>
    <row customHeight="1" ht="16.575" hidden="1">
      <c r="E38" s="180">
        <v>17</v>
      </c>
      <c r="F38" s="193" cm="1" t="str">
        <f t="array" ref="F38:F38">OFFSET(G38,-1,-1)</f>
        <v>0</v>
      </c>
      <c r="T38" s="753">
        <f>AND(F38&gt;0,OR(ISBLANK(Y38),Y38&gt;0))</f>
        <v>0</v>
      </c>
      <c r="W38" s="980" t="s">
        <v>1070</v>
      </c>
      <c r="AB38" s="405"/>
      <c r="AC38" s="406" t="s">
        <v>191</v>
      </c>
      <c r="AD38" s="407"/>
      <c r="AE38" s="407"/>
      <c r="AF38" s="407"/>
      <c r="AG38" s="407"/>
      <c r="AH38" s="407"/>
      <c r="AI38" s="407"/>
      <c r="AJ38" s="407"/>
      <c r="AK38" s="407"/>
      <c r="AL38" s="407"/>
      <c r="AM38" s="407"/>
      <c r="AN38" s="407"/>
      <c r="AO38" s="407"/>
      <c r="AP38" s="407"/>
      <c r="AQ38" s="407"/>
      <c r="AR38" s="407"/>
      <c r="AS38" s="407"/>
      <c r="AT38" s="407"/>
      <c r="AU38" s="407"/>
      <c r="AV38" s="407"/>
      <c r="AW38" s="407"/>
      <c r="AX38" s="407"/>
      <c r="AY38" s="407"/>
      <c r="AZ38" s="407"/>
      <c r="BA38" s="407"/>
      <c r="BB38" s="407"/>
      <c r="BC38" s="407"/>
      <c r="BD38" s="407"/>
      <c r="BE38" s="407"/>
      <c r="BF38" s="407"/>
      <c r="BG38" s="407"/>
      <c r="BH38" s="407"/>
      <c r="BI38" s="407"/>
      <c r="BJ38" s="407"/>
      <c r="BK38" s="407"/>
      <c r="BL38" s="407"/>
      <c r="BM38" s="407"/>
      <c r="BN38" s="407"/>
      <c r="BO38" s="407"/>
      <c r="BP38" s="407"/>
      <c r="BQ38" s="407"/>
      <c r="BR38" s="407"/>
      <c r="BS38" s="407"/>
      <c r="BT38" s="407"/>
      <c r="BU38" s="407"/>
      <c r="BX38" s="489" t="str">
        <f>IF(AND(ISNUMBER(VALUE(TRIM(SUBSTITUTE(AB38,".","")))),TRIM(SUBSTITUTE(AB38,".",""))&lt;&gt;""),"P"&amp;SUBSTITUTE(AB38,".",""),"")</f>
        <v/>
      </c>
      <c r="CA38" s="546" t="s">
        <v>2368</v>
      </c>
      <c r="CE38" s="1501" cm="1" t="str">
        <f t="array" ref="CE38:CE38">OFFSET(CF38,-1,-1)</f>
        <v>0</v>
      </c>
      <c r="CF38" s="1501"/>
      <c r="CG38" s="1501"/>
      <c r="CH38" s="1501"/>
      <c r="CI38" s="1501"/>
      <c r="CJ38" s="1501"/>
      <c r="CK38" s="1501"/>
      <c r="CL38" s="1501"/>
      <c r="CM38" s="1501"/>
      <c r="CN38" s="1501"/>
      <c r="CO38" s="1501"/>
      <c r="CP38" s="1501"/>
    </row>
    <row customHeight="1" ht="34.125" hidden="1">
      <c r="E39" s="180">
        <v>35</v>
      </c>
      <c r="F39" s="193" cm="1" t="str">
        <f t="array" ref="F39:F39">OFFSET(G39,-1,-1)</f>
        <v>0</v>
      </c>
      <c r="T39" s="753">
        <f>AND(F39&gt;0,OR(ISBLANK(Y39),Y39&gt;0))</f>
        <v>0</v>
      </c>
      <c r="AB39" s="352" t="s">
        <v>2369</v>
      </c>
      <c r="AC39" s="355" t="s">
        <v>2354</v>
      </c>
      <c r="AD39" s="886" t="s">
        <v>1709</v>
      </c>
      <c r="AE39" s="561">
        <f>SUM(AE40:AE41)</f>
        <v>0</v>
      </c>
      <c r="AF39" s="561">
        <f>SUM(AF40:AF41)</f>
        <v>0</v>
      </c>
      <c r="AG39" s="561">
        <f>SUM(AG40:AG41)</f>
        <v>0</v>
      </c>
      <c r="AH39" s="100">
        <f>SUM(AH40:AH41)</f>
        <v>0</v>
      </c>
      <c r="AI39" s="100">
        <f>SUM(AI40:AI41)</f>
        <v>0</v>
      </c>
      <c r="AJ39" s="100">
        <f>SUM(AJ40:AJ41)</f>
        <v>0</v>
      </c>
      <c r="AK39" s="100">
        <f>SUM(AK40:AK41)</f>
        <v>0</v>
      </c>
      <c r="AL39" s="100">
        <f>SUM(AL40:AL41)</f>
        <v>0</v>
      </c>
      <c r="AM39" s="100">
        <f>SUM(AM40:AM41)</f>
        <v>0</v>
      </c>
      <c r="AN39" s="100">
        <f>SUM(AN40:AN41)</f>
        <v>0</v>
      </c>
      <c r="AO39" s="100">
        <f>SUM(AO40:AO41)</f>
        <v>0</v>
      </c>
      <c r="AP39" s="100">
        <f>SUM(AP40:AP41)</f>
        <v>0</v>
      </c>
      <c r="AQ39" s="100">
        <f>SUM(AQ40:AQ41)</f>
        <v>0</v>
      </c>
      <c r="AR39" s="100">
        <f>SUM(AR40:AR41)</f>
        <v>0</v>
      </c>
      <c r="AS39" s="100">
        <f>SUM(AS40:AS41)</f>
        <v>0</v>
      </c>
      <c r="AT39" s="100">
        <f>SUM(AT40:AT41)</f>
        <v>0</v>
      </c>
      <c r="AU39" s="100">
        <f>SUM(AU40:AU41)</f>
        <v>0</v>
      </c>
      <c r="AV39" s="100">
        <f>SUM(AV40:AV41)</f>
        <v>0</v>
      </c>
      <c r="AW39" s="100">
        <f>SUM(AW40:AW41)</f>
        <v>0</v>
      </c>
      <c r="AX39" s="100">
        <f>SUM(AX40:AX41)</f>
        <v>0</v>
      </c>
      <c r="AY39" s="561">
        <f>SUM(AY40:AY41)</f>
        <v>0</v>
      </c>
      <c r="AZ39" s="561">
        <f>SUM(AZ40:AZ41)</f>
        <v>0</v>
      </c>
      <c r="BA39" s="561">
        <f>SUM(BA40:BA41)</f>
        <v>0</v>
      </c>
      <c r="BB39" s="100">
        <f>SUM(BB40:BB41)</f>
        <v>0</v>
      </c>
      <c r="BC39" s="100">
        <f>SUM(BC40:BC41)</f>
        <v>0</v>
      </c>
      <c r="BD39" s="100">
        <f>SUM(BD40:BD41)</f>
        <v>0</v>
      </c>
      <c r="BE39" s="100">
        <f>SUM(BE40:BE41)</f>
        <v>0</v>
      </c>
      <c r="BF39" s="100">
        <f>SUM(BF40:BF41)</f>
        <v>0</v>
      </c>
      <c r="BG39" s="100">
        <f>SUM(BG40:BG41)</f>
        <v>0</v>
      </c>
      <c r="BH39" s="100">
        <f>SUM(BH40:BH41)</f>
        <v>0</v>
      </c>
      <c r="BI39" s="100">
        <f>SUM(BI40:BI41)</f>
        <v>0</v>
      </c>
      <c r="BJ39" s="100">
        <f>SUM(BJ40:BJ41)</f>
        <v>0</v>
      </c>
      <c r="BK39" s="100">
        <f>SUM(BK40:BK41)</f>
        <v>0</v>
      </c>
      <c r="BL39" s="100">
        <f>SUM(BL40:BL41)</f>
        <v>0</v>
      </c>
      <c r="BM39" s="100">
        <f>SUM(BM40:BM41)</f>
        <v>0</v>
      </c>
      <c r="BN39" s="100">
        <f>SUM(BN40:BN41)</f>
        <v>0</v>
      </c>
      <c r="BO39" s="100">
        <f>SUM(BO40:BO41)</f>
        <v>0</v>
      </c>
      <c r="BP39" s="100">
        <f>SUM(BP40:BP41)</f>
        <v>0</v>
      </c>
      <c r="BQ39" s="100">
        <f>SUM(BQ40:BQ41)</f>
        <v>0</v>
      </c>
      <c r="BR39" s="100">
        <f>SUM(BR40:BR41)</f>
        <v>0</v>
      </c>
      <c r="BS39" s="83"/>
      <c r="BT39" s="83"/>
      <c r="BU39" s="83"/>
      <c r="BX39" s="489" t="s">
        <v>2370</v>
      </c>
      <c r="CE39" s="1501" cm="1" t="str">
        <f t="array" ref="CE39:CE39">CE38</f>
        <v>0</v>
      </c>
      <c r="CF39" s="1501" t="s">
        <v>2365</v>
      </c>
      <c r="CG39" s="1501"/>
      <c r="CH39" s="1501" t="s">
        <v>2356</v>
      </c>
      <c r="CI39" s="1501"/>
      <c r="CJ39" s="1501"/>
      <c r="CK39" s="1501"/>
      <c r="CL39" s="1501"/>
      <c r="CM39" s="1501"/>
      <c r="CN39" s="1501" t="s">
        <v>303</v>
      </c>
      <c r="CO39" s="1501" t="s">
        <v>1857</v>
      </c>
      <c r="CP39" s="1501" t="s">
        <v>1858</v>
      </c>
    </row>
    <row customHeight="1" ht="16.575" hidden="1">
      <c r="E40" s="180">
        <v>17</v>
      </c>
      <c r="F40" s="193" cm="1" t="str">
        <f t="array" ref="F40:F40">OFFSET(G40,-1,-1)</f>
        <v>0</v>
      </c>
      <c r="T40" s="753">
        <f>AND(F40&gt;0,OR(ISBLANK(Y40),Y40&gt;0))</f>
        <v>0</v>
      </c>
      <c r="W40" s="175" t="s">
        <v>189</v>
      </c>
      <c r="Y40" s="175">
        <v>0</v>
      </c>
      <c r="AA40" s="477" t="s">
        <v>171</v>
      </c>
      <c r="AB40" s="352" t="str">
        <f>"1.2.2."&amp;Y40</f>
        <v>1.2.2.0</v>
      </c>
      <c r="AC40" s="164"/>
      <c r="AD40" s="886" t="s">
        <v>1709</v>
      </c>
      <c r="AE40" s="561"/>
      <c r="AF40" s="561"/>
      <c r="AG40" s="561"/>
      <c r="AH40" s="100"/>
      <c r="AI40" s="100"/>
      <c r="AJ40" s="100"/>
      <c r="AK40" s="100"/>
      <c r="AL40" s="100"/>
      <c r="AM40" s="100"/>
      <c r="AN40" s="100"/>
      <c r="AO40" s="100"/>
      <c r="AP40" s="100"/>
      <c r="AQ40" s="100"/>
      <c r="AR40" s="100"/>
      <c r="AS40" s="100"/>
      <c r="AT40" s="100"/>
      <c r="AU40" s="100"/>
      <c r="AV40" s="100"/>
      <c r="AW40" s="100"/>
      <c r="AX40" s="100"/>
      <c r="AY40" s="561"/>
      <c r="AZ40" s="561"/>
      <c r="BA40" s="561"/>
      <c r="BB40" s="100"/>
      <c r="BC40" s="100"/>
      <c r="BD40" s="100"/>
      <c r="BE40" s="100"/>
      <c r="BF40" s="100"/>
      <c r="BG40" s="100"/>
      <c r="BH40" s="100"/>
      <c r="BI40" s="100"/>
      <c r="BJ40" s="100"/>
      <c r="BK40" s="100"/>
      <c r="BL40" s="100"/>
      <c r="BM40" s="100"/>
      <c r="BN40" s="100"/>
      <c r="BO40" s="100"/>
      <c r="BP40" s="100"/>
      <c r="BQ40" s="100"/>
      <c r="BR40" s="100"/>
      <c r="BS40" s="83"/>
      <c r="BT40" s="83"/>
      <c r="BU40" s="83"/>
      <c r="BX40" s="489" t="s">
        <v>2370</v>
      </c>
      <c r="BY40" s="489" t="s">
        <v>2371</v>
      </c>
      <c r="BZ40" s="489" cm="1" t="str">
        <f t="array" ref="BZ40:BZ40">AC40</f>
        <v>0</v>
      </c>
      <c r="CB40" s="546" t="b">
        <v>1</v>
      </c>
      <c r="CE40" s="1501" cm="1" t="str">
        <f t="array" ref="CE40:CE40">OFFSET(CF40,-1,-1)</f>
        <v>0</v>
      </c>
      <c r="CF40" s="1501" t="s">
        <v>2365</v>
      </c>
      <c r="CG40" s="1501"/>
      <c r="CH40" s="1501" t="s">
        <v>2356</v>
      </c>
      <c r="CI40" s="1501"/>
      <c r="CJ40" s="1501"/>
      <c r="CK40" s="1501"/>
      <c r="CL40" s="1501"/>
      <c r="CM40" s="1501" t="str">
        <f>$AC40&amp;"|"&amp;$AB40</f>
        <v>|1.2.2.0</v>
      </c>
      <c r="CN40" s="1501" t="s">
        <v>303</v>
      </c>
      <c r="CO40" s="1501" t="s">
        <v>1857</v>
      </c>
      <c r="CP40" s="1501" t="s">
        <v>1858</v>
      </c>
    </row>
    <row customHeight="1" ht="16.575" hidden="1">
      <c r="E41" s="180">
        <v>17</v>
      </c>
      <c r="F41" s="193" cm="1" t="str">
        <f t="array" ref="F41:F41">OFFSET(G41,-1,-1)</f>
        <v>0</v>
      </c>
      <c r="T41" s="753">
        <f>AND(F41&gt;0,OR(ISBLANK(Y41),Y41&gt;0))</f>
        <v>0</v>
      </c>
      <c r="W41" s="980" t="s">
        <v>1086</v>
      </c>
      <c r="AB41" s="405"/>
      <c r="AC41" s="406" t="s">
        <v>191</v>
      </c>
      <c r="AD41" s="407"/>
      <c r="AE41" s="407"/>
      <c r="AF41" s="407"/>
      <c r="AG41" s="407"/>
      <c r="AH41" s="407"/>
      <c r="AI41" s="407"/>
      <c r="AJ41" s="407"/>
      <c r="AK41" s="407"/>
      <c r="AL41" s="407"/>
      <c r="AM41" s="407"/>
      <c r="AN41" s="407"/>
      <c r="AO41" s="407"/>
      <c r="AP41" s="407"/>
      <c r="AQ41" s="407"/>
      <c r="AR41" s="407"/>
      <c r="AS41" s="407"/>
      <c r="AT41" s="407"/>
      <c r="AU41" s="407"/>
      <c r="AV41" s="407"/>
      <c r="AW41" s="407"/>
      <c r="AX41" s="407"/>
      <c r="AY41" s="407"/>
      <c r="AZ41" s="407"/>
      <c r="BA41" s="407"/>
      <c r="BB41" s="407"/>
      <c r="BC41" s="407"/>
      <c r="BD41" s="407"/>
      <c r="BE41" s="407"/>
      <c r="BF41" s="407"/>
      <c r="BG41" s="407"/>
      <c r="BH41" s="407"/>
      <c r="BI41" s="407"/>
      <c r="BJ41" s="407"/>
      <c r="BK41" s="407"/>
      <c r="BL41" s="407"/>
      <c r="BM41" s="407"/>
      <c r="BN41" s="407"/>
      <c r="BO41" s="407"/>
      <c r="BP41" s="407"/>
      <c r="BQ41" s="407"/>
      <c r="BR41" s="407"/>
      <c r="BS41" s="407"/>
      <c r="BT41" s="407"/>
      <c r="BU41" s="407"/>
      <c r="BX41" s="489" t="str">
        <f>IF(AND(ISNUMBER(VALUE(TRIM(SUBSTITUTE(AB41,".","")))),TRIM(SUBSTITUTE(AB41,".",""))&lt;&gt;""),"P"&amp;SUBSTITUTE(AB41,".",""),"")</f>
        <v/>
      </c>
      <c r="CA41" s="546" t="s">
        <v>2371</v>
      </c>
      <c r="CE41" s="1501" cm="1" t="str">
        <f t="array" ref="CE41:CE41">OFFSET(CF41,-1,-1)</f>
        <v>0</v>
      </c>
      <c r="CF41" s="1501"/>
      <c r="CG41" s="1501"/>
      <c r="CH41" s="1501"/>
      <c r="CI41" s="1501"/>
      <c r="CJ41" s="1501"/>
      <c r="CK41" s="1501"/>
      <c r="CL41" s="1501"/>
      <c r="CM41" s="1501"/>
      <c r="CN41" s="1501"/>
      <c r="CO41" s="1501"/>
      <c r="CP41" s="1501"/>
    </row>
    <row customHeight="1" ht="16.575" hidden="1">
      <c r="E42" s="180">
        <v>17</v>
      </c>
      <c r="F42" s="193" cm="1" t="str">
        <f t="array" ref="F42:F42">OFFSET(G42,-1,-1)</f>
        <v>0</v>
      </c>
      <c r="T42" s="753">
        <f>AND(F42&gt;0,OR(ISBLANK(Y42),Y42&gt;0))</f>
        <v>0</v>
      </c>
      <c r="AB42" s="889" t="s">
        <v>2372</v>
      </c>
      <c r="AC42" s="355" t="s">
        <v>2358</v>
      </c>
      <c r="AD42" s="886" t="s">
        <v>1709</v>
      </c>
      <c r="AE42" s="561">
        <f>SUM(AE43:AE44)</f>
        <v>0</v>
      </c>
      <c r="AF42" s="561">
        <f>SUM(AF43:AF44)</f>
        <v>0</v>
      </c>
      <c r="AG42" s="561">
        <f>SUM(AG43:AG44)</f>
        <v>0</v>
      </c>
      <c r="AH42" s="100">
        <f>SUM(AH43:AH44)</f>
        <v>0</v>
      </c>
      <c r="AI42" s="100">
        <f>SUM(AI43:AI44)</f>
        <v>0</v>
      </c>
      <c r="AJ42" s="100">
        <f>SUM(AJ43:AJ44)</f>
        <v>0</v>
      </c>
      <c r="AK42" s="100">
        <f>SUM(AK43:AK44)</f>
        <v>0</v>
      </c>
      <c r="AL42" s="100">
        <f>SUM(AL43:AL44)</f>
        <v>0</v>
      </c>
      <c r="AM42" s="100">
        <f>SUM(AM43:AM44)</f>
        <v>0</v>
      </c>
      <c r="AN42" s="100">
        <f>SUM(AN43:AN44)</f>
        <v>0</v>
      </c>
      <c r="AO42" s="100">
        <f>SUM(AO43:AO44)</f>
        <v>0</v>
      </c>
      <c r="AP42" s="100">
        <f>SUM(AP43:AP44)</f>
        <v>0</v>
      </c>
      <c r="AQ42" s="100">
        <f>SUM(AQ43:AQ44)</f>
        <v>0</v>
      </c>
      <c r="AR42" s="100">
        <f>SUM(AR43:AR44)</f>
        <v>0</v>
      </c>
      <c r="AS42" s="100">
        <f>SUM(AS43:AS44)</f>
        <v>0</v>
      </c>
      <c r="AT42" s="100">
        <f>SUM(AT43:AT44)</f>
        <v>0</v>
      </c>
      <c r="AU42" s="100">
        <f>SUM(AU43:AU44)</f>
        <v>0</v>
      </c>
      <c r="AV42" s="100">
        <f>SUM(AV43:AV44)</f>
        <v>0</v>
      </c>
      <c r="AW42" s="100">
        <f>SUM(AW43:AW44)</f>
        <v>0</v>
      </c>
      <c r="AX42" s="100">
        <f>SUM(AX43:AX44)</f>
        <v>0</v>
      </c>
      <c r="AY42" s="561">
        <f>SUM(AY43:AY44)</f>
        <v>0</v>
      </c>
      <c r="AZ42" s="561">
        <f>SUM(AZ43:AZ44)</f>
        <v>0</v>
      </c>
      <c r="BA42" s="561">
        <f>SUM(BA43:BA44)</f>
        <v>0</v>
      </c>
      <c r="BB42" s="100">
        <f>SUM(BB43:BB44)</f>
        <v>0</v>
      </c>
      <c r="BC42" s="100">
        <f>SUM(BC43:BC44)</f>
        <v>0</v>
      </c>
      <c r="BD42" s="100">
        <f>SUM(BD43:BD44)</f>
        <v>0</v>
      </c>
      <c r="BE42" s="100">
        <f>SUM(BE43:BE44)</f>
        <v>0</v>
      </c>
      <c r="BF42" s="100">
        <f>SUM(BF43:BF44)</f>
        <v>0</v>
      </c>
      <c r="BG42" s="100">
        <f>SUM(BG43:BG44)</f>
        <v>0</v>
      </c>
      <c r="BH42" s="100">
        <f>SUM(BH43:BH44)</f>
        <v>0</v>
      </c>
      <c r="BI42" s="100">
        <f>SUM(BI43:BI44)</f>
        <v>0</v>
      </c>
      <c r="BJ42" s="100">
        <f>SUM(BJ43:BJ44)</f>
        <v>0</v>
      </c>
      <c r="BK42" s="100">
        <f>SUM(BK43:BK44)</f>
        <v>0</v>
      </c>
      <c r="BL42" s="100">
        <f>SUM(BL43:BL44)</f>
        <v>0</v>
      </c>
      <c r="BM42" s="100">
        <f>SUM(BM43:BM44)</f>
        <v>0</v>
      </c>
      <c r="BN42" s="100">
        <f>SUM(BN43:BN44)</f>
        <v>0</v>
      </c>
      <c r="BO42" s="100">
        <f>SUM(BO43:BO44)</f>
        <v>0</v>
      </c>
      <c r="BP42" s="100">
        <f>SUM(BP43:BP44)</f>
        <v>0</v>
      </c>
      <c r="BQ42" s="100">
        <f>SUM(BQ43:BQ44)</f>
        <v>0</v>
      </c>
      <c r="BR42" s="100">
        <f>SUM(BR43:BR44)</f>
        <v>0</v>
      </c>
      <c r="BS42" s="83"/>
      <c r="BT42" s="83"/>
      <c r="BU42" s="83"/>
      <c r="BX42" s="489" t="s">
        <v>2373</v>
      </c>
      <c r="CE42" s="1501" cm="1" t="str">
        <f t="array" ref="CE42:CE42">CE41</f>
        <v>0</v>
      </c>
      <c r="CF42" s="1501" t="s">
        <v>2365</v>
      </c>
      <c r="CG42" s="1501"/>
      <c r="CH42" s="1501" t="s">
        <v>2050</v>
      </c>
      <c r="CI42" s="1501"/>
      <c r="CJ42" s="1501"/>
      <c r="CK42" s="1501"/>
      <c r="CL42" s="1501"/>
      <c r="CM42" s="1501"/>
      <c r="CN42" s="1501" t="s">
        <v>303</v>
      </c>
      <c r="CO42" s="1501" t="s">
        <v>1857</v>
      </c>
      <c r="CP42" s="1501" t="s">
        <v>1858</v>
      </c>
    </row>
    <row customHeight="1" ht="16.575" hidden="1">
      <c r="E43" s="180">
        <v>17</v>
      </c>
      <c r="F43" s="193" cm="1" t="str">
        <f t="array" ref="F43:F43">OFFSET(G43,-1,-1)</f>
        <v>0</v>
      </c>
      <c r="T43" s="753">
        <f>AND(F43&gt;0,OR(ISBLANK(Y43),Y43&gt;0))</f>
        <v>0</v>
      </c>
      <c r="W43" s="175" t="s">
        <v>189</v>
      </c>
      <c r="Y43" s="175">
        <v>0</v>
      </c>
      <c r="AA43" s="477" t="s">
        <v>171</v>
      </c>
      <c r="AB43" s="352" t="str">
        <f>"1.2.3."&amp;Y43</f>
        <v>1.2.3.0</v>
      </c>
      <c r="AC43" s="164"/>
      <c r="AD43" s="886" t="s">
        <v>1709</v>
      </c>
      <c r="AE43" s="561"/>
      <c r="AF43" s="561"/>
      <c r="AG43" s="561"/>
      <c r="AH43" s="100"/>
      <c r="AI43" s="100"/>
      <c r="AJ43" s="100"/>
      <c r="AK43" s="100"/>
      <c r="AL43" s="100"/>
      <c r="AM43" s="100"/>
      <c r="AN43" s="100"/>
      <c r="AO43" s="100"/>
      <c r="AP43" s="100"/>
      <c r="AQ43" s="100"/>
      <c r="AR43" s="100"/>
      <c r="AS43" s="100"/>
      <c r="AT43" s="100"/>
      <c r="AU43" s="100"/>
      <c r="AV43" s="100"/>
      <c r="AW43" s="100"/>
      <c r="AX43" s="100"/>
      <c r="AY43" s="561"/>
      <c r="AZ43" s="561"/>
      <c r="BA43" s="561"/>
      <c r="BB43" s="100"/>
      <c r="BC43" s="100"/>
      <c r="BD43" s="100"/>
      <c r="BE43" s="100"/>
      <c r="BF43" s="100"/>
      <c r="BG43" s="100"/>
      <c r="BH43" s="100"/>
      <c r="BI43" s="100"/>
      <c r="BJ43" s="100"/>
      <c r="BK43" s="100"/>
      <c r="BL43" s="100"/>
      <c r="BM43" s="100"/>
      <c r="BN43" s="100"/>
      <c r="BO43" s="100"/>
      <c r="BP43" s="100"/>
      <c r="BQ43" s="100"/>
      <c r="BR43" s="100"/>
      <c r="BS43" s="83"/>
      <c r="BT43" s="83"/>
      <c r="BU43" s="83"/>
      <c r="BX43" s="489" t="s">
        <v>2373</v>
      </c>
      <c r="BY43" s="489" t="s">
        <v>2374</v>
      </c>
      <c r="BZ43" s="489" cm="1" t="str">
        <f t="array" ref="BZ43:BZ43">AC43</f>
        <v>0</v>
      </c>
      <c r="CB43" s="546" t="b">
        <v>1</v>
      </c>
      <c r="CE43" s="1501" cm="1" t="str">
        <f t="array" ref="CE43:CE43">OFFSET(CF43,-1,-1)</f>
        <v>0</v>
      </c>
      <c r="CF43" s="1501" t="s">
        <v>2365</v>
      </c>
      <c r="CG43" s="1501"/>
      <c r="CH43" s="1501" t="s">
        <v>2050</v>
      </c>
      <c r="CI43" s="1501"/>
      <c r="CJ43" s="1501"/>
      <c r="CK43" s="1501"/>
      <c r="CL43" s="1501"/>
      <c r="CM43" s="1501" t="str">
        <f>$AC43&amp;"|"&amp;$AB43</f>
        <v>|1.2.3.0</v>
      </c>
      <c r="CN43" s="1501" t="s">
        <v>303</v>
      </c>
      <c r="CO43" s="1501" t="s">
        <v>1857</v>
      </c>
      <c r="CP43" s="1501" t="s">
        <v>1858</v>
      </c>
    </row>
    <row customHeight="1" ht="16.575" hidden="1">
      <c r="E44" s="180">
        <v>17</v>
      </c>
      <c r="F44" s="193" cm="1" t="str">
        <f t="array" ref="F44:F44">OFFSET(G44,-1,-1)</f>
        <v>0</v>
      </c>
      <c r="T44" s="753">
        <f>AND(F44&gt;0,OR(ISBLANK(Y44),Y44&gt;0))</f>
        <v>0</v>
      </c>
      <c r="W44" s="980" t="s">
        <v>1411</v>
      </c>
      <c r="AB44" s="405"/>
      <c r="AC44" s="406" t="s">
        <v>191</v>
      </c>
      <c r="AD44" s="407"/>
      <c r="AE44" s="407"/>
      <c r="AF44" s="407"/>
      <c r="AG44" s="407"/>
      <c r="AH44" s="407"/>
      <c r="AI44" s="407"/>
      <c r="AJ44" s="407"/>
      <c r="AK44" s="407"/>
      <c r="AL44" s="407"/>
      <c r="AM44" s="407"/>
      <c r="AN44" s="407"/>
      <c r="AO44" s="407"/>
      <c r="AP44" s="407"/>
      <c r="AQ44" s="407"/>
      <c r="AR44" s="407"/>
      <c r="AS44" s="407"/>
      <c r="AT44" s="407"/>
      <c r="AU44" s="407"/>
      <c r="AV44" s="407"/>
      <c r="AW44" s="407"/>
      <c r="AX44" s="407"/>
      <c r="AY44" s="407"/>
      <c r="AZ44" s="407"/>
      <c r="BA44" s="407"/>
      <c r="BB44" s="407"/>
      <c r="BC44" s="407"/>
      <c r="BD44" s="407"/>
      <c r="BE44" s="407"/>
      <c r="BF44" s="407"/>
      <c r="BG44" s="407"/>
      <c r="BH44" s="407"/>
      <c r="BI44" s="407"/>
      <c r="BJ44" s="407"/>
      <c r="BK44" s="407"/>
      <c r="BL44" s="407"/>
      <c r="BM44" s="407"/>
      <c r="BN44" s="407"/>
      <c r="BO44" s="407"/>
      <c r="BP44" s="407"/>
      <c r="BQ44" s="407"/>
      <c r="BR44" s="407"/>
      <c r="BS44" s="407"/>
      <c r="BT44" s="407"/>
      <c r="BU44" s="407"/>
      <c r="BX44" s="489" t="str">
        <f>IF(AND(ISNUMBER(VALUE(TRIM(SUBSTITUTE(AB44,".","")))),TRIM(SUBSTITUTE(AB44,".",""))&lt;&gt;""),"P"&amp;SUBSTITUTE(AB44,".",""),"")</f>
        <v/>
      </c>
      <c r="CA44" s="546" t="s">
        <v>2374</v>
      </c>
      <c r="CE44" s="1501" cm="1" t="str">
        <f t="array" ref="CE44:CE44">OFFSET(CF44,-1,-1)</f>
        <v>0</v>
      </c>
      <c r="CF44" s="1501"/>
      <c r="CG44" s="1501"/>
      <c r="CH44" s="1501"/>
      <c r="CI44" s="1501"/>
      <c r="CJ44" s="1501"/>
      <c r="CK44" s="1501"/>
      <c r="CL44" s="1501"/>
      <c r="CM44" s="1501"/>
      <c r="CN44" s="1501"/>
      <c r="CO44" s="1501"/>
      <c r="CP44" s="1501"/>
    </row>
    <row customHeight="1" ht="16.575" hidden="1">
      <c r="E45" s="180">
        <v>17</v>
      </c>
      <c r="F45" s="193" cm="1" t="str">
        <f t="array" ref="F45:F45">OFFSET(G45,-1,-1)</f>
        <v>0</v>
      </c>
      <c r="T45" s="753">
        <f>AND(F45&gt;0,OR(ISBLANK(Y45),Y45&gt;0))</f>
        <v>0</v>
      </c>
      <c r="AB45" s="889">
        <v>1.3</v>
      </c>
      <c r="AC45" s="368" t="s">
        <v>2375</v>
      </c>
      <c r="AD45" s="886" t="s">
        <v>1709</v>
      </c>
      <c r="AE45" s="561"/>
      <c r="AF45" s="561"/>
      <c r="AG45" s="561"/>
      <c r="AH45" s="100"/>
      <c r="AI45" s="100"/>
      <c r="AJ45" s="100"/>
      <c r="AK45" s="100"/>
      <c r="AL45" s="100"/>
      <c r="AM45" s="100"/>
      <c r="AN45" s="100"/>
      <c r="AO45" s="100"/>
      <c r="AP45" s="100"/>
      <c r="AQ45" s="100"/>
      <c r="AR45" s="100"/>
      <c r="AS45" s="100"/>
      <c r="AT45" s="100"/>
      <c r="AU45" s="100"/>
      <c r="AV45" s="100"/>
      <c r="AW45" s="100"/>
      <c r="AX45" s="100"/>
      <c r="AY45" s="561"/>
      <c r="AZ45" s="561"/>
      <c r="BA45" s="561"/>
      <c r="BB45" s="100"/>
      <c r="BC45" s="100"/>
      <c r="BD45" s="100"/>
      <c r="BE45" s="100"/>
      <c r="BF45" s="100"/>
      <c r="BG45" s="100"/>
      <c r="BH45" s="100"/>
      <c r="BI45" s="100"/>
      <c r="BJ45" s="100"/>
      <c r="BK45" s="100"/>
      <c r="BL45" s="100"/>
      <c r="BM45" s="100"/>
      <c r="BN45" s="100"/>
      <c r="BO45" s="100"/>
      <c r="BP45" s="100"/>
      <c r="BQ45" s="100"/>
      <c r="BR45" s="100"/>
      <c r="BS45" s="83"/>
      <c r="BT45" s="83"/>
      <c r="BU45" s="83"/>
      <c r="BX45" s="489" t="s">
        <v>1692</v>
      </c>
      <c r="CE45" s="1501" cm="1" t="str">
        <f t="array" ref="CE45:CE45">CE44</f>
        <v>0</v>
      </c>
      <c r="CF45" s="1501"/>
      <c r="CG45" s="1501"/>
      <c r="CH45" s="1501"/>
      <c r="CI45" s="1501"/>
      <c r="CJ45" s="1501" t="s">
        <v>1090</v>
      </c>
      <c r="CK45" s="1501"/>
      <c r="CL45" s="1501"/>
      <c r="CM45" s="1501"/>
      <c r="CN45" s="1501" t="s">
        <v>303</v>
      </c>
      <c r="CO45" s="1501" t="s">
        <v>1044</v>
      </c>
      <c r="CP45" s="1501" t="s">
        <v>1045</v>
      </c>
    </row>
    <row customHeight="1" ht="16.575" hidden="1">
      <c r="E46" s="180">
        <v>17</v>
      </c>
      <c r="F46" s="193" cm="1" t="str">
        <f t="array" ref="F46:F46">OFFSET(G46,-1,-1)</f>
        <v>0</v>
      </c>
      <c r="T46" s="753">
        <f>AND(F46&gt;0,OR(ISBLANK(Y46),Y46&gt;0))</f>
        <v>0</v>
      </c>
      <c r="AB46" s="352">
        <v>2</v>
      </c>
      <c r="AC46" s="427" t="s">
        <v>2376</v>
      </c>
      <c r="AD46" s="886"/>
      <c r="AE46" s="886"/>
      <c r="AF46" s="886"/>
      <c r="AG46" s="886"/>
      <c r="AH46" s="886"/>
      <c r="AI46" s="886"/>
      <c r="AJ46" s="886"/>
      <c r="AK46" s="886"/>
      <c r="AL46" s="886"/>
      <c r="AM46" s="886"/>
      <c r="AN46" s="886"/>
      <c r="AO46" s="886"/>
      <c r="AP46" s="886"/>
      <c r="AQ46" s="886"/>
      <c r="AR46" s="886"/>
      <c r="AS46" s="886"/>
      <c r="AT46" s="886"/>
      <c r="AU46" s="886"/>
      <c r="AV46" s="886"/>
      <c r="AW46" s="886"/>
      <c r="AX46" s="886"/>
      <c r="AY46" s="886"/>
      <c r="AZ46" s="886"/>
      <c r="BA46" s="886"/>
      <c r="BB46" s="886"/>
      <c r="BC46" s="886"/>
      <c r="BD46" s="886"/>
      <c r="BE46" s="886"/>
      <c r="BF46" s="886"/>
      <c r="BG46" s="886"/>
      <c r="BH46" s="886"/>
      <c r="BI46" s="886"/>
      <c r="BJ46" s="886"/>
      <c r="BK46" s="886"/>
      <c r="BL46" s="886"/>
      <c r="BM46" s="886"/>
      <c r="BN46" s="886"/>
      <c r="BO46" s="886"/>
      <c r="BP46" s="886"/>
      <c r="BQ46" s="886"/>
      <c r="BR46" s="886"/>
      <c r="BS46" s="886"/>
      <c r="BT46" s="886"/>
      <c r="BU46" s="886"/>
      <c r="CE46" s="1501" cm="1" t="str">
        <f t="array" ref="CE46:CE46">CE45</f>
        <v>0</v>
      </c>
      <c r="CF46" s="1501"/>
      <c r="CG46" s="1501"/>
      <c r="CH46" s="1501"/>
      <c r="CI46" s="1501"/>
      <c r="CJ46" s="1501"/>
      <c r="CK46" s="1501"/>
      <c r="CL46" s="1501"/>
      <c r="CM46" s="1501"/>
      <c r="CN46" s="1501" t="s">
        <v>176</v>
      </c>
      <c r="CO46" s="1501"/>
      <c r="CP46" s="1501"/>
    </row>
    <row customHeight="1" ht="16.575" hidden="1">
      <c r="E47" s="180">
        <v>17</v>
      </c>
      <c r="F47" s="193" cm="1" t="str">
        <f t="array" ref="F47:F47">OFFSET(G47,-1,-1)</f>
        <v>0</v>
      </c>
      <c r="G47" s="193" t="s">
        <v>2081</v>
      </c>
      <c r="T47" s="753">
        <f>AND(F47&gt;0,OR(ISBLANK(Y47),Y47&gt;0))</f>
        <v>0</v>
      </c>
      <c r="AB47" s="327">
        <v>2.1</v>
      </c>
      <c r="AC47" s="646" t="s">
        <v>2082</v>
      </c>
      <c r="AD47" s="369" t="s">
        <v>629</v>
      </c>
      <c r="AE47" s="561"/>
      <c r="AF47" s="561"/>
      <c r="AG47" s="561"/>
      <c r="AH47" s="100"/>
      <c r="AI47" s="100"/>
      <c r="AJ47" s="100"/>
      <c r="AK47" s="100"/>
      <c r="AL47" s="100"/>
      <c r="AM47" s="100"/>
      <c r="AN47" s="100"/>
      <c r="AO47" s="100"/>
      <c r="AP47" s="100"/>
      <c r="AQ47" s="100"/>
      <c r="AR47" s="100"/>
      <c r="AS47" s="100"/>
      <c r="AT47" s="100"/>
      <c r="AU47" s="100"/>
      <c r="AV47" s="100"/>
      <c r="AW47" s="100"/>
      <c r="AX47" s="100"/>
      <c r="AY47" s="561"/>
      <c r="AZ47" s="561"/>
      <c r="BA47" s="561"/>
      <c r="BB47" s="100"/>
      <c r="BC47" s="100"/>
      <c r="BD47" s="100"/>
      <c r="BE47" s="100"/>
      <c r="BF47" s="100"/>
      <c r="BG47" s="100"/>
      <c r="BH47" s="100"/>
      <c r="BI47" s="100"/>
      <c r="BJ47" s="100"/>
      <c r="BK47" s="100"/>
      <c r="BL47" s="100"/>
      <c r="BM47" s="100"/>
      <c r="BN47" s="100"/>
      <c r="BO47" s="100"/>
      <c r="BP47" s="100"/>
      <c r="BQ47" s="100"/>
      <c r="BR47" s="100"/>
      <c r="BS47" s="83"/>
      <c r="BT47" s="83"/>
      <c r="BU47" s="83"/>
      <c r="BX47" s="489" t="s">
        <v>2377</v>
      </c>
      <c r="CE47" s="1501" cm="1" t="str">
        <f t="array" ref="CE47:CE47">CE46</f>
        <v>0</v>
      </c>
      <c r="CF47" s="1501"/>
      <c r="CG47" s="1501"/>
      <c r="CH47" s="1501"/>
      <c r="CI47" s="1501" t="s">
        <v>796</v>
      </c>
      <c r="CJ47" s="1501"/>
      <c r="CK47" s="1501" t="s">
        <v>2084</v>
      </c>
      <c r="CL47" s="1501" t="s">
        <v>219</v>
      </c>
      <c r="CM47" s="1501"/>
      <c r="CN47" s="1501" t="s">
        <v>303</v>
      </c>
      <c r="CO47" s="1501" t="s">
        <v>2079</v>
      </c>
      <c r="CP47" s="1501" t="s">
        <v>2080</v>
      </c>
    </row>
    <row customHeight="1" ht="16.575" hidden="1">
      <c r="E48" s="180">
        <v>17</v>
      </c>
      <c r="F48" s="193" cm="1" t="str">
        <f t="array" ref="F48:F48">OFFSET(G48,-1,-1)</f>
        <v>0</v>
      </c>
      <c r="G48" s="193" t="s">
        <v>2085</v>
      </c>
      <c r="T48" s="753">
        <f>AND(F48&gt;0,OR(ISBLANK(Y48),Y48&gt;0))</f>
        <v>0</v>
      </c>
      <c r="AB48" s="327">
        <v>2.2</v>
      </c>
      <c r="AC48" s="646" t="s">
        <v>2086</v>
      </c>
      <c r="AD48" s="369" t="s">
        <v>1005</v>
      </c>
      <c r="AE48" s="561"/>
      <c r="AF48" s="561"/>
      <c r="AG48" s="561"/>
      <c r="AH48" s="100"/>
      <c r="AI48" s="100"/>
      <c r="AJ48" s="100"/>
      <c r="AK48" s="100"/>
      <c r="AL48" s="100"/>
      <c r="AM48" s="100"/>
      <c r="AN48" s="100"/>
      <c r="AO48" s="100"/>
      <c r="AP48" s="100"/>
      <c r="AQ48" s="100"/>
      <c r="AR48" s="100"/>
      <c r="AS48" s="100"/>
      <c r="AT48" s="100"/>
      <c r="AU48" s="100"/>
      <c r="AV48" s="100"/>
      <c r="AW48" s="100"/>
      <c r="AX48" s="100"/>
      <c r="AY48" s="561"/>
      <c r="AZ48" s="561"/>
      <c r="BA48" s="561"/>
      <c r="BB48" s="100"/>
      <c r="BC48" s="100"/>
      <c r="BD48" s="100"/>
      <c r="BE48" s="100"/>
      <c r="BF48" s="100"/>
      <c r="BG48" s="100"/>
      <c r="BH48" s="100"/>
      <c r="BI48" s="100"/>
      <c r="BJ48" s="100"/>
      <c r="BK48" s="100"/>
      <c r="BL48" s="100"/>
      <c r="BM48" s="100"/>
      <c r="BN48" s="100"/>
      <c r="BO48" s="100"/>
      <c r="BP48" s="100"/>
      <c r="BQ48" s="100"/>
      <c r="BR48" s="100"/>
      <c r="BS48" s="83"/>
      <c r="BT48" s="83"/>
      <c r="BU48" s="83"/>
      <c r="BX48" s="489" t="s">
        <v>2378</v>
      </c>
      <c r="CE48" s="1501" cm="1" t="str">
        <f t="array" ref="CE48:CE48">CE47</f>
        <v>0</v>
      </c>
      <c r="CF48" s="1501"/>
      <c r="CG48" s="1501"/>
      <c r="CH48" s="1501"/>
      <c r="CI48" s="1501" t="s">
        <v>796</v>
      </c>
      <c r="CJ48" s="1501"/>
      <c r="CK48" s="1501" t="s">
        <v>2084</v>
      </c>
      <c r="CL48" s="1501" t="s">
        <v>255</v>
      </c>
      <c r="CM48" s="1501"/>
      <c r="CN48" s="1501" t="s">
        <v>303</v>
      </c>
      <c r="CO48" s="1501" t="s">
        <v>1100</v>
      </c>
      <c r="CP48" s="1501" t="s">
        <v>1101</v>
      </c>
    </row>
    <row customHeight="1" ht="16.575" hidden="1">
      <c r="E49" s="180">
        <v>17</v>
      </c>
      <c r="F49" s="193" cm="1" t="str">
        <f t="array" ref="F49:F49">OFFSET(G49,-1,-1)</f>
        <v>0</v>
      </c>
      <c r="G49" s="193" t="s">
        <v>2088</v>
      </c>
      <c r="T49" s="753">
        <f>AND(F49&gt;0,OR(ISBLANK(Y49),Y49&gt;0))</f>
        <v>0</v>
      </c>
      <c r="AB49" s="327">
        <v>2.3</v>
      </c>
      <c r="AC49" s="646" t="s">
        <v>2089</v>
      </c>
      <c r="AD49" s="666" t="s">
        <v>629</v>
      </c>
      <c r="AE49" s="561"/>
      <c r="AF49" s="561"/>
      <c r="AG49" s="561"/>
      <c r="AH49" s="100"/>
      <c r="AI49" s="100"/>
      <c r="AJ49" s="100"/>
      <c r="AK49" s="100"/>
      <c r="AL49" s="100"/>
      <c r="AM49" s="100"/>
      <c r="AN49" s="100"/>
      <c r="AO49" s="100"/>
      <c r="AP49" s="100"/>
      <c r="AQ49" s="100"/>
      <c r="AR49" s="100"/>
      <c r="AS49" s="100"/>
      <c r="AT49" s="100"/>
      <c r="AU49" s="100"/>
      <c r="AV49" s="100"/>
      <c r="AW49" s="100"/>
      <c r="AX49" s="100"/>
      <c r="AY49" s="561"/>
      <c r="AZ49" s="561"/>
      <c r="BA49" s="561"/>
      <c r="BB49" s="100"/>
      <c r="BC49" s="100"/>
      <c r="BD49" s="100"/>
      <c r="BE49" s="100"/>
      <c r="BF49" s="100"/>
      <c r="BG49" s="100"/>
      <c r="BH49" s="100"/>
      <c r="BI49" s="100"/>
      <c r="BJ49" s="100"/>
      <c r="BK49" s="100"/>
      <c r="BL49" s="100"/>
      <c r="BM49" s="100"/>
      <c r="BN49" s="100"/>
      <c r="BO49" s="100"/>
      <c r="BP49" s="100"/>
      <c r="BQ49" s="100"/>
      <c r="BR49" s="100"/>
      <c r="BS49" s="83"/>
      <c r="BT49" s="83"/>
      <c r="BU49" s="83"/>
      <c r="BX49" s="489" t="s">
        <v>2379</v>
      </c>
      <c r="CE49" s="1501" cm="1" t="str">
        <f t="array" ref="CE49:CE49">CE48</f>
        <v>0</v>
      </c>
      <c r="CF49" s="1501"/>
      <c r="CG49" s="1501"/>
      <c r="CH49" s="1501"/>
      <c r="CI49" s="1501" t="s">
        <v>797</v>
      </c>
      <c r="CJ49" s="1501"/>
      <c r="CK49" s="1501"/>
      <c r="CL49" s="1501" t="s">
        <v>219</v>
      </c>
      <c r="CM49" s="1501"/>
      <c r="CN49" s="1501" t="s">
        <v>303</v>
      </c>
      <c r="CO49" s="1501" t="s">
        <v>2079</v>
      </c>
      <c r="CP49" s="1501" t="s">
        <v>2080</v>
      </c>
    </row>
    <row s="972" customFormat="1" customHeight="1" ht="16.575" hidden="1">
      <c r="E50" s="180">
        <v>17</v>
      </c>
      <c r="F50" s="193" cm="1" t="str">
        <f t="array" ref="F50:F50">OFFSET(G50,-1,-1)</f>
        <v>0</v>
      </c>
      <c r="G50" s="193" t="s">
        <v>2091</v>
      </c>
      <c r="T50" s="753">
        <f>AND(F50&gt;0,OR(ISBLANK(Y50),Y50&gt;0))</f>
        <v>0</v>
      </c>
      <c r="AB50" s="327">
        <v>2.4</v>
      </c>
      <c r="AC50" s="646" t="s">
        <v>2092</v>
      </c>
      <c r="AD50" s="384" t="s">
        <v>1005</v>
      </c>
      <c r="AE50" s="561">
        <f>_xlfn.IFERROR((AE28*1000-AE47*AE48)/AE49,0)</f>
        <v>0</v>
      </c>
      <c r="AF50" s="561">
        <f>_xlfn.IFERROR((AF28*1000-AF47*AF48)/AF49,0)</f>
        <v>0</v>
      </c>
      <c r="AG50" s="561">
        <f>_xlfn.IFERROR((AG28*1000-AG47*AG48)/AG49,0)</f>
        <v>0</v>
      </c>
      <c r="AH50" s="100">
        <f>_xlfn.IFERROR((AH28*1000-AH47*AH48)/AH49,0)</f>
        <v>0</v>
      </c>
      <c r="AI50" s="100">
        <f>_xlfn.IFERROR((AI28*1000-AI47*AI48)/AI49,0)</f>
        <v>0</v>
      </c>
      <c r="AJ50" s="100">
        <f>_xlfn.IFERROR((AJ28*1000-AJ47*AJ48)/AJ49,0)</f>
        <v>0</v>
      </c>
      <c r="AK50" s="100">
        <f>_xlfn.IFERROR((AK28*1000-AK47*AK48)/AK49,0)</f>
        <v>0</v>
      </c>
      <c r="AL50" s="100">
        <f>_xlfn.IFERROR((AL28*1000-AL47*AL48)/AL49,0)</f>
        <v>0</v>
      </c>
      <c r="AM50" s="100">
        <f>_xlfn.IFERROR((AM28*1000-AM47*AM48)/AM49,0)</f>
        <v>0</v>
      </c>
      <c r="AN50" s="100">
        <f>_xlfn.IFERROR((AN28*1000-AN47*AN48)/AN49,0)</f>
        <v>0</v>
      </c>
      <c r="AO50" s="100">
        <f>_xlfn.IFERROR((AO28*1000-AO47*AO48)/AO49,0)</f>
        <v>0</v>
      </c>
      <c r="AP50" s="100">
        <f>_xlfn.IFERROR((AP28*1000-AP47*AP48)/AP49,0)</f>
        <v>0</v>
      </c>
      <c r="AQ50" s="100">
        <f>_xlfn.IFERROR((AQ28*1000-AQ47*AQ48)/AQ49,0)</f>
        <v>0</v>
      </c>
      <c r="AR50" s="100">
        <f>_xlfn.IFERROR((AR28*1000-AR47*AR48)/AR49,0)</f>
        <v>0</v>
      </c>
      <c r="AS50" s="100">
        <f>_xlfn.IFERROR((AS28*1000-AS47*AS48)/AS49,0)</f>
        <v>0</v>
      </c>
      <c r="AT50" s="100">
        <f>_xlfn.IFERROR((AT28*1000-AT47*AT48)/AT49,0)</f>
        <v>0</v>
      </c>
      <c r="AU50" s="100">
        <f>_xlfn.IFERROR((AU28*1000-AU47*AU48)/AU49,0)</f>
        <v>0</v>
      </c>
      <c r="AV50" s="100">
        <f>_xlfn.IFERROR((AV28*1000-AV47*AV48)/AV49,0)</f>
        <v>0</v>
      </c>
      <c r="AW50" s="100">
        <f>_xlfn.IFERROR((AW28*1000-AW47*AW48)/AW49,0)</f>
        <v>0</v>
      </c>
      <c r="AX50" s="100">
        <f>_xlfn.IFERROR((AX28*1000-AX47*AX48)/AX49,0)</f>
        <v>0</v>
      </c>
      <c r="AY50" s="561">
        <f>_xlfn.IFERROR((AY28*1000-AY47*AY48)/AY49,0)</f>
        <v>0</v>
      </c>
      <c r="AZ50" s="561">
        <f>_xlfn.IFERROR((AZ28*1000-AZ47*AZ48)/AZ49,0)</f>
        <v>0</v>
      </c>
      <c r="BA50" s="561">
        <f>_xlfn.IFERROR((BA28*1000-BA47*BA48)/BA49,0)</f>
        <v>0</v>
      </c>
      <c r="BB50" s="100">
        <f>_xlfn.IFERROR((BB28*1000-BB47*BB48)/BB49,0)</f>
        <v>0</v>
      </c>
      <c r="BC50" s="100">
        <f>_xlfn.IFERROR((BC28*1000-BC47*BC48)/BC49,0)</f>
        <v>0</v>
      </c>
      <c r="BD50" s="100">
        <f>_xlfn.IFERROR((BD28*1000-BD47*BD48)/BD49,0)</f>
        <v>0</v>
      </c>
      <c r="BE50" s="100">
        <f>_xlfn.IFERROR((BE28*1000-BE47*BE48)/BE49,0)</f>
        <v>0</v>
      </c>
      <c r="BF50" s="100">
        <f>_xlfn.IFERROR((BF28*1000-BF47*BF48)/BF49,0)</f>
        <v>0</v>
      </c>
      <c r="BG50" s="100">
        <f>_xlfn.IFERROR((BG28*1000-BG47*BG48)/BG49,0)</f>
        <v>0</v>
      </c>
      <c r="BH50" s="100">
        <f>_xlfn.IFERROR((BH28*1000-BH47*BH48)/BH49,0)</f>
        <v>0</v>
      </c>
      <c r="BI50" s="100">
        <f>_xlfn.IFERROR((BI28*1000-BI47*BI48)/BI49,0)</f>
        <v>0</v>
      </c>
      <c r="BJ50" s="100">
        <f>_xlfn.IFERROR((BJ28*1000-BJ47*BJ48)/BJ49,0)</f>
        <v>0</v>
      </c>
      <c r="BK50" s="100">
        <f>_xlfn.IFERROR((BK28*1000-BK47*BK48)/BK49,0)</f>
        <v>0</v>
      </c>
      <c r="BL50" s="100">
        <f>_xlfn.IFERROR((BL28*1000-BL47*BL48)/BL49,0)</f>
        <v>0</v>
      </c>
      <c r="BM50" s="100">
        <f>_xlfn.IFERROR((BM28*1000-BM47*BM48)/BM49,0)</f>
        <v>0</v>
      </c>
      <c r="BN50" s="100">
        <f>_xlfn.IFERROR((BN28*1000-BN47*BN48)/BN49,0)</f>
        <v>0</v>
      </c>
      <c r="BO50" s="100">
        <f>_xlfn.IFERROR((BO28*1000-BO47*BO48)/BO49,0)</f>
        <v>0</v>
      </c>
      <c r="BP50" s="100">
        <f>_xlfn.IFERROR((BP28*1000-BP47*BP48)/BP49,0)</f>
        <v>0</v>
      </c>
      <c r="BQ50" s="100">
        <f>_xlfn.IFERROR((BQ28*1000-BQ47*BQ48)/BQ49,0)</f>
        <v>0</v>
      </c>
      <c r="BR50" s="100">
        <f>_xlfn.IFERROR((BR28*1000-BR47*BR48)/BR49,0)</f>
        <v>0</v>
      </c>
      <c r="BS50" s="83"/>
      <c r="BT50" s="83"/>
      <c r="BU50" s="83"/>
      <c r="BX50" s="489" t="s">
        <v>2380</v>
      </c>
      <c r="BY50" s="489"/>
      <c r="BZ50" s="992"/>
      <c r="CA50" s="993"/>
      <c r="CB50" s="993"/>
      <c r="CE50" s="1501" cm="1" t="str">
        <f t="array" ref="CE50:CE50">CE49</f>
        <v>0</v>
      </c>
      <c r="CF50" s="1501"/>
      <c r="CG50" s="1501"/>
      <c r="CH50" s="1501"/>
      <c r="CI50" s="1501" t="s">
        <v>797</v>
      </c>
      <c r="CJ50" s="1501"/>
      <c r="CK50" s="1501"/>
      <c r="CL50" s="1501" t="s">
        <v>255</v>
      </c>
      <c r="CM50" s="1501"/>
      <c r="CN50" s="1501" t="s">
        <v>303</v>
      </c>
      <c r="CO50" s="1501" t="s">
        <v>1100</v>
      </c>
      <c r="CP50" s="1501" t="s">
        <v>1101</v>
      </c>
    </row>
    <row s="972" customFormat="1" customHeight="1" ht="16.575" hidden="1">
      <c r="E51" s="180">
        <v>17</v>
      </c>
      <c r="F51" s="193" cm="1" t="str">
        <f t="array" ref="F51:F51">OFFSET(G51,-1,-1)</f>
        <v>0</v>
      </c>
      <c r="T51" s="753">
        <f>AND(F51&gt;0,OR(ISBLANK(Y51),Y51&gt;0))</f>
        <v>0</v>
      </c>
      <c r="AB51" s="327">
        <v>2.5</v>
      </c>
      <c r="AC51" s="368" t="s">
        <v>2381</v>
      </c>
      <c r="AD51" s="369" t="s">
        <v>495</v>
      </c>
      <c r="AE51" s="843">
        <f>_xlfn.IFERROR(AE50/AE48,0)</f>
        <v>0</v>
      </c>
      <c r="AF51" s="843">
        <f>_xlfn.IFERROR(AF50/AF48,0)</f>
        <v>0</v>
      </c>
      <c r="AG51" s="843">
        <f>_xlfn.IFERROR(AG50/AG48,0)</f>
        <v>0</v>
      </c>
      <c r="AH51" s="843">
        <f>_xlfn.IFERROR(AH50/AH48,0)</f>
        <v>0</v>
      </c>
      <c r="AI51" s="843">
        <f>_xlfn.IFERROR(AI50/AI48,0)</f>
        <v>0</v>
      </c>
      <c r="AJ51" s="843">
        <f>_xlfn.IFERROR(AJ50/AJ48,0)</f>
        <v>0</v>
      </c>
      <c r="AK51" s="843">
        <f>_xlfn.IFERROR(AK50/AK48,0)</f>
        <v>0</v>
      </c>
      <c r="AL51" s="843">
        <f>_xlfn.IFERROR(AL50/AL48,0)</f>
        <v>0</v>
      </c>
      <c r="AM51" s="843">
        <f>_xlfn.IFERROR(AM50/AM48,0)</f>
        <v>0</v>
      </c>
      <c r="AN51" s="843">
        <f>_xlfn.IFERROR(AN50/AN48,0)</f>
        <v>0</v>
      </c>
      <c r="AO51" s="843">
        <f>_xlfn.IFERROR(AO50/AO48,0)</f>
        <v>0</v>
      </c>
      <c r="AP51" s="843">
        <f>_xlfn.IFERROR(AP50/AP48,0)</f>
        <v>0</v>
      </c>
      <c r="AQ51" s="843">
        <f>_xlfn.IFERROR(AQ50/AQ48,0)</f>
        <v>0</v>
      </c>
      <c r="AR51" s="843">
        <f>_xlfn.IFERROR(AR50/AR48,0)</f>
        <v>0</v>
      </c>
      <c r="AS51" s="843">
        <f>_xlfn.IFERROR(AS50/AS48,0)</f>
        <v>0</v>
      </c>
      <c r="AT51" s="843">
        <f>_xlfn.IFERROR(AT50/AT48,0)</f>
        <v>0</v>
      </c>
      <c r="AU51" s="843">
        <f>_xlfn.IFERROR(AU50/AU48,0)</f>
        <v>0</v>
      </c>
      <c r="AV51" s="843">
        <f>_xlfn.IFERROR(AV50/AV48,0)</f>
        <v>0</v>
      </c>
      <c r="AW51" s="843">
        <f>_xlfn.IFERROR(AW50/AW48,0)</f>
        <v>0</v>
      </c>
      <c r="AX51" s="843">
        <f>_xlfn.IFERROR(AX50/AX48,0)</f>
        <v>0</v>
      </c>
      <c r="AY51" s="843">
        <f>_xlfn.IFERROR(AY50/AY48,0)</f>
        <v>0</v>
      </c>
      <c r="AZ51" s="843">
        <f>_xlfn.IFERROR(AZ50/AZ48,0)</f>
        <v>0</v>
      </c>
      <c r="BA51" s="843">
        <f>_xlfn.IFERROR(BA50/BA48,0)</f>
        <v>0</v>
      </c>
      <c r="BB51" s="843">
        <f>_xlfn.IFERROR(BB50/BB48,0)</f>
        <v>0</v>
      </c>
      <c r="BC51" s="843">
        <f>_xlfn.IFERROR(BC50/BC48,0)</f>
        <v>0</v>
      </c>
      <c r="BD51" s="843">
        <f>_xlfn.IFERROR(BD50/BD48,0)</f>
        <v>0</v>
      </c>
      <c r="BE51" s="843">
        <f>_xlfn.IFERROR(BE50/BE48,0)</f>
        <v>0</v>
      </c>
      <c r="BF51" s="843">
        <f>_xlfn.IFERROR(BF50/BF48,0)</f>
        <v>0</v>
      </c>
      <c r="BG51" s="843">
        <f>_xlfn.IFERROR(BG50/BG48,0)</f>
        <v>0</v>
      </c>
      <c r="BH51" s="843">
        <f>_xlfn.IFERROR(BH50/BH48,0)</f>
        <v>0</v>
      </c>
      <c r="BI51" s="843">
        <f>_xlfn.IFERROR(BI50/BI48,0)</f>
        <v>0</v>
      </c>
      <c r="BJ51" s="843">
        <f>_xlfn.IFERROR(BJ50/BJ48,0)</f>
        <v>0</v>
      </c>
      <c r="BK51" s="843">
        <f>_xlfn.IFERROR(BK50/BK48,0)</f>
        <v>0</v>
      </c>
      <c r="BL51" s="843">
        <f>_xlfn.IFERROR(BL50/BL48,0)</f>
        <v>0</v>
      </c>
      <c r="BM51" s="843">
        <f>_xlfn.IFERROR(BM50/BM48,0)</f>
        <v>0</v>
      </c>
      <c r="BN51" s="843">
        <f>_xlfn.IFERROR(BN50/BN48,0)</f>
        <v>0</v>
      </c>
      <c r="BO51" s="843">
        <f>_xlfn.IFERROR(BO50/BO48,0)</f>
        <v>0</v>
      </c>
      <c r="BP51" s="843">
        <f>_xlfn.IFERROR(BP50/BP48,0)</f>
        <v>0</v>
      </c>
      <c r="BQ51" s="843">
        <f>_xlfn.IFERROR(BQ50/BQ48,0)</f>
        <v>0</v>
      </c>
      <c r="BR51" s="843">
        <f>_xlfn.IFERROR(BR50/BR48,0)</f>
        <v>0</v>
      </c>
      <c r="BS51" s="83"/>
      <c r="BT51" s="83"/>
      <c r="BU51" s="83"/>
      <c r="BX51" s="489" t="s">
        <v>2382</v>
      </c>
      <c r="BY51" s="489"/>
      <c r="BZ51" s="489"/>
      <c r="CA51" s="546"/>
      <c r="CB51" s="546"/>
      <c r="CE51" s="1501" cm="1" t="str">
        <f t="array" ref="CE51:CE51">CE50</f>
        <v>0</v>
      </c>
      <c r="CF51" s="1501"/>
      <c r="CG51" s="1501"/>
      <c r="CH51" s="1501"/>
      <c r="CI51" s="1501"/>
      <c r="CJ51" s="1501"/>
      <c r="CK51" s="1501"/>
      <c r="CL51" s="1501" t="s">
        <v>219</v>
      </c>
      <c r="CM51" s="1501"/>
      <c r="CN51" s="1501" t="s">
        <v>303</v>
      </c>
      <c r="CO51" s="1501" t="s">
        <v>931</v>
      </c>
      <c r="CP51" s="1501" t="s">
        <v>932</v>
      </c>
    </row>
    <row customHeight="1" ht="16.575" hidden="1">
      <c r="E52" s="180">
        <v>17</v>
      </c>
      <c r="F52" s="193" cm="1" t="str">
        <f t="array" ref="F52:F52">OFFSET(G52,-1,-1)</f>
        <v>0</v>
      </c>
      <c r="T52" s="753">
        <f>AND(F52&gt;0,OR(ISBLANK(Y52),Y52&gt;0))</f>
        <v>0</v>
      </c>
      <c r="AB52" s="327">
        <v>2.6</v>
      </c>
      <c r="AC52" s="368" t="s">
        <v>2383</v>
      </c>
      <c r="AD52" s="369" t="s">
        <v>1005</v>
      </c>
      <c r="AE52" s="699">
        <f>_xlfn.IFERROR(AE28*1000/(AE47+AE49),0)</f>
        <v>0</v>
      </c>
      <c r="AF52" s="699">
        <f>_xlfn.IFERROR(AF28*1000/(AF47+AF49),0)</f>
        <v>0</v>
      </c>
      <c r="AG52" s="699">
        <f>_xlfn.IFERROR(AG28*1000/(AG47+AG49),0)</f>
        <v>0</v>
      </c>
      <c r="AH52" s="123">
        <f>_xlfn.IFERROR(AH28*1000/(AH47+AH49),0)</f>
        <v>0</v>
      </c>
      <c r="AI52" s="123">
        <f>_xlfn.IFERROR(AI28*1000/(AI47+AI49),0)</f>
        <v>0</v>
      </c>
      <c r="AJ52" s="123">
        <f>_xlfn.IFERROR(AJ28*1000/(AJ47+AJ49),0)</f>
        <v>0</v>
      </c>
      <c r="AK52" s="123">
        <f>_xlfn.IFERROR(AK28*1000/(AK47+AK49),0)</f>
        <v>0</v>
      </c>
      <c r="AL52" s="123">
        <f>_xlfn.IFERROR(AL28*1000/(AL47+AL49),0)</f>
        <v>0</v>
      </c>
      <c r="AM52" s="123">
        <f>_xlfn.IFERROR(AM28*1000/(AM47+AM49),0)</f>
        <v>0</v>
      </c>
      <c r="AN52" s="123">
        <f>_xlfn.IFERROR(AN28*1000/(AN47+AN49),0)</f>
        <v>0</v>
      </c>
      <c r="AO52" s="123">
        <f>_xlfn.IFERROR(AO28*1000/(AO47+AO49),0)</f>
        <v>0</v>
      </c>
      <c r="AP52" s="123">
        <f>_xlfn.IFERROR(AP28*1000/(AP47+AP49),0)</f>
        <v>0</v>
      </c>
      <c r="AQ52" s="123">
        <f>_xlfn.IFERROR(AQ28*1000/(AQ47+AQ49),0)</f>
        <v>0</v>
      </c>
      <c r="AR52" s="123">
        <f>_xlfn.IFERROR(AR28*1000/(AR47+AR49),0)</f>
        <v>0</v>
      </c>
      <c r="AS52" s="123">
        <f>_xlfn.IFERROR(AS28*1000/(AS47+AS49),0)</f>
        <v>0</v>
      </c>
      <c r="AT52" s="123">
        <f>_xlfn.IFERROR(AT28*1000/(AT47+AT49),0)</f>
        <v>0</v>
      </c>
      <c r="AU52" s="123">
        <f>_xlfn.IFERROR(AU28*1000/(AU47+AU49),0)</f>
        <v>0</v>
      </c>
      <c r="AV52" s="123">
        <f>_xlfn.IFERROR(AV28*1000/(AV47+AV49),0)</f>
        <v>0</v>
      </c>
      <c r="AW52" s="123">
        <f>_xlfn.IFERROR(AW28*1000/(AW47+AW49),0)</f>
        <v>0</v>
      </c>
      <c r="AX52" s="123">
        <f>_xlfn.IFERROR(AX28*1000/(AX47+AX49),0)</f>
        <v>0</v>
      </c>
      <c r="AY52" s="699">
        <f>_xlfn.IFERROR(AY28*1000/(AY47+AY49),0)</f>
        <v>0</v>
      </c>
      <c r="AZ52" s="699">
        <f>_xlfn.IFERROR(AZ28*1000/(AZ47+AZ49),0)</f>
        <v>0</v>
      </c>
      <c r="BA52" s="699">
        <f>_xlfn.IFERROR(BA28*1000/(BA47+BA49),0)</f>
        <v>0</v>
      </c>
      <c r="BB52" s="123">
        <f>_xlfn.IFERROR(BB28*1000/(BB47+BB49),0)</f>
        <v>0</v>
      </c>
      <c r="BC52" s="123">
        <f>_xlfn.IFERROR(BC28*1000/(BC47+BC49),0)</f>
        <v>0</v>
      </c>
      <c r="BD52" s="123">
        <f>_xlfn.IFERROR(BD28*1000/(BD47+BD49),0)</f>
        <v>0</v>
      </c>
      <c r="BE52" s="123">
        <f>_xlfn.IFERROR(BE28*1000/(BE47+BE49),0)</f>
        <v>0</v>
      </c>
      <c r="BF52" s="123">
        <f>_xlfn.IFERROR(BF28*1000/(BF47+BF49),0)</f>
        <v>0</v>
      </c>
      <c r="BG52" s="123">
        <f>_xlfn.IFERROR(BG28*1000/(BG47+BG49),0)</f>
        <v>0</v>
      </c>
      <c r="BH52" s="123">
        <f>_xlfn.IFERROR(BH28*1000/(BH47+BH49),0)</f>
        <v>0</v>
      </c>
      <c r="BI52" s="123">
        <f>_xlfn.IFERROR(BI28*1000/(BI47+BI49),0)</f>
        <v>0</v>
      </c>
      <c r="BJ52" s="123">
        <f>_xlfn.IFERROR(BJ28*1000/(BJ47+BJ49),0)</f>
        <v>0</v>
      </c>
      <c r="BK52" s="123">
        <f>_xlfn.IFERROR(BK28*1000/(BK47+BK49),0)</f>
        <v>0</v>
      </c>
      <c r="BL52" s="123">
        <f>_xlfn.IFERROR(BL28*1000/(BL47+BL49),0)</f>
        <v>0</v>
      </c>
      <c r="BM52" s="123">
        <f>_xlfn.IFERROR(BM28*1000/(BM47+BM49),0)</f>
        <v>0</v>
      </c>
      <c r="BN52" s="123">
        <f>_xlfn.IFERROR(BN28*1000/(BN47+BN49),0)</f>
        <v>0</v>
      </c>
      <c r="BO52" s="123">
        <f>_xlfn.IFERROR(BO28*1000/(BO47+BO49),0)</f>
        <v>0</v>
      </c>
      <c r="BP52" s="123">
        <f>_xlfn.IFERROR(BP28*1000/(BP47+BP49),0)</f>
        <v>0</v>
      </c>
      <c r="BQ52" s="123">
        <f>_xlfn.IFERROR(BQ28*1000/(BQ47+BQ49),0)</f>
        <v>0</v>
      </c>
      <c r="BR52" s="123">
        <f>_xlfn.IFERROR(BR28*1000/(BR47+BR49),0)</f>
        <v>0</v>
      </c>
      <c r="BS52" s="83"/>
      <c r="BT52" s="83"/>
      <c r="BU52" s="83"/>
      <c r="BX52" s="489" t="s">
        <v>2384</v>
      </c>
      <c r="CE52" s="1501" cm="1" t="str">
        <f t="array" ref="CE52:CE52">CE51</f>
        <v>0</v>
      </c>
      <c r="CF52" s="1501"/>
      <c r="CG52" s="1501"/>
      <c r="CH52" s="1501"/>
      <c r="CI52" s="1501"/>
      <c r="CJ52" s="1501"/>
      <c r="CK52" s="1501"/>
      <c r="CL52" s="1501" t="s">
        <v>255</v>
      </c>
      <c r="CM52" s="1501"/>
      <c r="CN52" s="1501" t="s">
        <v>303</v>
      </c>
      <c r="CO52" s="1501" t="s">
        <v>2100</v>
      </c>
      <c r="CP52" s="1501" t="s">
        <v>2101</v>
      </c>
    </row>
    <row customHeight="1" ht="34.125" hidden="1">
      <c r="E53" s="180">
        <v>35</v>
      </c>
      <c r="F53" s="193" cm="1" t="str">
        <f t="array" ref="F53:F53">OFFSET(G53,-1,-1)</f>
        <v>0</v>
      </c>
      <c r="T53" s="753">
        <f>AND(F53&gt;0,OR(ISBLANK(Y53),Y53&gt;0))</f>
        <v>0</v>
      </c>
      <c r="AB53" s="327">
        <v>3</v>
      </c>
      <c r="AC53" s="427" t="s">
        <v>2141</v>
      </c>
      <c r="AD53" s="364" t="s">
        <v>1709</v>
      </c>
      <c r="AE53" s="561"/>
      <c r="AF53" s="561"/>
      <c r="AG53" s="561"/>
      <c r="AH53" s="100"/>
      <c r="AI53" s="100"/>
      <c r="AJ53" s="100"/>
      <c r="AK53" s="100"/>
      <c r="AL53" s="100"/>
      <c r="AM53" s="100"/>
      <c r="AN53" s="100"/>
      <c r="AO53" s="100"/>
      <c r="AP53" s="100"/>
      <c r="AQ53" s="100"/>
      <c r="AR53" s="100"/>
      <c r="AS53" s="100"/>
      <c r="AT53" s="100"/>
      <c r="AU53" s="100"/>
      <c r="AV53" s="100"/>
      <c r="AW53" s="100"/>
      <c r="AX53" s="100"/>
      <c r="AY53" s="561"/>
      <c r="AZ53" s="561"/>
      <c r="BA53" s="561"/>
      <c r="BB53" s="100"/>
      <c r="BC53" s="100"/>
      <c r="BD53" s="100"/>
      <c r="BE53" s="100"/>
      <c r="BF53" s="100"/>
      <c r="BG53" s="100"/>
      <c r="BH53" s="100"/>
      <c r="BI53" s="100"/>
      <c r="BJ53" s="100"/>
      <c r="BK53" s="100"/>
      <c r="BL53" s="100"/>
      <c r="BM53" s="100"/>
      <c r="BN53" s="100"/>
      <c r="BO53" s="100"/>
      <c r="BP53" s="100"/>
      <c r="BQ53" s="100"/>
      <c r="BR53" s="100"/>
      <c r="BS53" s="83"/>
      <c r="BT53" s="83"/>
      <c r="BU53" s="83"/>
      <c r="BX53" s="489" t="s">
        <v>2142</v>
      </c>
      <c r="CE53" s="1501" cm="1" t="str">
        <f t="array" ref="CE53:CE53">CE52</f>
        <v>0</v>
      </c>
      <c r="CF53" s="1501"/>
      <c r="CG53" s="1501"/>
      <c r="CH53" s="1501"/>
      <c r="CI53" s="1501"/>
      <c r="CJ53" s="1501"/>
      <c r="CK53" s="1501"/>
      <c r="CL53" s="1501" t="s">
        <v>449</v>
      </c>
      <c r="CM53" s="1501"/>
      <c r="CN53" s="1501" t="s">
        <v>303</v>
      </c>
      <c r="CO53" s="1501" t="s">
        <v>2144</v>
      </c>
      <c r="CP53" s="1501" t="s">
        <v>2145</v>
      </c>
    </row>
    <row s="969" customFormat="1" customHeight="1" ht="16.5">
      <c r="A54" s="969"/>
      <c r="B54" s="969"/>
      <c r="C54" s="969"/>
      <c r="D54" s="969"/>
      <c r="E54" s="180">
        <v>17</v>
      </c>
      <c r="F54" s="193" cm="1" t="str">
        <f t="array" ref="F54:F54">X54</f>
        <v>1</v>
      </c>
      <c r="G54" s="193" cm="1" t="str">
        <f t="array" ref="G54:G54">INDEX('Общие сведения'!$AK$169:$AK$202,MATCH($F54,'Общие сведения'!$Y$169:$Y$202,0))</f>
        <v>одноставочный</v>
      </c>
      <c r="H54" s="969"/>
      <c r="I54" s="193" cm="1" t="str">
        <f t="array" ref="I54:I54">INDEX('Общие сведения'!$AE$169:$AE$202,MATCH($F54,'Общие сведения'!$Y$169:$Y$202,0))</f>
        <v>Теплоснабжение</v>
      </c>
      <c r="J54" s="969"/>
      <c r="K54" s="193" cm="1" t="str">
        <f t="array" ref="K54:K54">INDEX('Общие сведения'!$AL$169:$AL$202,MATCH($F54,'Общие сведения'!$Y$169:$Y$202,0))</f>
        <v>производство тепловой энергии (мощности) не в режиме комбинированной выработки электрической и тепловой энергии источниками тепловой энергии</v>
      </c>
      <c r="L54" s="969"/>
      <c r="M54" s="969"/>
      <c r="N54" s="969"/>
      <c r="O54" s="969"/>
      <c r="P54" s="969"/>
      <c r="Q54" s="969"/>
      <c r="R54" s="969"/>
      <c r="S54" s="969"/>
      <c r="T54" s="753">
        <f>AND(F54&gt;0,OR(ISBLANK(Y54),Y54&gt;0))</f>
        <v>1</v>
      </c>
      <c r="U54" s="969"/>
      <c r="V54" s="175" cm="1" t="str">
        <f t="array" ref="V54:V54">'Базовый уровень (МСА)'!$AB$51</f>
        <v>Тариф 1 (Теплоснабжение) - Тариф на тепловую энергию (мощность), поставляемую потребителям (Доп. признак не требуется)</v>
      </c>
      <c r="W54" s="969"/>
      <c r="X54" s="1644" t="s">
        <v>308</v>
      </c>
      <c r="Y54" s="969"/>
      <c r="Z54" s="969"/>
      <c r="AA54" s="969"/>
      <c r="AB54" s="688" cm="1" t="str">
        <f t="array" ref="AB54:AB54">IF(ISBLANK('Базовый уровень (МСА)'!$AB$51),"",'Базовый уровень (МСА)'!$AB$51)</f>
        <v>Тариф 1 (Теплоснабжение) - Тариф на тепловую энергию (мощность), поставляемую потребителям (Доп. признак не требуется)</v>
      </c>
      <c r="AC54" s="334"/>
      <c r="AD54" s="334"/>
      <c r="AE54" s="334"/>
      <c r="AF54" s="334"/>
      <c r="AG54" s="334"/>
      <c r="AH54" s="334"/>
      <c r="AI54" s="334"/>
      <c r="AJ54" s="334"/>
      <c r="AK54" s="334"/>
      <c r="AL54" s="334"/>
      <c r="AM54" s="334"/>
      <c r="AN54" s="334"/>
      <c r="AO54" s="334"/>
      <c r="AP54" s="334"/>
      <c r="AQ54" s="334"/>
      <c r="AR54" s="334"/>
      <c r="AS54" s="334"/>
      <c r="AT54" s="334"/>
      <c r="AU54" s="334"/>
      <c r="AV54" s="334"/>
      <c r="AW54" s="334"/>
      <c r="AX54" s="334"/>
      <c r="AY54" s="334"/>
      <c r="AZ54" s="334"/>
      <c r="BA54" s="334"/>
      <c r="BB54" s="334"/>
      <c r="BC54" s="334"/>
      <c r="BD54" s="334"/>
      <c r="BE54" s="334"/>
      <c r="BF54" s="334"/>
      <c r="BG54" s="334"/>
      <c r="BH54" s="334"/>
      <c r="BI54" s="334"/>
      <c r="BJ54" s="334"/>
      <c r="BK54" s="334"/>
      <c r="BL54" s="334"/>
      <c r="BM54" s="334"/>
      <c r="BN54" s="334"/>
      <c r="BO54" s="334"/>
      <c r="BP54" s="334"/>
      <c r="BQ54" s="334"/>
      <c r="BR54" s="334"/>
      <c r="BS54" s="334"/>
      <c r="BT54" s="334"/>
      <c r="BU54" s="334"/>
      <c r="BV54" s="969"/>
      <c r="BW54" s="969"/>
      <c r="BX54" s="489"/>
      <c r="BY54" s="489"/>
      <c r="BZ54" s="489"/>
      <c r="CA54" s="546"/>
      <c r="CB54" s="546"/>
      <c r="CC54" s="969"/>
      <c r="CD54" s="969"/>
      <c r="CE54" s="969"/>
      <c r="CF54" s="969"/>
      <c r="CG54" s="969"/>
      <c r="CH54" s="969"/>
      <c r="CI54" s="969"/>
      <c r="CJ54" s="969"/>
      <c r="CK54" s="969"/>
      <c r="CL54" s="969"/>
      <c r="CM54" s="969"/>
      <c r="CN54" s="969"/>
      <c r="CO54" s="969"/>
      <c r="CP54" s="969"/>
    </row>
    <row s="1751" customFormat="1" customHeight="1" ht="16.5">
      <c r="A55" s="371"/>
      <c r="B55" s="1548"/>
      <c r="C55" s="1659"/>
      <c r="D55" s="1659"/>
      <c r="E55" s="180">
        <v>17</v>
      </c>
      <c r="F55" s="193" cm="1" t="str">
        <f t="array" ref="F55:F55">OFFSET(G55,-1,-1)</f>
        <v>1</v>
      </c>
      <c r="G55" s="1659"/>
      <c r="H55" s="1659"/>
      <c r="I55" s="1659"/>
      <c r="J55" s="1659"/>
      <c r="K55" s="1659"/>
      <c r="L55" s="1659"/>
      <c r="M55" s="1659"/>
      <c r="N55" s="1659"/>
      <c r="O55" s="1659"/>
      <c r="P55" s="1659"/>
      <c r="Q55" s="1659"/>
      <c r="R55" s="1659"/>
      <c r="S55" s="1659"/>
      <c r="T55" s="753">
        <f>AND(F55&gt;0,OR(ISBLANK(Y55),Y55&gt;0))</f>
        <v>1</v>
      </c>
      <c r="U55" s="1548"/>
      <c r="V55" s="1548"/>
      <c r="W55" s="1548"/>
      <c r="X55" s="1548"/>
      <c r="Y55" s="1548"/>
      <c r="Z55" s="1548"/>
      <c r="AA55" s="286"/>
      <c r="AB55" s="327">
        <v>1</v>
      </c>
      <c r="AC55" s="773" t="s">
        <v>2341</v>
      </c>
      <c r="AD55" s="369" t="s">
        <v>1709</v>
      </c>
      <c r="AE55" s="561">
        <f>AE56+AE62+AE72</f>
        <v>0</v>
      </c>
      <c r="AF55" s="561">
        <f>AF56+AF62+AF72</f>
        <v>0</v>
      </c>
      <c r="AG55" s="561">
        <f>AG56+AG62+AG72</f>
        <v>0</v>
      </c>
      <c r="AH55" s="2280">
        <f>AH56+AH62+AH72</f>
        <v>0</v>
      </c>
      <c r="AI55" s="2280">
        <f>AI56+AI62+AI72</f>
        <v>0</v>
      </c>
      <c r="AJ55" s="2280">
        <f>AJ56+AJ62+AJ72</f>
        <v>0</v>
      </c>
      <c r="AK55" s="2280">
        <f>AK56+AK62+AK72</f>
        <v>0</v>
      </c>
      <c r="AL55" s="2280">
        <f>AL56+AL62+AL72</f>
        <v>0</v>
      </c>
      <c r="AM55" s="2280">
        <f>AM56+AM62+AM72</f>
        <v>0</v>
      </c>
      <c r="AN55" s="2280">
        <f>AN56+AN62+AN72</f>
        <v>0</v>
      </c>
      <c r="AO55" s="2280">
        <f>AO56+AO62+AO72</f>
        <v>0</v>
      </c>
      <c r="AP55" s="2280">
        <f>AP56+AP62+AP72</f>
        <v>0</v>
      </c>
      <c r="AQ55" s="2280">
        <f>AQ56+AQ62+AQ72</f>
        <v>0</v>
      </c>
      <c r="AR55" s="2280">
        <f>AR56+AR62+AR72</f>
        <v>0</v>
      </c>
      <c r="AS55" s="2280">
        <f>AS56+AS62+AS72</f>
        <v>0</v>
      </c>
      <c r="AT55" s="2280">
        <f>AT56+AT62+AT72</f>
        <v>0</v>
      </c>
      <c r="AU55" s="2280">
        <f>AU56+AU62+AU72</f>
        <v>0</v>
      </c>
      <c r="AV55" s="2280">
        <f>AV56+AV62+AV72</f>
        <v>0</v>
      </c>
      <c r="AW55" s="2280">
        <f>AW56+AW62+AW72</f>
        <v>0</v>
      </c>
      <c r="AX55" s="2280">
        <f>AX56+AX62+AX72</f>
        <v>0</v>
      </c>
      <c r="AY55" s="561">
        <f>AY56+AY62+AY72</f>
        <v>0</v>
      </c>
      <c r="AZ55" s="561">
        <f>AZ56+AZ62+AZ72</f>
        <v>0</v>
      </c>
      <c r="BA55" s="561">
        <f>BA56+BA62+BA72</f>
        <v>0</v>
      </c>
      <c r="BB55" s="2280">
        <f>BB56+BB62+BB72</f>
        <v>0</v>
      </c>
      <c r="BC55" s="2280">
        <f>BC56+BC62+BC72</f>
        <v>0</v>
      </c>
      <c r="BD55" s="2280">
        <f>BD56+BD62+BD72</f>
        <v>0</v>
      </c>
      <c r="BE55" s="2280">
        <f>BE56+BE62+BE72</f>
        <v>0</v>
      </c>
      <c r="BF55" s="2280">
        <f>BF56+BF62+BF72</f>
        <v>0</v>
      </c>
      <c r="BG55" s="2280">
        <f>BG56+BG62+BG72</f>
        <v>0</v>
      </c>
      <c r="BH55" s="2280">
        <f>BH56+BH62+BH72</f>
        <v>0</v>
      </c>
      <c r="BI55" s="2280">
        <f>BI56+BI62+BI72</f>
        <v>0</v>
      </c>
      <c r="BJ55" s="2280">
        <f>BJ56+BJ62+BJ72</f>
        <v>0</v>
      </c>
      <c r="BK55" s="2280">
        <f>BK56+BK62+BK72</f>
        <v>0</v>
      </c>
      <c r="BL55" s="2280">
        <f>BL56+BL62+BL72</f>
        <v>0</v>
      </c>
      <c r="BM55" s="2280">
        <f>BM56+BM62+BM72</f>
        <v>0</v>
      </c>
      <c r="BN55" s="2280">
        <f>BN56+BN62+BN72</f>
        <v>0</v>
      </c>
      <c r="BO55" s="2280">
        <f>BO56+BO62+BO72</f>
        <v>0</v>
      </c>
      <c r="BP55" s="2280">
        <f>BP56+BP62+BP72</f>
        <v>0</v>
      </c>
      <c r="BQ55" s="2280">
        <f>BQ56+BQ62+BQ72</f>
        <v>0</v>
      </c>
      <c r="BR55" s="2280">
        <f>BR56+BR62+BR72</f>
        <v>0</v>
      </c>
      <c r="BS55" s="1897"/>
      <c r="BT55" s="1897"/>
      <c r="BU55" s="1897"/>
      <c r="BV55" s="286"/>
      <c r="BW55" s="1659"/>
      <c r="BX55" s="489" t="s">
        <v>2342</v>
      </c>
      <c r="BY55" s="1125"/>
      <c r="BZ55" s="1125"/>
      <c r="CA55" s="1126"/>
      <c r="CB55" s="1126"/>
      <c r="CC55" s="1506"/>
      <c r="CD55" s="1506"/>
      <c r="CE55" s="1501" cm="1" t="str">
        <f t="array" ref="CE55:CE55">INDEX('Общие сведения'!$N$170:$N$202,MATCH($F55,'Общие сведения'!$Y$170:$Y$202,0)+1)</f>
        <v>ТЭ.42.31656254.0001</v>
      </c>
      <c r="CF55" s="1501"/>
      <c r="CG55" s="1501"/>
      <c r="CH55" s="1501"/>
      <c r="CI55" s="1501"/>
      <c r="CJ55" s="1501"/>
      <c r="CK55" s="1501"/>
      <c r="CL55" s="1501"/>
      <c r="CM55" s="1501"/>
      <c r="CN55" s="1501" t="s">
        <v>303</v>
      </c>
      <c r="CO55" s="1501" t="s">
        <v>1717</v>
      </c>
      <c r="CP55" s="1501" t="s">
        <v>1718</v>
      </c>
    </row>
    <row s="1751" customFormat="1" customHeight="1" ht="16.5">
      <c r="A56" s="371"/>
      <c r="B56" s="1548"/>
      <c r="C56" s="1659"/>
      <c r="D56" s="1659"/>
      <c r="E56" s="180">
        <v>17</v>
      </c>
      <c r="F56" s="193" cm="1" t="str">
        <f t="array" ref="F56:F56">OFFSET(G56,-1,-1)</f>
        <v>1</v>
      </c>
      <c r="G56" s="1659"/>
      <c r="H56" s="1659"/>
      <c r="I56" s="1659"/>
      <c r="J56" s="1659"/>
      <c r="K56" s="1659"/>
      <c r="L56" s="1659"/>
      <c r="M56" s="1659"/>
      <c r="N56" s="1659"/>
      <c r="O56" s="1659"/>
      <c r="P56" s="1659"/>
      <c r="Q56" s="1659"/>
      <c r="R56" s="1659"/>
      <c r="S56" s="1659"/>
      <c r="T56" s="753">
        <f>AND(F56&gt;0,OR(ISBLANK(Y56),Y56&gt;0))</f>
        <v>1</v>
      </c>
      <c r="U56" s="1548"/>
      <c r="V56" s="1548"/>
      <c r="W56" s="1548"/>
      <c r="X56" s="1548"/>
      <c r="Y56" s="1548"/>
      <c r="Z56" s="1548"/>
      <c r="AA56" s="286"/>
      <c r="AB56" s="327">
        <v>1.1</v>
      </c>
      <c r="AC56" s="885" t="s">
        <v>2343</v>
      </c>
      <c r="AD56" s="369" t="s">
        <v>1709</v>
      </c>
      <c r="AE56" s="561">
        <f>AE57+AE61</f>
        <v>0</v>
      </c>
      <c r="AF56" s="561">
        <f>AF57+AF61</f>
        <v>0</v>
      </c>
      <c r="AG56" s="561">
        <f>AG57+AG61</f>
        <v>0</v>
      </c>
      <c r="AH56" s="2280">
        <f>AH57+AH61</f>
        <v>0</v>
      </c>
      <c r="AI56" s="2280">
        <f>AI57+AI61</f>
        <v>0</v>
      </c>
      <c r="AJ56" s="2280">
        <f>AJ57+AJ61</f>
        <v>0</v>
      </c>
      <c r="AK56" s="2280">
        <f>AK57+AK61</f>
        <v>0</v>
      </c>
      <c r="AL56" s="2280">
        <f>AL57+AL61</f>
        <v>0</v>
      </c>
      <c r="AM56" s="2280">
        <f>AM57+AM61</f>
        <v>0</v>
      </c>
      <c r="AN56" s="2280">
        <f>AN57+AN61</f>
        <v>0</v>
      </c>
      <c r="AO56" s="2280">
        <f>AO57+AO61</f>
        <v>0</v>
      </c>
      <c r="AP56" s="2280">
        <f>AP57+AP61</f>
        <v>0</v>
      </c>
      <c r="AQ56" s="2280">
        <f>AQ57+AQ61</f>
        <v>0</v>
      </c>
      <c r="AR56" s="2280">
        <f>AR57+AR61</f>
        <v>0</v>
      </c>
      <c r="AS56" s="2280">
        <f>AS57+AS61</f>
        <v>0</v>
      </c>
      <c r="AT56" s="2280">
        <f>AT57+AT61</f>
        <v>0</v>
      </c>
      <c r="AU56" s="2280">
        <f>AU57+AU61</f>
        <v>0</v>
      </c>
      <c r="AV56" s="2280">
        <f>AV57+AV61</f>
        <v>0</v>
      </c>
      <c r="AW56" s="2280">
        <f>AW57+AW61</f>
        <v>0</v>
      </c>
      <c r="AX56" s="2280">
        <f>AX57+AX61</f>
        <v>0</v>
      </c>
      <c r="AY56" s="561">
        <f>AY57+AY61</f>
        <v>0</v>
      </c>
      <c r="AZ56" s="561">
        <f>AZ57+AZ61</f>
        <v>0</v>
      </c>
      <c r="BA56" s="561">
        <f>BA57+BA61</f>
        <v>0</v>
      </c>
      <c r="BB56" s="2280">
        <f>BB57+BB61</f>
        <v>0</v>
      </c>
      <c r="BC56" s="2280">
        <f>BC57+BC61</f>
        <v>0</v>
      </c>
      <c r="BD56" s="2280">
        <f>BD57+BD61</f>
        <v>0</v>
      </c>
      <c r="BE56" s="2280">
        <f>BE57+BE61</f>
        <v>0</v>
      </c>
      <c r="BF56" s="2280">
        <f>BF57+BF61</f>
        <v>0</v>
      </c>
      <c r="BG56" s="2280">
        <f>BG57+BG61</f>
        <v>0</v>
      </c>
      <c r="BH56" s="2280">
        <f>BH57+BH61</f>
        <v>0</v>
      </c>
      <c r="BI56" s="2280">
        <f>BI57+BI61</f>
        <v>0</v>
      </c>
      <c r="BJ56" s="2280">
        <f>BJ57+BJ61</f>
        <v>0</v>
      </c>
      <c r="BK56" s="2280">
        <f>BK57+BK61</f>
        <v>0</v>
      </c>
      <c r="BL56" s="2280">
        <f>BL57+BL61</f>
        <v>0</v>
      </c>
      <c r="BM56" s="2280">
        <f>BM57+BM61</f>
        <v>0</v>
      </c>
      <c r="BN56" s="2280">
        <f>BN57+BN61</f>
        <v>0</v>
      </c>
      <c r="BO56" s="2280">
        <f>BO57+BO61</f>
        <v>0</v>
      </c>
      <c r="BP56" s="2280">
        <f>BP57+BP61</f>
        <v>0</v>
      </c>
      <c r="BQ56" s="2280">
        <f>BQ57+BQ61</f>
        <v>0</v>
      </c>
      <c r="BR56" s="2280">
        <f>BR57+BR61</f>
        <v>0</v>
      </c>
      <c r="BS56" s="1897"/>
      <c r="BT56" s="1897"/>
      <c r="BU56" s="1897"/>
      <c r="BV56" s="286"/>
      <c r="BW56" s="1659"/>
      <c r="BX56" s="489" t="s">
        <v>2344</v>
      </c>
      <c r="BY56" s="1125"/>
      <c r="BZ56" s="1125"/>
      <c r="CA56" s="1126"/>
      <c r="CB56" s="1126"/>
      <c r="CC56" s="1506"/>
      <c r="CD56" s="1506"/>
      <c r="CE56" s="1501" cm="1" t="str">
        <f t="array" ref="CE56:CE56">CE55</f>
        <v>ТЭ.42.31656254.0001</v>
      </c>
      <c r="CF56" s="1501" t="s">
        <v>2345</v>
      </c>
      <c r="CG56" s="1501" t="s">
        <v>2346</v>
      </c>
      <c r="CH56" s="1501"/>
      <c r="CI56" s="1501"/>
      <c r="CJ56" s="1501"/>
      <c r="CK56" s="1501"/>
      <c r="CL56" s="1501"/>
      <c r="CM56" s="1501"/>
      <c r="CN56" s="1501" t="s">
        <v>303</v>
      </c>
      <c r="CO56" s="1501" t="s">
        <v>1717</v>
      </c>
      <c r="CP56" s="1501" t="s">
        <v>1718</v>
      </c>
    </row>
    <row s="1751" customFormat="1" customHeight="1" ht="16.5">
      <c r="A57" s="371"/>
      <c r="B57" s="1548"/>
      <c r="C57" s="1659"/>
      <c r="D57" s="1659"/>
      <c r="E57" s="180">
        <v>17</v>
      </c>
      <c r="F57" s="193" cm="1" t="str">
        <f t="array" ref="F57:F57">OFFSET(G57,-1,-1)</f>
        <v>1</v>
      </c>
      <c r="G57" s="1659"/>
      <c r="H57" s="1659"/>
      <c r="I57" s="1659"/>
      <c r="J57" s="1659"/>
      <c r="K57" s="1659"/>
      <c r="L57" s="1659"/>
      <c r="M57" s="1659"/>
      <c r="N57" s="1659"/>
      <c r="O57" s="1659"/>
      <c r="P57" s="1659"/>
      <c r="Q57" s="1659"/>
      <c r="R57" s="1659"/>
      <c r="S57" s="1659"/>
      <c r="T57" s="753">
        <f>AND(F57&gt;0,OR(ISBLANK(Y57),Y57&gt;0))</f>
        <v>1</v>
      </c>
      <c r="U57" s="1548"/>
      <c r="V57" s="1548"/>
      <c r="W57" s="1548"/>
      <c r="X57" s="1548"/>
      <c r="Y57" s="1548"/>
      <c r="Z57" s="1548"/>
      <c r="AA57" s="286"/>
      <c r="AB57" s="352" t="s">
        <v>1339</v>
      </c>
      <c r="AC57" s="355" t="s">
        <v>2347</v>
      </c>
      <c r="AD57" s="886" t="s">
        <v>1709</v>
      </c>
      <c r="AE57" s="561"/>
      <c r="AF57" s="561"/>
      <c r="AG57" s="561"/>
      <c r="AH57" s="2280"/>
      <c r="AI57" s="2280"/>
      <c r="AJ57" s="2280"/>
      <c r="AK57" s="2280"/>
      <c r="AL57" s="2280"/>
      <c r="AM57" s="2280"/>
      <c r="AN57" s="2280"/>
      <c r="AO57" s="2280"/>
      <c r="AP57" s="2280"/>
      <c r="AQ57" s="2280"/>
      <c r="AR57" s="2280"/>
      <c r="AS57" s="2280"/>
      <c r="AT57" s="2280"/>
      <c r="AU57" s="2280"/>
      <c r="AV57" s="2280"/>
      <c r="AW57" s="2280"/>
      <c r="AX57" s="2280"/>
      <c r="AY57" s="561"/>
      <c r="AZ57" s="561"/>
      <c r="BA57" s="561"/>
      <c r="BB57" s="2280"/>
      <c r="BC57" s="2280"/>
      <c r="BD57" s="2280"/>
      <c r="BE57" s="2280"/>
      <c r="BF57" s="2280"/>
      <c r="BG57" s="2280"/>
      <c r="BH57" s="2280"/>
      <c r="BI57" s="2280"/>
      <c r="BJ57" s="2280"/>
      <c r="BK57" s="2280"/>
      <c r="BL57" s="2280"/>
      <c r="BM57" s="2280"/>
      <c r="BN57" s="2280"/>
      <c r="BO57" s="2280"/>
      <c r="BP57" s="2280"/>
      <c r="BQ57" s="2280"/>
      <c r="BR57" s="2280"/>
      <c r="BS57" s="1897"/>
      <c r="BT57" s="1897"/>
      <c r="BU57" s="1897"/>
      <c r="BV57" s="286"/>
      <c r="BW57" s="1659"/>
      <c r="BX57" s="489" t="s">
        <v>2348</v>
      </c>
      <c r="BY57" s="1125"/>
      <c r="BZ57" s="1125"/>
      <c r="CA57" s="1126"/>
      <c r="CB57" s="1126"/>
      <c r="CC57" s="1506"/>
      <c r="CD57" s="1506"/>
      <c r="CE57" s="1501" cm="1" t="str">
        <f t="array" ref="CE57:CE57">CE56</f>
        <v>ТЭ.42.31656254.0001</v>
      </c>
      <c r="CF57" s="1501" t="s">
        <v>2345</v>
      </c>
      <c r="CG57" s="1501" t="s">
        <v>2349</v>
      </c>
      <c r="CH57" s="1501"/>
      <c r="CI57" s="1501"/>
      <c r="CJ57" s="1501"/>
      <c r="CK57" s="1501"/>
      <c r="CL57" s="1501"/>
      <c r="CM57" s="1501"/>
      <c r="CN57" s="1501" t="s">
        <v>303</v>
      </c>
      <c r="CO57" s="1501" t="s">
        <v>1717</v>
      </c>
      <c r="CP57" s="1501" t="s">
        <v>1718</v>
      </c>
    </row>
    <row s="1751" customFormat="1" customHeight="1" ht="16.5">
      <c r="A58" s="371"/>
      <c r="B58" s="1548"/>
      <c r="C58" s="1659"/>
      <c r="D58" s="1659"/>
      <c r="E58" s="180">
        <v>17</v>
      </c>
      <c r="F58" s="193" cm="1" t="str">
        <f t="array" ref="F58:F58">OFFSET(G58,-1,-1)</f>
        <v>1</v>
      </c>
      <c r="G58" s="1659"/>
      <c r="H58" s="1659"/>
      <c r="I58" s="1659"/>
      <c r="J58" s="1659"/>
      <c r="K58" s="1659"/>
      <c r="L58" s="1659"/>
      <c r="M58" s="1659"/>
      <c r="N58" s="1659"/>
      <c r="O58" s="1659"/>
      <c r="P58" s="1659"/>
      <c r="Q58" s="1659"/>
      <c r="R58" s="1659"/>
      <c r="S58" s="1659"/>
      <c r="T58" s="753">
        <f>AND(F58&gt;0,OR(ISBLANK(Y58),Y58&gt;0))</f>
        <v>1</v>
      </c>
      <c r="U58" s="1548"/>
      <c r="V58" s="1548"/>
      <c r="W58" s="1548"/>
      <c r="X58" s="1548"/>
      <c r="Y58" s="1548"/>
      <c r="Z58" s="1548"/>
      <c r="AA58" s="286"/>
      <c r="AB58" s="352" t="s">
        <v>2350</v>
      </c>
      <c r="AC58" s="589" t="s">
        <v>2351</v>
      </c>
      <c r="AD58" s="886" t="s">
        <v>1709</v>
      </c>
      <c r="AE58" s="561"/>
      <c r="AF58" s="561"/>
      <c r="AG58" s="561"/>
      <c r="AH58" s="2280"/>
      <c r="AI58" s="2280"/>
      <c r="AJ58" s="2280"/>
      <c r="AK58" s="2280"/>
      <c r="AL58" s="2280"/>
      <c r="AM58" s="2280"/>
      <c r="AN58" s="2280"/>
      <c r="AO58" s="2280"/>
      <c r="AP58" s="2280"/>
      <c r="AQ58" s="2280"/>
      <c r="AR58" s="2280"/>
      <c r="AS58" s="2280"/>
      <c r="AT58" s="2280"/>
      <c r="AU58" s="2280"/>
      <c r="AV58" s="2280"/>
      <c r="AW58" s="2280"/>
      <c r="AX58" s="2280"/>
      <c r="AY58" s="561"/>
      <c r="AZ58" s="561"/>
      <c r="BA58" s="561"/>
      <c r="BB58" s="2280"/>
      <c r="BC58" s="2280"/>
      <c r="BD58" s="2280"/>
      <c r="BE58" s="2280"/>
      <c r="BF58" s="2280"/>
      <c r="BG58" s="2280"/>
      <c r="BH58" s="2280"/>
      <c r="BI58" s="2280"/>
      <c r="BJ58" s="2280"/>
      <c r="BK58" s="2280"/>
      <c r="BL58" s="2280"/>
      <c r="BM58" s="2280"/>
      <c r="BN58" s="2280"/>
      <c r="BO58" s="2280"/>
      <c r="BP58" s="2280"/>
      <c r="BQ58" s="2280"/>
      <c r="BR58" s="2280"/>
      <c r="BS58" s="1897"/>
      <c r="BT58" s="1897"/>
      <c r="BU58" s="1897"/>
      <c r="BV58" s="286"/>
      <c r="BW58" s="1659"/>
      <c r="BX58" s="489" t="s">
        <v>2352</v>
      </c>
      <c r="BY58" s="1125"/>
      <c r="BZ58" s="1125"/>
      <c r="CA58" s="1126"/>
      <c r="CB58" s="1126"/>
      <c r="CC58" s="1506"/>
      <c r="CD58" s="1506"/>
      <c r="CE58" s="1501" cm="1" t="str">
        <f t="array" ref="CE58:CE58">CE57</f>
        <v>ТЭ.42.31656254.0001</v>
      </c>
      <c r="CF58" s="1501" t="s">
        <v>2345</v>
      </c>
      <c r="CG58" s="1501" t="s">
        <v>2349</v>
      </c>
      <c r="CH58" s="1501" t="s">
        <v>600</v>
      </c>
      <c r="CI58" s="1501"/>
      <c r="CJ58" s="1501"/>
      <c r="CK58" s="1501"/>
      <c r="CL58" s="1501"/>
      <c r="CM58" s="1501"/>
      <c r="CN58" s="1501" t="s">
        <v>303</v>
      </c>
      <c r="CO58" s="1501" t="s">
        <v>1717</v>
      </c>
      <c r="CP58" s="1501" t="s">
        <v>1718</v>
      </c>
    </row>
    <row s="1751" customFormat="1" customHeight="1" ht="33.75">
      <c r="A59" s="371"/>
      <c r="B59" s="1548"/>
      <c r="C59" s="1659"/>
      <c r="D59" s="1659"/>
      <c r="E59" s="180">
        <v>35</v>
      </c>
      <c r="F59" s="193" cm="1" t="str">
        <f t="array" ref="F59:F59">OFFSET(G59,-1,-1)</f>
        <v>1</v>
      </c>
      <c r="G59" s="1659"/>
      <c r="H59" s="1659"/>
      <c r="I59" s="1659"/>
      <c r="J59" s="1659"/>
      <c r="K59" s="1659"/>
      <c r="L59" s="1659"/>
      <c r="M59" s="1659"/>
      <c r="N59" s="1659"/>
      <c r="O59" s="1659"/>
      <c r="P59" s="1659"/>
      <c r="Q59" s="1659"/>
      <c r="R59" s="1659"/>
      <c r="S59" s="1659"/>
      <c r="T59" s="753">
        <f>AND(F59&gt;0,OR(ISBLANK(Y59),Y59&gt;0))</f>
        <v>1</v>
      </c>
      <c r="U59" s="1548"/>
      <c r="V59" s="1548"/>
      <c r="W59" s="1548"/>
      <c r="X59" s="1548"/>
      <c r="Y59" s="1548"/>
      <c r="Z59" s="1548"/>
      <c r="AA59" s="286"/>
      <c r="AB59" s="352" t="s">
        <v>2353</v>
      </c>
      <c r="AC59" s="350" t="s">
        <v>2354</v>
      </c>
      <c r="AD59" s="886" t="s">
        <v>1709</v>
      </c>
      <c r="AE59" s="561"/>
      <c r="AF59" s="561"/>
      <c r="AG59" s="561"/>
      <c r="AH59" s="2280"/>
      <c r="AI59" s="2280"/>
      <c r="AJ59" s="2280"/>
      <c r="AK59" s="2280"/>
      <c r="AL59" s="2280"/>
      <c r="AM59" s="2280"/>
      <c r="AN59" s="2280"/>
      <c r="AO59" s="2280"/>
      <c r="AP59" s="2280"/>
      <c r="AQ59" s="2280"/>
      <c r="AR59" s="2280"/>
      <c r="AS59" s="2280"/>
      <c r="AT59" s="2280"/>
      <c r="AU59" s="2280"/>
      <c r="AV59" s="2280"/>
      <c r="AW59" s="2280"/>
      <c r="AX59" s="2280"/>
      <c r="AY59" s="561"/>
      <c r="AZ59" s="561"/>
      <c r="BA59" s="561"/>
      <c r="BB59" s="2280"/>
      <c r="BC59" s="2280"/>
      <c r="BD59" s="2280"/>
      <c r="BE59" s="2280"/>
      <c r="BF59" s="2280"/>
      <c r="BG59" s="2280"/>
      <c r="BH59" s="2280"/>
      <c r="BI59" s="2280"/>
      <c r="BJ59" s="2280"/>
      <c r="BK59" s="2280"/>
      <c r="BL59" s="2280"/>
      <c r="BM59" s="2280"/>
      <c r="BN59" s="2280"/>
      <c r="BO59" s="2280"/>
      <c r="BP59" s="2280"/>
      <c r="BQ59" s="2280"/>
      <c r="BR59" s="2280"/>
      <c r="BS59" s="1897"/>
      <c r="BT59" s="1897"/>
      <c r="BU59" s="1897"/>
      <c r="BV59" s="286"/>
      <c r="BW59" s="1659"/>
      <c r="BX59" s="489" t="s">
        <v>2355</v>
      </c>
      <c r="BY59" s="1125"/>
      <c r="BZ59" s="1125"/>
      <c r="CA59" s="1126"/>
      <c r="CB59" s="1126"/>
      <c r="CC59" s="1506"/>
      <c r="CD59" s="1506"/>
      <c r="CE59" s="1501" cm="1" t="str">
        <f t="array" ref="CE59:CE59">CE58</f>
        <v>ТЭ.42.31656254.0001</v>
      </c>
      <c r="CF59" s="1501" t="s">
        <v>2345</v>
      </c>
      <c r="CG59" s="1501" t="s">
        <v>2349</v>
      </c>
      <c r="CH59" s="1501" t="s">
        <v>2356</v>
      </c>
      <c r="CI59" s="1501"/>
      <c r="CJ59" s="1501"/>
      <c r="CK59" s="1501"/>
      <c r="CL59" s="1501"/>
      <c r="CM59" s="1501"/>
      <c r="CN59" s="1501" t="s">
        <v>303</v>
      </c>
      <c r="CO59" s="1501" t="s">
        <v>1857</v>
      </c>
      <c r="CP59" s="1501" t="s">
        <v>1858</v>
      </c>
    </row>
    <row s="1751" customFormat="1" customHeight="1" ht="16.5">
      <c r="A60" s="371"/>
      <c r="B60" s="1548"/>
      <c r="C60" s="1659"/>
      <c r="D60" s="1659"/>
      <c r="E60" s="180">
        <v>17</v>
      </c>
      <c r="F60" s="193" cm="1" t="str">
        <f t="array" ref="F60:F60">OFFSET(G60,-1,-1)</f>
        <v>1</v>
      </c>
      <c r="G60" s="1659"/>
      <c r="H60" s="1659"/>
      <c r="I60" s="1659"/>
      <c r="J60" s="1659"/>
      <c r="K60" s="1659"/>
      <c r="L60" s="1659"/>
      <c r="M60" s="1659"/>
      <c r="N60" s="1659"/>
      <c r="O60" s="1659"/>
      <c r="P60" s="1659"/>
      <c r="Q60" s="1659"/>
      <c r="R60" s="1659"/>
      <c r="S60" s="1659"/>
      <c r="T60" s="753">
        <f>AND(F60&gt;0,OR(ISBLANK(Y60),Y60&gt;0))</f>
        <v>1</v>
      </c>
      <c r="U60" s="1548"/>
      <c r="V60" s="1548"/>
      <c r="W60" s="1548"/>
      <c r="X60" s="1548"/>
      <c r="Y60" s="1548"/>
      <c r="Z60" s="1548"/>
      <c r="AA60" s="286"/>
      <c r="AB60" s="352" t="s">
        <v>2357</v>
      </c>
      <c r="AC60" s="350" t="s">
        <v>2358</v>
      </c>
      <c r="AD60" s="886" t="s">
        <v>1709</v>
      </c>
      <c r="AE60" s="561"/>
      <c r="AF60" s="561"/>
      <c r="AG60" s="561"/>
      <c r="AH60" s="2280"/>
      <c r="AI60" s="2280"/>
      <c r="AJ60" s="2280"/>
      <c r="AK60" s="2280"/>
      <c r="AL60" s="2280"/>
      <c r="AM60" s="2280"/>
      <c r="AN60" s="2280"/>
      <c r="AO60" s="2280"/>
      <c r="AP60" s="2280"/>
      <c r="AQ60" s="2280"/>
      <c r="AR60" s="2280"/>
      <c r="AS60" s="2280"/>
      <c r="AT60" s="2280"/>
      <c r="AU60" s="2280"/>
      <c r="AV60" s="2280"/>
      <c r="AW60" s="2280"/>
      <c r="AX60" s="2280"/>
      <c r="AY60" s="561"/>
      <c r="AZ60" s="561"/>
      <c r="BA60" s="561"/>
      <c r="BB60" s="2280"/>
      <c r="BC60" s="2280"/>
      <c r="BD60" s="2280"/>
      <c r="BE60" s="2280"/>
      <c r="BF60" s="2280"/>
      <c r="BG60" s="2280"/>
      <c r="BH60" s="2280"/>
      <c r="BI60" s="2280"/>
      <c r="BJ60" s="2280"/>
      <c r="BK60" s="2280"/>
      <c r="BL60" s="2280"/>
      <c r="BM60" s="2280"/>
      <c r="BN60" s="2280"/>
      <c r="BO60" s="2280"/>
      <c r="BP60" s="2280"/>
      <c r="BQ60" s="2280"/>
      <c r="BR60" s="2280"/>
      <c r="BS60" s="1897"/>
      <c r="BT60" s="1897"/>
      <c r="BU60" s="1897"/>
      <c r="BV60" s="286"/>
      <c r="BW60" s="1659"/>
      <c r="BX60" s="489" t="s">
        <v>2359</v>
      </c>
      <c r="BY60" s="1125"/>
      <c r="BZ60" s="1125"/>
      <c r="CA60" s="1126"/>
      <c r="CB60" s="1126"/>
      <c r="CC60" s="1506"/>
      <c r="CD60" s="1506"/>
      <c r="CE60" s="1501" cm="1" t="str">
        <f t="array" ref="CE60:CE60">CE59</f>
        <v>ТЭ.42.31656254.0001</v>
      </c>
      <c r="CF60" s="1501" t="s">
        <v>2345</v>
      </c>
      <c r="CG60" s="1501" t="s">
        <v>2349</v>
      </c>
      <c r="CH60" s="1501" t="s">
        <v>2050</v>
      </c>
      <c r="CI60" s="1501"/>
      <c r="CJ60" s="1501"/>
      <c r="CK60" s="1501"/>
      <c r="CL60" s="1501"/>
      <c r="CM60" s="1501"/>
      <c r="CN60" s="1501" t="s">
        <v>303</v>
      </c>
      <c r="CO60" s="1501" t="s">
        <v>1857</v>
      </c>
      <c r="CP60" s="1501" t="s">
        <v>1858</v>
      </c>
    </row>
    <row s="1751" customFormat="1" customHeight="1" ht="16.5">
      <c r="A61" s="371"/>
      <c r="B61" s="1548"/>
      <c r="C61" s="1659"/>
      <c r="D61" s="1659"/>
      <c r="E61" s="180">
        <v>17</v>
      </c>
      <c r="F61" s="193" cm="1" t="str">
        <f t="array" ref="F61:F61">OFFSET(G61,-1,-1)</f>
        <v>1</v>
      </c>
      <c r="G61" s="1659"/>
      <c r="H61" s="1659"/>
      <c r="I61" s="1659"/>
      <c r="J61" s="1659"/>
      <c r="K61" s="1659"/>
      <c r="L61" s="1659"/>
      <c r="M61" s="1659"/>
      <c r="N61" s="1659"/>
      <c r="O61" s="1659"/>
      <c r="P61" s="1659"/>
      <c r="Q61" s="1659"/>
      <c r="R61" s="1659"/>
      <c r="S61" s="1659"/>
      <c r="T61" s="753">
        <f>AND(F61&gt;0,OR(ISBLANK(Y61),Y61&gt;0))</f>
        <v>1</v>
      </c>
      <c r="U61" s="1548"/>
      <c r="V61" s="1548"/>
      <c r="W61" s="1548"/>
      <c r="X61" s="1548"/>
      <c r="Y61" s="1548"/>
      <c r="Z61" s="1548"/>
      <c r="AA61" s="286"/>
      <c r="AB61" s="887" t="s">
        <v>1344</v>
      </c>
      <c r="AC61" s="355" t="s">
        <v>2360</v>
      </c>
      <c r="AD61" s="886" t="s">
        <v>1709</v>
      </c>
      <c r="AE61" s="561"/>
      <c r="AF61" s="561"/>
      <c r="AG61" s="561"/>
      <c r="AH61" s="2280"/>
      <c r="AI61" s="2280"/>
      <c r="AJ61" s="2280"/>
      <c r="AK61" s="2280"/>
      <c r="AL61" s="2280"/>
      <c r="AM61" s="2280"/>
      <c r="AN61" s="2280"/>
      <c r="AO61" s="2280"/>
      <c r="AP61" s="2280"/>
      <c r="AQ61" s="2280"/>
      <c r="AR61" s="2280"/>
      <c r="AS61" s="2280"/>
      <c r="AT61" s="2280"/>
      <c r="AU61" s="2280"/>
      <c r="AV61" s="2280"/>
      <c r="AW61" s="2280"/>
      <c r="AX61" s="2280"/>
      <c r="AY61" s="561"/>
      <c r="AZ61" s="561"/>
      <c r="BA61" s="561"/>
      <c r="BB61" s="2280"/>
      <c r="BC61" s="2280"/>
      <c r="BD61" s="2280"/>
      <c r="BE61" s="2280"/>
      <c r="BF61" s="2280"/>
      <c r="BG61" s="2280"/>
      <c r="BH61" s="2280"/>
      <c r="BI61" s="2280"/>
      <c r="BJ61" s="2280"/>
      <c r="BK61" s="2280"/>
      <c r="BL61" s="2280"/>
      <c r="BM61" s="2280"/>
      <c r="BN61" s="2280"/>
      <c r="BO61" s="2280"/>
      <c r="BP61" s="2280"/>
      <c r="BQ61" s="2280"/>
      <c r="BR61" s="2280"/>
      <c r="BS61" s="1897"/>
      <c r="BT61" s="1897"/>
      <c r="BU61" s="1897"/>
      <c r="BV61" s="286"/>
      <c r="BW61" s="1659"/>
      <c r="BX61" s="489" t="s">
        <v>2361</v>
      </c>
      <c r="BY61" s="1125"/>
      <c r="BZ61" s="1125"/>
      <c r="CA61" s="1126"/>
      <c r="CB61" s="1126"/>
      <c r="CC61" s="1506"/>
      <c r="CD61" s="1506"/>
      <c r="CE61" s="1501" cm="1" t="str">
        <f t="array" ref="CE61:CE61">CE60</f>
        <v>ТЭ.42.31656254.0001</v>
      </c>
      <c r="CF61" s="1501" t="s">
        <v>2345</v>
      </c>
      <c r="CG61" s="1501" t="s">
        <v>2362</v>
      </c>
      <c r="CH61" s="1501"/>
      <c r="CI61" s="1501"/>
      <c r="CJ61" s="1501"/>
      <c r="CK61" s="1501"/>
      <c r="CL61" s="1501"/>
      <c r="CM61" s="1501"/>
      <c r="CN61" s="1501" t="s">
        <v>303</v>
      </c>
      <c r="CO61" s="1501" t="s">
        <v>1717</v>
      </c>
      <c r="CP61" s="1501" t="s">
        <v>1718</v>
      </c>
    </row>
    <row s="1751" customFormat="1" customHeight="1" ht="33.75">
      <c r="A62" s="371"/>
      <c r="B62" s="1548"/>
      <c r="C62" s="1659"/>
      <c r="D62" s="1659"/>
      <c r="E62" s="180">
        <v>35</v>
      </c>
      <c r="F62" s="193" cm="1" t="str">
        <f t="array" ref="F62:F62">OFFSET(G62,-1,-1)</f>
        <v>1</v>
      </c>
      <c r="G62" s="1659"/>
      <c r="H62" s="1659"/>
      <c r="I62" s="1659"/>
      <c r="J62" s="1659"/>
      <c r="K62" s="1659"/>
      <c r="L62" s="1659"/>
      <c r="M62" s="1659"/>
      <c r="N62" s="1659"/>
      <c r="O62" s="1659"/>
      <c r="P62" s="1659"/>
      <c r="Q62" s="1659"/>
      <c r="R62" s="1659"/>
      <c r="S62" s="1659"/>
      <c r="T62" s="753">
        <f>AND(F62&gt;0,OR(ISBLANK(Y62),Y62&gt;0))</f>
        <v>1</v>
      </c>
      <c r="U62" s="1548"/>
      <c r="V62" s="1548"/>
      <c r="W62" s="1548"/>
      <c r="X62" s="1548"/>
      <c r="Y62" s="1548"/>
      <c r="Z62" s="1548"/>
      <c r="AA62" s="286"/>
      <c r="AB62" s="352">
        <v>1.2</v>
      </c>
      <c r="AC62" s="368" t="s">
        <v>2363</v>
      </c>
      <c r="AD62" s="886" t="s">
        <v>1709</v>
      </c>
      <c r="AE62" s="561">
        <f>AE63+AE66+AE69</f>
        <v>0</v>
      </c>
      <c r="AF62" s="561">
        <f>AF63+AF66+AF69</f>
        <v>0</v>
      </c>
      <c r="AG62" s="561">
        <f>AG63+AG66+AG69</f>
        <v>0</v>
      </c>
      <c r="AH62" s="2280">
        <f>AH63+AH66+AH69</f>
        <v>0</v>
      </c>
      <c r="AI62" s="2280">
        <f>AI63+AI66+AI69</f>
        <v>0</v>
      </c>
      <c r="AJ62" s="2280">
        <f>AJ63+AJ66+AJ69</f>
        <v>0</v>
      </c>
      <c r="AK62" s="2280">
        <f>AK63+AK66+AK69</f>
        <v>0</v>
      </c>
      <c r="AL62" s="2280">
        <f>AL63+AL66+AL69</f>
        <v>0</v>
      </c>
      <c r="AM62" s="2280">
        <f>AM63+AM66+AM69</f>
        <v>0</v>
      </c>
      <c r="AN62" s="2280">
        <f>AN63+AN66+AN69</f>
        <v>0</v>
      </c>
      <c r="AO62" s="2280">
        <f>AO63+AO66+AO69</f>
        <v>0</v>
      </c>
      <c r="AP62" s="2280">
        <f>AP63+AP66+AP69</f>
        <v>0</v>
      </c>
      <c r="AQ62" s="2280">
        <f>AQ63+AQ66+AQ69</f>
        <v>0</v>
      </c>
      <c r="AR62" s="2280">
        <f>AR63+AR66+AR69</f>
        <v>0</v>
      </c>
      <c r="AS62" s="2280">
        <f>AS63+AS66+AS69</f>
        <v>0</v>
      </c>
      <c r="AT62" s="2280">
        <f>AT63+AT66+AT69</f>
        <v>0</v>
      </c>
      <c r="AU62" s="2280">
        <f>AU63+AU66+AU69</f>
        <v>0</v>
      </c>
      <c r="AV62" s="2280">
        <f>AV63+AV66+AV69</f>
        <v>0</v>
      </c>
      <c r="AW62" s="2280">
        <f>AW63+AW66+AW69</f>
        <v>0</v>
      </c>
      <c r="AX62" s="2280">
        <f>AX63+AX66+AX69</f>
        <v>0</v>
      </c>
      <c r="AY62" s="561">
        <f>AY63+AY66+AY69</f>
        <v>0</v>
      </c>
      <c r="AZ62" s="561">
        <f>AZ63+AZ66+AZ69</f>
        <v>0</v>
      </c>
      <c r="BA62" s="561">
        <f>BA63+BA66+BA69</f>
        <v>0</v>
      </c>
      <c r="BB62" s="2280">
        <f>BB63+BB66+BB69</f>
        <v>0</v>
      </c>
      <c r="BC62" s="2280">
        <f>BC63+BC66+BC69</f>
        <v>0</v>
      </c>
      <c r="BD62" s="2280">
        <f>BD63+BD66+BD69</f>
        <v>0</v>
      </c>
      <c r="BE62" s="2280">
        <f>BE63+BE66+BE69</f>
        <v>0</v>
      </c>
      <c r="BF62" s="2280">
        <f>BF63+BF66+BF69</f>
        <v>0</v>
      </c>
      <c r="BG62" s="2280">
        <f>BG63+BG66+BG69</f>
        <v>0</v>
      </c>
      <c r="BH62" s="2280">
        <f>BH63+BH66+BH69</f>
        <v>0</v>
      </c>
      <c r="BI62" s="2280">
        <f>BI63+BI66+BI69</f>
        <v>0</v>
      </c>
      <c r="BJ62" s="2280">
        <f>BJ63+BJ66+BJ69</f>
        <v>0</v>
      </c>
      <c r="BK62" s="2280">
        <f>BK63+BK66+BK69</f>
        <v>0</v>
      </c>
      <c r="BL62" s="2280">
        <f>BL63+BL66+BL69</f>
        <v>0</v>
      </c>
      <c r="BM62" s="2280">
        <f>BM63+BM66+BM69</f>
        <v>0</v>
      </c>
      <c r="BN62" s="2280">
        <f>BN63+BN66+BN69</f>
        <v>0</v>
      </c>
      <c r="BO62" s="2280">
        <f>BO63+BO66+BO69</f>
        <v>0</v>
      </c>
      <c r="BP62" s="2280">
        <f>BP63+BP66+BP69</f>
        <v>0</v>
      </c>
      <c r="BQ62" s="2280">
        <f>BQ63+BQ66+BQ69</f>
        <v>0</v>
      </c>
      <c r="BR62" s="2280">
        <f>BR63+BR66+BR69</f>
        <v>0</v>
      </c>
      <c r="BS62" s="1897"/>
      <c r="BT62" s="1897"/>
      <c r="BU62" s="1897"/>
      <c r="BV62" s="286"/>
      <c r="BW62" s="1659"/>
      <c r="BX62" s="489" t="s">
        <v>2364</v>
      </c>
      <c r="BY62" s="1125"/>
      <c r="BZ62" s="1125"/>
      <c r="CA62" s="1126"/>
      <c r="CB62" s="1126"/>
      <c r="CC62" s="1506"/>
      <c r="CD62" s="1506"/>
      <c r="CE62" s="1501" cm="1" t="str">
        <f t="array" ref="CE62:CE62">CE61</f>
        <v>ТЭ.42.31656254.0001</v>
      </c>
      <c r="CF62" s="1501" t="s">
        <v>2365</v>
      </c>
      <c r="CG62" s="1501"/>
      <c r="CH62" s="1501"/>
      <c r="CI62" s="1501"/>
      <c r="CJ62" s="1501"/>
      <c r="CK62" s="1501"/>
      <c r="CL62" s="1501"/>
      <c r="CM62" s="1501"/>
      <c r="CN62" s="1501" t="s">
        <v>303</v>
      </c>
      <c r="CO62" s="1501" t="s">
        <v>1717</v>
      </c>
      <c r="CP62" s="1501" t="s">
        <v>1718</v>
      </c>
    </row>
    <row s="1751" customFormat="1" customHeight="1" ht="16.5">
      <c r="A63" s="371"/>
      <c r="B63" s="1548"/>
      <c r="C63" s="1659"/>
      <c r="D63" s="1659"/>
      <c r="E63" s="180">
        <v>17</v>
      </c>
      <c r="F63" s="193" cm="1" t="str">
        <f t="array" ref="F63:F63">OFFSET(G63,-1,-1)</f>
        <v>1</v>
      </c>
      <c r="G63" s="1659"/>
      <c r="H63" s="1659"/>
      <c r="I63" s="1659"/>
      <c r="J63" s="1659"/>
      <c r="K63" s="1659"/>
      <c r="L63" s="1659"/>
      <c r="M63" s="1659"/>
      <c r="N63" s="1659"/>
      <c r="O63" s="1659"/>
      <c r="P63" s="1659"/>
      <c r="Q63" s="1659"/>
      <c r="R63" s="1659"/>
      <c r="S63" s="1659"/>
      <c r="T63" s="753">
        <f>AND(F63&gt;0,OR(ISBLANK(Y63),Y63&gt;0))</f>
        <v>1</v>
      </c>
      <c r="U63" s="1548"/>
      <c r="V63" s="1548"/>
      <c r="W63" s="1548"/>
      <c r="X63" s="1548"/>
      <c r="Y63" s="1548"/>
      <c r="Z63" s="1548"/>
      <c r="AA63" s="286"/>
      <c r="AB63" s="352" t="s">
        <v>2366</v>
      </c>
      <c r="AC63" s="355" t="s">
        <v>2351</v>
      </c>
      <c r="AD63" s="886" t="s">
        <v>1709</v>
      </c>
      <c r="AE63" s="561">
        <f>SUM(AE64:AE65)</f>
        <v>0</v>
      </c>
      <c r="AF63" s="561">
        <f>SUM(AF64:AF65)</f>
        <v>0</v>
      </c>
      <c r="AG63" s="561">
        <f>SUM(AG64:AG65)</f>
        <v>0</v>
      </c>
      <c r="AH63" s="2280">
        <f>SUM(AH64:AH65)</f>
        <v>0</v>
      </c>
      <c r="AI63" s="2280">
        <f>SUM(AI64:AI65)</f>
        <v>0</v>
      </c>
      <c r="AJ63" s="2280">
        <f>SUM(AJ64:AJ65)</f>
        <v>0</v>
      </c>
      <c r="AK63" s="2280">
        <f>SUM(AK64:AK65)</f>
        <v>0</v>
      </c>
      <c r="AL63" s="2280">
        <f>SUM(AL64:AL65)</f>
        <v>0</v>
      </c>
      <c r="AM63" s="2280">
        <f>SUM(AM64:AM65)</f>
        <v>0</v>
      </c>
      <c r="AN63" s="2280">
        <f>SUM(AN64:AN65)</f>
        <v>0</v>
      </c>
      <c r="AO63" s="2280">
        <f>SUM(AO64:AO65)</f>
        <v>0</v>
      </c>
      <c r="AP63" s="2280">
        <f>SUM(AP64:AP65)</f>
        <v>0</v>
      </c>
      <c r="AQ63" s="2280">
        <f>SUM(AQ64:AQ65)</f>
        <v>0</v>
      </c>
      <c r="AR63" s="2280">
        <f>SUM(AR64:AR65)</f>
        <v>0</v>
      </c>
      <c r="AS63" s="2280">
        <f>SUM(AS64:AS65)</f>
        <v>0</v>
      </c>
      <c r="AT63" s="2280">
        <f>SUM(AT64:AT65)</f>
        <v>0</v>
      </c>
      <c r="AU63" s="2280">
        <f>SUM(AU64:AU65)</f>
        <v>0</v>
      </c>
      <c r="AV63" s="2280">
        <f>SUM(AV64:AV65)</f>
        <v>0</v>
      </c>
      <c r="AW63" s="2280">
        <f>SUM(AW64:AW65)</f>
        <v>0</v>
      </c>
      <c r="AX63" s="2280">
        <f>SUM(AX64:AX65)</f>
        <v>0</v>
      </c>
      <c r="AY63" s="561">
        <f>SUM(AY64:AY65)</f>
        <v>0</v>
      </c>
      <c r="AZ63" s="561">
        <f>SUM(AZ64:AZ65)</f>
        <v>0</v>
      </c>
      <c r="BA63" s="561">
        <f>SUM(BA64:BA65)</f>
        <v>0</v>
      </c>
      <c r="BB63" s="2280">
        <f>SUM(BB64:BB65)</f>
        <v>0</v>
      </c>
      <c r="BC63" s="2280">
        <f>SUM(BC64:BC65)</f>
        <v>0</v>
      </c>
      <c r="BD63" s="2280">
        <f>SUM(BD64:BD65)</f>
        <v>0</v>
      </c>
      <c r="BE63" s="2280">
        <f>SUM(BE64:BE65)</f>
        <v>0</v>
      </c>
      <c r="BF63" s="2280">
        <f>SUM(BF64:BF65)</f>
        <v>0</v>
      </c>
      <c r="BG63" s="2280">
        <f>SUM(BG64:BG65)</f>
        <v>0</v>
      </c>
      <c r="BH63" s="2280">
        <f>SUM(BH64:BH65)</f>
        <v>0</v>
      </c>
      <c r="BI63" s="2280">
        <f>SUM(BI64:BI65)</f>
        <v>0</v>
      </c>
      <c r="BJ63" s="2280">
        <f>SUM(BJ64:BJ65)</f>
        <v>0</v>
      </c>
      <c r="BK63" s="2280">
        <f>SUM(BK64:BK65)</f>
        <v>0</v>
      </c>
      <c r="BL63" s="2280">
        <f>SUM(BL64:BL65)</f>
        <v>0</v>
      </c>
      <c r="BM63" s="2280">
        <f>SUM(BM64:BM65)</f>
        <v>0</v>
      </c>
      <c r="BN63" s="2280">
        <f>SUM(BN64:BN65)</f>
        <v>0</v>
      </c>
      <c r="BO63" s="2280">
        <f>SUM(BO64:BO65)</f>
        <v>0</v>
      </c>
      <c r="BP63" s="2280">
        <f>SUM(BP64:BP65)</f>
        <v>0</v>
      </c>
      <c r="BQ63" s="2280">
        <f>SUM(BQ64:BQ65)</f>
        <v>0</v>
      </c>
      <c r="BR63" s="2280">
        <f>SUM(BR64:BR65)</f>
        <v>0</v>
      </c>
      <c r="BS63" s="1897"/>
      <c r="BT63" s="1897"/>
      <c r="BU63" s="1897"/>
      <c r="BV63" s="286"/>
      <c r="BW63" s="1659"/>
      <c r="BX63" s="489" t="s">
        <v>2367</v>
      </c>
      <c r="BY63" s="1125"/>
      <c r="BZ63" s="1125"/>
      <c r="CA63" s="1126"/>
      <c r="CB63" s="1126"/>
      <c r="CC63" s="1506"/>
      <c r="CD63" s="1506"/>
      <c r="CE63" s="1501" cm="1" t="str">
        <f t="array" ref="CE63:CE63">CE62</f>
        <v>ТЭ.42.31656254.0001</v>
      </c>
      <c r="CF63" s="1501" t="s">
        <v>2365</v>
      </c>
      <c r="CG63" s="1501"/>
      <c r="CH63" s="1501" t="s">
        <v>600</v>
      </c>
      <c r="CI63" s="1501"/>
      <c r="CJ63" s="1501"/>
      <c r="CK63" s="1501"/>
      <c r="CL63" s="1501"/>
      <c r="CM63" s="1501"/>
      <c r="CN63" s="1501" t="s">
        <v>303</v>
      </c>
      <c r="CO63" s="1501" t="s">
        <v>1717</v>
      </c>
      <c r="CP63" s="1501" t="s">
        <v>1718</v>
      </c>
    </row>
    <row s="1751" customFormat="1" customHeight="1" ht="16.5" hidden="1">
      <c r="A64" s="371"/>
      <c r="B64" s="1548"/>
      <c r="C64" s="1659"/>
      <c r="D64" s="1659"/>
      <c r="E64" s="180">
        <v>17</v>
      </c>
      <c r="F64" s="193" cm="1" t="str">
        <f t="array" ref="F64:F64">OFFSET(G64,-1,-1)</f>
        <v>1</v>
      </c>
      <c r="G64" s="1659"/>
      <c r="H64" s="1659"/>
      <c r="I64" s="1659"/>
      <c r="J64" s="1659"/>
      <c r="K64" s="1659"/>
      <c r="L64" s="1659"/>
      <c r="M64" s="1659"/>
      <c r="N64" s="1659"/>
      <c r="O64" s="1659"/>
      <c r="P64" s="1659"/>
      <c r="Q64" s="1659"/>
      <c r="R64" s="1659"/>
      <c r="S64" s="1659"/>
      <c r="T64" s="753">
        <f>AND(F64&gt;0,OR(ISBLANK(Y64),Y64&gt;0))</f>
        <v>0</v>
      </c>
      <c r="U64" s="1548"/>
      <c r="V64" s="1548"/>
      <c r="W64" s="175" t="s">
        <v>189</v>
      </c>
      <c r="X64" s="1548"/>
      <c r="Y64" s="175">
        <v>0</v>
      </c>
      <c r="Z64" s="1548"/>
      <c r="AA64" s="477" t="s">
        <v>171</v>
      </c>
      <c r="AB64" s="352" t="str">
        <f>"1.2.1."&amp;Y64</f>
        <v>1.2.1.0</v>
      </c>
      <c r="AC64" s="164"/>
      <c r="AD64" s="886" t="s">
        <v>1709</v>
      </c>
      <c r="AE64" s="561"/>
      <c r="AF64" s="561"/>
      <c r="AG64" s="561"/>
      <c r="AH64" s="100"/>
      <c r="AI64" s="100"/>
      <c r="AJ64" s="100"/>
      <c r="AK64" s="100"/>
      <c r="AL64" s="100"/>
      <c r="AM64" s="100"/>
      <c r="AN64" s="100"/>
      <c r="AO64" s="100"/>
      <c r="AP64" s="100"/>
      <c r="AQ64" s="100"/>
      <c r="AR64" s="100"/>
      <c r="AS64" s="100"/>
      <c r="AT64" s="100"/>
      <c r="AU64" s="100"/>
      <c r="AV64" s="100"/>
      <c r="AW64" s="100"/>
      <c r="AX64" s="100"/>
      <c r="AY64" s="561"/>
      <c r="AZ64" s="561"/>
      <c r="BA64" s="561"/>
      <c r="BB64" s="100"/>
      <c r="BC64" s="100"/>
      <c r="BD64" s="100"/>
      <c r="BE64" s="100"/>
      <c r="BF64" s="100"/>
      <c r="BG64" s="100"/>
      <c r="BH64" s="100"/>
      <c r="BI64" s="100"/>
      <c r="BJ64" s="100"/>
      <c r="BK64" s="100"/>
      <c r="BL64" s="100"/>
      <c r="BM64" s="100"/>
      <c r="BN64" s="100"/>
      <c r="BO64" s="100"/>
      <c r="BP64" s="100"/>
      <c r="BQ64" s="100"/>
      <c r="BR64" s="100"/>
      <c r="BS64" s="83"/>
      <c r="BT64" s="83"/>
      <c r="BU64" s="83"/>
      <c r="BV64" s="286"/>
      <c r="BW64" s="1659"/>
      <c r="BX64" s="489" t="s">
        <v>2367</v>
      </c>
      <c r="BY64" s="489" t="s">
        <v>2368</v>
      </c>
      <c r="BZ64" s="489" cm="1" t="str">
        <f t="array" ref="BZ64:BZ64">AC64</f>
        <v>0</v>
      </c>
      <c r="CA64" s="1126"/>
      <c r="CB64" s="546" t="b">
        <v>1</v>
      </c>
      <c r="CC64" s="1506"/>
      <c r="CD64" s="1506"/>
      <c r="CE64" s="1501" cm="1" t="str">
        <f t="array" ref="CE64:CE64">OFFSET(CF64,-1,-1)</f>
        <v>ТЭ.42.31656254.0001</v>
      </c>
      <c r="CF64" s="1501" t="s">
        <v>2365</v>
      </c>
      <c r="CG64" s="1501"/>
      <c r="CH64" s="1501" t="s">
        <v>600</v>
      </c>
      <c r="CI64" s="1501"/>
      <c r="CJ64" s="1501"/>
      <c r="CK64" s="1501"/>
      <c r="CL64" s="1501"/>
      <c r="CM64" s="1501" t="str">
        <f>$AC64&amp;"|"&amp;$AB64</f>
        <v>|1.2.1.0</v>
      </c>
      <c r="CN64" s="1501" t="s">
        <v>303</v>
      </c>
      <c r="CO64" s="1501" t="s">
        <v>1717</v>
      </c>
      <c r="CP64" s="1501" t="s">
        <v>1718</v>
      </c>
    </row>
    <row s="1751" customFormat="1" customHeight="1" ht="16.5">
      <c r="A65" s="371"/>
      <c r="B65" s="1548"/>
      <c r="C65" s="1659"/>
      <c r="D65" s="1659"/>
      <c r="E65" s="180">
        <v>17</v>
      </c>
      <c r="F65" s="193" cm="1" t="str">
        <f t="array" ref="F65:F65">OFFSET(G65,-1,-1)</f>
        <v>1</v>
      </c>
      <c r="G65" s="1659"/>
      <c r="H65" s="1659"/>
      <c r="I65" s="1659"/>
      <c r="J65" s="1659"/>
      <c r="K65" s="1659"/>
      <c r="L65" s="1659"/>
      <c r="M65" s="1659"/>
      <c r="N65" s="1659"/>
      <c r="O65" s="1659"/>
      <c r="P65" s="1659"/>
      <c r="Q65" s="1659"/>
      <c r="R65" s="1659"/>
      <c r="S65" s="1659"/>
      <c r="T65" s="753">
        <f>AND(F65&gt;0,OR(ISBLANK(Y65),Y65&gt;0))</f>
        <v>1</v>
      </c>
      <c r="U65" s="1548"/>
      <c r="V65" s="1548"/>
      <c r="W65" s="980" t="s">
        <v>1070</v>
      </c>
      <c r="X65" s="1548"/>
      <c r="Y65" s="1548"/>
      <c r="Z65" s="1548"/>
      <c r="AA65" s="286"/>
      <c r="AB65" s="405"/>
      <c r="AC65" s="406" t="s">
        <v>191</v>
      </c>
      <c r="AD65" s="407"/>
      <c r="AE65" s="407"/>
      <c r="AF65" s="407"/>
      <c r="AG65" s="407"/>
      <c r="AH65" s="407"/>
      <c r="AI65" s="407"/>
      <c r="AJ65" s="407"/>
      <c r="AK65" s="407"/>
      <c r="AL65" s="407"/>
      <c r="AM65" s="407"/>
      <c r="AN65" s="407"/>
      <c r="AO65" s="407"/>
      <c r="AP65" s="407"/>
      <c r="AQ65" s="407"/>
      <c r="AR65" s="407"/>
      <c r="AS65" s="407"/>
      <c r="AT65" s="407"/>
      <c r="AU65" s="407"/>
      <c r="AV65" s="407"/>
      <c r="AW65" s="407"/>
      <c r="AX65" s="407"/>
      <c r="AY65" s="407"/>
      <c r="AZ65" s="407"/>
      <c r="BA65" s="407"/>
      <c r="BB65" s="407"/>
      <c r="BC65" s="407"/>
      <c r="BD65" s="407"/>
      <c r="BE65" s="407"/>
      <c r="BF65" s="407"/>
      <c r="BG65" s="407"/>
      <c r="BH65" s="407"/>
      <c r="BI65" s="407"/>
      <c r="BJ65" s="407"/>
      <c r="BK65" s="407"/>
      <c r="BL65" s="407"/>
      <c r="BM65" s="407"/>
      <c r="BN65" s="407"/>
      <c r="BO65" s="407"/>
      <c r="BP65" s="407"/>
      <c r="BQ65" s="407"/>
      <c r="BR65" s="407"/>
      <c r="BS65" s="407"/>
      <c r="BT65" s="407"/>
      <c r="BU65" s="407"/>
      <c r="BV65" s="286"/>
      <c r="BW65" s="1659"/>
      <c r="BX65" s="489" t="str">
        <f>IF(AND(ISNUMBER(VALUE(TRIM(SUBSTITUTE(AB65,".","")))),TRIM(SUBSTITUTE(AB65,".",""))&lt;&gt;""),"P"&amp;SUBSTITUTE(AB65,".",""),"")</f>
        <v/>
      </c>
      <c r="BY65" s="1125"/>
      <c r="BZ65" s="1125"/>
      <c r="CA65" s="546" t="s">
        <v>2368</v>
      </c>
      <c r="CB65" s="1126"/>
      <c r="CC65" s="1506"/>
      <c r="CD65" s="1506"/>
      <c r="CE65" s="1501" cm="1" t="str">
        <f t="array" ref="CE65:CE65">OFFSET(CF65,-1,-1)</f>
        <v>ТЭ.42.31656254.0001</v>
      </c>
      <c r="CF65" s="1501"/>
      <c r="CG65" s="1501"/>
      <c r="CH65" s="1501"/>
      <c r="CI65" s="1501"/>
      <c r="CJ65" s="1501"/>
      <c r="CK65" s="1501"/>
      <c r="CL65" s="1501"/>
      <c r="CM65" s="1501"/>
      <c r="CN65" s="1501"/>
      <c r="CO65" s="1501"/>
      <c r="CP65" s="1501"/>
    </row>
    <row s="1751" customFormat="1" customHeight="1" ht="33.75">
      <c r="A66" s="371"/>
      <c r="B66" s="1548"/>
      <c r="C66" s="1659"/>
      <c r="D66" s="1659"/>
      <c r="E66" s="180">
        <v>35</v>
      </c>
      <c r="F66" s="193" cm="1" t="str">
        <f t="array" ref="F66:F66">OFFSET(G66,-1,-1)</f>
        <v>1</v>
      </c>
      <c r="G66" s="1659"/>
      <c r="H66" s="1659"/>
      <c r="I66" s="1659"/>
      <c r="J66" s="1659"/>
      <c r="K66" s="1659"/>
      <c r="L66" s="1659"/>
      <c r="M66" s="1659"/>
      <c r="N66" s="1659"/>
      <c r="O66" s="1659"/>
      <c r="P66" s="1659"/>
      <c r="Q66" s="1659"/>
      <c r="R66" s="1659"/>
      <c r="S66" s="1659"/>
      <c r="T66" s="753">
        <f>AND(F66&gt;0,OR(ISBLANK(Y66),Y66&gt;0))</f>
        <v>1</v>
      </c>
      <c r="U66" s="1548"/>
      <c r="V66" s="1548"/>
      <c r="W66" s="1548"/>
      <c r="X66" s="1548"/>
      <c r="Y66" s="1548"/>
      <c r="Z66" s="1548"/>
      <c r="AA66" s="286"/>
      <c r="AB66" s="352" t="s">
        <v>2369</v>
      </c>
      <c r="AC66" s="355" t="s">
        <v>2354</v>
      </c>
      <c r="AD66" s="886" t="s">
        <v>1709</v>
      </c>
      <c r="AE66" s="561">
        <f>SUM(AE67:AE68)</f>
        <v>0</v>
      </c>
      <c r="AF66" s="561">
        <f>SUM(AF67:AF68)</f>
        <v>0</v>
      </c>
      <c r="AG66" s="561">
        <f>SUM(AG67:AG68)</f>
        <v>0</v>
      </c>
      <c r="AH66" s="2280">
        <f>SUM(AH67:AH68)</f>
        <v>0</v>
      </c>
      <c r="AI66" s="2280">
        <f>SUM(AI67:AI68)</f>
        <v>0</v>
      </c>
      <c r="AJ66" s="2280">
        <f>SUM(AJ67:AJ68)</f>
        <v>0</v>
      </c>
      <c r="AK66" s="2280">
        <f>SUM(AK67:AK68)</f>
        <v>0</v>
      </c>
      <c r="AL66" s="2280">
        <f>SUM(AL67:AL68)</f>
        <v>0</v>
      </c>
      <c r="AM66" s="2280">
        <f>SUM(AM67:AM68)</f>
        <v>0</v>
      </c>
      <c r="AN66" s="2280">
        <f>SUM(AN67:AN68)</f>
        <v>0</v>
      </c>
      <c r="AO66" s="2280">
        <f>SUM(AO67:AO68)</f>
        <v>0</v>
      </c>
      <c r="AP66" s="2280">
        <f>SUM(AP67:AP68)</f>
        <v>0</v>
      </c>
      <c r="AQ66" s="2280">
        <f>SUM(AQ67:AQ68)</f>
        <v>0</v>
      </c>
      <c r="AR66" s="2280">
        <f>SUM(AR67:AR68)</f>
        <v>0</v>
      </c>
      <c r="AS66" s="2280">
        <f>SUM(AS67:AS68)</f>
        <v>0</v>
      </c>
      <c r="AT66" s="2280">
        <f>SUM(AT67:AT68)</f>
        <v>0</v>
      </c>
      <c r="AU66" s="2280">
        <f>SUM(AU67:AU68)</f>
        <v>0</v>
      </c>
      <c r="AV66" s="2280">
        <f>SUM(AV67:AV68)</f>
        <v>0</v>
      </c>
      <c r="AW66" s="2280">
        <f>SUM(AW67:AW68)</f>
        <v>0</v>
      </c>
      <c r="AX66" s="2280">
        <f>SUM(AX67:AX68)</f>
        <v>0</v>
      </c>
      <c r="AY66" s="561">
        <f>SUM(AY67:AY68)</f>
        <v>0</v>
      </c>
      <c r="AZ66" s="561">
        <f>SUM(AZ67:AZ68)</f>
        <v>0</v>
      </c>
      <c r="BA66" s="561">
        <f>SUM(BA67:BA68)</f>
        <v>0</v>
      </c>
      <c r="BB66" s="2280">
        <f>SUM(BB67:BB68)</f>
        <v>0</v>
      </c>
      <c r="BC66" s="2280">
        <f>SUM(BC67:BC68)</f>
        <v>0</v>
      </c>
      <c r="BD66" s="2280">
        <f>SUM(BD67:BD68)</f>
        <v>0</v>
      </c>
      <c r="BE66" s="2280">
        <f>SUM(BE67:BE68)</f>
        <v>0</v>
      </c>
      <c r="BF66" s="2280">
        <f>SUM(BF67:BF68)</f>
        <v>0</v>
      </c>
      <c r="BG66" s="2280">
        <f>SUM(BG67:BG68)</f>
        <v>0</v>
      </c>
      <c r="BH66" s="2280">
        <f>SUM(BH67:BH68)</f>
        <v>0</v>
      </c>
      <c r="BI66" s="2280">
        <f>SUM(BI67:BI68)</f>
        <v>0</v>
      </c>
      <c r="BJ66" s="2280">
        <f>SUM(BJ67:BJ68)</f>
        <v>0</v>
      </c>
      <c r="BK66" s="2280">
        <f>SUM(BK67:BK68)</f>
        <v>0</v>
      </c>
      <c r="BL66" s="2280">
        <f>SUM(BL67:BL68)</f>
        <v>0</v>
      </c>
      <c r="BM66" s="2280">
        <f>SUM(BM67:BM68)</f>
        <v>0</v>
      </c>
      <c r="BN66" s="2280">
        <f>SUM(BN67:BN68)</f>
        <v>0</v>
      </c>
      <c r="BO66" s="2280">
        <f>SUM(BO67:BO68)</f>
        <v>0</v>
      </c>
      <c r="BP66" s="2280">
        <f>SUM(BP67:BP68)</f>
        <v>0</v>
      </c>
      <c r="BQ66" s="2280">
        <f>SUM(BQ67:BQ68)</f>
        <v>0</v>
      </c>
      <c r="BR66" s="2280">
        <f>SUM(BR67:BR68)</f>
        <v>0</v>
      </c>
      <c r="BS66" s="1897"/>
      <c r="BT66" s="1897"/>
      <c r="BU66" s="1897"/>
      <c r="BV66" s="286"/>
      <c r="BW66" s="1659"/>
      <c r="BX66" s="489" t="s">
        <v>2370</v>
      </c>
      <c r="BY66" s="1125"/>
      <c r="BZ66" s="1125"/>
      <c r="CA66" s="1126"/>
      <c r="CB66" s="1126"/>
      <c r="CC66" s="1506"/>
      <c r="CD66" s="1506"/>
      <c r="CE66" s="1501" cm="1" t="str">
        <f t="array" ref="CE66:CE66">CE65</f>
        <v>ТЭ.42.31656254.0001</v>
      </c>
      <c r="CF66" s="1501" t="s">
        <v>2365</v>
      </c>
      <c r="CG66" s="1501"/>
      <c r="CH66" s="1501" t="s">
        <v>2356</v>
      </c>
      <c r="CI66" s="1501"/>
      <c r="CJ66" s="1501"/>
      <c r="CK66" s="1501"/>
      <c r="CL66" s="1501"/>
      <c r="CM66" s="1501"/>
      <c r="CN66" s="1501" t="s">
        <v>303</v>
      </c>
      <c r="CO66" s="1501" t="s">
        <v>1857</v>
      </c>
      <c r="CP66" s="1501" t="s">
        <v>1858</v>
      </c>
    </row>
    <row s="1751" customFormat="1" customHeight="1" ht="16.5" hidden="1">
      <c r="A67" s="371"/>
      <c r="B67" s="1548"/>
      <c r="C67" s="1659"/>
      <c r="D67" s="1659"/>
      <c r="E67" s="180">
        <v>17</v>
      </c>
      <c r="F67" s="193" cm="1" t="str">
        <f t="array" ref="F67:F67">OFFSET(G67,-1,-1)</f>
        <v>1</v>
      </c>
      <c r="G67" s="1659"/>
      <c r="H67" s="1659"/>
      <c r="I67" s="1659"/>
      <c r="J67" s="1659"/>
      <c r="K67" s="1659"/>
      <c r="L67" s="1659"/>
      <c r="M67" s="1659"/>
      <c r="N67" s="1659"/>
      <c r="O67" s="1659"/>
      <c r="P67" s="1659"/>
      <c r="Q67" s="1659"/>
      <c r="R67" s="1659"/>
      <c r="S67" s="1659"/>
      <c r="T67" s="753">
        <f>AND(F67&gt;0,OR(ISBLANK(Y67),Y67&gt;0))</f>
        <v>0</v>
      </c>
      <c r="U67" s="1548"/>
      <c r="V67" s="1548"/>
      <c r="W67" s="175" t="s">
        <v>189</v>
      </c>
      <c r="X67" s="1548"/>
      <c r="Y67" s="175">
        <v>0</v>
      </c>
      <c r="Z67" s="1548"/>
      <c r="AA67" s="477" t="s">
        <v>171</v>
      </c>
      <c r="AB67" s="352" t="str">
        <f>"1.2.2."&amp;Y67</f>
        <v>1.2.2.0</v>
      </c>
      <c r="AC67" s="164"/>
      <c r="AD67" s="886" t="s">
        <v>1709</v>
      </c>
      <c r="AE67" s="561"/>
      <c r="AF67" s="561"/>
      <c r="AG67" s="561"/>
      <c r="AH67" s="100"/>
      <c r="AI67" s="100"/>
      <c r="AJ67" s="100"/>
      <c r="AK67" s="100"/>
      <c r="AL67" s="100"/>
      <c r="AM67" s="100"/>
      <c r="AN67" s="100"/>
      <c r="AO67" s="100"/>
      <c r="AP67" s="100"/>
      <c r="AQ67" s="100"/>
      <c r="AR67" s="100"/>
      <c r="AS67" s="100"/>
      <c r="AT67" s="100"/>
      <c r="AU67" s="100"/>
      <c r="AV67" s="100"/>
      <c r="AW67" s="100"/>
      <c r="AX67" s="100"/>
      <c r="AY67" s="561"/>
      <c r="AZ67" s="561"/>
      <c r="BA67" s="561"/>
      <c r="BB67" s="100"/>
      <c r="BC67" s="100"/>
      <c r="BD67" s="100"/>
      <c r="BE67" s="100"/>
      <c r="BF67" s="100"/>
      <c r="BG67" s="100"/>
      <c r="BH67" s="100"/>
      <c r="BI67" s="100"/>
      <c r="BJ67" s="100"/>
      <c r="BK67" s="100"/>
      <c r="BL67" s="100"/>
      <c r="BM67" s="100"/>
      <c r="BN67" s="100"/>
      <c r="BO67" s="100"/>
      <c r="BP67" s="100"/>
      <c r="BQ67" s="100"/>
      <c r="BR67" s="100"/>
      <c r="BS67" s="83"/>
      <c r="BT67" s="83"/>
      <c r="BU67" s="83"/>
      <c r="BV67" s="286"/>
      <c r="BW67" s="1659"/>
      <c r="BX67" s="489" t="s">
        <v>2370</v>
      </c>
      <c r="BY67" s="489" t="s">
        <v>2371</v>
      </c>
      <c r="BZ67" s="489" cm="1" t="str">
        <f t="array" ref="BZ67:BZ67">AC67</f>
        <v>0</v>
      </c>
      <c r="CA67" s="1126"/>
      <c r="CB67" s="546" t="b">
        <v>1</v>
      </c>
      <c r="CC67" s="1506"/>
      <c r="CD67" s="1506"/>
      <c r="CE67" s="1501" cm="1" t="str">
        <f t="array" ref="CE67:CE67">OFFSET(CF67,-1,-1)</f>
        <v>ТЭ.42.31656254.0001</v>
      </c>
      <c r="CF67" s="1501" t="s">
        <v>2365</v>
      </c>
      <c r="CG67" s="1501"/>
      <c r="CH67" s="1501" t="s">
        <v>2356</v>
      </c>
      <c r="CI67" s="1501"/>
      <c r="CJ67" s="1501"/>
      <c r="CK67" s="1501"/>
      <c r="CL67" s="1501"/>
      <c r="CM67" s="1501" t="str">
        <f>$AC67&amp;"|"&amp;$AB67</f>
        <v>|1.2.2.0</v>
      </c>
      <c r="CN67" s="1501" t="s">
        <v>303</v>
      </c>
      <c r="CO67" s="1501" t="s">
        <v>1857</v>
      </c>
      <c r="CP67" s="1501" t="s">
        <v>1858</v>
      </c>
    </row>
    <row s="1751" customFormat="1" customHeight="1" ht="16.5">
      <c r="A68" s="371"/>
      <c r="B68" s="1548"/>
      <c r="C68" s="1659"/>
      <c r="D68" s="1659"/>
      <c r="E68" s="180">
        <v>17</v>
      </c>
      <c r="F68" s="193" cm="1" t="str">
        <f t="array" ref="F68:F68">OFFSET(G68,-1,-1)</f>
        <v>1</v>
      </c>
      <c r="G68" s="1659"/>
      <c r="H68" s="1659"/>
      <c r="I68" s="1659"/>
      <c r="J68" s="1659"/>
      <c r="K68" s="1659"/>
      <c r="L68" s="1659"/>
      <c r="M68" s="1659"/>
      <c r="N68" s="1659"/>
      <c r="O68" s="1659"/>
      <c r="P68" s="1659"/>
      <c r="Q68" s="1659"/>
      <c r="R68" s="1659"/>
      <c r="S68" s="1659"/>
      <c r="T68" s="753">
        <f>AND(F68&gt;0,OR(ISBLANK(Y68),Y68&gt;0))</f>
        <v>1</v>
      </c>
      <c r="U68" s="1548"/>
      <c r="V68" s="1548"/>
      <c r="W68" s="980" t="s">
        <v>1086</v>
      </c>
      <c r="X68" s="1548"/>
      <c r="Y68" s="1548"/>
      <c r="Z68" s="1548"/>
      <c r="AA68" s="286"/>
      <c r="AB68" s="405"/>
      <c r="AC68" s="406" t="s">
        <v>191</v>
      </c>
      <c r="AD68" s="407"/>
      <c r="AE68" s="407"/>
      <c r="AF68" s="407"/>
      <c r="AG68" s="407"/>
      <c r="AH68" s="407"/>
      <c r="AI68" s="407"/>
      <c r="AJ68" s="407"/>
      <c r="AK68" s="407"/>
      <c r="AL68" s="407"/>
      <c r="AM68" s="407"/>
      <c r="AN68" s="407"/>
      <c r="AO68" s="407"/>
      <c r="AP68" s="407"/>
      <c r="AQ68" s="407"/>
      <c r="AR68" s="407"/>
      <c r="AS68" s="407"/>
      <c r="AT68" s="407"/>
      <c r="AU68" s="407"/>
      <c r="AV68" s="407"/>
      <c r="AW68" s="407"/>
      <c r="AX68" s="407"/>
      <c r="AY68" s="407"/>
      <c r="AZ68" s="407"/>
      <c r="BA68" s="407"/>
      <c r="BB68" s="407"/>
      <c r="BC68" s="407"/>
      <c r="BD68" s="407"/>
      <c r="BE68" s="407"/>
      <c r="BF68" s="407"/>
      <c r="BG68" s="407"/>
      <c r="BH68" s="407"/>
      <c r="BI68" s="407"/>
      <c r="BJ68" s="407"/>
      <c r="BK68" s="407"/>
      <c r="BL68" s="407"/>
      <c r="BM68" s="407"/>
      <c r="BN68" s="407"/>
      <c r="BO68" s="407"/>
      <c r="BP68" s="407"/>
      <c r="BQ68" s="407"/>
      <c r="BR68" s="407"/>
      <c r="BS68" s="407"/>
      <c r="BT68" s="407"/>
      <c r="BU68" s="407"/>
      <c r="BV68" s="286"/>
      <c r="BW68" s="1659"/>
      <c r="BX68" s="489" t="str">
        <f>IF(AND(ISNUMBER(VALUE(TRIM(SUBSTITUTE(AB68,".","")))),TRIM(SUBSTITUTE(AB68,".",""))&lt;&gt;""),"P"&amp;SUBSTITUTE(AB68,".",""),"")</f>
        <v/>
      </c>
      <c r="BY68" s="1125"/>
      <c r="BZ68" s="1125"/>
      <c r="CA68" s="546" t="s">
        <v>2371</v>
      </c>
      <c r="CB68" s="1126"/>
      <c r="CC68" s="1506"/>
      <c r="CD68" s="1506"/>
      <c r="CE68" s="1501" cm="1" t="str">
        <f t="array" ref="CE68:CE68">OFFSET(CF68,-1,-1)</f>
        <v>ТЭ.42.31656254.0001</v>
      </c>
      <c r="CF68" s="1501"/>
      <c r="CG68" s="1501"/>
      <c r="CH68" s="1501"/>
      <c r="CI68" s="1501"/>
      <c r="CJ68" s="1501"/>
      <c r="CK68" s="1501"/>
      <c r="CL68" s="1501"/>
      <c r="CM68" s="1501"/>
      <c r="CN68" s="1501"/>
      <c r="CO68" s="1501"/>
      <c r="CP68" s="1501"/>
    </row>
    <row s="1751" customFormat="1" customHeight="1" ht="16.5">
      <c r="A69" s="371"/>
      <c r="B69" s="1548"/>
      <c r="C69" s="1659"/>
      <c r="D69" s="1659"/>
      <c r="E69" s="180">
        <v>17</v>
      </c>
      <c r="F69" s="193" cm="1" t="str">
        <f t="array" ref="F69:F69">OFFSET(G69,-1,-1)</f>
        <v>1</v>
      </c>
      <c r="G69" s="1659"/>
      <c r="H69" s="1659"/>
      <c r="I69" s="1659"/>
      <c r="J69" s="1659"/>
      <c r="K69" s="1659"/>
      <c r="L69" s="1659"/>
      <c r="M69" s="1659"/>
      <c r="N69" s="1659"/>
      <c r="O69" s="1659"/>
      <c r="P69" s="1659"/>
      <c r="Q69" s="1659"/>
      <c r="R69" s="1659"/>
      <c r="S69" s="1659"/>
      <c r="T69" s="753">
        <f>AND(F69&gt;0,OR(ISBLANK(Y69),Y69&gt;0))</f>
        <v>1</v>
      </c>
      <c r="U69" s="1548"/>
      <c r="V69" s="1548"/>
      <c r="W69" s="1548"/>
      <c r="X69" s="1548"/>
      <c r="Y69" s="1548"/>
      <c r="Z69" s="1548"/>
      <c r="AA69" s="286"/>
      <c r="AB69" s="889" t="s">
        <v>2372</v>
      </c>
      <c r="AC69" s="355" t="s">
        <v>2358</v>
      </c>
      <c r="AD69" s="886" t="s">
        <v>1709</v>
      </c>
      <c r="AE69" s="561">
        <f>SUM(AE70:AE71)</f>
        <v>0</v>
      </c>
      <c r="AF69" s="561">
        <f>SUM(AF70:AF71)</f>
        <v>0</v>
      </c>
      <c r="AG69" s="561">
        <f>SUM(AG70:AG71)</f>
        <v>0</v>
      </c>
      <c r="AH69" s="2280">
        <f>SUM(AH70:AH71)</f>
        <v>0</v>
      </c>
      <c r="AI69" s="2280">
        <f>SUM(AI70:AI71)</f>
        <v>0</v>
      </c>
      <c r="AJ69" s="2280">
        <f>SUM(AJ70:AJ71)</f>
        <v>0</v>
      </c>
      <c r="AK69" s="2280">
        <f>SUM(AK70:AK71)</f>
        <v>0</v>
      </c>
      <c r="AL69" s="2280">
        <f>SUM(AL70:AL71)</f>
        <v>0</v>
      </c>
      <c r="AM69" s="2280">
        <f>SUM(AM70:AM71)</f>
        <v>0</v>
      </c>
      <c r="AN69" s="2280">
        <f>SUM(AN70:AN71)</f>
        <v>0</v>
      </c>
      <c r="AO69" s="2280">
        <f>SUM(AO70:AO71)</f>
        <v>0</v>
      </c>
      <c r="AP69" s="2280">
        <f>SUM(AP70:AP71)</f>
        <v>0</v>
      </c>
      <c r="AQ69" s="2280">
        <f>SUM(AQ70:AQ71)</f>
        <v>0</v>
      </c>
      <c r="AR69" s="2280">
        <f>SUM(AR70:AR71)</f>
        <v>0</v>
      </c>
      <c r="AS69" s="2280">
        <f>SUM(AS70:AS71)</f>
        <v>0</v>
      </c>
      <c r="AT69" s="2280">
        <f>SUM(AT70:AT71)</f>
        <v>0</v>
      </c>
      <c r="AU69" s="2280">
        <f>SUM(AU70:AU71)</f>
        <v>0</v>
      </c>
      <c r="AV69" s="2280">
        <f>SUM(AV70:AV71)</f>
        <v>0</v>
      </c>
      <c r="AW69" s="2280">
        <f>SUM(AW70:AW71)</f>
        <v>0</v>
      </c>
      <c r="AX69" s="2280">
        <f>SUM(AX70:AX71)</f>
        <v>0</v>
      </c>
      <c r="AY69" s="561">
        <f>SUM(AY70:AY71)</f>
        <v>0</v>
      </c>
      <c r="AZ69" s="561">
        <f>SUM(AZ70:AZ71)</f>
        <v>0</v>
      </c>
      <c r="BA69" s="561">
        <f>SUM(BA70:BA71)</f>
        <v>0</v>
      </c>
      <c r="BB69" s="2280">
        <f>SUM(BB70:BB71)</f>
        <v>0</v>
      </c>
      <c r="BC69" s="2280">
        <f>SUM(BC70:BC71)</f>
        <v>0</v>
      </c>
      <c r="BD69" s="2280">
        <f>SUM(BD70:BD71)</f>
        <v>0</v>
      </c>
      <c r="BE69" s="2280">
        <f>SUM(BE70:BE71)</f>
        <v>0</v>
      </c>
      <c r="BF69" s="2280">
        <f>SUM(BF70:BF71)</f>
        <v>0</v>
      </c>
      <c r="BG69" s="2280">
        <f>SUM(BG70:BG71)</f>
        <v>0</v>
      </c>
      <c r="BH69" s="2280">
        <f>SUM(BH70:BH71)</f>
        <v>0</v>
      </c>
      <c r="BI69" s="2280">
        <f>SUM(BI70:BI71)</f>
        <v>0</v>
      </c>
      <c r="BJ69" s="2280">
        <f>SUM(BJ70:BJ71)</f>
        <v>0</v>
      </c>
      <c r="BK69" s="2280">
        <f>SUM(BK70:BK71)</f>
        <v>0</v>
      </c>
      <c r="BL69" s="2280">
        <f>SUM(BL70:BL71)</f>
        <v>0</v>
      </c>
      <c r="BM69" s="2280">
        <f>SUM(BM70:BM71)</f>
        <v>0</v>
      </c>
      <c r="BN69" s="2280">
        <f>SUM(BN70:BN71)</f>
        <v>0</v>
      </c>
      <c r="BO69" s="2280">
        <f>SUM(BO70:BO71)</f>
        <v>0</v>
      </c>
      <c r="BP69" s="2280">
        <f>SUM(BP70:BP71)</f>
        <v>0</v>
      </c>
      <c r="BQ69" s="2280">
        <f>SUM(BQ70:BQ71)</f>
        <v>0</v>
      </c>
      <c r="BR69" s="2280">
        <f>SUM(BR70:BR71)</f>
        <v>0</v>
      </c>
      <c r="BS69" s="1897"/>
      <c r="BT69" s="1897"/>
      <c r="BU69" s="1897"/>
      <c r="BV69" s="286"/>
      <c r="BW69" s="1659"/>
      <c r="BX69" s="489" t="s">
        <v>2373</v>
      </c>
      <c r="BY69" s="1125"/>
      <c r="BZ69" s="1125"/>
      <c r="CA69" s="1126"/>
      <c r="CB69" s="1126"/>
      <c r="CC69" s="1506"/>
      <c r="CD69" s="1506"/>
      <c r="CE69" s="1501" cm="1" t="str">
        <f t="array" ref="CE69:CE69">CE68</f>
        <v>ТЭ.42.31656254.0001</v>
      </c>
      <c r="CF69" s="1501" t="s">
        <v>2365</v>
      </c>
      <c r="CG69" s="1501"/>
      <c r="CH69" s="1501" t="s">
        <v>2050</v>
      </c>
      <c r="CI69" s="1501"/>
      <c r="CJ69" s="1501"/>
      <c r="CK69" s="1501"/>
      <c r="CL69" s="1501"/>
      <c r="CM69" s="1501"/>
      <c r="CN69" s="1501" t="s">
        <v>303</v>
      </c>
      <c r="CO69" s="1501" t="s">
        <v>1857</v>
      </c>
      <c r="CP69" s="1501" t="s">
        <v>1858</v>
      </c>
    </row>
    <row s="1751" customFormat="1" customHeight="1" ht="16.5" hidden="1">
      <c r="A70" s="371"/>
      <c r="B70" s="1548"/>
      <c r="C70" s="1659"/>
      <c r="D70" s="1659"/>
      <c r="E70" s="180">
        <v>17</v>
      </c>
      <c r="F70" s="193" cm="1" t="str">
        <f t="array" ref="F70:F70">OFFSET(G70,-1,-1)</f>
        <v>1</v>
      </c>
      <c r="G70" s="1659"/>
      <c r="H70" s="1659"/>
      <c r="I70" s="1659"/>
      <c r="J70" s="1659"/>
      <c r="K70" s="1659"/>
      <c r="L70" s="1659"/>
      <c r="M70" s="1659"/>
      <c r="N70" s="1659"/>
      <c r="O70" s="1659"/>
      <c r="P70" s="1659"/>
      <c r="Q70" s="1659"/>
      <c r="R70" s="1659"/>
      <c r="S70" s="1659"/>
      <c r="T70" s="753">
        <f>AND(F70&gt;0,OR(ISBLANK(Y70),Y70&gt;0))</f>
        <v>0</v>
      </c>
      <c r="U70" s="1548"/>
      <c r="V70" s="1548"/>
      <c r="W70" s="175" t="s">
        <v>189</v>
      </c>
      <c r="X70" s="1548"/>
      <c r="Y70" s="175">
        <v>0</v>
      </c>
      <c r="Z70" s="1548"/>
      <c r="AA70" s="477" t="s">
        <v>171</v>
      </c>
      <c r="AB70" s="352" t="str">
        <f>"1.2.3."&amp;Y70</f>
        <v>1.2.3.0</v>
      </c>
      <c r="AC70" s="164"/>
      <c r="AD70" s="886" t="s">
        <v>1709</v>
      </c>
      <c r="AE70" s="561"/>
      <c r="AF70" s="561"/>
      <c r="AG70" s="561"/>
      <c r="AH70" s="100"/>
      <c r="AI70" s="100"/>
      <c r="AJ70" s="100"/>
      <c r="AK70" s="100"/>
      <c r="AL70" s="100"/>
      <c r="AM70" s="100"/>
      <c r="AN70" s="100"/>
      <c r="AO70" s="100"/>
      <c r="AP70" s="100"/>
      <c r="AQ70" s="100"/>
      <c r="AR70" s="100"/>
      <c r="AS70" s="100"/>
      <c r="AT70" s="100"/>
      <c r="AU70" s="100"/>
      <c r="AV70" s="100"/>
      <c r="AW70" s="100"/>
      <c r="AX70" s="100"/>
      <c r="AY70" s="561"/>
      <c r="AZ70" s="561"/>
      <c r="BA70" s="561"/>
      <c r="BB70" s="100"/>
      <c r="BC70" s="100"/>
      <c r="BD70" s="100"/>
      <c r="BE70" s="100"/>
      <c r="BF70" s="100"/>
      <c r="BG70" s="100"/>
      <c r="BH70" s="100"/>
      <c r="BI70" s="100"/>
      <c r="BJ70" s="100"/>
      <c r="BK70" s="100"/>
      <c r="BL70" s="100"/>
      <c r="BM70" s="100"/>
      <c r="BN70" s="100"/>
      <c r="BO70" s="100"/>
      <c r="BP70" s="100"/>
      <c r="BQ70" s="100"/>
      <c r="BR70" s="100"/>
      <c r="BS70" s="83"/>
      <c r="BT70" s="83"/>
      <c r="BU70" s="83"/>
      <c r="BV70" s="286"/>
      <c r="BW70" s="1659"/>
      <c r="BX70" s="489" t="s">
        <v>2373</v>
      </c>
      <c r="BY70" s="489" t="s">
        <v>2374</v>
      </c>
      <c r="BZ70" s="489" cm="1" t="str">
        <f t="array" ref="BZ70:BZ70">AC70</f>
        <v>0</v>
      </c>
      <c r="CA70" s="1126"/>
      <c r="CB70" s="546" t="b">
        <v>1</v>
      </c>
      <c r="CC70" s="1506"/>
      <c r="CD70" s="1506"/>
      <c r="CE70" s="1501" cm="1" t="str">
        <f t="array" ref="CE70:CE70">OFFSET(CF70,-1,-1)</f>
        <v>ТЭ.42.31656254.0001</v>
      </c>
      <c r="CF70" s="1501" t="s">
        <v>2365</v>
      </c>
      <c r="CG70" s="1501"/>
      <c r="CH70" s="1501" t="s">
        <v>2050</v>
      </c>
      <c r="CI70" s="1501"/>
      <c r="CJ70" s="1501"/>
      <c r="CK70" s="1501"/>
      <c r="CL70" s="1501"/>
      <c r="CM70" s="1501" t="str">
        <f>$AC70&amp;"|"&amp;$AB70</f>
        <v>|1.2.3.0</v>
      </c>
      <c r="CN70" s="1501" t="s">
        <v>303</v>
      </c>
      <c r="CO70" s="1501" t="s">
        <v>1857</v>
      </c>
      <c r="CP70" s="1501" t="s">
        <v>1858</v>
      </c>
    </row>
    <row s="1751" customFormat="1" customHeight="1" ht="16.5">
      <c r="A71" s="371"/>
      <c r="B71" s="1548"/>
      <c r="C71" s="1659"/>
      <c r="D71" s="1659"/>
      <c r="E71" s="180">
        <v>17</v>
      </c>
      <c r="F71" s="193" cm="1" t="str">
        <f t="array" ref="F71:F71">OFFSET(G71,-1,-1)</f>
        <v>1</v>
      </c>
      <c r="G71" s="1659"/>
      <c r="H71" s="1659"/>
      <c r="I71" s="1659"/>
      <c r="J71" s="1659"/>
      <c r="K71" s="1659"/>
      <c r="L71" s="1659"/>
      <c r="M71" s="1659"/>
      <c r="N71" s="1659"/>
      <c r="O71" s="1659"/>
      <c r="P71" s="1659"/>
      <c r="Q71" s="1659"/>
      <c r="R71" s="1659"/>
      <c r="S71" s="1659"/>
      <c r="T71" s="753">
        <f>AND(F71&gt;0,OR(ISBLANK(Y71),Y71&gt;0))</f>
        <v>1</v>
      </c>
      <c r="U71" s="1548"/>
      <c r="V71" s="1548"/>
      <c r="W71" s="980" t="s">
        <v>1411</v>
      </c>
      <c r="X71" s="1548"/>
      <c r="Y71" s="1548"/>
      <c r="Z71" s="1548"/>
      <c r="AA71" s="286"/>
      <c r="AB71" s="405"/>
      <c r="AC71" s="406" t="s">
        <v>191</v>
      </c>
      <c r="AD71" s="407"/>
      <c r="AE71" s="407"/>
      <c r="AF71" s="407"/>
      <c r="AG71" s="407"/>
      <c r="AH71" s="407"/>
      <c r="AI71" s="407"/>
      <c r="AJ71" s="407"/>
      <c r="AK71" s="407"/>
      <c r="AL71" s="407"/>
      <c r="AM71" s="407"/>
      <c r="AN71" s="407"/>
      <c r="AO71" s="407"/>
      <c r="AP71" s="407"/>
      <c r="AQ71" s="407"/>
      <c r="AR71" s="407"/>
      <c r="AS71" s="407"/>
      <c r="AT71" s="407"/>
      <c r="AU71" s="407"/>
      <c r="AV71" s="407"/>
      <c r="AW71" s="407"/>
      <c r="AX71" s="407"/>
      <c r="AY71" s="407"/>
      <c r="AZ71" s="407"/>
      <c r="BA71" s="407"/>
      <c r="BB71" s="407"/>
      <c r="BC71" s="407"/>
      <c r="BD71" s="407"/>
      <c r="BE71" s="407"/>
      <c r="BF71" s="407"/>
      <c r="BG71" s="407"/>
      <c r="BH71" s="407"/>
      <c r="BI71" s="407"/>
      <c r="BJ71" s="407"/>
      <c r="BK71" s="407"/>
      <c r="BL71" s="407"/>
      <c r="BM71" s="407"/>
      <c r="BN71" s="407"/>
      <c r="BO71" s="407"/>
      <c r="BP71" s="407"/>
      <c r="BQ71" s="407"/>
      <c r="BR71" s="407"/>
      <c r="BS71" s="407"/>
      <c r="BT71" s="407"/>
      <c r="BU71" s="407"/>
      <c r="BV71" s="286"/>
      <c r="BW71" s="1659"/>
      <c r="BX71" s="489" t="str">
        <f>IF(AND(ISNUMBER(VALUE(TRIM(SUBSTITUTE(AB71,".","")))),TRIM(SUBSTITUTE(AB71,".",""))&lt;&gt;""),"P"&amp;SUBSTITUTE(AB71,".",""),"")</f>
        <v/>
      </c>
      <c r="BY71" s="1125"/>
      <c r="BZ71" s="1125"/>
      <c r="CA71" s="546" t="s">
        <v>2374</v>
      </c>
      <c r="CB71" s="1126"/>
      <c r="CC71" s="1506"/>
      <c r="CD71" s="1506"/>
      <c r="CE71" s="1501" cm="1" t="str">
        <f t="array" ref="CE71:CE71">OFFSET(CF71,-1,-1)</f>
        <v>ТЭ.42.31656254.0001</v>
      </c>
      <c r="CF71" s="1501"/>
      <c r="CG71" s="1501"/>
      <c r="CH71" s="1501"/>
      <c r="CI71" s="1501"/>
      <c r="CJ71" s="1501"/>
      <c r="CK71" s="1501"/>
      <c r="CL71" s="1501"/>
      <c r="CM71" s="1501"/>
      <c r="CN71" s="1501"/>
      <c r="CO71" s="1501"/>
      <c r="CP71" s="1501"/>
    </row>
    <row s="1751" customFormat="1" customHeight="1" ht="16.5">
      <c r="A72" s="371"/>
      <c r="B72" s="1548"/>
      <c r="C72" s="1659"/>
      <c r="D72" s="1659"/>
      <c r="E72" s="180">
        <v>17</v>
      </c>
      <c r="F72" s="193" cm="1" t="str">
        <f t="array" ref="F72:F72">OFFSET(G72,-1,-1)</f>
        <v>1</v>
      </c>
      <c r="G72" s="1659"/>
      <c r="H72" s="1659"/>
      <c r="I72" s="1659"/>
      <c r="J72" s="1659"/>
      <c r="K72" s="1659"/>
      <c r="L72" s="1659"/>
      <c r="M72" s="1659"/>
      <c r="N72" s="1659"/>
      <c r="O72" s="1659"/>
      <c r="P72" s="1659"/>
      <c r="Q72" s="1659"/>
      <c r="R72" s="1659"/>
      <c r="S72" s="1659"/>
      <c r="T72" s="753">
        <f>AND(F72&gt;0,OR(ISBLANK(Y72),Y72&gt;0))</f>
        <v>1</v>
      </c>
      <c r="U72" s="1548"/>
      <c r="V72" s="1548"/>
      <c r="W72" s="1548"/>
      <c r="X72" s="1548"/>
      <c r="Y72" s="1548"/>
      <c r="Z72" s="1548"/>
      <c r="AA72" s="286"/>
      <c r="AB72" s="889">
        <v>1.3</v>
      </c>
      <c r="AC72" s="368" t="s">
        <v>2375</v>
      </c>
      <c r="AD72" s="886" t="s">
        <v>1709</v>
      </c>
      <c r="AE72" s="561"/>
      <c r="AF72" s="561"/>
      <c r="AG72" s="561"/>
      <c r="AH72" s="2280"/>
      <c r="AI72" s="2280"/>
      <c r="AJ72" s="2280"/>
      <c r="AK72" s="2280"/>
      <c r="AL72" s="2280"/>
      <c r="AM72" s="2280"/>
      <c r="AN72" s="2280"/>
      <c r="AO72" s="2280"/>
      <c r="AP72" s="2280"/>
      <c r="AQ72" s="2280"/>
      <c r="AR72" s="2280"/>
      <c r="AS72" s="2280"/>
      <c r="AT72" s="2280"/>
      <c r="AU72" s="2280"/>
      <c r="AV72" s="2280"/>
      <c r="AW72" s="2280"/>
      <c r="AX72" s="2280"/>
      <c r="AY72" s="561"/>
      <c r="AZ72" s="561"/>
      <c r="BA72" s="561"/>
      <c r="BB72" s="2280"/>
      <c r="BC72" s="2280"/>
      <c r="BD72" s="2280"/>
      <c r="BE72" s="2280"/>
      <c r="BF72" s="2280"/>
      <c r="BG72" s="2280"/>
      <c r="BH72" s="2280"/>
      <c r="BI72" s="2280"/>
      <c r="BJ72" s="2280"/>
      <c r="BK72" s="2280"/>
      <c r="BL72" s="2280"/>
      <c r="BM72" s="2280"/>
      <c r="BN72" s="2280"/>
      <c r="BO72" s="2280"/>
      <c r="BP72" s="2280"/>
      <c r="BQ72" s="2280"/>
      <c r="BR72" s="2280"/>
      <c r="BS72" s="1897"/>
      <c r="BT72" s="1897"/>
      <c r="BU72" s="1897"/>
      <c r="BV72" s="286"/>
      <c r="BW72" s="1659"/>
      <c r="BX72" s="489" t="s">
        <v>1692</v>
      </c>
      <c r="BY72" s="1125"/>
      <c r="BZ72" s="1125"/>
      <c r="CA72" s="1126"/>
      <c r="CB72" s="1126"/>
      <c r="CC72" s="1506"/>
      <c r="CD72" s="1506"/>
      <c r="CE72" s="1501" cm="1" t="str">
        <f t="array" ref="CE72:CE72">CE71</f>
        <v>ТЭ.42.31656254.0001</v>
      </c>
      <c r="CF72" s="1501"/>
      <c r="CG72" s="1501"/>
      <c r="CH72" s="1501"/>
      <c r="CI72" s="1501"/>
      <c r="CJ72" s="1501" t="s">
        <v>1090</v>
      </c>
      <c r="CK72" s="1501"/>
      <c r="CL72" s="1501"/>
      <c r="CM72" s="1501"/>
      <c r="CN72" s="1501" t="s">
        <v>303</v>
      </c>
      <c r="CO72" s="1501" t="s">
        <v>1044</v>
      </c>
      <c r="CP72" s="1501" t="s">
        <v>1045</v>
      </c>
    </row>
    <row s="1751" customFormat="1" customHeight="1" ht="16.5">
      <c r="A73" s="371"/>
      <c r="B73" s="1548"/>
      <c r="C73" s="1659"/>
      <c r="D73" s="1659"/>
      <c r="E73" s="180">
        <v>17</v>
      </c>
      <c r="F73" s="193" cm="1" t="str">
        <f t="array" ref="F73:F73">OFFSET(G73,-1,-1)</f>
        <v>1</v>
      </c>
      <c r="G73" s="1659"/>
      <c r="H73" s="1659"/>
      <c r="I73" s="1659"/>
      <c r="J73" s="1659"/>
      <c r="K73" s="1659"/>
      <c r="L73" s="1659"/>
      <c r="M73" s="1659"/>
      <c r="N73" s="1659"/>
      <c r="O73" s="1659"/>
      <c r="P73" s="1659"/>
      <c r="Q73" s="1659"/>
      <c r="R73" s="1659"/>
      <c r="S73" s="1659"/>
      <c r="T73" s="753">
        <f>AND(F73&gt;0,OR(ISBLANK(Y73),Y73&gt;0))</f>
        <v>1</v>
      </c>
      <c r="U73" s="1548"/>
      <c r="V73" s="1548"/>
      <c r="W73" s="1548"/>
      <c r="X73" s="1548"/>
      <c r="Y73" s="1548"/>
      <c r="Z73" s="1548"/>
      <c r="AA73" s="286"/>
      <c r="AB73" s="352">
        <v>2</v>
      </c>
      <c r="AC73" s="427" t="s">
        <v>2376</v>
      </c>
      <c r="AD73" s="886"/>
      <c r="AE73" s="886"/>
      <c r="AF73" s="886"/>
      <c r="AG73" s="886"/>
      <c r="AH73" s="886"/>
      <c r="AI73" s="886"/>
      <c r="AJ73" s="886"/>
      <c r="AK73" s="886"/>
      <c r="AL73" s="886"/>
      <c r="AM73" s="886"/>
      <c r="AN73" s="886"/>
      <c r="AO73" s="886"/>
      <c r="AP73" s="886"/>
      <c r="AQ73" s="886"/>
      <c r="AR73" s="886"/>
      <c r="AS73" s="886"/>
      <c r="AT73" s="886"/>
      <c r="AU73" s="886"/>
      <c r="AV73" s="886"/>
      <c r="AW73" s="886"/>
      <c r="AX73" s="886"/>
      <c r="AY73" s="886"/>
      <c r="AZ73" s="886"/>
      <c r="BA73" s="886"/>
      <c r="BB73" s="886"/>
      <c r="BC73" s="886"/>
      <c r="BD73" s="886"/>
      <c r="BE73" s="886"/>
      <c r="BF73" s="886"/>
      <c r="BG73" s="886"/>
      <c r="BH73" s="886"/>
      <c r="BI73" s="886"/>
      <c r="BJ73" s="886"/>
      <c r="BK73" s="886"/>
      <c r="BL73" s="886"/>
      <c r="BM73" s="886"/>
      <c r="BN73" s="886"/>
      <c r="BO73" s="886"/>
      <c r="BP73" s="886"/>
      <c r="BQ73" s="886"/>
      <c r="BR73" s="886"/>
      <c r="BS73" s="886"/>
      <c r="BT73" s="886"/>
      <c r="BU73" s="886"/>
      <c r="BV73" s="286"/>
      <c r="BW73" s="1659"/>
      <c r="BX73" s="1125"/>
      <c r="BY73" s="1125"/>
      <c r="BZ73" s="1125"/>
      <c r="CA73" s="1126"/>
      <c r="CB73" s="1126"/>
      <c r="CC73" s="1506"/>
      <c r="CD73" s="1506"/>
      <c r="CE73" s="1501" cm="1" t="str">
        <f t="array" ref="CE73:CE73">CE72</f>
        <v>ТЭ.42.31656254.0001</v>
      </c>
      <c r="CF73" s="1501"/>
      <c r="CG73" s="1501"/>
      <c r="CH73" s="1501"/>
      <c r="CI73" s="1501"/>
      <c r="CJ73" s="1501"/>
      <c r="CK73" s="1501"/>
      <c r="CL73" s="1501"/>
      <c r="CM73" s="1501"/>
      <c r="CN73" s="1501" t="s">
        <v>176</v>
      </c>
      <c r="CO73" s="1501"/>
      <c r="CP73" s="1501"/>
    </row>
    <row s="1751" customFormat="1" customHeight="1" ht="16.5">
      <c r="A74" s="371"/>
      <c r="B74" s="1548"/>
      <c r="C74" s="1659"/>
      <c r="D74" s="1659"/>
      <c r="E74" s="180">
        <v>17</v>
      </c>
      <c r="F74" s="193" cm="1" t="str">
        <f t="array" ref="F74:F74">OFFSET(G74,-1,-1)</f>
        <v>1</v>
      </c>
      <c r="G74" s="193" t="s">
        <v>2081</v>
      </c>
      <c r="H74" s="1659"/>
      <c r="I74" s="1659"/>
      <c r="J74" s="1659"/>
      <c r="K74" s="1659"/>
      <c r="L74" s="1659"/>
      <c r="M74" s="1659"/>
      <c r="N74" s="1659"/>
      <c r="O74" s="1659"/>
      <c r="P74" s="1659"/>
      <c r="Q74" s="1659"/>
      <c r="R74" s="1659"/>
      <c r="S74" s="1659"/>
      <c r="T74" s="753">
        <f>AND(F74&gt;0,OR(ISBLANK(Y74),Y74&gt;0))</f>
        <v>1</v>
      </c>
      <c r="U74" s="1548"/>
      <c r="V74" s="1548"/>
      <c r="W74" s="1548"/>
      <c r="X74" s="1548"/>
      <c r="Y74" s="1548"/>
      <c r="Z74" s="1548"/>
      <c r="AA74" s="286"/>
      <c r="AB74" s="327">
        <v>2.1</v>
      </c>
      <c r="AC74" s="646" t="s">
        <v>2082</v>
      </c>
      <c r="AD74" s="369" t="s">
        <v>629</v>
      </c>
      <c r="AE74" s="561"/>
      <c r="AF74" s="561"/>
      <c r="AG74" s="561"/>
      <c r="AH74" s="2280"/>
      <c r="AI74" s="2280"/>
      <c r="AJ74" s="2280"/>
      <c r="AK74" s="2280"/>
      <c r="AL74" s="2280"/>
      <c r="AM74" s="2280"/>
      <c r="AN74" s="2280"/>
      <c r="AO74" s="2280"/>
      <c r="AP74" s="2280"/>
      <c r="AQ74" s="2280"/>
      <c r="AR74" s="2280"/>
      <c r="AS74" s="2280"/>
      <c r="AT74" s="2280"/>
      <c r="AU74" s="2280"/>
      <c r="AV74" s="2280"/>
      <c r="AW74" s="2280"/>
      <c r="AX74" s="2280"/>
      <c r="AY74" s="561"/>
      <c r="AZ74" s="561"/>
      <c r="BA74" s="561"/>
      <c r="BB74" s="2280"/>
      <c r="BC74" s="2280"/>
      <c r="BD74" s="2280"/>
      <c r="BE74" s="2280"/>
      <c r="BF74" s="2280"/>
      <c r="BG74" s="2280"/>
      <c r="BH74" s="2280"/>
      <c r="BI74" s="2280"/>
      <c r="BJ74" s="2280"/>
      <c r="BK74" s="2280"/>
      <c r="BL74" s="2280"/>
      <c r="BM74" s="2280"/>
      <c r="BN74" s="2280"/>
      <c r="BO74" s="2280"/>
      <c r="BP74" s="2280"/>
      <c r="BQ74" s="2280"/>
      <c r="BR74" s="2280"/>
      <c r="BS74" s="1897"/>
      <c r="BT74" s="1897"/>
      <c r="BU74" s="1897"/>
      <c r="BV74" s="286"/>
      <c r="BW74" s="1659"/>
      <c r="BX74" s="489" t="s">
        <v>2377</v>
      </c>
      <c r="BY74" s="1125"/>
      <c r="BZ74" s="1125"/>
      <c r="CA74" s="1126"/>
      <c r="CB74" s="1126"/>
      <c r="CC74" s="1506"/>
      <c r="CD74" s="1506"/>
      <c r="CE74" s="1501" cm="1" t="str">
        <f t="array" ref="CE74:CE74">CE73</f>
        <v>ТЭ.42.31656254.0001</v>
      </c>
      <c r="CF74" s="1501"/>
      <c r="CG74" s="1501"/>
      <c r="CH74" s="1501"/>
      <c r="CI74" s="1501" t="s">
        <v>796</v>
      </c>
      <c r="CJ74" s="1501"/>
      <c r="CK74" s="1501" t="s">
        <v>2084</v>
      </c>
      <c r="CL74" s="1501" t="s">
        <v>219</v>
      </c>
      <c r="CM74" s="1501"/>
      <c r="CN74" s="1501" t="s">
        <v>303</v>
      </c>
      <c r="CO74" s="1501" t="s">
        <v>2079</v>
      </c>
      <c r="CP74" s="1501" t="s">
        <v>2080</v>
      </c>
    </row>
    <row s="1751" customFormat="1" customHeight="1" ht="16.5">
      <c r="A75" s="371"/>
      <c r="B75" s="1548"/>
      <c r="C75" s="1659"/>
      <c r="D75" s="1659"/>
      <c r="E75" s="180">
        <v>17</v>
      </c>
      <c r="F75" s="193" cm="1" t="str">
        <f t="array" ref="F75:F75">OFFSET(G75,-1,-1)</f>
        <v>1</v>
      </c>
      <c r="G75" s="193" t="s">
        <v>2085</v>
      </c>
      <c r="H75" s="1659"/>
      <c r="I75" s="1659"/>
      <c r="J75" s="1659"/>
      <c r="K75" s="1659"/>
      <c r="L75" s="1659"/>
      <c r="M75" s="1659"/>
      <c r="N75" s="1659"/>
      <c r="O75" s="1659"/>
      <c r="P75" s="1659"/>
      <c r="Q75" s="1659"/>
      <c r="R75" s="1659"/>
      <c r="S75" s="1659"/>
      <c r="T75" s="753">
        <f>AND(F75&gt;0,OR(ISBLANK(Y75),Y75&gt;0))</f>
        <v>1</v>
      </c>
      <c r="U75" s="1548"/>
      <c r="V75" s="1548"/>
      <c r="W75" s="1548"/>
      <c r="X75" s="1548"/>
      <c r="Y75" s="1548"/>
      <c r="Z75" s="1548"/>
      <c r="AA75" s="286"/>
      <c r="AB75" s="327">
        <v>2.2</v>
      </c>
      <c r="AC75" s="646" t="s">
        <v>2086</v>
      </c>
      <c r="AD75" s="369" t="s">
        <v>1005</v>
      </c>
      <c r="AE75" s="561"/>
      <c r="AF75" s="561"/>
      <c r="AG75" s="561"/>
      <c r="AH75" s="2280"/>
      <c r="AI75" s="2280"/>
      <c r="AJ75" s="2280"/>
      <c r="AK75" s="2280"/>
      <c r="AL75" s="2280"/>
      <c r="AM75" s="2280"/>
      <c r="AN75" s="2280"/>
      <c r="AO75" s="2280"/>
      <c r="AP75" s="2280"/>
      <c r="AQ75" s="2280"/>
      <c r="AR75" s="2280"/>
      <c r="AS75" s="2280"/>
      <c r="AT75" s="2280"/>
      <c r="AU75" s="2280"/>
      <c r="AV75" s="2280"/>
      <c r="AW75" s="2280"/>
      <c r="AX75" s="2280"/>
      <c r="AY75" s="561"/>
      <c r="AZ75" s="561"/>
      <c r="BA75" s="561"/>
      <c r="BB75" s="2280"/>
      <c r="BC75" s="2280"/>
      <c r="BD75" s="2280"/>
      <c r="BE75" s="2280"/>
      <c r="BF75" s="2280"/>
      <c r="BG75" s="2280"/>
      <c r="BH75" s="2280"/>
      <c r="BI75" s="2280"/>
      <c r="BJ75" s="2280"/>
      <c r="BK75" s="2280"/>
      <c r="BL75" s="2280"/>
      <c r="BM75" s="2280"/>
      <c r="BN75" s="2280"/>
      <c r="BO75" s="2280"/>
      <c r="BP75" s="2280"/>
      <c r="BQ75" s="2280"/>
      <c r="BR75" s="2280"/>
      <c r="BS75" s="1897"/>
      <c r="BT75" s="1897"/>
      <c r="BU75" s="1897"/>
      <c r="BV75" s="286"/>
      <c r="BW75" s="1659"/>
      <c r="BX75" s="489" t="s">
        <v>2378</v>
      </c>
      <c r="BY75" s="1125"/>
      <c r="BZ75" s="1125"/>
      <c r="CA75" s="1126"/>
      <c r="CB75" s="1126"/>
      <c r="CC75" s="1506"/>
      <c r="CD75" s="1506"/>
      <c r="CE75" s="1501" cm="1" t="str">
        <f t="array" ref="CE75:CE75">CE74</f>
        <v>ТЭ.42.31656254.0001</v>
      </c>
      <c r="CF75" s="1501"/>
      <c r="CG75" s="1501"/>
      <c r="CH75" s="1501"/>
      <c r="CI75" s="1501" t="s">
        <v>796</v>
      </c>
      <c r="CJ75" s="1501"/>
      <c r="CK75" s="1501" t="s">
        <v>2084</v>
      </c>
      <c r="CL75" s="1501" t="s">
        <v>255</v>
      </c>
      <c r="CM75" s="1501"/>
      <c r="CN75" s="1501" t="s">
        <v>303</v>
      </c>
      <c r="CO75" s="1501" t="s">
        <v>1100</v>
      </c>
      <c r="CP75" s="1501" t="s">
        <v>1101</v>
      </c>
    </row>
    <row s="1751" customFormat="1" customHeight="1" ht="16.5">
      <c r="A76" s="371"/>
      <c r="B76" s="1548"/>
      <c r="C76" s="1659"/>
      <c r="D76" s="1659"/>
      <c r="E76" s="180">
        <v>17</v>
      </c>
      <c r="F76" s="193" cm="1" t="str">
        <f t="array" ref="F76:F76">OFFSET(G76,-1,-1)</f>
        <v>1</v>
      </c>
      <c r="G76" s="193" t="s">
        <v>2088</v>
      </c>
      <c r="H76" s="1659"/>
      <c r="I76" s="1659"/>
      <c r="J76" s="1659"/>
      <c r="K76" s="1659"/>
      <c r="L76" s="1659"/>
      <c r="M76" s="1659"/>
      <c r="N76" s="1659"/>
      <c r="O76" s="1659"/>
      <c r="P76" s="1659"/>
      <c r="Q76" s="1659"/>
      <c r="R76" s="1659"/>
      <c r="S76" s="1659"/>
      <c r="T76" s="753">
        <f>AND(F76&gt;0,OR(ISBLANK(Y76),Y76&gt;0))</f>
        <v>1</v>
      </c>
      <c r="U76" s="1548"/>
      <c r="V76" s="1548"/>
      <c r="W76" s="1548"/>
      <c r="X76" s="1548"/>
      <c r="Y76" s="1548"/>
      <c r="Z76" s="1548"/>
      <c r="AA76" s="286"/>
      <c r="AB76" s="327">
        <v>2.3</v>
      </c>
      <c r="AC76" s="646" t="s">
        <v>2089</v>
      </c>
      <c r="AD76" s="666" t="s">
        <v>629</v>
      </c>
      <c r="AE76" s="561"/>
      <c r="AF76" s="561"/>
      <c r="AG76" s="561"/>
      <c r="AH76" s="2280"/>
      <c r="AI76" s="2280"/>
      <c r="AJ76" s="2280"/>
      <c r="AK76" s="2280"/>
      <c r="AL76" s="2280"/>
      <c r="AM76" s="2280"/>
      <c r="AN76" s="2280"/>
      <c r="AO76" s="2280"/>
      <c r="AP76" s="2280"/>
      <c r="AQ76" s="2280"/>
      <c r="AR76" s="2280"/>
      <c r="AS76" s="2280"/>
      <c r="AT76" s="2280"/>
      <c r="AU76" s="2280"/>
      <c r="AV76" s="2280"/>
      <c r="AW76" s="2280"/>
      <c r="AX76" s="2280"/>
      <c r="AY76" s="561"/>
      <c r="AZ76" s="561"/>
      <c r="BA76" s="561"/>
      <c r="BB76" s="2280"/>
      <c r="BC76" s="2280"/>
      <c r="BD76" s="2280"/>
      <c r="BE76" s="2280"/>
      <c r="BF76" s="2280"/>
      <c r="BG76" s="2280"/>
      <c r="BH76" s="2280"/>
      <c r="BI76" s="2280"/>
      <c r="BJ76" s="2280"/>
      <c r="BK76" s="2280"/>
      <c r="BL76" s="2280"/>
      <c r="BM76" s="2280"/>
      <c r="BN76" s="2280"/>
      <c r="BO76" s="2280"/>
      <c r="BP76" s="2280"/>
      <c r="BQ76" s="2280"/>
      <c r="BR76" s="2280"/>
      <c r="BS76" s="1897"/>
      <c r="BT76" s="1897"/>
      <c r="BU76" s="1897"/>
      <c r="BV76" s="286"/>
      <c r="BW76" s="1659"/>
      <c r="BX76" s="489" t="s">
        <v>2379</v>
      </c>
      <c r="BY76" s="1125"/>
      <c r="BZ76" s="1125"/>
      <c r="CA76" s="1126"/>
      <c r="CB76" s="1126"/>
      <c r="CC76" s="1506"/>
      <c r="CD76" s="1506"/>
      <c r="CE76" s="1501" cm="1" t="str">
        <f t="array" ref="CE76:CE76">CE75</f>
        <v>ТЭ.42.31656254.0001</v>
      </c>
      <c r="CF76" s="1501"/>
      <c r="CG76" s="1501"/>
      <c r="CH76" s="1501"/>
      <c r="CI76" s="1501" t="s">
        <v>797</v>
      </c>
      <c r="CJ76" s="1501"/>
      <c r="CK76" s="1501"/>
      <c r="CL76" s="1501" t="s">
        <v>219</v>
      </c>
      <c r="CM76" s="1501"/>
      <c r="CN76" s="1501" t="s">
        <v>303</v>
      </c>
      <c r="CO76" s="1501" t="s">
        <v>2079</v>
      </c>
      <c r="CP76" s="1501" t="s">
        <v>2080</v>
      </c>
    </row>
    <row s="972" customFormat="1" customHeight="1" ht="16.5">
      <c r="A77" s="972"/>
      <c r="B77" s="972"/>
      <c r="C77" s="972"/>
      <c r="D77" s="972"/>
      <c r="E77" s="180">
        <v>17</v>
      </c>
      <c r="F77" s="193" cm="1" t="str">
        <f t="array" ref="F77:F77">OFFSET(G77,-1,-1)</f>
        <v>1</v>
      </c>
      <c r="G77" s="193" t="s">
        <v>2091</v>
      </c>
      <c r="H77" s="972"/>
      <c r="I77" s="972"/>
      <c r="J77" s="972"/>
      <c r="K77" s="972"/>
      <c r="L77" s="972"/>
      <c r="M77" s="972"/>
      <c r="N77" s="972"/>
      <c r="O77" s="972"/>
      <c r="P77" s="972"/>
      <c r="Q77" s="972"/>
      <c r="R77" s="972"/>
      <c r="S77" s="972"/>
      <c r="T77" s="753">
        <f>AND(F77&gt;0,OR(ISBLANK(Y77),Y77&gt;0))</f>
        <v>1</v>
      </c>
      <c r="U77" s="972"/>
      <c r="V77" s="972"/>
      <c r="W77" s="972"/>
      <c r="X77" s="972"/>
      <c r="Y77" s="972"/>
      <c r="Z77" s="972"/>
      <c r="AA77" s="972"/>
      <c r="AB77" s="327">
        <v>2.4</v>
      </c>
      <c r="AC77" s="646" t="s">
        <v>2092</v>
      </c>
      <c r="AD77" s="384" t="s">
        <v>1005</v>
      </c>
      <c r="AE77" s="561">
        <f>_xlfn.IFERROR((AE55*1000-AE74*AE75)/AE76,0)</f>
        <v>0</v>
      </c>
      <c r="AF77" s="561">
        <f>_xlfn.IFERROR((AF55*1000-AF74*AF75)/AF76,0)</f>
        <v>0</v>
      </c>
      <c r="AG77" s="561">
        <f>_xlfn.IFERROR((AG55*1000-AG74*AG75)/AG76,0)</f>
        <v>0</v>
      </c>
      <c r="AH77" s="2280">
        <f>_xlfn.IFERROR((AH55*1000-AH74*AH75)/AH76,0)</f>
        <v>0</v>
      </c>
      <c r="AI77" s="2280">
        <f>_xlfn.IFERROR((AI55*1000-AI74*AI75)/AI76,0)</f>
        <v>0</v>
      </c>
      <c r="AJ77" s="2280">
        <f>_xlfn.IFERROR((AJ55*1000-AJ74*AJ75)/AJ76,0)</f>
        <v>0</v>
      </c>
      <c r="AK77" s="2280">
        <f>_xlfn.IFERROR((AK55*1000-AK74*AK75)/AK76,0)</f>
        <v>0</v>
      </c>
      <c r="AL77" s="2280">
        <f>_xlfn.IFERROR((AL55*1000-AL74*AL75)/AL76,0)</f>
        <v>0</v>
      </c>
      <c r="AM77" s="2280">
        <f>_xlfn.IFERROR((AM55*1000-AM74*AM75)/AM76,0)</f>
        <v>0</v>
      </c>
      <c r="AN77" s="2280">
        <f>_xlfn.IFERROR((AN55*1000-AN74*AN75)/AN76,0)</f>
        <v>0</v>
      </c>
      <c r="AO77" s="2280">
        <f>_xlfn.IFERROR((AO55*1000-AO74*AO75)/AO76,0)</f>
        <v>0</v>
      </c>
      <c r="AP77" s="2280">
        <f>_xlfn.IFERROR((AP55*1000-AP74*AP75)/AP76,0)</f>
        <v>0</v>
      </c>
      <c r="AQ77" s="2280">
        <f>_xlfn.IFERROR((AQ55*1000-AQ74*AQ75)/AQ76,0)</f>
        <v>0</v>
      </c>
      <c r="AR77" s="2280">
        <f>_xlfn.IFERROR((AR55*1000-AR74*AR75)/AR76,0)</f>
        <v>0</v>
      </c>
      <c r="AS77" s="2280">
        <f>_xlfn.IFERROR((AS55*1000-AS74*AS75)/AS76,0)</f>
        <v>0</v>
      </c>
      <c r="AT77" s="2280">
        <f>_xlfn.IFERROR((AT55*1000-AT74*AT75)/AT76,0)</f>
        <v>0</v>
      </c>
      <c r="AU77" s="2280">
        <f>_xlfn.IFERROR((AU55*1000-AU74*AU75)/AU76,0)</f>
        <v>0</v>
      </c>
      <c r="AV77" s="2280">
        <f>_xlfn.IFERROR((AV55*1000-AV74*AV75)/AV76,0)</f>
        <v>0</v>
      </c>
      <c r="AW77" s="2280">
        <f>_xlfn.IFERROR((AW55*1000-AW74*AW75)/AW76,0)</f>
        <v>0</v>
      </c>
      <c r="AX77" s="2280">
        <f>_xlfn.IFERROR((AX55*1000-AX74*AX75)/AX76,0)</f>
        <v>0</v>
      </c>
      <c r="AY77" s="561">
        <f>_xlfn.IFERROR((AY55*1000-AY74*AY75)/AY76,0)</f>
        <v>0</v>
      </c>
      <c r="AZ77" s="561">
        <f>_xlfn.IFERROR((AZ55*1000-AZ74*AZ75)/AZ76,0)</f>
        <v>0</v>
      </c>
      <c r="BA77" s="561">
        <f>_xlfn.IFERROR((BA55*1000-BA74*BA75)/BA76,0)</f>
        <v>0</v>
      </c>
      <c r="BB77" s="2280">
        <f>_xlfn.IFERROR((BB55*1000-BB74*BB75)/BB76,0)</f>
        <v>0</v>
      </c>
      <c r="BC77" s="2280">
        <f>_xlfn.IFERROR((BC55*1000-BC74*BC75)/BC76,0)</f>
        <v>0</v>
      </c>
      <c r="BD77" s="2280">
        <f>_xlfn.IFERROR((BD55*1000-BD74*BD75)/BD76,0)</f>
        <v>0</v>
      </c>
      <c r="BE77" s="2280">
        <f>_xlfn.IFERROR((BE55*1000-BE74*BE75)/BE76,0)</f>
        <v>0</v>
      </c>
      <c r="BF77" s="2280">
        <f>_xlfn.IFERROR((BF55*1000-BF74*BF75)/BF76,0)</f>
        <v>0</v>
      </c>
      <c r="BG77" s="2280">
        <f>_xlfn.IFERROR((BG55*1000-BG74*BG75)/BG76,0)</f>
        <v>0</v>
      </c>
      <c r="BH77" s="2280">
        <f>_xlfn.IFERROR((BH55*1000-BH74*BH75)/BH76,0)</f>
        <v>0</v>
      </c>
      <c r="BI77" s="2280">
        <f>_xlfn.IFERROR((BI55*1000-BI74*BI75)/BI76,0)</f>
        <v>0</v>
      </c>
      <c r="BJ77" s="2280">
        <f>_xlfn.IFERROR((BJ55*1000-BJ74*BJ75)/BJ76,0)</f>
        <v>0</v>
      </c>
      <c r="BK77" s="2280">
        <f>_xlfn.IFERROR((BK55*1000-BK74*BK75)/BK76,0)</f>
        <v>0</v>
      </c>
      <c r="BL77" s="2280">
        <f>_xlfn.IFERROR((BL55*1000-BL74*BL75)/BL76,0)</f>
        <v>0</v>
      </c>
      <c r="BM77" s="2280">
        <f>_xlfn.IFERROR((BM55*1000-BM74*BM75)/BM76,0)</f>
        <v>0</v>
      </c>
      <c r="BN77" s="2280">
        <f>_xlfn.IFERROR((BN55*1000-BN74*BN75)/BN76,0)</f>
        <v>0</v>
      </c>
      <c r="BO77" s="2280">
        <f>_xlfn.IFERROR((BO55*1000-BO74*BO75)/BO76,0)</f>
        <v>0</v>
      </c>
      <c r="BP77" s="2280">
        <f>_xlfn.IFERROR((BP55*1000-BP74*BP75)/BP76,0)</f>
        <v>0</v>
      </c>
      <c r="BQ77" s="2280">
        <f>_xlfn.IFERROR((BQ55*1000-BQ74*BQ75)/BQ76,0)</f>
        <v>0</v>
      </c>
      <c r="BR77" s="2280">
        <f>_xlfn.IFERROR((BR55*1000-BR74*BR75)/BR76,0)</f>
        <v>0</v>
      </c>
      <c r="BS77" s="1897"/>
      <c r="BT77" s="1897"/>
      <c r="BU77" s="1897"/>
      <c r="BV77" s="972"/>
      <c r="BW77" s="972"/>
      <c r="BX77" s="489" t="s">
        <v>2380</v>
      </c>
      <c r="BY77" s="489"/>
      <c r="BZ77" s="992"/>
      <c r="CA77" s="993"/>
      <c r="CB77" s="993"/>
      <c r="CC77" s="972"/>
      <c r="CD77" s="972"/>
      <c r="CE77" s="1501" cm="1" t="str">
        <f t="array" ref="CE77:CE77">CE76</f>
        <v>ТЭ.42.31656254.0001</v>
      </c>
      <c r="CF77" s="1501"/>
      <c r="CG77" s="1501"/>
      <c r="CH77" s="1501"/>
      <c r="CI77" s="1501" t="s">
        <v>797</v>
      </c>
      <c r="CJ77" s="1501"/>
      <c r="CK77" s="1501"/>
      <c r="CL77" s="1501" t="s">
        <v>255</v>
      </c>
      <c r="CM77" s="1501"/>
      <c r="CN77" s="1501" t="s">
        <v>303</v>
      </c>
      <c r="CO77" s="1501" t="s">
        <v>1100</v>
      </c>
      <c r="CP77" s="1501" t="s">
        <v>1101</v>
      </c>
    </row>
    <row s="972" customFormat="1" customHeight="1" ht="16.5">
      <c r="A78" s="972"/>
      <c r="B78" s="972"/>
      <c r="C78" s="972"/>
      <c r="D78" s="972"/>
      <c r="E78" s="180">
        <v>17</v>
      </c>
      <c r="F78" s="193" cm="1" t="str">
        <f t="array" ref="F78:F78">OFFSET(G78,-1,-1)</f>
        <v>1</v>
      </c>
      <c r="G78" s="972"/>
      <c r="H78" s="972"/>
      <c r="I78" s="972"/>
      <c r="J78" s="972"/>
      <c r="K78" s="972"/>
      <c r="L78" s="972"/>
      <c r="M78" s="972"/>
      <c r="N78" s="972"/>
      <c r="O78" s="972"/>
      <c r="P78" s="972"/>
      <c r="Q78" s="972"/>
      <c r="R78" s="972"/>
      <c r="S78" s="972"/>
      <c r="T78" s="753">
        <f>AND(F78&gt;0,OR(ISBLANK(Y78),Y78&gt;0))</f>
        <v>1</v>
      </c>
      <c r="U78" s="972"/>
      <c r="V78" s="972"/>
      <c r="W78" s="972"/>
      <c r="X78" s="972"/>
      <c r="Y78" s="972"/>
      <c r="Z78" s="972"/>
      <c r="AA78" s="972"/>
      <c r="AB78" s="327">
        <v>2.5</v>
      </c>
      <c r="AC78" s="368" t="s">
        <v>2381</v>
      </c>
      <c r="AD78" s="369" t="s">
        <v>495</v>
      </c>
      <c r="AE78" s="843">
        <f>_xlfn.IFERROR(AE77/AE75,0)</f>
        <v>0</v>
      </c>
      <c r="AF78" s="843">
        <f>_xlfn.IFERROR(AF77/AF75,0)</f>
        <v>0</v>
      </c>
      <c r="AG78" s="843">
        <f>_xlfn.IFERROR(AG77/AG75,0)</f>
        <v>0</v>
      </c>
      <c r="AH78" s="843">
        <f>_xlfn.IFERROR(AH77/AH75,0)</f>
        <v>0</v>
      </c>
      <c r="AI78" s="843">
        <f>_xlfn.IFERROR(AI77/AI75,0)</f>
        <v>0</v>
      </c>
      <c r="AJ78" s="843">
        <f>_xlfn.IFERROR(AJ77/AJ75,0)</f>
        <v>0</v>
      </c>
      <c r="AK78" s="843">
        <f>_xlfn.IFERROR(AK77/AK75,0)</f>
        <v>0</v>
      </c>
      <c r="AL78" s="843">
        <f>_xlfn.IFERROR(AL77/AL75,0)</f>
        <v>0</v>
      </c>
      <c r="AM78" s="843">
        <f>_xlfn.IFERROR(AM77/AM75,0)</f>
        <v>0</v>
      </c>
      <c r="AN78" s="843">
        <f>_xlfn.IFERROR(AN77/AN75,0)</f>
        <v>0</v>
      </c>
      <c r="AO78" s="843">
        <f>_xlfn.IFERROR(AO77/AO75,0)</f>
        <v>0</v>
      </c>
      <c r="AP78" s="843">
        <f>_xlfn.IFERROR(AP77/AP75,0)</f>
        <v>0</v>
      </c>
      <c r="AQ78" s="843">
        <f>_xlfn.IFERROR(AQ77/AQ75,0)</f>
        <v>0</v>
      </c>
      <c r="AR78" s="843">
        <f>_xlfn.IFERROR(AR77/AR75,0)</f>
        <v>0</v>
      </c>
      <c r="AS78" s="843">
        <f>_xlfn.IFERROR(AS77/AS75,0)</f>
        <v>0</v>
      </c>
      <c r="AT78" s="843">
        <f>_xlfn.IFERROR(AT77/AT75,0)</f>
        <v>0</v>
      </c>
      <c r="AU78" s="843">
        <f>_xlfn.IFERROR(AU77/AU75,0)</f>
        <v>0</v>
      </c>
      <c r="AV78" s="843">
        <f>_xlfn.IFERROR(AV77/AV75,0)</f>
        <v>0</v>
      </c>
      <c r="AW78" s="843">
        <f>_xlfn.IFERROR(AW77/AW75,0)</f>
        <v>0</v>
      </c>
      <c r="AX78" s="843">
        <f>_xlfn.IFERROR(AX77/AX75,0)</f>
        <v>0</v>
      </c>
      <c r="AY78" s="843">
        <f>_xlfn.IFERROR(AY77/AY75,0)</f>
        <v>0</v>
      </c>
      <c r="AZ78" s="843">
        <f>_xlfn.IFERROR(AZ77/AZ75,0)</f>
        <v>0</v>
      </c>
      <c r="BA78" s="843">
        <f>_xlfn.IFERROR(BA77/BA75,0)</f>
        <v>0</v>
      </c>
      <c r="BB78" s="843">
        <f>_xlfn.IFERROR(BB77/BB75,0)</f>
        <v>0</v>
      </c>
      <c r="BC78" s="843">
        <f>_xlfn.IFERROR(BC77/BC75,0)</f>
        <v>0</v>
      </c>
      <c r="BD78" s="843">
        <f>_xlfn.IFERROR(BD77/BD75,0)</f>
        <v>0</v>
      </c>
      <c r="BE78" s="843">
        <f>_xlfn.IFERROR(BE77/BE75,0)</f>
        <v>0</v>
      </c>
      <c r="BF78" s="843">
        <f>_xlfn.IFERROR(BF77/BF75,0)</f>
        <v>0</v>
      </c>
      <c r="BG78" s="843">
        <f>_xlfn.IFERROR(BG77/BG75,0)</f>
        <v>0</v>
      </c>
      <c r="BH78" s="843">
        <f>_xlfn.IFERROR(BH77/BH75,0)</f>
        <v>0</v>
      </c>
      <c r="BI78" s="843">
        <f>_xlfn.IFERROR(BI77/BI75,0)</f>
        <v>0</v>
      </c>
      <c r="BJ78" s="843">
        <f>_xlfn.IFERROR(BJ77/BJ75,0)</f>
        <v>0</v>
      </c>
      <c r="BK78" s="843">
        <f>_xlfn.IFERROR(BK77/BK75,0)</f>
        <v>0</v>
      </c>
      <c r="BL78" s="843">
        <f>_xlfn.IFERROR(BL77/BL75,0)</f>
        <v>0</v>
      </c>
      <c r="BM78" s="843">
        <f>_xlfn.IFERROR(BM77/BM75,0)</f>
        <v>0</v>
      </c>
      <c r="BN78" s="843">
        <f>_xlfn.IFERROR(BN77/BN75,0)</f>
        <v>0</v>
      </c>
      <c r="BO78" s="843">
        <f>_xlfn.IFERROR(BO77/BO75,0)</f>
        <v>0</v>
      </c>
      <c r="BP78" s="843">
        <f>_xlfn.IFERROR(BP77/BP75,0)</f>
        <v>0</v>
      </c>
      <c r="BQ78" s="843">
        <f>_xlfn.IFERROR(BQ77/BQ75,0)</f>
        <v>0</v>
      </c>
      <c r="BR78" s="843">
        <f>_xlfn.IFERROR(BR77/BR75,0)</f>
        <v>0</v>
      </c>
      <c r="BS78" s="1897"/>
      <c r="BT78" s="1897"/>
      <c r="BU78" s="1897"/>
      <c r="BV78" s="972"/>
      <c r="BW78" s="972"/>
      <c r="BX78" s="489" t="s">
        <v>2382</v>
      </c>
      <c r="BY78" s="489"/>
      <c r="BZ78" s="489"/>
      <c r="CA78" s="546"/>
      <c r="CB78" s="546"/>
      <c r="CC78" s="972"/>
      <c r="CD78" s="972"/>
      <c r="CE78" s="1501" cm="1" t="str">
        <f t="array" ref="CE78:CE78">CE77</f>
        <v>ТЭ.42.31656254.0001</v>
      </c>
      <c r="CF78" s="1501"/>
      <c r="CG78" s="1501"/>
      <c r="CH78" s="1501"/>
      <c r="CI78" s="1501"/>
      <c r="CJ78" s="1501"/>
      <c r="CK78" s="1501"/>
      <c r="CL78" s="1501" t="s">
        <v>219</v>
      </c>
      <c r="CM78" s="1501"/>
      <c r="CN78" s="1501" t="s">
        <v>303</v>
      </c>
      <c r="CO78" s="1501" t="s">
        <v>931</v>
      </c>
      <c r="CP78" s="1501" t="s">
        <v>932</v>
      </c>
    </row>
    <row s="1751" customFormat="1" customHeight="1" ht="16.5">
      <c r="A79" s="371"/>
      <c r="B79" s="1548"/>
      <c r="C79" s="1659"/>
      <c r="D79" s="1659"/>
      <c r="E79" s="180">
        <v>17</v>
      </c>
      <c r="F79" s="193" cm="1" t="str">
        <f t="array" ref="F79:F79">OFFSET(G79,-1,-1)</f>
        <v>1</v>
      </c>
      <c r="G79" s="1659"/>
      <c r="H79" s="1659"/>
      <c r="I79" s="1659"/>
      <c r="J79" s="1659"/>
      <c r="K79" s="1659"/>
      <c r="L79" s="1659"/>
      <c r="M79" s="1659"/>
      <c r="N79" s="1659"/>
      <c r="O79" s="1659"/>
      <c r="P79" s="1659"/>
      <c r="Q79" s="1659"/>
      <c r="R79" s="1659"/>
      <c r="S79" s="1659"/>
      <c r="T79" s="753">
        <f>AND(F79&gt;0,OR(ISBLANK(Y79),Y79&gt;0))</f>
        <v>1</v>
      </c>
      <c r="U79" s="1548"/>
      <c r="V79" s="1548"/>
      <c r="W79" s="1548"/>
      <c r="X79" s="1548"/>
      <c r="Y79" s="1548"/>
      <c r="Z79" s="1548"/>
      <c r="AA79" s="286"/>
      <c r="AB79" s="327">
        <v>2.6</v>
      </c>
      <c r="AC79" s="368" t="s">
        <v>2383</v>
      </c>
      <c r="AD79" s="369" t="s">
        <v>1005</v>
      </c>
      <c r="AE79" s="699">
        <f>_xlfn.IFERROR(AE55*1000/(AE74+AE76),0)</f>
        <v>0</v>
      </c>
      <c r="AF79" s="699">
        <f>_xlfn.IFERROR(AF55*1000/(AF74+AF76),0)</f>
        <v>0</v>
      </c>
      <c r="AG79" s="699">
        <f>_xlfn.IFERROR(AG55*1000/(AG74+AG76),0)</f>
        <v>0</v>
      </c>
      <c r="AH79" s="2388">
        <f>_xlfn.IFERROR(AH55*1000/(AH74+AH76),0)</f>
        <v>0</v>
      </c>
      <c r="AI79" s="2388">
        <f>_xlfn.IFERROR(AI55*1000/(AI74+AI76),0)</f>
        <v>0</v>
      </c>
      <c r="AJ79" s="2388">
        <f>_xlfn.IFERROR(AJ55*1000/(AJ74+AJ76),0)</f>
        <v>0</v>
      </c>
      <c r="AK79" s="2388">
        <f>_xlfn.IFERROR(AK55*1000/(AK74+AK76),0)</f>
        <v>0</v>
      </c>
      <c r="AL79" s="2388">
        <f>_xlfn.IFERROR(AL55*1000/(AL74+AL76),0)</f>
        <v>0</v>
      </c>
      <c r="AM79" s="2388">
        <f>_xlfn.IFERROR(AM55*1000/(AM74+AM76),0)</f>
        <v>0</v>
      </c>
      <c r="AN79" s="2388">
        <f>_xlfn.IFERROR(AN55*1000/(AN74+AN76),0)</f>
        <v>0</v>
      </c>
      <c r="AO79" s="2388">
        <f>_xlfn.IFERROR(AO55*1000/(AO74+AO76),0)</f>
        <v>0</v>
      </c>
      <c r="AP79" s="2388">
        <f>_xlfn.IFERROR(AP55*1000/(AP74+AP76),0)</f>
        <v>0</v>
      </c>
      <c r="AQ79" s="2388">
        <f>_xlfn.IFERROR(AQ55*1000/(AQ74+AQ76),0)</f>
        <v>0</v>
      </c>
      <c r="AR79" s="2388">
        <f>_xlfn.IFERROR(AR55*1000/(AR74+AR76),0)</f>
        <v>0</v>
      </c>
      <c r="AS79" s="2388">
        <f>_xlfn.IFERROR(AS55*1000/(AS74+AS76),0)</f>
        <v>0</v>
      </c>
      <c r="AT79" s="2388">
        <f>_xlfn.IFERROR(AT55*1000/(AT74+AT76),0)</f>
        <v>0</v>
      </c>
      <c r="AU79" s="2388">
        <f>_xlfn.IFERROR(AU55*1000/(AU74+AU76),0)</f>
        <v>0</v>
      </c>
      <c r="AV79" s="2388">
        <f>_xlfn.IFERROR(AV55*1000/(AV74+AV76),0)</f>
        <v>0</v>
      </c>
      <c r="AW79" s="2388">
        <f>_xlfn.IFERROR(AW55*1000/(AW74+AW76),0)</f>
        <v>0</v>
      </c>
      <c r="AX79" s="2388">
        <f>_xlfn.IFERROR(AX55*1000/(AX74+AX76),0)</f>
        <v>0</v>
      </c>
      <c r="AY79" s="699">
        <f>_xlfn.IFERROR(AY55*1000/(AY74+AY76),0)</f>
        <v>0</v>
      </c>
      <c r="AZ79" s="699">
        <f>_xlfn.IFERROR(AZ55*1000/(AZ74+AZ76),0)</f>
        <v>0</v>
      </c>
      <c r="BA79" s="699">
        <f>_xlfn.IFERROR(BA55*1000/(BA74+BA76),0)</f>
        <v>0</v>
      </c>
      <c r="BB79" s="2388">
        <f>_xlfn.IFERROR(BB55*1000/(BB74+BB76),0)</f>
        <v>0</v>
      </c>
      <c r="BC79" s="2388">
        <f>_xlfn.IFERROR(BC55*1000/(BC74+BC76),0)</f>
        <v>0</v>
      </c>
      <c r="BD79" s="2388">
        <f>_xlfn.IFERROR(BD55*1000/(BD74+BD76),0)</f>
        <v>0</v>
      </c>
      <c r="BE79" s="2388">
        <f>_xlfn.IFERROR(BE55*1000/(BE74+BE76),0)</f>
        <v>0</v>
      </c>
      <c r="BF79" s="2388">
        <f>_xlfn.IFERROR(BF55*1000/(BF74+BF76),0)</f>
        <v>0</v>
      </c>
      <c r="BG79" s="2388">
        <f>_xlfn.IFERROR(BG55*1000/(BG74+BG76),0)</f>
        <v>0</v>
      </c>
      <c r="BH79" s="2388">
        <f>_xlfn.IFERROR(BH55*1000/(BH74+BH76),0)</f>
        <v>0</v>
      </c>
      <c r="BI79" s="2388">
        <f>_xlfn.IFERROR(BI55*1000/(BI74+BI76),0)</f>
        <v>0</v>
      </c>
      <c r="BJ79" s="2388">
        <f>_xlfn.IFERROR(BJ55*1000/(BJ74+BJ76),0)</f>
        <v>0</v>
      </c>
      <c r="BK79" s="2388">
        <f>_xlfn.IFERROR(BK55*1000/(BK74+BK76),0)</f>
        <v>0</v>
      </c>
      <c r="BL79" s="2388">
        <f>_xlfn.IFERROR(BL55*1000/(BL74+BL76),0)</f>
        <v>0</v>
      </c>
      <c r="BM79" s="2388">
        <f>_xlfn.IFERROR(BM55*1000/(BM74+BM76),0)</f>
        <v>0</v>
      </c>
      <c r="BN79" s="2388">
        <f>_xlfn.IFERROR(BN55*1000/(BN74+BN76),0)</f>
        <v>0</v>
      </c>
      <c r="BO79" s="2388">
        <f>_xlfn.IFERROR(BO55*1000/(BO74+BO76),0)</f>
        <v>0</v>
      </c>
      <c r="BP79" s="2388">
        <f>_xlfn.IFERROR(BP55*1000/(BP74+BP76),0)</f>
        <v>0</v>
      </c>
      <c r="BQ79" s="2388">
        <f>_xlfn.IFERROR(BQ55*1000/(BQ74+BQ76),0)</f>
        <v>0</v>
      </c>
      <c r="BR79" s="2388">
        <f>_xlfn.IFERROR(BR55*1000/(BR74+BR76),0)</f>
        <v>0</v>
      </c>
      <c r="BS79" s="1897"/>
      <c r="BT79" s="1897"/>
      <c r="BU79" s="1897"/>
      <c r="BV79" s="286"/>
      <c r="BW79" s="1659"/>
      <c r="BX79" s="489" t="s">
        <v>2384</v>
      </c>
      <c r="BY79" s="1125"/>
      <c r="BZ79" s="1125"/>
      <c r="CA79" s="1126"/>
      <c r="CB79" s="1126"/>
      <c r="CC79" s="1506"/>
      <c r="CD79" s="1506"/>
      <c r="CE79" s="1501" cm="1" t="str">
        <f t="array" ref="CE79:CE79">CE78</f>
        <v>ТЭ.42.31656254.0001</v>
      </c>
      <c r="CF79" s="1501"/>
      <c r="CG79" s="1501"/>
      <c r="CH79" s="1501"/>
      <c r="CI79" s="1501"/>
      <c r="CJ79" s="1501"/>
      <c r="CK79" s="1501"/>
      <c r="CL79" s="1501" t="s">
        <v>255</v>
      </c>
      <c r="CM79" s="1501"/>
      <c r="CN79" s="1501" t="s">
        <v>303</v>
      </c>
      <c r="CO79" s="1501" t="s">
        <v>2100</v>
      </c>
      <c r="CP79" s="1501" t="s">
        <v>2101</v>
      </c>
    </row>
    <row s="1751" customFormat="1" customHeight="1" ht="33.75">
      <c r="A80" s="371"/>
      <c r="B80" s="1548"/>
      <c r="C80" s="1659"/>
      <c r="D80" s="1659"/>
      <c r="E80" s="180">
        <v>35</v>
      </c>
      <c r="F80" s="193" cm="1" t="str">
        <f t="array" ref="F80:F80">OFFSET(G80,-1,-1)</f>
        <v>1</v>
      </c>
      <c r="G80" s="1659"/>
      <c r="H80" s="1659"/>
      <c r="I80" s="1659"/>
      <c r="J80" s="1659"/>
      <c r="K80" s="1659"/>
      <c r="L80" s="1659"/>
      <c r="M80" s="1659"/>
      <c r="N80" s="1659"/>
      <c r="O80" s="1659"/>
      <c r="P80" s="1659"/>
      <c r="Q80" s="1659"/>
      <c r="R80" s="1659"/>
      <c r="S80" s="1659"/>
      <c r="T80" s="753">
        <f>AND(F80&gt;0,OR(ISBLANK(Y80),Y80&gt;0))</f>
        <v>1</v>
      </c>
      <c r="U80" s="1548"/>
      <c r="V80" s="1548"/>
      <c r="W80" s="1548"/>
      <c r="X80" s="1548"/>
      <c r="Y80" s="1548"/>
      <c r="Z80" s="1548"/>
      <c r="AA80" s="286"/>
      <c r="AB80" s="327">
        <v>3</v>
      </c>
      <c r="AC80" s="427" t="s">
        <v>2141</v>
      </c>
      <c r="AD80" s="364" t="s">
        <v>1709</v>
      </c>
      <c r="AE80" s="561"/>
      <c r="AF80" s="561"/>
      <c r="AG80" s="561"/>
      <c r="AH80" s="2280"/>
      <c r="AI80" s="2280"/>
      <c r="AJ80" s="2280"/>
      <c r="AK80" s="2280"/>
      <c r="AL80" s="2280"/>
      <c r="AM80" s="2280"/>
      <c r="AN80" s="2280"/>
      <c r="AO80" s="2280"/>
      <c r="AP80" s="2280"/>
      <c r="AQ80" s="2280"/>
      <c r="AR80" s="2280"/>
      <c r="AS80" s="2280"/>
      <c r="AT80" s="2280"/>
      <c r="AU80" s="2280"/>
      <c r="AV80" s="2280"/>
      <c r="AW80" s="2280"/>
      <c r="AX80" s="2280"/>
      <c r="AY80" s="561"/>
      <c r="AZ80" s="561"/>
      <c r="BA80" s="561"/>
      <c r="BB80" s="2280"/>
      <c r="BC80" s="2280"/>
      <c r="BD80" s="2280"/>
      <c r="BE80" s="2280"/>
      <c r="BF80" s="2280"/>
      <c r="BG80" s="2280"/>
      <c r="BH80" s="2280"/>
      <c r="BI80" s="2280"/>
      <c r="BJ80" s="2280"/>
      <c r="BK80" s="2280"/>
      <c r="BL80" s="2280"/>
      <c r="BM80" s="2280"/>
      <c r="BN80" s="2280"/>
      <c r="BO80" s="2280"/>
      <c r="BP80" s="2280"/>
      <c r="BQ80" s="2280"/>
      <c r="BR80" s="2280"/>
      <c r="BS80" s="1897"/>
      <c r="BT80" s="1897"/>
      <c r="BU80" s="1897"/>
      <c r="BV80" s="286"/>
      <c r="BW80" s="1659"/>
      <c r="BX80" s="489" t="s">
        <v>2142</v>
      </c>
      <c r="BY80" s="1125"/>
      <c r="BZ80" s="1125"/>
      <c r="CA80" s="1126"/>
      <c r="CB80" s="1126"/>
      <c r="CC80" s="1506"/>
      <c r="CD80" s="1506"/>
      <c r="CE80" s="1501" cm="1" t="str">
        <f t="array" ref="CE80:CE80">CE79</f>
        <v>ТЭ.42.31656254.0001</v>
      </c>
      <c r="CF80" s="1501"/>
      <c r="CG80" s="1501"/>
      <c r="CH80" s="1501"/>
      <c r="CI80" s="1501"/>
      <c r="CJ80" s="1501"/>
      <c r="CK80" s="1501"/>
      <c r="CL80" s="1501" t="s">
        <v>449</v>
      </c>
      <c r="CM80" s="1501"/>
      <c r="CN80" s="1501" t="s">
        <v>303</v>
      </c>
      <c r="CO80" s="1501" t="s">
        <v>2144</v>
      </c>
      <c r="CP80" s="1501" t="s">
        <v>2145</v>
      </c>
    </row>
    <row customHeight="1" ht="9.75">
      <c r="E81" s="180">
        <v>10</v>
      </c>
      <c r="U81" s="175" t="s">
        <v>191</v>
      </c>
      <c r="V81" s="176" t="s">
        <v>2385</v>
      </c>
      <c r="AA81" s="679"/>
      <c r="AB81" s="678"/>
      <c r="AC81" s="681"/>
      <c r="AD81" s="678"/>
      <c r="AE81" s="679"/>
      <c r="AF81" s="679"/>
      <c r="AG81" s="679"/>
      <c r="AH81" s="679"/>
      <c r="AI81" s="679"/>
      <c r="AJ81" s="679"/>
      <c r="AK81" s="679"/>
      <c r="AL81" s="679"/>
      <c r="AM81" s="679"/>
      <c r="AN81" s="679"/>
      <c r="AO81" s="679"/>
      <c r="AP81" s="679"/>
      <c r="AQ81" s="679"/>
      <c r="AR81" s="679"/>
      <c r="AS81" s="679"/>
      <c r="AT81" s="679"/>
      <c r="AU81" s="679"/>
      <c r="AV81" s="679"/>
      <c r="AW81" s="679"/>
      <c r="AX81" s="679"/>
      <c r="AY81" s="679"/>
      <c r="AZ81" s="679"/>
      <c r="BA81" s="679"/>
      <c r="BB81" s="679"/>
      <c r="BC81" s="679"/>
      <c r="BD81" s="679"/>
      <c r="BE81" s="679"/>
      <c r="BF81" s="679"/>
      <c r="BG81" s="679"/>
      <c r="BH81" s="679"/>
      <c r="BI81" s="679"/>
      <c r="BJ81" s="679"/>
      <c r="BK81" s="679"/>
      <c r="BL81" s="679"/>
      <c r="BM81" s="679"/>
      <c r="BN81" s="679"/>
      <c r="BO81" s="679"/>
      <c r="BP81" s="679"/>
      <c r="BQ81" s="679"/>
      <c r="BR81" s="679"/>
      <c r="BS81" s="679"/>
      <c r="BT81" s="679"/>
      <c r="BU81" s="679"/>
      <c r="BV81" s="679"/>
    </row>
    <row customHeight="1" ht="11.25" hidden="1">
      <c r="E82" s="965">
        <v>0</v>
      </c>
      <c r="AA82" s="679"/>
      <c r="AB82" s="678"/>
      <c r="AC82" s="681"/>
      <c r="AD82" s="678"/>
      <c r="AE82" s="679"/>
      <c r="AF82" s="679"/>
      <c r="AG82" s="679"/>
      <c r="AH82" s="679"/>
      <c r="AI82" s="679"/>
      <c r="AJ82" s="679"/>
      <c r="AK82" s="679"/>
      <c r="AL82" s="679"/>
      <c r="AM82" s="679"/>
      <c r="AN82" s="679"/>
      <c r="AO82" s="679"/>
      <c r="AP82" s="679"/>
      <c r="AQ82" s="679"/>
      <c r="AR82" s="679"/>
      <c r="AS82" s="679"/>
      <c r="AT82" s="679"/>
      <c r="AU82" s="679"/>
      <c r="AV82" s="679"/>
      <c r="AW82" s="679"/>
      <c r="AX82" s="679"/>
      <c r="AY82" s="679"/>
      <c r="AZ82" s="679"/>
      <c r="BA82" s="679"/>
      <c r="BB82" s="679"/>
      <c r="BC82" s="679"/>
      <c r="BD82" s="679"/>
      <c r="BE82" s="679"/>
      <c r="BF82" s="679"/>
      <c r="BG82" s="679"/>
      <c r="BH82" s="679"/>
      <c r="BI82" s="679"/>
      <c r="BJ82" s="679"/>
      <c r="BK82" s="679"/>
      <c r="BL82" s="679"/>
      <c r="BM82" s="679"/>
      <c r="BN82" s="679"/>
      <c r="BO82" s="679"/>
      <c r="BP82" s="679"/>
      <c r="BQ82" s="679"/>
      <c r="BR82" s="679"/>
      <c r="BS82" s="679"/>
      <c r="BT82" s="679"/>
      <c r="BU82" s="679"/>
      <c r="BV82" s="679"/>
    </row>
    <row customHeight="1" ht="14.625">
      <c r="E83" s="180">
        <v>15</v>
      </c>
      <c r="AA83" s="679"/>
      <c r="AB83" s="1653" t="s">
        <v>765</v>
      </c>
      <c r="AC83" s="1653"/>
      <c r="AD83" s="1653"/>
      <c r="AE83" s="1653"/>
      <c r="AF83" s="1653"/>
      <c r="AG83" s="1653"/>
      <c r="AH83" s="1653"/>
      <c r="AI83" s="1653"/>
      <c r="AJ83" s="1653"/>
      <c r="AK83" s="1653"/>
      <c r="AL83" s="1653"/>
      <c r="AM83" s="1653"/>
      <c r="AN83" s="1653"/>
      <c r="AO83" s="1653"/>
      <c r="AP83" s="1653"/>
      <c r="AQ83" s="1653"/>
      <c r="AR83" s="1653"/>
      <c r="AS83" s="1653"/>
      <c r="AT83" s="1653"/>
      <c r="AU83" s="1653"/>
      <c r="AV83" s="1653"/>
      <c r="AW83" s="1653"/>
      <c r="AX83" s="1653"/>
      <c r="AY83" s="1653"/>
      <c r="AZ83" s="1653"/>
      <c r="BA83" s="1653"/>
      <c r="BB83" s="1653"/>
      <c r="BC83" s="1653"/>
      <c r="BD83" s="1653"/>
      <c r="BE83" s="1653"/>
      <c r="BF83" s="1653"/>
      <c r="BG83" s="1653"/>
      <c r="BH83" s="1653"/>
      <c r="BI83" s="1653"/>
      <c r="BJ83" s="1653"/>
      <c r="BK83" s="1653"/>
      <c r="BL83" s="1653"/>
      <c r="BM83" s="1653"/>
      <c r="BN83" s="1653"/>
      <c r="BO83" s="1653"/>
      <c r="BP83" s="1653"/>
      <c r="BQ83" s="1653"/>
      <c r="BR83" s="1653"/>
      <c r="BS83" s="1653"/>
      <c r="BT83" s="1653"/>
      <c r="BU83" s="1653"/>
      <c r="BV83" s="679"/>
    </row>
    <row customHeight="1" ht="14.625">
      <c r="E84" s="180">
        <v>15</v>
      </c>
      <c r="AA84" s="477"/>
      <c r="AB84" s="1675"/>
      <c r="AC84" s="1676"/>
      <c r="AD84" s="1676"/>
      <c r="AE84" s="1676"/>
      <c r="AF84" s="1676"/>
      <c r="AG84" s="1676"/>
      <c r="AH84" s="1676"/>
      <c r="AI84" s="1676"/>
      <c r="AJ84" s="1676"/>
      <c r="AK84" s="1676"/>
      <c r="AL84" s="1676"/>
      <c r="AM84" s="1676"/>
      <c r="AN84" s="1676"/>
      <c r="AO84" s="1676"/>
      <c r="AP84" s="1676"/>
      <c r="AQ84" s="1676"/>
      <c r="AR84" s="1676"/>
      <c r="AS84" s="1676"/>
      <c r="AT84" s="1676"/>
      <c r="AU84" s="1676"/>
      <c r="AV84" s="1676"/>
      <c r="AW84" s="1676"/>
      <c r="AX84" s="1676"/>
      <c r="AY84" s="1676"/>
      <c r="AZ84" s="1676"/>
      <c r="BA84" s="1676"/>
      <c r="BB84" s="1676"/>
      <c r="BC84" s="1676"/>
      <c r="BD84" s="1676"/>
      <c r="BE84" s="1676"/>
      <c r="BF84" s="1676"/>
      <c r="BG84" s="1676"/>
      <c r="BH84" s="1676"/>
      <c r="BI84" s="1676"/>
      <c r="BJ84" s="1676"/>
      <c r="BK84" s="1676"/>
      <c r="BL84" s="1676"/>
      <c r="BM84" s="1676"/>
      <c r="BN84" s="1676"/>
      <c r="BO84" s="1676"/>
      <c r="BP84" s="1676"/>
      <c r="BQ84" s="1676"/>
      <c r="BR84" s="1676"/>
      <c r="BS84" s="1676"/>
      <c r="BT84" s="1676"/>
      <c r="BU84" s="1676"/>
      <c r="BV84" s="679"/>
    </row>
    <row customHeight="1" ht="14.625" hidden="1">
      <c r="A85" s="371"/>
      <c r="B85" s="1548"/>
      <c r="C85" s="1659"/>
      <c r="D85" s="1659"/>
      <c r="E85" s="180">
        <v>15</v>
      </c>
      <c r="F85" s="1659"/>
      <c r="G85" s="1659"/>
      <c r="H85" s="1659"/>
      <c r="I85" s="1659"/>
      <c r="J85" s="1659"/>
      <c r="K85" s="1659"/>
      <c r="L85" s="1659"/>
      <c r="M85" s="1659"/>
      <c r="N85" s="1659"/>
      <c r="O85" s="1659"/>
      <c r="P85" s="1659"/>
      <c r="Q85" s="1659"/>
      <c r="R85" s="1659"/>
      <c r="S85" s="1659"/>
      <c r="T85" s="753">
        <f>ROW(W85)&gt;ROW(W$85)</f>
        <v>0</v>
      </c>
      <c r="U85" s="1548"/>
      <c r="V85" s="1548"/>
      <c r="W85" s="175" t="s">
        <v>189</v>
      </c>
      <c r="X85" s="1548"/>
      <c r="Y85" s="1548"/>
      <c r="Z85" s="1548"/>
      <c r="AA85" s="477" t="s">
        <v>171</v>
      </c>
      <c r="AB85" s="2334"/>
      <c r="AC85" s="1676"/>
      <c r="AD85" s="1676"/>
      <c r="AE85" s="1676"/>
      <c r="AF85" s="1676"/>
      <c r="AG85" s="1676"/>
      <c r="AH85" s="1676"/>
      <c r="AI85" s="1676"/>
      <c r="AJ85" s="1676"/>
      <c r="AK85" s="1676"/>
      <c r="AL85" s="1676"/>
      <c r="AM85" s="1676"/>
      <c r="AN85" s="1676"/>
      <c r="AO85" s="1676"/>
      <c r="AP85" s="1676"/>
      <c r="AQ85" s="1676"/>
      <c r="AR85" s="1676"/>
      <c r="AS85" s="1676"/>
      <c r="AT85" s="1676"/>
      <c r="AU85" s="1676"/>
      <c r="AV85" s="1676"/>
      <c r="AW85" s="1676"/>
      <c r="AX85" s="1676"/>
      <c r="AY85" s="1676"/>
      <c r="AZ85" s="1676"/>
      <c r="BA85" s="1676"/>
      <c r="BB85" s="1676"/>
      <c r="BC85" s="1676"/>
      <c r="BD85" s="1676"/>
      <c r="BE85" s="1676"/>
      <c r="BF85" s="1676"/>
      <c r="BG85" s="1676"/>
      <c r="BH85" s="1676"/>
      <c r="BI85" s="1676"/>
      <c r="BJ85" s="1676"/>
      <c r="BK85" s="1676"/>
      <c r="BL85" s="1676"/>
      <c r="BM85" s="1676"/>
      <c r="BN85" s="1676"/>
      <c r="BO85" s="1676"/>
      <c r="BP85" s="1676"/>
      <c r="BQ85" s="1676"/>
      <c r="BR85" s="1676"/>
      <c r="BS85" s="1676"/>
      <c r="BT85" s="1676"/>
      <c r="BU85" s="1676"/>
      <c r="BV85" s="679"/>
      <c r="BW85" s="1659"/>
      <c r="BX85" s="1125"/>
      <c r="BY85" s="1125"/>
      <c r="BZ85" s="1125"/>
      <c r="CA85" s="1126"/>
      <c r="CB85" s="1126"/>
      <c r="CC85" s="1506"/>
      <c r="CD85" s="1506"/>
      <c r="CE85" s="1752"/>
      <c r="CF85" s="1752"/>
      <c r="CG85" s="1752"/>
      <c r="CH85" s="1752"/>
      <c r="CI85" s="1752"/>
      <c r="CJ85" s="1752"/>
      <c r="CK85" s="1752"/>
      <c r="CL85" s="1752"/>
      <c r="CM85" s="1752"/>
      <c r="CN85" s="1752"/>
      <c r="CO85" s="1752"/>
      <c r="CP85" s="1752"/>
    </row>
    <row customHeight="1" ht="14.625">
      <c r="E86" s="180">
        <v>15</v>
      </c>
      <c r="W86" s="176" t="s">
        <v>1413</v>
      </c>
      <c r="AB86" s="1599" t="s">
        <v>766</v>
      </c>
      <c r="AC86" s="1600"/>
      <c r="AD86" s="480"/>
      <c r="AE86" s="480"/>
      <c r="AF86" s="480"/>
      <c r="AG86" s="480"/>
      <c r="AH86" s="480"/>
      <c r="AI86" s="480"/>
      <c r="AJ86" s="480"/>
      <c r="AK86" s="480"/>
      <c r="AL86" s="480"/>
      <c r="AM86" s="480"/>
      <c r="AN86" s="480"/>
      <c r="AO86" s="480"/>
      <c r="AP86" s="480"/>
      <c r="AQ86" s="480"/>
      <c r="AR86" s="480"/>
      <c r="AS86" s="480"/>
      <c r="AT86" s="480"/>
      <c r="AU86" s="480"/>
      <c r="AV86" s="480"/>
      <c r="AW86" s="480"/>
      <c r="AX86" s="480"/>
      <c r="AY86" s="480"/>
      <c r="AZ86" s="480"/>
      <c r="BA86" s="480"/>
      <c r="BB86" s="480"/>
      <c r="BC86" s="480"/>
      <c r="BD86" s="480"/>
      <c r="BE86" s="480"/>
      <c r="BF86" s="480"/>
      <c r="BG86" s="480"/>
      <c r="BH86" s="480"/>
      <c r="BI86" s="480"/>
      <c r="BJ86" s="480"/>
      <c r="BK86" s="480"/>
      <c r="BL86" s="480"/>
      <c r="BM86" s="480"/>
      <c r="BN86" s="480"/>
      <c r="BO86" s="480"/>
      <c r="BP86" s="480"/>
      <c r="BQ86" s="480"/>
      <c r="BR86" s="480"/>
      <c r="BS86" s="480"/>
      <c r="BT86" s="480"/>
      <c r="BU86" s="482"/>
      <c r="BV86" s="679"/>
    </row>
    <row customHeight="1" ht="11.25">
      <c r="AA87" s="679"/>
      <c r="AB87" s="678"/>
      <c r="AC87" s="681"/>
      <c r="AD87" s="678"/>
      <c r="AE87" s="679"/>
      <c r="AF87" s="679"/>
      <c r="AG87" s="679"/>
      <c r="AH87" s="679"/>
      <c r="AI87" s="679"/>
      <c r="AJ87" s="679"/>
      <c r="AK87" s="679"/>
      <c r="AL87" s="679"/>
      <c r="AM87" s="679"/>
      <c r="AN87" s="679"/>
      <c r="AO87" s="679"/>
      <c r="AP87" s="679"/>
      <c r="AQ87" s="679"/>
      <c r="AR87" s="679"/>
      <c r="AS87" s="679"/>
      <c r="AT87" s="679"/>
      <c r="AU87" s="679"/>
      <c r="AV87" s="679"/>
      <c r="AW87" s="679"/>
      <c r="AX87" s="679"/>
      <c r="AY87" s="679"/>
      <c r="AZ87" s="679"/>
      <c r="BA87" s="679"/>
      <c r="BB87" s="679"/>
      <c r="BC87" s="679"/>
      <c r="BD87" s="679"/>
      <c r="BE87" s="679"/>
      <c r="BF87" s="679"/>
      <c r="BG87" s="679"/>
      <c r="BH87" s="679"/>
      <c r="BI87" s="679"/>
      <c r="BJ87" s="679"/>
      <c r="BK87" s="679"/>
      <c r="BL87" s="679"/>
      <c r="BM87" s="679"/>
      <c r="BN87" s="679"/>
      <c r="BO87" s="679"/>
      <c r="BP87" s="679"/>
      <c r="BQ87" s="679"/>
      <c r="BR87" s="679"/>
      <c r="BS87" s="679"/>
      <c r="BT87" s="679"/>
      <c r="BU87" s="679"/>
      <c r="BV87" s="679"/>
    </row>
  </sheetData>
  <sheetProtection formatColumns="0" formatRows="0" insertRows="0" deleteColumns="0" deleteRows="0" sort="0" autoFilter="0" insertColumns="1"/>
  <mergeCells count="14">
    <mergeCell ref="X27:X53"/>
    <mergeCell ref="Z27:Z53"/>
    <mergeCell ref="AB83:BU83"/>
    <mergeCell ref="AB84:BU84"/>
    <mergeCell ref="AB85:BU85"/>
    <mergeCell ref="BT24:BT25"/>
    <mergeCell ref="BU24:BU25"/>
    <mergeCell ref="AB86:AC86"/>
    <mergeCell ref="AB24:AB25"/>
    <mergeCell ref="AC24:AC25"/>
    <mergeCell ref="AD24:AD25"/>
    <mergeCell ref="BS24:BS25"/>
    <mergeCell ref="X54:X80"/>
    <mergeCell ref="Z54:Z80"/>
  </mergeCells>
  <dataValidations count="1">
    <dataValidation type="decimal" allowBlank="1" showErrorMessage="1" errorTitle="Ошибка" error="Допускается ввод только действительных чисел!" sqref="AE41:BR42 AE28:BR28 AE44:BR44 AE30:BR39 AE55 AF55 AG55 AH55 AI55 AJ55 AK55 AL55 AM55 AN55 AO55 AP55 AQ55 AR55 AS55 AT55 AU55 AV55 AW55 AX55 AY55 AZ55 BA55 BB55 BC55 BD55 BE55 BF55 BG55 BH55 BI55 BJ55 BK55 BL55 BM55 BN55 BO55 BP55 BQ55 BR55 AE57 AF57 AG57 AH57 AI57 AJ57 AK57 AL57 AM57 AN57 AO57 AP57 AQ57 AR57 AS57 AT57 AU57 AV57 AW57 AX57 AY57 AZ57 BA57 BB57 BC57 BD57 BE57 BF57 BG57 BH57 BI57 BJ57 BK57 BL57 BM57 BN57 BO57 BP57 BQ57 BR57 AE58 AF58 AG58 AH58 AI58 AJ58 AK58 AL58 AM58 AN58 AO58 AP58 AQ58 AR58 AS58 AT58 AU58 AV58 AW58 AX58 AY58 AZ58 BA58 BB58 BC58 BD58 BE58 BF58 BG58 BH58 BI58 BJ58 BK58 BL58 BM58 BN58 BO58 BP58 BQ58 BR58 AE59 AF59 AG59 AH59 AI59 AJ59 AK59 AL59 AM59 AN59 AO59 AP59 AQ59 AR59 AS59 AT59 AU59 AV59 AW59 AX59 AY59 AZ59 BA59 BB59 BC59 BD59 BE59 BF59 BG59 BH59 BI59 BJ59 BK59 BL59 BM59 BN59 BO59 BP59 BQ59 BR59 AE60 AF60 AG60 AH60 AI60 AJ60 AK60 AL60 AM60 AN60 AO60 AP60 AQ60 AR60 AS60 AT60 AU60 AV60 AW60 AX60 AY60 AZ60 BA60 BB60 BC60 BD60 BE60 BF60 BG60 BH60 BI60 BJ60 BK60 BL60 BM60 BN60 BO60 BP60 BQ60 BR60 AE61 AF61 AG61 AH61 AI61 AJ61 AK61 AL61 AM61 AN61 AO61 AP61 AQ61 AR61 AS61 AT61 AU61 AV61 AW61 AX61 AY61 AZ61 BA61 BB61 BC61 BD61 BE61 BF61 BG61 BH61 BI61 BJ61 BK61 BL61 BM61 BN61 BO61 BP61 BQ61 BR61 AE62 AF62 AG62 AH62 AI62 AJ62 AK62 AL62 AM62 AN62 AO62 AP62 AQ62 AR62 AS62 AT62 AU62 AV62 AW62 AX62 AY62 AZ62 BA62 BB62 BC62 BD62 BE62 BF62 BG62 BH62 BI62 BJ62 BK62 BL62 BM62 BN62 BO62 BP62 BQ62 BR62 AE63 AF63 AG63 AH63 AI63 AJ63 AK63 AL63 AM63 AN63 AO63 AP63 AQ63 AR63 AS63 AT63 AU63 AV63 AW63 AX63 AY63 AZ63 BA63 BB63 BC63 BD63 BE63 BF63 BG63 BH63 BI63 BJ63 BK63 BL63 BM63 BN63 BO63 BP63 BQ63 BR63 AE64 AF64 AG64 AH64 AI64 AJ64 AK64 AL64 AM64 AN64 AO64 AP64 AQ64 AR64 AS64 AT64 AU64 AV64 AW64 AX64 AY64 AZ64 BA64 BB64 BC64 BD64 BE64 BF64 BG64 BH64 BI64 BJ64 BK64 BL64 BM64 BN64 BO64 BP64 BQ64 BR64 AE65 AF65 AG65 AH65 AI65 AJ65 AK65 AL65 AM65 AN65 AO65 AP65 AQ65 AR65 AS65 AT65 AU65 AV65 AW65 AX65 AY65 AZ65 BA65 BB65 BC65 BD65 BE65 BF65 BG65 BH65 BI65 BJ65 BK65 BL65 BM65 BN65 BO65 BP65 BQ65 BR65 AE66 AF66 AG66 AH66 AI66 AJ66 AK66 AL66 AM66 AN66 AO66 AP66 AQ66 AR66 AS66 AT66 AU66 AV66 AW66 AX66 AY66 AZ66 BA66 BB66 BC66 BD66 BE66 BF66 BG66 BH66 BI66 BJ66 BK66 BL66 BM66 BN66 BO66 BP66 BQ66 BR66 AE68 AF68 AG68 AH68 AI68 AJ68 AK68 AL68 AM68 AN68 AO68 AP68 AQ68 AR68 AS68 AT68 AU68 AV68 AW68 AX68 AY68 AZ68 BA68 BB68 BC68 BD68 BE68 BF68 BG68 BH68 BI68 BJ68 BK68 BL68 BM68 BN68 BO68 BP68 BQ68 BR68 AE69 AF69 AG69 AH69 AI69 AJ69 AK69 AL69 AM69 AN69 AO69 AP69 AQ69 AR69 AS69 AT69 AU69 AV69 AW69 AX69 AY69 AZ69 BA69 BB69 BC69 BD69 BE69 BF69 BG69 BH69 BI69 BJ69 BK69 BL69 BM69 BN69 BO69 BP69 BQ69 BR69 AE71 AF71 AG71 AH71 AI71 AJ71 AK71 AL71 AM71 AN71 AO71 AP71 AQ71 AR71 AS71 AT71 AU71 AV71 AW71 AX71 AY71 AZ71 BA71 BB71 BC71 BD71 BE71 BF71 BG71 BH71 BI71 BJ71 BK71 BL71 BM71 BN71 BO71 BP71 BQ71 BR71">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4D8D78-F698-D8C8-1345-15D0FC188878}" mc:Ignorable="x14ac xr xr2 xr3">
  <sheetPr>
    <tabColor rgb="FF002060"/>
    <outlinePr summaryBelow="0"/>
  </sheetPr>
  <dimension ref="A1:CK96"/>
  <sheetViews>
    <sheetView showGridLines="0" workbookViewId="0">
      <pane xSplit="30" ySplit="28" topLeftCell="AE79" activePane="bottomRight" state="frozen"/>
      <selection pane="bottomLeft" activeCell="A29" sqref="A29"/>
      <selection pane="topRight" activeCell="AE1" sqref="AE1"/>
      <selection pane="bottomRight" activeCell="AA21" sqref="AA21"/>
    </sheetView>
  </sheetViews>
  <sheetFormatPr defaultColWidth="8.8515625" customHeight="1" defaultRowHeight="11.25"/>
  <cols>
    <col min="1" max="1" style="371" width="3.57421875" hidden="1" customWidth="1"/>
    <col min="2" max="2" style="1548" width="8.421875" hidden="1" customWidth="1"/>
    <col min="3" max="4" style="1548" width="3.57421875" hidden="1" customWidth="1"/>
    <col min="5" max="5" style="1718" width="3.8515625" hidden="1" customWidth="1"/>
    <col min="6" max="6" style="1548" width="6.28125" hidden="1" customWidth="1"/>
    <col min="7" max="7" style="1659" width="8.140625" hidden="1" customWidth="1"/>
    <col min="8" max="19" style="1659" width="3.57421875" hidden="1" customWidth="1"/>
    <col min="20" max="20" style="1548" width="8.281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1727" width="3.00390625" customWidth="1"/>
    <col min="28" max="28" style="1727" width="7.00390625" customWidth="1"/>
    <col min="29" max="29" style="1727" width="54.00390625" customWidth="1"/>
    <col min="30" max="30" style="1727" width="11.00390625" customWidth="1"/>
    <col min="31" max="31" style="1727" width="23.00390625" customWidth="1"/>
    <col min="32" max="32" style="1727" width="13.00390625" customWidth="1"/>
    <col min="33" max="33" style="1727" width="24.00390625" customWidth="1"/>
    <col min="34" max="35" style="1727" width="13.00390625" customWidth="1"/>
    <col min="36" max="54" style="1727" width="13.00390625" hidden="1" customWidth="1"/>
    <col min="55" max="55" style="1727" width="13.00390625" customWidth="1"/>
    <col min="56" max="74" style="1727" width="13.00390625" hidden="1" customWidth="1"/>
    <col min="75" max="75" style="1727" width="21.00390625" customWidth="1"/>
    <col min="76" max="76" style="1727" width="3.00390625" customWidth="1"/>
    <col min="77" max="77" style="969" width="8.8515625" hidden="1"/>
    <col min="78" max="78" style="1125" width="8.8515625" hidden="1"/>
    <col min="79" max="80" style="1506" width="8.8515625" hidden="1"/>
    <col min="81" max="89" width="8.8515625" hidden="1"/>
  </cols>
  <sheetData>
    <row s="1548" customFormat="1" customHeight="1" ht="11.25" hidden="1">
      <c r="A1" s="371"/>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I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Z1" s="489" t="s">
        <v>336</v>
      </c>
      <c r="CC1" s="0" t="s">
        <v>94</v>
      </c>
      <c r="CD1" s="0" t="s">
        <v>1907</v>
      </c>
      <c r="CE1" s="0" t="s">
        <v>1514</v>
      </c>
      <c r="CF1" s="0" t="s">
        <v>2386</v>
      </c>
      <c r="CG1" s="0" t="s">
        <v>1513</v>
      </c>
      <c r="CH1" s="0" t="s">
        <v>2387</v>
      </c>
      <c r="CI1" s="0" t="s">
        <v>112</v>
      </c>
      <c r="CJ1" s="0" t="s">
        <v>113</v>
      </c>
      <c r="CK1" s="0" t="s">
        <v>114</v>
      </c>
    </row>
    <row s="1548" customFormat="1" customHeight="1" ht="11.25" hidden="1">
      <c r="A2" s="371"/>
      <c r="B2" s="179" t="s">
        <v>16</v>
      </c>
      <c r="G2" s="193"/>
      <c r="H2" s="193"/>
      <c r="I2" s="193"/>
      <c r="J2" s="193"/>
      <c r="K2" s="193"/>
      <c r="L2" s="193"/>
      <c r="M2" s="193"/>
      <c r="N2" s="193"/>
      <c r="O2" s="193"/>
      <c r="P2" s="193"/>
      <c r="Q2" s="193"/>
      <c r="R2" s="193"/>
      <c r="S2" s="193"/>
      <c r="AI2" s="179">
        <f>AND(AI9&lt;=last_year_vis,isOrgDeclare)</f>
        <v>1</v>
      </c>
      <c r="AJ2" s="179">
        <f>AND(AJ9&lt;=last_year_vis,isOrgDeclare)</f>
        <v>0</v>
      </c>
      <c r="AK2" s="179">
        <f>AND(AK9&lt;=last_year_vis,isOrgDeclare)</f>
        <v>0</v>
      </c>
      <c r="AL2" s="179">
        <f>AND(AL9&lt;=last_year_vis,isOrgDeclare)</f>
        <v>0</v>
      </c>
      <c r="AM2" s="179">
        <f>AND(AM9&lt;=last_year_vis,isOrgDeclare)</f>
        <v>0</v>
      </c>
      <c r="AN2" s="179">
        <f>AND(AN9&lt;=last_year_vis,isOrgDeclare)</f>
        <v>0</v>
      </c>
      <c r="AO2" s="179">
        <f>AND(AO9&lt;=last_year_vis,isOrgDeclare)</f>
        <v>0</v>
      </c>
      <c r="AP2" s="179">
        <f>AND(AP9&lt;=last_year_vis,isOrgDeclare)</f>
        <v>0</v>
      </c>
      <c r="AQ2" s="179">
        <f>AND(AQ9&lt;=last_year_vis,isOrgDeclare)</f>
        <v>0</v>
      </c>
      <c r="AR2" s="179">
        <f>AND(AR9&lt;=last_year_vis,isOrgDeclare)</f>
        <v>0</v>
      </c>
      <c r="AS2" s="179">
        <f>AND(AS9&lt;=last_year_vis,isOrgDeclare)</f>
        <v>0</v>
      </c>
      <c r="AT2" s="179">
        <f>AND(AT9&lt;=last_year_vis,isOrgDeclare)</f>
        <v>0</v>
      </c>
      <c r="AU2" s="179">
        <f>AND(AU9&lt;=last_year_vis,isOrgDeclare)</f>
        <v>0</v>
      </c>
      <c r="AV2" s="179">
        <f>AND(AV9&lt;=last_year_vis,isOrgDeclare)</f>
        <v>0</v>
      </c>
      <c r="AW2" s="179">
        <f>AND(AW9&lt;=last_year_vis,isOrgDeclare)</f>
        <v>0</v>
      </c>
      <c r="AX2" s="179">
        <f>AND(AX9&lt;=last_year_vis,isOrgDeclare)</f>
        <v>0</v>
      </c>
      <c r="AY2" s="179">
        <f>AND(AY9&lt;=last_year_vis,isOrgDeclare)</f>
        <v>0</v>
      </c>
      <c r="AZ2" s="179">
        <f>AND(AZ9&lt;=last_year_vis,isOrgDeclare)</f>
        <v>0</v>
      </c>
      <c r="BA2" s="179">
        <f>AND(BA9&lt;=last_year_vis,isOrgDeclare)</f>
        <v>0</v>
      </c>
      <c r="BB2" s="179">
        <f>AND(BB9&lt;=last_year_vis,isOrgDeclare)</f>
        <v>0</v>
      </c>
      <c r="BC2" s="179">
        <f>BC9&lt;=last_year_vis</f>
        <v>1</v>
      </c>
      <c r="BD2" s="179">
        <f>BD9&lt;=last_year_vis</f>
        <v>0</v>
      </c>
      <c r="BE2" s="179">
        <f>BE9&lt;=last_year_vis</f>
        <v>0</v>
      </c>
      <c r="BF2" s="179">
        <f>BF9&lt;=last_year_vis</f>
        <v>0</v>
      </c>
      <c r="BG2" s="179">
        <f>BG9&lt;=last_year_vis</f>
        <v>0</v>
      </c>
      <c r="BH2" s="179">
        <f>BH9&lt;=last_year_vis</f>
        <v>0</v>
      </c>
      <c r="BI2" s="179">
        <f>BI9&lt;=last_year_vis</f>
        <v>0</v>
      </c>
      <c r="BJ2" s="179">
        <f>BJ9&lt;=last_year_vis</f>
        <v>0</v>
      </c>
      <c r="BK2" s="179">
        <f>BK9&lt;=last_year_vis</f>
        <v>0</v>
      </c>
      <c r="BL2" s="179">
        <f>BL9&lt;=last_year_vis</f>
        <v>0</v>
      </c>
      <c r="BM2" s="179">
        <f>BM9&lt;=last_year_vis</f>
        <v>0</v>
      </c>
      <c r="BN2" s="179">
        <f>BN9&lt;=last_year_vis</f>
        <v>0</v>
      </c>
      <c r="BO2" s="179">
        <f>BO9&lt;=last_year_vis</f>
        <v>0</v>
      </c>
      <c r="BP2" s="179">
        <f>BP9&lt;=last_year_vis</f>
        <v>0</v>
      </c>
      <c r="BQ2" s="179">
        <f>BQ9&lt;=last_year_vis</f>
        <v>0</v>
      </c>
      <c r="BR2" s="179">
        <f>BR9&lt;=last_year_vis</f>
        <v>0</v>
      </c>
      <c r="BS2" s="179">
        <f>BS9&lt;=last_year_vis</f>
        <v>0</v>
      </c>
      <c r="BT2" s="179">
        <f>BT9&lt;=last_year_vis</f>
        <v>0</v>
      </c>
      <c r="BU2" s="179">
        <f>BU9&lt;=last_year_vis</f>
        <v>0</v>
      </c>
      <c r="BV2" s="179">
        <f>BV9&lt;=last_year_vis</f>
        <v>0</v>
      </c>
      <c r="BZ2" s="489"/>
      <c r="CC2" s="0"/>
      <c r="CD2" s="0"/>
      <c r="CE2" s="0"/>
      <c r="CF2" s="0"/>
      <c r="CG2" s="0"/>
      <c r="CH2" s="0"/>
      <c r="CI2" s="0"/>
      <c r="CJ2" s="0"/>
      <c r="CK2" s="0"/>
    </row>
    <row s="1548" customFormat="1" customHeight="1" ht="11.25" hidden="1">
      <c r="A3" s="371"/>
      <c r="G3" s="193"/>
      <c r="H3" s="193"/>
      <c r="I3" s="193"/>
      <c r="J3" s="193"/>
      <c r="K3" s="193"/>
      <c r="L3" s="193"/>
      <c r="M3" s="193"/>
      <c r="N3" s="193"/>
      <c r="O3" s="193"/>
      <c r="P3" s="193"/>
      <c r="Q3" s="193"/>
      <c r="R3" s="193"/>
      <c r="S3" s="193"/>
      <c r="AI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Z3" s="489"/>
      <c r="CC3" s="0"/>
      <c r="CD3" s="0"/>
      <c r="CE3" s="0"/>
      <c r="CF3" s="0"/>
      <c r="CG3" s="0"/>
      <c r="CH3" s="0"/>
      <c r="CI3" s="0"/>
      <c r="CJ3" s="0"/>
      <c r="CK3" s="0"/>
    </row>
    <row s="1548" customFormat="1" customHeight="1" ht="11.25" hidden="1">
      <c r="A4" s="371"/>
      <c r="G4" s="193"/>
      <c r="H4" s="193"/>
      <c r="I4" s="193"/>
      <c r="J4" s="193"/>
      <c r="K4" s="193"/>
      <c r="L4" s="193"/>
      <c r="M4" s="193"/>
      <c r="N4" s="193"/>
      <c r="O4" s="193"/>
      <c r="P4" s="193"/>
      <c r="Q4" s="193"/>
      <c r="R4" s="193"/>
      <c r="S4" s="193"/>
      <c r="AI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Z4" s="489"/>
      <c r="CC4" s="0"/>
      <c r="CD4" s="0"/>
      <c r="CE4" s="0"/>
      <c r="CF4" s="0"/>
      <c r="CG4" s="0"/>
      <c r="CH4" s="0"/>
      <c r="CI4" s="0"/>
      <c r="CJ4" s="0"/>
      <c r="CK4" s="0"/>
    </row>
    <row s="1718" customFormat="1" customHeight="1" ht="11.25" hidden="1">
      <c r="A5" s="371"/>
      <c r="B5" s="175"/>
      <c r="C5" s="175"/>
      <c r="D5" s="175"/>
      <c r="E5" s="180" t="s">
        <v>17</v>
      </c>
      <c r="G5" s="194"/>
      <c r="H5" s="194"/>
      <c r="I5" s="194"/>
      <c r="J5" s="194"/>
      <c r="K5" s="194"/>
      <c r="L5" s="194"/>
      <c r="M5" s="194"/>
      <c r="N5" s="194"/>
      <c r="O5" s="194"/>
      <c r="P5" s="194"/>
      <c r="Q5" s="194"/>
      <c r="R5" s="194"/>
      <c r="S5" s="194"/>
      <c r="AA5" s="180">
        <v>3</v>
      </c>
      <c r="AB5" s="180">
        <v>7</v>
      </c>
      <c r="AC5" s="180">
        <v>54</v>
      </c>
      <c r="AD5" s="180">
        <v>11</v>
      </c>
      <c r="AE5" s="180">
        <v>23</v>
      </c>
      <c r="AF5" s="180">
        <v>13</v>
      </c>
      <c r="AG5" s="180">
        <v>24</v>
      </c>
      <c r="AH5" s="180">
        <v>13</v>
      </c>
      <c r="AI5" s="180">
        <v>13</v>
      </c>
      <c r="AJ5" s="180">
        <v>13</v>
      </c>
      <c r="AK5" s="180">
        <v>13</v>
      </c>
      <c r="AL5" s="180">
        <v>13</v>
      </c>
      <c r="AM5" s="180">
        <v>13</v>
      </c>
      <c r="AN5" s="180">
        <v>13</v>
      </c>
      <c r="AO5" s="180">
        <v>13</v>
      </c>
      <c r="AP5" s="180">
        <v>13</v>
      </c>
      <c r="AQ5" s="180">
        <v>13</v>
      </c>
      <c r="AR5" s="180">
        <v>13</v>
      </c>
      <c r="AS5" s="180">
        <v>13</v>
      </c>
      <c r="AT5" s="180">
        <v>13</v>
      </c>
      <c r="AU5" s="180">
        <v>13</v>
      </c>
      <c r="AV5" s="180">
        <v>13</v>
      </c>
      <c r="AW5" s="180">
        <v>13</v>
      </c>
      <c r="AX5" s="180">
        <v>13</v>
      </c>
      <c r="AY5" s="180">
        <v>13</v>
      </c>
      <c r="AZ5" s="180">
        <v>13</v>
      </c>
      <c r="BA5" s="180">
        <v>13</v>
      </c>
      <c r="BB5" s="180">
        <v>13</v>
      </c>
      <c r="BC5" s="180">
        <v>13</v>
      </c>
      <c r="BD5" s="180">
        <v>13</v>
      </c>
      <c r="BE5" s="180">
        <v>13</v>
      </c>
      <c r="BF5" s="180">
        <v>13</v>
      </c>
      <c r="BG5" s="180">
        <v>13</v>
      </c>
      <c r="BH5" s="180">
        <v>13</v>
      </c>
      <c r="BI5" s="180">
        <v>13</v>
      </c>
      <c r="BJ5" s="180">
        <v>13</v>
      </c>
      <c r="BK5" s="180">
        <v>13</v>
      </c>
      <c r="BL5" s="180">
        <v>13</v>
      </c>
      <c r="BM5" s="180">
        <v>13</v>
      </c>
      <c r="BN5" s="180">
        <v>13</v>
      </c>
      <c r="BO5" s="180">
        <v>13</v>
      </c>
      <c r="BP5" s="180">
        <v>13</v>
      </c>
      <c r="BQ5" s="180">
        <v>13</v>
      </c>
      <c r="BR5" s="180">
        <v>13</v>
      </c>
      <c r="BS5" s="180">
        <v>13</v>
      </c>
      <c r="BT5" s="180">
        <v>13</v>
      </c>
      <c r="BU5" s="180">
        <v>13</v>
      </c>
      <c r="BV5" s="180">
        <v>13</v>
      </c>
      <c r="BW5" s="180">
        <v>21</v>
      </c>
      <c r="BX5" s="180">
        <v>3</v>
      </c>
      <c r="BZ5" s="489"/>
      <c r="CC5" s="1729"/>
      <c r="CD5" s="1729"/>
      <c r="CE5" s="1729"/>
      <c r="CF5" s="1729"/>
      <c r="CG5" s="1729"/>
      <c r="CH5" s="1729"/>
      <c r="CI5" s="1729"/>
      <c r="CJ5" s="1729"/>
      <c r="CK5" s="1729"/>
    </row>
    <row s="1548" customFormat="1" customHeight="1" ht="11.25" hidden="1">
      <c r="A6" s="371"/>
      <c r="E6" s="180"/>
      <c r="G6" s="193"/>
      <c r="H6" s="193"/>
      <c r="I6" s="193"/>
      <c r="J6" s="193"/>
      <c r="K6" s="193"/>
      <c r="L6" s="193"/>
      <c r="M6" s="193"/>
      <c r="N6" s="193"/>
      <c r="O6" s="193"/>
      <c r="P6" s="193"/>
      <c r="Q6" s="193"/>
      <c r="R6" s="193"/>
      <c r="S6" s="193"/>
      <c r="AI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Z6" s="489"/>
      <c r="CC6" s="0"/>
      <c r="CD6" s="0"/>
      <c r="CE6" s="0"/>
      <c r="CF6" s="0"/>
      <c r="CG6" s="0"/>
      <c r="CH6" s="0"/>
      <c r="CI6" s="0"/>
      <c r="CJ6" s="0"/>
      <c r="CK6" s="0"/>
    </row>
    <row s="1659" customFormat="1" customHeight="1" ht="11.25" hidden="1">
      <c r="A7" s="371"/>
      <c r="B7" s="175"/>
      <c r="C7" s="175"/>
      <c r="D7" s="175"/>
      <c r="E7" s="180"/>
      <c r="AI7" s="1659"/>
      <c r="AJ7" s="1659"/>
      <c r="AK7" s="1659"/>
      <c r="AL7" s="1659"/>
      <c r="AM7" s="1659"/>
      <c r="AN7" s="1659"/>
      <c r="AO7" s="1659"/>
      <c r="AP7" s="1659"/>
      <c r="AQ7" s="1659"/>
      <c r="AR7" s="1659"/>
      <c r="AS7" s="1659"/>
      <c r="AT7" s="1659"/>
      <c r="AU7" s="1659"/>
      <c r="AV7" s="1659"/>
      <c r="AW7" s="1659"/>
      <c r="AX7" s="1659"/>
      <c r="AY7" s="1659"/>
      <c r="AZ7" s="1659"/>
      <c r="BA7" s="1659"/>
      <c r="BB7" s="1659"/>
      <c r="BC7" s="1659"/>
      <c r="BD7" s="1659"/>
      <c r="BE7" s="1659"/>
      <c r="BF7" s="1659"/>
      <c r="BG7" s="1659"/>
      <c r="BH7" s="1659"/>
      <c r="BI7" s="1659"/>
      <c r="BJ7" s="1659"/>
      <c r="BK7" s="1659"/>
      <c r="BL7" s="1659"/>
      <c r="BM7" s="1659"/>
      <c r="BN7" s="1659"/>
      <c r="BO7" s="1659"/>
      <c r="BP7" s="1659"/>
      <c r="BQ7" s="1659"/>
      <c r="BR7" s="1659"/>
      <c r="BS7" s="1659"/>
      <c r="BT7" s="1659"/>
      <c r="BU7" s="1659"/>
      <c r="BV7" s="1659"/>
      <c r="BZ7" s="489"/>
      <c r="CC7" s="0"/>
      <c r="CD7" s="0"/>
      <c r="CE7" s="0"/>
      <c r="CF7" s="0"/>
      <c r="CG7" s="0"/>
      <c r="CH7" s="0"/>
      <c r="CI7" s="0"/>
      <c r="CJ7" s="0"/>
      <c r="CK7" s="0"/>
    </row>
    <row s="1659" customFormat="1" customHeight="1" ht="11.25" hidden="1">
      <c r="A8" s="371"/>
      <c r="B8" s="175"/>
      <c r="C8" s="175"/>
      <c r="D8" s="175"/>
      <c r="E8" s="180"/>
      <c r="AI8" s="1659"/>
      <c r="AJ8" s="1659"/>
      <c r="AK8" s="1659"/>
      <c r="AL8" s="1659"/>
      <c r="AM8" s="1659"/>
      <c r="AN8" s="1659"/>
      <c r="AO8" s="1659"/>
      <c r="AP8" s="1659"/>
      <c r="AQ8" s="1659"/>
      <c r="AR8" s="1659"/>
      <c r="AS8" s="1659"/>
      <c r="AT8" s="1659"/>
      <c r="AU8" s="1659"/>
      <c r="AV8" s="1659"/>
      <c r="AW8" s="1659"/>
      <c r="AX8" s="1659"/>
      <c r="AY8" s="1659"/>
      <c r="AZ8" s="1659"/>
      <c r="BA8" s="1659"/>
      <c r="BB8" s="1659"/>
      <c r="BC8" s="1659"/>
      <c r="BD8" s="1659"/>
      <c r="BE8" s="1659"/>
      <c r="BF8" s="1659"/>
      <c r="BG8" s="1659"/>
      <c r="BH8" s="1659"/>
      <c r="BI8" s="1659"/>
      <c r="BJ8" s="1659"/>
      <c r="BK8" s="1659"/>
      <c r="BL8" s="1659"/>
      <c r="BM8" s="1659"/>
      <c r="BN8" s="1659"/>
      <c r="BO8" s="1659"/>
      <c r="BP8" s="1659"/>
      <c r="BQ8" s="1659"/>
      <c r="BR8" s="1659"/>
      <c r="BS8" s="1659"/>
      <c r="BT8" s="1659"/>
      <c r="BU8" s="1659"/>
      <c r="BV8" s="1659"/>
      <c r="BZ8" s="489"/>
      <c r="CC8" s="0"/>
      <c r="CD8" s="0"/>
      <c r="CE8" s="0"/>
      <c r="CF8" s="0"/>
      <c r="CG8" s="0"/>
      <c r="CH8" s="0"/>
      <c r="CI8" s="0"/>
      <c r="CJ8" s="0"/>
      <c r="CK8" s="0"/>
    </row>
    <row s="1143" customFormat="1" customHeight="1" ht="11.25" hidden="1">
      <c r="A9" s="309" t="s">
        <v>403</v>
      </c>
      <c r="AE9" s="312">
        <f>god-2</f>
        <v>2025</v>
      </c>
      <c r="AF9" s="312">
        <f>god-2</f>
        <v>2025</v>
      </c>
      <c r="AG9" s="312">
        <f>god-1</f>
        <v>2026</v>
      </c>
      <c r="AH9" s="312">
        <f>god-1</f>
        <v>2026</v>
      </c>
      <c r="AI9" s="312" cm="1" t="str">
        <f t="array" ref="AI9:AI9">god</f>
        <v>2027</v>
      </c>
      <c r="AJ9" s="312">
        <f>god+1</f>
        <v>2028</v>
      </c>
      <c r="AK9" s="312">
        <f>god+2</f>
        <v>2029</v>
      </c>
      <c r="AL9" s="312">
        <f>god+3</f>
        <v>2030</v>
      </c>
      <c r="AM9" s="312">
        <f>god+4</f>
        <v>2031</v>
      </c>
      <c r="AN9" s="312">
        <f>god+5</f>
        <v>2032</v>
      </c>
      <c r="AO9" s="312">
        <f>god+6</f>
        <v>2033</v>
      </c>
      <c r="AP9" s="312">
        <f>god+7</f>
        <v>2034</v>
      </c>
      <c r="AQ9" s="312">
        <f>god+8</f>
        <v>2035</v>
      </c>
      <c r="AR9" s="312">
        <f>god+9</f>
        <v>2036</v>
      </c>
      <c r="AS9" s="312">
        <f>god+10</f>
        <v>2037</v>
      </c>
      <c r="AT9" s="312">
        <f>god+11</f>
        <v>2038</v>
      </c>
      <c r="AU9" s="312">
        <f>god+12</f>
        <v>2039</v>
      </c>
      <c r="AV9" s="312">
        <f>god+13</f>
        <v>2040</v>
      </c>
      <c r="AW9" s="312">
        <f>god+14</f>
        <v>2041</v>
      </c>
      <c r="AX9" s="312">
        <f>god+15</f>
        <v>2042</v>
      </c>
      <c r="AY9" s="312">
        <f>god+16</f>
        <v>2043</v>
      </c>
      <c r="AZ9" s="312">
        <f>god+17</f>
        <v>2044</v>
      </c>
      <c r="BA9" s="312">
        <f>god+18</f>
        <v>2045</v>
      </c>
      <c r="BB9" s="312">
        <f>god+19</f>
        <v>2046</v>
      </c>
      <c r="BC9" s="312" cm="1" t="str">
        <f t="array" ref="BC9:BC9">god</f>
        <v>2027</v>
      </c>
      <c r="BD9" s="312">
        <f>god+1</f>
        <v>2028</v>
      </c>
      <c r="BE9" s="312">
        <f>god+2</f>
        <v>2029</v>
      </c>
      <c r="BF9" s="312">
        <f>god+3</f>
        <v>2030</v>
      </c>
      <c r="BG9" s="312">
        <f>god+4</f>
        <v>2031</v>
      </c>
      <c r="BH9" s="312">
        <f>god+5</f>
        <v>2032</v>
      </c>
      <c r="BI9" s="312">
        <f>god+6</f>
        <v>2033</v>
      </c>
      <c r="BJ9" s="312">
        <f>god+7</f>
        <v>2034</v>
      </c>
      <c r="BK9" s="312">
        <f>god+8</f>
        <v>2035</v>
      </c>
      <c r="BL9" s="312">
        <f>god+9</f>
        <v>2036</v>
      </c>
      <c r="BM9" s="312">
        <f>god+10</f>
        <v>2037</v>
      </c>
      <c r="BN9" s="312">
        <f>god+11</f>
        <v>2038</v>
      </c>
      <c r="BO9" s="312">
        <f>god+12</f>
        <v>2039</v>
      </c>
      <c r="BP9" s="312">
        <f>god+13</f>
        <v>2040</v>
      </c>
      <c r="BQ9" s="312">
        <f>god+14</f>
        <v>2041</v>
      </c>
      <c r="BR9" s="312">
        <f>god+15</f>
        <v>2042</v>
      </c>
      <c r="BS9" s="312">
        <f>god+16</f>
        <v>2043</v>
      </c>
      <c r="BT9" s="312">
        <f>god+17</f>
        <v>2044</v>
      </c>
      <c r="BU9" s="312">
        <f>god+18</f>
        <v>2045</v>
      </c>
      <c r="BV9" s="312">
        <f>god+19</f>
        <v>2046</v>
      </c>
      <c r="BZ9" s="489"/>
      <c r="CC9" s="1730"/>
      <c r="CD9" s="1730"/>
      <c r="CE9" s="1730"/>
      <c r="CF9" s="1730"/>
      <c r="CG9" s="1730"/>
      <c r="CH9" s="1730"/>
      <c r="CI9" s="1730"/>
      <c r="CJ9" s="1730"/>
      <c r="CK9" s="1730"/>
    </row>
    <row s="1143" customFormat="1" customHeight="1" ht="11.25" hidden="1">
      <c r="A10" s="309" t="s">
        <v>404</v>
      </c>
      <c r="AE10" s="312" cm="1" t="str">
        <f t="array" ref="AE10:AE10">AE27</f>
        <v>Капитальные вложения в соответствии с инвестиционной программой, утвержденной в установленном порядке</v>
      </c>
      <c r="AF10" s="312" cm="1" t="str">
        <f t="array" ref="AF10:AF10">AF27</f>
        <v>Принято органом регулирования</v>
      </c>
      <c r="AG10" s="312" cm="1" t="str">
        <f t="array" ref="AG10:AG10">AG27</f>
        <v>Капитальные вложения в соответствии с инвестиционной программой, утвержденной в установленном порядке</v>
      </c>
      <c r="AH10" s="312" cm="1" t="str">
        <f t="array" ref="AH10:AH10">AH27</f>
        <v>Принято органом регулирования</v>
      </c>
      <c r="AI10" s="312" cm="1" t="str">
        <f t="array" ref="AI10:AI10">AI27</f>
        <v>Предложение организации</v>
      </c>
      <c r="AJ10" s="312" cm="1" t="str">
        <f t="array" ref="AJ10:AJ10">AJ27</f>
        <v>Предложение организации</v>
      </c>
      <c r="AK10" s="312" cm="1" t="str">
        <f t="array" ref="AK10:AK10">AK27</f>
        <v>Предложение организации</v>
      </c>
      <c r="AL10" s="312" cm="1" t="str">
        <f t="array" ref="AL10:AL10">AL27</f>
        <v>Предложение организации</v>
      </c>
      <c r="AM10" s="312" cm="1" t="str">
        <f t="array" ref="AM10:AM10">AM27</f>
        <v>Предложение организации</v>
      </c>
      <c r="AN10" s="312" cm="1" t="str">
        <f t="array" ref="AN10:AN10">AN27</f>
        <v>Предложение организации</v>
      </c>
      <c r="AO10" s="312" cm="1" t="str">
        <f t="array" ref="AO10:AO10">AO27</f>
        <v>Предложение организации</v>
      </c>
      <c r="AP10" s="312" cm="1" t="str">
        <f t="array" ref="AP10:AP10">AP27</f>
        <v>Предложение организации</v>
      </c>
      <c r="AQ10" s="312" cm="1" t="str">
        <f t="array" ref="AQ10:AQ10">AQ27</f>
        <v>Предложение организации</v>
      </c>
      <c r="AR10" s="312" cm="1" t="str">
        <f t="array" ref="AR10:AR10">AR27</f>
        <v>Предложение организации</v>
      </c>
      <c r="AS10" s="312" cm="1" t="str">
        <f t="array" ref="AS10:AS10">AS27</f>
        <v>Предложение организации</v>
      </c>
      <c r="AT10" s="312" cm="1" t="str">
        <f t="array" ref="AT10:AT10">AT27</f>
        <v>Предложение организации</v>
      </c>
      <c r="AU10" s="312" cm="1" t="str">
        <f t="array" ref="AU10:AU10">AU27</f>
        <v>Предложение организации</v>
      </c>
      <c r="AV10" s="312" cm="1" t="str">
        <f t="array" ref="AV10:AV10">AV27</f>
        <v>Предложение организации</v>
      </c>
      <c r="AW10" s="312" cm="1" t="str">
        <f t="array" ref="AW10:AW10">AW27</f>
        <v>Предложение организации</v>
      </c>
      <c r="AX10" s="312" cm="1" t="str">
        <f t="array" ref="AX10:AX10">AX27</f>
        <v>Предложение организации</v>
      </c>
      <c r="AY10" s="312" cm="1" t="str">
        <f t="array" ref="AY10:AY10">AY27</f>
        <v>Предложение организации</v>
      </c>
      <c r="AZ10" s="312" cm="1" t="str">
        <f t="array" ref="AZ10:AZ10">AZ27</f>
        <v>Предложение организации</v>
      </c>
      <c r="BA10" s="312" cm="1" t="str">
        <f t="array" ref="BA10:BA10">BA27</f>
        <v>Предложение организации</v>
      </c>
      <c r="BB10" s="312" cm="1" t="str">
        <f t="array" ref="BB10:BB10">BB27</f>
        <v>Предложение организации</v>
      </c>
      <c r="BC10" s="312" cm="1" t="str">
        <f t="array" ref="BC10:BC10">BC27</f>
        <v>Принято органом регулирования</v>
      </c>
      <c r="BD10" s="312" cm="1" t="str">
        <f t="array" ref="BD10:BD10">BD27</f>
        <v>Принято органом регулирования</v>
      </c>
      <c r="BE10" s="312" cm="1" t="str">
        <f t="array" ref="BE10:BE10">BE27</f>
        <v>Принято органом регулирования</v>
      </c>
      <c r="BF10" s="312" cm="1" t="str">
        <f t="array" ref="BF10:BF10">BF27</f>
        <v>Принято органом регулирования</v>
      </c>
      <c r="BG10" s="312" cm="1" t="str">
        <f t="array" ref="BG10:BG10">BG27</f>
        <v>Принято органом регулирования</v>
      </c>
      <c r="BH10" s="312" cm="1" t="str">
        <f t="array" ref="BH10:BH10">BH27</f>
        <v>Принято органом регулирования</v>
      </c>
      <c r="BI10" s="312" cm="1" t="str">
        <f t="array" ref="BI10:BI10">BI27</f>
        <v>Принято органом регулирования</v>
      </c>
      <c r="BJ10" s="312" cm="1" t="str">
        <f t="array" ref="BJ10:BJ10">BJ27</f>
        <v>Принято органом регулирования</v>
      </c>
      <c r="BK10" s="312" cm="1" t="str">
        <f t="array" ref="BK10:BK10">BK27</f>
        <v>Принято органом регулирования</v>
      </c>
      <c r="BL10" s="312" cm="1" t="str">
        <f t="array" ref="BL10:BL10">BL27</f>
        <v>Принято органом регулирования</v>
      </c>
      <c r="BM10" s="312" cm="1" t="str">
        <f t="array" ref="BM10:BM10">BM27</f>
        <v>Принято органом регулирования</v>
      </c>
      <c r="BN10" s="312" cm="1" t="str">
        <f t="array" ref="BN10:BN10">BN27</f>
        <v>Принято органом регулирования</v>
      </c>
      <c r="BO10" s="312" cm="1" t="str">
        <f t="array" ref="BO10:BO10">BO27</f>
        <v>Принято органом регулирования</v>
      </c>
      <c r="BP10" s="312" cm="1" t="str">
        <f t="array" ref="BP10:BP10">BP27</f>
        <v>Принято органом регулирования</v>
      </c>
      <c r="BQ10" s="312" cm="1" t="str">
        <f t="array" ref="BQ10:BQ10">BQ27</f>
        <v>Принято органом регулирования</v>
      </c>
      <c r="BR10" s="312" cm="1" t="str">
        <f t="array" ref="BR10:BR10">BR27</f>
        <v>Принято органом регулирования</v>
      </c>
      <c r="BS10" s="312" cm="1" t="str">
        <f t="array" ref="BS10:BS10">BS27</f>
        <v>Принято органом регулирования</v>
      </c>
      <c r="BT10" s="312" cm="1" t="str">
        <f t="array" ref="BT10:BT10">BT27</f>
        <v>Принято органом регулирования</v>
      </c>
      <c r="BU10" s="312" cm="1" t="str">
        <f t="array" ref="BU10:BU10">BU27</f>
        <v>Принято органом регулирования</v>
      </c>
      <c r="BV10" s="312" cm="1" t="str">
        <f t="array" ref="BV10:BV10">BV27</f>
        <v>Принято органом регулирования</v>
      </c>
      <c r="BZ10" s="489"/>
      <c r="CC10" s="1730"/>
      <c r="CD10" s="1730"/>
      <c r="CE10" s="1730"/>
      <c r="CF10" s="1730"/>
      <c r="CG10" s="1730"/>
      <c r="CH10" s="1730"/>
      <c r="CI10" s="1730"/>
      <c r="CJ10" s="1730"/>
      <c r="CK10" s="1730"/>
    </row>
    <row s="1143" customFormat="1" customHeight="1" ht="11.25" hidden="1">
      <c r="A11" s="309" t="s">
        <v>405</v>
      </c>
      <c r="G11" s="483"/>
      <c r="H11" s="483"/>
      <c r="I11" s="483"/>
      <c r="J11" s="483"/>
      <c r="K11" s="483"/>
      <c r="L11" s="483"/>
      <c r="M11" s="483"/>
      <c r="N11" s="483"/>
      <c r="O11" s="483"/>
      <c r="P11" s="483"/>
      <c r="Q11" s="483"/>
      <c r="R11" s="483"/>
      <c r="S11" s="483"/>
      <c r="AI11" s="1143"/>
      <c r="AJ11" s="1143"/>
      <c r="AK11" s="1143"/>
      <c r="AL11" s="1143"/>
      <c r="AM11" s="1143"/>
      <c r="AN11" s="1143"/>
      <c r="AO11" s="1143"/>
      <c r="AP11" s="1143"/>
      <c r="AQ11" s="1143"/>
      <c r="AR11" s="1143"/>
      <c r="AS11" s="1143"/>
      <c r="AT11" s="1143"/>
      <c r="AU11" s="1143"/>
      <c r="AV11" s="1143"/>
      <c r="AW11" s="1143"/>
      <c r="AX11" s="1143"/>
      <c r="AY11" s="1143"/>
      <c r="AZ11" s="1143"/>
      <c r="BA11" s="1143"/>
      <c r="BB11" s="1143"/>
      <c r="BC11" s="1143"/>
      <c r="BD11" s="1143"/>
      <c r="BE11" s="1143"/>
      <c r="BF11" s="1143"/>
      <c r="BG11" s="1143"/>
      <c r="BH11" s="1143"/>
      <c r="BI11" s="1143"/>
      <c r="BJ11" s="1143"/>
      <c r="BK11" s="1143"/>
      <c r="BL11" s="1143"/>
      <c r="BM11" s="1143"/>
      <c r="BN11" s="1143"/>
      <c r="BO11" s="1143"/>
      <c r="BP11" s="1143"/>
      <c r="BQ11" s="1143"/>
      <c r="BR11" s="1143"/>
      <c r="BS11" s="1143"/>
      <c r="BT11" s="1143"/>
      <c r="BU11" s="1143"/>
      <c r="BV11" s="1143"/>
      <c r="BW11" s="312" cm="1" t="str">
        <f t="array" ref="BW11:BW11">BW26</f>
        <v>Ссылка на правовую норму (основание для принятия показателя в расчет тарифа)</v>
      </c>
      <c r="BZ11" s="489"/>
      <c r="CC11" s="1730"/>
      <c r="CD11" s="1730"/>
      <c r="CE11" s="1730"/>
      <c r="CF11" s="1730"/>
      <c r="CG11" s="1730"/>
      <c r="CH11" s="1730"/>
      <c r="CI11" s="1730"/>
      <c r="CJ11" s="1730"/>
      <c r="CK11" s="1730"/>
    </row>
    <row s="1548" customFormat="1" customHeight="1" ht="11.25" hidden="1">
      <c r="A12" s="1497" t="s">
        <v>1515</v>
      </c>
      <c r="E12" s="180"/>
      <c r="G12" s="193"/>
      <c r="H12" s="193"/>
      <c r="I12" s="193"/>
      <c r="J12" s="193"/>
      <c r="K12" s="193"/>
      <c r="L12" s="193"/>
      <c r="M12" s="193"/>
      <c r="N12" s="193"/>
      <c r="O12" s="193"/>
      <c r="P12" s="193"/>
      <c r="Q12" s="193"/>
      <c r="R12" s="193"/>
      <c r="S12" s="193"/>
      <c r="AD12" s="0"/>
      <c r="AE12" s="0" t="s">
        <v>2388</v>
      </c>
      <c r="AF12" s="0"/>
      <c r="AG12" s="0" t="s">
        <v>2388</v>
      </c>
      <c r="AH12" s="0"/>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Z12" s="489"/>
      <c r="CC12" s="0"/>
      <c r="CD12" s="0"/>
      <c r="CE12" s="0"/>
      <c r="CF12" s="0"/>
      <c r="CG12" s="0"/>
      <c r="CH12" s="0"/>
      <c r="CI12" s="0"/>
      <c r="CJ12" s="0"/>
      <c r="CK12" s="0"/>
    </row>
    <row s="1548" customFormat="1" customHeight="1" ht="11.25" hidden="1">
      <c r="A13" s="1497" t="s">
        <v>109</v>
      </c>
      <c r="E13" s="180"/>
      <c r="G13" s="193"/>
      <c r="H13" s="193"/>
      <c r="I13" s="193"/>
      <c r="J13" s="193"/>
      <c r="K13" s="193"/>
      <c r="L13" s="193"/>
      <c r="M13" s="193"/>
      <c r="N13" s="193"/>
      <c r="O13" s="193"/>
      <c r="P13" s="193"/>
      <c r="Q13" s="193"/>
      <c r="R13" s="193"/>
      <c r="S13" s="193"/>
      <c r="AD13" s="0"/>
      <c r="AE13" s="0" t="str">
        <f>"389.0."&amp;AE$9-2010&amp;"."</f>
        <v>389.0.15.</v>
      </c>
      <c r="AF13" s="0" t="str">
        <f>"389.0."&amp;AF$9-2010&amp;"."</f>
        <v>389.0.15.</v>
      </c>
      <c r="AG13" s="0" t="str">
        <f>"389.0."&amp;AG$9-2010&amp;"."</f>
        <v>389.0.16.</v>
      </c>
      <c r="AH13" s="0" t="str">
        <f>"389.0."&amp;AH$9-2010&amp;"."</f>
        <v>389.0.16.</v>
      </c>
      <c r="AI13" s="0" t="str">
        <f>"389.0."&amp;AI$9-2010&amp;"."</f>
        <v>389.0.17.</v>
      </c>
      <c r="AJ13" s="0" t="str">
        <f>"389.0."&amp;AJ$9-2010&amp;"."</f>
        <v>389.0.18.</v>
      </c>
      <c r="AK13" s="0" t="str">
        <f>"389.0."&amp;AK$9-2010&amp;"."</f>
        <v>389.0.19.</v>
      </c>
      <c r="AL13" s="0" t="str">
        <f>"389.0."&amp;AL$9-2010&amp;"."</f>
        <v>389.0.20.</v>
      </c>
      <c r="AM13" s="0" t="str">
        <f>"389.0."&amp;AM$9-2010&amp;"."</f>
        <v>389.0.21.</v>
      </c>
      <c r="AN13" s="0" t="str">
        <f>"389.0."&amp;AN$9-2010&amp;"."</f>
        <v>389.0.22.</v>
      </c>
      <c r="AO13" s="0" t="str">
        <f>"389.0."&amp;AO$9-2010&amp;"."</f>
        <v>389.0.23.</v>
      </c>
      <c r="AP13" s="0" t="str">
        <f>"389.0."&amp;AP$9-2010&amp;"."</f>
        <v>389.0.24.</v>
      </c>
      <c r="AQ13" s="0" t="str">
        <f>"389.0."&amp;AQ$9-2010&amp;"."</f>
        <v>389.0.25.</v>
      </c>
      <c r="AR13" s="0" t="str">
        <f>"389.0."&amp;AR$9-2010&amp;"."</f>
        <v>389.0.26.</v>
      </c>
      <c r="AS13" s="0" t="str">
        <f>"389.0."&amp;AS$9-2010&amp;"."</f>
        <v>389.0.27.</v>
      </c>
      <c r="AT13" s="0" t="str">
        <f>"389.0."&amp;AT$9-2010&amp;"."</f>
        <v>389.0.28.</v>
      </c>
      <c r="AU13" s="0" t="str">
        <f>"389.0."&amp;AU$9-2010&amp;"."</f>
        <v>389.0.29.</v>
      </c>
      <c r="AV13" s="0" t="str">
        <f>"389.0."&amp;AV$9-2010&amp;"."</f>
        <v>389.0.30.</v>
      </c>
      <c r="AW13" s="0" t="str">
        <f>"389.0."&amp;AW$9-2010&amp;"."</f>
        <v>389.0.31.</v>
      </c>
      <c r="AX13" s="0" t="str">
        <f>"389.0."&amp;AX$9-2010&amp;"."</f>
        <v>389.0.32.</v>
      </c>
      <c r="AY13" s="0" t="str">
        <f>"389.0."&amp;AY$9-2010&amp;"."</f>
        <v>389.0.33.</v>
      </c>
      <c r="AZ13" s="0" t="str">
        <f>"389.0."&amp;AZ$9-2010&amp;"."</f>
        <v>389.0.34.</v>
      </c>
      <c r="BA13" s="0" t="str">
        <f>"389.0."&amp;BA$9-2010&amp;"."</f>
        <v>389.0.35.</v>
      </c>
      <c r="BB13" s="0" t="str">
        <f>"389.0."&amp;BB$9-2010&amp;"."</f>
        <v>389.0.36.</v>
      </c>
      <c r="BC13" s="0" t="str">
        <f>"389.0."&amp;BC$9-2010&amp;"."</f>
        <v>389.0.17.</v>
      </c>
      <c r="BD13" s="0" t="str">
        <f>"389.0."&amp;BD$9-2010&amp;"."</f>
        <v>389.0.18.</v>
      </c>
      <c r="BE13" s="0" t="str">
        <f>"389.0."&amp;BE$9-2010&amp;"."</f>
        <v>389.0.19.</v>
      </c>
      <c r="BF13" s="0" t="str">
        <f>"389.0."&amp;BF$9-2010&amp;"."</f>
        <v>389.0.20.</v>
      </c>
      <c r="BG13" s="0" t="str">
        <f>"389.0."&amp;BG$9-2010&amp;"."</f>
        <v>389.0.21.</v>
      </c>
      <c r="BH13" s="0" t="str">
        <f>"389.0."&amp;BH$9-2010&amp;"."</f>
        <v>389.0.22.</v>
      </c>
      <c r="BI13" s="0" t="str">
        <f>"389.0."&amp;BI$9-2010&amp;"."</f>
        <v>389.0.23.</v>
      </c>
      <c r="BJ13" s="0" t="str">
        <f>"389.0."&amp;BJ$9-2010&amp;"."</f>
        <v>389.0.24.</v>
      </c>
      <c r="BK13" s="0" t="str">
        <f>"389.0."&amp;BK$9-2010&amp;"."</f>
        <v>389.0.25.</v>
      </c>
      <c r="BL13" s="0" t="str">
        <f>"389.0."&amp;BL$9-2010&amp;"."</f>
        <v>389.0.26.</v>
      </c>
      <c r="BM13" s="0" t="str">
        <f>"389.0."&amp;BM$9-2010&amp;"."</f>
        <v>389.0.27.</v>
      </c>
      <c r="BN13" s="0" t="str">
        <f>"389.0."&amp;BN$9-2010&amp;"."</f>
        <v>389.0.28.</v>
      </c>
      <c r="BO13" s="0" t="str">
        <f>"389.0."&amp;BO$9-2010&amp;"."</f>
        <v>389.0.29.</v>
      </c>
      <c r="BP13" s="0" t="str">
        <f>"389.0."&amp;BP$9-2010&amp;"."</f>
        <v>389.0.30.</v>
      </c>
      <c r="BQ13" s="0" t="str">
        <f>"389.0."&amp;BQ$9-2010&amp;"."</f>
        <v>389.0.31.</v>
      </c>
      <c r="BR13" s="0" t="str">
        <f>"389.0."&amp;BR$9-2010&amp;"."</f>
        <v>389.0.32.</v>
      </c>
      <c r="BS13" s="0" t="str">
        <f>"389.0."&amp;BS$9-2010&amp;"."</f>
        <v>389.0.33.</v>
      </c>
      <c r="BT13" s="0" t="str">
        <f>"389.0."&amp;BT$9-2010&amp;"."</f>
        <v>389.0.34.</v>
      </c>
      <c r="BU13" s="0" t="str">
        <f>"389.0."&amp;BU$9-2010&amp;"."</f>
        <v>389.0.35.</v>
      </c>
      <c r="BV13" s="0" t="str">
        <f>"389.0."&amp;BV$9-2010&amp;"."</f>
        <v>389.0.36.</v>
      </c>
      <c r="BW13" s="0"/>
      <c r="BZ13" s="489"/>
      <c r="CC13" s="0"/>
      <c r="CD13" s="0"/>
      <c r="CE13" s="0"/>
      <c r="CF13" s="0"/>
      <c r="CG13" s="0"/>
      <c r="CH13" s="0"/>
      <c r="CI13" s="0"/>
      <c r="CJ13" s="0"/>
      <c r="CK13" s="0"/>
    </row>
    <row s="1548" customFormat="1" customHeight="1" ht="11.25" hidden="1">
      <c r="A14" s="1497" t="s">
        <v>406</v>
      </c>
      <c r="E14" s="180"/>
      <c r="G14" s="193"/>
      <c r="H14" s="193"/>
      <c r="I14" s="193"/>
      <c r="J14" s="193"/>
      <c r="K14" s="193"/>
      <c r="L14" s="193"/>
      <c r="M14" s="193"/>
      <c r="N14" s="193"/>
      <c r="O14" s="193"/>
      <c r="P14" s="193"/>
      <c r="Q14" s="193"/>
      <c r="R14" s="193"/>
      <c r="S14" s="193"/>
      <c r="AD14" s="0"/>
      <c r="AE14" s="0" t="s">
        <v>407</v>
      </c>
      <c r="AF14" s="0" cm="1" t="str">
        <f t="array" ref="AF14:AF14">IF($A14="uni_org_reg_NAME",INDEX(org_reg_values,MATCH(AF$10,org_reg_codes,0),1),IF($A14="uni_pf_NAME",INDEX(pf_codes_values,MATCH(AF$10,pf_codes,0),1),""))</f>
        <v>328.0.2.</v>
      </c>
      <c r="AG14" s="0" t="s">
        <v>407</v>
      </c>
      <c r="AH14" s="0" cm="1" t="str">
        <f t="array" ref="AH14:AH14">IF($A14="uni_org_reg_NAME",INDEX(org_reg_values,MATCH(AH$10,org_reg_codes,0),1),IF($A14="uni_pf_NAME",INDEX(pf_codes_values,MATCH(AH$10,pf_codes,0),1),""))</f>
        <v>328.0.2.</v>
      </c>
      <c r="AI14" s="0" cm="1" t="str">
        <f t="array" ref="AI14:AI14">IF($A14="uni_org_reg_NAME",INDEX(org_reg_values,MATCH(AI$10,org_reg_codes,0),1),IF($A14="uni_pf_NAME",INDEX(pf_codes_values,MATCH(AI$10,pf_codes,0),1),""))</f>
        <v>328.0.1.</v>
      </c>
      <c r="AJ14" s="0" cm="1" t="str">
        <f t="array" ref="AJ14:AJ14">IF($A14="uni_org_reg_NAME",INDEX(org_reg_values,MATCH(AJ$10,org_reg_codes,0),1),IF($A14="uni_pf_NAME",INDEX(pf_codes_values,MATCH(AJ$10,pf_codes,0),1),""))</f>
        <v>328.0.1.</v>
      </c>
      <c r="AK14" s="0" cm="1" t="str">
        <f t="array" ref="AK14:AK14">IF($A14="uni_org_reg_NAME",INDEX(org_reg_values,MATCH(AK$10,org_reg_codes,0),1),IF($A14="uni_pf_NAME",INDEX(pf_codes_values,MATCH(AK$10,pf_codes,0),1),""))</f>
        <v>328.0.1.</v>
      </c>
      <c r="AL14" s="0" cm="1" t="str">
        <f t="array" ref="AL14:AL14">IF($A14="uni_org_reg_NAME",INDEX(org_reg_values,MATCH(AL$10,org_reg_codes,0),1),IF($A14="uni_pf_NAME",INDEX(pf_codes_values,MATCH(AL$10,pf_codes,0),1),""))</f>
        <v>328.0.1.</v>
      </c>
      <c r="AM14" s="0" cm="1" t="str">
        <f t="array" ref="AM14:AM14">IF($A14="uni_org_reg_NAME",INDEX(org_reg_values,MATCH(AM$10,org_reg_codes,0),1),IF($A14="uni_pf_NAME",INDEX(pf_codes_values,MATCH(AM$10,pf_codes,0),1),""))</f>
        <v>328.0.1.</v>
      </c>
      <c r="AN14" s="0" cm="1" t="str">
        <f t="array" ref="AN14:AN14">IF($A14="uni_org_reg_NAME",INDEX(org_reg_values,MATCH(AN$10,org_reg_codes,0),1),IF($A14="uni_pf_NAME",INDEX(pf_codes_values,MATCH(AN$10,pf_codes,0),1),""))</f>
        <v>328.0.1.</v>
      </c>
      <c r="AO14" s="0" cm="1" t="str">
        <f t="array" ref="AO14:AO14">IF($A14="uni_org_reg_NAME",INDEX(org_reg_values,MATCH(AO$10,org_reg_codes,0),1),IF($A14="uni_pf_NAME",INDEX(pf_codes_values,MATCH(AO$10,pf_codes,0),1),""))</f>
        <v>328.0.1.</v>
      </c>
      <c r="AP14" s="0" cm="1" t="str">
        <f t="array" ref="AP14:AP14">IF($A14="uni_org_reg_NAME",INDEX(org_reg_values,MATCH(AP$10,org_reg_codes,0),1),IF($A14="uni_pf_NAME",INDEX(pf_codes_values,MATCH(AP$10,pf_codes,0),1),""))</f>
        <v>328.0.1.</v>
      </c>
      <c r="AQ14" s="0" cm="1" t="str">
        <f t="array" ref="AQ14:AQ14">IF($A14="uni_org_reg_NAME",INDEX(org_reg_values,MATCH(AQ$10,org_reg_codes,0),1),IF($A14="uni_pf_NAME",INDEX(pf_codes_values,MATCH(AQ$10,pf_codes,0),1),""))</f>
        <v>328.0.1.</v>
      </c>
      <c r="AR14" s="0" cm="1" t="str">
        <f t="array" ref="AR14:AR14">IF($A14="uni_org_reg_NAME",INDEX(org_reg_values,MATCH(AR$10,org_reg_codes,0),1),IF($A14="uni_pf_NAME",INDEX(pf_codes_values,MATCH(AR$10,pf_codes,0),1),""))</f>
        <v>328.0.1.</v>
      </c>
      <c r="AS14" s="0" cm="1" t="str">
        <f t="array" ref="AS14:AS14">IF($A14="uni_org_reg_NAME",INDEX(org_reg_values,MATCH(AS$10,org_reg_codes,0),1),IF($A14="uni_pf_NAME",INDEX(pf_codes_values,MATCH(AS$10,pf_codes,0),1),""))</f>
        <v>328.0.1.</v>
      </c>
      <c r="AT14" s="0" cm="1" t="str">
        <f t="array" ref="AT14:AT14">IF($A14="uni_org_reg_NAME",INDEX(org_reg_values,MATCH(AT$10,org_reg_codes,0),1),IF($A14="uni_pf_NAME",INDEX(pf_codes_values,MATCH(AT$10,pf_codes,0),1),""))</f>
        <v>328.0.1.</v>
      </c>
      <c r="AU14" s="0" cm="1" t="str">
        <f t="array" ref="AU14:AU14">IF($A14="uni_org_reg_NAME",INDEX(org_reg_values,MATCH(AU$10,org_reg_codes,0),1),IF($A14="uni_pf_NAME",INDEX(pf_codes_values,MATCH(AU$10,pf_codes,0),1),""))</f>
        <v>328.0.1.</v>
      </c>
      <c r="AV14" s="0" cm="1" t="str">
        <f t="array" ref="AV14:AV14">IF($A14="uni_org_reg_NAME",INDEX(org_reg_values,MATCH(AV$10,org_reg_codes,0),1),IF($A14="uni_pf_NAME",INDEX(pf_codes_values,MATCH(AV$10,pf_codes,0),1),""))</f>
        <v>328.0.1.</v>
      </c>
      <c r="AW14" s="0" cm="1" t="str">
        <f t="array" ref="AW14:AW14">IF($A14="uni_org_reg_NAME",INDEX(org_reg_values,MATCH(AW$10,org_reg_codes,0),1),IF($A14="uni_pf_NAME",INDEX(pf_codes_values,MATCH(AW$10,pf_codes,0),1),""))</f>
        <v>328.0.1.</v>
      </c>
      <c r="AX14" s="0" cm="1" t="str">
        <f t="array" ref="AX14:AX14">IF($A14="uni_org_reg_NAME",INDEX(org_reg_values,MATCH(AX$10,org_reg_codes,0),1),IF($A14="uni_pf_NAME",INDEX(pf_codes_values,MATCH(AX$10,pf_codes,0),1),""))</f>
        <v>328.0.1.</v>
      </c>
      <c r="AY14" s="0" cm="1" t="str">
        <f t="array" ref="AY14:AY14">IF($A14="uni_org_reg_NAME",INDEX(org_reg_values,MATCH(AY$10,org_reg_codes,0),1),IF($A14="uni_pf_NAME",INDEX(pf_codes_values,MATCH(AY$10,pf_codes,0),1),""))</f>
        <v>328.0.1.</v>
      </c>
      <c r="AZ14" s="0" cm="1" t="str">
        <f t="array" ref="AZ14:AZ14">IF($A14="uni_org_reg_NAME",INDEX(org_reg_values,MATCH(AZ$10,org_reg_codes,0),1),IF($A14="uni_pf_NAME",INDEX(pf_codes_values,MATCH(AZ$10,pf_codes,0),1),""))</f>
        <v>328.0.1.</v>
      </c>
      <c r="BA14" s="0" cm="1" t="str">
        <f t="array" ref="BA14:BA14">IF($A14="uni_org_reg_NAME",INDEX(org_reg_values,MATCH(BA$10,org_reg_codes,0),1),IF($A14="uni_pf_NAME",INDEX(pf_codes_values,MATCH(BA$10,pf_codes,0),1),""))</f>
        <v>328.0.1.</v>
      </c>
      <c r="BB14" s="0" cm="1" t="str">
        <f t="array" ref="BB14:BB14">IF($A14="uni_org_reg_NAME",INDEX(org_reg_values,MATCH(BB$10,org_reg_codes,0),1),IF($A14="uni_pf_NAME",INDEX(pf_codes_values,MATCH(BB$10,pf_codes,0),1),""))</f>
        <v>328.0.1.</v>
      </c>
      <c r="BC14" s="0" cm="1" t="str">
        <f t="array" ref="BC14:BC14">IF($A14="uni_org_reg_NAME",INDEX(org_reg_values,MATCH(BC$10,org_reg_codes,0),1),IF($A14="uni_pf_NAME",INDEX(pf_codes_values,MATCH(BC$10,pf_codes,0),1),""))</f>
        <v>328.0.2.</v>
      </c>
      <c r="BD14" s="0" cm="1" t="str">
        <f t="array" ref="BD14:BD14">IF($A14="uni_org_reg_NAME",INDEX(org_reg_values,MATCH(BD$10,org_reg_codes,0),1),IF($A14="uni_pf_NAME",INDEX(pf_codes_values,MATCH(BD$10,pf_codes,0),1),""))</f>
        <v>328.0.2.</v>
      </c>
      <c r="BE14" s="0" cm="1" t="str">
        <f t="array" ref="BE14:BE14">IF($A14="uni_org_reg_NAME",INDEX(org_reg_values,MATCH(BE$10,org_reg_codes,0),1),IF($A14="uni_pf_NAME",INDEX(pf_codes_values,MATCH(BE$10,pf_codes,0),1),""))</f>
        <v>328.0.2.</v>
      </c>
      <c r="BF14" s="0" cm="1" t="str">
        <f t="array" ref="BF14:BF14">IF($A14="uni_org_reg_NAME",INDEX(org_reg_values,MATCH(BF$10,org_reg_codes,0),1),IF($A14="uni_pf_NAME",INDEX(pf_codes_values,MATCH(BF$10,pf_codes,0),1),""))</f>
        <v>328.0.2.</v>
      </c>
      <c r="BG14" s="0" cm="1" t="str">
        <f t="array" ref="BG14:BG14">IF($A14="uni_org_reg_NAME",INDEX(org_reg_values,MATCH(BG$10,org_reg_codes,0),1),IF($A14="uni_pf_NAME",INDEX(pf_codes_values,MATCH(BG$10,pf_codes,0),1),""))</f>
        <v>328.0.2.</v>
      </c>
      <c r="BH14" s="0" cm="1" t="str">
        <f t="array" ref="BH14:BH14">IF($A14="uni_org_reg_NAME",INDEX(org_reg_values,MATCH(BH$10,org_reg_codes,0),1),IF($A14="uni_pf_NAME",INDEX(pf_codes_values,MATCH(BH$10,pf_codes,0),1),""))</f>
        <v>328.0.2.</v>
      </c>
      <c r="BI14" s="0" cm="1" t="str">
        <f t="array" ref="BI14:BI14">IF($A14="uni_org_reg_NAME",INDEX(org_reg_values,MATCH(BI$10,org_reg_codes,0),1),IF($A14="uni_pf_NAME",INDEX(pf_codes_values,MATCH(BI$10,pf_codes,0),1),""))</f>
        <v>328.0.2.</v>
      </c>
      <c r="BJ14" s="0" cm="1" t="str">
        <f t="array" ref="BJ14:BJ14">IF($A14="uni_org_reg_NAME",INDEX(org_reg_values,MATCH(BJ$10,org_reg_codes,0),1),IF($A14="uni_pf_NAME",INDEX(pf_codes_values,MATCH(BJ$10,pf_codes,0),1),""))</f>
        <v>328.0.2.</v>
      </c>
      <c r="BK14" s="0" cm="1" t="str">
        <f t="array" ref="BK14:BK14">IF($A14="uni_org_reg_NAME",INDEX(org_reg_values,MATCH(BK$10,org_reg_codes,0),1),IF($A14="uni_pf_NAME",INDEX(pf_codes_values,MATCH(BK$10,pf_codes,0),1),""))</f>
        <v>328.0.2.</v>
      </c>
      <c r="BL14" s="0" cm="1" t="str">
        <f t="array" ref="BL14:BL14">IF($A14="uni_org_reg_NAME",INDEX(org_reg_values,MATCH(BL$10,org_reg_codes,0),1),IF($A14="uni_pf_NAME",INDEX(pf_codes_values,MATCH(BL$10,pf_codes,0),1),""))</f>
        <v>328.0.2.</v>
      </c>
      <c r="BM14" s="0" cm="1" t="str">
        <f t="array" ref="BM14:BM14">IF($A14="uni_org_reg_NAME",INDEX(org_reg_values,MATCH(BM$10,org_reg_codes,0),1),IF($A14="uni_pf_NAME",INDEX(pf_codes_values,MATCH(BM$10,pf_codes,0),1),""))</f>
        <v>328.0.2.</v>
      </c>
      <c r="BN14" s="0" cm="1" t="str">
        <f t="array" ref="BN14:BN14">IF($A14="uni_org_reg_NAME",INDEX(org_reg_values,MATCH(BN$10,org_reg_codes,0),1),IF($A14="uni_pf_NAME",INDEX(pf_codes_values,MATCH(BN$10,pf_codes,0),1),""))</f>
        <v>328.0.2.</v>
      </c>
      <c r="BO14" s="0" cm="1" t="str">
        <f t="array" ref="BO14:BO14">IF($A14="uni_org_reg_NAME",INDEX(org_reg_values,MATCH(BO$10,org_reg_codes,0),1),IF($A14="uni_pf_NAME",INDEX(pf_codes_values,MATCH(BO$10,pf_codes,0),1),""))</f>
        <v>328.0.2.</v>
      </c>
      <c r="BP14" s="0" cm="1" t="str">
        <f t="array" ref="BP14:BP14">IF($A14="uni_org_reg_NAME",INDEX(org_reg_values,MATCH(BP$10,org_reg_codes,0),1),IF($A14="uni_pf_NAME",INDEX(pf_codes_values,MATCH(BP$10,pf_codes,0),1),""))</f>
        <v>328.0.2.</v>
      </c>
      <c r="BQ14" s="0" cm="1" t="str">
        <f t="array" ref="BQ14:BQ14">IF($A14="uni_org_reg_NAME",INDEX(org_reg_values,MATCH(BQ$10,org_reg_codes,0),1),IF($A14="uni_pf_NAME",INDEX(pf_codes_values,MATCH(BQ$10,pf_codes,0),1),""))</f>
        <v>328.0.2.</v>
      </c>
      <c r="BR14" s="0" cm="1" t="str">
        <f t="array" ref="BR14:BR14">IF($A14="uni_org_reg_NAME",INDEX(org_reg_values,MATCH(BR$10,org_reg_codes,0),1),IF($A14="uni_pf_NAME",INDEX(pf_codes_values,MATCH(BR$10,pf_codes,0),1),""))</f>
        <v>328.0.2.</v>
      </c>
      <c r="BS14" s="0" cm="1" t="str">
        <f t="array" ref="BS14:BS14">IF($A14="uni_org_reg_NAME",INDEX(org_reg_values,MATCH(BS$10,org_reg_codes,0),1),IF($A14="uni_pf_NAME",INDEX(pf_codes_values,MATCH(BS$10,pf_codes,0),1),""))</f>
        <v>328.0.2.</v>
      </c>
      <c r="BT14" s="0" cm="1" t="str">
        <f t="array" ref="BT14:BT14">IF($A14="uni_org_reg_NAME",INDEX(org_reg_values,MATCH(BT$10,org_reg_codes,0),1),IF($A14="uni_pf_NAME",INDEX(pf_codes_values,MATCH(BT$10,pf_codes,0),1),""))</f>
        <v>328.0.2.</v>
      </c>
      <c r="BU14" s="0" cm="1" t="str">
        <f t="array" ref="BU14:BU14">IF($A14="uni_org_reg_NAME",INDEX(org_reg_values,MATCH(BU$10,org_reg_codes,0),1),IF($A14="uni_pf_NAME",INDEX(pf_codes_values,MATCH(BU$10,pf_codes,0),1),""))</f>
        <v>328.0.2.</v>
      </c>
      <c r="BV14" s="0" cm="1" t="str">
        <f t="array" ref="BV14:BV14">IF($A14="uni_org_reg_NAME",INDEX(org_reg_values,MATCH(BV$10,org_reg_codes,0),1),IF($A14="uni_pf_NAME",INDEX(pf_codes_values,MATCH(BV$10,pf_codes,0),1),""))</f>
        <v>328.0.2.</v>
      </c>
      <c r="BW14" s="0"/>
      <c r="BZ14" s="489"/>
      <c r="CC14" s="0"/>
      <c r="CD14" s="0"/>
      <c r="CE14" s="0"/>
      <c r="CF14" s="0"/>
      <c r="CG14" s="0"/>
      <c r="CH14" s="0"/>
      <c r="CI14" s="0"/>
      <c r="CJ14" s="0"/>
      <c r="CK14" s="0"/>
    </row>
    <row s="1548" customFormat="1" customHeight="1" ht="11.25" hidden="1">
      <c r="A15" s="1498" t="s">
        <v>351</v>
      </c>
      <c r="E15" s="180"/>
      <c r="G15" s="193"/>
      <c r="H15" s="193"/>
      <c r="I15" s="193"/>
      <c r="J15" s="193"/>
      <c r="K15" s="193"/>
      <c r="L15" s="193"/>
      <c r="M15" s="193"/>
      <c r="N15" s="193"/>
      <c r="O15" s="193"/>
      <c r="P15" s="193"/>
      <c r="Q15" s="193"/>
      <c r="R15" s="193"/>
      <c r="S15" s="193"/>
      <c r="AD15" s="0"/>
      <c r="AE15" s="0"/>
      <c r="AF15" s="0"/>
      <c r="AG15" s="0"/>
      <c r="AH15" s="0"/>
      <c r="AI15" s="0"/>
      <c r="AJ15" s="0"/>
      <c r="AK15" s="0"/>
      <c r="AL15" s="0"/>
      <c r="AM15" s="0"/>
      <c r="AN15" s="0"/>
      <c r="AO15" s="0"/>
      <c r="AP15" s="0"/>
      <c r="AQ15" s="0"/>
      <c r="AR15" s="0"/>
      <c r="AS15" s="0"/>
      <c r="AT15" s="0"/>
      <c r="AU15" s="0"/>
      <c r="AV15" s="0"/>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t="s">
        <v>178</v>
      </c>
      <c r="BZ15" s="489"/>
      <c r="CC15" s="0"/>
      <c r="CD15" s="0"/>
      <c r="CE15" s="0"/>
      <c r="CF15" s="0"/>
      <c r="CG15" s="0"/>
      <c r="CH15" s="0"/>
      <c r="CI15" s="0"/>
      <c r="CJ15" s="0"/>
      <c r="CK15" s="0"/>
    </row>
    <row s="1548" customFormat="1" customHeight="1" ht="11.25" hidden="1">
      <c r="A16" s="1497" t="s">
        <v>352</v>
      </c>
      <c r="E16" s="180"/>
      <c r="G16" s="193"/>
      <c r="H16" s="193"/>
      <c r="I16" s="193"/>
      <c r="J16" s="193"/>
      <c r="K16" s="193"/>
      <c r="L16" s="193"/>
      <c r="M16" s="193"/>
      <c r="N16" s="193"/>
      <c r="O16" s="193"/>
      <c r="P16" s="193"/>
      <c r="Q16" s="193"/>
      <c r="R16" s="193"/>
      <c r="S16" s="193"/>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t="s">
        <v>798</v>
      </c>
      <c r="BZ16" s="489"/>
      <c r="CC16" s="0"/>
      <c r="CD16" s="0"/>
      <c r="CE16" s="0"/>
      <c r="CF16" s="0"/>
      <c r="CG16" s="0"/>
      <c r="CH16" s="0"/>
      <c r="CI16" s="0"/>
      <c r="CJ16" s="0"/>
      <c r="CK16" s="0"/>
    </row>
    <row s="1548" customFormat="1" customHeight="1" ht="11.25" hidden="1">
      <c r="A17" s="1497" t="s">
        <v>379</v>
      </c>
      <c r="E17" s="180"/>
      <c r="G17" s="193"/>
      <c r="H17" s="193"/>
      <c r="I17" s="193"/>
      <c r="J17" s="193"/>
      <c r="K17" s="193"/>
      <c r="L17" s="193"/>
      <c r="M17" s="193"/>
      <c r="N17" s="193"/>
      <c r="O17" s="193"/>
      <c r="P17" s="193"/>
      <c r="Q17" s="193"/>
      <c r="R17" s="193"/>
      <c r="S17" s="193"/>
      <c r="AD17" s="1498"/>
      <c r="AI17" s="1548"/>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S17" s="1548"/>
      <c r="BT17" s="1548"/>
      <c r="BU17" s="1548"/>
      <c r="BV17" s="1548"/>
      <c r="BZ17" s="489"/>
      <c r="CC17" s="0"/>
      <c r="CD17" s="0"/>
      <c r="CE17" s="0"/>
      <c r="CF17" s="0"/>
      <c r="CG17" s="0"/>
      <c r="CH17" s="0"/>
      <c r="CI17" s="0"/>
      <c r="CJ17" s="0"/>
      <c r="CK17" s="0"/>
    </row>
    <row s="1548" customFormat="1" customHeight="1" ht="11.25" hidden="1">
      <c r="A18" s="371"/>
      <c r="E18" s="180"/>
      <c r="G18" s="193"/>
      <c r="H18" s="193"/>
      <c r="I18" s="193"/>
      <c r="J18" s="193"/>
      <c r="K18" s="193"/>
      <c r="L18" s="193"/>
      <c r="M18" s="193"/>
      <c r="N18" s="193"/>
      <c r="O18" s="193"/>
      <c r="P18" s="193"/>
      <c r="Q18" s="193"/>
      <c r="R18" s="193"/>
      <c r="S18" s="193"/>
      <c r="AI18" s="1548"/>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S18" s="1548"/>
      <c r="BT18" s="1548"/>
      <c r="BU18" s="1548"/>
      <c r="BV18" s="1548"/>
      <c r="BZ18" s="489"/>
      <c r="CC18" s="0"/>
      <c r="CD18" s="0"/>
      <c r="CE18" s="0"/>
      <c r="CF18" s="0"/>
      <c r="CG18" s="0"/>
      <c r="CH18" s="0"/>
      <c r="CI18" s="0"/>
      <c r="CJ18" s="0"/>
      <c r="CK18" s="0"/>
    </row>
    <row s="1548" customFormat="1" customHeight="1" ht="11.25" hidden="1">
      <c r="A19" s="371"/>
      <c r="E19" s="180"/>
      <c r="G19" s="193"/>
      <c r="H19" s="193"/>
      <c r="I19" s="193"/>
      <c r="J19" s="193"/>
      <c r="K19" s="193"/>
      <c r="L19" s="193"/>
      <c r="M19" s="193"/>
      <c r="N19" s="193"/>
      <c r="O19" s="193"/>
      <c r="P19" s="193"/>
      <c r="Q19" s="193"/>
      <c r="R19" s="193"/>
      <c r="S19" s="193"/>
      <c r="AI19" s="1548"/>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T19" s="1548"/>
      <c r="BU19" s="1548"/>
      <c r="BV19" s="1548"/>
      <c r="BZ19" s="489"/>
      <c r="CC19" s="0"/>
      <c r="CD19" s="0"/>
      <c r="CE19" s="0"/>
      <c r="CF19" s="0"/>
      <c r="CG19" s="0"/>
      <c r="CH19" s="0"/>
      <c r="CI19" s="0"/>
      <c r="CJ19" s="0"/>
      <c r="CK19" s="0"/>
    </row>
    <row s="1548" customFormat="1" customHeight="1" ht="11.25" hidden="1">
      <c r="A20" s="371"/>
      <c r="E20" s="180"/>
      <c r="G20" s="193"/>
      <c r="H20" s="193"/>
      <c r="I20" s="193"/>
      <c r="J20" s="193"/>
      <c r="K20" s="193"/>
      <c r="L20" s="193"/>
      <c r="M20" s="193"/>
      <c r="N20" s="193"/>
      <c r="O20" s="193"/>
      <c r="P20" s="193"/>
      <c r="Q20" s="193"/>
      <c r="R20" s="193"/>
      <c r="S20" s="193"/>
      <c r="AI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Z20" s="489"/>
      <c r="CC20" s="0"/>
      <c r="CD20" s="0"/>
      <c r="CE20" s="0"/>
      <c r="CF20" s="0"/>
      <c r="CG20" s="0"/>
      <c r="CH20" s="0"/>
      <c r="CI20" s="0"/>
      <c r="CJ20" s="0"/>
      <c r="CK20" s="0"/>
    </row>
    <row customHeight="1" ht="14.625">
      <c r="E21" s="180">
        <v>15</v>
      </c>
      <c r="AA21" s="182"/>
      <c r="AC21" s="278" cm="1" t="str">
        <f t="array" ref="AC21:AC21">tpl_title</f>
        <v>Кемеровская область / 2027 / ООО "КК-ИНВЕСТ" (ИНН:1901133713, КПП:190101001) / ДПР: 2025-2027</v>
      </c>
      <c r="AI21" s="1727"/>
      <c r="AJ21" s="1727"/>
      <c r="AK21" s="1727"/>
      <c r="AL21" s="1727"/>
      <c r="AM21" s="1727"/>
      <c r="AN21" s="1727"/>
      <c r="AO21" s="1727"/>
      <c r="AP21" s="1727"/>
      <c r="AQ21" s="1727"/>
      <c r="AR21" s="1727"/>
      <c r="AS21" s="1727"/>
      <c r="AT21" s="1727"/>
      <c r="AU21" s="1727"/>
      <c r="AV21" s="1727"/>
      <c r="AW21" s="1727"/>
      <c r="AX21" s="1727"/>
      <c r="AY21" s="1727"/>
      <c r="AZ21" s="1727"/>
      <c r="BA21" s="1727"/>
      <c r="BB21" s="1727"/>
      <c r="BC21" s="1727"/>
      <c r="BD21" s="1727"/>
      <c r="BE21" s="1727"/>
      <c r="BF21" s="1727"/>
      <c r="BG21" s="1727"/>
      <c r="BH21" s="1727"/>
      <c r="BI21" s="1727"/>
      <c r="BJ21" s="1727"/>
      <c r="BK21" s="1727"/>
      <c r="BL21" s="1727"/>
      <c r="BM21" s="1727"/>
      <c r="BN21" s="1727"/>
      <c r="BO21" s="1727"/>
      <c r="BP21" s="1727"/>
      <c r="BQ21" s="1727"/>
      <c r="BR21" s="1727"/>
      <c r="BS21" s="1727"/>
      <c r="BT21" s="1727"/>
      <c r="BU21" s="1727"/>
      <c r="BV21" s="1727"/>
    </row>
    <row customHeight="1" ht="19.5">
      <c r="E22" s="180">
        <v>20</v>
      </c>
      <c r="AB22" s="547" t="s">
        <v>76</v>
      </c>
      <c r="AC22" s="490"/>
      <c r="AD22" s="490"/>
      <c r="AE22" s="490"/>
      <c r="AF22" s="490"/>
      <c r="AG22" s="490"/>
      <c r="AH22" s="490"/>
      <c r="AI22" s="490"/>
      <c r="AJ22" s="490"/>
      <c r="AK22" s="490"/>
      <c r="AL22" s="490"/>
      <c r="AM22" s="490"/>
      <c r="AN22" s="490"/>
      <c r="AO22" s="490"/>
      <c r="AP22" s="490"/>
      <c r="AQ22" s="490"/>
      <c r="AR22" s="490"/>
      <c r="AS22" s="490"/>
      <c r="AT22" s="490"/>
      <c r="AU22" s="490"/>
      <c r="AV22" s="490"/>
      <c r="AW22" s="490"/>
      <c r="AX22" s="490"/>
      <c r="AY22" s="490"/>
      <c r="AZ22" s="490"/>
      <c r="BA22" s="490"/>
      <c r="BB22" s="490"/>
      <c r="BC22" s="490"/>
      <c r="BD22" s="890"/>
      <c r="BE22" s="890"/>
      <c r="BF22" s="890"/>
      <c r="BG22" s="890"/>
      <c r="BH22" s="890"/>
      <c r="BI22" s="890"/>
      <c r="BJ22" s="890"/>
      <c r="BK22" s="890"/>
      <c r="BL22" s="890"/>
      <c r="BM22" s="890"/>
      <c r="BN22" s="890"/>
      <c r="BO22" s="890"/>
      <c r="BP22" s="890"/>
      <c r="BQ22" s="890"/>
      <c r="BR22" s="890"/>
      <c r="BS22" s="890"/>
      <c r="BT22" s="890"/>
      <c r="BU22" s="890"/>
      <c r="BV22" s="890"/>
      <c r="BW22" s="890"/>
    </row>
    <row customHeight="1" ht="10.725000000000001">
      <c r="E23" s="180">
        <v>11</v>
      </c>
      <c r="AI23" s="1727"/>
      <c r="AJ23" s="1727"/>
      <c r="AK23" s="1727"/>
      <c r="AL23" s="1727"/>
      <c r="AM23" s="1727"/>
      <c r="AN23" s="1727"/>
      <c r="AO23" s="1727"/>
      <c r="AP23" s="1727"/>
      <c r="AQ23" s="1727"/>
      <c r="AR23" s="1727"/>
      <c r="AS23" s="1727"/>
      <c r="AT23" s="1727"/>
      <c r="AU23" s="1727"/>
      <c r="AV23" s="1727"/>
      <c r="AW23" s="1727"/>
      <c r="AX23" s="1727"/>
      <c r="AY23" s="1727"/>
      <c r="AZ23" s="1727"/>
      <c r="BA23" s="1727"/>
      <c r="BB23" s="1727"/>
      <c r="BC23" s="1727"/>
      <c r="BD23" s="1727"/>
      <c r="BE23" s="1727"/>
      <c r="BF23" s="1727"/>
      <c r="BG23" s="1727"/>
      <c r="BH23" s="1727"/>
      <c r="BI23" s="1727"/>
      <c r="BJ23" s="1727"/>
      <c r="BK23" s="1727"/>
      <c r="BL23" s="1727"/>
      <c r="BM23" s="1727"/>
      <c r="BN23" s="1727"/>
      <c r="BO23" s="1727"/>
      <c r="BP23" s="1727"/>
      <c r="BQ23" s="1727"/>
      <c r="BR23" s="1727"/>
      <c r="BS23" s="1727"/>
      <c r="BT23" s="1727"/>
      <c r="BU23" s="1727"/>
      <c r="BV23" s="1727"/>
    </row>
    <row customHeight="1" ht="21.450000000000003">
      <c r="E24" s="180">
        <v>22</v>
      </c>
      <c r="AB24" s="1700" t="s">
        <v>2389</v>
      </c>
      <c r="AC24" s="1700"/>
      <c r="AD24" s="891" t="str">
        <f>"нет"</f>
        <v>нет</v>
      </c>
      <c r="AI24" s="1727"/>
      <c r="AJ24" s="1727"/>
      <c r="AK24" s="1727"/>
      <c r="AL24" s="1727"/>
      <c r="AM24" s="1727"/>
      <c r="AN24" s="1727"/>
      <c r="AO24" s="1727"/>
      <c r="AP24" s="1727"/>
      <c r="AQ24" s="1727"/>
      <c r="AR24" s="1727"/>
      <c r="AS24" s="1727"/>
      <c r="AT24" s="1727"/>
      <c r="AU24" s="1727"/>
      <c r="AV24" s="1727"/>
      <c r="AW24" s="1727"/>
      <c r="AX24" s="1727"/>
      <c r="AY24" s="1727"/>
      <c r="AZ24" s="1727"/>
      <c r="BA24" s="1727"/>
      <c r="BB24" s="1727"/>
      <c r="BC24" s="1727"/>
      <c r="BD24" s="1727"/>
      <c r="BE24" s="1727"/>
      <c r="BF24" s="1727"/>
      <c r="BG24" s="1727"/>
      <c r="BH24" s="1727"/>
      <c r="BI24" s="1727"/>
      <c r="BJ24" s="1727"/>
      <c r="BK24" s="1727"/>
      <c r="BL24" s="1727"/>
      <c r="BM24" s="1727"/>
      <c r="BN24" s="1727"/>
      <c r="BO24" s="1727"/>
      <c r="BP24" s="1727"/>
      <c r="BQ24" s="1727"/>
      <c r="BR24" s="1727"/>
      <c r="BS24" s="1727"/>
      <c r="BT24" s="1727"/>
      <c r="BU24" s="1727"/>
      <c r="BV24" s="1727"/>
      <c r="CI24" s="0" t="s">
        <v>178</v>
      </c>
      <c r="CJ24" s="0" t="s">
        <v>204</v>
      </c>
      <c r="CK24" s="0" t="s">
        <v>205</v>
      </c>
    </row>
    <row customHeight="1" ht="10.725000000000001">
      <c r="E25" s="180">
        <v>11</v>
      </c>
      <c r="AI25" s="1727"/>
      <c r="AJ25" s="1727"/>
      <c r="AK25" s="1727"/>
      <c r="AL25" s="1727"/>
      <c r="AM25" s="1727"/>
      <c r="AN25" s="1727"/>
      <c r="AO25" s="1727"/>
      <c r="AP25" s="1727"/>
      <c r="AQ25" s="1727"/>
      <c r="AR25" s="1727"/>
      <c r="AS25" s="1727"/>
      <c r="AT25" s="1727"/>
      <c r="AU25" s="1727"/>
      <c r="AV25" s="1727"/>
      <c r="AW25" s="1727"/>
      <c r="AX25" s="1727"/>
      <c r="AY25" s="1727"/>
      <c r="AZ25" s="1727"/>
      <c r="BA25" s="1727"/>
      <c r="BB25" s="1727"/>
      <c r="BC25" s="1727"/>
      <c r="BD25" s="1727"/>
      <c r="BE25" s="1727"/>
      <c r="BF25" s="1727"/>
      <c r="BG25" s="1727"/>
      <c r="BH25" s="1727"/>
      <c r="BI25" s="1727"/>
      <c r="BJ25" s="1727"/>
      <c r="BK25" s="1727"/>
      <c r="BL25" s="1727"/>
      <c r="BM25" s="1727"/>
      <c r="BN25" s="1727"/>
      <c r="BO25" s="1727"/>
      <c r="BP25" s="1727"/>
      <c r="BQ25" s="1727"/>
      <c r="BR25" s="1727"/>
      <c r="BS25" s="1727"/>
      <c r="BT25" s="1727"/>
      <c r="BU25" s="1727"/>
      <c r="BV25" s="1727"/>
    </row>
    <row customHeight="1" ht="14.625">
      <c r="E26" s="180">
        <v>15</v>
      </c>
      <c r="AB26" s="1589" t="s">
        <v>355</v>
      </c>
      <c r="AC26" s="1596" t="s">
        <v>2390</v>
      </c>
      <c r="AD26" s="1596" t="s">
        <v>413</v>
      </c>
      <c r="AE26" s="384" t="str">
        <f>god-2&amp;" год"</f>
        <v>2025 год</v>
      </c>
      <c r="AF26" s="384" t="str">
        <f>god-2&amp;" год"</f>
        <v>2025 год</v>
      </c>
      <c r="AG26" s="892" t="str">
        <f>god-1&amp;" год"</f>
        <v>2026 год</v>
      </c>
      <c r="AH26" s="892" t="str">
        <f>god-1&amp;" год"</f>
        <v>2026 год</v>
      </c>
      <c r="AI26" s="329" t="str">
        <f>god&amp;" год"</f>
        <v>2027 год</v>
      </c>
      <c r="AJ26" s="329" t="str">
        <f>god+1&amp;" год"</f>
        <v>2028 год</v>
      </c>
      <c r="AK26" s="329" t="str">
        <f>god+2&amp;" год"</f>
        <v>2029 год</v>
      </c>
      <c r="AL26" s="329" t="str">
        <f>god+3&amp;" год"</f>
        <v>2030 год</v>
      </c>
      <c r="AM26" s="329" t="str">
        <f>god+4&amp;" год"</f>
        <v>2031 год</v>
      </c>
      <c r="AN26" s="329" t="str">
        <f>god+5&amp;" год"</f>
        <v>2032 год</v>
      </c>
      <c r="AO26" s="329" t="str">
        <f>god+6&amp;" год"</f>
        <v>2033 год</v>
      </c>
      <c r="AP26" s="329" t="str">
        <f>god+7&amp;" год"</f>
        <v>2034 год</v>
      </c>
      <c r="AQ26" s="329" t="str">
        <f>god+8&amp;" год"</f>
        <v>2035 год</v>
      </c>
      <c r="AR26" s="329" t="str">
        <f>god+9&amp;" год"</f>
        <v>2036 год</v>
      </c>
      <c r="AS26" s="329" t="str">
        <f>god+10&amp;" год"</f>
        <v>2037 год</v>
      </c>
      <c r="AT26" s="329" t="str">
        <f>god+11&amp;" год"</f>
        <v>2038 год</v>
      </c>
      <c r="AU26" s="329" t="str">
        <f>god+12&amp;" год"</f>
        <v>2039 год</v>
      </c>
      <c r="AV26" s="329" t="str">
        <f>god+13&amp;" год"</f>
        <v>2040 год</v>
      </c>
      <c r="AW26" s="329" t="str">
        <f>god+14&amp;" год"</f>
        <v>2041 год</v>
      </c>
      <c r="AX26" s="329" t="str">
        <f>god+15&amp;" год"</f>
        <v>2042 год</v>
      </c>
      <c r="AY26" s="329" t="str">
        <f>god+16&amp;" год"</f>
        <v>2043 год</v>
      </c>
      <c r="AZ26" s="329" t="str">
        <f>god+17&amp;" год"</f>
        <v>2044 год</v>
      </c>
      <c r="BA26" s="329" t="str">
        <f>god+18&amp;" год"</f>
        <v>2045 год</v>
      </c>
      <c r="BB26" s="329" t="str">
        <f>god+19&amp;" год"</f>
        <v>2046 год</v>
      </c>
      <c r="BC26" s="328" t="str">
        <f>god&amp;" год"</f>
        <v>2027 год</v>
      </c>
      <c r="BD26" s="328" t="str">
        <f>god+1&amp;" год"</f>
        <v>2028 год</v>
      </c>
      <c r="BE26" s="328" t="str">
        <f>god+2&amp;" год"</f>
        <v>2029 год</v>
      </c>
      <c r="BF26" s="328" t="str">
        <f>god+3&amp;" год"</f>
        <v>2030 год</v>
      </c>
      <c r="BG26" s="328" t="str">
        <f>god+4&amp;" год"</f>
        <v>2031 год</v>
      </c>
      <c r="BH26" s="328" t="str">
        <f>god+5&amp;" год"</f>
        <v>2032 год</v>
      </c>
      <c r="BI26" s="328" t="str">
        <f>god+6&amp;" год"</f>
        <v>2033 год</v>
      </c>
      <c r="BJ26" s="328" t="str">
        <f>god+7&amp;" год"</f>
        <v>2034 год</v>
      </c>
      <c r="BK26" s="328" t="str">
        <f>god+8&amp;" год"</f>
        <v>2035 год</v>
      </c>
      <c r="BL26" s="328" t="str">
        <f>god+9&amp;" год"</f>
        <v>2036 год</v>
      </c>
      <c r="BM26" s="328" t="str">
        <f>god+10&amp;" год"</f>
        <v>2037 год</v>
      </c>
      <c r="BN26" s="328" t="str">
        <f>god+11&amp;" год"</f>
        <v>2038 год</v>
      </c>
      <c r="BO26" s="328" t="str">
        <f>god+12&amp;" год"</f>
        <v>2039 год</v>
      </c>
      <c r="BP26" s="328" t="str">
        <f>god+13&amp;" год"</f>
        <v>2040 год</v>
      </c>
      <c r="BQ26" s="328" t="str">
        <f>god+14&amp;" год"</f>
        <v>2041 год</v>
      </c>
      <c r="BR26" s="328" t="str">
        <f>god+15&amp;" год"</f>
        <v>2042 год</v>
      </c>
      <c r="BS26" s="328" t="str">
        <f>god+16&amp;" год"</f>
        <v>2043 год</v>
      </c>
      <c r="BT26" s="328" t="str">
        <f>god+17&amp;" год"</f>
        <v>2044 год</v>
      </c>
      <c r="BU26" s="328" t="str">
        <f>god+18&amp;" год"</f>
        <v>2045 год</v>
      </c>
      <c r="BV26" s="328" t="str">
        <f>god+19&amp;" год"</f>
        <v>2046 год</v>
      </c>
      <c r="BW26" s="1596" t="s">
        <v>625</v>
      </c>
    </row>
    <row s="1721" customFormat="1" customHeight="1" ht="74.1">
      <c r="A27" s="371"/>
      <c r="E27" s="284">
        <v>76</v>
      </c>
      <c r="G27" s="308"/>
      <c r="H27" s="308"/>
      <c r="I27" s="308"/>
      <c r="J27" s="308"/>
      <c r="K27" s="308"/>
      <c r="L27" s="308"/>
      <c r="M27" s="308"/>
      <c r="N27" s="308"/>
      <c r="O27" s="308"/>
      <c r="P27" s="308"/>
      <c r="Q27" s="308"/>
      <c r="R27" s="308"/>
      <c r="S27" s="308"/>
      <c r="AA27" s="279"/>
      <c r="AB27" s="1589"/>
      <c r="AC27" s="1596"/>
      <c r="AD27" s="1596"/>
      <c r="AE27" s="384" t="s">
        <v>2391</v>
      </c>
      <c r="AF27" s="384" t="s">
        <v>415</v>
      </c>
      <c r="AG27" s="384" t="s">
        <v>2391</v>
      </c>
      <c r="AH27" s="893" t="s">
        <v>415</v>
      </c>
      <c r="AI27" s="331" t="s">
        <v>416</v>
      </c>
      <c r="AJ27" s="331" t="s">
        <v>416</v>
      </c>
      <c r="AK27" s="331" t="s">
        <v>416</v>
      </c>
      <c r="AL27" s="331" t="s">
        <v>416</v>
      </c>
      <c r="AM27" s="331" t="s">
        <v>416</v>
      </c>
      <c r="AN27" s="331" t="s">
        <v>416</v>
      </c>
      <c r="AO27" s="331" t="s">
        <v>416</v>
      </c>
      <c r="AP27" s="331" t="s">
        <v>416</v>
      </c>
      <c r="AQ27" s="331" t="s">
        <v>416</v>
      </c>
      <c r="AR27" s="331" t="s">
        <v>416</v>
      </c>
      <c r="AS27" s="331" t="s">
        <v>416</v>
      </c>
      <c r="AT27" s="331" t="s">
        <v>416</v>
      </c>
      <c r="AU27" s="331" t="s">
        <v>416</v>
      </c>
      <c r="AV27" s="331" t="s">
        <v>416</v>
      </c>
      <c r="AW27" s="331" t="s">
        <v>416</v>
      </c>
      <c r="AX27" s="331" t="s">
        <v>416</v>
      </c>
      <c r="AY27" s="331" t="s">
        <v>416</v>
      </c>
      <c r="AZ27" s="331" t="s">
        <v>416</v>
      </c>
      <c r="BA27" s="331" t="s">
        <v>416</v>
      </c>
      <c r="BB27" s="331" t="s">
        <v>416</v>
      </c>
      <c r="BC27" s="424" t="s">
        <v>415</v>
      </c>
      <c r="BD27" s="424" t="s">
        <v>415</v>
      </c>
      <c r="BE27" s="424" t="s">
        <v>415</v>
      </c>
      <c r="BF27" s="424" t="s">
        <v>415</v>
      </c>
      <c r="BG27" s="424" t="s">
        <v>415</v>
      </c>
      <c r="BH27" s="424" t="s">
        <v>415</v>
      </c>
      <c r="BI27" s="424" t="s">
        <v>415</v>
      </c>
      <c r="BJ27" s="424" t="s">
        <v>415</v>
      </c>
      <c r="BK27" s="424" t="s">
        <v>415</v>
      </c>
      <c r="BL27" s="424" t="s">
        <v>415</v>
      </c>
      <c r="BM27" s="424" t="s">
        <v>415</v>
      </c>
      <c r="BN27" s="424" t="s">
        <v>415</v>
      </c>
      <c r="BO27" s="424" t="s">
        <v>415</v>
      </c>
      <c r="BP27" s="424" t="s">
        <v>415</v>
      </c>
      <c r="BQ27" s="424" t="s">
        <v>415</v>
      </c>
      <c r="BR27" s="424" t="s">
        <v>415</v>
      </c>
      <c r="BS27" s="424" t="s">
        <v>415</v>
      </c>
      <c r="BT27" s="424" t="s">
        <v>415</v>
      </c>
      <c r="BU27" s="424" t="s">
        <v>415</v>
      </c>
      <c r="BV27" s="424" t="s">
        <v>415</v>
      </c>
      <c r="BW27" s="1596"/>
      <c r="BX27" s="279"/>
      <c r="BZ27" s="489"/>
      <c r="CC27" s="0"/>
      <c r="CD27" s="0"/>
      <c r="CE27" s="0"/>
      <c r="CF27" s="0"/>
      <c r="CG27" s="0"/>
      <c r="CH27" s="0"/>
      <c r="CI27" s="0"/>
      <c r="CJ27" s="0"/>
      <c r="CK27" s="0"/>
    </row>
    <row s="1721" customFormat="1" customHeight="1" ht="16.5" hidden="1">
      <c r="A28" s="371"/>
      <c r="E28" s="966">
        <v>0</v>
      </c>
      <c r="G28" s="308"/>
      <c r="H28" s="308"/>
      <c r="I28" s="308"/>
      <c r="J28" s="308"/>
      <c r="K28" s="308"/>
      <c r="L28" s="308"/>
      <c r="M28" s="308"/>
      <c r="N28" s="308"/>
      <c r="O28" s="308"/>
      <c r="P28" s="308"/>
      <c r="Q28" s="308"/>
      <c r="R28" s="308"/>
      <c r="S28" s="308"/>
      <c r="AA28" s="279"/>
      <c r="AB28" s="239"/>
      <c r="AC28" s="279"/>
      <c r="AD28" s="495"/>
      <c r="AE28" s="495"/>
      <c r="AF28" s="495"/>
      <c r="AG28" s="495"/>
      <c r="AH28" s="495"/>
      <c r="AI28" s="279"/>
      <c r="AJ28" s="279"/>
      <c r="AK28" s="279"/>
      <c r="AL28" s="279"/>
      <c r="AM28" s="279"/>
      <c r="AN28" s="279"/>
      <c r="AO28" s="279"/>
      <c r="AP28" s="279"/>
      <c r="AQ28" s="279"/>
      <c r="AR28" s="279"/>
      <c r="AS28" s="279"/>
      <c r="AT28" s="279"/>
      <c r="AU28" s="279"/>
      <c r="AV28" s="279"/>
      <c r="AW28" s="279"/>
      <c r="AX28" s="279"/>
      <c r="AY28" s="279"/>
      <c r="AZ28" s="279"/>
      <c r="BA28" s="279"/>
      <c r="BB28" s="279"/>
      <c r="BC28" s="279"/>
      <c r="BD28" s="279"/>
      <c r="BE28" s="279"/>
      <c r="BF28" s="279"/>
      <c r="BG28" s="279"/>
      <c r="BH28" s="279"/>
      <c r="BI28" s="279"/>
      <c r="BJ28" s="279"/>
      <c r="BK28" s="279"/>
      <c r="BL28" s="279"/>
      <c r="BM28" s="279"/>
      <c r="BN28" s="279"/>
      <c r="BO28" s="279"/>
      <c r="BP28" s="279"/>
      <c r="BQ28" s="279"/>
      <c r="BR28" s="279"/>
      <c r="BS28" s="279"/>
      <c r="BT28" s="279"/>
      <c r="BU28" s="279"/>
      <c r="BV28" s="279"/>
      <c r="BW28" s="495"/>
      <c r="BX28" s="279"/>
      <c r="BZ28" s="489"/>
      <c r="CC28" s="0"/>
      <c r="CD28" s="0"/>
      <c r="CE28" s="0"/>
      <c r="CF28" s="0"/>
      <c r="CG28" s="0"/>
      <c r="CH28" s="0"/>
      <c r="CI28" s="0"/>
      <c r="CJ28" s="0"/>
      <c r="CK28" s="0"/>
    </row>
    <row customHeight="1" ht="10.725000000000001" hidden="1">
      <c r="A29" s="371"/>
      <c r="B29" s="1011">
        <f>InvestmentSources_is_one_block="да"</f>
        <v>0</v>
      </c>
      <c r="C29" s="1548"/>
      <c r="D29" s="1548"/>
      <c r="E29" s="180">
        <v>11</v>
      </c>
      <c r="F29" s="175" cm="1" t="str">
        <f t="array" ref="F29:F29">X29</f>
        <v>0</v>
      </c>
      <c r="G29" s="1659"/>
      <c r="H29" s="1659"/>
      <c r="I29" s="1659"/>
      <c r="J29" s="1659"/>
      <c r="K29" s="1659"/>
      <c r="L29" s="1659"/>
      <c r="M29" s="1659"/>
      <c r="N29" s="1659"/>
      <c r="O29" s="1659"/>
      <c r="P29" s="1659"/>
      <c r="Q29" s="1659"/>
      <c r="R29" s="1659"/>
      <c r="S29" s="1659"/>
      <c r="T29" s="176"/>
      <c r="U29" s="1548"/>
      <c r="V29" s="1548"/>
      <c r="W29" s="1548"/>
      <c r="X29" s="1548"/>
      <c r="Y29" s="1548"/>
      <c r="Z29" s="1548"/>
      <c r="AA29" s="1727"/>
      <c r="AB29" s="688"/>
      <c r="AC29" s="334"/>
      <c r="AD29" s="335"/>
      <c r="AE29" s="335"/>
      <c r="AF29" s="335"/>
      <c r="AG29" s="335"/>
      <c r="AH29" s="335"/>
      <c r="AI29" s="335"/>
      <c r="AJ29" s="335"/>
      <c r="AK29" s="335"/>
      <c r="AL29" s="335"/>
      <c r="AM29" s="335"/>
      <c r="AN29" s="335"/>
      <c r="AO29" s="335"/>
      <c r="AP29" s="335"/>
      <c r="AQ29" s="335"/>
      <c r="AR29" s="335"/>
      <c r="AS29" s="335"/>
      <c r="AT29" s="335"/>
      <c r="AU29" s="335"/>
      <c r="AV29" s="335"/>
      <c r="AW29" s="335"/>
      <c r="AX29" s="335"/>
      <c r="AY29" s="335"/>
      <c r="AZ29" s="335"/>
      <c r="BA29" s="335"/>
      <c r="BB29" s="335"/>
      <c r="BC29" s="335"/>
      <c r="BD29" s="335"/>
      <c r="BE29" s="335"/>
      <c r="BF29" s="335"/>
      <c r="BG29" s="335"/>
      <c r="BH29" s="335"/>
      <c r="BI29" s="335"/>
      <c r="BJ29" s="335"/>
      <c r="BK29" s="335"/>
      <c r="BL29" s="335"/>
      <c r="BM29" s="335"/>
      <c r="BN29" s="335"/>
      <c r="BO29" s="335"/>
      <c r="BP29" s="335"/>
      <c r="BQ29" s="335"/>
      <c r="BR29" s="335"/>
      <c r="BS29" s="335"/>
      <c r="BT29" s="335"/>
      <c r="BU29" s="335"/>
      <c r="BV29" s="335"/>
      <c r="BW29" s="335"/>
      <c r="BX29" s="1727"/>
      <c r="BY29" s="969"/>
      <c r="BZ29" s="1125"/>
      <c r="CA29" s="1506"/>
      <c r="CB29" s="1506"/>
      <c r="CC29" s="1752"/>
      <c r="CD29" s="1752"/>
      <c r="CE29" s="1752"/>
      <c r="CF29" s="1752"/>
      <c r="CG29" s="1752"/>
      <c r="CH29" s="1752"/>
      <c r="CI29" s="1752"/>
      <c r="CJ29" s="1752"/>
      <c r="CK29" s="1752"/>
    </row>
    <row s="986" customFormat="1" customHeight="1" ht="22.425" hidden="1">
      <c r="A30" s="996"/>
      <c r="B30" s="1011">
        <f>InvestmentSources_is_one_block="да"</f>
        <v>0</v>
      </c>
      <c r="C30" s="631"/>
      <c r="D30" s="631"/>
      <c r="E30" s="180">
        <v>23</v>
      </c>
      <c r="F30" s="175" cm="1" t="str">
        <f t="array" ref="F30:F30">OFFSET(G30,-1,-1)</f>
        <v>0</v>
      </c>
      <c r="G30" s="193"/>
      <c r="H30" s="193"/>
      <c r="I30" s="972"/>
      <c r="J30" s="972"/>
      <c r="K30" s="972"/>
      <c r="L30" s="972"/>
      <c r="M30" s="972"/>
      <c r="N30" s="972"/>
      <c r="O30" s="972"/>
      <c r="P30" s="972"/>
      <c r="Q30" s="972"/>
      <c r="R30" s="972"/>
      <c r="S30" s="972"/>
      <c r="T30" s="176"/>
      <c r="U30" s="175"/>
      <c r="V30" s="175"/>
      <c r="W30" s="631"/>
      <c r="X30" s="175"/>
      <c r="Y30" s="631"/>
      <c r="Z30" s="175"/>
      <c r="AA30" s="671"/>
      <c r="AB30" s="838"/>
      <c r="AC30" s="839" t="s">
        <v>2392</v>
      </c>
      <c r="AD30" s="840" t="s">
        <v>917</v>
      </c>
      <c r="AE30" s="692">
        <f>AE31+AE40+AE44+AE48+AE39</f>
        <v>0</v>
      </c>
      <c r="AF30" s="692">
        <f>AF31+AF40+AF44+AF48+AF39</f>
        <v>0</v>
      </c>
      <c r="AG30" s="692">
        <f>AG31+AG40+AG44+AG48+AG39</f>
        <v>0</v>
      </c>
      <c r="AH30" s="692">
        <f>AH31+AH40+AH44+AH48+AH39</f>
        <v>0</v>
      </c>
      <c r="AI30" s="692">
        <f>AI31+AI40+AI44+AI48+AI39</f>
        <v>0</v>
      </c>
      <c r="AJ30" s="692">
        <f>AJ31+AJ40+AJ44+AJ48+AJ39</f>
        <v>0</v>
      </c>
      <c r="AK30" s="692">
        <f>AK31+AK40+AK44+AK48+AK39</f>
        <v>0</v>
      </c>
      <c r="AL30" s="692">
        <f>AL31+AL40+AL44+AL48+AL39</f>
        <v>0</v>
      </c>
      <c r="AM30" s="692">
        <f>AM31+AM40+AM44+AM48+AM39</f>
        <v>0</v>
      </c>
      <c r="AN30" s="692">
        <f>AN31+AN40+AN44+AN48+AN39</f>
        <v>0</v>
      </c>
      <c r="AO30" s="692">
        <f>AO31+AO40+AO44+AO48+AO39</f>
        <v>0</v>
      </c>
      <c r="AP30" s="692">
        <f>AP31+AP40+AP44+AP48+AP39</f>
        <v>0</v>
      </c>
      <c r="AQ30" s="692">
        <f>AQ31+AQ40+AQ44+AQ48+AQ39</f>
        <v>0</v>
      </c>
      <c r="AR30" s="692">
        <f>AR31+AR40+AR44+AR48+AR39</f>
        <v>0</v>
      </c>
      <c r="AS30" s="692">
        <f>AS31+AS40+AS44+AS48+AS39</f>
        <v>0</v>
      </c>
      <c r="AT30" s="692">
        <f>AT31+AT40+AT44+AT48+AT39</f>
        <v>0</v>
      </c>
      <c r="AU30" s="692">
        <f>AU31+AU40+AU44+AU48+AU39</f>
        <v>0</v>
      </c>
      <c r="AV30" s="692">
        <f>AV31+AV40+AV44+AV48+AV39</f>
        <v>0</v>
      </c>
      <c r="AW30" s="692">
        <f>AW31+AW40+AW44+AW48+AW39</f>
        <v>0</v>
      </c>
      <c r="AX30" s="692">
        <f>AX31+AX40+AX44+AX48+AX39</f>
        <v>0</v>
      </c>
      <c r="AY30" s="692">
        <f>AY31+AY40+AY44+AY48+AY39</f>
        <v>0</v>
      </c>
      <c r="AZ30" s="692">
        <f>AZ31+AZ40+AZ44+AZ48+AZ39</f>
        <v>0</v>
      </c>
      <c r="BA30" s="692">
        <f>BA31+BA40+BA44+BA48+BA39</f>
        <v>0</v>
      </c>
      <c r="BB30" s="692">
        <f>BB31+BB40+BB44+BB48+BB39</f>
        <v>0</v>
      </c>
      <c r="BC30" s="692">
        <f>BC31+BC40+BC44+BC48+BC39</f>
        <v>0</v>
      </c>
      <c r="BD30" s="692">
        <f>BD31+BD40+BD44+BD48+BD39</f>
        <v>0</v>
      </c>
      <c r="BE30" s="692">
        <f>BE31+BE40+BE44+BE48+BE39</f>
        <v>0</v>
      </c>
      <c r="BF30" s="692">
        <f>BF31+BF40+BF44+BF48+BF39</f>
        <v>0</v>
      </c>
      <c r="BG30" s="692">
        <f>BG31+BG40+BG44+BG48+BG39</f>
        <v>0</v>
      </c>
      <c r="BH30" s="692">
        <f>BH31+BH40+BH44+BH48+BH39</f>
        <v>0</v>
      </c>
      <c r="BI30" s="692">
        <f>BI31+BI40+BI44+BI48+BI39</f>
        <v>0</v>
      </c>
      <c r="BJ30" s="692">
        <f>BJ31+BJ40+BJ44+BJ48+BJ39</f>
        <v>0</v>
      </c>
      <c r="BK30" s="692">
        <f>BK31+BK40+BK44+BK48+BK39</f>
        <v>0</v>
      </c>
      <c r="BL30" s="692">
        <f>BL31+BL40+BL44+BL48+BL39</f>
        <v>0</v>
      </c>
      <c r="BM30" s="692">
        <f>BM31+BM40+BM44+BM48+BM39</f>
        <v>0</v>
      </c>
      <c r="BN30" s="692">
        <f>BN31+BN40+BN44+BN48+BN39</f>
        <v>0</v>
      </c>
      <c r="BO30" s="692">
        <f>BO31+BO40+BO44+BO48+BO39</f>
        <v>0</v>
      </c>
      <c r="BP30" s="692">
        <f>BP31+BP40+BP44+BP48+BP39</f>
        <v>0</v>
      </c>
      <c r="BQ30" s="692">
        <f>BQ31+BQ40+BQ44+BQ48+BQ39</f>
        <v>0</v>
      </c>
      <c r="BR30" s="692">
        <f>BR31+BR40+BR44+BR48+BR39</f>
        <v>0</v>
      </c>
      <c r="BS30" s="692">
        <f>BS31+BS40+BS44+BS48+BS39</f>
        <v>0</v>
      </c>
      <c r="BT30" s="692">
        <f>BT31+BT40+BT44+BT48+BT39</f>
        <v>0</v>
      </c>
      <c r="BU30" s="692">
        <f>BU31+BU40+BU44+BU48+BU39</f>
        <v>0</v>
      </c>
      <c r="BV30" s="692">
        <f>BV31+BV40+BV44+BV48+BV39</f>
        <v>0</v>
      </c>
      <c r="BW30" s="2402"/>
      <c r="BX30" s="671"/>
      <c r="BY30" s="986"/>
      <c r="BZ30" s="489" t="s">
        <v>630</v>
      </c>
      <c r="CA30" s="986"/>
      <c r="CB30" s="986"/>
      <c r="CC30" s="0" cm="1" t="str">
        <f t="array" ref="CC30:CC30">INDEX('Общие сведения'!$N$170:$N$202,MATCH($F30,'Общие сведения'!$Y$170:$Y$202,0)+1)</f>
        <v>0</v>
      </c>
      <c r="CD30" s="0" t="s">
        <v>2393</v>
      </c>
      <c r="CE30" s="0"/>
      <c r="CF30" s="0"/>
      <c r="CG30" s="0"/>
      <c r="CH30" s="0"/>
      <c r="CI30" s="0" t="s">
        <v>303</v>
      </c>
      <c r="CJ30" s="0" t="s">
        <v>2394</v>
      </c>
      <c r="CK30" s="0" t="s">
        <v>2395</v>
      </c>
    </row>
    <row customHeight="1" ht="16.575" hidden="1">
      <c r="A31" s="371"/>
      <c r="B31" s="1011">
        <f>InvestmentSources_is_one_block="да"</f>
        <v>0</v>
      </c>
      <c r="C31" s="1548"/>
      <c r="D31" s="1548"/>
      <c r="E31" s="180">
        <v>17</v>
      </c>
      <c r="F31" s="175" cm="1" t="str">
        <f t="array" ref="F31:F31">OFFSET(G31,-1,-1)</f>
        <v>0</v>
      </c>
      <c r="G31" s="1659"/>
      <c r="H31" s="1659"/>
      <c r="I31" s="1659"/>
      <c r="J31" s="1659"/>
      <c r="K31" s="1659"/>
      <c r="L31" s="1659"/>
      <c r="M31" s="1659"/>
      <c r="N31" s="1659"/>
      <c r="O31" s="1659"/>
      <c r="P31" s="1659"/>
      <c r="Q31" s="1659"/>
      <c r="R31" s="1659"/>
      <c r="S31" s="1659"/>
      <c r="T31" s="176"/>
      <c r="U31" s="1548"/>
      <c r="V31" s="1548"/>
      <c r="W31" s="1548"/>
      <c r="X31" s="1548"/>
      <c r="Y31" s="1548"/>
      <c r="Z31" s="1548"/>
      <c r="AA31" s="1727"/>
      <c r="AB31" s="384">
        <v>1</v>
      </c>
      <c r="AC31" s="842" t="s">
        <v>2396</v>
      </c>
      <c r="AD31" s="666" t="s">
        <v>917</v>
      </c>
      <c r="AE31" s="695">
        <f>AE32+AE33+AE34+AE37+AE38</f>
        <v>0</v>
      </c>
      <c r="AF31" s="695">
        <f>AF32+AF33+AF34+AF37+AF38</f>
        <v>0</v>
      </c>
      <c r="AG31" s="695">
        <f>AG32+AG33+AG34+AG37+AG38</f>
        <v>0</v>
      </c>
      <c r="AH31" s="695">
        <f>AH32+AH33+AH34+AH37+AH38</f>
        <v>0</v>
      </c>
      <c r="AI31" s="695">
        <f>AI32+AI33+AI34+AI37+AI38</f>
        <v>0</v>
      </c>
      <c r="AJ31" s="695">
        <f>AJ32+AJ33+AJ34+AJ37+AJ38</f>
        <v>0</v>
      </c>
      <c r="AK31" s="695">
        <f>AK32+AK33+AK34+AK37+AK38</f>
        <v>0</v>
      </c>
      <c r="AL31" s="695">
        <f>AL32+AL33+AL34+AL37+AL38</f>
        <v>0</v>
      </c>
      <c r="AM31" s="695">
        <f>AM32+AM33+AM34+AM37+AM38</f>
        <v>0</v>
      </c>
      <c r="AN31" s="695">
        <f>AN32+AN33+AN34+AN37+AN38</f>
        <v>0</v>
      </c>
      <c r="AO31" s="695">
        <f>AO32+AO33+AO34+AO37+AO38</f>
        <v>0</v>
      </c>
      <c r="AP31" s="695">
        <f>AP32+AP33+AP34+AP37+AP38</f>
        <v>0</v>
      </c>
      <c r="AQ31" s="695">
        <f>AQ32+AQ33+AQ34+AQ37+AQ38</f>
        <v>0</v>
      </c>
      <c r="AR31" s="695">
        <f>AR32+AR33+AR34+AR37+AR38</f>
        <v>0</v>
      </c>
      <c r="AS31" s="695">
        <f>AS32+AS33+AS34+AS37+AS38</f>
        <v>0</v>
      </c>
      <c r="AT31" s="695">
        <f>AT32+AT33+AT34+AT37+AT38</f>
        <v>0</v>
      </c>
      <c r="AU31" s="695">
        <f>AU32+AU33+AU34+AU37+AU38</f>
        <v>0</v>
      </c>
      <c r="AV31" s="695">
        <f>AV32+AV33+AV34+AV37+AV38</f>
        <v>0</v>
      </c>
      <c r="AW31" s="695">
        <f>AW32+AW33+AW34+AW37+AW38</f>
        <v>0</v>
      </c>
      <c r="AX31" s="695">
        <f>AX32+AX33+AX34+AX37+AX38</f>
        <v>0</v>
      </c>
      <c r="AY31" s="695">
        <f>AY32+AY33+AY34+AY37+AY38</f>
        <v>0</v>
      </c>
      <c r="AZ31" s="695">
        <f>AZ32+AZ33+AZ34+AZ37+AZ38</f>
        <v>0</v>
      </c>
      <c r="BA31" s="695">
        <f>BA32+BA33+BA34+BA37+BA38</f>
        <v>0</v>
      </c>
      <c r="BB31" s="695">
        <f>BB32+BB33+BB34+BB37+BB38</f>
        <v>0</v>
      </c>
      <c r="BC31" s="695">
        <f>BC32+BC33+BC34+BC37+BC38</f>
        <v>0</v>
      </c>
      <c r="BD31" s="695">
        <f>BD32+BD33+BD34+BD37+BD38</f>
        <v>0</v>
      </c>
      <c r="BE31" s="695">
        <f>BE32+BE33+BE34+BE37+BE38</f>
        <v>0</v>
      </c>
      <c r="BF31" s="695">
        <f>BF32+BF33+BF34+BF37+BF38</f>
        <v>0</v>
      </c>
      <c r="BG31" s="695">
        <f>BG32+BG33+BG34+BG37+BG38</f>
        <v>0</v>
      </c>
      <c r="BH31" s="695">
        <f>BH32+BH33+BH34+BH37+BH38</f>
        <v>0</v>
      </c>
      <c r="BI31" s="695">
        <f>BI32+BI33+BI34+BI37+BI38</f>
        <v>0</v>
      </c>
      <c r="BJ31" s="695">
        <f>BJ32+BJ33+BJ34+BJ37+BJ38</f>
        <v>0</v>
      </c>
      <c r="BK31" s="695">
        <f>BK32+BK33+BK34+BK37+BK38</f>
        <v>0</v>
      </c>
      <c r="BL31" s="695">
        <f>BL32+BL33+BL34+BL37+BL38</f>
        <v>0</v>
      </c>
      <c r="BM31" s="695">
        <f>BM32+BM33+BM34+BM37+BM38</f>
        <v>0</v>
      </c>
      <c r="BN31" s="695">
        <f>BN32+BN33+BN34+BN37+BN38</f>
        <v>0</v>
      </c>
      <c r="BO31" s="695">
        <f>BO32+BO33+BO34+BO37+BO38</f>
        <v>0</v>
      </c>
      <c r="BP31" s="695">
        <f>BP32+BP33+BP34+BP37+BP38</f>
        <v>0</v>
      </c>
      <c r="BQ31" s="695">
        <f>BQ32+BQ33+BQ34+BQ37+BQ38</f>
        <v>0</v>
      </c>
      <c r="BR31" s="695">
        <f>BR32+BR33+BR34+BR37+BR38</f>
        <v>0</v>
      </c>
      <c r="BS31" s="695">
        <f>BS32+BS33+BS34+BS37+BS38</f>
        <v>0</v>
      </c>
      <c r="BT31" s="695">
        <f>BT32+BT33+BT34+BT37+BT38</f>
        <v>0</v>
      </c>
      <c r="BU31" s="695">
        <f>BU32+BU33+BU34+BU37+BU38</f>
        <v>0</v>
      </c>
      <c r="BV31" s="695">
        <f>BV32+BV33+BV34+BV37+BV38</f>
        <v>0</v>
      </c>
      <c r="BW31" s="2402"/>
      <c r="BX31" s="1727"/>
      <c r="BY31" s="969"/>
      <c r="BZ31" s="489" t="s">
        <v>652</v>
      </c>
      <c r="CA31" s="1506"/>
      <c r="CB31" s="1506"/>
      <c r="CC31" s="0" cm="1" t="str">
        <f t="array" ref="CC31:CC31">CC30</f>
        <v>0</v>
      </c>
      <c r="CD31" s="0" t="s">
        <v>1911</v>
      </c>
      <c r="CE31" s="1752"/>
      <c r="CF31" s="1752"/>
      <c r="CG31" s="1752"/>
      <c r="CH31" s="1752"/>
      <c r="CI31" s="0" t="s">
        <v>303</v>
      </c>
      <c r="CJ31" s="0" t="s">
        <v>2394</v>
      </c>
      <c r="CK31" s="0" t="s">
        <v>2395</v>
      </c>
    </row>
    <row customHeight="1" ht="22.425" hidden="1">
      <c r="A32" s="371"/>
      <c r="B32" s="1011">
        <f>InvestmentSources_is_one_block="да"</f>
        <v>0</v>
      </c>
      <c r="C32" s="1548"/>
      <c r="D32" s="1548"/>
      <c r="E32" s="180">
        <v>23</v>
      </c>
      <c r="F32" s="175" cm="1" t="str">
        <f t="array" ref="F32:F32">OFFSET(G32,-1,-1)</f>
        <v>0</v>
      </c>
      <c r="G32" s="1659"/>
      <c r="H32" s="1659"/>
      <c r="I32" s="1659"/>
      <c r="J32" s="1659"/>
      <c r="K32" s="1659"/>
      <c r="L32" s="1659"/>
      <c r="M32" s="1659"/>
      <c r="N32" s="1659"/>
      <c r="O32" s="1659"/>
      <c r="P32" s="1659"/>
      <c r="Q32" s="1659"/>
      <c r="R32" s="1659"/>
      <c r="S32" s="1659"/>
      <c r="T32" s="176"/>
      <c r="U32" s="1548"/>
      <c r="V32" s="1548"/>
      <c r="W32" s="1548"/>
      <c r="X32" s="1548"/>
      <c r="Y32" s="1548"/>
      <c r="Z32" s="1548"/>
      <c r="AA32" s="1727"/>
      <c r="AB32" s="794">
        <v>1.1</v>
      </c>
      <c r="AC32" s="842" t="s">
        <v>2397</v>
      </c>
      <c r="AD32" s="666" t="s">
        <v>917</v>
      </c>
      <c r="AE32" s="2407"/>
      <c r="AF32" s="2407"/>
      <c r="AG32" s="2407"/>
      <c r="AH32" s="2407"/>
      <c r="AI32" s="561"/>
      <c r="AJ32" s="2407"/>
      <c r="AK32" s="2407"/>
      <c r="AL32" s="2407"/>
      <c r="AM32" s="2407"/>
      <c r="AN32" s="2407"/>
      <c r="AO32" s="2407"/>
      <c r="AP32" s="2407"/>
      <c r="AQ32" s="2407"/>
      <c r="AR32" s="2407"/>
      <c r="AS32" s="2407"/>
      <c r="AT32" s="2407"/>
      <c r="AU32" s="2407"/>
      <c r="AV32" s="2407"/>
      <c r="AW32" s="2407"/>
      <c r="AX32" s="2407"/>
      <c r="AY32" s="2407"/>
      <c r="AZ32" s="2407"/>
      <c r="BA32" s="2407"/>
      <c r="BB32" s="2407"/>
      <c r="BC32" s="561"/>
      <c r="BD32" s="2407"/>
      <c r="BE32" s="2407"/>
      <c r="BF32" s="2407"/>
      <c r="BG32" s="2407"/>
      <c r="BH32" s="2407"/>
      <c r="BI32" s="2407"/>
      <c r="BJ32" s="2407"/>
      <c r="BK32" s="2407"/>
      <c r="BL32" s="2407"/>
      <c r="BM32" s="2407"/>
      <c r="BN32" s="2407"/>
      <c r="BO32" s="2407"/>
      <c r="BP32" s="2407"/>
      <c r="BQ32" s="2407"/>
      <c r="BR32" s="2407"/>
      <c r="BS32" s="2407"/>
      <c r="BT32" s="2407"/>
      <c r="BU32" s="2407"/>
      <c r="BV32" s="2407"/>
      <c r="BW32" s="2402"/>
      <c r="BX32" s="1727"/>
      <c r="BY32" s="969"/>
      <c r="BZ32" s="489" t="s">
        <v>1661</v>
      </c>
      <c r="CA32" s="1506"/>
      <c r="CB32" s="1506"/>
      <c r="CC32" s="0" cm="1" t="str">
        <f t="array" ref="CC32:CC32">CC31</f>
        <v>0</v>
      </c>
      <c r="CD32" s="0" t="s">
        <v>1915</v>
      </c>
      <c r="CE32" s="1752"/>
      <c r="CF32" s="1752"/>
      <c r="CG32" s="1752"/>
      <c r="CH32" s="1752"/>
      <c r="CI32" s="0" t="s">
        <v>303</v>
      </c>
      <c r="CJ32" s="0" t="s">
        <v>2394</v>
      </c>
      <c r="CK32" s="0" t="s">
        <v>2395</v>
      </c>
    </row>
    <row customHeight="1" ht="33.15" hidden="1">
      <c r="A33" s="371"/>
      <c r="B33" s="1011">
        <f>InvestmentSources_is_one_block="да"</f>
        <v>0</v>
      </c>
      <c r="C33" s="1548"/>
      <c r="D33" s="1548"/>
      <c r="E33" s="180">
        <v>34</v>
      </c>
      <c r="F33" s="175" cm="1" t="str">
        <f t="array" ref="F33:F33">OFFSET(G33,-1,-1)</f>
        <v>0</v>
      </c>
      <c r="G33" s="1659"/>
      <c r="H33" s="1659"/>
      <c r="I33" s="1659"/>
      <c r="J33" s="1659"/>
      <c r="K33" s="1659"/>
      <c r="L33" s="1659"/>
      <c r="M33" s="1659"/>
      <c r="N33" s="1659"/>
      <c r="O33" s="1659"/>
      <c r="P33" s="1659"/>
      <c r="Q33" s="1659"/>
      <c r="R33" s="1659"/>
      <c r="S33" s="1659"/>
      <c r="T33" s="176"/>
      <c r="U33" s="1548"/>
      <c r="V33" s="1548"/>
      <c r="W33" s="1548"/>
      <c r="X33" s="1548"/>
      <c r="Y33" s="1548"/>
      <c r="Z33" s="1548"/>
      <c r="AA33" s="1727"/>
      <c r="AB33" s="794">
        <v>1.2</v>
      </c>
      <c r="AC33" s="842" t="s">
        <v>2398</v>
      </c>
      <c r="AD33" s="666" t="s">
        <v>917</v>
      </c>
      <c r="AE33" s="2407"/>
      <c r="AF33" s="2407"/>
      <c r="AG33" s="2407"/>
      <c r="AH33" s="2407"/>
      <c r="AI33" s="561"/>
      <c r="AJ33" s="2407"/>
      <c r="AK33" s="2407"/>
      <c r="AL33" s="2407"/>
      <c r="AM33" s="2407"/>
      <c r="AN33" s="2407"/>
      <c r="AO33" s="2407"/>
      <c r="AP33" s="2407"/>
      <c r="AQ33" s="2407"/>
      <c r="AR33" s="2407"/>
      <c r="AS33" s="2407"/>
      <c r="AT33" s="2407"/>
      <c r="AU33" s="2407"/>
      <c r="AV33" s="2407"/>
      <c r="AW33" s="2407"/>
      <c r="AX33" s="2407"/>
      <c r="AY33" s="2407"/>
      <c r="AZ33" s="2407"/>
      <c r="BA33" s="2407"/>
      <c r="BB33" s="2407"/>
      <c r="BC33" s="561"/>
      <c r="BD33" s="2407"/>
      <c r="BE33" s="2407"/>
      <c r="BF33" s="2407"/>
      <c r="BG33" s="2407"/>
      <c r="BH33" s="2407"/>
      <c r="BI33" s="2407"/>
      <c r="BJ33" s="2407"/>
      <c r="BK33" s="2407"/>
      <c r="BL33" s="2407"/>
      <c r="BM33" s="2407"/>
      <c r="BN33" s="2407"/>
      <c r="BO33" s="2407"/>
      <c r="BP33" s="2407"/>
      <c r="BQ33" s="2407"/>
      <c r="BR33" s="2407"/>
      <c r="BS33" s="2407"/>
      <c r="BT33" s="2407"/>
      <c r="BU33" s="2407"/>
      <c r="BV33" s="2407"/>
      <c r="BW33" s="2402"/>
      <c r="BX33" s="1727"/>
      <c r="BY33" s="969"/>
      <c r="BZ33" s="489" t="s">
        <v>2399</v>
      </c>
      <c r="CA33" s="1506"/>
      <c r="CB33" s="1506"/>
      <c r="CC33" s="0" cm="1" t="str">
        <f t="array" ref="CC33:CC33">CC32</f>
        <v>0</v>
      </c>
      <c r="CD33" s="1752"/>
      <c r="CE33" s="1752"/>
      <c r="CF33" s="0" t="s">
        <v>2400</v>
      </c>
      <c r="CG33" s="1752"/>
      <c r="CH33" s="1752"/>
      <c r="CI33" s="0" t="s">
        <v>303</v>
      </c>
      <c r="CJ33" s="0" t="s">
        <v>2394</v>
      </c>
      <c r="CK33" s="0" t="s">
        <v>2395</v>
      </c>
    </row>
    <row customHeight="1" ht="16.575" hidden="1">
      <c r="A34" s="371"/>
      <c r="B34" s="1011">
        <f>InvestmentSources_is_one_block="да"</f>
        <v>0</v>
      </c>
      <c r="C34" s="1548"/>
      <c r="D34" s="1548"/>
      <c r="E34" s="180">
        <v>17</v>
      </c>
      <c r="F34" s="175" cm="1" t="str">
        <f t="array" ref="F34:F34">OFFSET(G34,-1,-1)</f>
        <v>0</v>
      </c>
      <c r="G34" s="1659"/>
      <c r="H34" s="1659"/>
      <c r="I34" s="1659"/>
      <c r="J34" s="1659"/>
      <c r="K34" s="1659"/>
      <c r="L34" s="1659"/>
      <c r="M34" s="1659"/>
      <c r="N34" s="1659"/>
      <c r="O34" s="1659"/>
      <c r="P34" s="1659"/>
      <c r="Q34" s="1659"/>
      <c r="R34" s="1659"/>
      <c r="S34" s="1659"/>
      <c r="T34" s="176"/>
      <c r="U34" s="1548"/>
      <c r="V34" s="1548"/>
      <c r="W34" s="1548"/>
      <c r="X34" s="1548"/>
      <c r="Y34" s="1548"/>
      <c r="Z34" s="1548"/>
      <c r="AA34" s="1727"/>
      <c r="AB34" s="794">
        <v>1.3</v>
      </c>
      <c r="AC34" s="842" t="s">
        <v>2401</v>
      </c>
      <c r="AD34" s="666" t="s">
        <v>917</v>
      </c>
      <c r="AE34" s="2407"/>
      <c r="AF34" s="2407"/>
      <c r="AG34" s="2407"/>
      <c r="AH34" s="2407"/>
      <c r="AI34" s="561"/>
      <c r="AJ34" s="2407"/>
      <c r="AK34" s="2407"/>
      <c r="AL34" s="2407"/>
      <c r="AM34" s="2407"/>
      <c r="AN34" s="2407"/>
      <c r="AO34" s="2407"/>
      <c r="AP34" s="2407"/>
      <c r="AQ34" s="2407"/>
      <c r="AR34" s="2407"/>
      <c r="AS34" s="2407"/>
      <c r="AT34" s="2407"/>
      <c r="AU34" s="2407"/>
      <c r="AV34" s="2407"/>
      <c r="AW34" s="2407"/>
      <c r="AX34" s="2407"/>
      <c r="AY34" s="2407"/>
      <c r="AZ34" s="2407"/>
      <c r="BA34" s="2407"/>
      <c r="BB34" s="2407"/>
      <c r="BC34" s="561"/>
      <c r="BD34" s="2407"/>
      <c r="BE34" s="2407"/>
      <c r="BF34" s="2407"/>
      <c r="BG34" s="2407"/>
      <c r="BH34" s="2407"/>
      <c r="BI34" s="2407"/>
      <c r="BJ34" s="2407"/>
      <c r="BK34" s="2407"/>
      <c r="BL34" s="2407"/>
      <c r="BM34" s="2407"/>
      <c r="BN34" s="2407"/>
      <c r="BO34" s="2407"/>
      <c r="BP34" s="2407"/>
      <c r="BQ34" s="2407"/>
      <c r="BR34" s="2407"/>
      <c r="BS34" s="2407"/>
      <c r="BT34" s="2407"/>
      <c r="BU34" s="2407"/>
      <c r="BV34" s="2407"/>
      <c r="BW34" s="2402"/>
      <c r="BX34" s="1727"/>
      <c r="BY34" s="969"/>
      <c r="BZ34" s="489" t="s">
        <v>1676</v>
      </c>
      <c r="CA34" s="1506"/>
      <c r="CB34" s="1506"/>
      <c r="CC34" s="0" cm="1" t="str">
        <f t="array" ref="CC34:CC34">CC33</f>
        <v>0</v>
      </c>
      <c r="CD34" s="1752"/>
      <c r="CE34" s="0" t="s">
        <v>1523</v>
      </c>
      <c r="CF34" s="1752"/>
      <c r="CG34" s="1752"/>
      <c r="CH34" s="1752"/>
      <c r="CI34" s="0" t="s">
        <v>303</v>
      </c>
      <c r="CJ34" s="0" t="s">
        <v>2394</v>
      </c>
      <c r="CK34" s="0" t="s">
        <v>2395</v>
      </c>
    </row>
    <row customHeight="1" ht="22.425" hidden="1">
      <c r="A35" s="371"/>
      <c r="B35" s="1011">
        <f>InvestmentSources_is_one_block="да"</f>
        <v>0</v>
      </c>
      <c r="C35" s="1548"/>
      <c r="D35" s="1548"/>
      <c r="E35" s="180">
        <v>23</v>
      </c>
      <c r="F35" s="175" cm="1" t="str">
        <f t="array" ref="F35:F35">OFFSET(G35,-1,-1)</f>
        <v>0</v>
      </c>
      <c r="G35" s="1659"/>
      <c r="H35" s="1659"/>
      <c r="I35" s="1659"/>
      <c r="J35" s="1659"/>
      <c r="K35" s="1659"/>
      <c r="L35" s="1659"/>
      <c r="M35" s="1659"/>
      <c r="N35" s="1659"/>
      <c r="O35" s="1659"/>
      <c r="P35" s="1659"/>
      <c r="Q35" s="1659"/>
      <c r="R35" s="1659"/>
      <c r="S35" s="1659"/>
      <c r="T35" s="176"/>
      <c r="U35" s="1548"/>
      <c r="V35" s="1548"/>
      <c r="W35" s="1548"/>
      <c r="X35" s="1548"/>
      <c r="Y35" s="1548"/>
      <c r="Z35" s="1548"/>
      <c r="AA35" s="1727"/>
      <c r="AB35" s="794" t="s">
        <v>1360</v>
      </c>
      <c r="AC35" s="842" t="s">
        <v>2402</v>
      </c>
      <c r="AD35" s="666" t="s">
        <v>917</v>
      </c>
      <c r="AE35" s="2407"/>
      <c r="AF35" s="2407"/>
      <c r="AG35" s="2407"/>
      <c r="AH35" s="2407"/>
      <c r="AI35" s="561"/>
      <c r="AJ35" s="2407"/>
      <c r="AK35" s="2407"/>
      <c r="AL35" s="2407"/>
      <c r="AM35" s="2407"/>
      <c r="AN35" s="2407"/>
      <c r="AO35" s="2407"/>
      <c r="AP35" s="2407"/>
      <c r="AQ35" s="2407"/>
      <c r="AR35" s="2407"/>
      <c r="AS35" s="2407"/>
      <c r="AT35" s="2407"/>
      <c r="AU35" s="2407"/>
      <c r="AV35" s="2407"/>
      <c r="AW35" s="2407"/>
      <c r="AX35" s="2407"/>
      <c r="AY35" s="2407"/>
      <c r="AZ35" s="2407"/>
      <c r="BA35" s="2407"/>
      <c r="BB35" s="2407"/>
      <c r="BC35" s="561"/>
      <c r="BD35" s="2407"/>
      <c r="BE35" s="2407"/>
      <c r="BF35" s="2407"/>
      <c r="BG35" s="2407"/>
      <c r="BH35" s="2407"/>
      <c r="BI35" s="2407"/>
      <c r="BJ35" s="2407"/>
      <c r="BK35" s="2407"/>
      <c r="BL35" s="2407"/>
      <c r="BM35" s="2407"/>
      <c r="BN35" s="2407"/>
      <c r="BO35" s="2407"/>
      <c r="BP35" s="2407"/>
      <c r="BQ35" s="2407"/>
      <c r="BR35" s="2407"/>
      <c r="BS35" s="2407"/>
      <c r="BT35" s="2407"/>
      <c r="BU35" s="2407"/>
      <c r="BV35" s="2407"/>
      <c r="BW35" s="2402"/>
      <c r="BX35" s="1727"/>
      <c r="BY35" s="969"/>
      <c r="BZ35" s="489" t="s">
        <v>2403</v>
      </c>
      <c r="CA35" s="1506"/>
      <c r="CB35" s="1506"/>
      <c r="CC35" s="0" cm="1" t="str">
        <f t="array" ref="CC35:CC35">CC34</f>
        <v>0</v>
      </c>
      <c r="CD35" s="0" t="s">
        <v>2404</v>
      </c>
      <c r="CE35" s="1752"/>
      <c r="CF35" s="1752"/>
      <c r="CG35" s="1752"/>
      <c r="CH35" s="1752"/>
      <c r="CI35" s="0" t="s">
        <v>303</v>
      </c>
      <c r="CJ35" s="0" t="s">
        <v>2394</v>
      </c>
      <c r="CK35" s="0" t="s">
        <v>2395</v>
      </c>
    </row>
    <row customHeight="1" ht="55.57500000000001" hidden="1">
      <c r="A36" s="371"/>
      <c r="B36" s="1011">
        <f>InvestmentSources_is_one_block="да"</f>
        <v>0</v>
      </c>
      <c r="C36" s="1548"/>
      <c r="D36" s="1548"/>
      <c r="E36" s="180">
        <v>57</v>
      </c>
      <c r="F36" s="175" cm="1" t="str">
        <f t="array" ref="F36:F36">OFFSET(G36,-1,-1)</f>
        <v>0</v>
      </c>
      <c r="G36" s="1659"/>
      <c r="H36" s="1659"/>
      <c r="I36" s="1659"/>
      <c r="J36" s="1659"/>
      <c r="K36" s="1659"/>
      <c r="L36" s="1659"/>
      <c r="M36" s="1659"/>
      <c r="N36" s="1659"/>
      <c r="O36" s="1659"/>
      <c r="P36" s="1659"/>
      <c r="Q36" s="1659"/>
      <c r="R36" s="1659"/>
      <c r="S36" s="1659"/>
      <c r="T36" s="176"/>
      <c r="U36" s="1548"/>
      <c r="V36" s="1548"/>
      <c r="W36" s="1548"/>
      <c r="X36" s="1548"/>
      <c r="Y36" s="1548"/>
      <c r="Z36" s="1548"/>
      <c r="AA36" s="1727"/>
      <c r="AB36" s="794" t="s">
        <v>1366</v>
      </c>
      <c r="AC36" s="842" t="s">
        <v>2405</v>
      </c>
      <c r="AD36" s="666" t="s">
        <v>917</v>
      </c>
      <c r="AE36" s="2407"/>
      <c r="AF36" s="2407"/>
      <c r="AG36" s="2407"/>
      <c r="AH36" s="2407"/>
      <c r="AI36" s="561"/>
      <c r="AJ36" s="2407"/>
      <c r="AK36" s="2407"/>
      <c r="AL36" s="2407"/>
      <c r="AM36" s="2407"/>
      <c r="AN36" s="2407"/>
      <c r="AO36" s="2407"/>
      <c r="AP36" s="2407"/>
      <c r="AQ36" s="2407"/>
      <c r="AR36" s="2407"/>
      <c r="AS36" s="2407"/>
      <c r="AT36" s="2407"/>
      <c r="AU36" s="2407"/>
      <c r="AV36" s="2407"/>
      <c r="AW36" s="2407"/>
      <c r="AX36" s="2407"/>
      <c r="AY36" s="2407"/>
      <c r="AZ36" s="2407"/>
      <c r="BA36" s="2407"/>
      <c r="BB36" s="2407"/>
      <c r="BC36" s="561"/>
      <c r="BD36" s="2407"/>
      <c r="BE36" s="2407"/>
      <c r="BF36" s="2407"/>
      <c r="BG36" s="2407"/>
      <c r="BH36" s="2407"/>
      <c r="BI36" s="2407"/>
      <c r="BJ36" s="2407"/>
      <c r="BK36" s="2407"/>
      <c r="BL36" s="2407"/>
      <c r="BM36" s="2407"/>
      <c r="BN36" s="2407"/>
      <c r="BO36" s="2407"/>
      <c r="BP36" s="2407"/>
      <c r="BQ36" s="2407"/>
      <c r="BR36" s="2407"/>
      <c r="BS36" s="2407"/>
      <c r="BT36" s="2407"/>
      <c r="BU36" s="2407"/>
      <c r="BV36" s="2407"/>
      <c r="BW36" s="2402"/>
      <c r="BX36" s="1727"/>
      <c r="BY36" s="969"/>
      <c r="BZ36" s="489" t="s">
        <v>2406</v>
      </c>
      <c r="CA36" s="1506"/>
      <c r="CB36" s="1506"/>
      <c r="CC36" s="0" cm="1" t="str">
        <f t="array" ref="CC36:CC36">CC35</f>
        <v>0</v>
      </c>
      <c r="CD36" s="1752"/>
      <c r="CE36" s="1752"/>
      <c r="CF36" s="0" t="s">
        <v>2407</v>
      </c>
      <c r="CG36" s="1752"/>
      <c r="CH36" s="1752"/>
      <c r="CI36" s="0" t="s">
        <v>303</v>
      </c>
      <c r="CJ36" s="0" t="s">
        <v>2394</v>
      </c>
      <c r="CK36" s="0" t="s">
        <v>2395</v>
      </c>
    </row>
    <row customHeight="1" ht="44.85" hidden="1">
      <c r="A37" s="371"/>
      <c r="B37" s="1011">
        <f>InvestmentSources_is_one_block="да"</f>
        <v>0</v>
      </c>
      <c r="C37" s="1548"/>
      <c r="D37" s="1548"/>
      <c r="E37" s="180">
        <v>46</v>
      </c>
      <c r="F37" s="175" cm="1" t="str">
        <f t="array" ref="F37:F37">OFFSET(G37,-1,-1)</f>
        <v>0</v>
      </c>
      <c r="G37" s="1659"/>
      <c r="H37" s="1659"/>
      <c r="I37" s="1659"/>
      <c r="J37" s="1659"/>
      <c r="K37" s="1659"/>
      <c r="L37" s="1659"/>
      <c r="M37" s="1659"/>
      <c r="N37" s="1659"/>
      <c r="O37" s="1659"/>
      <c r="P37" s="1659"/>
      <c r="Q37" s="1659"/>
      <c r="R37" s="1659"/>
      <c r="S37" s="1659"/>
      <c r="T37" s="176"/>
      <c r="U37" s="1548"/>
      <c r="V37" s="1548"/>
      <c r="W37" s="1548"/>
      <c r="X37" s="1548"/>
      <c r="Y37" s="1548"/>
      <c r="Z37" s="1548"/>
      <c r="AA37" s="1727"/>
      <c r="AB37" s="794">
        <v>1.4</v>
      </c>
      <c r="AC37" s="842" t="s">
        <v>2408</v>
      </c>
      <c r="AD37" s="666" t="s">
        <v>917</v>
      </c>
      <c r="AE37" s="2407"/>
      <c r="AF37" s="2407"/>
      <c r="AG37" s="2407"/>
      <c r="AH37" s="2407"/>
      <c r="AI37" s="561"/>
      <c r="AJ37" s="2407"/>
      <c r="AK37" s="2407"/>
      <c r="AL37" s="2407"/>
      <c r="AM37" s="2407"/>
      <c r="AN37" s="2407"/>
      <c r="AO37" s="2407"/>
      <c r="AP37" s="2407"/>
      <c r="AQ37" s="2407"/>
      <c r="AR37" s="2407"/>
      <c r="AS37" s="2407"/>
      <c r="AT37" s="2407"/>
      <c r="AU37" s="2407"/>
      <c r="AV37" s="2407"/>
      <c r="AW37" s="2407"/>
      <c r="AX37" s="2407"/>
      <c r="AY37" s="2407"/>
      <c r="AZ37" s="2407"/>
      <c r="BA37" s="2407"/>
      <c r="BB37" s="2407"/>
      <c r="BC37" s="561"/>
      <c r="BD37" s="2407"/>
      <c r="BE37" s="2407"/>
      <c r="BF37" s="2407"/>
      <c r="BG37" s="2407"/>
      <c r="BH37" s="2407"/>
      <c r="BI37" s="2407"/>
      <c r="BJ37" s="2407"/>
      <c r="BK37" s="2407"/>
      <c r="BL37" s="2407"/>
      <c r="BM37" s="2407"/>
      <c r="BN37" s="2407"/>
      <c r="BO37" s="2407"/>
      <c r="BP37" s="2407"/>
      <c r="BQ37" s="2407"/>
      <c r="BR37" s="2407"/>
      <c r="BS37" s="2407"/>
      <c r="BT37" s="2407"/>
      <c r="BU37" s="2407"/>
      <c r="BV37" s="2407"/>
      <c r="BW37" s="2402"/>
      <c r="BX37" s="1727"/>
      <c r="BY37" s="969"/>
      <c r="BZ37" s="489" t="s">
        <v>2409</v>
      </c>
      <c r="CA37" s="1506"/>
      <c r="CB37" s="1506"/>
      <c r="CC37" s="0" cm="1" t="str">
        <f t="array" ref="CC37:CC37">CC36</f>
        <v>0</v>
      </c>
      <c r="CD37" s="1752"/>
      <c r="CE37" s="1752"/>
      <c r="CF37" s="1752"/>
      <c r="CG37" s="0" t="s">
        <v>2410</v>
      </c>
      <c r="CH37" s="1752"/>
      <c r="CI37" s="0" t="s">
        <v>303</v>
      </c>
      <c r="CJ37" s="0" t="s">
        <v>2394</v>
      </c>
      <c r="CK37" s="0" t="s">
        <v>2395</v>
      </c>
    </row>
    <row customHeight="1" ht="22.425" hidden="1">
      <c r="A38" s="371"/>
      <c r="B38" s="1011">
        <f>InvestmentSources_is_one_block="да"</f>
        <v>0</v>
      </c>
      <c r="C38" s="1548"/>
      <c r="D38" s="1548"/>
      <c r="E38" s="180">
        <v>23</v>
      </c>
      <c r="F38" s="175" cm="1" t="str">
        <f t="array" ref="F38:F38">OFFSET(G38,-1,-1)</f>
        <v>0</v>
      </c>
      <c r="G38" s="1659"/>
      <c r="H38" s="1659"/>
      <c r="I38" s="1659"/>
      <c r="J38" s="1659"/>
      <c r="K38" s="1659"/>
      <c r="L38" s="1659"/>
      <c r="M38" s="1659"/>
      <c r="N38" s="1659"/>
      <c r="O38" s="1659"/>
      <c r="P38" s="1659"/>
      <c r="Q38" s="1659"/>
      <c r="R38" s="1659"/>
      <c r="S38" s="1659"/>
      <c r="T38" s="176"/>
      <c r="U38" s="1548"/>
      <c r="V38" s="1548"/>
      <c r="W38" s="1548"/>
      <c r="X38" s="1548"/>
      <c r="Y38" s="1548"/>
      <c r="Z38" s="1548"/>
      <c r="AA38" s="1727"/>
      <c r="AB38" s="794">
        <v>1.5</v>
      </c>
      <c r="AC38" s="842" t="s">
        <v>2411</v>
      </c>
      <c r="AD38" s="666" t="s">
        <v>917</v>
      </c>
      <c r="AE38" s="2407"/>
      <c r="AF38" s="2407"/>
      <c r="AG38" s="2407"/>
      <c r="AH38" s="2407"/>
      <c r="AI38" s="561"/>
      <c r="AJ38" s="2407"/>
      <c r="AK38" s="2407"/>
      <c r="AL38" s="2407"/>
      <c r="AM38" s="2407"/>
      <c r="AN38" s="2407"/>
      <c r="AO38" s="2407"/>
      <c r="AP38" s="2407"/>
      <c r="AQ38" s="2407"/>
      <c r="AR38" s="2407"/>
      <c r="AS38" s="2407"/>
      <c r="AT38" s="2407"/>
      <c r="AU38" s="2407"/>
      <c r="AV38" s="2407"/>
      <c r="AW38" s="2407"/>
      <c r="AX38" s="2407"/>
      <c r="AY38" s="2407"/>
      <c r="AZ38" s="2407"/>
      <c r="BA38" s="2407"/>
      <c r="BB38" s="2407"/>
      <c r="BC38" s="561"/>
      <c r="BD38" s="2407"/>
      <c r="BE38" s="2407"/>
      <c r="BF38" s="2407"/>
      <c r="BG38" s="2407"/>
      <c r="BH38" s="2407"/>
      <c r="BI38" s="2407"/>
      <c r="BJ38" s="2407"/>
      <c r="BK38" s="2407"/>
      <c r="BL38" s="2407"/>
      <c r="BM38" s="2407"/>
      <c r="BN38" s="2407"/>
      <c r="BO38" s="2407"/>
      <c r="BP38" s="2407"/>
      <c r="BQ38" s="2407"/>
      <c r="BR38" s="2407"/>
      <c r="BS38" s="2407"/>
      <c r="BT38" s="2407"/>
      <c r="BU38" s="2407"/>
      <c r="BV38" s="2407"/>
      <c r="BW38" s="2402"/>
      <c r="BX38" s="1727"/>
      <c r="BY38" s="969"/>
      <c r="BZ38" s="489" t="s">
        <v>1355</v>
      </c>
      <c r="CA38" s="1506"/>
      <c r="CB38" s="1506"/>
      <c r="CC38" s="0" cm="1" t="str">
        <f t="array" ref="CC38:CC38">CC37</f>
        <v>0</v>
      </c>
      <c r="CD38" s="1752"/>
      <c r="CE38" s="1752"/>
      <c r="CF38" s="0" t="s">
        <v>2412</v>
      </c>
      <c r="CG38" s="1752"/>
      <c r="CH38" s="1752"/>
      <c r="CI38" s="0" t="s">
        <v>303</v>
      </c>
      <c r="CJ38" s="0" t="s">
        <v>2394</v>
      </c>
      <c r="CK38" s="0" t="s">
        <v>2395</v>
      </c>
    </row>
    <row customHeight="1" ht="22.425" hidden="1">
      <c r="A39" s="371"/>
      <c r="B39" s="1011">
        <f>InvestmentSources_is_one_block="да"</f>
        <v>0</v>
      </c>
      <c r="C39" s="1548"/>
      <c r="D39" s="1548"/>
      <c r="E39" s="180">
        <v>23</v>
      </c>
      <c r="F39" s="175" cm="1" t="str">
        <f t="array" ref="F39:F39">OFFSET(G39,-1,-1)</f>
        <v>0</v>
      </c>
      <c r="G39" s="1659"/>
      <c r="H39" s="1659"/>
      <c r="I39" s="1659"/>
      <c r="J39" s="1659"/>
      <c r="K39" s="1659"/>
      <c r="L39" s="1659"/>
      <c r="M39" s="1659"/>
      <c r="N39" s="1659"/>
      <c r="O39" s="1659"/>
      <c r="P39" s="1659"/>
      <c r="Q39" s="1659"/>
      <c r="R39" s="1659"/>
      <c r="S39" s="1659"/>
      <c r="T39" s="176"/>
      <c r="U39" s="1548"/>
      <c r="V39" s="1548"/>
      <c r="W39" s="1548"/>
      <c r="X39" s="1548"/>
      <c r="Y39" s="1548"/>
      <c r="Z39" s="1548"/>
      <c r="AA39" s="1727"/>
      <c r="AB39" s="794">
        <v>2</v>
      </c>
      <c r="AC39" s="842" t="s">
        <v>2413</v>
      </c>
      <c r="AD39" s="666" t="s">
        <v>917</v>
      </c>
      <c r="AE39" s="2407"/>
      <c r="AF39" s="2407"/>
      <c r="AG39" s="2407"/>
      <c r="AH39" s="2407"/>
      <c r="AI39" s="561"/>
      <c r="AJ39" s="2407"/>
      <c r="AK39" s="2407"/>
      <c r="AL39" s="2407"/>
      <c r="AM39" s="2407"/>
      <c r="AN39" s="2407"/>
      <c r="AO39" s="2407"/>
      <c r="AP39" s="2407"/>
      <c r="AQ39" s="2407"/>
      <c r="AR39" s="2407"/>
      <c r="AS39" s="2407"/>
      <c r="AT39" s="2407"/>
      <c r="AU39" s="2407"/>
      <c r="AV39" s="2407"/>
      <c r="AW39" s="2407"/>
      <c r="AX39" s="2407"/>
      <c r="AY39" s="2407"/>
      <c r="AZ39" s="2407"/>
      <c r="BA39" s="2407"/>
      <c r="BB39" s="2407"/>
      <c r="BC39" s="561"/>
      <c r="BD39" s="2407"/>
      <c r="BE39" s="2407"/>
      <c r="BF39" s="2407"/>
      <c r="BG39" s="2407"/>
      <c r="BH39" s="2407"/>
      <c r="BI39" s="2407"/>
      <c r="BJ39" s="2407"/>
      <c r="BK39" s="2407"/>
      <c r="BL39" s="2407"/>
      <c r="BM39" s="2407"/>
      <c r="BN39" s="2407"/>
      <c r="BO39" s="2407"/>
      <c r="BP39" s="2407"/>
      <c r="BQ39" s="2407"/>
      <c r="BR39" s="2407"/>
      <c r="BS39" s="2407"/>
      <c r="BT39" s="2407"/>
      <c r="BU39" s="2407"/>
      <c r="BV39" s="2407"/>
      <c r="BW39" s="2402"/>
      <c r="BX39" s="1727"/>
      <c r="BY39" s="969"/>
      <c r="BZ39" s="489" t="s">
        <v>1509</v>
      </c>
      <c r="CA39" s="1506"/>
      <c r="CB39" s="1506"/>
      <c r="CC39" s="0" cm="1" t="str">
        <f t="array" ref="CC39:CC39">CC38</f>
        <v>0</v>
      </c>
      <c r="CD39" s="1752"/>
      <c r="CE39" s="1752"/>
      <c r="CF39" s="1752"/>
      <c r="CG39" s="0" t="s">
        <v>2414</v>
      </c>
      <c r="CH39" s="1752"/>
      <c r="CI39" s="0" t="s">
        <v>303</v>
      </c>
      <c r="CJ39" s="0" t="s">
        <v>2394</v>
      </c>
      <c r="CK39" s="0" t="s">
        <v>2395</v>
      </c>
    </row>
    <row customHeight="1" ht="16.575" hidden="1">
      <c r="A40" s="371"/>
      <c r="B40" s="1011">
        <f>InvestmentSources_is_one_block="да"</f>
        <v>0</v>
      </c>
      <c r="C40" s="1548"/>
      <c r="D40" s="1548"/>
      <c r="E40" s="180">
        <v>17</v>
      </c>
      <c r="F40" s="175" cm="1" t="str">
        <f t="array" ref="F40:F40">OFFSET(G40,-1,-1)</f>
        <v>0</v>
      </c>
      <c r="G40" s="1659"/>
      <c r="H40" s="1659"/>
      <c r="I40" s="1659"/>
      <c r="J40" s="1659"/>
      <c r="K40" s="1659"/>
      <c r="L40" s="1659"/>
      <c r="M40" s="1659"/>
      <c r="N40" s="1659"/>
      <c r="O40" s="1659"/>
      <c r="P40" s="1659"/>
      <c r="Q40" s="1659"/>
      <c r="R40" s="1659"/>
      <c r="S40" s="1659"/>
      <c r="T40" s="176"/>
      <c r="U40" s="1548"/>
      <c r="V40" s="1548"/>
      <c r="W40" s="1548"/>
      <c r="X40" s="1548"/>
      <c r="Y40" s="1548"/>
      <c r="Z40" s="1548"/>
      <c r="AA40" s="1727"/>
      <c r="AB40" s="794">
        <v>3</v>
      </c>
      <c r="AC40" s="842" t="s">
        <v>2415</v>
      </c>
      <c r="AD40" s="666" t="s">
        <v>917</v>
      </c>
      <c r="AE40" s="695">
        <f>AE41+AE42+AE43</f>
        <v>0</v>
      </c>
      <c r="AF40" s="695">
        <f>AF41+AF42+AF43</f>
        <v>0</v>
      </c>
      <c r="AG40" s="695">
        <f>AG41+AG42+AG43</f>
        <v>0</v>
      </c>
      <c r="AH40" s="695">
        <f>AH41+AH42+AH43</f>
        <v>0</v>
      </c>
      <c r="AI40" s="695">
        <f>AI41+AI42+AI43</f>
        <v>0</v>
      </c>
      <c r="AJ40" s="695">
        <f>AJ41+AJ42+AJ43</f>
        <v>0</v>
      </c>
      <c r="AK40" s="695">
        <f>AK41+AK42+AK43</f>
        <v>0</v>
      </c>
      <c r="AL40" s="695">
        <f>AL41+AL42+AL43</f>
        <v>0</v>
      </c>
      <c r="AM40" s="695">
        <f>AM41+AM42+AM43</f>
        <v>0</v>
      </c>
      <c r="AN40" s="695">
        <f>AN41+AN42+AN43</f>
        <v>0</v>
      </c>
      <c r="AO40" s="695">
        <f>AO41+AO42+AO43</f>
        <v>0</v>
      </c>
      <c r="AP40" s="695">
        <f>AP41+AP42+AP43</f>
        <v>0</v>
      </c>
      <c r="AQ40" s="695">
        <f>AQ41+AQ42+AQ43</f>
        <v>0</v>
      </c>
      <c r="AR40" s="695">
        <f>AR41+AR42+AR43</f>
        <v>0</v>
      </c>
      <c r="AS40" s="695">
        <f>AS41+AS42+AS43</f>
        <v>0</v>
      </c>
      <c r="AT40" s="695">
        <f>AT41+AT42+AT43</f>
        <v>0</v>
      </c>
      <c r="AU40" s="695">
        <f>AU41+AU42+AU43</f>
        <v>0</v>
      </c>
      <c r="AV40" s="695">
        <f>AV41+AV42+AV43</f>
        <v>0</v>
      </c>
      <c r="AW40" s="695">
        <f>AW41+AW42+AW43</f>
        <v>0</v>
      </c>
      <c r="AX40" s="695">
        <f>AX41+AX42+AX43</f>
        <v>0</v>
      </c>
      <c r="AY40" s="695">
        <f>AY41+AY42+AY43</f>
        <v>0</v>
      </c>
      <c r="AZ40" s="695">
        <f>AZ41+AZ42+AZ43</f>
        <v>0</v>
      </c>
      <c r="BA40" s="695">
        <f>BA41+BA42+BA43</f>
        <v>0</v>
      </c>
      <c r="BB40" s="695">
        <f>BB41+BB42+BB43</f>
        <v>0</v>
      </c>
      <c r="BC40" s="695">
        <f>BC41+BC42+BC43</f>
        <v>0</v>
      </c>
      <c r="BD40" s="695">
        <f>BD41+BD42+BD43</f>
        <v>0</v>
      </c>
      <c r="BE40" s="695">
        <f>BE41+BE42+BE43</f>
        <v>0</v>
      </c>
      <c r="BF40" s="695">
        <f>BF41+BF42+BF43</f>
        <v>0</v>
      </c>
      <c r="BG40" s="695">
        <f>BG41+BG42+BG43</f>
        <v>0</v>
      </c>
      <c r="BH40" s="695">
        <f>BH41+BH42+BH43</f>
        <v>0</v>
      </c>
      <c r="BI40" s="695">
        <f>BI41+BI42+BI43</f>
        <v>0</v>
      </c>
      <c r="BJ40" s="695">
        <f>BJ41+BJ42+BJ43</f>
        <v>0</v>
      </c>
      <c r="BK40" s="695">
        <f>BK41+BK42+BK43</f>
        <v>0</v>
      </c>
      <c r="BL40" s="695">
        <f>BL41+BL42+BL43</f>
        <v>0</v>
      </c>
      <c r="BM40" s="695">
        <f>BM41+BM42+BM43</f>
        <v>0</v>
      </c>
      <c r="BN40" s="695">
        <f>BN41+BN42+BN43</f>
        <v>0</v>
      </c>
      <c r="BO40" s="695">
        <f>BO41+BO42+BO43</f>
        <v>0</v>
      </c>
      <c r="BP40" s="695">
        <f>BP41+BP42+BP43</f>
        <v>0</v>
      </c>
      <c r="BQ40" s="695">
        <f>BQ41+BQ42+BQ43</f>
        <v>0</v>
      </c>
      <c r="BR40" s="695">
        <f>BR41+BR42+BR43</f>
        <v>0</v>
      </c>
      <c r="BS40" s="695">
        <f>BS41+BS42+BS43</f>
        <v>0</v>
      </c>
      <c r="BT40" s="695">
        <f>BT41+BT42+BT43</f>
        <v>0</v>
      </c>
      <c r="BU40" s="695">
        <f>BU41+BU42+BU43</f>
        <v>0</v>
      </c>
      <c r="BV40" s="695">
        <f>BV41+BV42+BV43</f>
        <v>0</v>
      </c>
      <c r="BW40" s="2402"/>
      <c r="BX40" s="1727"/>
      <c r="BY40" s="969"/>
      <c r="BZ40" s="489" t="s">
        <v>2416</v>
      </c>
      <c r="CA40" s="1506"/>
      <c r="CB40" s="1506"/>
      <c r="CC40" s="0" cm="1" t="str">
        <f t="array" ref="CC40:CC40">CC39</f>
        <v>0</v>
      </c>
      <c r="CD40" s="1752"/>
      <c r="CE40" s="1752"/>
      <c r="CF40" s="1752"/>
      <c r="CG40" s="1752"/>
      <c r="CH40" s="1752"/>
      <c r="CI40" s="0" t="s">
        <v>303</v>
      </c>
      <c r="CJ40" s="0" t="s">
        <v>2417</v>
      </c>
      <c r="CK40" s="0" t="s">
        <v>2418</v>
      </c>
    </row>
    <row customHeight="1" ht="16.575" hidden="1">
      <c r="A41" s="371"/>
      <c r="B41" s="1011">
        <f>InvestmentSources_is_one_block="да"</f>
        <v>0</v>
      </c>
      <c r="C41" s="1548"/>
      <c r="D41" s="1548"/>
      <c r="E41" s="180">
        <v>17</v>
      </c>
      <c r="F41" s="175" cm="1" t="str">
        <f t="array" ref="F41:F41">OFFSET(G41,-1,-1)</f>
        <v>0</v>
      </c>
      <c r="G41" s="1659"/>
      <c r="H41" s="1659"/>
      <c r="I41" s="1659"/>
      <c r="J41" s="1659"/>
      <c r="K41" s="1659"/>
      <c r="L41" s="1659"/>
      <c r="M41" s="1659"/>
      <c r="N41" s="1659"/>
      <c r="O41" s="1659"/>
      <c r="P41" s="1659"/>
      <c r="Q41" s="1659"/>
      <c r="R41" s="1659"/>
      <c r="S41" s="1659"/>
      <c r="T41" s="176"/>
      <c r="U41" s="1548"/>
      <c r="V41" s="1548"/>
      <c r="W41" s="1548"/>
      <c r="X41" s="1548"/>
      <c r="Y41" s="1548"/>
      <c r="Z41" s="1548"/>
      <c r="AA41" s="1727"/>
      <c r="AB41" s="794">
        <v>3.1</v>
      </c>
      <c r="AC41" s="894" t="s">
        <v>2419</v>
      </c>
      <c r="AD41" s="666" t="s">
        <v>917</v>
      </c>
      <c r="AE41" s="2407"/>
      <c r="AF41" s="2407"/>
      <c r="AG41" s="2407"/>
      <c r="AH41" s="2407"/>
      <c r="AI41" s="561"/>
      <c r="AJ41" s="2407"/>
      <c r="AK41" s="2407"/>
      <c r="AL41" s="2407"/>
      <c r="AM41" s="2407"/>
      <c r="AN41" s="2407"/>
      <c r="AO41" s="2407"/>
      <c r="AP41" s="2407"/>
      <c r="AQ41" s="2407"/>
      <c r="AR41" s="2407"/>
      <c r="AS41" s="2407"/>
      <c r="AT41" s="2407"/>
      <c r="AU41" s="2407"/>
      <c r="AV41" s="2407"/>
      <c r="AW41" s="2407"/>
      <c r="AX41" s="2407"/>
      <c r="AY41" s="2407"/>
      <c r="AZ41" s="2407"/>
      <c r="BA41" s="2407"/>
      <c r="BB41" s="2407"/>
      <c r="BC41" s="561"/>
      <c r="BD41" s="2407"/>
      <c r="BE41" s="2407"/>
      <c r="BF41" s="2407"/>
      <c r="BG41" s="2407"/>
      <c r="BH41" s="2407"/>
      <c r="BI41" s="2407"/>
      <c r="BJ41" s="2407"/>
      <c r="BK41" s="2407"/>
      <c r="BL41" s="2407"/>
      <c r="BM41" s="2407"/>
      <c r="BN41" s="2407"/>
      <c r="BO41" s="2407"/>
      <c r="BP41" s="2407"/>
      <c r="BQ41" s="2407"/>
      <c r="BR41" s="2407"/>
      <c r="BS41" s="2407"/>
      <c r="BT41" s="2407"/>
      <c r="BU41" s="2407"/>
      <c r="BV41" s="2407"/>
      <c r="BW41" s="2402"/>
      <c r="BX41" s="1727"/>
      <c r="BY41" s="969"/>
      <c r="BZ41" s="489" t="s">
        <v>1665</v>
      </c>
      <c r="CA41" s="1506"/>
      <c r="CB41" s="1506"/>
      <c r="CC41" s="0" cm="1" t="str">
        <f t="array" ref="CC41:CC41">CC40</f>
        <v>0</v>
      </c>
      <c r="CD41" s="0" t="s">
        <v>2420</v>
      </c>
      <c r="CE41" s="1752"/>
      <c r="CF41" s="1752"/>
      <c r="CG41" s="1752"/>
      <c r="CH41" s="1752"/>
      <c r="CI41" s="0" t="s">
        <v>303</v>
      </c>
      <c r="CJ41" s="0" t="s">
        <v>2417</v>
      </c>
      <c r="CK41" s="0" t="s">
        <v>2418</v>
      </c>
    </row>
    <row customHeight="1" ht="16.575" hidden="1">
      <c r="A42" s="371"/>
      <c r="B42" s="1011">
        <f>InvestmentSources_is_one_block="да"</f>
        <v>0</v>
      </c>
      <c r="C42" s="1548"/>
      <c r="D42" s="1548"/>
      <c r="E42" s="180">
        <v>17</v>
      </c>
      <c r="F42" s="175" cm="1" t="str">
        <f t="array" ref="F42:F42">OFFSET(G42,-1,-1)</f>
        <v>0</v>
      </c>
      <c r="G42" s="1659"/>
      <c r="H42" s="1659"/>
      <c r="I42" s="1659"/>
      <c r="J42" s="1659"/>
      <c r="K42" s="1659"/>
      <c r="L42" s="1659"/>
      <c r="M42" s="1659"/>
      <c r="N42" s="1659"/>
      <c r="O42" s="1659"/>
      <c r="P42" s="1659"/>
      <c r="Q42" s="1659"/>
      <c r="R42" s="1659"/>
      <c r="S42" s="1659"/>
      <c r="T42" s="176"/>
      <c r="U42" s="1548"/>
      <c r="V42" s="1548"/>
      <c r="W42" s="1548"/>
      <c r="X42" s="1548"/>
      <c r="Y42" s="1548"/>
      <c r="Z42" s="1548"/>
      <c r="AA42" s="1727"/>
      <c r="AB42" s="794">
        <v>3.2</v>
      </c>
      <c r="AC42" s="894" t="s">
        <v>2421</v>
      </c>
      <c r="AD42" s="666" t="s">
        <v>917</v>
      </c>
      <c r="AE42" s="2407"/>
      <c r="AF42" s="2407"/>
      <c r="AG42" s="2407"/>
      <c r="AH42" s="2407"/>
      <c r="AI42" s="561"/>
      <c r="AJ42" s="2407"/>
      <c r="AK42" s="2407"/>
      <c r="AL42" s="2407"/>
      <c r="AM42" s="2407"/>
      <c r="AN42" s="2407"/>
      <c r="AO42" s="2407"/>
      <c r="AP42" s="2407"/>
      <c r="AQ42" s="2407"/>
      <c r="AR42" s="2407"/>
      <c r="AS42" s="2407"/>
      <c r="AT42" s="2407"/>
      <c r="AU42" s="2407"/>
      <c r="AV42" s="2407"/>
      <c r="AW42" s="2407"/>
      <c r="AX42" s="2407"/>
      <c r="AY42" s="2407"/>
      <c r="AZ42" s="2407"/>
      <c r="BA42" s="2407"/>
      <c r="BB42" s="2407"/>
      <c r="BC42" s="561"/>
      <c r="BD42" s="2407"/>
      <c r="BE42" s="2407"/>
      <c r="BF42" s="2407"/>
      <c r="BG42" s="2407"/>
      <c r="BH42" s="2407"/>
      <c r="BI42" s="2407"/>
      <c r="BJ42" s="2407"/>
      <c r="BK42" s="2407"/>
      <c r="BL42" s="2407"/>
      <c r="BM42" s="2407"/>
      <c r="BN42" s="2407"/>
      <c r="BO42" s="2407"/>
      <c r="BP42" s="2407"/>
      <c r="BQ42" s="2407"/>
      <c r="BR42" s="2407"/>
      <c r="BS42" s="2407"/>
      <c r="BT42" s="2407"/>
      <c r="BU42" s="2407"/>
      <c r="BV42" s="2407"/>
      <c r="BW42" s="2402"/>
      <c r="BX42" s="1727"/>
      <c r="BY42" s="969"/>
      <c r="BZ42" s="489" t="s">
        <v>2422</v>
      </c>
      <c r="CA42" s="1506"/>
      <c r="CB42" s="1506"/>
      <c r="CC42" s="0" cm="1" t="str">
        <f t="array" ref="CC42:CC42">CC41</f>
        <v>0</v>
      </c>
      <c r="CD42" s="0" t="s">
        <v>1919</v>
      </c>
      <c r="CE42" s="1752"/>
      <c r="CF42" s="1752"/>
      <c r="CG42" s="1752"/>
      <c r="CH42" s="1752"/>
      <c r="CI42" s="0" t="s">
        <v>303</v>
      </c>
      <c r="CJ42" s="0" t="s">
        <v>2417</v>
      </c>
      <c r="CK42" s="0" t="s">
        <v>2418</v>
      </c>
    </row>
    <row customHeight="1" ht="16.575" hidden="1">
      <c r="A43" s="371"/>
      <c r="B43" s="1011">
        <f>InvestmentSources_is_one_block="да"</f>
        <v>0</v>
      </c>
      <c r="C43" s="1548"/>
      <c r="D43" s="1548"/>
      <c r="E43" s="180">
        <v>17</v>
      </c>
      <c r="F43" s="175" cm="1" t="str">
        <f t="array" ref="F43:F43">OFFSET(G43,-1,-1)</f>
        <v>0</v>
      </c>
      <c r="G43" s="1659"/>
      <c r="H43" s="1659"/>
      <c r="I43" s="1659"/>
      <c r="J43" s="1659"/>
      <c r="K43" s="1659"/>
      <c r="L43" s="1659"/>
      <c r="M43" s="1659"/>
      <c r="N43" s="1659"/>
      <c r="O43" s="1659"/>
      <c r="P43" s="1659"/>
      <c r="Q43" s="1659"/>
      <c r="R43" s="1659"/>
      <c r="S43" s="1659"/>
      <c r="T43" s="176"/>
      <c r="U43" s="1548"/>
      <c r="V43" s="1548"/>
      <c r="W43" s="1548"/>
      <c r="X43" s="1548"/>
      <c r="Y43" s="1548"/>
      <c r="Z43" s="1548"/>
      <c r="AA43" s="1727"/>
      <c r="AB43" s="794">
        <v>3.3</v>
      </c>
      <c r="AC43" s="894" t="s">
        <v>2423</v>
      </c>
      <c r="AD43" s="666" t="s">
        <v>917</v>
      </c>
      <c r="AE43" s="2407"/>
      <c r="AF43" s="2407"/>
      <c r="AG43" s="2407"/>
      <c r="AH43" s="2407"/>
      <c r="AI43" s="561"/>
      <c r="AJ43" s="2407"/>
      <c r="AK43" s="2407"/>
      <c r="AL43" s="2407"/>
      <c r="AM43" s="2407"/>
      <c r="AN43" s="2407"/>
      <c r="AO43" s="2407"/>
      <c r="AP43" s="2407"/>
      <c r="AQ43" s="2407"/>
      <c r="AR43" s="2407"/>
      <c r="AS43" s="2407"/>
      <c r="AT43" s="2407"/>
      <c r="AU43" s="2407"/>
      <c r="AV43" s="2407"/>
      <c r="AW43" s="2407"/>
      <c r="AX43" s="2407"/>
      <c r="AY43" s="2407"/>
      <c r="AZ43" s="2407"/>
      <c r="BA43" s="2407"/>
      <c r="BB43" s="2407"/>
      <c r="BC43" s="561"/>
      <c r="BD43" s="2407"/>
      <c r="BE43" s="2407"/>
      <c r="BF43" s="2407"/>
      <c r="BG43" s="2407"/>
      <c r="BH43" s="2407"/>
      <c r="BI43" s="2407"/>
      <c r="BJ43" s="2407"/>
      <c r="BK43" s="2407"/>
      <c r="BL43" s="2407"/>
      <c r="BM43" s="2407"/>
      <c r="BN43" s="2407"/>
      <c r="BO43" s="2407"/>
      <c r="BP43" s="2407"/>
      <c r="BQ43" s="2407"/>
      <c r="BR43" s="2407"/>
      <c r="BS43" s="2407"/>
      <c r="BT43" s="2407"/>
      <c r="BU43" s="2407"/>
      <c r="BV43" s="2407"/>
      <c r="BW43" s="2402"/>
      <c r="BX43" s="1727"/>
      <c r="BY43" s="969"/>
      <c r="BZ43" s="489" t="s">
        <v>2424</v>
      </c>
      <c r="CA43" s="1506"/>
      <c r="CB43" s="1506"/>
      <c r="CC43" s="0" cm="1" t="str">
        <f t="array" ref="CC43:CC43">CC42</f>
        <v>0</v>
      </c>
      <c r="CD43" s="1752"/>
      <c r="CE43" s="1752"/>
      <c r="CF43" s="0" t="s">
        <v>2425</v>
      </c>
      <c r="CG43" s="1752"/>
      <c r="CH43" s="1752"/>
      <c r="CI43" s="0" t="s">
        <v>303</v>
      </c>
      <c r="CJ43" s="0" t="s">
        <v>2417</v>
      </c>
      <c r="CK43" s="0" t="s">
        <v>2418</v>
      </c>
    </row>
    <row customHeight="1" ht="16.575" hidden="1">
      <c r="A44" s="371"/>
      <c r="B44" s="1011">
        <f>InvestmentSources_is_one_block="да"</f>
        <v>0</v>
      </c>
      <c r="C44" s="1548"/>
      <c r="D44" s="1548"/>
      <c r="E44" s="180">
        <v>17</v>
      </c>
      <c r="F44" s="175" cm="1" t="str">
        <f t="array" ref="F44:F44">OFFSET(G44,-1,-1)</f>
        <v>0</v>
      </c>
      <c r="G44" s="1659"/>
      <c r="H44" s="1659"/>
      <c r="I44" s="1659"/>
      <c r="J44" s="1659"/>
      <c r="K44" s="1659"/>
      <c r="L44" s="1659"/>
      <c r="M44" s="1659"/>
      <c r="N44" s="1659"/>
      <c r="O44" s="1659"/>
      <c r="P44" s="1659"/>
      <c r="Q44" s="1659"/>
      <c r="R44" s="1659"/>
      <c r="S44" s="1659"/>
      <c r="T44" s="176"/>
      <c r="U44" s="1548"/>
      <c r="V44" s="1548"/>
      <c r="W44" s="1548"/>
      <c r="X44" s="1548"/>
      <c r="Y44" s="1548"/>
      <c r="Z44" s="1548"/>
      <c r="AA44" s="1727"/>
      <c r="AB44" s="794">
        <v>4</v>
      </c>
      <c r="AC44" s="842" t="s">
        <v>2426</v>
      </c>
      <c r="AD44" s="666" t="s">
        <v>917</v>
      </c>
      <c r="AE44" s="695">
        <f>AE45+AE46+AE47</f>
        <v>0</v>
      </c>
      <c r="AF44" s="695">
        <f>AF45+AF46+AF47</f>
        <v>0</v>
      </c>
      <c r="AG44" s="695">
        <f>AG45+AG46+AG47</f>
        <v>0</v>
      </c>
      <c r="AH44" s="695">
        <f>AH45+AH46+AH47</f>
        <v>0</v>
      </c>
      <c r="AI44" s="695">
        <f>AI45+AI46+AI47</f>
        <v>0</v>
      </c>
      <c r="AJ44" s="695">
        <f>AJ45+AJ46+AJ47</f>
        <v>0</v>
      </c>
      <c r="AK44" s="695">
        <f>AK45+AK46+AK47</f>
        <v>0</v>
      </c>
      <c r="AL44" s="695">
        <f>AL45+AL46+AL47</f>
        <v>0</v>
      </c>
      <c r="AM44" s="695">
        <f>AM45+AM46+AM47</f>
        <v>0</v>
      </c>
      <c r="AN44" s="695">
        <f>AN45+AN46+AN47</f>
        <v>0</v>
      </c>
      <c r="AO44" s="695">
        <f>AO45+AO46+AO47</f>
        <v>0</v>
      </c>
      <c r="AP44" s="695">
        <f>AP45+AP46+AP47</f>
        <v>0</v>
      </c>
      <c r="AQ44" s="695">
        <f>AQ45+AQ46+AQ47</f>
        <v>0</v>
      </c>
      <c r="AR44" s="695">
        <f>AR45+AR46+AR47</f>
        <v>0</v>
      </c>
      <c r="AS44" s="695">
        <f>AS45+AS46+AS47</f>
        <v>0</v>
      </c>
      <c r="AT44" s="695">
        <f>AT45+AT46+AT47</f>
        <v>0</v>
      </c>
      <c r="AU44" s="695">
        <f>AU45+AU46+AU47</f>
        <v>0</v>
      </c>
      <c r="AV44" s="695">
        <f>AV45+AV46+AV47</f>
        <v>0</v>
      </c>
      <c r="AW44" s="695">
        <f>AW45+AW46+AW47</f>
        <v>0</v>
      </c>
      <c r="AX44" s="695">
        <f>AX45+AX46+AX47</f>
        <v>0</v>
      </c>
      <c r="AY44" s="695">
        <f>AY45+AY46+AY47</f>
        <v>0</v>
      </c>
      <c r="AZ44" s="695">
        <f>AZ45+AZ46+AZ47</f>
        <v>0</v>
      </c>
      <c r="BA44" s="695">
        <f>BA45+BA46+BA47</f>
        <v>0</v>
      </c>
      <c r="BB44" s="695">
        <f>BB45+BB46+BB47</f>
        <v>0</v>
      </c>
      <c r="BC44" s="695">
        <f>BC45+BC46+BC47</f>
        <v>0</v>
      </c>
      <c r="BD44" s="695">
        <f>BD45+BD46+BD47</f>
        <v>0</v>
      </c>
      <c r="BE44" s="695">
        <f>BE45+BE46+BE47</f>
        <v>0</v>
      </c>
      <c r="BF44" s="695">
        <f>BF45+BF46+BF47</f>
        <v>0</v>
      </c>
      <c r="BG44" s="695">
        <f>BG45+BG46+BG47</f>
        <v>0</v>
      </c>
      <c r="BH44" s="695">
        <f>BH45+BH46+BH47</f>
        <v>0</v>
      </c>
      <c r="BI44" s="695">
        <f>BI45+BI46+BI47</f>
        <v>0</v>
      </c>
      <c r="BJ44" s="695">
        <f>BJ45+BJ46+BJ47</f>
        <v>0</v>
      </c>
      <c r="BK44" s="695">
        <f>BK45+BK46+BK47</f>
        <v>0</v>
      </c>
      <c r="BL44" s="695">
        <f>BL45+BL46+BL47</f>
        <v>0</v>
      </c>
      <c r="BM44" s="695">
        <f>BM45+BM46+BM47</f>
        <v>0</v>
      </c>
      <c r="BN44" s="695">
        <f>BN45+BN46+BN47</f>
        <v>0</v>
      </c>
      <c r="BO44" s="695">
        <f>BO45+BO46+BO47</f>
        <v>0</v>
      </c>
      <c r="BP44" s="695">
        <f>BP45+BP46+BP47</f>
        <v>0</v>
      </c>
      <c r="BQ44" s="695">
        <f>BQ45+BQ46+BQ47</f>
        <v>0</v>
      </c>
      <c r="BR44" s="695">
        <f>BR45+BR46+BR47</f>
        <v>0</v>
      </c>
      <c r="BS44" s="695">
        <f>BS45+BS46+BS47</f>
        <v>0</v>
      </c>
      <c r="BT44" s="695">
        <f>BT45+BT46+BT47</f>
        <v>0</v>
      </c>
      <c r="BU44" s="695">
        <f>BU45+BU46+BU47</f>
        <v>0</v>
      </c>
      <c r="BV44" s="695">
        <f>BV45+BV46+BV47</f>
        <v>0</v>
      </c>
      <c r="BW44" s="2402"/>
      <c r="BX44" s="1727"/>
      <c r="BY44" s="969"/>
      <c r="BZ44" s="489" t="s">
        <v>2142</v>
      </c>
      <c r="CA44" s="1506"/>
      <c r="CB44" s="1506"/>
      <c r="CC44" s="0" cm="1" t="str">
        <f t="array" ref="CC44:CC44">CC43</f>
        <v>0</v>
      </c>
      <c r="CD44" s="0" t="s">
        <v>2427</v>
      </c>
      <c r="CE44" s="1752"/>
      <c r="CF44" s="1752"/>
      <c r="CG44" s="1752"/>
      <c r="CH44" s="1752"/>
      <c r="CI44" s="0" t="s">
        <v>303</v>
      </c>
      <c r="CJ44" s="0" t="s">
        <v>2428</v>
      </c>
      <c r="CK44" s="0" t="s">
        <v>2429</v>
      </c>
    </row>
    <row customHeight="1" ht="16.575" hidden="1">
      <c r="A45" s="371"/>
      <c r="B45" s="1011">
        <f>InvestmentSources_is_one_block="да"</f>
        <v>0</v>
      </c>
      <c r="C45" s="1548"/>
      <c r="D45" s="1548"/>
      <c r="E45" s="180">
        <v>17</v>
      </c>
      <c r="F45" s="175" cm="1" t="str">
        <f t="array" ref="F45:F45">OFFSET(G45,-1,-1)</f>
        <v>0</v>
      </c>
      <c r="G45" s="1659"/>
      <c r="H45" s="1659"/>
      <c r="I45" s="1659"/>
      <c r="J45" s="1659"/>
      <c r="K45" s="1659"/>
      <c r="L45" s="1659"/>
      <c r="M45" s="1659"/>
      <c r="N45" s="1659"/>
      <c r="O45" s="1659"/>
      <c r="P45" s="1659"/>
      <c r="Q45" s="1659"/>
      <c r="R45" s="1659"/>
      <c r="S45" s="1659"/>
      <c r="T45" s="176"/>
      <c r="U45" s="1548"/>
      <c r="V45" s="1548"/>
      <c r="W45" s="1548"/>
      <c r="X45" s="1548"/>
      <c r="Y45" s="1548"/>
      <c r="Z45" s="1548"/>
      <c r="AA45" s="1727"/>
      <c r="AB45" s="794">
        <v>4.1</v>
      </c>
      <c r="AC45" s="894" t="s">
        <v>2430</v>
      </c>
      <c r="AD45" s="666" t="s">
        <v>917</v>
      </c>
      <c r="AE45" s="2407"/>
      <c r="AF45" s="2407"/>
      <c r="AG45" s="2407"/>
      <c r="AH45" s="2407"/>
      <c r="AI45" s="561"/>
      <c r="AJ45" s="2407"/>
      <c r="AK45" s="2407"/>
      <c r="AL45" s="2407"/>
      <c r="AM45" s="2407"/>
      <c r="AN45" s="2407"/>
      <c r="AO45" s="2407"/>
      <c r="AP45" s="2407"/>
      <c r="AQ45" s="2407"/>
      <c r="AR45" s="2407"/>
      <c r="AS45" s="2407"/>
      <c r="AT45" s="2407"/>
      <c r="AU45" s="2407"/>
      <c r="AV45" s="2407"/>
      <c r="AW45" s="2407"/>
      <c r="AX45" s="2407"/>
      <c r="AY45" s="2407"/>
      <c r="AZ45" s="2407"/>
      <c r="BA45" s="2407"/>
      <c r="BB45" s="2407"/>
      <c r="BC45" s="561"/>
      <c r="BD45" s="2407"/>
      <c r="BE45" s="2407"/>
      <c r="BF45" s="2407"/>
      <c r="BG45" s="2407"/>
      <c r="BH45" s="2407"/>
      <c r="BI45" s="2407"/>
      <c r="BJ45" s="2407"/>
      <c r="BK45" s="2407"/>
      <c r="BL45" s="2407"/>
      <c r="BM45" s="2407"/>
      <c r="BN45" s="2407"/>
      <c r="BO45" s="2407"/>
      <c r="BP45" s="2407"/>
      <c r="BQ45" s="2407"/>
      <c r="BR45" s="2407"/>
      <c r="BS45" s="2407"/>
      <c r="BT45" s="2407"/>
      <c r="BU45" s="2407"/>
      <c r="BV45" s="2407"/>
      <c r="BW45" s="2402"/>
      <c r="BX45" s="1727"/>
      <c r="BY45" s="969"/>
      <c r="BZ45" s="489" t="s">
        <v>2431</v>
      </c>
      <c r="CA45" s="1506"/>
      <c r="CB45" s="1506"/>
      <c r="CC45" s="0" cm="1" t="str">
        <f t="array" ref="CC45:CC45">CC44</f>
        <v>0</v>
      </c>
      <c r="CD45" s="1752"/>
      <c r="CE45" s="1752"/>
      <c r="CF45" s="1752"/>
      <c r="CG45" s="1752"/>
      <c r="CH45" s="0" t="s">
        <v>2432</v>
      </c>
      <c r="CI45" s="0" t="s">
        <v>303</v>
      </c>
      <c r="CJ45" s="0" t="s">
        <v>2428</v>
      </c>
      <c r="CK45" s="0" t="s">
        <v>2429</v>
      </c>
    </row>
    <row customHeight="1" ht="16.575" hidden="1">
      <c r="A46" s="371"/>
      <c r="B46" s="1011">
        <f>InvestmentSources_is_one_block="да"</f>
        <v>0</v>
      </c>
      <c r="C46" s="1548"/>
      <c r="D46" s="1548"/>
      <c r="E46" s="180">
        <v>17</v>
      </c>
      <c r="F46" s="175" cm="1" t="str">
        <f t="array" ref="F46:F46">OFFSET(G46,-1,-1)</f>
        <v>0</v>
      </c>
      <c r="G46" s="1659"/>
      <c r="H46" s="1659"/>
      <c r="I46" s="1659"/>
      <c r="J46" s="1659"/>
      <c r="K46" s="1659"/>
      <c r="L46" s="1659"/>
      <c r="M46" s="1659"/>
      <c r="N46" s="1659"/>
      <c r="O46" s="1659"/>
      <c r="P46" s="1659"/>
      <c r="Q46" s="1659"/>
      <c r="R46" s="1659"/>
      <c r="S46" s="1659"/>
      <c r="T46" s="176"/>
      <c r="U46" s="1548"/>
      <c r="V46" s="1548"/>
      <c r="W46" s="1548"/>
      <c r="X46" s="1548"/>
      <c r="Y46" s="1548"/>
      <c r="Z46" s="1548"/>
      <c r="AA46" s="1727"/>
      <c r="AB46" s="794">
        <v>4.2</v>
      </c>
      <c r="AC46" s="894" t="s">
        <v>2433</v>
      </c>
      <c r="AD46" s="666" t="s">
        <v>917</v>
      </c>
      <c r="AE46" s="2407"/>
      <c r="AF46" s="2407"/>
      <c r="AG46" s="2407"/>
      <c r="AH46" s="2407"/>
      <c r="AI46" s="561"/>
      <c r="AJ46" s="2407"/>
      <c r="AK46" s="2407"/>
      <c r="AL46" s="2407"/>
      <c r="AM46" s="2407"/>
      <c r="AN46" s="2407"/>
      <c r="AO46" s="2407"/>
      <c r="AP46" s="2407"/>
      <c r="AQ46" s="2407"/>
      <c r="AR46" s="2407"/>
      <c r="AS46" s="2407"/>
      <c r="AT46" s="2407"/>
      <c r="AU46" s="2407"/>
      <c r="AV46" s="2407"/>
      <c r="AW46" s="2407"/>
      <c r="AX46" s="2407"/>
      <c r="AY46" s="2407"/>
      <c r="AZ46" s="2407"/>
      <c r="BA46" s="2407"/>
      <c r="BB46" s="2407"/>
      <c r="BC46" s="561"/>
      <c r="BD46" s="2407"/>
      <c r="BE46" s="2407"/>
      <c r="BF46" s="2407"/>
      <c r="BG46" s="2407"/>
      <c r="BH46" s="2407"/>
      <c r="BI46" s="2407"/>
      <c r="BJ46" s="2407"/>
      <c r="BK46" s="2407"/>
      <c r="BL46" s="2407"/>
      <c r="BM46" s="2407"/>
      <c r="BN46" s="2407"/>
      <c r="BO46" s="2407"/>
      <c r="BP46" s="2407"/>
      <c r="BQ46" s="2407"/>
      <c r="BR46" s="2407"/>
      <c r="BS46" s="2407"/>
      <c r="BT46" s="2407"/>
      <c r="BU46" s="2407"/>
      <c r="BV46" s="2407"/>
      <c r="BW46" s="2402"/>
      <c r="BX46" s="1727"/>
      <c r="BY46" s="969"/>
      <c r="BZ46" s="489" t="s">
        <v>2434</v>
      </c>
      <c r="CA46" s="1506"/>
      <c r="CB46" s="1506"/>
      <c r="CC46" s="0" cm="1" t="str">
        <f t="array" ref="CC46:CC46">CC45</f>
        <v>0</v>
      </c>
      <c r="CD46" s="1752"/>
      <c r="CE46" s="1752"/>
      <c r="CF46" s="1752"/>
      <c r="CG46" s="1752"/>
      <c r="CH46" s="0" t="s">
        <v>2435</v>
      </c>
      <c r="CI46" s="0" t="s">
        <v>303</v>
      </c>
      <c r="CJ46" s="0" t="s">
        <v>2428</v>
      </c>
      <c r="CK46" s="0" t="s">
        <v>2429</v>
      </c>
    </row>
    <row customHeight="1" ht="16.575" hidden="1">
      <c r="A47" s="371"/>
      <c r="B47" s="1011">
        <f>InvestmentSources_is_one_block="да"</f>
        <v>0</v>
      </c>
      <c r="C47" s="1548"/>
      <c r="D47" s="1548"/>
      <c r="E47" s="180">
        <v>17</v>
      </c>
      <c r="F47" s="175" cm="1" t="str">
        <f t="array" ref="F47:F47">OFFSET(G47,-1,-1)</f>
        <v>0</v>
      </c>
      <c r="G47" s="1659"/>
      <c r="H47" s="1659"/>
      <c r="I47" s="1659"/>
      <c r="J47" s="1659"/>
      <c r="K47" s="1659"/>
      <c r="L47" s="1659"/>
      <c r="M47" s="1659"/>
      <c r="N47" s="1659"/>
      <c r="O47" s="1659"/>
      <c r="P47" s="1659"/>
      <c r="Q47" s="1659"/>
      <c r="R47" s="1659"/>
      <c r="S47" s="1659"/>
      <c r="T47" s="176"/>
      <c r="U47" s="1548"/>
      <c r="V47" s="1548"/>
      <c r="W47" s="1548"/>
      <c r="X47" s="1548"/>
      <c r="Y47" s="1548"/>
      <c r="Z47" s="1548"/>
      <c r="AA47" s="1727"/>
      <c r="AB47" s="794">
        <v>4.3</v>
      </c>
      <c r="AC47" s="894" t="s">
        <v>2436</v>
      </c>
      <c r="AD47" s="666" t="s">
        <v>917</v>
      </c>
      <c r="AE47" s="2407"/>
      <c r="AF47" s="2407"/>
      <c r="AG47" s="2407"/>
      <c r="AH47" s="2407"/>
      <c r="AI47" s="561"/>
      <c r="AJ47" s="2407"/>
      <c r="AK47" s="2407"/>
      <c r="AL47" s="2407"/>
      <c r="AM47" s="2407"/>
      <c r="AN47" s="2407"/>
      <c r="AO47" s="2407"/>
      <c r="AP47" s="2407"/>
      <c r="AQ47" s="2407"/>
      <c r="AR47" s="2407"/>
      <c r="AS47" s="2407"/>
      <c r="AT47" s="2407"/>
      <c r="AU47" s="2407"/>
      <c r="AV47" s="2407"/>
      <c r="AW47" s="2407"/>
      <c r="AX47" s="2407"/>
      <c r="AY47" s="2407"/>
      <c r="AZ47" s="2407"/>
      <c r="BA47" s="2407"/>
      <c r="BB47" s="2407"/>
      <c r="BC47" s="561"/>
      <c r="BD47" s="2407"/>
      <c r="BE47" s="2407"/>
      <c r="BF47" s="2407"/>
      <c r="BG47" s="2407"/>
      <c r="BH47" s="2407"/>
      <c r="BI47" s="2407"/>
      <c r="BJ47" s="2407"/>
      <c r="BK47" s="2407"/>
      <c r="BL47" s="2407"/>
      <c r="BM47" s="2407"/>
      <c r="BN47" s="2407"/>
      <c r="BO47" s="2407"/>
      <c r="BP47" s="2407"/>
      <c r="BQ47" s="2407"/>
      <c r="BR47" s="2407"/>
      <c r="BS47" s="2407"/>
      <c r="BT47" s="2407"/>
      <c r="BU47" s="2407"/>
      <c r="BV47" s="2407"/>
      <c r="BW47" s="2402"/>
      <c r="BX47" s="1727"/>
      <c r="BY47" s="969"/>
      <c r="BZ47" s="489" t="s">
        <v>2437</v>
      </c>
      <c r="CA47" s="1506"/>
      <c r="CB47" s="1506"/>
      <c r="CC47" s="0" cm="1" t="str">
        <f t="array" ref="CC47:CC47">CC46</f>
        <v>0</v>
      </c>
      <c r="CD47" s="1752"/>
      <c r="CE47" s="1752"/>
      <c r="CF47" s="1752"/>
      <c r="CG47" s="1752"/>
      <c r="CH47" s="0" t="s">
        <v>2438</v>
      </c>
      <c r="CI47" s="0" t="s">
        <v>303</v>
      </c>
      <c r="CJ47" s="0" t="s">
        <v>2428</v>
      </c>
      <c r="CK47" s="0" t="s">
        <v>2429</v>
      </c>
    </row>
    <row customHeight="1" ht="16.575" hidden="1">
      <c r="A48" s="371"/>
      <c r="B48" s="1011">
        <f>InvestmentSources_is_one_block="да"</f>
        <v>0</v>
      </c>
      <c r="C48" s="1548"/>
      <c r="D48" s="1548"/>
      <c r="E48" s="180">
        <v>17</v>
      </c>
      <c r="F48" s="175" cm="1" t="str">
        <f t="array" ref="F48:F48">OFFSET(G48,-1,-1)</f>
        <v>0</v>
      </c>
      <c r="G48" s="1659"/>
      <c r="H48" s="1659"/>
      <c r="I48" s="1659"/>
      <c r="J48" s="1659"/>
      <c r="K48" s="1659"/>
      <c r="L48" s="1659"/>
      <c r="M48" s="1659"/>
      <c r="N48" s="1659"/>
      <c r="O48" s="1659"/>
      <c r="P48" s="1659"/>
      <c r="Q48" s="1659"/>
      <c r="R48" s="1659"/>
      <c r="S48" s="1659"/>
      <c r="T48" s="176"/>
      <c r="U48" s="1548"/>
      <c r="V48" s="1548"/>
      <c r="W48" s="1548"/>
      <c r="X48" s="1548"/>
      <c r="Y48" s="1548"/>
      <c r="Z48" s="1548"/>
      <c r="AA48" s="1727"/>
      <c r="AB48" s="794">
        <v>5</v>
      </c>
      <c r="AC48" s="894" t="s">
        <v>2439</v>
      </c>
      <c r="AD48" s="666" t="s">
        <v>917</v>
      </c>
      <c r="AE48" s="2407"/>
      <c r="AF48" s="2407"/>
      <c r="AG48" s="2407"/>
      <c r="AH48" s="2407"/>
      <c r="AI48" s="561"/>
      <c r="AJ48" s="2407"/>
      <c r="AK48" s="2407"/>
      <c r="AL48" s="2407"/>
      <c r="AM48" s="2407"/>
      <c r="AN48" s="2407"/>
      <c r="AO48" s="2407"/>
      <c r="AP48" s="2407"/>
      <c r="AQ48" s="2407"/>
      <c r="AR48" s="2407"/>
      <c r="AS48" s="2407"/>
      <c r="AT48" s="2407"/>
      <c r="AU48" s="2407"/>
      <c r="AV48" s="2407"/>
      <c r="AW48" s="2407"/>
      <c r="AX48" s="2407"/>
      <c r="AY48" s="2407"/>
      <c r="AZ48" s="2407"/>
      <c r="BA48" s="2407"/>
      <c r="BB48" s="2407"/>
      <c r="BC48" s="561"/>
      <c r="BD48" s="2407"/>
      <c r="BE48" s="2407"/>
      <c r="BF48" s="2407"/>
      <c r="BG48" s="2407"/>
      <c r="BH48" s="2407"/>
      <c r="BI48" s="2407"/>
      <c r="BJ48" s="2407"/>
      <c r="BK48" s="2407"/>
      <c r="BL48" s="2407"/>
      <c r="BM48" s="2407"/>
      <c r="BN48" s="2407"/>
      <c r="BO48" s="2407"/>
      <c r="BP48" s="2407"/>
      <c r="BQ48" s="2407"/>
      <c r="BR48" s="2407"/>
      <c r="BS48" s="2407"/>
      <c r="BT48" s="2407"/>
      <c r="BU48" s="2407"/>
      <c r="BV48" s="2407"/>
      <c r="BW48" s="2402"/>
      <c r="BX48" s="1727"/>
      <c r="BY48" s="969"/>
      <c r="BZ48" s="489" t="s">
        <v>2440</v>
      </c>
      <c r="CA48" s="1506"/>
      <c r="CB48" s="1506"/>
      <c r="CC48" s="0" cm="1" t="str">
        <f t="array" ref="CC48:CC48">CC47</f>
        <v>0</v>
      </c>
      <c r="CD48" s="0" t="s">
        <v>2441</v>
      </c>
      <c r="CE48" s="1752"/>
      <c r="CF48" s="1752"/>
      <c r="CG48" s="1752"/>
      <c r="CH48" s="1752"/>
      <c r="CI48" s="0" t="s">
        <v>303</v>
      </c>
      <c r="CJ48" s="0" t="s">
        <v>2442</v>
      </c>
      <c r="CK48" s="0" t="s">
        <v>2443</v>
      </c>
    </row>
    <row s="1721" customFormat="1" customHeight="1" ht="16.5" hidden="1">
      <c r="A49" s="371"/>
      <c r="E49" s="966">
        <v>0</v>
      </c>
      <c r="G49" s="308"/>
      <c r="H49" s="308"/>
      <c r="I49" s="308"/>
      <c r="J49" s="308"/>
      <c r="K49" s="308"/>
      <c r="L49" s="308"/>
      <c r="M49" s="308"/>
      <c r="N49" s="308"/>
      <c r="O49" s="308"/>
      <c r="P49" s="308"/>
      <c r="Q49" s="308"/>
      <c r="R49" s="308"/>
      <c r="S49" s="308"/>
      <c r="AA49" s="279"/>
      <c r="AB49" s="239"/>
      <c r="AC49" s="279"/>
      <c r="AD49" s="495"/>
      <c r="AE49" s="495"/>
      <c r="AF49" s="495"/>
      <c r="AG49" s="495"/>
      <c r="AH49" s="495"/>
      <c r="AI49" s="279"/>
      <c r="AJ49" s="279"/>
      <c r="AK49" s="279"/>
      <c r="AL49" s="279"/>
      <c r="AM49" s="279"/>
      <c r="AN49" s="279"/>
      <c r="AO49" s="279"/>
      <c r="AP49" s="279"/>
      <c r="AQ49" s="279"/>
      <c r="AR49" s="279"/>
      <c r="AS49" s="279"/>
      <c r="AT49" s="279"/>
      <c r="AU49" s="279"/>
      <c r="AV49" s="279"/>
      <c r="AW49" s="279"/>
      <c r="AX49" s="279"/>
      <c r="AY49" s="279"/>
      <c r="AZ49" s="279"/>
      <c r="BA49" s="279"/>
      <c r="BB49" s="279"/>
      <c r="BC49" s="279"/>
      <c r="BD49" s="279"/>
      <c r="BE49" s="279"/>
      <c r="BF49" s="279"/>
      <c r="BG49" s="279"/>
      <c r="BH49" s="279"/>
      <c r="BI49" s="279"/>
      <c r="BJ49" s="279"/>
      <c r="BK49" s="279"/>
      <c r="BL49" s="279"/>
      <c r="BM49" s="279"/>
      <c r="BN49" s="279"/>
      <c r="BO49" s="279"/>
      <c r="BP49" s="279"/>
      <c r="BQ49" s="279"/>
      <c r="BR49" s="279"/>
      <c r="BS49" s="279"/>
      <c r="BT49" s="279"/>
      <c r="BU49" s="279"/>
      <c r="BV49" s="279"/>
      <c r="BW49" s="495"/>
      <c r="BX49" s="279"/>
      <c r="BZ49" s="489"/>
      <c r="CC49" s="0"/>
      <c r="CD49" s="0"/>
      <c r="CE49" s="0"/>
      <c r="CF49" s="0"/>
      <c r="CG49" s="0"/>
      <c r="CH49" s="0"/>
      <c r="CI49" s="0"/>
      <c r="CJ49" s="0"/>
      <c r="CK49" s="0"/>
    </row>
    <row customHeight="1" ht="10.725000000000001" hidden="1">
      <c r="B50" s="192">
        <f>InvestmentSources_is_one_block="нет"</f>
        <v>1</v>
      </c>
      <c r="E50" s="180">
        <v>11</v>
      </c>
      <c r="F50" s="175" cm="1" t="str">
        <f t="array" ref="F50:F50">X50</f>
        <v>0</v>
      </c>
      <c r="T50" s="753">
        <f>X50&gt;0</f>
        <v>0</v>
      </c>
      <c r="V50" s="175" t="s">
        <v>266</v>
      </c>
      <c r="X50" s="175">
        <v>0</v>
      </c>
      <c r="AB50" s="688" cm="1" t="str">
        <f t="array" ref="AB50:AB50">INDEX('Общие сведения'!$AG$169:$AG$202,MATCH($F50,'Общие сведения'!$Y$169:$Y$202,0))</f>
        <v>Тариф 0 (Теплоснабжение) - </v>
      </c>
      <c r="AC50" s="334"/>
      <c r="AD50" s="335"/>
      <c r="AE50" s="335"/>
      <c r="AF50" s="335"/>
      <c r="AG50" s="335"/>
      <c r="AH50" s="335"/>
      <c r="AI50" s="335"/>
      <c r="AJ50" s="335"/>
      <c r="AK50" s="335"/>
      <c r="AL50" s="335"/>
      <c r="AM50" s="335"/>
      <c r="AN50" s="335"/>
      <c r="AO50" s="335"/>
      <c r="AP50" s="335"/>
      <c r="AQ50" s="335"/>
      <c r="AR50" s="335"/>
      <c r="AS50" s="335"/>
      <c r="AT50" s="335"/>
      <c r="AU50" s="335"/>
      <c r="AV50" s="335"/>
      <c r="AW50" s="335"/>
      <c r="AX50" s="335"/>
      <c r="AY50" s="335"/>
      <c r="AZ50" s="335"/>
      <c r="BA50" s="335"/>
      <c r="BB50" s="335"/>
      <c r="BC50" s="335"/>
      <c r="BD50" s="335"/>
      <c r="BE50" s="335"/>
      <c r="BF50" s="335"/>
      <c r="BG50" s="335"/>
      <c r="BH50" s="335"/>
      <c r="BI50" s="335"/>
      <c r="BJ50" s="335"/>
      <c r="BK50" s="335"/>
      <c r="BL50" s="335"/>
      <c r="BM50" s="335"/>
      <c r="BN50" s="335"/>
      <c r="BO50" s="335"/>
      <c r="BP50" s="335"/>
      <c r="BQ50" s="335"/>
      <c r="BR50" s="335"/>
      <c r="BS50" s="335"/>
      <c r="BT50" s="335"/>
      <c r="BU50" s="335"/>
      <c r="BV50" s="335"/>
      <c r="BW50" s="335"/>
    </row>
    <row s="986" customFormat="1" customHeight="1" ht="22.425" hidden="1">
      <c r="B51" s="192">
        <f>InvestmentSources_is_one_block="нет"</f>
        <v>1</v>
      </c>
      <c r="E51" s="180">
        <v>23</v>
      </c>
      <c r="F51" s="175" cm="1" t="str">
        <f t="array" ref="F51:F51">OFFSET(G51,-1,-1)</f>
        <v>0</v>
      </c>
      <c r="T51" s="753" cm="1" t="str">
        <f t="array" ref="T51:T51">T50</f>
        <v>false</v>
      </c>
      <c r="AB51" s="838"/>
      <c r="AC51" s="839" t="s">
        <v>2392</v>
      </c>
      <c r="AD51" s="840" t="s">
        <v>917</v>
      </c>
      <c r="AE51" s="692">
        <f>AE52+AE61+AE65+AE69+AE60</f>
        <v>0</v>
      </c>
      <c r="AF51" s="692">
        <f>AF52+AF61+AF65+AF69+AF60</f>
        <v>0</v>
      </c>
      <c r="AG51" s="692">
        <f>AG52+AG61+AG65+AG69+AG60</f>
        <v>0</v>
      </c>
      <c r="AH51" s="692">
        <f>AH52+AH61+AH65+AH69+AH60</f>
        <v>0</v>
      </c>
      <c r="AI51" s="692">
        <f>AI52+AI61+AI65+AI69+AI60</f>
        <v>0</v>
      </c>
      <c r="AJ51" s="692">
        <f>AJ52+AJ61+AJ65+AJ69+AJ60</f>
        <v>0</v>
      </c>
      <c r="AK51" s="692">
        <f>AK52+AK61+AK65+AK69+AK60</f>
        <v>0</v>
      </c>
      <c r="AL51" s="692">
        <f>AL52+AL61+AL65+AL69+AL60</f>
        <v>0</v>
      </c>
      <c r="AM51" s="692">
        <f>AM52+AM61+AM65+AM69+AM60</f>
        <v>0</v>
      </c>
      <c r="AN51" s="692">
        <f>AN52+AN61+AN65+AN69+AN60</f>
        <v>0</v>
      </c>
      <c r="AO51" s="692">
        <f>AO52+AO61+AO65+AO69+AO60</f>
        <v>0</v>
      </c>
      <c r="AP51" s="692">
        <f>AP52+AP61+AP65+AP69+AP60</f>
        <v>0</v>
      </c>
      <c r="AQ51" s="692">
        <f>AQ52+AQ61+AQ65+AQ69+AQ60</f>
        <v>0</v>
      </c>
      <c r="AR51" s="692">
        <f>AR52+AR61+AR65+AR69+AR60</f>
        <v>0</v>
      </c>
      <c r="AS51" s="692">
        <f>AS52+AS61+AS65+AS69+AS60</f>
        <v>0</v>
      </c>
      <c r="AT51" s="692">
        <f>AT52+AT61+AT65+AT69+AT60</f>
        <v>0</v>
      </c>
      <c r="AU51" s="692">
        <f>AU52+AU61+AU65+AU69+AU60</f>
        <v>0</v>
      </c>
      <c r="AV51" s="692">
        <f>AV52+AV61+AV65+AV69+AV60</f>
        <v>0</v>
      </c>
      <c r="AW51" s="692">
        <f>AW52+AW61+AW65+AW69+AW60</f>
        <v>0</v>
      </c>
      <c r="AX51" s="692">
        <f>AX52+AX61+AX65+AX69+AX60</f>
        <v>0</v>
      </c>
      <c r="AY51" s="692">
        <f>AY52+AY61+AY65+AY69+AY60</f>
        <v>0</v>
      </c>
      <c r="AZ51" s="692">
        <f>AZ52+AZ61+AZ65+AZ69+AZ60</f>
        <v>0</v>
      </c>
      <c r="BA51" s="692">
        <f>BA52+BA61+BA65+BA69+BA60</f>
        <v>0</v>
      </c>
      <c r="BB51" s="692">
        <f>BB52+BB61+BB65+BB69+BB60</f>
        <v>0</v>
      </c>
      <c r="BC51" s="692">
        <f>BC52+BC61+BC65+BC69+BC60</f>
        <v>0</v>
      </c>
      <c r="BD51" s="692">
        <f>BD52+BD61+BD65+BD69+BD60</f>
        <v>0</v>
      </c>
      <c r="BE51" s="692">
        <f>BE52+BE61+BE65+BE69+BE60</f>
        <v>0</v>
      </c>
      <c r="BF51" s="692">
        <f>BF52+BF61+BF65+BF69+BF60</f>
        <v>0</v>
      </c>
      <c r="BG51" s="692">
        <f>BG52+BG61+BG65+BG69+BG60</f>
        <v>0</v>
      </c>
      <c r="BH51" s="692">
        <f>BH52+BH61+BH65+BH69+BH60</f>
        <v>0</v>
      </c>
      <c r="BI51" s="692">
        <f>BI52+BI61+BI65+BI69+BI60</f>
        <v>0</v>
      </c>
      <c r="BJ51" s="692">
        <f>BJ52+BJ61+BJ65+BJ69+BJ60</f>
        <v>0</v>
      </c>
      <c r="BK51" s="692">
        <f>BK52+BK61+BK65+BK69+BK60</f>
        <v>0</v>
      </c>
      <c r="BL51" s="692">
        <f>BL52+BL61+BL65+BL69+BL60</f>
        <v>0</v>
      </c>
      <c r="BM51" s="692">
        <f>BM52+BM61+BM65+BM69+BM60</f>
        <v>0</v>
      </c>
      <c r="BN51" s="692">
        <f>BN52+BN61+BN65+BN69+BN60</f>
        <v>0</v>
      </c>
      <c r="BO51" s="692">
        <f>BO52+BO61+BO65+BO69+BO60</f>
        <v>0</v>
      </c>
      <c r="BP51" s="692">
        <f>BP52+BP61+BP65+BP69+BP60</f>
        <v>0</v>
      </c>
      <c r="BQ51" s="692">
        <f>BQ52+BQ61+BQ65+BQ69+BQ60</f>
        <v>0</v>
      </c>
      <c r="BR51" s="692">
        <f>BR52+BR61+BR65+BR69+BR60</f>
        <v>0</v>
      </c>
      <c r="BS51" s="692">
        <f>BS52+BS61+BS65+BS69+BS60</f>
        <v>0</v>
      </c>
      <c r="BT51" s="692">
        <f>BT52+BT61+BT65+BT69+BT60</f>
        <v>0</v>
      </c>
      <c r="BU51" s="692">
        <f>BU52+BU61+BU65+BU69+BU60</f>
        <v>0</v>
      </c>
      <c r="BV51" s="692">
        <f>BV52+BV61+BV65+BV69+BV60</f>
        <v>0</v>
      </c>
      <c r="BW51" s="83"/>
      <c r="BZ51" s="489" t="s">
        <v>630</v>
      </c>
      <c r="CC51" s="0" cm="1" t="str">
        <f t="array" ref="CC51:CC51">INDEX('Общие сведения'!$N$170:$N$202,MATCH($F51,'Общие сведения'!$Y$170:$Y$202,0)+1)</f>
        <v>0</v>
      </c>
      <c r="CD51" s="0" t="s">
        <v>2393</v>
      </c>
      <c r="CI51" s="0" t="s">
        <v>303</v>
      </c>
      <c r="CJ51" s="0" t="s">
        <v>2394</v>
      </c>
      <c r="CK51" s="0" t="s">
        <v>2395</v>
      </c>
    </row>
    <row customHeight="1" ht="16.575" hidden="1">
      <c r="B52" s="192">
        <f>InvestmentSources_is_one_block="нет"</f>
        <v>1</v>
      </c>
      <c r="E52" s="180">
        <v>17</v>
      </c>
      <c r="F52" s="175" cm="1" t="str">
        <f t="array" ref="F52:F52">OFFSET(G52,-1,-1)</f>
        <v>0</v>
      </c>
      <c r="T52" s="753" cm="1" t="str">
        <f t="array" ref="T52:T52">T51</f>
        <v>false</v>
      </c>
      <c r="AB52" s="384">
        <v>1</v>
      </c>
      <c r="AC52" s="842" t="s">
        <v>2396</v>
      </c>
      <c r="AD52" s="666" t="s">
        <v>917</v>
      </c>
      <c r="AE52" s="695">
        <f>AE53+AE54+AE55+AE58+AE59</f>
        <v>0</v>
      </c>
      <c r="AF52" s="695">
        <f>AF53+AF54+AF55+AF58+AF59</f>
        <v>0</v>
      </c>
      <c r="AG52" s="695">
        <f>AG53+AG54+AG55+AG58+AG59</f>
        <v>0</v>
      </c>
      <c r="AH52" s="695">
        <f>AH53+AH54+AH55+AH58+AH59</f>
        <v>0</v>
      </c>
      <c r="AI52" s="695">
        <f>AI53+AI54+AI55+AI58+AI59</f>
        <v>0</v>
      </c>
      <c r="AJ52" s="695">
        <f>AJ53+AJ54+AJ55+AJ58+AJ59</f>
        <v>0</v>
      </c>
      <c r="AK52" s="695">
        <f>AK53+AK54+AK55+AK58+AK59</f>
        <v>0</v>
      </c>
      <c r="AL52" s="695">
        <f>AL53+AL54+AL55+AL58+AL59</f>
        <v>0</v>
      </c>
      <c r="AM52" s="695">
        <f>AM53+AM54+AM55+AM58+AM59</f>
        <v>0</v>
      </c>
      <c r="AN52" s="695">
        <f>AN53+AN54+AN55+AN58+AN59</f>
        <v>0</v>
      </c>
      <c r="AO52" s="695">
        <f>AO53+AO54+AO55+AO58+AO59</f>
        <v>0</v>
      </c>
      <c r="AP52" s="695">
        <f>AP53+AP54+AP55+AP58+AP59</f>
        <v>0</v>
      </c>
      <c r="AQ52" s="695">
        <f>AQ53+AQ54+AQ55+AQ58+AQ59</f>
        <v>0</v>
      </c>
      <c r="AR52" s="695">
        <f>AR53+AR54+AR55+AR58+AR59</f>
        <v>0</v>
      </c>
      <c r="AS52" s="695">
        <f>AS53+AS54+AS55+AS58+AS59</f>
        <v>0</v>
      </c>
      <c r="AT52" s="695">
        <f>AT53+AT54+AT55+AT58+AT59</f>
        <v>0</v>
      </c>
      <c r="AU52" s="695">
        <f>AU53+AU54+AU55+AU58+AU59</f>
        <v>0</v>
      </c>
      <c r="AV52" s="695">
        <f>AV53+AV54+AV55+AV58+AV59</f>
        <v>0</v>
      </c>
      <c r="AW52" s="695">
        <f>AW53+AW54+AW55+AW58+AW59</f>
        <v>0</v>
      </c>
      <c r="AX52" s="695">
        <f>AX53+AX54+AX55+AX58+AX59</f>
        <v>0</v>
      </c>
      <c r="AY52" s="695">
        <f>AY53+AY54+AY55+AY58+AY59</f>
        <v>0</v>
      </c>
      <c r="AZ52" s="695">
        <f>AZ53+AZ54+AZ55+AZ58+AZ59</f>
        <v>0</v>
      </c>
      <c r="BA52" s="695">
        <f>BA53+BA54+BA55+BA58+BA59</f>
        <v>0</v>
      </c>
      <c r="BB52" s="695">
        <f>BB53+BB54+BB55+BB58+BB59</f>
        <v>0</v>
      </c>
      <c r="BC52" s="695">
        <f>BC53+BC54+BC55+BC58+BC59</f>
        <v>0</v>
      </c>
      <c r="BD52" s="695">
        <f>BD53+BD54+BD55+BD58+BD59</f>
        <v>0</v>
      </c>
      <c r="BE52" s="695">
        <f>BE53+BE54+BE55+BE58+BE59</f>
        <v>0</v>
      </c>
      <c r="BF52" s="695">
        <f>BF53+BF54+BF55+BF58+BF59</f>
        <v>0</v>
      </c>
      <c r="BG52" s="695">
        <f>BG53+BG54+BG55+BG58+BG59</f>
        <v>0</v>
      </c>
      <c r="BH52" s="695">
        <f>BH53+BH54+BH55+BH58+BH59</f>
        <v>0</v>
      </c>
      <c r="BI52" s="695">
        <f>BI53+BI54+BI55+BI58+BI59</f>
        <v>0</v>
      </c>
      <c r="BJ52" s="695">
        <f>BJ53+BJ54+BJ55+BJ58+BJ59</f>
        <v>0</v>
      </c>
      <c r="BK52" s="695">
        <f>BK53+BK54+BK55+BK58+BK59</f>
        <v>0</v>
      </c>
      <c r="BL52" s="695">
        <f>BL53+BL54+BL55+BL58+BL59</f>
        <v>0</v>
      </c>
      <c r="BM52" s="695">
        <f>BM53+BM54+BM55+BM58+BM59</f>
        <v>0</v>
      </c>
      <c r="BN52" s="695">
        <f>BN53+BN54+BN55+BN58+BN59</f>
        <v>0</v>
      </c>
      <c r="BO52" s="695">
        <f>BO53+BO54+BO55+BO58+BO59</f>
        <v>0</v>
      </c>
      <c r="BP52" s="695">
        <f>BP53+BP54+BP55+BP58+BP59</f>
        <v>0</v>
      </c>
      <c r="BQ52" s="695">
        <f>BQ53+BQ54+BQ55+BQ58+BQ59</f>
        <v>0</v>
      </c>
      <c r="BR52" s="695">
        <f>BR53+BR54+BR55+BR58+BR59</f>
        <v>0</v>
      </c>
      <c r="BS52" s="695">
        <f>BS53+BS54+BS55+BS58+BS59</f>
        <v>0</v>
      </c>
      <c r="BT52" s="695">
        <f>BT53+BT54+BT55+BT58+BT59</f>
        <v>0</v>
      </c>
      <c r="BU52" s="695">
        <f>BU53+BU54+BU55+BU58+BU59</f>
        <v>0</v>
      </c>
      <c r="BV52" s="695">
        <f>BV53+BV54+BV55+BV58+BV59</f>
        <v>0</v>
      </c>
      <c r="BW52" s="83"/>
      <c r="BZ52" s="489" t="s">
        <v>652</v>
      </c>
      <c r="CC52" s="0" cm="1" t="str">
        <f t="array" ref="CC52:CC52">CC51</f>
        <v>0</v>
      </c>
      <c r="CD52" s="0" t="s">
        <v>1911</v>
      </c>
      <c r="CI52" s="0" t="s">
        <v>303</v>
      </c>
      <c r="CJ52" s="0" t="s">
        <v>2394</v>
      </c>
      <c r="CK52" s="0" t="s">
        <v>2395</v>
      </c>
    </row>
    <row customHeight="1" ht="22.425" hidden="1">
      <c r="B53" s="192">
        <f>InvestmentSources_is_one_block="нет"</f>
        <v>1</v>
      </c>
      <c r="E53" s="180">
        <v>23</v>
      </c>
      <c r="F53" s="175" cm="1" t="str">
        <f t="array" ref="F53:F53">OFFSET(G53,-1,-1)</f>
        <v>0</v>
      </c>
      <c r="T53" s="753" cm="1" t="str">
        <f t="array" ref="T53:T53">T52</f>
        <v>false</v>
      </c>
      <c r="AB53" s="794">
        <v>1.1</v>
      </c>
      <c r="AC53" s="842" t="s">
        <v>2397</v>
      </c>
      <c r="AD53" s="666" t="s">
        <v>917</v>
      </c>
      <c r="AE53" s="100"/>
      <c r="AF53" s="100"/>
      <c r="AG53" s="100"/>
      <c r="AH53" s="100"/>
      <c r="AI53" s="561"/>
      <c r="AJ53" s="100"/>
      <c r="AK53" s="100"/>
      <c r="AL53" s="100"/>
      <c r="AM53" s="100"/>
      <c r="AN53" s="100"/>
      <c r="AO53" s="100"/>
      <c r="AP53" s="100"/>
      <c r="AQ53" s="100"/>
      <c r="AR53" s="100"/>
      <c r="AS53" s="100"/>
      <c r="AT53" s="100"/>
      <c r="AU53" s="100"/>
      <c r="AV53" s="100"/>
      <c r="AW53" s="100"/>
      <c r="AX53" s="100"/>
      <c r="AY53" s="100"/>
      <c r="AZ53" s="100"/>
      <c r="BA53" s="100"/>
      <c r="BB53" s="100"/>
      <c r="BC53" s="561"/>
      <c r="BD53" s="100"/>
      <c r="BE53" s="100"/>
      <c r="BF53" s="100"/>
      <c r="BG53" s="100"/>
      <c r="BH53" s="100"/>
      <c r="BI53" s="100"/>
      <c r="BJ53" s="100"/>
      <c r="BK53" s="100"/>
      <c r="BL53" s="100"/>
      <c r="BM53" s="100"/>
      <c r="BN53" s="100"/>
      <c r="BO53" s="100"/>
      <c r="BP53" s="100"/>
      <c r="BQ53" s="100"/>
      <c r="BR53" s="100"/>
      <c r="BS53" s="100"/>
      <c r="BT53" s="100"/>
      <c r="BU53" s="100"/>
      <c r="BV53" s="100"/>
      <c r="BW53" s="83"/>
      <c r="BZ53" s="489" t="s">
        <v>1661</v>
      </c>
      <c r="CC53" s="0" cm="1" t="str">
        <f t="array" ref="CC53:CC53">CC52</f>
        <v>0</v>
      </c>
      <c r="CD53" s="0" t="s">
        <v>1915</v>
      </c>
      <c r="CI53" s="0" t="s">
        <v>303</v>
      </c>
      <c r="CJ53" s="0" t="s">
        <v>2394</v>
      </c>
      <c r="CK53" s="0" t="s">
        <v>2395</v>
      </c>
    </row>
    <row customHeight="1" ht="33.15" hidden="1">
      <c r="B54" s="192">
        <f>InvestmentSources_is_one_block="нет"</f>
        <v>1</v>
      </c>
      <c r="E54" s="180">
        <v>34</v>
      </c>
      <c r="F54" s="175" cm="1" t="str">
        <f t="array" ref="F54:F54">OFFSET(G54,-1,-1)</f>
        <v>0</v>
      </c>
      <c r="T54" s="753" cm="1" t="str">
        <f t="array" ref="T54:T54">T53</f>
        <v>false</v>
      </c>
      <c r="AB54" s="794">
        <v>1.2</v>
      </c>
      <c r="AC54" s="842" t="s">
        <v>2398</v>
      </c>
      <c r="AD54" s="666" t="s">
        <v>917</v>
      </c>
      <c r="AE54" s="100"/>
      <c r="AF54" s="100"/>
      <c r="AG54" s="100"/>
      <c r="AH54" s="100"/>
      <c r="AI54" s="561"/>
      <c r="AJ54" s="100"/>
      <c r="AK54" s="100"/>
      <c r="AL54" s="100"/>
      <c r="AM54" s="100"/>
      <c r="AN54" s="100"/>
      <c r="AO54" s="100"/>
      <c r="AP54" s="100"/>
      <c r="AQ54" s="100"/>
      <c r="AR54" s="100"/>
      <c r="AS54" s="100"/>
      <c r="AT54" s="100"/>
      <c r="AU54" s="100"/>
      <c r="AV54" s="100"/>
      <c r="AW54" s="100"/>
      <c r="AX54" s="100"/>
      <c r="AY54" s="100"/>
      <c r="AZ54" s="100"/>
      <c r="BA54" s="100"/>
      <c r="BB54" s="100"/>
      <c r="BC54" s="561"/>
      <c r="BD54" s="100"/>
      <c r="BE54" s="100"/>
      <c r="BF54" s="100"/>
      <c r="BG54" s="100"/>
      <c r="BH54" s="100"/>
      <c r="BI54" s="100"/>
      <c r="BJ54" s="100"/>
      <c r="BK54" s="100"/>
      <c r="BL54" s="100"/>
      <c r="BM54" s="100"/>
      <c r="BN54" s="100"/>
      <c r="BO54" s="100"/>
      <c r="BP54" s="100"/>
      <c r="BQ54" s="100"/>
      <c r="BR54" s="100"/>
      <c r="BS54" s="100"/>
      <c r="BT54" s="100"/>
      <c r="BU54" s="100"/>
      <c r="BV54" s="100"/>
      <c r="BW54" s="83"/>
      <c r="BZ54" s="489" t="s">
        <v>2399</v>
      </c>
      <c r="CC54" s="0" cm="1" t="str">
        <f t="array" ref="CC54:CC54">CC53</f>
        <v>0</v>
      </c>
      <c r="CF54" s="0" t="s">
        <v>2400</v>
      </c>
      <c r="CI54" s="0" t="s">
        <v>303</v>
      </c>
      <c r="CJ54" s="0" t="s">
        <v>2394</v>
      </c>
      <c r="CK54" s="0" t="s">
        <v>2395</v>
      </c>
    </row>
    <row customHeight="1" ht="16.575" hidden="1">
      <c r="B55" s="192">
        <f>InvestmentSources_is_one_block="нет"</f>
        <v>1</v>
      </c>
      <c r="E55" s="180">
        <v>17</v>
      </c>
      <c r="F55" s="175" cm="1" t="str">
        <f t="array" ref="F55:F55">OFFSET(G55,-1,-1)</f>
        <v>0</v>
      </c>
      <c r="T55" s="753" cm="1" t="str">
        <f t="array" ref="T55:T55">T54</f>
        <v>false</v>
      </c>
      <c r="AB55" s="794">
        <v>1.3</v>
      </c>
      <c r="AC55" s="842" t="s">
        <v>2401</v>
      </c>
      <c r="AD55" s="666" t="s">
        <v>917</v>
      </c>
      <c r="AE55" s="100"/>
      <c r="AF55" s="100"/>
      <c r="AG55" s="100"/>
      <c r="AH55" s="100"/>
      <c r="AI55" s="561"/>
      <c r="AJ55" s="100"/>
      <c r="AK55" s="100"/>
      <c r="AL55" s="100"/>
      <c r="AM55" s="100"/>
      <c r="AN55" s="100"/>
      <c r="AO55" s="100"/>
      <c r="AP55" s="100"/>
      <c r="AQ55" s="100"/>
      <c r="AR55" s="100"/>
      <c r="AS55" s="100"/>
      <c r="AT55" s="100"/>
      <c r="AU55" s="100"/>
      <c r="AV55" s="100"/>
      <c r="AW55" s="100"/>
      <c r="AX55" s="100"/>
      <c r="AY55" s="100"/>
      <c r="AZ55" s="100"/>
      <c r="BA55" s="100"/>
      <c r="BB55" s="100"/>
      <c r="BC55" s="561"/>
      <c r="BD55" s="100"/>
      <c r="BE55" s="100"/>
      <c r="BF55" s="100"/>
      <c r="BG55" s="100"/>
      <c r="BH55" s="100"/>
      <c r="BI55" s="100"/>
      <c r="BJ55" s="100"/>
      <c r="BK55" s="100"/>
      <c r="BL55" s="100"/>
      <c r="BM55" s="100"/>
      <c r="BN55" s="100"/>
      <c r="BO55" s="100"/>
      <c r="BP55" s="100"/>
      <c r="BQ55" s="100"/>
      <c r="BR55" s="100"/>
      <c r="BS55" s="100"/>
      <c r="BT55" s="100"/>
      <c r="BU55" s="100"/>
      <c r="BV55" s="100"/>
      <c r="BW55" s="83"/>
      <c r="BZ55" s="489" t="s">
        <v>1676</v>
      </c>
      <c r="CC55" s="0" cm="1" t="str">
        <f t="array" ref="CC55:CC55">CC54</f>
        <v>0</v>
      </c>
      <c r="CE55" s="0" t="s">
        <v>1523</v>
      </c>
      <c r="CI55" s="0" t="s">
        <v>303</v>
      </c>
      <c r="CJ55" s="0" t="s">
        <v>2394</v>
      </c>
      <c r="CK55" s="0" t="s">
        <v>2395</v>
      </c>
    </row>
    <row customHeight="1" ht="22.425" hidden="1">
      <c r="B56" s="192">
        <f>InvestmentSources_is_one_block="нет"</f>
        <v>1</v>
      </c>
      <c r="E56" s="180">
        <v>23</v>
      </c>
      <c r="F56" s="175" cm="1" t="str">
        <f t="array" ref="F56:F56">OFFSET(G56,-1,-1)</f>
        <v>0</v>
      </c>
      <c r="T56" s="753" cm="1" t="str">
        <f t="array" ref="T56:T56">T55</f>
        <v>false</v>
      </c>
      <c r="AB56" s="794" t="s">
        <v>1360</v>
      </c>
      <c r="AC56" s="842" t="s">
        <v>2402</v>
      </c>
      <c r="AD56" s="666" t="s">
        <v>917</v>
      </c>
      <c r="AE56" s="100"/>
      <c r="AF56" s="100"/>
      <c r="AG56" s="100"/>
      <c r="AH56" s="100"/>
      <c r="AI56" s="561"/>
      <c r="AJ56" s="100"/>
      <c r="AK56" s="100"/>
      <c r="AL56" s="100"/>
      <c r="AM56" s="100"/>
      <c r="AN56" s="100"/>
      <c r="AO56" s="100"/>
      <c r="AP56" s="100"/>
      <c r="AQ56" s="100"/>
      <c r="AR56" s="100"/>
      <c r="AS56" s="100"/>
      <c r="AT56" s="100"/>
      <c r="AU56" s="100"/>
      <c r="AV56" s="100"/>
      <c r="AW56" s="100"/>
      <c r="AX56" s="100"/>
      <c r="AY56" s="100"/>
      <c r="AZ56" s="100"/>
      <c r="BA56" s="100"/>
      <c r="BB56" s="100"/>
      <c r="BC56" s="561"/>
      <c r="BD56" s="100"/>
      <c r="BE56" s="100"/>
      <c r="BF56" s="100"/>
      <c r="BG56" s="100"/>
      <c r="BH56" s="100"/>
      <c r="BI56" s="100"/>
      <c r="BJ56" s="100"/>
      <c r="BK56" s="100"/>
      <c r="BL56" s="100"/>
      <c r="BM56" s="100"/>
      <c r="BN56" s="100"/>
      <c r="BO56" s="100"/>
      <c r="BP56" s="100"/>
      <c r="BQ56" s="100"/>
      <c r="BR56" s="100"/>
      <c r="BS56" s="100"/>
      <c r="BT56" s="100"/>
      <c r="BU56" s="100"/>
      <c r="BV56" s="100"/>
      <c r="BW56" s="83"/>
      <c r="BZ56" s="489" t="s">
        <v>2403</v>
      </c>
      <c r="CC56" s="0" cm="1" t="str">
        <f t="array" ref="CC56:CC56">CC55</f>
        <v>0</v>
      </c>
      <c r="CD56" s="0" t="s">
        <v>2404</v>
      </c>
      <c r="CI56" s="0" t="s">
        <v>303</v>
      </c>
      <c r="CJ56" s="0" t="s">
        <v>2394</v>
      </c>
      <c r="CK56" s="0" t="s">
        <v>2395</v>
      </c>
    </row>
    <row customHeight="1" ht="55.57500000000001" hidden="1">
      <c r="B57" s="192">
        <f>InvestmentSources_is_one_block="нет"</f>
        <v>1</v>
      </c>
      <c r="E57" s="180">
        <v>57</v>
      </c>
      <c r="F57" s="175" cm="1" t="str">
        <f t="array" ref="F57:F57">OFFSET(G57,-1,-1)</f>
        <v>0</v>
      </c>
      <c r="T57" s="753" cm="1" t="str">
        <f t="array" ref="T57:T57">T56</f>
        <v>false</v>
      </c>
      <c r="AB57" s="794" t="s">
        <v>1366</v>
      </c>
      <c r="AC57" s="842" t="s">
        <v>2405</v>
      </c>
      <c r="AD57" s="666" t="s">
        <v>917</v>
      </c>
      <c r="AE57" s="100"/>
      <c r="AF57" s="100"/>
      <c r="AG57" s="100"/>
      <c r="AH57" s="100"/>
      <c r="AI57" s="561"/>
      <c r="AJ57" s="100"/>
      <c r="AK57" s="100"/>
      <c r="AL57" s="100"/>
      <c r="AM57" s="100"/>
      <c r="AN57" s="100"/>
      <c r="AO57" s="100"/>
      <c r="AP57" s="100"/>
      <c r="AQ57" s="100"/>
      <c r="AR57" s="100"/>
      <c r="AS57" s="100"/>
      <c r="AT57" s="100"/>
      <c r="AU57" s="100"/>
      <c r="AV57" s="100"/>
      <c r="AW57" s="100"/>
      <c r="AX57" s="100"/>
      <c r="AY57" s="100"/>
      <c r="AZ57" s="100"/>
      <c r="BA57" s="100"/>
      <c r="BB57" s="100"/>
      <c r="BC57" s="561"/>
      <c r="BD57" s="100"/>
      <c r="BE57" s="100"/>
      <c r="BF57" s="100"/>
      <c r="BG57" s="100"/>
      <c r="BH57" s="100"/>
      <c r="BI57" s="100"/>
      <c r="BJ57" s="100"/>
      <c r="BK57" s="100"/>
      <c r="BL57" s="100"/>
      <c r="BM57" s="100"/>
      <c r="BN57" s="100"/>
      <c r="BO57" s="100"/>
      <c r="BP57" s="100"/>
      <c r="BQ57" s="100"/>
      <c r="BR57" s="100"/>
      <c r="BS57" s="100"/>
      <c r="BT57" s="100"/>
      <c r="BU57" s="100"/>
      <c r="BV57" s="100"/>
      <c r="BW57" s="83"/>
      <c r="BZ57" s="489" t="s">
        <v>2406</v>
      </c>
      <c r="CC57" s="0" cm="1" t="str">
        <f t="array" ref="CC57:CC57">CC56</f>
        <v>0</v>
      </c>
      <c r="CF57" s="0" t="s">
        <v>2407</v>
      </c>
      <c r="CI57" s="0" t="s">
        <v>303</v>
      </c>
      <c r="CJ57" s="0" t="s">
        <v>2394</v>
      </c>
      <c r="CK57" s="0" t="s">
        <v>2395</v>
      </c>
    </row>
    <row customHeight="1" ht="44.85" hidden="1">
      <c r="B58" s="192">
        <f>InvestmentSources_is_one_block="нет"</f>
        <v>1</v>
      </c>
      <c r="E58" s="180">
        <v>46</v>
      </c>
      <c r="F58" s="175" cm="1" t="str">
        <f t="array" ref="F58:F58">OFFSET(G58,-1,-1)</f>
        <v>0</v>
      </c>
      <c r="T58" s="753" cm="1" t="str">
        <f t="array" ref="T58:T58">T57</f>
        <v>false</v>
      </c>
      <c r="AB58" s="794">
        <v>1.4</v>
      </c>
      <c r="AC58" s="842" t="s">
        <v>2408</v>
      </c>
      <c r="AD58" s="666" t="s">
        <v>917</v>
      </c>
      <c r="AE58" s="100"/>
      <c r="AF58" s="100"/>
      <c r="AG58" s="100"/>
      <c r="AH58" s="100"/>
      <c r="AI58" s="561"/>
      <c r="AJ58" s="100"/>
      <c r="AK58" s="100"/>
      <c r="AL58" s="100"/>
      <c r="AM58" s="100"/>
      <c r="AN58" s="100"/>
      <c r="AO58" s="100"/>
      <c r="AP58" s="100"/>
      <c r="AQ58" s="100"/>
      <c r="AR58" s="100"/>
      <c r="AS58" s="100"/>
      <c r="AT58" s="100"/>
      <c r="AU58" s="100"/>
      <c r="AV58" s="100"/>
      <c r="AW58" s="100"/>
      <c r="AX58" s="100"/>
      <c r="AY58" s="100"/>
      <c r="AZ58" s="100"/>
      <c r="BA58" s="100"/>
      <c r="BB58" s="100"/>
      <c r="BC58" s="561"/>
      <c r="BD58" s="100"/>
      <c r="BE58" s="100"/>
      <c r="BF58" s="100"/>
      <c r="BG58" s="100"/>
      <c r="BH58" s="100"/>
      <c r="BI58" s="100"/>
      <c r="BJ58" s="100"/>
      <c r="BK58" s="100"/>
      <c r="BL58" s="100"/>
      <c r="BM58" s="100"/>
      <c r="BN58" s="100"/>
      <c r="BO58" s="100"/>
      <c r="BP58" s="100"/>
      <c r="BQ58" s="100"/>
      <c r="BR58" s="100"/>
      <c r="BS58" s="100"/>
      <c r="BT58" s="100"/>
      <c r="BU58" s="100"/>
      <c r="BV58" s="100"/>
      <c r="BW58" s="83"/>
      <c r="BZ58" s="489" t="s">
        <v>2409</v>
      </c>
      <c r="CC58" s="0" cm="1" t="str">
        <f t="array" ref="CC58:CC58">CC57</f>
        <v>0</v>
      </c>
      <c r="CG58" s="0" t="s">
        <v>2410</v>
      </c>
      <c r="CI58" s="0" t="s">
        <v>303</v>
      </c>
      <c r="CJ58" s="0" t="s">
        <v>2394</v>
      </c>
      <c r="CK58" s="0" t="s">
        <v>2395</v>
      </c>
    </row>
    <row customHeight="1" ht="22.425" hidden="1">
      <c r="B59" s="192">
        <f>InvestmentSources_is_one_block="нет"</f>
        <v>1</v>
      </c>
      <c r="E59" s="180">
        <v>23</v>
      </c>
      <c r="F59" s="175" cm="1" t="str">
        <f t="array" ref="F59:F59">OFFSET(G59,-1,-1)</f>
        <v>0</v>
      </c>
      <c r="T59" s="753" cm="1" t="str">
        <f t="array" ref="T59:T59">T58</f>
        <v>false</v>
      </c>
      <c r="AB59" s="794">
        <v>1.5</v>
      </c>
      <c r="AC59" s="842" t="s">
        <v>2411</v>
      </c>
      <c r="AD59" s="666" t="s">
        <v>917</v>
      </c>
      <c r="AE59" s="100"/>
      <c r="AF59" s="100"/>
      <c r="AG59" s="100"/>
      <c r="AH59" s="100"/>
      <c r="AI59" s="561"/>
      <c r="AJ59" s="100"/>
      <c r="AK59" s="100"/>
      <c r="AL59" s="100"/>
      <c r="AM59" s="100"/>
      <c r="AN59" s="100"/>
      <c r="AO59" s="100"/>
      <c r="AP59" s="100"/>
      <c r="AQ59" s="100"/>
      <c r="AR59" s="100"/>
      <c r="AS59" s="100"/>
      <c r="AT59" s="100"/>
      <c r="AU59" s="100"/>
      <c r="AV59" s="100"/>
      <c r="AW59" s="100"/>
      <c r="AX59" s="100"/>
      <c r="AY59" s="100"/>
      <c r="AZ59" s="100"/>
      <c r="BA59" s="100"/>
      <c r="BB59" s="100"/>
      <c r="BC59" s="561"/>
      <c r="BD59" s="100"/>
      <c r="BE59" s="100"/>
      <c r="BF59" s="100"/>
      <c r="BG59" s="100"/>
      <c r="BH59" s="100"/>
      <c r="BI59" s="100"/>
      <c r="BJ59" s="100"/>
      <c r="BK59" s="100"/>
      <c r="BL59" s="100"/>
      <c r="BM59" s="100"/>
      <c r="BN59" s="100"/>
      <c r="BO59" s="100"/>
      <c r="BP59" s="100"/>
      <c r="BQ59" s="100"/>
      <c r="BR59" s="100"/>
      <c r="BS59" s="100"/>
      <c r="BT59" s="100"/>
      <c r="BU59" s="100"/>
      <c r="BV59" s="100"/>
      <c r="BW59" s="83"/>
      <c r="BZ59" s="489" t="s">
        <v>1355</v>
      </c>
      <c r="CC59" s="0" cm="1" t="str">
        <f t="array" ref="CC59:CC59">CC58</f>
        <v>0</v>
      </c>
      <c r="CF59" s="0" t="s">
        <v>2412</v>
      </c>
      <c r="CI59" s="0" t="s">
        <v>303</v>
      </c>
      <c r="CJ59" s="0" t="s">
        <v>2394</v>
      </c>
      <c r="CK59" s="0" t="s">
        <v>2395</v>
      </c>
    </row>
    <row customHeight="1" ht="22.425" hidden="1">
      <c r="B60" s="192">
        <f>InvestmentSources_is_one_block="нет"</f>
        <v>1</v>
      </c>
      <c r="E60" s="180">
        <v>23</v>
      </c>
      <c r="F60" s="175" cm="1" t="str">
        <f t="array" ref="F60:F60">OFFSET(G60,-1,-1)</f>
        <v>0</v>
      </c>
      <c r="T60" s="753" cm="1" t="str">
        <f t="array" ref="T60:T60">T59</f>
        <v>false</v>
      </c>
      <c r="AB60" s="794">
        <v>2</v>
      </c>
      <c r="AC60" s="842" t="s">
        <v>2413</v>
      </c>
      <c r="AD60" s="666" t="s">
        <v>917</v>
      </c>
      <c r="AE60" s="100"/>
      <c r="AF60" s="100"/>
      <c r="AG60" s="100"/>
      <c r="AH60" s="100"/>
      <c r="AI60" s="561"/>
      <c r="AJ60" s="100"/>
      <c r="AK60" s="100"/>
      <c r="AL60" s="100"/>
      <c r="AM60" s="100"/>
      <c r="AN60" s="100"/>
      <c r="AO60" s="100"/>
      <c r="AP60" s="100"/>
      <c r="AQ60" s="100"/>
      <c r="AR60" s="100"/>
      <c r="AS60" s="100"/>
      <c r="AT60" s="100"/>
      <c r="AU60" s="100"/>
      <c r="AV60" s="100"/>
      <c r="AW60" s="100"/>
      <c r="AX60" s="100"/>
      <c r="AY60" s="100"/>
      <c r="AZ60" s="100"/>
      <c r="BA60" s="100"/>
      <c r="BB60" s="100"/>
      <c r="BC60" s="561"/>
      <c r="BD60" s="100"/>
      <c r="BE60" s="100"/>
      <c r="BF60" s="100"/>
      <c r="BG60" s="100"/>
      <c r="BH60" s="100"/>
      <c r="BI60" s="100"/>
      <c r="BJ60" s="100"/>
      <c r="BK60" s="100"/>
      <c r="BL60" s="100"/>
      <c r="BM60" s="100"/>
      <c r="BN60" s="100"/>
      <c r="BO60" s="100"/>
      <c r="BP60" s="100"/>
      <c r="BQ60" s="100"/>
      <c r="BR60" s="100"/>
      <c r="BS60" s="100"/>
      <c r="BT60" s="100"/>
      <c r="BU60" s="100"/>
      <c r="BV60" s="100"/>
      <c r="BW60" s="83"/>
      <c r="BZ60" s="489" t="s">
        <v>1509</v>
      </c>
      <c r="CC60" s="0" cm="1" t="str">
        <f t="array" ref="CC60:CC60">CC59</f>
        <v>0</v>
      </c>
      <c r="CG60" s="0" t="s">
        <v>2414</v>
      </c>
      <c r="CI60" s="0" t="s">
        <v>303</v>
      </c>
      <c r="CJ60" s="0" t="s">
        <v>2394</v>
      </c>
      <c r="CK60" s="0" t="s">
        <v>2395</v>
      </c>
    </row>
    <row customHeight="1" ht="16.575" hidden="1">
      <c r="B61" s="192">
        <f>InvestmentSources_is_one_block="нет"</f>
        <v>1</v>
      </c>
      <c r="E61" s="180">
        <v>17</v>
      </c>
      <c r="F61" s="175" cm="1" t="str">
        <f t="array" ref="F61:F61">OFFSET(G61,-1,-1)</f>
        <v>0</v>
      </c>
      <c r="T61" s="753" cm="1" t="str">
        <f t="array" ref="T61:T61">T60</f>
        <v>false</v>
      </c>
      <c r="AB61" s="794">
        <v>3</v>
      </c>
      <c r="AC61" s="842" t="s">
        <v>2415</v>
      </c>
      <c r="AD61" s="666" t="s">
        <v>917</v>
      </c>
      <c r="AE61" s="695">
        <f>AE62+AE63+AE64</f>
        <v>0</v>
      </c>
      <c r="AF61" s="695">
        <f>AF62+AF63+AF64</f>
        <v>0</v>
      </c>
      <c r="AG61" s="695">
        <f>AG62+AG63+AG64</f>
        <v>0</v>
      </c>
      <c r="AH61" s="695">
        <f>AH62+AH63+AH64</f>
        <v>0</v>
      </c>
      <c r="AI61" s="695">
        <f>AI62+AI63+AI64</f>
        <v>0</v>
      </c>
      <c r="AJ61" s="695">
        <f>AJ62+AJ63+AJ64</f>
        <v>0</v>
      </c>
      <c r="AK61" s="695">
        <f>AK62+AK63+AK64</f>
        <v>0</v>
      </c>
      <c r="AL61" s="695">
        <f>AL62+AL63+AL64</f>
        <v>0</v>
      </c>
      <c r="AM61" s="695">
        <f>AM62+AM63+AM64</f>
        <v>0</v>
      </c>
      <c r="AN61" s="695">
        <f>AN62+AN63+AN64</f>
        <v>0</v>
      </c>
      <c r="AO61" s="695">
        <f>AO62+AO63+AO64</f>
        <v>0</v>
      </c>
      <c r="AP61" s="695">
        <f>AP62+AP63+AP64</f>
        <v>0</v>
      </c>
      <c r="AQ61" s="695">
        <f>AQ62+AQ63+AQ64</f>
        <v>0</v>
      </c>
      <c r="AR61" s="695">
        <f>AR62+AR63+AR64</f>
        <v>0</v>
      </c>
      <c r="AS61" s="695">
        <f>AS62+AS63+AS64</f>
        <v>0</v>
      </c>
      <c r="AT61" s="695">
        <f>AT62+AT63+AT64</f>
        <v>0</v>
      </c>
      <c r="AU61" s="695">
        <f>AU62+AU63+AU64</f>
        <v>0</v>
      </c>
      <c r="AV61" s="695">
        <f>AV62+AV63+AV64</f>
        <v>0</v>
      </c>
      <c r="AW61" s="695">
        <f>AW62+AW63+AW64</f>
        <v>0</v>
      </c>
      <c r="AX61" s="695">
        <f>AX62+AX63+AX64</f>
        <v>0</v>
      </c>
      <c r="AY61" s="695">
        <f>AY62+AY63+AY64</f>
        <v>0</v>
      </c>
      <c r="AZ61" s="695">
        <f>AZ62+AZ63+AZ64</f>
        <v>0</v>
      </c>
      <c r="BA61" s="695">
        <f>BA62+BA63+BA64</f>
        <v>0</v>
      </c>
      <c r="BB61" s="695">
        <f>BB62+BB63+BB64</f>
        <v>0</v>
      </c>
      <c r="BC61" s="695">
        <f>BC62+BC63+BC64</f>
        <v>0</v>
      </c>
      <c r="BD61" s="695">
        <f>BD62+BD63+BD64</f>
        <v>0</v>
      </c>
      <c r="BE61" s="695">
        <f>BE62+BE63+BE64</f>
        <v>0</v>
      </c>
      <c r="BF61" s="695">
        <f>BF62+BF63+BF64</f>
        <v>0</v>
      </c>
      <c r="BG61" s="695">
        <f>BG62+BG63+BG64</f>
        <v>0</v>
      </c>
      <c r="BH61" s="695">
        <f>BH62+BH63+BH64</f>
        <v>0</v>
      </c>
      <c r="BI61" s="695">
        <f>BI62+BI63+BI64</f>
        <v>0</v>
      </c>
      <c r="BJ61" s="695">
        <f>BJ62+BJ63+BJ64</f>
        <v>0</v>
      </c>
      <c r="BK61" s="695">
        <f>BK62+BK63+BK64</f>
        <v>0</v>
      </c>
      <c r="BL61" s="695">
        <f>BL62+BL63+BL64</f>
        <v>0</v>
      </c>
      <c r="BM61" s="695">
        <f>BM62+BM63+BM64</f>
        <v>0</v>
      </c>
      <c r="BN61" s="695">
        <f>BN62+BN63+BN64</f>
        <v>0</v>
      </c>
      <c r="BO61" s="695">
        <f>BO62+BO63+BO64</f>
        <v>0</v>
      </c>
      <c r="BP61" s="695">
        <f>BP62+BP63+BP64</f>
        <v>0</v>
      </c>
      <c r="BQ61" s="695">
        <f>BQ62+BQ63+BQ64</f>
        <v>0</v>
      </c>
      <c r="BR61" s="695">
        <f>BR62+BR63+BR64</f>
        <v>0</v>
      </c>
      <c r="BS61" s="695">
        <f>BS62+BS63+BS64</f>
        <v>0</v>
      </c>
      <c r="BT61" s="695">
        <f>BT62+BT63+BT64</f>
        <v>0</v>
      </c>
      <c r="BU61" s="695">
        <f>BU62+BU63+BU64</f>
        <v>0</v>
      </c>
      <c r="BV61" s="695">
        <f>BV62+BV63+BV64</f>
        <v>0</v>
      </c>
      <c r="BW61" s="83"/>
      <c r="BZ61" s="489" t="s">
        <v>2416</v>
      </c>
      <c r="CC61" s="0" cm="1" t="str">
        <f t="array" ref="CC61:CC61">CC60</f>
        <v>0</v>
      </c>
      <c r="CI61" s="0" t="s">
        <v>303</v>
      </c>
      <c r="CJ61" s="0" t="s">
        <v>2417</v>
      </c>
      <c r="CK61" s="0" t="s">
        <v>2418</v>
      </c>
    </row>
    <row customHeight="1" ht="16.575" hidden="1">
      <c r="B62" s="192">
        <f>InvestmentSources_is_one_block="нет"</f>
        <v>1</v>
      </c>
      <c r="E62" s="180">
        <v>17</v>
      </c>
      <c r="F62" s="175" cm="1" t="str">
        <f t="array" ref="F62:F62">OFFSET(G62,-1,-1)</f>
        <v>0</v>
      </c>
      <c r="T62" s="753" cm="1" t="str">
        <f t="array" ref="T62:T62">T61</f>
        <v>false</v>
      </c>
      <c r="AB62" s="794">
        <v>3.1</v>
      </c>
      <c r="AC62" s="894" t="s">
        <v>2419</v>
      </c>
      <c r="AD62" s="666" t="s">
        <v>917</v>
      </c>
      <c r="AE62" s="100"/>
      <c r="AF62" s="100"/>
      <c r="AG62" s="100"/>
      <c r="AH62" s="100"/>
      <c r="AI62" s="561"/>
      <c r="AJ62" s="100"/>
      <c r="AK62" s="100"/>
      <c r="AL62" s="100"/>
      <c r="AM62" s="100"/>
      <c r="AN62" s="100"/>
      <c r="AO62" s="100"/>
      <c r="AP62" s="100"/>
      <c r="AQ62" s="100"/>
      <c r="AR62" s="100"/>
      <c r="AS62" s="100"/>
      <c r="AT62" s="100"/>
      <c r="AU62" s="100"/>
      <c r="AV62" s="100"/>
      <c r="AW62" s="100"/>
      <c r="AX62" s="100"/>
      <c r="AY62" s="100"/>
      <c r="AZ62" s="100"/>
      <c r="BA62" s="100"/>
      <c r="BB62" s="100"/>
      <c r="BC62" s="561"/>
      <c r="BD62" s="100"/>
      <c r="BE62" s="100"/>
      <c r="BF62" s="100"/>
      <c r="BG62" s="100"/>
      <c r="BH62" s="100"/>
      <c r="BI62" s="100"/>
      <c r="BJ62" s="100"/>
      <c r="BK62" s="100"/>
      <c r="BL62" s="100"/>
      <c r="BM62" s="100"/>
      <c r="BN62" s="100"/>
      <c r="BO62" s="100"/>
      <c r="BP62" s="100"/>
      <c r="BQ62" s="100"/>
      <c r="BR62" s="100"/>
      <c r="BS62" s="100"/>
      <c r="BT62" s="100"/>
      <c r="BU62" s="100"/>
      <c r="BV62" s="100"/>
      <c r="BW62" s="83"/>
      <c r="BZ62" s="489" t="s">
        <v>1665</v>
      </c>
      <c r="CC62" s="0" cm="1" t="str">
        <f t="array" ref="CC62:CC62">CC61</f>
        <v>0</v>
      </c>
      <c r="CD62" s="0" t="s">
        <v>2420</v>
      </c>
      <c r="CI62" s="0" t="s">
        <v>303</v>
      </c>
      <c r="CJ62" s="0" t="s">
        <v>2417</v>
      </c>
      <c r="CK62" s="0" t="s">
        <v>2418</v>
      </c>
    </row>
    <row customHeight="1" ht="16.575" hidden="1">
      <c r="B63" s="192">
        <f>InvestmentSources_is_one_block="нет"</f>
        <v>1</v>
      </c>
      <c r="E63" s="180">
        <v>17</v>
      </c>
      <c r="F63" s="175" cm="1" t="str">
        <f t="array" ref="F63:F63">OFFSET(G63,-1,-1)</f>
        <v>0</v>
      </c>
      <c r="T63" s="753" cm="1" t="str">
        <f t="array" ref="T63:T63">T62</f>
        <v>false</v>
      </c>
      <c r="AB63" s="794">
        <v>3.2</v>
      </c>
      <c r="AC63" s="894" t="s">
        <v>2421</v>
      </c>
      <c r="AD63" s="666" t="s">
        <v>917</v>
      </c>
      <c r="AE63" s="100"/>
      <c r="AF63" s="100"/>
      <c r="AG63" s="100"/>
      <c r="AH63" s="100"/>
      <c r="AI63" s="561"/>
      <c r="AJ63" s="100"/>
      <c r="AK63" s="100"/>
      <c r="AL63" s="100"/>
      <c r="AM63" s="100"/>
      <c r="AN63" s="100"/>
      <c r="AO63" s="100"/>
      <c r="AP63" s="100"/>
      <c r="AQ63" s="100"/>
      <c r="AR63" s="100"/>
      <c r="AS63" s="100"/>
      <c r="AT63" s="100"/>
      <c r="AU63" s="100"/>
      <c r="AV63" s="100"/>
      <c r="AW63" s="100"/>
      <c r="AX63" s="100"/>
      <c r="AY63" s="100"/>
      <c r="AZ63" s="100"/>
      <c r="BA63" s="100"/>
      <c r="BB63" s="100"/>
      <c r="BC63" s="561"/>
      <c r="BD63" s="100"/>
      <c r="BE63" s="100"/>
      <c r="BF63" s="100"/>
      <c r="BG63" s="100"/>
      <c r="BH63" s="100"/>
      <c r="BI63" s="100"/>
      <c r="BJ63" s="100"/>
      <c r="BK63" s="100"/>
      <c r="BL63" s="100"/>
      <c r="BM63" s="100"/>
      <c r="BN63" s="100"/>
      <c r="BO63" s="100"/>
      <c r="BP63" s="100"/>
      <c r="BQ63" s="100"/>
      <c r="BR63" s="100"/>
      <c r="BS63" s="100"/>
      <c r="BT63" s="100"/>
      <c r="BU63" s="100"/>
      <c r="BV63" s="100"/>
      <c r="BW63" s="83"/>
      <c r="BZ63" s="489" t="s">
        <v>2422</v>
      </c>
      <c r="CC63" s="0" cm="1" t="str">
        <f t="array" ref="CC63:CC63">CC62</f>
        <v>0</v>
      </c>
      <c r="CD63" s="0" t="s">
        <v>1919</v>
      </c>
      <c r="CI63" s="0" t="s">
        <v>303</v>
      </c>
      <c r="CJ63" s="0" t="s">
        <v>2417</v>
      </c>
      <c r="CK63" s="0" t="s">
        <v>2418</v>
      </c>
    </row>
    <row customHeight="1" ht="16.575" hidden="1">
      <c r="B64" s="192">
        <f>InvestmentSources_is_one_block="нет"</f>
        <v>1</v>
      </c>
      <c r="E64" s="180">
        <v>17</v>
      </c>
      <c r="F64" s="175" cm="1" t="str">
        <f t="array" ref="F64:F64">OFFSET(G64,-1,-1)</f>
        <v>0</v>
      </c>
      <c r="T64" s="753" cm="1" t="str">
        <f t="array" ref="T64:T64">T63</f>
        <v>false</v>
      </c>
      <c r="AB64" s="794">
        <v>3.3</v>
      </c>
      <c r="AC64" s="894" t="s">
        <v>2423</v>
      </c>
      <c r="AD64" s="666" t="s">
        <v>917</v>
      </c>
      <c r="AE64" s="100"/>
      <c r="AF64" s="100"/>
      <c r="AG64" s="100"/>
      <c r="AH64" s="100"/>
      <c r="AI64" s="561"/>
      <c r="AJ64" s="100"/>
      <c r="AK64" s="100"/>
      <c r="AL64" s="100"/>
      <c r="AM64" s="100"/>
      <c r="AN64" s="100"/>
      <c r="AO64" s="100"/>
      <c r="AP64" s="100"/>
      <c r="AQ64" s="100"/>
      <c r="AR64" s="100"/>
      <c r="AS64" s="100"/>
      <c r="AT64" s="100"/>
      <c r="AU64" s="100"/>
      <c r="AV64" s="100"/>
      <c r="AW64" s="100"/>
      <c r="AX64" s="100"/>
      <c r="AY64" s="100"/>
      <c r="AZ64" s="100"/>
      <c r="BA64" s="100"/>
      <c r="BB64" s="100"/>
      <c r="BC64" s="561"/>
      <c r="BD64" s="100"/>
      <c r="BE64" s="100"/>
      <c r="BF64" s="100"/>
      <c r="BG64" s="100"/>
      <c r="BH64" s="100"/>
      <c r="BI64" s="100"/>
      <c r="BJ64" s="100"/>
      <c r="BK64" s="100"/>
      <c r="BL64" s="100"/>
      <c r="BM64" s="100"/>
      <c r="BN64" s="100"/>
      <c r="BO64" s="100"/>
      <c r="BP64" s="100"/>
      <c r="BQ64" s="100"/>
      <c r="BR64" s="100"/>
      <c r="BS64" s="100"/>
      <c r="BT64" s="100"/>
      <c r="BU64" s="100"/>
      <c r="BV64" s="100"/>
      <c r="BW64" s="83"/>
      <c r="BZ64" s="489" t="s">
        <v>2424</v>
      </c>
      <c r="CC64" s="0" cm="1" t="str">
        <f t="array" ref="CC64:CC64">CC63</f>
        <v>0</v>
      </c>
      <c r="CF64" s="0" t="s">
        <v>2425</v>
      </c>
      <c r="CI64" s="0" t="s">
        <v>303</v>
      </c>
      <c r="CJ64" s="0" t="s">
        <v>2417</v>
      </c>
      <c r="CK64" s="0" t="s">
        <v>2418</v>
      </c>
    </row>
    <row customHeight="1" ht="16.575" hidden="1">
      <c r="B65" s="192">
        <f>InvestmentSources_is_one_block="нет"</f>
        <v>1</v>
      </c>
      <c r="E65" s="180">
        <v>17</v>
      </c>
      <c r="F65" s="175" cm="1" t="str">
        <f t="array" ref="F65:F65">OFFSET(G65,-1,-1)</f>
        <v>0</v>
      </c>
      <c r="T65" s="753" cm="1" t="str">
        <f t="array" ref="T65:T65">T64</f>
        <v>false</v>
      </c>
      <c r="AB65" s="794">
        <v>4</v>
      </c>
      <c r="AC65" s="842" t="s">
        <v>2426</v>
      </c>
      <c r="AD65" s="666" t="s">
        <v>917</v>
      </c>
      <c r="AE65" s="695">
        <f>AE66+AE67+AE68</f>
        <v>0</v>
      </c>
      <c r="AF65" s="695">
        <f>AF66+AF67+AF68</f>
        <v>0</v>
      </c>
      <c r="AG65" s="695">
        <f>AG66+AG67+AG68</f>
        <v>0</v>
      </c>
      <c r="AH65" s="695">
        <f>AH66+AH67+AH68</f>
        <v>0</v>
      </c>
      <c r="AI65" s="695">
        <f>AI66+AI67+AI68</f>
        <v>0</v>
      </c>
      <c r="AJ65" s="695">
        <f>AJ66+AJ67+AJ68</f>
        <v>0</v>
      </c>
      <c r="AK65" s="695">
        <f>AK66+AK67+AK68</f>
        <v>0</v>
      </c>
      <c r="AL65" s="695">
        <f>AL66+AL67+AL68</f>
        <v>0</v>
      </c>
      <c r="AM65" s="695">
        <f>AM66+AM67+AM68</f>
        <v>0</v>
      </c>
      <c r="AN65" s="695">
        <f>AN66+AN67+AN68</f>
        <v>0</v>
      </c>
      <c r="AO65" s="695">
        <f>AO66+AO67+AO68</f>
        <v>0</v>
      </c>
      <c r="AP65" s="695">
        <f>AP66+AP67+AP68</f>
        <v>0</v>
      </c>
      <c r="AQ65" s="695">
        <f>AQ66+AQ67+AQ68</f>
        <v>0</v>
      </c>
      <c r="AR65" s="695">
        <f>AR66+AR67+AR68</f>
        <v>0</v>
      </c>
      <c r="AS65" s="695">
        <f>AS66+AS67+AS68</f>
        <v>0</v>
      </c>
      <c r="AT65" s="695">
        <f>AT66+AT67+AT68</f>
        <v>0</v>
      </c>
      <c r="AU65" s="695">
        <f>AU66+AU67+AU68</f>
        <v>0</v>
      </c>
      <c r="AV65" s="695">
        <f>AV66+AV67+AV68</f>
        <v>0</v>
      </c>
      <c r="AW65" s="695">
        <f>AW66+AW67+AW68</f>
        <v>0</v>
      </c>
      <c r="AX65" s="695">
        <f>AX66+AX67+AX68</f>
        <v>0</v>
      </c>
      <c r="AY65" s="695">
        <f>AY66+AY67+AY68</f>
        <v>0</v>
      </c>
      <c r="AZ65" s="695">
        <f>AZ66+AZ67+AZ68</f>
        <v>0</v>
      </c>
      <c r="BA65" s="695">
        <f>BA66+BA67+BA68</f>
        <v>0</v>
      </c>
      <c r="BB65" s="695">
        <f>BB66+BB67+BB68</f>
        <v>0</v>
      </c>
      <c r="BC65" s="695">
        <f>BC66+BC67+BC68</f>
        <v>0</v>
      </c>
      <c r="BD65" s="695">
        <f>BD66+BD67+BD68</f>
        <v>0</v>
      </c>
      <c r="BE65" s="695">
        <f>BE66+BE67+BE68</f>
        <v>0</v>
      </c>
      <c r="BF65" s="695">
        <f>BF66+BF67+BF68</f>
        <v>0</v>
      </c>
      <c r="BG65" s="695">
        <f>BG66+BG67+BG68</f>
        <v>0</v>
      </c>
      <c r="BH65" s="695">
        <f>BH66+BH67+BH68</f>
        <v>0</v>
      </c>
      <c r="BI65" s="695">
        <f>BI66+BI67+BI68</f>
        <v>0</v>
      </c>
      <c r="BJ65" s="695">
        <f>BJ66+BJ67+BJ68</f>
        <v>0</v>
      </c>
      <c r="BK65" s="695">
        <f>BK66+BK67+BK68</f>
        <v>0</v>
      </c>
      <c r="BL65" s="695">
        <f>BL66+BL67+BL68</f>
        <v>0</v>
      </c>
      <c r="BM65" s="695">
        <f>BM66+BM67+BM68</f>
        <v>0</v>
      </c>
      <c r="BN65" s="695">
        <f>BN66+BN67+BN68</f>
        <v>0</v>
      </c>
      <c r="BO65" s="695">
        <f>BO66+BO67+BO68</f>
        <v>0</v>
      </c>
      <c r="BP65" s="695">
        <f>BP66+BP67+BP68</f>
        <v>0</v>
      </c>
      <c r="BQ65" s="695">
        <f>BQ66+BQ67+BQ68</f>
        <v>0</v>
      </c>
      <c r="BR65" s="695">
        <f>BR66+BR67+BR68</f>
        <v>0</v>
      </c>
      <c r="BS65" s="695">
        <f>BS66+BS67+BS68</f>
        <v>0</v>
      </c>
      <c r="BT65" s="695">
        <f>BT66+BT67+BT68</f>
        <v>0</v>
      </c>
      <c r="BU65" s="695">
        <f>BU66+BU67+BU68</f>
        <v>0</v>
      </c>
      <c r="BV65" s="695">
        <f>BV66+BV67+BV68</f>
        <v>0</v>
      </c>
      <c r="BW65" s="83"/>
      <c r="BZ65" s="489" t="s">
        <v>2142</v>
      </c>
      <c r="CC65" s="0" cm="1" t="str">
        <f t="array" ref="CC65:CC65">CC64</f>
        <v>0</v>
      </c>
      <c r="CD65" s="0" t="s">
        <v>2427</v>
      </c>
      <c r="CI65" s="0" t="s">
        <v>303</v>
      </c>
      <c r="CJ65" s="0" t="s">
        <v>2428</v>
      </c>
      <c r="CK65" s="0" t="s">
        <v>2429</v>
      </c>
    </row>
    <row customHeight="1" ht="16.575" hidden="1">
      <c r="B66" s="192">
        <f>InvestmentSources_is_one_block="нет"</f>
        <v>1</v>
      </c>
      <c r="E66" s="180">
        <v>17</v>
      </c>
      <c r="F66" s="175" cm="1" t="str">
        <f t="array" ref="F66:F66">OFFSET(G66,-1,-1)</f>
        <v>0</v>
      </c>
      <c r="T66" s="753" cm="1" t="str">
        <f t="array" ref="T66:T66">T65</f>
        <v>false</v>
      </c>
      <c r="AB66" s="794">
        <v>4.1</v>
      </c>
      <c r="AC66" s="894" t="s">
        <v>2430</v>
      </c>
      <c r="AD66" s="666" t="s">
        <v>917</v>
      </c>
      <c r="AE66" s="100"/>
      <c r="AF66" s="100"/>
      <c r="AG66" s="100"/>
      <c r="AH66" s="100"/>
      <c r="AI66" s="561"/>
      <c r="AJ66" s="100"/>
      <c r="AK66" s="100"/>
      <c r="AL66" s="100"/>
      <c r="AM66" s="100"/>
      <c r="AN66" s="100"/>
      <c r="AO66" s="100"/>
      <c r="AP66" s="100"/>
      <c r="AQ66" s="100"/>
      <c r="AR66" s="100"/>
      <c r="AS66" s="100"/>
      <c r="AT66" s="100"/>
      <c r="AU66" s="100"/>
      <c r="AV66" s="100"/>
      <c r="AW66" s="100"/>
      <c r="AX66" s="100"/>
      <c r="AY66" s="100"/>
      <c r="AZ66" s="100"/>
      <c r="BA66" s="100"/>
      <c r="BB66" s="100"/>
      <c r="BC66" s="561"/>
      <c r="BD66" s="100"/>
      <c r="BE66" s="100"/>
      <c r="BF66" s="100"/>
      <c r="BG66" s="100"/>
      <c r="BH66" s="100"/>
      <c r="BI66" s="100"/>
      <c r="BJ66" s="100"/>
      <c r="BK66" s="100"/>
      <c r="BL66" s="100"/>
      <c r="BM66" s="100"/>
      <c r="BN66" s="100"/>
      <c r="BO66" s="100"/>
      <c r="BP66" s="100"/>
      <c r="BQ66" s="100"/>
      <c r="BR66" s="100"/>
      <c r="BS66" s="100"/>
      <c r="BT66" s="100"/>
      <c r="BU66" s="100"/>
      <c r="BV66" s="100"/>
      <c r="BW66" s="83"/>
      <c r="BZ66" s="489" t="s">
        <v>2431</v>
      </c>
      <c r="CC66" s="0" cm="1" t="str">
        <f t="array" ref="CC66:CC66">CC65</f>
        <v>0</v>
      </c>
      <c r="CH66" s="0" t="s">
        <v>2432</v>
      </c>
      <c r="CI66" s="0" t="s">
        <v>303</v>
      </c>
      <c r="CJ66" s="0" t="s">
        <v>2428</v>
      </c>
      <c r="CK66" s="0" t="s">
        <v>2429</v>
      </c>
    </row>
    <row customHeight="1" ht="16.575" hidden="1">
      <c r="B67" s="192">
        <f>InvestmentSources_is_one_block="нет"</f>
        <v>1</v>
      </c>
      <c r="E67" s="180">
        <v>17</v>
      </c>
      <c r="F67" s="175" cm="1" t="str">
        <f t="array" ref="F67:F67">OFFSET(G67,-1,-1)</f>
        <v>0</v>
      </c>
      <c r="T67" s="753" cm="1" t="str">
        <f t="array" ref="T67:T67">T66</f>
        <v>false</v>
      </c>
      <c r="AB67" s="794">
        <v>4.2</v>
      </c>
      <c r="AC67" s="894" t="s">
        <v>2433</v>
      </c>
      <c r="AD67" s="666" t="s">
        <v>917</v>
      </c>
      <c r="AE67" s="100"/>
      <c r="AF67" s="100"/>
      <c r="AG67" s="100"/>
      <c r="AH67" s="100"/>
      <c r="AI67" s="561"/>
      <c r="AJ67" s="100"/>
      <c r="AK67" s="100"/>
      <c r="AL67" s="100"/>
      <c r="AM67" s="100"/>
      <c r="AN67" s="100"/>
      <c r="AO67" s="100"/>
      <c r="AP67" s="100"/>
      <c r="AQ67" s="100"/>
      <c r="AR67" s="100"/>
      <c r="AS67" s="100"/>
      <c r="AT67" s="100"/>
      <c r="AU67" s="100"/>
      <c r="AV67" s="100"/>
      <c r="AW67" s="100"/>
      <c r="AX67" s="100"/>
      <c r="AY67" s="100"/>
      <c r="AZ67" s="100"/>
      <c r="BA67" s="100"/>
      <c r="BB67" s="100"/>
      <c r="BC67" s="561"/>
      <c r="BD67" s="100"/>
      <c r="BE67" s="100"/>
      <c r="BF67" s="100"/>
      <c r="BG67" s="100"/>
      <c r="BH67" s="100"/>
      <c r="BI67" s="100"/>
      <c r="BJ67" s="100"/>
      <c r="BK67" s="100"/>
      <c r="BL67" s="100"/>
      <c r="BM67" s="100"/>
      <c r="BN67" s="100"/>
      <c r="BO67" s="100"/>
      <c r="BP67" s="100"/>
      <c r="BQ67" s="100"/>
      <c r="BR67" s="100"/>
      <c r="BS67" s="100"/>
      <c r="BT67" s="100"/>
      <c r="BU67" s="100"/>
      <c r="BV67" s="100"/>
      <c r="BW67" s="83"/>
      <c r="BZ67" s="489" t="s">
        <v>2434</v>
      </c>
      <c r="CC67" s="0" cm="1" t="str">
        <f t="array" ref="CC67:CC67">CC66</f>
        <v>0</v>
      </c>
      <c r="CH67" s="0" t="s">
        <v>2435</v>
      </c>
      <c r="CI67" s="0" t="s">
        <v>303</v>
      </c>
      <c r="CJ67" s="0" t="s">
        <v>2428</v>
      </c>
      <c r="CK67" s="0" t="s">
        <v>2429</v>
      </c>
    </row>
    <row customHeight="1" ht="16.575" hidden="1">
      <c r="B68" s="192">
        <f>InvestmentSources_is_one_block="нет"</f>
        <v>1</v>
      </c>
      <c r="E68" s="180">
        <v>17</v>
      </c>
      <c r="F68" s="175" cm="1" t="str">
        <f t="array" ref="F68:F68">OFFSET(G68,-1,-1)</f>
        <v>0</v>
      </c>
      <c r="T68" s="753" cm="1" t="str">
        <f t="array" ref="T68:T68">T67</f>
        <v>false</v>
      </c>
      <c r="AB68" s="794">
        <v>4.3</v>
      </c>
      <c r="AC68" s="894" t="s">
        <v>2436</v>
      </c>
      <c r="AD68" s="666" t="s">
        <v>917</v>
      </c>
      <c r="AE68" s="100"/>
      <c r="AF68" s="100"/>
      <c r="AG68" s="100"/>
      <c r="AH68" s="100"/>
      <c r="AI68" s="561"/>
      <c r="AJ68" s="100"/>
      <c r="AK68" s="100"/>
      <c r="AL68" s="100"/>
      <c r="AM68" s="100"/>
      <c r="AN68" s="100"/>
      <c r="AO68" s="100"/>
      <c r="AP68" s="100"/>
      <c r="AQ68" s="100"/>
      <c r="AR68" s="100"/>
      <c r="AS68" s="100"/>
      <c r="AT68" s="100"/>
      <c r="AU68" s="100"/>
      <c r="AV68" s="100"/>
      <c r="AW68" s="100"/>
      <c r="AX68" s="100"/>
      <c r="AY68" s="100"/>
      <c r="AZ68" s="100"/>
      <c r="BA68" s="100"/>
      <c r="BB68" s="100"/>
      <c r="BC68" s="561"/>
      <c r="BD68" s="100"/>
      <c r="BE68" s="100"/>
      <c r="BF68" s="100"/>
      <c r="BG68" s="100"/>
      <c r="BH68" s="100"/>
      <c r="BI68" s="100"/>
      <c r="BJ68" s="100"/>
      <c r="BK68" s="100"/>
      <c r="BL68" s="100"/>
      <c r="BM68" s="100"/>
      <c r="BN68" s="100"/>
      <c r="BO68" s="100"/>
      <c r="BP68" s="100"/>
      <c r="BQ68" s="100"/>
      <c r="BR68" s="100"/>
      <c r="BS68" s="100"/>
      <c r="BT68" s="100"/>
      <c r="BU68" s="100"/>
      <c r="BV68" s="100"/>
      <c r="BW68" s="83"/>
      <c r="BZ68" s="489" t="s">
        <v>2437</v>
      </c>
      <c r="CC68" s="0" cm="1" t="str">
        <f t="array" ref="CC68:CC68">CC67</f>
        <v>0</v>
      </c>
      <c r="CH68" s="0" t="s">
        <v>2438</v>
      </c>
      <c r="CI68" s="0" t="s">
        <v>303</v>
      </c>
      <c r="CJ68" s="0" t="s">
        <v>2428</v>
      </c>
      <c r="CK68" s="0" t="s">
        <v>2429</v>
      </c>
    </row>
    <row customHeight="1" ht="16.575" hidden="1">
      <c r="B69" s="192">
        <f>InvestmentSources_is_one_block="нет"</f>
        <v>1</v>
      </c>
      <c r="E69" s="180">
        <v>17</v>
      </c>
      <c r="F69" s="175" cm="1" t="str">
        <f t="array" ref="F69:F69">OFFSET(G69,-1,-1)</f>
        <v>0</v>
      </c>
      <c r="T69" s="753" cm="1" t="str">
        <f t="array" ref="T69:T69">T68</f>
        <v>false</v>
      </c>
      <c r="AB69" s="794">
        <v>5</v>
      </c>
      <c r="AC69" s="894" t="s">
        <v>2439</v>
      </c>
      <c r="AD69" s="666" t="s">
        <v>917</v>
      </c>
      <c r="AE69" s="100"/>
      <c r="AF69" s="100"/>
      <c r="AG69" s="100"/>
      <c r="AH69" s="100"/>
      <c r="AI69" s="561"/>
      <c r="AJ69" s="100"/>
      <c r="AK69" s="100"/>
      <c r="AL69" s="100"/>
      <c r="AM69" s="100"/>
      <c r="AN69" s="100"/>
      <c r="AO69" s="100"/>
      <c r="AP69" s="100"/>
      <c r="AQ69" s="100"/>
      <c r="AR69" s="100"/>
      <c r="AS69" s="100"/>
      <c r="AT69" s="100"/>
      <c r="AU69" s="100"/>
      <c r="AV69" s="100"/>
      <c r="AW69" s="100"/>
      <c r="AX69" s="100"/>
      <c r="AY69" s="100"/>
      <c r="AZ69" s="100"/>
      <c r="BA69" s="100"/>
      <c r="BB69" s="100"/>
      <c r="BC69" s="561"/>
      <c r="BD69" s="100"/>
      <c r="BE69" s="100"/>
      <c r="BF69" s="100"/>
      <c r="BG69" s="100"/>
      <c r="BH69" s="100"/>
      <c r="BI69" s="100"/>
      <c r="BJ69" s="100"/>
      <c r="BK69" s="100"/>
      <c r="BL69" s="100"/>
      <c r="BM69" s="100"/>
      <c r="BN69" s="100"/>
      <c r="BO69" s="100"/>
      <c r="BP69" s="100"/>
      <c r="BQ69" s="100"/>
      <c r="BR69" s="100"/>
      <c r="BS69" s="100"/>
      <c r="BT69" s="100"/>
      <c r="BU69" s="100"/>
      <c r="BV69" s="100"/>
      <c r="BW69" s="83"/>
      <c r="BZ69" s="489" t="s">
        <v>2440</v>
      </c>
      <c r="CC69" s="0" cm="1" t="str">
        <f t="array" ref="CC69:CC69">CC68</f>
        <v>0</v>
      </c>
      <c r="CD69" s="0" t="s">
        <v>2441</v>
      </c>
      <c r="CI69" s="0" t="s">
        <v>303</v>
      </c>
      <c r="CJ69" s="0" t="s">
        <v>2442</v>
      </c>
      <c r="CK69" s="0" t="s">
        <v>2443</v>
      </c>
    </row>
    <row s="1751" customFormat="1" customHeight="1" ht="10.5">
      <c r="A70" s="371"/>
      <c r="B70" s="192">
        <f>InvestmentSources_is_one_block="нет"</f>
        <v>1</v>
      </c>
      <c r="C70" s="1548"/>
      <c r="D70" s="1548"/>
      <c r="E70" s="180">
        <v>11</v>
      </c>
      <c r="F70" s="175" cm="1" t="str">
        <f t="array" ref="F70:F70">X70</f>
        <v>1</v>
      </c>
      <c r="G70" s="1659"/>
      <c r="H70" s="1659"/>
      <c r="I70" s="1659"/>
      <c r="J70" s="1659"/>
      <c r="K70" s="1659"/>
      <c r="L70" s="1659"/>
      <c r="M70" s="1659"/>
      <c r="N70" s="1659"/>
      <c r="O70" s="1659"/>
      <c r="P70" s="1659"/>
      <c r="Q70" s="1659"/>
      <c r="R70" s="1659"/>
      <c r="S70" s="1659"/>
      <c r="T70" s="753">
        <f>X70&gt;0</f>
        <v>1</v>
      </c>
      <c r="U70" s="1548"/>
      <c r="V70" s="175" cm="1" t="str">
        <f t="array" ref="V70:V70">'Калькуляция (МСА)'!$AB$54</f>
        <v>Тариф 1 (Теплоснабжение) - Тариф на тепловую энергию (мощность), поставляемую потребителям (Доп. признак не требуется)</v>
      </c>
      <c r="W70" s="1548"/>
      <c r="X70" s="175" t="s">
        <v>308</v>
      </c>
      <c r="Y70" s="1548"/>
      <c r="Z70" s="1548"/>
      <c r="AA70" s="1727"/>
      <c r="AB70" s="688" cm="1" t="str">
        <f t="array" ref="AB70:AB70">IF(ISBLANK('Калькуляция (МСА)'!$AB$54),"",'Калькуляция (МСА)'!$AB$54)</f>
        <v>Тариф 1 (Теплоснабжение) - Тариф на тепловую энергию (мощность), поставляемую потребителям (Доп. признак не требуется)</v>
      </c>
      <c r="AC70" s="334"/>
      <c r="AD70" s="335"/>
      <c r="AE70" s="335"/>
      <c r="AF70" s="335"/>
      <c r="AG70" s="335"/>
      <c r="AH70" s="335"/>
      <c r="AI70" s="335"/>
      <c r="AJ70" s="335"/>
      <c r="AK70" s="335"/>
      <c r="AL70" s="335"/>
      <c r="AM70" s="335"/>
      <c r="AN70" s="335"/>
      <c r="AO70" s="335"/>
      <c r="AP70" s="335"/>
      <c r="AQ70" s="335"/>
      <c r="AR70" s="335"/>
      <c r="AS70" s="335"/>
      <c r="AT70" s="335"/>
      <c r="AU70" s="335"/>
      <c r="AV70" s="335"/>
      <c r="AW70" s="335"/>
      <c r="AX70" s="335"/>
      <c r="AY70" s="335"/>
      <c r="AZ70" s="335"/>
      <c r="BA70" s="335"/>
      <c r="BB70" s="335"/>
      <c r="BC70" s="335"/>
      <c r="BD70" s="335"/>
      <c r="BE70" s="335"/>
      <c r="BF70" s="335"/>
      <c r="BG70" s="335"/>
      <c r="BH70" s="335"/>
      <c r="BI70" s="335"/>
      <c r="BJ70" s="335"/>
      <c r="BK70" s="335"/>
      <c r="BL70" s="335"/>
      <c r="BM70" s="335"/>
      <c r="BN70" s="335"/>
      <c r="BO70" s="335"/>
      <c r="BP70" s="335"/>
      <c r="BQ70" s="335"/>
      <c r="BR70" s="335"/>
      <c r="BS70" s="335"/>
      <c r="BT70" s="335"/>
      <c r="BU70" s="335"/>
      <c r="BV70" s="335"/>
      <c r="BW70" s="335"/>
      <c r="BX70" s="1727"/>
      <c r="BY70" s="969"/>
      <c r="BZ70" s="1125"/>
      <c r="CA70" s="1506"/>
      <c r="CB70" s="1506"/>
      <c r="CC70" s="1751"/>
      <c r="CD70" s="1751"/>
      <c r="CE70" s="1751"/>
      <c r="CF70" s="1751"/>
      <c r="CG70" s="1751"/>
      <c r="CH70" s="1751"/>
      <c r="CI70" s="1751"/>
      <c r="CJ70" s="1751"/>
      <c r="CK70" s="1751"/>
    </row>
    <row s="986" customFormat="1" customHeight="1" ht="21.75">
      <c r="A71" s="986"/>
      <c r="B71" s="192">
        <f>InvestmentSources_is_one_block="нет"</f>
        <v>1</v>
      </c>
      <c r="C71" s="986"/>
      <c r="D71" s="986"/>
      <c r="E71" s="180">
        <v>23</v>
      </c>
      <c r="F71" s="175" cm="1" t="str">
        <f t="array" ref="F71:F71">OFFSET(G71,-1,-1)</f>
        <v>1</v>
      </c>
      <c r="G71" s="986"/>
      <c r="H71" s="986"/>
      <c r="I71" s="986"/>
      <c r="J71" s="986"/>
      <c r="K71" s="986"/>
      <c r="L71" s="986"/>
      <c r="M71" s="986"/>
      <c r="N71" s="986"/>
      <c r="O71" s="986"/>
      <c r="P71" s="986"/>
      <c r="Q71" s="986"/>
      <c r="R71" s="986"/>
      <c r="S71" s="986"/>
      <c r="T71" s="753" cm="1" t="str">
        <f t="array" ref="T71:T71">T70</f>
        <v>true</v>
      </c>
      <c r="U71" s="986"/>
      <c r="V71" s="986"/>
      <c r="W71" s="986"/>
      <c r="X71" s="986"/>
      <c r="Y71" s="986"/>
      <c r="Z71" s="986"/>
      <c r="AA71" s="986"/>
      <c r="AB71" s="838"/>
      <c r="AC71" s="839" t="s">
        <v>2392</v>
      </c>
      <c r="AD71" s="840" t="s">
        <v>917</v>
      </c>
      <c r="AE71" s="692">
        <f>AE72+AE81+AE85+AE89+AE80</f>
        <v>0</v>
      </c>
      <c r="AF71" s="692">
        <f>AF72+AF81+AF85+AF89+AF80</f>
        <v>0</v>
      </c>
      <c r="AG71" s="692">
        <f>AG72+AG81+AG85+AG89+AG80</f>
        <v>0</v>
      </c>
      <c r="AH71" s="692">
        <f>AH72+AH81+AH85+AH89+AH80</f>
        <v>0</v>
      </c>
      <c r="AI71" s="692">
        <f>AI72+AI81+AI85+AI89+AI80</f>
        <v>0</v>
      </c>
      <c r="AJ71" s="692">
        <f>AJ72+AJ81+AJ85+AJ89+AJ80</f>
        <v>0</v>
      </c>
      <c r="AK71" s="692">
        <f>AK72+AK81+AK85+AK89+AK80</f>
        <v>0</v>
      </c>
      <c r="AL71" s="692">
        <f>AL72+AL81+AL85+AL89+AL80</f>
        <v>0</v>
      </c>
      <c r="AM71" s="692">
        <f>AM72+AM81+AM85+AM89+AM80</f>
        <v>0</v>
      </c>
      <c r="AN71" s="692">
        <f>AN72+AN81+AN85+AN89+AN80</f>
        <v>0</v>
      </c>
      <c r="AO71" s="692">
        <f>AO72+AO81+AO85+AO89+AO80</f>
        <v>0</v>
      </c>
      <c r="AP71" s="692">
        <f>AP72+AP81+AP85+AP89+AP80</f>
        <v>0</v>
      </c>
      <c r="AQ71" s="692">
        <f>AQ72+AQ81+AQ85+AQ89+AQ80</f>
        <v>0</v>
      </c>
      <c r="AR71" s="692">
        <f>AR72+AR81+AR85+AR89+AR80</f>
        <v>0</v>
      </c>
      <c r="AS71" s="692">
        <f>AS72+AS81+AS85+AS89+AS80</f>
        <v>0</v>
      </c>
      <c r="AT71" s="692">
        <f>AT72+AT81+AT85+AT89+AT80</f>
        <v>0</v>
      </c>
      <c r="AU71" s="692">
        <f>AU72+AU81+AU85+AU89+AU80</f>
        <v>0</v>
      </c>
      <c r="AV71" s="692">
        <f>AV72+AV81+AV85+AV89+AV80</f>
        <v>0</v>
      </c>
      <c r="AW71" s="692">
        <f>AW72+AW81+AW85+AW89+AW80</f>
        <v>0</v>
      </c>
      <c r="AX71" s="692">
        <f>AX72+AX81+AX85+AX89+AX80</f>
        <v>0</v>
      </c>
      <c r="AY71" s="692">
        <f>AY72+AY81+AY85+AY89+AY80</f>
        <v>0</v>
      </c>
      <c r="AZ71" s="692">
        <f>AZ72+AZ81+AZ85+AZ89+AZ80</f>
        <v>0</v>
      </c>
      <c r="BA71" s="692">
        <f>BA72+BA81+BA85+BA89+BA80</f>
        <v>0</v>
      </c>
      <c r="BB71" s="692">
        <f>BB72+BB81+BB85+BB89+BB80</f>
        <v>0</v>
      </c>
      <c r="BC71" s="692">
        <f>BC72+BC81+BC85+BC89+BC80</f>
        <v>0</v>
      </c>
      <c r="BD71" s="692">
        <f>BD72+BD81+BD85+BD89+BD80</f>
        <v>0</v>
      </c>
      <c r="BE71" s="692">
        <f>BE72+BE81+BE85+BE89+BE80</f>
        <v>0</v>
      </c>
      <c r="BF71" s="692">
        <f>BF72+BF81+BF85+BF89+BF80</f>
        <v>0</v>
      </c>
      <c r="BG71" s="692">
        <f>BG72+BG81+BG85+BG89+BG80</f>
        <v>0</v>
      </c>
      <c r="BH71" s="692">
        <f>BH72+BH81+BH85+BH89+BH80</f>
        <v>0</v>
      </c>
      <c r="BI71" s="692">
        <f>BI72+BI81+BI85+BI89+BI80</f>
        <v>0</v>
      </c>
      <c r="BJ71" s="692">
        <f>BJ72+BJ81+BJ85+BJ89+BJ80</f>
        <v>0</v>
      </c>
      <c r="BK71" s="692">
        <f>BK72+BK81+BK85+BK89+BK80</f>
        <v>0</v>
      </c>
      <c r="BL71" s="692">
        <f>BL72+BL81+BL85+BL89+BL80</f>
        <v>0</v>
      </c>
      <c r="BM71" s="692">
        <f>BM72+BM81+BM85+BM89+BM80</f>
        <v>0</v>
      </c>
      <c r="BN71" s="692">
        <f>BN72+BN81+BN85+BN89+BN80</f>
        <v>0</v>
      </c>
      <c r="BO71" s="692">
        <f>BO72+BO81+BO85+BO89+BO80</f>
        <v>0</v>
      </c>
      <c r="BP71" s="692">
        <f>BP72+BP81+BP85+BP89+BP80</f>
        <v>0</v>
      </c>
      <c r="BQ71" s="692">
        <f>BQ72+BQ81+BQ85+BQ89+BQ80</f>
        <v>0</v>
      </c>
      <c r="BR71" s="692">
        <f>BR72+BR81+BR85+BR89+BR80</f>
        <v>0</v>
      </c>
      <c r="BS71" s="692">
        <f>BS72+BS81+BS85+BS89+BS80</f>
        <v>0</v>
      </c>
      <c r="BT71" s="692">
        <f>BT72+BT81+BT85+BT89+BT80</f>
        <v>0</v>
      </c>
      <c r="BU71" s="692">
        <f>BU72+BU81+BU85+BU89+BU80</f>
        <v>0</v>
      </c>
      <c r="BV71" s="692">
        <f>BV72+BV81+BV85+BV89+BV80</f>
        <v>0</v>
      </c>
      <c r="BW71" s="1897"/>
      <c r="BX71" s="986"/>
      <c r="BY71" s="986"/>
      <c r="BZ71" s="489" t="s">
        <v>630</v>
      </c>
      <c r="CA71" s="986"/>
      <c r="CB71" s="986"/>
      <c r="CC71" s="0" cm="1" t="str">
        <f t="array" ref="CC71:CC71">INDEX('Общие сведения'!$N$170:$N$202,MATCH($F71,'Общие сведения'!$Y$170:$Y$202,0)+1)</f>
        <v>ТЭ.42.31656254.0001</v>
      </c>
      <c r="CD71" s="0" t="s">
        <v>2393</v>
      </c>
      <c r="CE71" s="986"/>
      <c r="CF71" s="986"/>
      <c r="CG71" s="986"/>
      <c r="CH71" s="986"/>
      <c r="CI71" s="0" t="s">
        <v>303</v>
      </c>
      <c r="CJ71" s="0" t="s">
        <v>2394</v>
      </c>
      <c r="CK71" s="0" t="s">
        <v>2395</v>
      </c>
    </row>
    <row s="1751" customFormat="1" customHeight="1" ht="16.5">
      <c r="A72" s="371"/>
      <c r="B72" s="192">
        <f>InvestmentSources_is_one_block="нет"</f>
        <v>1</v>
      </c>
      <c r="C72" s="1548"/>
      <c r="D72" s="1548"/>
      <c r="E72" s="180">
        <v>17</v>
      </c>
      <c r="F72" s="175" cm="1" t="str">
        <f t="array" ref="F72:F72">OFFSET(G72,-1,-1)</f>
        <v>1</v>
      </c>
      <c r="G72" s="1659"/>
      <c r="H72" s="1659"/>
      <c r="I72" s="1659"/>
      <c r="J72" s="1659"/>
      <c r="K72" s="1659"/>
      <c r="L72" s="1659"/>
      <c r="M72" s="1659"/>
      <c r="N72" s="1659"/>
      <c r="O72" s="1659"/>
      <c r="P72" s="1659"/>
      <c r="Q72" s="1659"/>
      <c r="R72" s="1659"/>
      <c r="S72" s="1659"/>
      <c r="T72" s="753" cm="1" t="str">
        <f t="array" ref="T72:T72">T71</f>
        <v>true</v>
      </c>
      <c r="U72" s="1548"/>
      <c r="V72" s="1548"/>
      <c r="W72" s="1548"/>
      <c r="X72" s="1548"/>
      <c r="Y72" s="1548"/>
      <c r="Z72" s="1548"/>
      <c r="AA72" s="1727"/>
      <c r="AB72" s="384">
        <v>1</v>
      </c>
      <c r="AC72" s="842" t="s">
        <v>2396</v>
      </c>
      <c r="AD72" s="666" t="s">
        <v>917</v>
      </c>
      <c r="AE72" s="695">
        <f>AE73+AE74+AE75+AE78+AE79</f>
        <v>0</v>
      </c>
      <c r="AF72" s="695">
        <f>AF73+AF74+AF75+AF78+AF79</f>
        <v>0</v>
      </c>
      <c r="AG72" s="695">
        <f>AG73+AG74+AG75+AG78+AG79</f>
        <v>0</v>
      </c>
      <c r="AH72" s="695">
        <f>AH73+AH74+AH75+AH78+AH79</f>
        <v>0</v>
      </c>
      <c r="AI72" s="695">
        <f>AI73+AI74+AI75+AI78+AI79</f>
        <v>0</v>
      </c>
      <c r="AJ72" s="695">
        <f>AJ73+AJ74+AJ75+AJ78+AJ79</f>
        <v>0</v>
      </c>
      <c r="AK72" s="695">
        <f>AK73+AK74+AK75+AK78+AK79</f>
        <v>0</v>
      </c>
      <c r="AL72" s="695">
        <f>AL73+AL74+AL75+AL78+AL79</f>
        <v>0</v>
      </c>
      <c r="AM72" s="695">
        <f>AM73+AM74+AM75+AM78+AM79</f>
        <v>0</v>
      </c>
      <c r="AN72" s="695">
        <f>AN73+AN74+AN75+AN78+AN79</f>
        <v>0</v>
      </c>
      <c r="AO72" s="695">
        <f>AO73+AO74+AO75+AO78+AO79</f>
        <v>0</v>
      </c>
      <c r="AP72" s="695">
        <f>AP73+AP74+AP75+AP78+AP79</f>
        <v>0</v>
      </c>
      <c r="AQ72" s="695">
        <f>AQ73+AQ74+AQ75+AQ78+AQ79</f>
        <v>0</v>
      </c>
      <c r="AR72" s="695">
        <f>AR73+AR74+AR75+AR78+AR79</f>
        <v>0</v>
      </c>
      <c r="AS72" s="695">
        <f>AS73+AS74+AS75+AS78+AS79</f>
        <v>0</v>
      </c>
      <c r="AT72" s="695">
        <f>AT73+AT74+AT75+AT78+AT79</f>
        <v>0</v>
      </c>
      <c r="AU72" s="695">
        <f>AU73+AU74+AU75+AU78+AU79</f>
        <v>0</v>
      </c>
      <c r="AV72" s="695">
        <f>AV73+AV74+AV75+AV78+AV79</f>
        <v>0</v>
      </c>
      <c r="AW72" s="695">
        <f>AW73+AW74+AW75+AW78+AW79</f>
        <v>0</v>
      </c>
      <c r="AX72" s="695">
        <f>AX73+AX74+AX75+AX78+AX79</f>
        <v>0</v>
      </c>
      <c r="AY72" s="695">
        <f>AY73+AY74+AY75+AY78+AY79</f>
        <v>0</v>
      </c>
      <c r="AZ72" s="695">
        <f>AZ73+AZ74+AZ75+AZ78+AZ79</f>
        <v>0</v>
      </c>
      <c r="BA72" s="695">
        <f>BA73+BA74+BA75+BA78+BA79</f>
        <v>0</v>
      </c>
      <c r="BB72" s="695">
        <f>BB73+BB74+BB75+BB78+BB79</f>
        <v>0</v>
      </c>
      <c r="BC72" s="695">
        <f>BC73+BC74+BC75+BC78+BC79</f>
        <v>0</v>
      </c>
      <c r="BD72" s="695">
        <f>BD73+BD74+BD75+BD78+BD79</f>
        <v>0</v>
      </c>
      <c r="BE72" s="695">
        <f>BE73+BE74+BE75+BE78+BE79</f>
        <v>0</v>
      </c>
      <c r="BF72" s="695">
        <f>BF73+BF74+BF75+BF78+BF79</f>
        <v>0</v>
      </c>
      <c r="BG72" s="695">
        <f>BG73+BG74+BG75+BG78+BG79</f>
        <v>0</v>
      </c>
      <c r="BH72" s="695">
        <f>BH73+BH74+BH75+BH78+BH79</f>
        <v>0</v>
      </c>
      <c r="BI72" s="695">
        <f>BI73+BI74+BI75+BI78+BI79</f>
        <v>0</v>
      </c>
      <c r="BJ72" s="695">
        <f>BJ73+BJ74+BJ75+BJ78+BJ79</f>
        <v>0</v>
      </c>
      <c r="BK72" s="695">
        <f>BK73+BK74+BK75+BK78+BK79</f>
        <v>0</v>
      </c>
      <c r="BL72" s="695">
        <f>BL73+BL74+BL75+BL78+BL79</f>
        <v>0</v>
      </c>
      <c r="BM72" s="695">
        <f>BM73+BM74+BM75+BM78+BM79</f>
        <v>0</v>
      </c>
      <c r="BN72" s="695">
        <f>BN73+BN74+BN75+BN78+BN79</f>
        <v>0</v>
      </c>
      <c r="BO72" s="695">
        <f>BO73+BO74+BO75+BO78+BO79</f>
        <v>0</v>
      </c>
      <c r="BP72" s="695">
        <f>BP73+BP74+BP75+BP78+BP79</f>
        <v>0</v>
      </c>
      <c r="BQ72" s="695">
        <f>BQ73+BQ74+BQ75+BQ78+BQ79</f>
        <v>0</v>
      </c>
      <c r="BR72" s="695">
        <f>BR73+BR74+BR75+BR78+BR79</f>
        <v>0</v>
      </c>
      <c r="BS72" s="695">
        <f>BS73+BS74+BS75+BS78+BS79</f>
        <v>0</v>
      </c>
      <c r="BT72" s="695">
        <f>BT73+BT74+BT75+BT78+BT79</f>
        <v>0</v>
      </c>
      <c r="BU72" s="695">
        <f>BU73+BU74+BU75+BU78+BU79</f>
        <v>0</v>
      </c>
      <c r="BV72" s="695">
        <f>BV73+BV74+BV75+BV78+BV79</f>
        <v>0</v>
      </c>
      <c r="BW72" s="1897"/>
      <c r="BX72" s="1727"/>
      <c r="BY72" s="969"/>
      <c r="BZ72" s="489" t="s">
        <v>652</v>
      </c>
      <c r="CA72" s="1506"/>
      <c r="CB72" s="1506"/>
      <c r="CC72" s="0" cm="1" t="str">
        <f t="array" ref="CC72:CC72">CC71</f>
        <v>ТЭ.42.31656254.0001</v>
      </c>
      <c r="CD72" s="0" t="s">
        <v>1911</v>
      </c>
      <c r="CE72" s="1751"/>
      <c r="CF72" s="1751"/>
      <c r="CG72" s="1751"/>
      <c r="CH72" s="1751"/>
      <c r="CI72" s="0" t="s">
        <v>303</v>
      </c>
      <c r="CJ72" s="0" t="s">
        <v>2394</v>
      </c>
      <c r="CK72" s="0" t="s">
        <v>2395</v>
      </c>
    </row>
    <row s="1751" customFormat="1" customHeight="1" ht="21.75">
      <c r="A73" s="371"/>
      <c r="B73" s="192">
        <f>InvestmentSources_is_one_block="нет"</f>
        <v>1</v>
      </c>
      <c r="C73" s="1548"/>
      <c r="D73" s="1548"/>
      <c r="E73" s="180">
        <v>23</v>
      </c>
      <c r="F73" s="175" cm="1" t="str">
        <f t="array" ref="F73:F73">OFFSET(G73,-1,-1)</f>
        <v>1</v>
      </c>
      <c r="G73" s="1659"/>
      <c r="H73" s="1659"/>
      <c r="I73" s="1659"/>
      <c r="J73" s="1659"/>
      <c r="K73" s="1659"/>
      <c r="L73" s="1659"/>
      <c r="M73" s="1659"/>
      <c r="N73" s="1659"/>
      <c r="O73" s="1659"/>
      <c r="P73" s="1659"/>
      <c r="Q73" s="1659"/>
      <c r="R73" s="1659"/>
      <c r="S73" s="1659"/>
      <c r="T73" s="753" cm="1" t="str">
        <f t="array" ref="T73:T73">T72</f>
        <v>true</v>
      </c>
      <c r="U73" s="1548"/>
      <c r="V73" s="1548"/>
      <c r="W73" s="1548"/>
      <c r="X73" s="1548"/>
      <c r="Y73" s="1548"/>
      <c r="Z73" s="1548"/>
      <c r="AA73" s="1727"/>
      <c r="AB73" s="794">
        <v>1.1</v>
      </c>
      <c r="AC73" s="842" t="s">
        <v>2397</v>
      </c>
      <c r="AD73" s="666" t="s">
        <v>917</v>
      </c>
      <c r="AE73" s="2280"/>
      <c r="AF73" s="2280"/>
      <c r="AG73" s="2280"/>
      <c r="AH73" s="2280"/>
      <c r="AI73" s="561"/>
      <c r="AJ73" s="2280"/>
      <c r="AK73" s="2280"/>
      <c r="AL73" s="2280"/>
      <c r="AM73" s="2280"/>
      <c r="AN73" s="2280"/>
      <c r="AO73" s="2280"/>
      <c r="AP73" s="2280"/>
      <c r="AQ73" s="2280"/>
      <c r="AR73" s="2280"/>
      <c r="AS73" s="2280"/>
      <c r="AT73" s="2280"/>
      <c r="AU73" s="2280"/>
      <c r="AV73" s="2280"/>
      <c r="AW73" s="2280"/>
      <c r="AX73" s="2280"/>
      <c r="AY73" s="2280"/>
      <c r="AZ73" s="2280"/>
      <c r="BA73" s="2280"/>
      <c r="BB73" s="2280"/>
      <c r="BC73" s="561"/>
      <c r="BD73" s="2280"/>
      <c r="BE73" s="2280"/>
      <c r="BF73" s="2280"/>
      <c r="BG73" s="2280"/>
      <c r="BH73" s="2280"/>
      <c r="BI73" s="2280"/>
      <c r="BJ73" s="2280"/>
      <c r="BK73" s="2280"/>
      <c r="BL73" s="2280"/>
      <c r="BM73" s="2280"/>
      <c r="BN73" s="2280"/>
      <c r="BO73" s="2280"/>
      <c r="BP73" s="2280"/>
      <c r="BQ73" s="2280"/>
      <c r="BR73" s="2280"/>
      <c r="BS73" s="2280"/>
      <c r="BT73" s="2280"/>
      <c r="BU73" s="2280"/>
      <c r="BV73" s="2280"/>
      <c r="BW73" s="1897"/>
      <c r="BX73" s="1727"/>
      <c r="BY73" s="969"/>
      <c r="BZ73" s="489" t="s">
        <v>1661</v>
      </c>
      <c r="CA73" s="1506"/>
      <c r="CB73" s="1506"/>
      <c r="CC73" s="0" cm="1" t="str">
        <f t="array" ref="CC73:CC73">CC72</f>
        <v>ТЭ.42.31656254.0001</v>
      </c>
      <c r="CD73" s="0" t="s">
        <v>1915</v>
      </c>
      <c r="CE73" s="1751"/>
      <c r="CF73" s="1751"/>
      <c r="CG73" s="1751"/>
      <c r="CH73" s="1751"/>
      <c r="CI73" s="0" t="s">
        <v>303</v>
      </c>
      <c r="CJ73" s="0" t="s">
        <v>2394</v>
      </c>
      <c r="CK73" s="0" t="s">
        <v>2395</v>
      </c>
    </row>
    <row s="1751" customFormat="1" customHeight="1" ht="33">
      <c r="A74" s="371"/>
      <c r="B74" s="192">
        <f>InvestmentSources_is_one_block="нет"</f>
        <v>1</v>
      </c>
      <c r="C74" s="1548"/>
      <c r="D74" s="1548"/>
      <c r="E74" s="180">
        <v>34</v>
      </c>
      <c r="F74" s="175" cm="1" t="str">
        <f t="array" ref="F74:F74">OFFSET(G74,-1,-1)</f>
        <v>1</v>
      </c>
      <c r="G74" s="1659"/>
      <c r="H74" s="1659"/>
      <c r="I74" s="1659"/>
      <c r="J74" s="1659"/>
      <c r="K74" s="1659"/>
      <c r="L74" s="1659"/>
      <c r="M74" s="1659"/>
      <c r="N74" s="1659"/>
      <c r="O74" s="1659"/>
      <c r="P74" s="1659"/>
      <c r="Q74" s="1659"/>
      <c r="R74" s="1659"/>
      <c r="S74" s="1659"/>
      <c r="T74" s="753" cm="1" t="str">
        <f t="array" ref="T74:T74">T73</f>
        <v>true</v>
      </c>
      <c r="U74" s="1548"/>
      <c r="V74" s="1548"/>
      <c r="W74" s="1548"/>
      <c r="X74" s="1548"/>
      <c r="Y74" s="1548"/>
      <c r="Z74" s="1548"/>
      <c r="AA74" s="1727"/>
      <c r="AB74" s="794">
        <v>1.2</v>
      </c>
      <c r="AC74" s="842" t="s">
        <v>2398</v>
      </c>
      <c r="AD74" s="666" t="s">
        <v>917</v>
      </c>
      <c r="AE74" s="2280"/>
      <c r="AF74" s="2280"/>
      <c r="AG74" s="2280"/>
      <c r="AH74" s="2280"/>
      <c r="AI74" s="561"/>
      <c r="AJ74" s="2280"/>
      <c r="AK74" s="2280"/>
      <c r="AL74" s="2280"/>
      <c r="AM74" s="2280"/>
      <c r="AN74" s="2280"/>
      <c r="AO74" s="2280"/>
      <c r="AP74" s="2280"/>
      <c r="AQ74" s="2280"/>
      <c r="AR74" s="2280"/>
      <c r="AS74" s="2280"/>
      <c r="AT74" s="2280"/>
      <c r="AU74" s="2280"/>
      <c r="AV74" s="2280"/>
      <c r="AW74" s="2280"/>
      <c r="AX74" s="2280"/>
      <c r="AY74" s="2280"/>
      <c r="AZ74" s="2280"/>
      <c r="BA74" s="2280"/>
      <c r="BB74" s="2280"/>
      <c r="BC74" s="561"/>
      <c r="BD74" s="2280"/>
      <c r="BE74" s="2280"/>
      <c r="BF74" s="2280"/>
      <c r="BG74" s="2280"/>
      <c r="BH74" s="2280"/>
      <c r="BI74" s="2280"/>
      <c r="BJ74" s="2280"/>
      <c r="BK74" s="2280"/>
      <c r="BL74" s="2280"/>
      <c r="BM74" s="2280"/>
      <c r="BN74" s="2280"/>
      <c r="BO74" s="2280"/>
      <c r="BP74" s="2280"/>
      <c r="BQ74" s="2280"/>
      <c r="BR74" s="2280"/>
      <c r="BS74" s="2280"/>
      <c r="BT74" s="2280"/>
      <c r="BU74" s="2280"/>
      <c r="BV74" s="2280"/>
      <c r="BW74" s="1897"/>
      <c r="BX74" s="1727"/>
      <c r="BY74" s="969"/>
      <c r="BZ74" s="489" t="s">
        <v>2399</v>
      </c>
      <c r="CA74" s="1506"/>
      <c r="CB74" s="1506"/>
      <c r="CC74" s="0" cm="1" t="str">
        <f t="array" ref="CC74:CC74">CC73</f>
        <v>ТЭ.42.31656254.0001</v>
      </c>
      <c r="CD74" s="1751"/>
      <c r="CE74" s="1751"/>
      <c r="CF74" s="0" t="s">
        <v>2400</v>
      </c>
      <c r="CG74" s="1751"/>
      <c r="CH74" s="1751"/>
      <c r="CI74" s="0" t="s">
        <v>303</v>
      </c>
      <c r="CJ74" s="0" t="s">
        <v>2394</v>
      </c>
      <c r="CK74" s="0" t="s">
        <v>2395</v>
      </c>
    </row>
    <row s="1751" customFormat="1" customHeight="1" ht="16.5">
      <c r="A75" s="371"/>
      <c r="B75" s="192">
        <f>InvestmentSources_is_one_block="нет"</f>
        <v>1</v>
      </c>
      <c r="C75" s="1548"/>
      <c r="D75" s="1548"/>
      <c r="E75" s="180">
        <v>17</v>
      </c>
      <c r="F75" s="175" cm="1" t="str">
        <f t="array" ref="F75:F75">OFFSET(G75,-1,-1)</f>
        <v>1</v>
      </c>
      <c r="G75" s="1659"/>
      <c r="H75" s="1659"/>
      <c r="I75" s="1659"/>
      <c r="J75" s="1659"/>
      <c r="K75" s="1659"/>
      <c r="L75" s="1659"/>
      <c r="M75" s="1659"/>
      <c r="N75" s="1659"/>
      <c r="O75" s="1659"/>
      <c r="P75" s="1659"/>
      <c r="Q75" s="1659"/>
      <c r="R75" s="1659"/>
      <c r="S75" s="1659"/>
      <c r="T75" s="753" cm="1" t="str">
        <f t="array" ref="T75:T75">T74</f>
        <v>true</v>
      </c>
      <c r="U75" s="1548"/>
      <c r="V75" s="1548"/>
      <c r="W75" s="1548"/>
      <c r="X75" s="1548"/>
      <c r="Y75" s="1548"/>
      <c r="Z75" s="1548"/>
      <c r="AA75" s="1727"/>
      <c r="AB75" s="794">
        <v>1.3</v>
      </c>
      <c r="AC75" s="842" t="s">
        <v>2401</v>
      </c>
      <c r="AD75" s="666" t="s">
        <v>917</v>
      </c>
      <c r="AE75" s="2280"/>
      <c r="AF75" s="2280"/>
      <c r="AG75" s="2280"/>
      <c r="AH75" s="2280"/>
      <c r="AI75" s="561"/>
      <c r="AJ75" s="2280"/>
      <c r="AK75" s="2280"/>
      <c r="AL75" s="2280"/>
      <c r="AM75" s="2280"/>
      <c r="AN75" s="2280"/>
      <c r="AO75" s="2280"/>
      <c r="AP75" s="2280"/>
      <c r="AQ75" s="2280"/>
      <c r="AR75" s="2280"/>
      <c r="AS75" s="2280"/>
      <c r="AT75" s="2280"/>
      <c r="AU75" s="2280"/>
      <c r="AV75" s="2280"/>
      <c r="AW75" s="2280"/>
      <c r="AX75" s="2280"/>
      <c r="AY75" s="2280"/>
      <c r="AZ75" s="2280"/>
      <c r="BA75" s="2280"/>
      <c r="BB75" s="2280"/>
      <c r="BC75" s="561"/>
      <c r="BD75" s="2280"/>
      <c r="BE75" s="2280"/>
      <c r="BF75" s="2280"/>
      <c r="BG75" s="2280"/>
      <c r="BH75" s="2280"/>
      <c r="BI75" s="2280"/>
      <c r="BJ75" s="2280"/>
      <c r="BK75" s="2280"/>
      <c r="BL75" s="2280"/>
      <c r="BM75" s="2280"/>
      <c r="BN75" s="2280"/>
      <c r="BO75" s="2280"/>
      <c r="BP75" s="2280"/>
      <c r="BQ75" s="2280"/>
      <c r="BR75" s="2280"/>
      <c r="BS75" s="2280"/>
      <c r="BT75" s="2280"/>
      <c r="BU75" s="2280"/>
      <c r="BV75" s="2280"/>
      <c r="BW75" s="1897"/>
      <c r="BX75" s="1727"/>
      <c r="BY75" s="969"/>
      <c r="BZ75" s="489" t="s">
        <v>1676</v>
      </c>
      <c r="CA75" s="1506"/>
      <c r="CB75" s="1506"/>
      <c r="CC75" s="0" cm="1" t="str">
        <f t="array" ref="CC75:CC75">CC74</f>
        <v>ТЭ.42.31656254.0001</v>
      </c>
      <c r="CD75" s="1751"/>
      <c r="CE75" s="0" t="s">
        <v>1523</v>
      </c>
      <c r="CF75" s="1751"/>
      <c r="CG75" s="1751"/>
      <c r="CH75" s="1751"/>
      <c r="CI75" s="0" t="s">
        <v>303</v>
      </c>
      <c r="CJ75" s="0" t="s">
        <v>2394</v>
      </c>
      <c r="CK75" s="0" t="s">
        <v>2395</v>
      </c>
    </row>
    <row s="1751" customFormat="1" customHeight="1" ht="21.75">
      <c r="A76" s="371"/>
      <c r="B76" s="192">
        <f>InvestmentSources_is_one_block="нет"</f>
        <v>1</v>
      </c>
      <c r="C76" s="1548"/>
      <c r="D76" s="1548"/>
      <c r="E76" s="180">
        <v>23</v>
      </c>
      <c r="F76" s="175" cm="1" t="str">
        <f t="array" ref="F76:F76">OFFSET(G76,-1,-1)</f>
        <v>1</v>
      </c>
      <c r="G76" s="1659"/>
      <c r="H76" s="1659"/>
      <c r="I76" s="1659"/>
      <c r="J76" s="1659"/>
      <c r="K76" s="1659"/>
      <c r="L76" s="1659"/>
      <c r="M76" s="1659"/>
      <c r="N76" s="1659"/>
      <c r="O76" s="1659"/>
      <c r="P76" s="1659"/>
      <c r="Q76" s="1659"/>
      <c r="R76" s="1659"/>
      <c r="S76" s="1659"/>
      <c r="T76" s="753" cm="1" t="str">
        <f t="array" ref="T76:T76">T75</f>
        <v>true</v>
      </c>
      <c r="U76" s="1548"/>
      <c r="V76" s="1548"/>
      <c r="W76" s="1548"/>
      <c r="X76" s="1548"/>
      <c r="Y76" s="1548"/>
      <c r="Z76" s="1548"/>
      <c r="AA76" s="1727"/>
      <c r="AB76" s="794" t="s">
        <v>1360</v>
      </c>
      <c r="AC76" s="842" t="s">
        <v>2402</v>
      </c>
      <c r="AD76" s="666" t="s">
        <v>917</v>
      </c>
      <c r="AE76" s="2280"/>
      <c r="AF76" s="2280"/>
      <c r="AG76" s="2280"/>
      <c r="AH76" s="2280"/>
      <c r="AI76" s="561"/>
      <c r="AJ76" s="2280"/>
      <c r="AK76" s="2280"/>
      <c r="AL76" s="2280"/>
      <c r="AM76" s="2280"/>
      <c r="AN76" s="2280"/>
      <c r="AO76" s="2280"/>
      <c r="AP76" s="2280"/>
      <c r="AQ76" s="2280"/>
      <c r="AR76" s="2280"/>
      <c r="AS76" s="2280"/>
      <c r="AT76" s="2280"/>
      <c r="AU76" s="2280"/>
      <c r="AV76" s="2280"/>
      <c r="AW76" s="2280"/>
      <c r="AX76" s="2280"/>
      <c r="AY76" s="2280"/>
      <c r="AZ76" s="2280"/>
      <c r="BA76" s="2280"/>
      <c r="BB76" s="2280"/>
      <c r="BC76" s="561"/>
      <c r="BD76" s="2280"/>
      <c r="BE76" s="2280"/>
      <c r="BF76" s="2280"/>
      <c r="BG76" s="2280"/>
      <c r="BH76" s="2280"/>
      <c r="BI76" s="2280"/>
      <c r="BJ76" s="2280"/>
      <c r="BK76" s="2280"/>
      <c r="BL76" s="2280"/>
      <c r="BM76" s="2280"/>
      <c r="BN76" s="2280"/>
      <c r="BO76" s="2280"/>
      <c r="BP76" s="2280"/>
      <c r="BQ76" s="2280"/>
      <c r="BR76" s="2280"/>
      <c r="BS76" s="2280"/>
      <c r="BT76" s="2280"/>
      <c r="BU76" s="2280"/>
      <c r="BV76" s="2280"/>
      <c r="BW76" s="1897"/>
      <c r="BX76" s="1727"/>
      <c r="BY76" s="969"/>
      <c r="BZ76" s="489" t="s">
        <v>2403</v>
      </c>
      <c r="CA76" s="1506"/>
      <c r="CB76" s="1506"/>
      <c r="CC76" s="0" cm="1" t="str">
        <f t="array" ref="CC76:CC76">CC75</f>
        <v>ТЭ.42.31656254.0001</v>
      </c>
      <c r="CD76" s="0" t="s">
        <v>2404</v>
      </c>
      <c r="CE76" s="1751"/>
      <c r="CF76" s="1751"/>
      <c r="CG76" s="1751"/>
      <c r="CH76" s="1751"/>
      <c r="CI76" s="0" t="s">
        <v>303</v>
      </c>
      <c r="CJ76" s="0" t="s">
        <v>2394</v>
      </c>
      <c r="CK76" s="0" t="s">
        <v>2395</v>
      </c>
    </row>
    <row s="1751" customFormat="1" customHeight="1" ht="55.5">
      <c r="A77" s="371"/>
      <c r="B77" s="192">
        <f>InvestmentSources_is_one_block="нет"</f>
        <v>1</v>
      </c>
      <c r="C77" s="1548"/>
      <c r="D77" s="1548"/>
      <c r="E77" s="180">
        <v>57</v>
      </c>
      <c r="F77" s="175" cm="1" t="str">
        <f t="array" ref="F77:F77">OFFSET(G77,-1,-1)</f>
        <v>1</v>
      </c>
      <c r="G77" s="1659"/>
      <c r="H77" s="1659"/>
      <c r="I77" s="1659"/>
      <c r="J77" s="1659"/>
      <c r="K77" s="1659"/>
      <c r="L77" s="1659"/>
      <c r="M77" s="1659"/>
      <c r="N77" s="1659"/>
      <c r="O77" s="1659"/>
      <c r="P77" s="1659"/>
      <c r="Q77" s="1659"/>
      <c r="R77" s="1659"/>
      <c r="S77" s="1659"/>
      <c r="T77" s="753" cm="1" t="str">
        <f t="array" ref="T77:T77">T76</f>
        <v>true</v>
      </c>
      <c r="U77" s="1548"/>
      <c r="V77" s="1548"/>
      <c r="W77" s="1548"/>
      <c r="X77" s="1548"/>
      <c r="Y77" s="1548"/>
      <c r="Z77" s="1548"/>
      <c r="AA77" s="1727"/>
      <c r="AB77" s="794" t="s">
        <v>1366</v>
      </c>
      <c r="AC77" s="842" t="s">
        <v>2405</v>
      </c>
      <c r="AD77" s="666" t="s">
        <v>917</v>
      </c>
      <c r="AE77" s="2280"/>
      <c r="AF77" s="2280"/>
      <c r="AG77" s="2280"/>
      <c r="AH77" s="2280"/>
      <c r="AI77" s="561"/>
      <c r="AJ77" s="2280"/>
      <c r="AK77" s="2280"/>
      <c r="AL77" s="2280"/>
      <c r="AM77" s="2280"/>
      <c r="AN77" s="2280"/>
      <c r="AO77" s="2280"/>
      <c r="AP77" s="2280"/>
      <c r="AQ77" s="2280"/>
      <c r="AR77" s="2280"/>
      <c r="AS77" s="2280"/>
      <c r="AT77" s="2280"/>
      <c r="AU77" s="2280"/>
      <c r="AV77" s="2280"/>
      <c r="AW77" s="2280"/>
      <c r="AX77" s="2280"/>
      <c r="AY77" s="2280"/>
      <c r="AZ77" s="2280"/>
      <c r="BA77" s="2280"/>
      <c r="BB77" s="2280"/>
      <c r="BC77" s="561"/>
      <c r="BD77" s="2280"/>
      <c r="BE77" s="2280"/>
      <c r="BF77" s="2280"/>
      <c r="BG77" s="2280"/>
      <c r="BH77" s="2280"/>
      <c r="BI77" s="2280"/>
      <c r="BJ77" s="2280"/>
      <c r="BK77" s="2280"/>
      <c r="BL77" s="2280"/>
      <c r="BM77" s="2280"/>
      <c r="BN77" s="2280"/>
      <c r="BO77" s="2280"/>
      <c r="BP77" s="2280"/>
      <c r="BQ77" s="2280"/>
      <c r="BR77" s="2280"/>
      <c r="BS77" s="2280"/>
      <c r="BT77" s="2280"/>
      <c r="BU77" s="2280"/>
      <c r="BV77" s="2280"/>
      <c r="BW77" s="1897"/>
      <c r="BX77" s="1727"/>
      <c r="BY77" s="969"/>
      <c r="BZ77" s="489" t="s">
        <v>2406</v>
      </c>
      <c r="CA77" s="1506"/>
      <c r="CB77" s="1506"/>
      <c r="CC77" s="0" cm="1" t="str">
        <f t="array" ref="CC77:CC77">CC76</f>
        <v>ТЭ.42.31656254.0001</v>
      </c>
      <c r="CD77" s="1751"/>
      <c r="CE77" s="1751"/>
      <c r="CF77" s="0" t="s">
        <v>2407</v>
      </c>
      <c r="CG77" s="1751"/>
      <c r="CH77" s="1751"/>
      <c r="CI77" s="0" t="s">
        <v>303</v>
      </c>
      <c r="CJ77" s="0" t="s">
        <v>2394</v>
      </c>
      <c r="CK77" s="0" t="s">
        <v>2395</v>
      </c>
    </row>
    <row s="1751" customFormat="1" customHeight="1" ht="44.25">
      <c r="A78" s="371"/>
      <c r="B78" s="192">
        <f>InvestmentSources_is_one_block="нет"</f>
        <v>1</v>
      </c>
      <c r="C78" s="1548"/>
      <c r="D78" s="1548"/>
      <c r="E78" s="180">
        <v>46</v>
      </c>
      <c r="F78" s="175" cm="1" t="str">
        <f t="array" ref="F78:F78">OFFSET(G78,-1,-1)</f>
        <v>1</v>
      </c>
      <c r="G78" s="1659"/>
      <c r="H78" s="1659"/>
      <c r="I78" s="1659"/>
      <c r="J78" s="1659"/>
      <c r="K78" s="1659"/>
      <c r="L78" s="1659"/>
      <c r="M78" s="1659"/>
      <c r="N78" s="1659"/>
      <c r="O78" s="1659"/>
      <c r="P78" s="1659"/>
      <c r="Q78" s="1659"/>
      <c r="R78" s="1659"/>
      <c r="S78" s="1659"/>
      <c r="T78" s="753" cm="1" t="str">
        <f t="array" ref="T78:T78">T77</f>
        <v>true</v>
      </c>
      <c r="U78" s="1548"/>
      <c r="V78" s="1548"/>
      <c r="W78" s="1548"/>
      <c r="X78" s="1548"/>
      <c r="Y78" s="1548"/>
      <c r="Z78" s="1548"/>
      <c r="AA78" s="1727"/>
      <c r="AB78" s="794">
        <v>1.4</v>
      </c>
      <c r="AC78" s="842" t="s">
        <v>2408</v>
      </c>
      <c r="AD78" s="666" t="s">
        <v>917</v>
      </c>
      <c r="AE78" s="2280"/>
      <c r="AF78" s="2280"/>
      <c r="AG78" s="2280"/>
      <c r="AH78" s="2280"/>
      <c r="AI78" s="561"/>
      <c r="AJ78" s="2280"/>
      <c r="AK78" s="2280"/>
      <c r="AL78" s="2280"/>
      <c r="AM78" s="2280"/>
      <c r="AN78" s="2280"/>
      <c r="AO78" s="2280"/>
      <c r="AP78" s="2280"/>
      <c r="AQ78" s="2280"/>
      <c r="AR78" s="2280"/>
      <c r="AS78" s="2280"/>
      <c r="AT78" s="2280"/>
      <c r="AU78" s="2280"/>
      <c r="AV78" s="2280"/>
      <c r="AW78" s="2280"/>
      <c r="AX78" s="2280"/>
      <c r="AY78" s="2280"/>
      <c r="AZ78" s="2280"/>
      <c r="BA78" s="2280"/>
      <c r="BB78" s="2280"/>
      <c r="BC78" s="561"/>
      <c r="BD78" s="2280"/>
      <c r="BE78" s="2280"/>
      <c r="BF78" s="2280"/>
      <c r="BG78" s="2280"/>
      <c r="BH78" s="2280"/>
      <c r="BI78" s="2280"/>
      <c r="BJ78" s="2280"/>
      <c r="BK78" s="2280"/>
      <c r="BL78" s="2280"/>
      <c r="BM78" s="2280"/>
      <c r="BN78" s="2280"/>
      <c r="BO78" s="2280"/>
      <c r="BP78" s="2280"/>
      <c r="BQ78" s="2280"/>
      <c r="BR78" s="2280"/>
      <c r="BS78" s="2280"/>
      <c r="BT78" s="2280"/>
      <c r="BU78" s="2280"/>
      <c r="BV78" s="2280"/>
      <c r="BW78" s="1897"/>
      <c r="BX78" s="1727"/>
      <c r="BY78" s="969"/>
      <c r="BZ78" s="489" t="s">
        <v>2409</v>
      </c>
      <c r="CA78" s="1506"/>
      <c r="CB78" s="1506"/>
      <c r="CC78" s="0" cm="1" t="str">
        <f t="array" ref="CC78:CC78">CC77</f>
        <v>ТЭ.42.31656254.0001</v>
      </c>
      <c r="CD78" s="1751"/>
      <c r="CE78" s="1751"/>
      <c r="CF78" s="1751"/>
      <c r="CG78" s="0" t="s">
        <v>2410</v>
      </c>
      <c r="CH78" s="1751"/>
      <c r="CI78" s="0" t="s">
        <v>303</v>
      </c>
      <c r="CJ78" s="0" t="s">
        <v>2394</v>
      </c>
      <c r="CK78" s="0" t="s">
        <v>2395</v>
      </c>
    </row>
    <row s="1751" customFormat="1" customHeight="1" ht="21.75">
      <c r="A79" s="371"/>
      <c r="B79" s="192">
        <f>InvestmentSources_is_one_block="нет"</f>
        <v>1</v>
      </c>
      <c r="C79" s="1548"/>
      <c r="D79" s="1548"/>
      <c r="E79" s="180">
        <v>23</v>
      </c>
      <c r="F79" s="175" cm="1" t="str">
        <f t="array" ref="F79:F79">OFFSET(G79,-1,-1)</f>
        <v>1</v>
      </c>
      <c r="G79" s="1659"/>
      <c r="H79" s="1659"/>
      <c r="I79" s="1659"/>
      <c r="J79" s="1659"/>
      <c r="K79" s="1659"/>
      <c r="L79" s="1659"/>
      <c r="M79" s="1659"/>
      <c r="N79" s="1659"/>
      <c r="O79" s="1659"/>
      <c r="P79" s="1659"/>
      <c r="Q79" s="1659"/>
      <c r="R79" s="1659"/>
      <c r="S79" s="1659"/>
      <c r="T79" s="753" cm="1" t="str">
        <f t="array" ref="T79:T79">T78</f>
        <v>true</v>
      </c>
      <c r="U79" s="1548"/>
      <c r="V79" s="1548"/>
      <c r="W79" s="1548"/>
      <c r="X79" s="1548"/>
      <c r="Y79" s="1548"/>
      <c r="Z79" s="1548"/>
      <c r="AA79" s="1727"/>
      <c r="AB79" s="794">
        <v>1.5</v>
      </c>
      <c r="AC79" s="842" t="s">
        <v>2411</v>
      </c>
      <c r="AD79" s="666" t="s">
        <v>917</v>
      </c>
      <c r="AE79" s="2280"/>
      <c r="AF79" s="2280"/>
      <c r="AG79" s="2280"/>
      <c r="AH79" s="2280"/>
      <c r="AI79" s="561"/>
      <c r="AJ79" s="2280"/>
      <c r="AK79" s="2280"/>
      <c r="AL79" s="2280"/>
      <c r="AM79" s="2280"/>
      <c r="AN79" s="2280"/>
      <c r="AO79" s="2280"/>
      <c r="AP79" s="2280"/>
      <c r="AQ79" s="2280"/>
      <c r="AR79" s="2280"/>
      <c r="AS79" s="2280"/>
      <c r="AT79" s="2280"/>
      <c r="AU79" s="2280"/>
      <c r="AV79" s="2280"/>
      <c r="AW79" s="2280"/>
      <c r="AX79" s="2280"/>
      <c r="AY79" s="2280"/>
      <c r="AZ79" s="2280"/>
      <c r="BA79" s="2280"/>
      <c r="BB79" s="2280"/>
      <c r="BC79" s="561"/>
      <c r="BD79" s="2280"/>
      <c r="BE79" s="2280"/>
      <c r="BF79" s="2280"/>
      <c r="BG79" s="2280"/>
      <c r="BH79" s="2280"/>
      <c r="BI79" s="2280"/>
      <c r="BJ79" s="2280"/>
      <c r="BK79" s="2280"/>
      <c r="BL79" s="2280"/>
      <c r="BM79" s="2280"/>
      <c r="BN79" s="2280"/>
      <c r="BO79" s="2280"/>
      <c r="BP79" s="2280"/>
      <c r="BQ79" s="2280"/>
      <c r="BR79" s="2280"/>
      <c r="BS79" s="2280"/>
      <c r="BT79" s="2280"/>
      <c r="BU79" s="2280"/>
      <c r="BV79" s="2280"/>
      <c r="BW79" s="1897"/>
      <c r="BX79" s="1727"/>
      <c r="BY79" s="969"/>
      <c r="BZ79" s="489" t="s">
        <v>1355</v>
      </c>
      <c r="CA79" s="1506"/>
      <c r="CB79" s="1506"/>
      <c r="CC79" s="0" cm="1" t="str">
        <f t="array" ref="CC79:CC79">CC78</f>
        <v>ТЭ.42.31656254.0001</v>
      </c>
      <c r="CD79" s="1751"/>
      <c r="CE79" s="1751"/>
      <c r="CF79" s="0" t="s">
        <v>2412</v>
      </c>
      <c r="CG79" s="1751"/>
      <c r="CH79" s="1751"/>
      <c r="CI79" s="0" t="s">
        <v>303</v>
      </c>
      <c r="CJ79" s="0" t="s">
        <v>2394</v>
      </c>
      <c r="CK79" s="0" t="s">
        <v>2395</v>
      </c>
    </row>
    <row s="1751" customFormat="1" customHeight="1" ht="21.75">
      <c r="A80" s="371"/>
      <c r="B80" s="192">
        <f>InvestmentSources_is_one_block="нет"</f>
        <v>1</v>
      </c>
      <c r="C80" s="1548"/>
      <c r="D80" s="1548"/>
      <c r="E80" s="180">
        <v>23</v>
      </c>
      <c r="F80" s="175" cm="1" t="str">
        <f t="array" ref="F80:F80">OFFSET(G80,-1,-1)</f>
        <v>1</v>
      </c>
      <c r="G80" s="1659"/>
      <c r="H80" s="1659"/>
      <c r="I80" s="1659"/>
      <c r="J80" s="1659"/>
      <c r="K80" s="1659"/>
      <c r="L80" s="1659"/>
      <c r="M80" s="1659"/>
      <c r="N80" s="1659"/>
      <c r="O80" s="1659"/>
      <c r="P80" s="1659"/>
      <c r="Q80" s="1659"/>
      <c r="R80" s="1659"/>
      <c r="S80" s="1659"/>
      <c r="T80" s="753" cm="1" t="str">
        <f t="array" ref="T80:T80">T79</f>
        <v>true</v>
      </c>
      <c r="U80" s="1548"/>
      <c r="V80" s="1548"/>
      <c r="W80" s="1548"/>
      <c r="X80" s="1548"/>
      <c r="Y80" s="1548"/>
      <c r="Z80" s="1548"/>
      <c r="AA80" s="1727"/>
      <c r="AB80" s="794">
        <v>2</v>
      </c>
      <c r="AC80" s="842" t="s">
        <v>2413</v>
      </c>
      <c r="AD80" s="666" t="s">
        <v>917</v>
      </c>
      <c r="AE80" s="2280"/>
      <c r="AF80" s="2280"/>
      <c r="AG80" s="2280"/>
      <c r="AH80" s="2280"/>
      <c r="AI80" s="561"/>
      <c r="AJ80" s="2280"/>
      <c r="AK80" s="2280"/>
      <c r="AL80" s="2280"/>
      <c r="AM80" s="2280"/>
      <c r="AN80" s="2280"/>
      <c r="AO80" s="2280"/>
      <c r="AP80" s="2280"/>
      <c r="AQ80" s="2280"/>
      <c r="AR80" s="2280"/>
      <c r="AS80" s="2280"/>
      <c r="AT80" s="2280"/>
      <c r="AU80" s="2280"/>
      <c r="AV80" s="2280"/>
      <c r="AW80" s="2280"/>
      <c r="AX80" s="2280"/>
      <c r="AY80" s="2280"/>
      <c r="AZ80" s="2280"/>
      <c r="BA80" s="2280"/>
      <c r="BB80" s="2280"/>
      <c r="BC80" s="561"/>
      <c r="BD80" s="2280"/>
      <c r="BE80" s="2280"/>
      <c r="BF80" s="2280"/>
      <c r="BG80" s="2280"/>
      <c r="BH80" s="2280"/>
      <c r="BI80" s="2280"/>
      <c r="BJ80" s="2280"/>
      <c r="BK80" s="2280"/>
      <c r="BL80" s="2280"/>
      <c r="BM80" s="2280"/>
      <c r="BN80" s="2280"/>
      <c r="BO80" s="2280"/>
      <c r="BP80" s="2280"/>
      <c r="BQ80" s="2280"/>
      <c r="BR80" s="2280"/>
      <c r="BS80" s="2280"/>
      <c r="BT80" s="2280"/>
      <c r="BU80" s="2280"/>
      <c r="BV80" s="2280"/>
      <c r="BW80" s="1897"/>
      <c r="BX80" s="1727"/>
      <c r="BY80" s="969"/>
      <c r="BZ80" s="489" t="s">
        <v>1509</v>
      </c>
      <c r="CA80" s="1506"/>
      <c r="CB80" s="1506"/>
      <c r="CC80" s="0" cm="1" t="str">
        <f t="array" ref="CC80:CC80">CC79</f>
        <v>ТЭ.42.31656254.0001</v>
      </c>
      <c r="CD80" s="1751"/>
      <c r="CE80" s="1751"/>
      <c r="CF80" s="1751"/>
      <c r="CG80" s="0" t="s">
        <v>2414</v>
      </c>
      <c r="CH80" s="1751"/>
      <c r="CI80" s="0" t="s">
        <v>303</v>
      </c>
      <c r="CJ80" s="0" t="s">
        <v>2394</v>
      </c>
      <c r="CK80" s="0" t="s">
        <v>2395</v>
      </c>
    </row>
    <row s="1751" customFormat="1" customHeight="1" ht="16.5">
      <c r="A81" s="371"/>
      <c r="B81" s="192">
        <f>InvestmentSources_is_one_block="нет"</f>
        <v>1</v>
      </c>
      <c r="C81" s="1548"/>
      <c r="D81" s="1548"/>
      <c r="E81" s="180">
        <v>17</v>
      </c>
      <c r="F81" s="175" cm="1" t="str">
        <f t="array" ref="F81:F81">OFFSET(G81,-1,-1)</f>
        <v>1</v>
      </c>
      <c r="G81" s="1659"/>
      <c r="H81" s="1659"/>
      <c r="I81" s="1659"/>
      <c r="J81" s="1659"/>
      <c r="K81" s="1659"/>
      <c r="L81" s="1659"/>
      <c r="M81" s="1659"/>
      <c r="N81" s="1659"/>
      <c r="O81" s="1659"/>
      <c r="P81" s="1659"/>
      <c r="Q81" s="1659"/>
      <c r="R81" s="1659"/>
      <c r="S81" s="1659"/>
      <c r="T81" s="753" cm="1" t="str">
        <f t="array" ref="T81:T81">T80</f>
        <v>true</v>
      </c>
      <c r="U81" s="1548"/>
      <c r="V81" s="1548"/>
      <c r="W81" s="1548"/>
      <c r="X81" s="1548"/>
      <c r="Y81" s="1548"/>
      <c r="Z81" s="1548"/>
      <c r="AA81" s="1727"/>
      <c r="AB81" s="794">
        <v>3</v>
      </c>
      <c r="AC81" s="842" t="s">
        <v>2415</v>
      </c>
      <c r="AD81" s="666" t="s">
        <v>917</v>
      </c>
      <c r="AE81" s="695">
        <f>AE82+AE83+AE84</f>
        <v>0</v>
      </c>
      <c r="AF81" s="695">
        <f>AF82+AF83+AF84</f>
        <v>0</v>
      </c>
      <c r="AG81" s="695">
        <f>AG82+AG83+AG84</f>
        <v>0</v>
      </c>
      <c r="AH81" s="695">
        <f>AH82+AH83+AH84</f>
        <v>0</v>
      </c>
      <c r="AI81" s="695">
        <f>AI82+AI83+AI84</f>
        <v>0</v>
      </c>
      <c r="AJ81" s="695">
        <f>AJ82+AJ83+AJ84</f>
        <v>0</v>
      </c>
      <c r="AK81" s="695">
        <f>AK82+AK83+AK84</f>
        <v>0</v>
      </c>
      <c r="AL81" s="695">
        <f>AL82+AL83+AL84</f>
        <v>0</v>
      </c>
      <c r="AM81" s="695">
        <f>AM82+AM83+AM84</f>
        <v>0</v>
      </c>
      <c r="AN81" s="695">
        <f>AN82+AN83+AN84</f>
        <v>0</v>
      </c>
      <c r="AO81" s="695">
        <f>AO82+AO83+AO84</f>
        <v>0</v>
      </c>
      <c r="AP81" s="695">
        <f>AP82+AP83+AP84</f>
        <v>0</v>
      </c>
      <c r="AQ81" s="695">
        <f>AQ82+AQ83+AQ84</f>
        <v>0</v>
      </c>
      <c r="AR81" s="695">
        <f>AR82+AR83+AR84</f>
        <v>0</v>
      </c>
      <c r="AS81" s="695">
        <f>AS82+AS83+AS84</f>
        <v>0</v>
      </c>
      <c r="AT81" s="695">
        <f>AT82+AT83+AT84</f>
        <v>0</v>
      </c>
      <c r="AU81" s="695">
        <f>AU82+AU83+AU84</f>
        <v>0</v>
      </c>
      <c r="AV81" s="695">
        <f>AV82+AV83+AV84</f>
        <v>0</v>
      </c>
      <c r="AW81" s="695">
        <f>AW82+AW83+AW84</f>
        <v>0</v>
      </c>
      <c r="AX81" s="695">
        <f>AX82+AX83+AX84</f>
        <v>0</v>
      </c>
      <c r="AY81" s="695">
        <f>AY82+AY83+AY84</f>
        <v>0</v>
      </c>
      <c r="AZ81" s="695">
        <f>AZ82+AZ83+AZ84</f>
        <v>0</v>
      </c>
      <c r="BA81" s="695">
        <f>BA82+BA83+BA84</f>
        <v>0</v>
      </c>
      <c r="BB81" s="695">
        <f>BB82+BB83+BB84</f>
        <v>0</v>
      </c>
      <c r="BC81" s="695">
        <f>BC82+BC83+BC84</f>
        <v>0</v>
      </c>
      <c r="BD81" s="695">
        <f>BD82+BD83+BD84</f>
        <v>0</v>
      </c>
      <c r="BE81" s="695">
        <f>BE82+BE83+BE84</f>
        <v>0</v>
      </c>
      <c r="BF81" s="695">
        <f>BF82+BF83+BF84</f>
        <v>0</v>
      </c>
      <c r="BG81" s="695">
        <f>BG82+BG83+BG84</f>
        <v>0</v>
      </c>
      <c r="BH81" s="695">
        <f>BH82+BH83+BH84</f>
        <v>0</v>
      </c>
      <c r="BI81" s="695">
        <f>BI82+BI83+BI84</f>
        <v>0</v>
      </c>
      <c r="BJ81" s="695">
        <f>BJ82+BJ83+BJ84</f>
        <v>0</v>
      </c>
      <c r="BK81" s="695">
        <f>BK82+BK83+BK84</f>
        <v>0</v>
      </c>
      <c r="BL81" s="695">
        <f>BL82+BL83+BL84</f>
        <v>0</v>
      </c>
      <c r="BM81" s="695">
        <f>BM82+BM83+BM84</f>
        <v>0</v>
      </c>
      <c r="BN81" s="695">
        <f>BN82+BN83+BN84</f>
        <v>0</v>
      </c>
      <c r="BO81" s="695">
        <f>BO82+BO83+BO84</f>
        <v>0</v>
      </c>
      <c r="BP81" s="695">
        <f>BP82+BP83+BP84</f>
        <v>0</v>
      </c>
      <c r="BQ81" s="695">
        <f>BQ82+BQ83+BQ84</f>
        <v>0</v>
      </c>
      <c r="BR81" s="695">
        <f>BR82+BR83+BR84</f>
        <v>0</v>
      </c>
      <c r="BS81" s="695">
        <f>BS82+BS83+BS84</f>
        <v>0</v>
      </c>
      <c r="BT81" s="695">
        <f>BT82+BT83+BT84</f>
        <v>0</v>
      </c>
      <c r="BU81" s="695">
        <f>BU82+BU83+BU84</f>
        <v>0</v>
      </c>
      <c r="BV81" s="695">
        <f>BV82+BV83+BV84</f>
        <v>0</v>
      </c>
      <c r="BW81" s="1897"/>
      <c r="BX81" s="1727"/>
      <c r="BY81" s="969"/>
      <c r="BZ81" s="489" t="s">
        <v>2416</v>
      </c>
      <c r="CA81" s="1506"/>
      <c r="CB81" s="1506"/>
      <c r="CC81" s="0" cm="1" t="str">
        <f t="array" ref="CC81:CC81">CC80</f>
        <v>ТЭ.42.31656254.0001</v>
      </c>
      <c r="CD81" s="1751"/>
      <c r="CE81" s="1751"/>
      <c r="CF81" s="1751"/>
      <c r="CG81" s="1751"/>
      <c r="CH81" s="1751"/>
      <c r="CI81" s="0" t="s">
        <v>303</v>
      </c>
      <c r="CJ81" s="0" t="s">
        <v>2417</v>
      </c>
      <c r="CK81" s="0" t="s">
        <v>2418</v>
      </c>
    </row>
    <row s="1751" customFormat="1" customHeight="1" ht="16.5">
      <c r="A82" s="371"/>
      <c r="B82" s="192">
        <f>InvestmentSources_is_one_block="нет"</f>
        <v>1</v>
      </c>
      <c r="C82" s="1548"/>
      <c r="D82" s="1548"/>
      <c r="E82" s="180">
        <v>17</v>
      </c>
      <c r="F82" s="175" cm="1" t="str">
        <f t="array" ref="F82:F82">OFFSET(G82,-1,-1)</f>
        <v>1</v>
      </c>
      <c r="G82" s="1659"/>
      <c r="H82" s="1659"/>
      <c r="I82" s="1659"/>
      <c r="J82" s="1659"/>
      <c r="K82" s="1659"/>
      <c r="L82" s="1659"/>
      <c r="M82" s="1659"/>
      <c r="N82" s="1659"/>
      <c r="O82" s="1659"/>
      <c r="P82" s="1659"/>
      <c r="Q82" s="1659"/>
      <c r="R82" s="1659"/>
      <c r="S82" s="1659"/>
      <c r="T82" s="753" cm="1" t="str">
        <f t="array" ref="T82:T82">T81</f>
        <v>true</v>
      </c>
      <c r="U82" s="1548"/>
      <c r="V82" s="1548"/>
      <c r="W82" s="1548"/>
      <c r="X82" s="1548"/>
      <c r="Y82" s="1548"/>
      <c r="Z82" s="1548"/>
      <c r="AA82" s="1727"/>
      <c r="AB82" s="794">
        <v>3.1</v>
      </c>
      <c r="AC82" s="894" t="s">
        <v>2419</v>
      </c>
      <c r="AD82" s="666" t="s">
        <v>917</v>
      </c>
      <c r="AE82" s="2280"/>
      <c r="AF82" s="2280"/>
      <c r="AG82" s="2280"/>
      <c r="AH82" s="2280"/>
      <c r="AI82" s="561"/>
      <c r="AJ82" s="2280"/>
      <c r="AK82" s="2280"/>
      <c r="AL82" s="2280"/>
      <c r="AM82" s="2280"/>
      <c r="AN82" s="2280"/>
      <c r="AO82" s="2280"/>
      <c r="AP82" s="2280"/>
      <c r="AQ82" s="2280"/>
      <c r="AR82" s="2280"/>
      <c r="AS82" s="2280"/>
      <c r="AT82" s="2280"/>
      <c r="AU82" s="2280"/>
      <c r="AV82" s="2280"/>
      <c r="AW82" s="2280"/>
      <c r="AX82" s="2280"/>
      <c r="AY82" s="2280"/>
      <c r="AZ82" s="2280"/>
      <c r="BA82" s="2280"/>
      <c r="BB82" s="2280"/>
      <c r="BC82" s="561"/>
      <c r="BD82" s="2280"/>
      <c r="BE82" s="2280"/>
      <c r="BF82" s="2280"/>
      <c r="BG82" s="2280"/>
      <c r="BH82" s="2280"/>
      <c r="BI82" s="2280"/>
      <c r="BJ82" s="2280"/>
      <c r="BK82" s="2280"/>
      <c r="BL82" s="2280"/>
      <c r="BM82" s="2280"/>
      <c r="BN82" s="2280"/>
      <c r="BO82" s="2280"/>
      <c r="BP82" s="2280"/>
      <c r="BQ82" s="2280"/>
      <c r="BR82" s="2280"/>
      <c r="BS82" s="2280"/>
      <c r="BT82" s="2280"/>
      <c r="BU82" s="2280"/>
      <c r="BV82" s="2280"/>
      <c r="BW82" s="1897"/>
      <c r="BX82" s="1727"/>
      <c r="BY82" s="969"/>
      <c r="BZ82" s="489" t="s">
        <v>1665</v>
      </c>
      <c r="CA82" s="1506"/>
      <c r="CB82" s="1506"/>
      <c r="CC82" s="0" cm="1" t="str">
        <f t="array" ref="CC82:CC82">CC81</f>
        <v>ТЭ.42.31656254.0001</v>
      </c>
      <c r="CD82" s="0" t="s">
        <v>2420</v>
      </c>
      <c r="CE82" s="1751"/>
      <c r="CF82" s="1751"/>
      <c r="CG82" s="1751"/>
      <c r="CH82" s="1751"/>
      <c r="CI82" s="0" t="s">
        <v>303</v>
      </c>
      <c r="CJ82" s="0" t="s">
        <v>2417</v>
      </c>
      <c r="CK82" s="0" t="s">
        <v>2418</v>
      </c>
    </row>
    <row s="1751" customFormat="1" customHeight="1" ht="16.5">
      <c r="A83" s="371"/>
      <c r="B83" s="192">
        <f>InvestmentSources_is_one_block="нет"</f>
        <v>1</v>
      </c>
      <c r="C83" s="1548"/>
      <c r="D83" s="1548"/>
      <c r="E83" s="180">
        <v>17</v>
      </c>
      <c r="F83" s="175" cm="1" t="str">
        <f t="array" ref="F83:F83">OFFSET(G83,-1,-1)</f>
        <v>1</v>
      </c>
      <c r="G83" s="1659"/>
      <c r="H83" s="1659"/>
      <c r="I83" s="1659"/>
      <c r="J83" s="1659"/>
      <c r="K83" s="1659"/>
      <c r="L83" s="1659"/>
      <c r="M83" s="1659"/>
      <c r="N83" s="1659"/>
      <c r="O83" s="1659"/>
      <c r="P83" s="1659"/>
      <c r="Q83" s="1659"/>
      <c r="R83" s="1659"/>
      <c r="S83" s="1659"/>
      <c r="T83" s="753" cm="1" t="str">
        <f t="array" ref="T83:T83">T82</f>
        <v>true</v>
      </c>
      <c r="U83" s="1548"/>
      <c r="V83" s="1548"/>
      <c r="W83" s="1548"/>
      <c r="X83" s="1548"/>
      <c r="Y83" s="1548"/>
      <c r="Z83" s="1548"/>
      <c r="AA83" s="1727"/>
      <c r="AB83" s="794">
        <v>3.2</v>
      </c>
      <c r="AC83" s="894" t="s">
        <v>2421</v>
      </c>
      <c r="AD83" s="666" t="s">
        <v>917</v>
      </c>
      <c r="AE83" s="2280"/>
      <c r="AF83" s="2280"/>
      <c r="AG83" s="2280"/>
      <c r="AH83" s="2280"/>
      <c r="AI83" s="561"/>
      <c r="AJ83" s="2280"/>
      <c r="AK83" s="2280"/>
      <c r="AL83" s="2280"/>
      <c r="AM83" s="2280"/>
      <c r="AN83" s="2280"/>
      <c r="AO83" s="2280"/>
      <c r="AP83" s="2280"/>
      <c r="AQ83" s="2280"/>
      <c r="AR83" s="2280"/>
      <c r="AS83" s="2280"/>
      <c r="AT83" s="2280"/>
      <c r="AU83" s="2280"/>
      <c r="AV83" s="2280"/>
      <c r="AW83" s="2280"/>
      <c r="AX83" s="2280"/>
      <c r="AY83" s="2280"/>
      <c r="AZ83" s="2280"/>
      <c r="BA83" s="2280"/>
      <c r="BB83" s="2280"/>
      <c r="BC83" s="561"/>
      <c r="BD83" s="2280"/>
      <c r="BE83" s="2280"/>
      <c r="BF83" s="2280"/>
      <c r="BG83" s="2280"/>
      <c r="BH83" s="2280"/>
      <c r="BI83" s="2280"/>
      <c r="BJ83" s="2280"/>
      <c r="BK83" s="2280"/>
      <c r="BL83" s="2280"/>
      <c r="BM83" s="2280"/>
      <c r="BN83" s="2280"/>
      <c r="BO83" s="2280"/>
      <c r="BP83" s="2280"/>
      <c r="BQ83" s="2280"/>
      <c r="BR83" s="2280"/>
      <c r="BS83" s="2280"/>
      <c r="BT83" s="2280"/>
      <c r="BU83" s="2280"/>
      <c r="BV83" s="2280"/>
      <c r="BW83" s="1897"/>
      <c r="BX83" s="1727"/>
      <c r="BY83" s="969"/>
      <c r="BZ83" s="489" t="s">
        <v>2422</v>
      </c>
      <c r="CA83" s="1506"/>
      <c r="CB83" s="1506"/>
      <c r="CC83" s="0" cm="1" t="str">
        <f t="array" ref="CC83:CC83">CC82</f>
        <v>ТЭ.42.31656254.0001</v>
      </c>
      <c r="CD83" s="0" t="s">
        <v>1919</v>
      </c>
      <c r="CE83" s="1751"/>
      <c r="CF83" s="1751"/>
      <c r="CG83" s="1751"/>
      <c r="CH83" s="1751"/>
      <c r="CI83" s="0" t="s">
        <v>303</v>
      </c>
      <c r="CJ83" s="0" t="s">
        <v>2417</v>
      </c>
      <c r="CK83" s="0" t="s">
        <v>2418</v>
      </c>
    </row>
    <row s="1751" customFormat="1" customHeight="1" ht="16.5">
      <c r="A84" s="371"/>
      <c r="B84" s="192">
        <f>InvestmentSources_is_one_block="нет"</f>
        <v>1</v>
      </c>
      <c r="C84" s="1548"/>
      <c r="D84" s="1548"/>
      <c r="E84" s="180">
        <v>17</v>
      </c>
      <c r="F84" s="175" cm="1" t="str">
        <f t="array" ref="F84:F84">OFFSET(G84,-1,-1)</f>
        <v>1</v>
      </c>
      <c r="G84" s="1659"/>
      <c r="H84" s="1659"/>
      <c r="I84" s="1659"/>
      <c r="J84" s="1659"/>
      <c r="K84" s="1659"/>
      <c r="L84" s="1659"/>
      <c r="M84" s="1659"/>
      <c r="N84" s="1659"/>
      <c r="O84" s="1659"/>
      <c r="P84" s="1659"/>
      <c r="Q84" s="1659"/>
      <c r="R84" s="1659"/>
      <c r="S84" s="1659"/>
      <c r="T84" s="753" cm="1" t="str">
        <f t="array" ref="T84:T84">T83</f>
        <v>true</v>
      </c>
      <c r="U84" s="1548"/>
      <c r="V84" s="1548"/>
      <c r="W84" s="1548"/>
      <c r="X84" s="1548"/>
      <c r="Y84" s="1548"/>
      <c r="Z84" s="1548"/>
      <c r="AA84" s="1727"/>
      <c r="AB84" s="794">
        <v>3.3</v>
      </c>
      <c r="AC84" s="894" t="s">
        <v>2423</v>
      </c>
      <c r="AD84" s="666" t="s">
        <v>917</v>
      </c>
      <c r="AE84" s="2280"/>
      <c r="AF84" s="2280"/>
      <c r="AG84" s="2280"/>
      <c r="AH84" s="2280"/>
      <c r="AI84" s="561"/>
      <c r="AJ84" s="2280"/>
      <c r="AK84" s="2280"/>
      <c r="AL84" s="2280"/>
      <c r="AM84" s="2280"/>
      <c r="AN84" s="2280"/>
      <c r="AO84" s="2280"/>
      <c r="AP84" s="2280"/>
      <c r="AQ84" s="2280"/>
      <c r="AR84" s="2280"/>
      <c r="AS84" s="2280"/>
      <c r="AT84" s="2280"/>
      <c r="AU84" s="2280"/>
      <c r="AV84" s="2280"/>
      <c r="AW84" s="2280"/>
      <c r="AX84" s="2280"/>
      <c r="AY84" s="2280"/>
      <c r="AZ84" s="2280"/>
      <c r="BA84" s="2280"/>
      <c r="BB84" s="2280"/>
      <c r="BC84" s="561"/>
      <c r="BD84" s="2280"/>
      <c r="BE84" s="2280"/>
      <c r="BF84" s="2280"/>
      <c r="BG84" s="2280"/>
      <c r="BH84" s="2280"/>
      <c r="BI84" s="2280"/>
      <c r="BJ84" s="2280"/>
      <c r="BK84" s="2280"/>
      <c r="BL84" s="2280"/>
      <c r="BM84" s="2280"/>
      <c r="BN84" s="2280"/>
      <c r="BO84" s="2280"/>
      <c r="BP84" s="2280"/>
      <c r="BQ84" s="2280"/>
      <c r="BR84" s="2280"/>
      <c r="BS84" s="2280"/>
      <c r="BT84" s="2280"/>
      <c r="BU84" s="2280"/>
      <c r="BV84" s="2280"/>
      <c r="BW84" s="1897"/>
      <c r="BX84" s="1727"/>
      <c r="BY84" s="969"/>
      <c r="BZ84" s="489" t="s">
        <v>2424</v>
      </c>
      <c r="CA84" s="1506"/>
      <c r="CB84" s="1506"/>
      <c r="CC84" s="0" cm="1" t="str">
        <f t="array" ref="CC84:CC84">CC83</f>
        <v>ТЭ.42.31656254.0001</v>
      </c>
      <c r="CD84" s="1751"/>
      <c r="CE84" s="1751"/>
      <c r="CF84" s="0" t="s">
        <v>2425</v>
      </c>
      <c r="CG84" s="1751"/>
      <c r="CH84" s="1751"/>
      <c r="CI84" s="0" t="s">
        <v>303</v>
      </c>
      <c r="CJ84" s="0" t="s">
        <v>2417</v>
      </c>
      <c r="CK84" s="0" t="s">
        <v>2418</v>
      </c>
    </row>
    <row s="1751" customFormat="1" customHeight="1" ht="16.5">
      <c r="A85" s="371"/>
      <c r="B85" s="192">
        <f>InvestmentSources_is_one_block="нет"</f>
        <v>1</v>
      </c>
      <c r="C85" s="1548"/>
      <c r="D85" s="1548"/>
      <c r="E85" s="180">
        <v>17</v>
      </c>
      <c r="F85" s="175" cm="1" t="str">
        <f t="array" ref="F85:F85">OFFSET(G85,-1,-1)</f>
        <v>1</v>
      </c>
      <c r="G85" s="1659"/>
      <c r="H85" s="1659"/>
      <c r="I85" s="1659"/>
      <c r="J85" s="1659"/>
      <c r="K85" s="1659"/>
      <c r="L85" s="1659"/>
      <c r="M85" s="1659"/>
      <c r="N85" s="1659"/>
      <c r="O85" s="1659"/>
      <c r="P85" s="1659"/>
      <c r="Q85" s="1659"/>
      <c r="R85" s="1659"/>
      <c r="S85" s="1659"/>
      <c r="T85" s="753" cm="1" t="str">
        <f t="array" ref="T85:T85">T84</f>
        <v>true</v>
      </c>
      <c r="U85" s="1548"/>
      <c r="V85" s="1548"/>
      <c r="W85" s="1548"/>
      <c r="X85" s="1548"/>
      <c r="Y85" s="1548"/>
      <c r="Z85" s="1548"/>
      <c r="AA85" s="1727"/>
      <c r="AB85" s="794">
        <v>4</v>
      </c>
      <c r="AC85" s="842" t="s">
        <v>2426</v>
      </c>
      <c r="AD85" s="666" t="s">
        <v>917</v>
      </c>
      <c r="AE85" s="695">
        <f>AE86+AE87+AE88</f>
        <v>0</v>
      </c>
      <c r="AF85" s="695">
        <f>AF86+AF87+AF88</f>
        <v>0</v>
      </c>
      <c r="AG85" s="695">
        <f>AG86+AG87+AG88</f>
        <v>0</v>
      </c>
      <c r="AH85" s="695">
        <f>AH86+AH87+AH88</f>
        <v>0</v>
      </c>
      <c r="AI85" s="695">
        <f>AI86+AI87+AI88</f>
        <v>0</v>
      </c>
      <c r="AJ85" s="695">
        <f>AJ86+AJ87+AJ88</f>
        <v>0</v>
      </c>
      <c r="AK85" s="695">
        <f>AK86+AK87+AK88</f>
        <v>0</v>
      </c>
      <c r="AL85" s="695">
        <f>AL86+AL87+AL88</f>
        <v>0</v>
      </c>
      <c r="AM85" s="695">
        <f>AM86+AM87+AM88</f>
        <v>0</v>
      </c>
      <c r="AN85" s="695">
        <f>AN86+AN87+AN88</f>
        <v>0</v>
      </c>
      <c r="AO85" s="695">
        <f>AO86+AO87+AO88</f>
        <v>0</v>
      </c>
      <c r="AP85" s="695">
        <f>AP86+AP87+AP88</f>
        <v>0</v>
      </c>
      <c r="AQ85" s="695">
        <f>AQ86+AQ87+AQ88</f>
        <v>0</v>
      </c>
      <c r="AR85" s="695">
        <f>AR86+AR87+AR88</f>
        <v>0</v>
      </c>
      <c r="AS85" s="695">
        <f>AS86+AS87+AS88</f>
        <v>0</v>
      </c>
      <c r="AT85" s="695">
        <f>AT86+AT87+AT88</f>
        <v>0</v>
      </c>
      <c r="AU85" s="695">
        <f>AU86+AU87+AU88</f>
        <v>0</v>
      </c>
      <c r="AV85" s="695">
        <f>AV86+AV87+AV88</f>
        <v>0</v>
      </c>
      <c r="AW85" s="695">
        <f>AW86+AW87+AW88</f>
        <v>0</v>
      </c>
      <c r="AX85" s="695">
        <f>AX86+AX87+AX88</f>
        <v>0</v>
      </c>
      <c r="AY85" s="695">
        <f>AY86+AY87+AY88</f>
        <v>0</v>
      </c>
      <c r="AZ85" s="695">
        <f>AZ86+AZ87+AZ88</f>
        <v>0</v>
      </c>
      <c r="BA85" s="695">
        <f>BA86+BA87+BA88</f>
        <v>0</v>
      </c>
      <c r="BB85" s="695">
        <f>BB86+BB87+BB88</f>
        <v>0</v>
      </c>
      <c r="BC85" s="695">
        <f>BC86+BC87+BC88</f>
        <v>0</v>
      </c>
      <c r="BD85" s="695">
        <f>BD86+BD87+BD88</f>
        <v>0</v>
      </c>
      <c r="BE85" s="695">
        <f>BE86+BE87+BE88</f>
        <v>0</v>
      </c>
      <c r="BF85" s="695">
        <f>BF86+BF87+BF88</f>
        <v>0</v>
      </c>
      <c r="BG85" s="695">
        <f>BG86+BG87+BG88</f>
        <v>0</v>
      </c>
      <c r="BH85" s="695">
        <f>BH86+BH87+BH88</f>
        <v>0</v>
      </c>
      <c r="BI85" s="695">
        <f>BI86+BI87+BI88</f>
        <v>0</v>
      </c>
      <c r="BJ85" s="695">
        <f>BJ86+BJ87+BJ88</f>
        <v>0</v>
      </c>
      <c r="BK85" s="695">
        <f>BK86+BK87+BK88</f>
        <v>0</v>
      </c>
      <c r="BL85" s="695">
        <f>BL86+BL87+BL88</f>
        <v>0</v>
      </c>
      <c r="BM85" s="695">
        <f>BM86+BM87+BM88</f>
        <v>0</v>
      </c>
      <c r="BN85" s="695">
        <f>BN86+BN87+BN88</f>
        <v>0</v>
      </c>
      <c r="BO85" s="695">
        <f>BO86+BO87+BO88</f>
        <v>0</v>
      </c>
      <c r="BP85" s="695">
        <f>BP86+BP87+BP88</f>
        <v>0</v>
      </c>
      <c r="BQ85" s="695">
        <f>BQ86+BQ87+BQ88</f>
        <v>0</v>
      </c>
      <c r="BR85" s="695">
        <f>BR86+BR87+BR88</f>
        <v>0</v>
      </c>
      <c r="BS85" s="695">
        <f>BS86+BS87+BS88</f>
        <v>0</v>
      </c>
      <c r="BT85" s="695">
        <f>BT86+BT87+BT88</f>
        <v>0</v>
      </c>
      <c r="BU85" s="695">
        <f>BU86+BU87+BU88</f>
        <v>0</v>
      </c>
      <c r="BV85" s="695">
        <f>BV86+BV87+BV88</f>
        <v>0</v>
      </c>
      <c r="BW85" s="1897"/>
      <c r="BX85" s="1727"/>
      <c r="BY85" s="969"/>
      <c r="BZ85" s="489" t="s">
        <v>2142</v>
      </c>
      <c r="CA85" s="1506"/>
      <c r="CB85" s="1506"/>
      <c r="CC85" s="0" cm="1" t="str">
        <f t="array" ref="CC85:CC85">CC84</f>
        <v>ТЭ.42.31656254.0001</v>
      </c>
      <c r="CD85" s="0" t="s">
        <v>2427</v>
      </c>
      <c r="CE85" s="1751"/>
      <c r="CF85" s="1751"/>
      <c r="CG85" s="1751"/>
      <c r="CH85" s="1751"/>
      <c r="CI85" s="0" t="s">
        <v>303</v>
      </c>
      <c r="CJ85" s="0" t="s">
        <v>2428</v>
      </c>
      <c r="CK85" s="0" t="s">
        <v>2429</v>
      </c>
    </row>
    <row s="1751" customFormat="1" customHeight="1" ht="16.5">
      <c r="A86" s="371"/>
      <c r="B86" s="192">
        <f>InvestmentSources_is_one_block="нет"</f>
        <v>1</v>
      </c>
      <c r="C86" s="1548"/>
      <c r="D86" s="1548"/>
      <c r="E86" s="180">
        <v>17</v>
      </c>
      <c r="F86" s="175" cm="1" t="str">
        <f t="array" ref="F86:F86">OFFSET(G86,-1,-1)</f>
        <v>1</v>
      </c>
      <c r="G86" s="1659"/>
      <c r="H86" s="1659"/>
      <c r="I86" s="1659"/>
      <c r="J86" s="1659"/>
      <c r="K86" s="1659"/>
      <c r="L86" s="1659"/>
      <c r="M86" s="1659"/>
      <c r="N86" s="1659"/>
      <c r="O86" s="1659"/>
      <c r="P86" s="1659"/>
      <c r="Q86" s="1659"/>
      <c r="R86" s="1659"/>
      <c r="S86" s="1659"/>
      <c r="T86" s="753" cm="1" t="str">
        <f t="array" ref="T86:T86">T85</f>
        <v>true</v>
      </c>
      <c r="U86" s="1548"/>
      <c r="V86" s="1548"/>
      <c r="W86" s="1548"/>
      <c r="X86" s="1548"/>
      <c r="Y86" s="1548"/>
      <c r="Z86" s="1548"/>
      <c r="AA86" s="1727"/>
      <c r="AB86" s="794">
        <v>4.1</v>
      </c>
      <c r="AC86" s="894" t="s">
        <v>2430</v>
      </c>
      <c r="AD86" s="666" t="s">
        <v>917</v>
      </c>
      <c r="AE86" s="2280"/>
      <c r="AF86" s="2280"/>
      <c r="AG86" s="2280"/>
      <c r="AH86" s="2280"/>
      <c r="AI86" s="561"/>
      <c r="AJ86" s="2280"/>
      <c r="AK86" s="2280"/>
      <c r="AL86" s="2280"/>
      <c r="AM86" s="2280"/>
      <c r="AN86" s="2280"/>
      <c r="AO86" s="2280"/>
      <c r="AP86" s="2280"/>
      <c r="AQ86" s="2280"/>
      <c r="AR86" s="2280"/>
      <c r="AS86" s="2280"/>
      <c r="AT86" s="2280"/>
      <c r="AU86" s="2280"/>
      <c r="AV86" s="2280"/>
      <c r="AW86" s="2280"/>
      <c r="AX86" s="2280"/>
      <c r="AY86" s="2280"/>
      <c r="AZ86" s="2280"/>
      <c r="BA86" s="2280"/>
      <c r="BB86" s="2280"/>
      <c r="BC86" s="561"/>
      <c r="BD86" s="2280"/>
      <c r="BE86" s="2280"/>
      <c r="BF86" s="2280"/>
      <c r="BG86" s="2280"/>
      <c r="BH86" s="2280"/>
      <c r="BI86" s="2280"/>
      <c r="BJ86" s="2280"/>
      <c r="BK86" s="2280"/>
      <c r="BL86" s="2280"/>
      <c r="BM86" s="2280"/>
      <c r="BN86" s="2280"/>
      <c r="BO86" s="2280"/>
      <c r="BP86" s="2280"/>
      <c r="BQ86" s="2280"/>
      <c r="BR86" s="2280"/>
      <c r="BS86" s="2280"/>
      <c r="BT86" s="2280"/>
      <c r="BU86" s="2280"/>
      <c r="BV86" s="2280"/>
      <c r="BW86" s="1897"/>
      <c r="BX86" s="1727"/>
      <c r="BY86" s="969"/>
      <c r="BZ86" s="489" t="s">
        <v>2431</v>
      </c>
      <c r="CA86" s="1506"/>
      <c r="CB86" s="1506"/>
      <c r="CC86" s="0" cm="1" t="str">
        <f t="array" ref="CC86:CC86">CC85</f>
        <v>ТЭ.42.31656254.0001</v>
      </c>
      <c r="CD86" s="1751"/>
      <c r="CE86" s="1751"/>
      <c r="CF86" s="1751"/>
      <c r="CG86" s="1751"/>
      <c r="CH86" s="0" t="s">
        <v>2432</v>
      </c>
      <c r="CI86" s="0" t="s">
        <v>303</v>
      </c>
      <c r="CJ86" s="0" t="s">
        <v>2428</v>
      </c>
      <c r="CK86" s="0" t="s">
        <v>2429</v>
      </c>
    </row>
    <row s="1751" customFormat="1" customHeight="1" ht="16.5">
      <c r="A87" s="371"/>
      <c r="B87" s="192">
        <f>InvestmentSources_is_one_block="нет"</f>
        <v>1</v>
      </c>
      <c r="C87" s="1548"/>
      <c r="D87" s="1548"/>
      <c r="E87" s="180">
        <v>17</v>
      </c>
      <c r="F87" s="175" cm="1" t="str">
        <f t="array" ref="F87:F87">OFFSET(G87,-1,-1)</f>
        <v>1</v>
      </c>
      <c r="G87" s="1659"/>
      <c r="H87" s="1659"/>
      <c r="I87" s="1659"/>
      <c r="J87" s="1659"/>
      <c r="K87" s="1659"/>
      <c r="L87" s="1659"/>
      <c r="M87" s="1659"/>
      <c r="N87" s="1659"/>
      <c r="O87" s="1659"/>
      <c r="P87" s="1659"/>
      <c r="Q87" s="1659"/>
      <c r="R87" s="1659"/>
      <c r="S87" s="1659"/>
      <c r="T87" s="753" cm="1" t="str">
        <f t="array" ref="T87:T87">T86</f>
        <v>true</v>
      </c>
      <c r="U87" s="1548"/>
      <c r="V87" s="1548"/>
      <c r="W87" s="1548"/>
      <c r="X87" s="1548"/>
      <c r="Y87" s="1548"/>
      <c r="Z87" s="1548"/>
      <c r="AA87" s="1727"/>
      <c r="AB87" s="794">
        <v>4.2</v>
      </c>
      <c r="AC87" s="894" t="s">
        <v>2433</v>
      </c>
      <c r="AD87" s="666" t="s">
        <v>917</v>
      </c>
      <c r="AE87" s="2280"/>
      <c r="AF87" s="2280"/>
      <c r="AG87" s="2280"/>
      <c r="AH87" s="2280"/>
      <c r="AI87" s="561"/>
      <c r="AJ87" s="2280"/>
      <c r="AK87" s="2280"/>
      <c r="AL87" s="2280"/>
      <c r="AM87" s="2280"/>
      <c r="AN87" s="2280"/>
      <c r="AO87" s="2280"/>
      <c r="AP87" s="2280"/>
      <c r="AQ87" s="2280"/>
      <c r="AR87" s="2280"/>
      <c r="AS87" s="2280"/>
      <c r="AT87" s="2280"/>
      <c r="AU87" s="2280"/>
      <c r="AV87" s="2280"/>
      <c r="AW87" s="2280"/>
      <c r="AX87" s="2280"/>
      <c r="AY87" s="2280"/>
      <c r="AZ87" s="2280"/>
      <c r="BA87" s="2280"/>
      <c r="BB87" s="2280"/>
      <c r="BC87" s="561"/>
      <c r="BD87" s="2280"/>
      <c r="BE87" s="2280"/>
      <c r="BF87" s="2280"/>
      <c r="BG87" s="2280"/>
      <c r="BH87" s="2280"/>
      <c r="BI87" s="2280"/>
      <c r="BJ87" s="2280"/>
      <c r="BK87" s="2280"/>
      <c r="BL87" s="2280"/>
      <c r="BM87" s="2280"/>
      <c r="BN87" s="2280"/>
      <c r="BO87" s="2280"/>
      <c r="BP87" s="2280"/>
      <c r="BQ87" s="2280"/>
      <c r="BR87" s="2280"/>
      <c r="BS87" s="2280"/>
      <c r="BT87" s="2280"/>
      <c r="BU87" s="2280"/>
      <c r="BV87" s="2280"/>
      <c r="BW87" s="1897"/>
      <c r="BX87" s="1727"/>
      <c r="BY87" s="969"/>
      <c r="BZ87" s="489" t="s">
        <v>2434</v>
      </c>
      <c r="CA87" s="1506"/>
      <c r="CB87" s="1506"/>
      <c r="CC87" s="0" cm="1" t="str">
        <f t="array" ref="CC87:CC87">CC86</f>
        <v>ТЭ.42.31656254.0001</v>
      </c>
      <c r="CD87" s="1751"/>
      <c r="CE87" s="1751"/>
      <c r="CF87" s="1751"/>
      <c r="CG87" s="1751"/>
      <c r="CH87" s="0" t="s">
        <v>2435</v>
      </c>
      <c r="CI87" s="0" t="s">
        <v>303</v>
      </c>
      <c r="CJ87" s="0" t="s">
        <v>2428</v>
      </c>
      <c r="CK87" s="0" t="s">
        <v>2429</v>
      </c>
    </row>
    <row s="1751" customFormat="1" customHeight="1" ht="16.5">
      <c r="A88" s="371"/>
      <c r="B88" s="192">
        <f>InvestmentSources_is_one_block="нет"</f>
        <v>1</v>
      </c>
      <c r="C88" s="1548"/>
      <c r="D88" s="1548"/>
      <c r="E88" s="180">
        <v>17</v>
      </c>
      <c r="F88" s="175" cm="1" t="str">
        <f t="array" ref="F88:F88">OFFSET(G88,-1,-1)</f>
        <v>1</v>
      </c>
      <c r="G88" s="1659"/>
      <c r="H88" s="1659"/>
      <c r="I88" s="1659"/>
      <c r="J88" s="1659"/>
      <c r="K88" s="1659"/>
      <c r="L88" s="1659"/>
      <c r="M88" s="1659"/>
      <c r="N88" s="1659"/>
      <c r="O88" s="1659"/>
      <c r="P88" s="1659"/>
      <c r="Q88" s="1659"/>
      <c r="R88" s="1659"/>
      <c r="S88" s="1659"/>
      <c r="T88" s="753" cm="1" t="str">
        <f t="array" ref="T88:T88">T87</f>
        <v>true</v>
      </c>
      <c r="U88" s="1548"/>
      <c r="V88" s="1548"/>
      <c r="W88" s="1548"/>
      <c r="X88" s="1548"/>
      <c r="Y88" s="1548"/>
      <c r="Z88" s="1548"/>
      <c r="AA88" s="1727"/>
      <c r="AB88" s="794">
        <v>4.3</v>
      </c>
      <c r="AC88" s="894" t="s">
        <v>2436</v>
      </c>
      <c r="AD88" s="666" t="s">
        <v>917</v>
      </c>
      <c r="AE88" s="2280"/>
      <c r="AF88" s="2280"/>
      <c r="AG88" s="2280"/>
      <c r="AH88" s="2280"/>
      <c r="AI88" s="561"/>
      <c r="AJ88" s="2280"/>
      <c r="AK88" s="2280"/>
      <c r="AL88" s="2280"/>
      <c r="AM88" s="2280"/>
      <c r="AN88" s="2280"/>
      <c r="AO88" s="2280"/>
      <c r="AP88" s="2280"/>
      <c r="AQ88" s="2280"/>
      <c r="AR88" s="2280"/>
      <c r="AS88" s="2280"/>
      <c r="AT88" s="2280"/>
      <c r="AU88" s="2280"/>
      <c r="AV88" s="2280"/>
      <c r="AW88" s="2280"/>
      <c r="AX88" s="2280"/>
      <c r="AY88" s="2280"/>
      <c r="AZ88" s="2280"/>
      <c r="BA88" s="2280"/>
      <c r="BB88" s="2280"/>
      <c r="BC88" s="561"/>
      <c r="BD88" s="2280"/>
      <c r="BE88" s="2280"/>
      <c r="BF88" s="2280"/>
      <c r="BG88" s="2280"/>
      <c r="BH88" s="2280"/>
      <c r="BI88" s="2280"/>
      <c r="BJ88" s="2280"/>
      <c r="BK88" s="2280"/>
      <c r="BL88" s="2280"/>
      <c r="BM88" s="2280"/>
      <c r="BN88" s="2280"/>
      <c r="BO88" s="2280"/>
      <c r="BP88" s="2280"/>
      <c r="BQ88" s="2280"/>
      <c r="BR88" s="2280"/>
      <c r="BS88" s="2280"/>
      <c r="BT88" s="2280"/>
      <c r="BU88" s="2280"/>
      <c r="BV88" s="2280"/>
      <c r="BW88" s="1897"/>
      <c r="BX88" s="1727"/>
      <c r="BY88" s="969"/>
      <c r="BZ88" s="489" t="s">
        <v>2437</v>
      </c>
      <c r="CA88" s="1506"/>
      <c r="CB88" s="1506"/>
      <c r="CC88" s="0" cm="1" t="str">
        <f t="array" ref="CC88:CC88">CC87</f>
        <v>ТЭ.42.31656254.0001</v>
      </c>
      <c r="CD88" s="1751"/>
      <c r="CE88" s="1751"/>
      <c r="CF88" s="1751"/>
      <c r="CG88" s="1751"/>
      <c r="CH88" s="0" t="s">
        <v>2438</v>
      </c>
      <c r="CI88" s="0" t="s">
        <v>303</v>
      </c>
      <c r="CJ88" s="0" t="s">
        <v>2428</v>
      </c>
      <c r="CK88" s="0" t="s">
        <v>2429</v>
      </c>
    </row>
    <row s="1751" customFormat="1" customHeight="1" ht="16.5">
      <c r="A89" s="371"/>
      <c r="B89" s="192">
        <f>InvestmentSources_is_one_block="нет"</f>
        <v>1</v>
      </c>
      <c r="C89" s="1548"/>
      <c r="D89" s="1548"/>
      <c r="E89" s="180">
        <v>17</v>
      </c>
      <c r="F89" s="175" cm="1" t="str">
        <f t="array" ref="F89:F89">OFFSET(G89,-1,-1)</f>
        <v>1</v>
      </c>
      <c r="G89" s="1659"/>
      <c r="H89" s="1659"/>
      <c r="I89" s="1659"/>
      <c r="J89" s="1659"/>
      <c r="K89" s="1659"/>
      <c r="L89" s="1659"/>
      <c r="M89" s="1659"/>
      <c r="N89" s="1659"/>
      <c r="O89" s="1659"/>
      <c r="P89" s="1659"/>
      <c r="Q89" s="1659"/>
      <c r="R89" s="1659"/>
      <c r="S89" s="1659"/>
      <c r="T89" s="753" cm="1" t="str">
        <f t="array" ref="T89:T89">T88</f>
        <v>true</v>
      </c>
      <c r="U89" s="1548"/>
      <c r="V89" s="1548"/>
      <c r="W89" s="1548"/>
      <c r="X89" s="1548"/>
      <c r="Y89" s="1548"/>
      <c r="Z89" s="1548"/>
      <c r="AA89" s="1727"/>
      <c r="AB89" s="794">
        <v>5</v>
      </c>
      <c r="AC89" s="894" t="s">
        <v>2439</v>
      </c>
      <c r="AD89" s="666" t="s">
        <v>917</v>
      </c>
      <c r="AE89" s="2280"/>
      <c r="AF89" s="2280"/>
      <c r="AG89" s="2280"/>
      <c r="AH89" s="2280"/>
      <c r="AI89" s="561"/>
      <c r="AJ89" s="2280"/>
      <c r="AK89" s="2280"/>
      <c r="AL89" s="2280"/>
      <c r="AM89" s="2280"/>
      <c r="AN89" s="2280"/>
      <c r="AO89" s="2280"/>
      <c r="AP89" s="2280"/>
      <c r="AQ89" s="2280"/>
      <c r="AR89" s="2280"/>
      <c r="AS89" s="2280"/>
      <c r="AT89" s="2280"/>
      <c r="AU89" s="2280"/>
      <c r="AV89" s="2280"/>
      <c r="AW89" s="2280"/>
      <c r="AX89" s="2280"/>
      <c r="AY89" s="2280"/>
      <c r="AZ89" s="2280"/>
      <c r="BA89" s="2280"/>
      <c r="BB89" s="2280"/>
      <c r="BC89" s="561"/>
      <c r="BD89" s="2280"/>
      <c r="BE89" s="2280"/>
      <c r="BF89" s="2280"/>
      <c r="BG89" s="2280"/>
      <c r="BH89" s="2280"/>
      <c r="BI89" s="2280"/>
      <c r="BJ89" s="2280"/>
      <c r="BK89" s="2280"/>
      <c r="BL89" s="2280"/>
      <c r="BM89" s="2280"/>
      <c r="BN89" s="2280"/>
      <c r="BO89" s="2280"/>
      <c r="BP89" s="2280"/>
      <c r="BQ89" s="2280"/>
      <c r="BR89" s="2280"/>
      <c r="BS89" s="2280"/>
      <c r="BT89" s="2280"/>
      <c r="BU89" s="2280"/>
      <c r="BV89" s="2280"/>
      <c r="BW89" s="1897"/>
      <c r="BX89" s="1727"/>
      <c r="BY89" s="969"/>
      <c r="BZ89" s="489" t="s">
        <v>2440</v>
      </c>
      <c r="CA89" s="1506"/>
      <c r="CB89" s="1506"/>
      <c r="CC89" s="0" cm="1" t="str">
        <f t="array" ref="CC89:CC89">CC88</f>
        <v>ТЭ.42.31656254.0001</v>
      </c>
      <c r="CD89" s="0" t="s">
        <v>2441</v>
      </c>
      <c r="CE89" s="1751"/>
      <c r="CF89" s="1751"/>
      <c r="CG89" s="1751"/>
      <c r="CH89" s="1751"/>
      <c r="CI89" s="0" t="s">
        <v>303</v>
      </c>
      <c r="CJ89" s="0" t="s">
        <v>2442</v>
      </c>
      <c r="CK89" s="0" t="s">
        <v>2443</v>
      </c>
    </row>
    <row customHeight="1" ht="11.700000000000001">
      <c r="B90" s="1012">
        <f>InvestmentSources_is_one_block="нет"</f>
        <v>1</v>
      </c>
      <c r="E90" s="180">
        <v>12</v>
      </c>
      <c r="U90" s="175" t="s">
        <v>191</v>
      </c>
      <c r="V90" s="176" t="s">
        <v>2444</v>
      </c>
      <c r="AC90" s="286"/>
      <c r="AI90" s="1727"/>
      <c r="AJ90" s="1727"/>
      <c r="AK90" s="1727"/>
      <c r="AL90" s="1727"/>
      <c r="AM90" s="1727"/>
      <c r="AN90" s="1727"/>
      <c r="AO90" s="1727"/>
      <c r="AP90" s="1727"/>
      <c r="AQ90" s="1727"/>
      <c r="AR90" s="1727"/>
      <c r="AS90" s="1727"/>
      <c r="AT90" s="1727"/>
      <c r="AU90" s="1727"/>
      <c r="AV90" s="1727"/>
      <c r="AW90" s="1727"/>
      <c r="AX90" s="1727"/>
      <c r="AY90" s="1727"/>
      <c r="AZ90" s="1727"/>
      <c r="BA90" s="1727"/>
      <c r="BB90" s="1727"/>
      <c r="BC90" s="1727"/>
      <c r="BD90" s="1727"/>
      <c r="BE90" s="1727"/>
      <c r="BF90" s="1727"/>
      <c r="BG90" s="1727"/>
      <c r="BH90" s="1727"/>
      <c r="BI90" s="1727"/>
      <c r="BJ90" s="1727"/>
      <c r="BK90" s="1727"/>
      <c r="BL90" s="1727"/>
      <c r="BM90" s="1727"/>
      <c r="BN90" s="1727"/>
      <c r="BO90" s="1727"/>
      <c r="BP90" s="1727"/>
      <c r="BQ90" s="1727"/>
      <c r="BR90" s="1727"/>
      <c r="BS90" s="1727"/>
      <c r="BT90" s="1727"/>
      <c r="BU90" s="1727"/>
      <c r="BV90" s="1727"/>
    </row>
    <row customHeight="1" ht="12.75" hidden="1">
      <c r="E91" s="965">
        <v>0</v>
      </c>
      <c r="AC91" s="286"/>
      <c r="AI91" s="1727"/>
      <c r="AJ91" s="1727"/>
      <c r="AK91" s="1727"/>
      <c r="AL91" s="1727"/>
      <c r="AM91" s="1727"/>
      <c r="AN91" s="1727"/>
      <c r="AO91" s="1727"/>
      <c r="AP91" s="1727"/>
      <c r="AQ91" s="1727"/>
      <c r="AR91" s="1727"/>
      <c r="AS91" s="1727"/>
      <c r="AT91" s="1727"/>
      <c r="AU91" s="1727"/>
      <c r="AV91" s="1727"/>
      <c r="AW91" s="1727"/>
      <c r="AX91" s="1727"/>
      <c r="AY91" s="1727"/>
      <c r="AZ91" s="1727"/>
      <c r="BA91" s="1727"/>
      <c r="BB91" s="1727"/>
      <c r="BC91" s="1727"/>
      <c r="BD91" s="1727"/>
      <c r="BE91" s="1727"/>
      <c r="BF91" s="1727"/>
      <c r="BG91" s="1727"/>
      <c r="BH91" s="1727"/>
      <c r="BI91" s="1727"/>
      <c r="BJ91" s="1727"/>
      <c r="BK91" s="1727"/>
      <c r="BL91" s="1727"/>
      <c r="BM91" s="1727"/>
      <c r="BN91" s="1727"/>
      <c r="BO91" s="1727"/>
      <c r="BP91" s="1727"/>
      <c r="BQ91" s="1727"/>
      <c r="BR91" s="1727"/>
      <c r="BS91" s="1727"/>
      <c r="BT91" s="1727"/>
      <c r="BU91" s="1727"/>
      <c r="BV91" s="1727"/>
    </row>
    <row customHeight="1" ht="14.625">
      <c r="E92" s="180">
        <v>15</v>
      </c>
      <c r="AB92" s="1653" t="s">
        <v>765</v>
      </c>
      <c r="AC92" s="1665"/>
      <c r="AD92" s="1665"/>
      <c r="AE92" s="1665"/>
      <c r="AF92" s="1665"/>
      <c r="AG92" s="1665"/>
      <c r="AH92" s="1665"/>
      <c r="AI92" s="1665"/>
      <c r="AJ92" s="1665"/>
      <c r="AK92" s="1665"/>
      <c r="AL92" s="1665"/>
      <c r="AM92" s="1665"/>
      <c r="AN92" s="1665"/>
      <c r="AO92" s="1665"/>
      <c r="AP92" s="1665"/>
      <c r="AQ92" s="1665"/>
      <c r="AR92" s="1665"/>
      <c r="AS92" s="1665"/>
      <c r="AT92" s="1665"/>
      <c r="AU92" s="1665"/>
      <c r="AV92" s="1665"/>
      <c r="AW92" s="1665"/>
      <c r="AX92" s="1665"/>
      <c r="AY92" s="1665"/>
      <c r="AZ92" s="1665"/>
      <c r="BA92" s="1665"/>
      <c r="BB92" s="1665"/>
      <c r="BC92" s="1665"/>
      <c r="BD92" s="1665"/>
      <c r="BE92" s="1665"/>
      <c r="BF92" s="1665"/>
      <c r="BG92" s="1665"/>
      <c r="BH92" s="1665"/>
      <c r="BI92" s="1665"/>
      <c r="BJ92" s="1665"/>
      <c r="BK92" s="1665"/>
      <c r="BL92" s="1665"/>
      <c r="BM92" s="1665"/>
      <c r="BN92" s="1665"/>
      <c r="BO92" s="1665"/>
      <c r="BP92" s="1665"/>
      <c r="BQ92" s="1665"/>
      <c r="BR92" s="1665"/>
      <c r="BS92" s="1665"/>
      <c r="BT92" s="1665"/>
      <c r="BU92" s="1665"/>
      <c r="BV92" s="1665"/>
      <c r="BW92" s="1665"/>
    </row>
    <row customHeight="1" ht="14.625">
      <c r="E93" s="180">
        <v>15</v>
      </c>
      <c r="AA93" s="477"/>
      <c r="AB93" s="1675"/>
      <c r="AC93" s="1675"/>
      <c r="AD93" s="1675"/>
      <c r="AE93" s="1675"/>
      <c r="AF93" s="1675"/>
      <c r="AG93" s="1675"/>
      <c r="AH93" s="1675"/>
      <c r="AI93" s="1675"/>
      <c r="AJ93" s="2334"/>
      <c r="AK93" s="2334"/>
      <c r="AL93" s="2334"/>
      <c r="AM93" s="2334"/>
      <c r="AN93" s="2334"/>
      <c r="AO93" s="2334"/>
      <c r="AP93" s="2334"/>
      <c r="AQ93" s="2334"/>
      <c r="AR93" s="2334"/>
      <c r="AS93" s="2334"/>
      <c r="AT93" s="2334"/>
      <c r="AU93" s="2334"/>
      <c r="AV93" s="2334"/>
      <c r="AW93" s="2334"/>
      <c r="AX93" s="2334"/>
      <c r="AY93" s="2334"/>
      <c r="AZ93" s="2334"/>
      <c r="BA93" s="2334"/>
      <c r="BB93" s="2334"/>
      <c r="BC93" s="1675"/>
      <c r="BD93" s="2334"/>
      <c r="BE93" s="2334"/>
      <c r="BF93" s="2334"/>
      <c r="BG93" s="2334"/>
      <c r="BH93" s="2334"/>
      <c r="BI93" s="2334"/>
      <c r="BJ93" s="2334"/>
      <c r="BK93" s="2334"/>
      <c r="BL93" s="2334"/>
      <c r="BM93" s="2334"/>
      <c r="BN93" s="2334"/>
      <c r="BO93" s="2334"/>
      <c r="BP93" s="2334"/>
      <c r="BQ93" s="2334"/>
      <c r="BR93" s="2334"/>
      <c r="BS93" s="2334"/>
      <c r="BT93" s="2334"/>
      <c r="BU93" s="2334"/>
      <c r="BV93" s="2334"/>
      <c r="BW93" s="1699"/>
    </row>
    <row customHeight="1" ht="14.625" hidden="1">
      <c r="A94" s="371"/>
      <c r="B94" s="1548"/>
      <c r="C94" s="1548"/>
      <c r="D94" s="1548"/>
      <c r="E94" s="180">
        <v>15</v>
      </c>
      <c r="F94" s="1548"/>
      <c r="G94" s="1659"/>
      <c r="H94" s="1659"/>
      <c r="I94" s="1659"/>
      <c r="J94" s="1659"/>
      <c r="K94" s="1659"/>
      <c r="L94" s="1659"/>
      <c r="M94" s="1659"/>
      <c r="N94" s="1659"/>
      <c r="O94" s="1659"/>
      <c r="P94" s="1659"/>
      <c r="Q94" s="1659"/>
      <c r="R94" s="1659"/>
      <c r="S94" s="1659"/>
      <c r="T94" s="753">
        <f>ROW(W94)&gt;ROW(W$94)</f>
        <v>0</v>
      </c>
      <c r="U94" s="1548"/>
      <c r="V94" s="1548"/>
      <c r="W94" s="175" t="s">
        <v>189</v>
      </c>
      <c r="X94" s="1548"/>
      <c r="Y94" s="1548"/>
      <c r="Z94" s="1548"/>
      <c r="AA94" s="477" t="s">
        <v>171</v>
      </c>
      <c r="AB94" s="2334"/>
      <c r="AC94" s="2334"/>
      <c r="AD94" s="2334"/>
      <c r="AE94" s="2334"/>
      <c r="AF94" s="2334"/>
      <c r="AG94" s="2334"/>
      <c r="AH94" s="2334"/>
      <c r="AI94" s="1675"/>
      <c r="AJ94" s="2334"/>
      <c r="AK94" s="2334"/>
      <c r="AL94" s="2334"/>
      <c r="AM94" s="2334"/>
      <c r="AN94" s="2334"/>
      <c r="AO94" s="2334"/>
      <c r="AP94" s="2334"/>
      <c r="AQ94" s="2334"/>
      <c r="AR94" s="2334"/>
      <c r="AS94" s="2334"/>
      <c r="AT94" s="2334"/>
      <c r="AU94" s="2334"/>
      <c r="AV94" s="2334"/>
      <c r="AW94" s="2334"/>
      <c r="AX94" s="2334"/>
      <c r="AY94" s="2334"/>
      <c r="AZ94" s="2334"/>
      <c r="BA94" s="2334"/>
      <c r="BB94" s="2334"/>
      <c r="BC94" s="1675"/>
      <c r="BD94" s="2334"/>
      <c r="BE94" s="2334"/>
      <c r="BF94" s="2334"/>
      <c r="BG94" s="2334"/>
      <c r="BH94" s="2334"/>
      <c r="BI94" s="2334"/>
      <c r="BJ94" s="2334"/>
      <c r="BK94" s="2334"/>
      <c r="BL94" s="2334"/>
      <c r="BM94" s="2334"/>
      <c r="BN94" s="2334"/>
      <c r="BO94" s="2334"/>
      <c r="BP94" s="2334"/>
      <c r="BQ94" s="2334"/>
      <c r="BR94" s="2334"/>
      <c r="BS94" s="2334"/>
      <c r="BT94" s="2334"/>
      <c r="BU94" s="2334"/>
      <c r="BV94" s="2334"/>
      <c r="BW94" s="2411"/>
      <c r="BX94" s="1727"/>
      <c r="BY94" s="969"/>
      <c r="BZ94" s="1125"/>
      <c r="CA94" s="1506"/>
      <c r="CB94" s="1506"/>
      <c r="CC94" s="1752"/>
      <c r="CD94" s="1752"/>
      <c r="CE94" s="1752"/>
      <c r="CF94" s="1752"/>
      <c r="CG94" s="1752"/>
      <c r="CH94" s="1752"/>
      <c r="CI94" s="1752"/>
      <c r="CJ94" s="1752"/>
      <c r="CK94" s="1752"/>
    </row>
    <row customHeight="1" ht="14.625">
      <c r="E95" s="180">
        <v>15</v>
      </c>
      <c r="W95" s="176" t="s">
        <v>190</v>
      </c>
      <c r="AA95" s="286"/>
      <c r="AB95" s="1599" t="s">
        <v>766</v>
      </c>
      <c r="AC95" s="1600"/>
      <c r="AD95" s="480"/>
      <c r="AE95" s="480"/>
      <c r="AF95" s="480"/>
      <c r="AG95" s="480"/>
      <c r="AH95" s="480"/>
      <c r="AI95" s="480"/>
      <c r="AJ95" s="480"/>
      <c r="AK95" s="480"/>
      <c r="AL95" s="480"/>
      <c r="AM95" s="480"/>
      <c r="AN95" s="480"/>
      <c r="AO95" s="480"/>
      <c r="AP95" s="480"/>
      <c r="AQ95" s="480"/>
      <c r="AR95" s="480"/>
      <c r="AS95" s="480"/>
      <c r="AT95" s="480"/>
      <c r="AU95" s="480"/>
      <c r="AV95" s="480"/>
      <c r="AW95" s="480"/>
      <c r="AX95" s="480"/>
      <c r="AY95" s="480"/>
      <c r="AZ95" s="480"/>
      <c r="BA95" s="480"/>
      <c r="BB95" s="480"/>
      <c r="BC95" s="480"/>
      <c r="BD95" s="480"/>
      <c r="BE95" s="480"/>
      <c r="BF95" s="480"/>
      <c r="BG95" s="480"/>
      <c r="BH95" s="480"/>
      <c r="BI95" s="480"/>
      <c r="BJ95" s="480"/>
      <c r="BK95" s="480"/>
      <c r="BL95" s="480"/>
      <c r="BM95" s="480"/>
      <c r="BN95" s="480"/>
      <c r="BO95" s="480"/>
      <c r="BP95" s="480"/>
      <c r="BQ95" s="480"/>
      <c r="BR95" s="480"/>
      <c r="BS95" s="480"/>
      <c r="BT95" s="480"/>
      <c r="BU95" s="480"/>
      <c r="BV95" s="480"/>
      <c r="BW95" s="482"/>
    </row>
    <row customHeight="1" ht="11.25">
      <c r="AI96" s="1727"/>
      <c r="AJ96" s="1727"/>
      <c r="AK96" s="1727"/>
      <c r="AL96" s="1727"/>
      <c r="AM96" s="1727"/>
      <c r="AN96" s="1727"/>
      <c r="AO96" s="1727"/>
      <c r="AP96" s="1727"/>
      <c r="AQ96" s="1727"/>
      <c r="AR96" s="1727"/>
      <c r="AS96" s="1727"/>
      <c r="AT96" s="1727"/>
      <c r="AU96" s="1727"/>
      <c r="AV96" s="1727"/>
      <c r="AW96" s="1727"/>
      <c r="AX96" s="1727"/>
      <c r="AY96" s="1727"/>
      <c r="AZ96" s="1727"/>
      <c r="BA96" s="1727"/>
      <c r="BB96" s="1727"/>
      <c r="BC96" s="1727"/>
      <c r="BD96" s="1727"/>
      <c r="BE96" s="1727"/>
      <c r="BF96" s="1727"/>
      <c r="BG96" s="1727"/>
      <c r="BH96" s="1727"/>
      <c r="BI96" s="1727"/>
      <c r="BJ96" s="1727"/>
      <c r="BK96" s="1727"/>
      <c r="BL96" s="1727"/>
      <c r="BM96" s="1727"/>
      <c r="BN96" s="1727"/>
      <c r="BO96" s="1727"/>
      <c r="BP96" s="1727"/>
      <c r="BQ96" s="1727"/>
      <c r="BR96" s="1727"/>
      <c r="BS96" s="1727"/>
      <c r="BT96" s="1727"/>
      <c r="BU96" s="1727"/>
      <c r="BV96" s="1727"/>
      <c r="BX96" s="318"/>
    </row>
  </sheetData>
  <sheetProtection formatColumns="0" formatRows="0" insertRows="0" deleteColumns="0" deleteRows="0" sort="0" autoFilter="0" insertColumns="1"/>
  <mergeCells count="13">
    <mergeCell ref="Z50:Z69"/>
    <mergeCell ref="X50:X69"/>
    <mergeCell ref="AB93:BW93"/>
    <mergeCell ref="AB95:AC95"/>
    <mergeCell ref="AB24:AC24"/>
    <mergeCell ref="AB26:AB27"/>
    <mergeCell ref="AC26:AC27"/>
    <mergeCell ref="AD26:AD27"/>
    <mergeCell ref="BW26:BW27"/>
    <mergeCell ref="AB92:BW92"/>
    <mergeCell ref="AB94:BW94"/>
    <mergeCell ref="Z70:Z89"/>
    <mergeCell ref="X70:X89"/>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05E6FB-E967-9738-AD16-F38CDA4370C6}" mc:Ignorable="x14ac xr xr2 xr3">
  <sheetPr>
    <tabColor rgb="FF002060"/>
    <outlinePr summaryRight="0" summaryBelow="0"/>
  </sheetPr>
  <dimension ref="A1:GN126"/>
  <sheetViews>
    <sheetView showGridLines="0" workbookViewId="0" tabSelected="1">
      <pane xSplit="29" ySplit="27" topLeftCell="AD74" activePane="bottomRight" state="frozen"/>
      <selection pane="bottomLeft" activeCell="A28" sqref="A28"/>
      <selection pane="topRight" activeCell="AD1" sqref="AD1"/>
      <selection pane="bottomRight" activeCell="AE86" sqref="AE86"/>
    </sheetView>
  </sheetViews>
  <sheetFormatPr defaultColWidth="9.140625" customHeight="1" defaultRowHeight="11.25"/>
  <cols>
    <col min="1" max="1" style="371" width="3.57421875" hidden="1" customWidth="1"/>
    <col min="2" max="2" style="1548" width="6.421875" hidden="1" customWidth="1"/>
    <col min="3" max="4" style="1659" width="3.57421875" hidden="1" customWidth="1"/>
    <col min="5" max="5" style="1718" width="3.8515625" hidden="1" customWidth="1"/>
    <col min="6" max="6" style="1548" width="6.57421875" hidden="1" customWidth="1"/>
    <col min="7" max="19" style="1659" width="6.57421875" hidden="1" customWidth="1"/>
    <col min="20" max="20" style="1548" width="8.00390625" hidden="1" customWidth="1"/>
    <col min="21" max="21" style="1548" width="6.00390625" hidden="1" customWidth="1"/>
    <col min="22" max="23" style="1548" width="6.28125" hidden="1" customWidth="1"/>
    <col min="24" max="24" style="1548" width="5.8515625" hidden="1" customWidth="1"/>
    <col min="25" max="25" style="1548" width="5.7109375" hidden="1" customWidth="1"/>
    <col min="26" max="26" style="1548" width="5.421875" hidden="1" customWidth="1"/>
    <col min="27" max="27" style="286" width="3.00390625" customWidth="1"/>
    <col min="28" max="28" style="389" width="90.00390625" customWidth="1"/>
    <col min="29" max="29" style="285" width="24.00390625" customWidth="1"/>
    <col min="30" max="32" style="286" width="14.00390625" customWidth="1"/>
    <col min="33" max="179" style="286" width="14.00390625" hidden="1" customWidth="1"/>
    <col min="180" max="180" style="286" width="3.00390625" customWidth="1"/>
    <col min="181" max="181" style="1659" width="9.140625" hidden="1"/>
    <col min="182" max="182" style="1125" width="8.57421875" hidden="1" customWidth="1"/>
    <col min="183" max="186" style="925" width="8.57421875" hidden="1" customWidth="1"/>
    <col min="187" max="187" style="1506" width="9.140625" hidden="1"/>
    <col min="188" max="196" width="9.140625" hidden="1"/>
  </cols>
  <sheetData>
    <row s="1548" customFormat="1" customHeight="1" ht="11.25" hidden="1">
      <c r="A1" s="371"/>
      <c r="C1" s="193"/>
      <c r="D1" s="193"/>
      <c r="F1" s="753" t="s">
        <v>84</v>
      </c>
      <c r="G1" s="193"/>
      <c r="H1" s="193"/>
      <c r="I1" s="193"/>
      <c r="J1" s="193"/>
      <c r="K1" s="193"/>
      <c r="L1" s="193"/>
      <c r="M1" s="193"/>
      <c r="N1" s="193"/>
      <c r="O1" s="193"/>
      <c r="P1" s="193"/>
      <c r="Q1" s="193"/>
      <c r="R1" s="193"/>
      <c r="S1" s="193"/>
      <c r="T1" s="753" t="s">
        <v>85</v>
      </c>
      <c r="U1" s="753" t="s">
        <v>91</v>
      </c>
      <c r="V1" s="753" t="s">
        <v>86</v>
      </c>
      <c r="W1" s="753" t="s">
        <v>87</v>
      </c>
      <c r="X1" s="753" t="s">
        <v>88</v>
      </c>
      <c r="Y1" s="753" t="s">
        <v>89</v>
      </c>
      <c r="Z1" s="753" t="s">
        <v>93</v>
      </c>
      <c r="AA1" s="753" t="s">
        <v>90</v>
      </c>
      <c r="AB1" s="753" t="s">
        <v>92</v>
      </c>
      <c r="AG1" s="1548"/>
      <c r="AH1" s="1548"/>
      <c r="AI1" s="1548"/>
      <c r="AJ1" s="1548"/>
      <c r="AK1" s="1548"/>
      <c r="AL1" s="1548"/>
      <c r="AM1" s="1548"/>
      <c r="AN1" s="1548"/>
      <c r="AO1" s="1548"/>
      <c r="AP1" s="1548"/>
      <c r="AQ1" s="1548"/>
      <c r="AR1" s="1548"/>
      <c r="AS1" s="1548"/>
      <c r="AT1" s="1548"/>
      <c r="AU1" s="1548"/>
      <c r="AV1" s="1548"/>
      <c r="AW1" s="1548"/>
      <c r="AX1" s="1548"/>
      <c r="AY1" s="1548"/>
      <c r="AZ1" s="1548"/>
      <c r="BA1" s="1548"/>
      <c r="BB1" s="1548"/>
      <c r="BC1" s="1548"/>
      <c r="BD1" s="1548"/>
      <c r="BE1" s="1548"/>
      <c r="BF1" s="1548"/>
      <c r="BG1" s="1548"/>
      <c r="BH1" s="1548"/>
      <c r="BI1" s="1548"/>
      <c r="BJ1" s="1548"/>
      <c r="BK1" s="1548"/>
      <c r="BL1" s="1548"/>
      <c r="BM1" s="1548"/>
      <c r="BN1" s="1548"/>
      <c r="BO1" s="1548"/>
      <c r="BP1" s="1548"/>
      <c r="BQ1" s="1548"/>
      <c r="BR1" s="1548"/>
      <c r="BS1" s="1548"/>
      <c r="BT1" s="1548"/>
      <c r="BU1" s="1548"/>
      <c r="BV1" s="1548"/>
      <c r="BW1" s="1548"/>
      <c r="BX1" s="1548"/>
      <c r="BY1" s="1548"/>
      <c r="BZ1" s="1548"/>
      <c r="CA1" s="1548"/>
      <c r="CB1" s="1548"/>
      <c r="CC1" s="1548"/>
      <c r="CD1" s="1548"/>
      <c r="CE1" s="1548"/>
      <c r="CF1" s="1548"/>
      <c r="CG1" s="1548"/>
      <c r="CH1" s="1548"/>
      <c r="CI1" s="1548"/>
      <c r="CJ1" s="1548"/>
      <c r="CK1" s="1548"/>
      <c r="CL1" s="1548"/>
      <c r="CM1" s="1548"/>
      <c r="CN1" s="1548"/>
      <c r="CO1" s="1548"/>
      <c r="CP1" s="1548"/>
      <c r="CQ1" s="1548"/>
      <c r="CR1" s="1548"/>
      <c r="CS1" s="1548"/>
      <c r="CT1" s="1548"/>
      <c r="CU1" s="1548"/>
      <c r="CV1" s="1548"/>
      <c r="CW1" s="1548"/>
      <c r="CX1" s="1548"/>
      <c r="CY1" s="1548"/>
      <c r="CZ1" s="1548"/>
      <c r="DA1" s="1548"/>
      <c r="DB1" s="1548"/>
      <c r="DC1" s="1548"/>
      <c r="DD1" s="1548"/>
      <c r="DE1" s="1548"/>
      <c r="DF1" s="1548"/>
      <c r="DG1" s="1548"/>
      <c r="DH1" s="1548"/>
      <c r="DI1" s="1548"/>
      <c r="DJ1" s="1548"/>
      <c r="DK1" s="1548"/>
      <c r="DL1" s="1548"/>
      <c r="DM1" s="1548"/>
      <c r="DN1" s="1548"/>
      <c r="DO1" s="1548"/>
      <c r="DP1" s="1548"/>
      <c r="DQ1" s="1548"/>
      <c r="DR1" s="1548"/>
      <c r="DS1" s="1548"/>
      <c r="DT1" s="1548"/>
      <c r="DU1" s="1548"/>
      <c r="DV1" s="1548"/>
      <c r="DW1" s="1548"/>
      <c r="DX1" s="1548"/>
      <c r="DY1" s="1548"/>
      <c r="DZ1" s="1548"/>
      <c r="EA1" s="1548"/>
      <c r="EB1" s="1548"/>
      <c r="EC1" s="1548"/>
      <c r="ED1" s="1548"/>
      <c r="EE1" s="1548"/>
      <c r="EF1" s="1548"/>
      <c r="EG1" s="1548"/>
      <c r="EH1" s="1548"/>
      <c r="EI1" s="1548"/>
      <c r="EJ1" s="1548"/>
      <c r="EK1" s="1548"/>
      <c r="EL1" s="1548"/>
      <c r="EM1" s="1548"/>
      <c r="EN1" s="1548"/>
      <c r="EO1" s="1548"/>
      <c r="EP1" s="1548"/>
      <c r="EQ1" s="1548"/>
      <c r="ER1" s="1548"/>
      <c r="ES1" s="1548"/>
      <c r="ET1" s="1548"/>
      <c r="EU1" s="1548"/>
      <c r="EV1" s="1548"/>
      <c r="EW1" s="1548"/>
      <c r="EX1" s="1548"/>
      <c r="EY1" s="1548"/>
      <c r="EZ1" s="1548"/>
      <c r="FA1" s="1548"/>
      <c r="FB1" s="1548"/>
      <c r="FC1" s="1548"/>
      <c r="FD1" s="1548"/>
      <c r="FE1" s="1548"/>
      <c r="FF1" s="1548"/>
      <c r="FG1" s="1548"/>
      <c r="FH1" s="1548"/>
      <c r="FI1" s="1548"/>
      <c r="FJ1" s="1548"/>
      <c r="FK1" s="1548"/>
      <c r="FL1" s="1548"/>
      <c r="FM1" s="1548"/>
      <c r="FN1" s="1548"/>
      <c r="FO1" s="1548"/>
      <c r="FP1" s="1548"/>
      <c r="FQ1" s="1548"/>
      <c r="FR1" s="1548"/>
      <c r="FS1" s="1548"/>
      <c r="FT1" s="1548"/>
      <c r="FU1" s="1548"/>
      <c r="FV1" s="1548"/>
      <c r="FW1" s="1548"/>
      <c r="FZ1" s="489" t="s">
        <v>336</v>
      </c>
      <c r="GA1" s="489" t="s">
        <v>337</v>
      </c>
      <c r="GB1" s="489" t="s">
        <v>338</v>
      </c>
      <c r="GC1" s="489" t="s">
        <v>341</v>
      </c>
      <c r="GD1" s="489" t="s">
        <v>342</v>
      </c>
      <c r="GF1" s="0" t="s">
        <v>94</v>
      </c>
      <c r="GG1" s="0" t="s">
        <v>619</v>
      </c>
      <c r="GH1" s="0" t="s">
        <v>2445</v>
      </c>
      <c r="GI1" s="0" t="s">
        <v>794</v>
      </c>
      <c r="GJ1" s="0" t="s">
        <v>595</v>
      </c>
      <c r="GK1" s="0" t="s">
        <v>111</v>
      </c>
      <c r="GL1" s="0" t="s">
        <v>112</v>
      </c>
      <c r="GM1" s="0" t="s">
        <v>113</v>
      </c>
      <c r="GN1" s="0" t="s">
        <v>114</v>
      </c>
    </row>
    <row s="1548" customFormat="1" customHeight="1" ht="11.25" hidden="1">
      <c r="A2" s="371"/>
      <c r="B2" s="179" t="s">
        <v>16</v>
      </c>
      <c r="C2" s="193"/>
      <c r="D2" s="193"/>
      <c r="G2" s="193"/>
      <c r="H2" s="193"/>
      <c r="I2" s="193"/>
      <c r="J2" s="193"/>
      <c r="K2" s="193"/>
      <c r="L2" s="193"/>
      <c r="M2" s="193"/>
      <c r="N2" s="193"/>
      <c r="O2" s="193"/>
      <c r="P2" s="193"/>
      <c r="Q2" s="193"/>
      <c r="R2" s="193"/>
      <c r="S2" s="193"/>
      <c r="AB2" s="176"/>
      <c r="AC2" s="176"/>
      <c r="AD2" s="179" cm="1" t="str">
        <f t="array" ref="AD2:AD2">isOrgDeclare</f>
        <v>true</v>
      </c>
      <c r="AF2" s="179" cm="1" t="str">
        <f t="array" ref="AF2:AF2">isOrgDeclare</f>
        <v>true</v>
      </c>
      <c r="AG2" s="179">
        <f>AND(AG9&lt;=last_year_vis,isOrgDeclare)</f>
        <v>0</v>
      </c>
      <c r="AH2" s="179">
        <f>AH9&lt;=last_year_vis</f>
        <v>0</v>
      </c>
      <c r="AI2" s="179">
        <f>AND(AI9&lt;=last_year_vis,isOrgDeclare)</f>
        <v>0</v>
      </c>
      <c r="AJ2" s="179">
        <f>AND(AJ9&lt;=last_year_vis,isOrgDeclare)</f>
        <v>0</v>
      </c>
      <c r="AK2" s="179">
        <f>AK9&lt;=last_year_vis</f>
        <v>0</v>
      </c>
      <c r="AL2" s="179">
        <f>AND(AL9&lt;=last_year_vis,isOrgDeclare)</f>
        <v>0</v>
      </c>
      <c r="AM2" s="179">
        <f>AND(AM9&lt;=last_year_vis,isOrgDeclare)</f>
        <v>0</v>
      </c>
      <c r="AN2" s="179">
        <f>AN9&lt;=last_year_vis</f>
        <v>0</v>
      </c>
      <c r="AO2" s="179">
        <f>AND(AO9&lt;=last_year_vis,isOrgDeclare)</f>
        <v>0</v>
      </c>
      <c r="AP2" s="179">
        <f>AND(AP9&lt;=last_year_vis,isOrgDeclare)</f>
        <v>0</v>
      </c>
      <c r="AQ2" s="179">
        <f>AQ9&lt;=last_year_vis</f>
        <v>0</v>
      </c>
      <c r="AR2" s="179">
        <f>AND(AR9&lt;=last_year_vis,isOrgDeclare)</f>
        <v>0</v>
      </c>
      <c r="AS2" s="179">
        <f>AND(AS9&lt;=last_year_vis,isOrgDeclare)</f>
        <v>0</v>
      </c>
      <c r="AT2" s="179">
        <f>AT9&lt;=last_year_vis</f>
        <v>0</v>
      </c>
      <c r="AU2" s="179">
        <f>AND(AU9&lt;=last_year_vis,isOrgDeclare)</f>
        <v>0</v>
      </c>
      <c r="AV2" s="179">
        <f>AND(AV9&lt;=last_year_vis,isOrgDeclare)</f>
        <v>0</v>
      </c>
      <c r="AW2" s="179">
        <f>AW9&lt;=last_year_vis</f>
        <v>0</v>
      </c>
      <c r="AX2" s="179">
        <f>AND(AX9&lt;=last_year_vis,isOrgDeclare)</f>
        <v>0</v>
      </c>
      <c r="AY2" s="179">
        <f>AND(AY9&lt;=last_year_vis,isOrgDeclare)</f>
        <v>0</v>
      </c>
      <c r="AZ2" s="179">
        <f>AZ9&lt;=last_year_vis</f>
        <v>0</v>
      </c>
      <c r="BA2" s="179">
        <f>AND(BA9&lt;=last_year_vis,isOrgDeclare)</f>
        <v>0</v>
      </c>
      <c r="BB2" s="179">
        <f>AND(BB9&lt;=last_year_vis,isOrgDeclare)</f>
        <v>0</v>
      </c>
      <c r="BC2" s="179">
        <f>BC9&lt;=last_year_vis</f>
        <v>0</v>
      </c>
      <c r="BD2" s="179">
        <f>AND(BD9&lt;=last_year_vis,isOrgDeclare)</f>
        <v>0</v>
      </c>
      <c r="BE2" s="179">
        <f>AND(BE9&lt;=last_year_vis,isOrgDeclare)</f>
        <v>0</v>
      </c>
      <c r="BF2" s="179">
        <f>BF9&lt;=last_year_vis</f>
        <v>0</v>
      </c>
      <c r="BG2" s="179">
        <f>AND(BG9&lt;=last_year_vis,isOrgDeclare)</f>
        <v>0</v>
      </c>
      <c r="BH2" s="179">
        <f>AND(BH9&lt;=last_year_vis,isOrgDeclare)</f>
        <v>0</v>
      </c>
      <c r="BI2" s="179">
        <f>BI9&lt;=last_year_vis</f>
        <v>0</v>
      </c>
      <c r="BJ2" s="179">
        <f>AND(BJ9&lt;=last_year_vis,isOrgDeclare)</f>
        <v>0</v>
      </c>
      <c r="BK2" s="179">
        <f>AND(BK9&lt;=last_year_vis,isOrgDeclare)</f>
        <v>0</v>
      </c>
      <c r="BL2" s="179">
        <f>BL9&lt;=last_year_vis</f>
        <v>0</v>
      </c>
      <c r="BM2" s="179">
        <f>AND(BM9&lt;=last_year_vis,isOrgDeclare)</f>
        <v>0</v>
      </c>
      <c r="BN2" s="179">
        <f>AND(BN9&lt;=last_year_vis,isOrgDeclare)</f>
        <v>0</v>
      </c>
      <c r="BO2" s="179">
        <f>BO9&lt;=last_year_vis</f>
        <v>0</v>
      </c>
      <c r="BP2" s="179">
        <f>AND(BP9&lt;=last_year_vis,isOrgDeclare)</f>
        <v>0</v>
      </c>
      <c r="BQ2" s="179">
        <f>AND(BQ9&lt;=last_year_vis,isOrgDeclare)</f>
        <v>0</v>
      </c>
      <c r="BR2" s="179">
        <f>BR9&lt;=last_year_vis</f>
        <v>0</v>
      </c>
      <c r="BS2" s="179">
        <f>AND(BS9&lt;=last_year_vis,isOrgDeclare)</f>
        <v>0</v>
      </c>
      <c r="BT2" s="179">
        <f>AND(BT9&lt;=last_year_vis,isOrgDeclare)</f>
        <v>0</v>
      </c>
      <c r="BU2" s="179">
        <f>BU9&lt;=last_year_vis</f>
        <v>0</v>
      </c>
      <c r="BV2" s="179">
        <f>AND(BV9&lt;=last_year_vis,isOrgDeclare)</f>
        <v>0</v>
      </c>
      <c r="BW2" s="179">
        <f>AND(BW9&lt;=last_year_vis,isOrgDeclare)</f>
        <v>0</v>
      </c>
      <c r="BX2" s="179">
        <f>BX9&lt;=last_year_vis</f>
        <v>0</v>
      </c>
      <c r="BY2" s="179">
        <f>AND(BY9&lt;=last_year_vis,isOrgDeclare)</f>
        <v>0</v>
      </c>
      <c r="BZ2" s="179">
        <f>AND(BZ9&lt;=last_year_vis,isOrgDeclare)</f>
        <v>0</v>
      </c>
      <c r="CA2" s="179">
        <f>CA9&lt;=last_year_vis</f>
        <v>0</v>
      </c>
      <c r="CB2" s="179">
        <f>AND(CB9&lt;=last_year_vis,isOrgDeclare)</f>
        <v>0</v>
      </c>
      <c r="CC2" s="179">
        <f>AND(CC9&lt;=last_year_vis,isOrgDeclare)</f>
        <v>0</v>
      </c>
      <c r="CD2" s="179">
        <f>CD9&lt;=last_year_vis</f>
        <v>0</v>
      </c>
      <c r="CE2" s="179">
        <f>AND(CE9&lt;=last_year_vis,isOrgDeclare)</f>
        <v>0</v>
      </c>
      <c r="CF2" s="179">
        <f>AND(CF9&lt;=last_year_vis,isOrgDeclare)</f>
        <v>0</v>
      </c>
      <c r="CG2" s="179">
        <f>CG9&lt;=last_year_vis</f>
        <v>0</v>
      </c>
      <c r="CH2" s="179">
        <f>AND(CH9&lt;=last_year_vis,isOrgDeclare)</f>
        <v>0</v>
      </c>
      <c r="CI2" s="179">
        <f>AND(CI9&lt;=last_year_vis,isOrgDeclare)</f>
        <v>0</v>
      </c>
      <c r="CJ2" s="179">
        <f>CJ9&lt;=last_year_vis</f>
        <v>0</v>
      </c>
      <c r="CK2" s="179">
        <f>AND(CK9&lt;=last_year_vis,isOrgDeclare)</f>
        <v>0</v>
      </c>
      <c r="CL2" s="179">
        <f>AND(CL9&lt;=last_year_vis,isOrgDeclare)</f>
        <v>0</v>
      </c>
      <c r="CM2" s="179">
        <f>CM9&lt;=last_year_vis</f>
        <v>0</v>
      </c>
      <c r="CN2" s="179">
        <f>AND(CN9&lt;=last_year_vis,isOrgDeclare)</f>
        <v>0</v>
      </c>
      <c r="CO2" s="179">
        <f>AND(CO9&lt;=last_year_vis,isOrgDeclare)</f>
        <v>0</v>
      </c>
      <c r="CP2" s="179">
        <f>CP9&lt;=last_year_vis</f>
        <v>0</v>
      </c>
      <c r="CQ2" s="179">
        <f>AND(CQ9&lt;=last_year_vis,isOrgDeclare)</f>
        <v>0</v>
      </c>
      <c r="CR2" s="179">
        <f>AND(CR9&lt;=last_year_vis,isOrgDeclare)</f>
        <v>0</v>
      </c>
      <c r="CS2" s="179">
        <f>CS9&lt;=last_year_vis</f>
        <v>0</v>
      </c>
      <c r="CT2" s="179">
        <f>AND(CT9&lt;=last_year_vis,isOrgDeclare)</f>
        <v>0</v>
      </c>
      <c r="CU2" s="179">
        <f>AND(CU9&lt;=last_year_vis,isOrgDeclare)</f>
        <v>0</v>
      </c>
      <c r="CV2" s="179">
        <f>CV9&lt;=last_year_vis</f>
        <v>0</v>
      </c>
      <c r="CW2" s="179">
        <f>AND(CW9&lt;=last_year_vis,isOrgDeclare)</f>
        <v>0</v>
      </c>
      <c r="CX2" s="179">
        <f>AND(CX9&lt;=last_year_vis,isOrgDeclare)</f>
        <v>0</v>
      </c>
      <c r="CY2" s="179">
        <f>CY9&lt;=last_year_vis</f>
        <v>0</v>
      </c>
      <c r="CZ2" s="179">
        <f>AND(CZ9&lt;=last_year_vis,isOrgDeclare)</f>
        <v>0</v>
      </c>
      <c r="DA2" s="179">
        <f>AND(DA9&lt;=last_year_vis,isOrgDeclare)</f>
        <v>0</v>
      </c>
      <c r="DB2" s="179">
        <f>DB9&lt;=last_year_vis</f>
        <v>0</v>
      </c>
      <c r="DC2" s="179">
        <f>AND(DC9&lt;=last_year_vis,isOrgDeclare)</f>
        <v>0</v>
      </c>
      <c r="DD2" s="179">
        <f>AND(DD9&lt;=last_year_vis,isOrgDeclare)</f>
        <v>0</v>
      </c>
      <c r="DE2" s="179">
        <f>DE9&lt;=last_year_vis</f>
        <v>0</v>
      </c>
      <c r="DF2" s="179">
        <f>AND(DF9&lt;=last_year_vis,isOrgDeclare)</f>
        <v>0</v>
      </c>
      <c r="DG2" s="179">
        <f>AND(DG9&lt;=last_year_vis,isOrgDeclare)</f>
        <v>0</v>
      </c>
      <c r="DH2" s="179">
        <f>DH9&lt;=last_year_vis</f>
        <v>0</v>
      </c>
      <c r="DI2" s="179">
        <f>AND(DI9&lt;=last_year_vis,isOrgDeclare)</f>
        <v>0</v>
      </c>
      <c r="DJ2" s="179">
        <f>AND(DJ9&lt;=last_year_vis,isOrgDeclare)</f>
        <v>0</v>
      </c>
      <c r="DK2" s="179">
        <f>DK9&lt;=last_year_vis</f>
        <v>0</v>
      </c>
      <c r="DL2" s="179">
        <f>AND(DL9&lt;=last_year_vis,isOrgDeclare)</f>
        <v>0</v>
      </c>
      <c r="DM2" s="179">
        <f>AND(DM9&lt;=last_year_vis,isOrgDeclare)</f>
        <v>0</v>
      </c>
      <c r="DN2" s="179">
        <f>DN9&lt;=last_year_vis</f>
        <v>0</v>
      </c>
      <c r="DO2" s="179">
        <f>AND(DO9&lt;=last_year_vis,isOrgDeclare)</f>
        <v>0</v>
      </c>
      <c r="DP2" s="179">
        <f>AND(DP9&lt;=last_year_vis,isOrgDeclare)</f>
        <v>0</v>
      </c>
      <c r="DQ2" s="179">
        <f>DQ9&lt;=last_year_vis</f>
        <v>0</v>
      </c>
      <c r="DR2" s="179">
        <f>AND(DR9&lt;=last_year_vis,isOrgDeclare)</f>
        <v>0</v>
      </c>
      <c r="DS2" s="179">
        <f>AND(DS9&lt;=last_year_vis,isOrgDeclare)</f>
        <v>0</v>
      </c>
      <c r="DT2" s="179">
        <f>DT9&lt;=last_year_vis</f>
        <v>0</v>
      </c>
      <c r="DU2" s="179">
        <f>AND(DU9&lt;=last_year_vis,isOrgDeclare)</f>
        <v>0</v>
      </c>
      <c r="DV2" s="179">
        <f>AND(DV9&lt;=last_year_vis,isOrgDeclare)</f>
        <v>0</v>
      </c>
      <c r="DW2" s="179">
        <f>DW9&lt;=last_year_vis</f>
        <v>0</v>
      </c>
      <c r="DX2" s="179">
        <f>AND(DX9&lt;=last_year_vis,isOrgDeclare)</f>
        <v>0</v>
      </c>
      <c r="DY2" s="179">
        <f>AND(DY9&lt;=last_year_vis,isOrgDeclare)</f>
        <v>0</v>
      </c>
      <c r="DZ2" s="179">
        <f>DZ9&lt;=last_year_vis</f>
        <v>0</v>
      </c>
      <c r="EA2" s="179">
        <f>AND(EA9&lt;=last_year_vis,isOrgDeclare)</f>
        <v>0</v>
      </c>
      <c r="EB2" s="179">
        <f>AND(EB9&lt;=last_year_vis,isOrgDeclare)</f>
        <v>0</v>
      </c>
      <c r="EC2" s="179">
        <f>EC9&lt;=last_year_vis</f>
        <v>0</v>
      </c>
      <c r="ED2" s="179">
        <f>AND(ED9&lt;=last_year_vis,isOrgDeclare)</f>
        <v>0</v>
      </c>
      <c r="EE2" s="179">
        <f>AND(EE9&lt;=last_year_vis,isOrgDeclare)</f>
        <v>0</v>
      </c>
      <c r="EF2" s="179">
        <f>EF9&lt;=last_year_vis</f>
        <v>0</v>
      </c>
      <c r="EG2" s="179">
        <f>AND(EG9&lt;=last_year_vis,isOrgDeclare)</f>
        <v>0</v>
      </c>
      <c r="EH2" s="179">
        <f>AND(EH9&lt;=last_year_vis,isOrgDeclare)</f>
        <v>0</v>
      </c>
      <c r="EI2" s="179">
        <f>EI9&lt;=last_year_vis</f>
        <v>0</v>
      </c>
      <c r="EJ2" s="179">
        <f>AND(EJ9&lt;=last_year_vis,isOrgDeclare)</f>
        <v>0</v>
      </c>
      <c r="EK2" s="179">
        <f>AND(EK9&lt;=last_year_vis,isOrgDeclare)</f>
        <v>0</v>
      </c>
      <c r="EL2" s="179">
        <f>EL9&lt;=last_year_vis</f>
        <v>0</v>
      </c>
      <c r="EM2" s="179">
        <f>AND(EM9&lt;=last_year_vis,isOrgDeclare)</f>
        <v>0</v>
      </c>
      <c r="EN2" s="179">
        <f>AND(EN9&lt;=last_year_vis,isOrgDeclare)</f>
        <v>0</v>
      </c>
      <c r="EO2" s="179">
        <f>EO9&lt;=last_year_vis</f>
        <v>0</v>
      </c>
      <c r="EP2" s="179">
        <f>AND(EP9&lt;=last_year_vis,isOrgDeclare)</f>
        <v>0</v>
      </c>
      <c r="EQ2" s="179">
        <f>AND(EQ9&lt;=last_year_vis,isOrgDeclare)</f>
        <v>0</v>
      </c>
      <c r="ER2" s="179">
        <f>ER9&lt;=last_year_vis</f>
        <v>0</v>
      </c>
      <c r="ES2" s="179">
        <f>AND(ES9&lt;=last_year_vis,isOrgDeclare)</f>
        <v>0</v>
      </c>
      <c r="ET2" s="179">
        <f>AND(ET9&lt;=last_year_vis,isOrgDeclare)</f>
        <v>0</v>
      </c>
      <c r="EU2" s="179">
        <f>EU9&lt;=last_year_vis</f>
        <v>0</v>
      </c>
      <c r="EV2" s="179">
        <f>AND(EV9&lt;=last_year_vis,isOrgDeclare)</f>
        <v>0</v>
      </c>
      <c r="EW2" s="179">
        <f>AND(EW9&lt;=last_year_vis,isOrgDeclare)</f>
        <v>0</v>
      </c>
      <c r="EX2" s="179">
        <f>EX9&lt;=last_year_vis</f>
        <v>0</v>
      </c>
      <c r="EY2" s="179">
        <f>AND(EY9&lt;=last_year_vis,isOrgDeclare)</f>
        <v>0</v>
      </c>
      <c r="EZ2" s="179">
        <f>AND(EZ9&lt;=last_year_vis,isOrgDeclare)</f>
        <v>0</v>
      </c>
      <c r="FA2" s="179">
        <f>FA9&lt;=last_year_vis</f>
        <v>0</v>
      </c>
      <c r="FB2" s="179">
        <f>AND(FB9&lt;=last_year_vis,isOrgDeclare)</f>
        <v>0</v>
      </c>
      <c r="FC2" s="179">
        <f>AND(FC9&lt;=last_year_vis,isOrgDeclare)</f>
        <v>0</v>
      </c>
      <c r="FD2" s="179">
        <f>FD9&lt;=last_year_vis</f>
        <v>0</v>
      </c>
      <c r="FE2" s="179">
        <f>AND(FE9&lt;=last_year_vis,isOrgDeclare)</f>
        <v>0</v>
      </c>
      <c r="FF2" s="179">
        <f>AND(FF9&lt;=last_year_vis,isOrgDeclare)</f>
        <v>0</v>
      </c>
      <c r="FG2" s="179">
        <f>FG9&lt;=last_year_vis</f>
        <v>0</v>
      </c>
      <c r="FH2" s="179">
        <f>AND(FH9&lt;=last_year_vis,isOrgDeclare)</f>
        <v>0</v>
      </c>
      <c r="FI2" s="179">
        <f>AND(FI9&lt;=last_year_vis,isOrgDeclare)</f>
        <v>0</v>
      </c>
      <c r="FJ2" s="179">
        <f>FJ9&lt;=last_year_vis</f>
        <v>0</v>
      </c>
      <c r="FK2" s="179">
        <f>AND(FK9&lt;=last_year_vis,isOrgDeclare)</f>
        <v>0</v>
      </c>
      <c r="FL2" s="179">
        <f>AND(FL9&lt;=last_year_vis,isOrgDeclare)</f>
        <v>0</v>
      </c>
      <c r="FM2" s="179">
        <f>FM9&lt;=last_year_vis</f>
        <v>0</v>
      </c>
      <c r="FN2" s="179">
        <f>AND(FN9&lt;=last_year_vis,isOrgDeclare)</f>
        <v>0</v>
      </c>
      <c r="FO2" s="179">
        <f>AND(FO9&lt;=last_year_vis,isOrgDeclare)</f>
        <v>0</v>
      </c>
      <c r="FP2" s="179">
        <f>FP9&lt;=last_year_vis</f>
        <v>0</v>
      </c>
      <c r="FQ2" s="179">
        <f>AND(FQ9&lt;=last_year_vis,isOrgDeclare)</f>
        <v>0</v>
      </c>
      <c r="FR2" s="179">
        <f>AND(FR9&lt;=last_year_vis,isOrgDeclare)</f>
        <v>0</v>
      </c>
      <c r="FS2" s="179">
        <f>FS9&lt;=last_year_vis</f>
        <v>0</v>
      </c>
      <c r="FT2" s="179">
        <f>AND(FT9&lt;=last_year_vis,isOrgDeclare)</f>
        <v>0</v>
      </c>
      <c r="FU2" s="179">
        <f>AND(FU9&lt;=last_year_vis,isOrgDeclare)</f>
        <v>0</v>
      </c>
      <c r="FV2" s="179">
        <f>FV9&lt;=last_year_vis</f>
        <v>0</v>
      </c>
      <c r="FW2" s="179">
        <f>AND(FW9&lt;=last_year_vis,isOrgDeclare)</f>
        <v>0</v>
      </c>
      <c r="FZ2" s="489"/>
      <c r="GA2" s="489"/>
      <c r="GB2" s="489"/>
      <c r="GC2" s="489"/>
      <c r="GD2" s="489"/>
      <c r="GF2" s="0"/>
      <c r="GG2" s="0"/>
      <c r="GH2" s="0"/>
      <c r="GI2" s="0"/>
      <c r="GJ2" s="0"/>
      <c r="GK2" s="0"/>
      <c r="GL2" s="0"/>
      <c r="GM2" s="0"/>
      <c r="GN2" s="0"/>
    </row>
    <row s="1548" customFormat="1" customHeight="1" ht="11.25" hidden="1">
      <c r="A3" s="371"/>
      <c r="C3" s="193"/>
      <c r="D3" s="193"/>
      <c r="G3" s="193"/>
      <c r="H3" s="193"/>
      <c r="I3" s="193"/>
      <c r="J3" s="193"/>
      <c r="K3" s="193"/>
      <c r="L3" s="193"/>
      <c r="M3" s="193"/>
      <c r="N3" s="193"/>
      <c r="O3" s="193"/>
      <c r="P3" s="193"/>
      <c r="Q3" s="193"/>
      <c r="R3" s="193"/>
      <c r="S3" s="193"/>
      <c r="AB3" s="176"/>
      <c r="AC3" s="176"/>
      <c r="AG3" s="1548"/>
      <c r="AH3" s="1548"/>
      <c r="AI3" s="1548"/>
      <c r="AJ3" s="1548"/>
      <c r="AK3" s="1548"/>
      <c r="AL3" s="1548"/>
      <c r="AM3" s="1548"/>
      <c r="AN3" s="1548"/>
      <c r="AO3" s="1548"/>
      <c r="AP3" s="1548"/>
      <c r="AQ3" s="1548"/>
      <c r="AR3" s="1548"/>
      <c r="AS3" s="1548"/>
      <c r="AT3" s="1548"/>
      <c r="AU3" s="1548"/>
      <c r="AV3" s="1548"/>
      <c r="AW3" s="1548"/>
      <c r="AX3" s="1548"/>
      <c r="AY3" s="1548"/>
      <c r="AZ3" s="1548"/>
      <c r="BA3" s="1548"/>
      <c r="BB3" s="1548"/>
      <c r="BC3" s="1548"/>
      <c r="BD3" s="1548"/>
      <c r="BE3" s="1548"/>
      <c r="BF3" s="1548"/>
      <c r="BG3" s="1548"/>
      <c r="BH3" s="1548"/>
      <c r="BI3" s="1548"/>
      <c r="BJ3" s="1548"/>
      <c r="BK3" s="1548"/>
      <c r="BL3" s="1548"/>
      <c r="BM3" s="1548"/>
      <c r="BN3" s="1548"/>
      <c r="BO3" s="1548"/>
      <c r="BP3" s="1548"/>
      <c r="BQ3" s="1548"/>
      <c r="BR3" s="1548"/>
      <c r="BS3" s="1548"/>
      <c r="BT3" s="1548"/>
      <c r="BU3" s="1548"/>
      <c r="BV3" s="1548"/>
      <c r="BW3" s="1548"/>
      <c r="BX3" s="1548"/>
      <c r="BY3" s="1548"/>
      <c r="BZ3" s="1548"/>
      <c r="CA3" s="1548"/>
      <c r="CB3" s="1548"/>
      <c r="CC3" s="1548"/>
      <c r="CD3" s="1548"/>
      <c r="CE3" s="1548"/>
      <c r="CF3" s="1548"/>
      <c r="CG3" s="1548"/>
      <c r="CH3" s="1548"/>
      <c r="CI3" s="1548"/>
      <c r="CJ3" s="1548"/>
      <c r="CK3" s="1548"/>
      <c r="CL3" s="1548"/>
      <c r="CM3" s="1548"/>
      <c r="CN3" s="1548"/>
      <c r="CO3" s="1548"/>
      <c r="CP3" s="1548"/>
      <c r="CQ3" s="1548"/>
      <c r="CR3" s="1548"/>
      <c r="CS3" s="1548"/>
      <c r="CT3" s="1548"/>
      <c r="CU3" s="1548"/>
      <c r="CV3" s="1548"/>
      <c r="CW3" s="1548"/>
      <c r="CX3" s="1548"/>
      <c r="CY3" s="1548"/>
      <c r="CZ3" s="1548"/>
      <c r="DA3" s="1548"/>
      <c r="DB3" s="1548"/>
      <c r="DC3" s="1548"/>
      <c r="DD3" s="1548"/>
      <c r="DE3" s="1548"/>
      <c r="DF3" s="1548"/>
      <c r="DG3" s="1548"/>
      <c r="DH3" s="1548"/>
      <c r="DI3" s="1548"/>
      <c r="DJ3" s="1548"/>
      <c r="DK3" s="1548"/>
      <c r="DL3" s="1548"/>
      <c r="DM3" s="1548"/>
      <c r="DN3" s="1548"/>
      <c r="DO3" s="1548"/>
      <c r="DP3" s="1548"/>
      <c r="DQ3" s="1548"/>
      <c r="DR3" s="1548"/>
      <c r="DS3" s="1548"/>
      <c r="DT3" s="1548"/>
      <c r="DU3" s="1548"/>
      <c r="DV3" s="1548"/>
      <c r="DW3" s="1548"/>
      <c r="DX3" s="1548"/>
      <c r="DY3" s="1548"/>
      <c r="DZ3" s="1548"/>
      <c r="EA3" s="1548"/>
      <c r="EB3" s="1548"/>
      <c r="EC3" s="1548"/>
      <c r="ED3" s="1548"/>
      <c r="EE3" s="1548"/>
      <c r="EF3" s="1548"/>
      <c r="EG3" s="1548"/>
      <c r="EH3" s="1548"/>
      <c r="EI3" s="1548"/>
      <c r="EJ3" s="1548"/>
      <c r="EK3" s="1548"/>
      <c r="EL3" s="1548"/>
      <c r="EM3" s="1548"/>
      <c r="EN3" s="1548"/>
      <c r="EO3" s="1548"/>
      <c r="EP3" s="1548"/>
      <c r="EQ3" s="1548"/>
      <c r="ER3" s="1548"/>
      <c r="ES3" s="1548"/>
      <c r="ET3" s="1548"/>
      <c r="EU3" s="1548"/>
      <c r="EV3" s="1548"/>
      <c r="EW3" s="1548"/>
      <c r="EX3" s="1548"/>
      <c r="EY3" s="1548"/>
      <c r="EZ3" s="1548"/>
      <c r="FA3" s="1548"/>
      <c r="FB3" s="1548"/>
      <c r="FC3" s="1548"/>
      <c r="FD3" s="1548"/>
      <c r="FE3" s="1548"/>
      <c r="FF3" s="1548"/>
      <c r="FG3" s="1548"/>
      <c r="FH3" s="1548"/>
      <c r="FI3" s="1548"/>
      <c r="FJ3" s="1548"/>
      <c r="FK3" s="1548"/>
      <c r="FL3" s="1548"/>
      <c r="FM3" s="1548"/>
      <c r="FN3" s="1548"/>
      <c r="FO3" s="1548"/>
      <c r="FP3" s="1548"/>
      <c r="FQ3" s="1548"/>
      <c r="FR3" s="1548"/>
      <c r="FS3" s="1548"/>
      <c r="FT3" s="1548"/>
      <c r="FU3" s="1548"/>
      <c r="FV3" s="1548"/>
      <c r="FW3" s="1548"/>
      <c r="FZ3" s="489"/>
      <c r="GA3" s="489"/>
      <c r="GB3" s="489"/>
      <c r="GC3" s="489"/>
      <c r="GD3" s="489"/>
      <c r="GF3" s="0"/>
      <c r="GG3" s="0"/>
      <c r="GH3" s="0"/>
      <c r="GI3" s="0"/>
      <c r="GJ3" s="0"/>
      <c r="GK3" s="0"/>
      <c r="GL3" s="0"/>
      <c r="GM3" s="0"/>
      <c r="GN3" s="0"/>
    </row>
    <row s="1548" customFormat="1" customHeight="1" ht="11.25" hidden="1">
      <c r="A4" s="371"/>
      <c r="C4" s="193"/>
      <c r="D4" s="193"/>
      <c r="G4" s="193"/>
      <c r="H4" s="193"/>
      <c r="I4" s="193"/>
      <c r="J4" s="193"/>
      <c r="K4" s="193"/>
      <c r="L4" s="193"/>
      <c r="M4" s="193"/>
      <c r="N4" s="193"/>
      <c r="O4" s="193"/>
      <c r="P4" s="193"/>
      <c r="Q4" s="193"/>
      <c r="R4" s="193"/>
      <c r="S4" s="193"/>
      <c r="AB4" s="176"/>
      <c r="AC4" s="176"/>
      <c r="AG4" s="1548"/>
      <c r="AH4" s="1548"/>
      <c r="AI4" s="1548"/>
      <c r="AJ4" s="1548"/>
      <c r="AK4" s="1548"/>
      <c r="AL4" s="1548"/>
      <c r="AM4" s="1548"/>
      <c r="AN4" s="1548"/>
      <c r="AO4" s="1548"/>
      <c r="AP4" s="1548"/>
      <c r="AQ4" s="1548"/>
      <c r="AR4" s="1548"/>
      <c r="AS4" s="1548"/>
      <c r="AT4" s="1548"/>
      <c r="AU4" s="1548"/>
      <c r="AV4" s="1548"/>
      <c r="AW4" s="1548"/>
      <c r="AX4" s="1548"/>
      <c r="AY4" s="1548"/>
      <c r="AZ4" s="1548"/>
      <c r="BA4" s="1548"/>
      <c r="BB4" s="1548"/>
      <c r="BC4" s="1548"/>
      <c r="BD4" s="1548"/>
      <c r="BE4" s="1548"/>
      <c r="BF4" s="1548"/>
      <c r="BG4" s="1548"/>
      <c r="BH4" s="1548"/>
      <c r="BI4" s="1548"/>
      <c r="BJ4" s="1548"/>
      <c r="BK4" s="1548"/>
      <c r="BL4" s="1548"/>
      <c r="BM4" s="1548"/>
      <c r="BN4" s="1548"/>
      <c r="BO4" s="1548"/>
      <c r="BP4" s="1548"/>
      <c r="BQ4" s="1548"/>
      <c r="BR4" s="1548"/>
      <c r="BS4" s="1548"/>
      <c r="BT4" s="1548"/>
      <c r="BU4" s="1548"/>
      <c r="BV4" s="1548"/>
      <c r="BW4" s="1548"/>
      <c r="BX4" s="1548"/>
      <c r="BY4" s="1548"/>
      <c r="BZ4" s="1548"/>
      <c r="CA4" s="1548"/>
      <c r="CB4" s="1548"/>
      <c r="CC4" s="1548"/>
      <c r="CD4" s="1548"/>
      <c r="CE4" s="1548"/>
      <c r="CF4" s="1548"/>
      <c r="CG4" s="1548"/>
      <c r="CH4" s="1548"/>
      <c r="CI4" s="1548"/>
      <c r="CJ4" s="1548"/>
      <c r="CK4" s="1548"/>
      <c r="CL4" s="1548"/>
      <c r="CM4" s="1548"/>
      <c r="CN4" s="1548"/>
      <c r="CO4" s="1548"/>
      <c r="CP4" s="1548"/>
      <c r="CQ4" s="1548"/>
      <c r="CR4" s="1548"/>
      <c r="CS4" s="1548"/>
      <c r="CT4" s="1548"/>
      <c r="CU4" s="1548"/>
      <c r="CV4" s="1548"/>
      <c r="CW4" s="1548"/>
      <c r="CX4" s="1548"/>
      <c r="CY4" s="1548"/>
      <c r="CZ4" s="1548"/>
      <c r="DA4" s="1548"/>
      <c r="DB4" s="1548"/>
      <c r="DC4" s="1548"/>
      <c r="DD4" s="1548"/>
      <c r="DE4" s="1548"/>
      <c r="DF4" s="1548"/>
      <c r="DG4" s="1548"/>
      <c r="DH4" s="1548"/>
      <c r="DI4" s="1548"/>
      <c r="DJ4" s="1548"/>
      <c r="DK4" s="1548"/>
      <c r="DL4" s="1548"/>
      <c r="DM4" s="1548"/>
      <c r="DN4" s="1548"/>
      <c r="DO4" s="1548"/>
      <c r="DP4" s="1548"/>
      <c r="DQ4" s="1548"/>
      <c r="DR4" s="1548"/>
      <c r="DS4" s="1548"/>
      <c r="DT4" s="1548"/>
      <c r="DU4" s="1548"/>
      <c r="DV4" s="1548"/>
      <c r="DW4" s="1548"/>
      <c r="DX4" s="1548"/>
      <c r="DY4" s="1548"/>
      <c r="DZ4" s="1548"/>
      <c r="EA4" s="1548"/>
      <c r="EB4" s="1548"/>
      <c r="EC4" s="1548"/>
      <c r="ED4" s="1548"/>
      <c r="EE4" s="1548"/>
      <c r="EF4" s="1548"/>
      <c r="EG4" s="1548"/>
      <c r="EH4" s="1548"/>
      <c r="EI4" s="1548"/>
      <c r="EJ4" s="1548"/>
      <c r="EK4" s="1548"/>
      <c r="EL4" s="1548"/>
      <c r="EM4" s="1548"/>
      <c r="EN4" s="1548"/>
      <c r="EO4" s="1548"/>
      <c r="EP4" s="1548"/>
      <c r="EQ4" s="1548"/>
      <c r="ER4" s="1548"/>
      <c r="ES4" s="1548"/>
      <c r="ET4" s="1548"/>
      <c r="EU4" s="1548"/>
      <c r="EV4" s="1548"/>
      <c r="EW4" s="1548"/>
      <c r="EX4" s="1548"/>
      <c r="EY4" s="1548"/>
      <c r="EZ4" s="1548"/>
      <c r="FA4" s="1548"/>
      <c r="FB4" s="1548"/>
      <c r="FC4" s="1548"/>
      <c r="FD4" s="1548"/>
      <c r="FE4" s="1548"/>
      <c r="FF4" s="1548"/>
      <c r="FG4" s="1548"/>
      <c r="FH4" s="1548"/>
      <c r="FI4" s="1548"/>
      <c r="FJ4" s="1548"/>
      <c r="FK4" s="1548"/>
      <c r="FL4" s="1548"/>
      <c r="FM4" s="1548"/>
      <c r="FN4" s="1548"/>
      <c r="FO4" s="1548"/>
      <c r="FP4" s="1548"/>
      <c r="FQ4" s="1548"/>
      <c r="FR4" s="1548"/>
      <c r="FS4" s="1548"/>
      <c r="FT4" s="1548"/>
      <c r="FU4" s="1548"/>
      <c r="FV4" s="1548"/>
      <c r="FW4" s="1548"/>
      <c r="FZ4" s="489"/>
      <c r="GA4" s="489"/>
      <c r="GB4" s="489"/>
      <c r="GC4" s="489"/>
      <c r="GD4" s="489"/>
      <c r="GF4" s="0"/>
      <c r="GG4" s="0"/>
      <c r="GH4" s="0"/>
      <c r="GI4" s="0"/>
      <c r="GJ4" s="0"/>
      <c r="GK4" s="0"/>
      <c r="GL4" s="0"/>
      <c r="GM4" s="0"/>
      <c r="GN4" s="0"/>
    </row>
    <row s="1718" customFormat="1" customHeight="1" ht="11.25" hidden="1">
      <c r="A5" s="371"/>
      <c r="B5" s="175"/>
      <c r="C5" s="193"/>
      <c r="D5" s="193"/>
      <c r="E5" s="180" t="s">
        <v>17</v>
      </c>
      <c r="G5" s="194"/>
      <c r="H5" s="194"/>
      <c r="I5" s="194"/>
      <c r="J5" s="194"/>
      <c r="K5" s="194"/>
      <c r="L5" s="194"/>
      <c r="M5" s="194"/>
      <c r="N5" s="194"/>
      <c r="O5" s="194"/>
      <c r="P5" s="194"/>
      <c r="Q5" s="194"/>
      <c r="R5" s="194"/>
      <c r="S5" s="194"/>
      <c r="AA5" s="180">
        <v>3</v>
      </c>
      <c r="AB5" s="284">
        <v>90</v>
      </c>
      <c r="AC5" s="284">
        <v>24</v>
      </c>
      <c r="AD5" s="180">
        <v>14</v>
      </c>
      <c r="AE5" s="180">
        <v>14</v>
      </c>
      <c r="AF5" s="180">
        <v>14</v>
      </c>
      <c r="AG5" s="180">
        <v>14</v>
      </c>
      <c r="AH5" s="180">
        <v>14</v>
      </c>
      <c r="AI5" s="180">
        <v>14</v>
      </c>
      <c r="AJ5" s="180">
        <v>14</v>
      </c>
      <c r="AK5" s="180">
        <v>14</v>
      </c>
      <c r="AL5" s="180">
        <v>14</v>
      </c>
      <c r="AM5" s="180">
        <v>14</v>
      </c>
      <c r="AN5" s="180">
        <v>14</v>
      </c>
      <c r="AO5" s="180">
        <v>14</v>
      </c>
      <c r="AP5" s="180">
        <v>14</v>
      </c>
      <c r="AQ5" s="180">
        <v>14</v>
      </c>
      <c r="AR5" s="180">
        <v>14</v>
      </c>
      <c r="AS5" s="180">
        <v>14</v>
      </c>
      <c r="AT5" s="180">
        <v>14</v>
      </c>
      <c r="AU5" s="180">
        <v>14</v>
      </c>
      <c r="AV5" s="180">
        <v>14</v>
      </c>
      <c r="AW5" s="180">
        <v>14</v>
      </c>
      <c r="AX5" s="180">
        <v>14</v>
      </c>
      <c r="AY5" s="180">
        <v>14</v>
      </c>
      <c r="AZ5" s="180">
        <v>14</v>
      </c>
      <c r="BA5" s="180">
        <v>14</v>
      </c>
      <c r="BB5" s="180">
        <v>14</v>
      </c>
      <c r="BC5" s="180">
        <v>14</v>
      </c>
      <c r="BD5" s="180">
        <v>14</v>
      </c>
      <c r="BE5" s="180">
        <v>14</v>
      </c>
      <c r="BF5" s="180">
        <v>14</v>
      </c>
      <c r="BG5" s="180">
        <v>14</v>
      </c>
      <c r="BH5" s="180">
        <v>14</v>
      </c>
      <c r="BI5" s="180">
        <v>14</v>
      </c>
      <c r="BJ5" s="180">
        <v>14</v>
      </c>
      <c r="BK5" s="180">
        <v>14</v>
      </c>
      <c r="BL5" s="180">
        <v>14</v>
      </c>
      <c r="BM5" s="180">
        <v>14</v>
      </c>
      <c r="BN5" s="180">
        <v>14</v>
      </c>
      <c r="BO5" s="180">
        <v>14</v>
      </c>
      <c r="BP5" s="180">
        <v>14</v>
      </c>
      <c r="BQ5" s="180">
        <v>14</v>
      </c>
      <c r="BR5" s="180">
        <v>14</v>
      </c>
      <c r="BS5" s="180">
        <v>14</v>
      </c>
      <c r="BT5" s="180">
        <v>14</v>
      </c>
      <c r="BU5" s="180">
        <v>14</v>
      </c>
      <c r="BV5" s="180">
        <v>14</v>
      </c>
      <c r="BW5" s="180">
        <v>14</v>
      </c>
      <c r="BX5" s="180">
        <v>14</v>
      </c>
      <c r="BY5" s="180">
        <v>14</v>
      </c>
      <c r="BZ5" s="180">
        <v>14</v>
      </c>
      <c r="CA5" s="180">
        <v>14</v>
      </c>
      <c r="CB5" s="180">
        <v>14</v>
      </c>
      <c r="CC5" s="180">
        <v>14</v>
      </c>
      <c r="CD5" s="180">
        <v>14</v>
      </c>
      <c r="CE5" s="180">
        <v>14</v>
      </c>
      <c r="CF5" s="180">
        <v>14</v>
      </c>
      <c r="CG5" s="180">
        <v>14</v>
      </c>
      <c r="CH5" s="180">
        <v>14</v>
      </c>
      <c r="CI5" s="180">
        <v>14</v>
      </c>
      <c r="CJ5" s="180">
        <v>14</v>
      </c>
      <c r="CK5" s="180">
        <v>14</v>
      </c>
      <c r="CL5" s="180">
        <v>14</v>
      </c>
      <c r="CM5" s="180">
        <v>14</v>
      </c>
      <c r="CN5" s="180">
        <v>14</v>
      </c>
      <c r="CO5" s="180">
        <v>14</v>
      </c>
      <c r="CP5" s="180">
        <v>14</v>
      </c>
      <c r="CQ5" s="180">
        <v>14</v>
      </c>
      <c r="CR5" s="180">
        <v>14</v>
      </c>
      <c r="CS5" s="180">
        <v>14</v>
      </c>
      <c r="CT5" s="180">
        <v>14</v>
      </c>
      <c r="CU5" s="180">
        <v>14</v>
      </c>
      <c r="CV5" s="180">
        <v>14</v>
      </c>
      <c r="CW5" s="180">
        <v>14</v>
      </c>
      <c r="CX5" s="180">
        <v>14</v>
      </c>
      <c r="CY5" s="180">
        <v>14</v>
      </c>
      <c r="CZ5" s="180">
        <v>14</v>
      </c>
      <c r="DA5" s="180">
        <v>14</v>
      </c>
      <c r="DB5" s="180">
        <v>14</v>
      </c>
      <c r="DC5" s="180">
        <v>14</v>
      </c>
      <c r="DD5" s="180">
        <v>14</v>
      </c>
      <c r="DE5" s="180">
        <v>14</v>
      </c>
      <c r="DF5" s="180">
        <v>14</v>
      </c>
      <c r="DG5" s="180">
        <v>14</v>
      </c>
      <c r="DH5" s="180">
        <v>14</v>
      </c>
      <c r="DI5" s="180">
        <v>14</v>
      </c>
      <c r="DJ5" s="180">
        <v>14</v>
      </c>
      <c r="DK5" s="180">
        <v>14</v>
      </c>
      <c r="DL5" s="180">
        <v>14</v>
      </c>
      <c r="DM5" s="180">
        <v>14</v>
      </c>
      <c r="DN5" s="180">
        <v>14</v>
      </c>
      <c r="DO5" s="180">
        <v>14</v>
      </c>
      <c r="DP5" s="180">
        <v>14</v>
      </c>
      <c r="DQ5" s="180">
        <v>14</v>
      </c>
      <c r="DR5" s="180">
        <v>14</v>
      </c>
      <c r="DS5" s="180">
        <v>14</v>
      </c>
      <c r="DT5" s="180">
        <v>14</v>
      </c>
      <c r="DU5" s="180">
        <v>14</v>
      </c>
      <c r="DV5" s="180">
        <v>14</v>
      </c>
      <c r="DW5" s="180">
        <v>14</v>
      </c>
      <c r="DX5" s="180">
        <v>14</v>
      </c>
      <c r="DY5" s="180">
        <v>14</v>
      </c>
      <c r="DZ5" s="180">
        <v>14</v>
      </c>
      <c r="EA5" s="180">
        <v>14</v>
      </c>
      <c r="EB5" s="180">
        <v>14</v>
      </c>
      <c r="EC5" s="180">
        <v>14</v>
      </c>
      <c r="ED5" s="180">
        <v>14</v>
      </c>
      <c r="EE5" s="180">
        <v>14</v>
      </c>
      <c r="EF5" s="180">
        <v>14</v>
      </c>
      <c r="EG5" s="180">
        <v>14</v>
      </c>
      <c r="EH5" s="180">
        <v>14</v>
      </c>
      <c r="EI5" s="180">
        <v>14</v>
      </c>
      <c r="EJ5" s="180">
        <v>14</v>
      </c>
      <c r="EK5" s="180">
        <v>14</v>
      </c>
      <c r="EL5" s="180">
        <v>14</v>
      </c>
      <c r="EM5" s="180">
        <v>14</v>
      </c>
      <c r="EN5" s="180">
        <v>14</v>
      </c>
      <c r="EO5" s="180">
        <v>14</v>
      </c>
      <c r="EP5" s="180">
        <v>14</v>
      </c>
      <c r="EQ5" s="180">
        <v>14</v>
      </c>
      <c r="ER5" s="180">
        <v>14</v>
      </c>
      <c r="ES5" s="180">
        <v>14</v>
      </c>
      <c r="ET5" s="180">
        <v>14</v>
      </c>
      <c r="EU5" s="180">
        <v>14</v>
      </c>
      <c r="EV5" s="180">
        <v>14</v>
      </c>
      <c r="EW5" s="180">
        <v>14</v>
      </c>
      <c r="EX5" s="180">
        <v>14</v>
      </c>
      <c r="EY5" s="180">
        <v>14</v>
      </c>
      <c r="EZ5" s="180">
        <v>14</v>
      </c>
      <c r="FA5" s="180">
        <v>14</v>
      </c>
      <c r="FB5" s="180">
        <v>14</v>
      </c>
      <c r="FC5" s="180">
        <v>14</v>
      </c>
      <c r="FD5" s="180">
        <v>14</v>
      </c>
      <c r="FE5" s="180">
        <v>14</v>
      </c>
      <c r="FF5" s="180">
        <v>14</v>
      </c>
      <c r="FG5" s="180">
        <v>14</v>
      </c>
      <c r="FH5" s="180">
        <v>14</v>
      </c>
      <c r="FI5" s="180">
        <v>14</v>
      </c>
      <c r="FJ5" s="180">
        <v>14</v>
      </c>
      <c r="FK5" s="180">
        <v>14</v>
      </c>
      <c r="FL5" s="180">
        <v>14</v>
      </c>
      <c r="FM5" s="180">
        <v>14</v>
      </c>
      <c r="FN5" s="180">
        <v>14</v>
      </c>
      <c r="FO5" s="180">
        <v>14</v>
      </c>
      <c r="FP5" s="180">
        <v>14</v>
      </c>
      <c r="FQ5" s="180">
        <v>14</v>
      </c>
      <c r="FR5" s="180">
        <v>14</v>
      </c>
      <c r="FS5" s="180">
        <v>14</v>
      </c>
      <c r="FT5" s="180">
        <v>14</v>
      </c>
      <c r="FU5" s="180">
        <v>14</v>
      </c>
      <c r="FV5" s="180">
        <v>14</v>
      </c>
      <c r="FW5" s="180">
        <v>14</v>
      </c>
      <c r="FX5" s="180">
        <v>3</v>
      </c>
      <c r="FZ5" s="489"/>
      <c r="GA5" s="489"/>
      <c r="GB5" s="489"/>
      <c r="GC5" s="489"/>
      <c r="GD5" s="489"/>
      <c r="GF5" s="1729"/>
      <c r="GG5" s="1729"/>
      <c r="GH5" s="1729"/>
      <c r="GI5" s="1729"/>
      <c r="GJ5" s="1729"/>
      <c r="GK5" s="1729"/>
      <c r="GL5" s="1729"/>
      <c r="GM5" s="1729"/>
      <c r="GN5" s="1729"/>
    </row>
    <row s="1548" customFormat="1" customHeight="1" ht="11.25" hidden="1">
      <c r="A6" s="371"/>
      <c r="C6" s="193"/>
      <c r="D6" s="193"/>
      <c r="E6" s="180"/>
      <c r="G6" s="193"/>
      <c r="H6" s="193"/>
      <c r="I6" s="193"/>
      <c r="J6" s="193"/>
      <c r="K6" s="193"/>
      <c r="L6" s="193"/>
      <c r="M6" s="193"/>
      <c r="N6" s="193"/>
      <c r="O6" s="193"/>
      <c r="P6" s="193"/>
      <c r="Q6" s="193"/>
      <c r="R6" s="193"/>
      <c r="S6" s="193"/>
      <c r="AB6" s="176"/>
      <c r="AC6" s="176"/>
      <c r="AG6" s="1548"/>
      <c r="AH6" s="1548"/>
      <c r="AI6" s="1548"/>
      <c r="AJ6" s="1548"/>
      <c r="AK6" s="1548"/>
      <c r="AL6" s="1548"/>
      <c r="AM6" s="1548"/>
      <c r="AN6" s="1548"/>
      <c r="AO6" s="1548"/>
      <c r="AP6" s="1548"/>
      <c r="AQ6" s="1548"/>
      <c r="AR6" s="1548"/>
      <c r="AS6" s="1548"/>
      <c r="AT6" s="1548"/>
      <c r="AU6" s="1548"/>
      <c r="AV6" s="1548"/>
      <c r="AW6" s="1548"/>
      <c r="AX6" s="1548"/>
      <c r="AY6" s="1548"/>
      <c r="AZ6" s="1548"/>
      <c r="BA6" s="1548"/>
      <c r="BB6" s="1548"/>
      <c r="BC6" s="1548"/>
      <c r="BD6" s="1548"/>
      <c r="BE6" s="1548"/>
      <c r="BF6" s="1548"/>
      <c r="BG6" s="1548"/>
      <c r="BH6" s="1548"/>
      <c r="BI6" s="1548"/>
      <c r="BJ6" s="1548"/>
      <c r="BK6" s="1548"/>
      <c r="BL6" s="1548"/>
      <c r="BM6" s="1548"/>
      <c r="BN6" s="1548"/>
      <c r="BO6" s="1548"/>
      <c r="BP6" s="1548"/>
      <c r="BQ6" s="1548"/>
      <c r="BR6" s="1548"/>
      <c r="BS6" s="1548"/>
      <c r="BT6" s="1548"/>
      <c r="BU6" s="1548"/>
      <c r="BV6" s="1548"/>
      <c r="BW6" s="1548"/>
      <c r="BX6" s="1548"/>
      <c r="BY6" s="1548"/>
      <c r="BZ6" s="1548"/>
      <c r="CA6" s="1548"/>
      <c r="CB6" s="1548"/>
      <c r="CC6" s="1548"/>
      <c r="CD6" s="1548"/>
      <c r="CE6" s="1548"/>
      <c r="CF6" s="1548"/>
      <c r="CG6" s="1548"/>
      <c r="CH6" s="1548"/>
      <c r="CI6" s="1548"/>
      <c r="CJ6" s="1548"/>
      <c r="CK6" s="1548"/>
      <c r="CL6" s="1548"/>
      <c r="CM6" s="1548"/>
      <c r="CN6" s="1548"/>
      <c r="CO6" s="1548"/>
      <c r="CP6" s="1548"/>
      <c r="CQ6" s="1548"/>
      <c r="CR6" s="1548"/>
      <c r="CS6" s="1548"/>
      <c r="CT6" s="1548"/>
      <c r="CU6" s="1548"/>
      <c r="CV6" s="1548"/>
      <c r="CW6" s="1548"/>
      <c r="CX6" s="1548"/>
      <c r="CY6" s="1548"/>
      <c r="CZ6" s="1548"/>
      <c r="DA6" s="1548"/>
      <c r="DB6" s="1548"/>
      <c r="DC6" s="1548"/>
      <c r="DD6" s="1548"/>
      <c r="DE6" s="1548"/>
      <c r="DF6" s="1548"/>
      <c r="DG6" s="1548"/>
      <c r="DH6" s="1548"/>
      <c r="DI6" s="1548"/>
      <c r="DJ6" s="1548"/>
      <c r="DK6" s="1548"/>
      <c r="DL6" s="1548"/>
      <c r="DM6" s="1548"/>
      <c r="DN6" s="1548"/>
      <c r="DO6" s="1548"/>
      <c r="DP6" s="1548"/>
      <c r="DQ6" s="1548"/>
      <c r="DR6" s="1548"/>
      <c r="DS6" s="1548"/>
      <c r="DT6" s="1548"/>
      <c r="DU6" s="1548"/>
      <c r="DV6" s="1548"/>
      <c r="DW6" s="1548"/>
      <c r="DX6" s="1548"/>
      <c r="DY6" s="1548"/>
      <c r="DZ6" s="1548"/>
      <c r="EA6" s="1548"/>
      <c r="EB6" s="1548"/>
      <c r="EC6" s="1548"/>
      <c r="ED6" s="1548"/>
      <c r="EE6" s="1548"/>
      <c r="EF6" s="1548"/>
      <c r="EG6" s="1548"/>
      <c r="EH6" s="1548"/>
      <c r="EI6" s="1548"/>
      <c r="EJ6" s="1548"/>
      <c r="EK6" s="1548"/>
      <c r="EL6" s="1548"/>
      <c r="EM6" s="1548"/>
      <c r="EN6" s="1548"/>
      <c r="EO6" s="1548"/>
      <c r="EP6" s="1548"/>
      <c r="EQ6" s="1548"/>
      <c r="ER6" s="1548"/>
      <c r="ES6" s="1548"/>
      <c r="ET6" s="1548"/>
      <c r="EU6" s="1548"/>
      <c r="EV6" s="1548"/>
      <c r="EW6" s="1548"/>
      <c r="EX6" s="1548"/>
      <c r="EY6" s="1548"/>
      <c r="EZ6" s="1548"/>
      <c r="FA6" s="1548"/>
      <c r="FB6" s="1548"/>
      <c r="FC6" s="1548"/>
      <c r="FD6" s="1548"/>
      <c r="FE6" s="1548"/>
      <c r="FF6" s="1548"/>
      <c r="FG6" s="1548"/>
      <c r="FH6" s="1548"/>
      <c r="FI6" s="1548"/>
      <c r="FJ6" s="1548"/>
      <c r="FK6" s="1548"/>
      <c r="FL6" s="1548"/>
      <c r="FM6" s="1548"/>
      <c r="FN6" s="1548"/>
      <c r="FO6" s="1548"/>
      <c r="FP6" s="1548"/>
      <c r="FQ6" s="1548"/>
      <c r="FR6" s="1548"/>
      <c r="FS6" s="1548"/>
      <c r="FT6" s="1548"/>
      <c r="FU6" s="1548"/>
      <c r="FV6" s="1548"/>
      <c r="FW6" s="1548"/>
      <c r="FZ6" s="489"/>
      <c r="GA6" s="489"/>
      <c r="GB6" s="489"/>
      <c r="GC6" s="489"/>
      <c r="GD6" s="489"/>
      <c r="GF6" s="0"/>
      <c r="GG6" s="0"/>
      <c r="GH6" s="0"/>
      <c r="GI6" s="0"/>
      <c r="GJ6" s="0"/>
      <c r="GK6" s="0"/>
      <c r="GL6" s="0"/>
      <c r="GM6" s="0"/>
      <c r="GN6" s="0"/>
    </row>
    <row customHeight="1" ht="11.25" hidden="1">
      <c r="F7" s="193"/>
      <c r="T7" s="193"/>
      <c r="U7" s="193"/>
      <c r="V7" s="193"/>
      <c r="W7" s="193"/>
      <c r="X7" s="193"/>
      <c r="Y7" s="193"/>
      <c r="Z7" s="193"/>
      <c r="AA7" s="193"/>
      <c r="AB7" s="308"/>
      <c r="AC7" s="308"/>
      <c r="AD7" s="193"/>
      <c r="AE7" s="193"/>
      <c r="AF7" s="193"/>
      <c r="AG7" s="193"/>
      <c r="AH7" s="193"/>
      <c r="AI7" s="193"/>
      <c r="AJ7" s="193"/>
      <c r="AK7" s="193"/>
      <c r="AL7" s="193"/>
      <c r="AM7" s="193"/>
      <c r="AN7" s="193"/>
      <c r="AO7" s="193"/>
      <c r="AP7" s="193"/>
      <c r="AQ7" s="193"/>
      <c r="AR7" s="193"/>
      <c r="AS7" s="193"/>
      <c r="AT7" s="193"/>
      <c r="AU7" s="193"/>
      <c r="AV7" s="193"/>
      <c r="AW7" s="193"/>
      <c r="AX7" s="193"/>
      <c r="AY7" s="193"/>
      <c r="AZ7" s="193"/>
      <c r="BA7" s="193"/>
      <c r="BB7" s="193"/>
      <c r="BC7" s="193"/>
      <c r="BD7" s="193"/>
      <c r="BE7" s="193"/>
      <c r="BF7" s="193"/>
      <c r="BG7" s="193"/>
      <c r="BH7" s="193"/>
      <c r="BI7" s="193"/>
      <c r="BJ7" s="193"/>
      <c r="BK7" s="193"/>
      <c r="BL7" s="193"/>
      <c r="BM7" s="193"/>
      <c r="BN7" s="193"/>
      <c r="BO7" s="193"/>
      <c r="BP7" s="193"/>
      <c r="BQ7" s="193"/>
      <c r="BR7" s="193"/>
      <c r="BS7" s="193"/>
      <c r="BT7" s="193"/>
      <c r="BU7" s="193"/>
      <c r="BV7" s="193"/>
      <c r="BW7" s="193"/>
      <c r="BX7" s="193"/>
      <c r="BY7" s="193"/>
      <c r="BZ7" s="193"/>
      <c r="CA7" s="193"/>
      <c r="CB7" s="193"/>
      <c r="CC7" s="193"/>
      <c r="CD7" s="193"/>
      <c r="CE7" s="193"/>
      <c r="CF7" s="193"/>
      <c r="CG7" s="193"/>
      <c r="CH7" s="193"/>
      <c r="CI7" s="193"/>
      <c r="CJ7" s="193"/>
      <c r="CK7" s="193"/>
      <c r="CL7" s="193"/>
      <c r="CM7" s="193"/>
      <c r="CN7" s="193"/>
      <c r="CO7" s="193"/>
      <c r="CP7" s="193"/>
      <c r="CQ7" s="193"/>
      <c r="CR7" s="193"/>
      <c r="CS7" s="193"/>
      <c r="CT7" s="193"/>
      <c r="CU7" s="193"/>
      <c r="CV7" s="193"/>
      <c r="CW7" s="193"/>
      <c r="CX7" s="193"/>
      <c r="CY7" s="193"/>
      <c r="CZ7" s="193"/>
      <c r="DA7" s="193"/>
      <c r="DB7" s="193"/>
      <c r="DC7" s="193"/>
      <c r="DD7" s="193"/>
      <c r="DE7" s="193"/>
      <c r="DF7" s="193"/>
      <c r="DG7" s="193"/>
      <c r="DH7" s="193"/>
      <c r="DI7" s="193"/>
      <c r="DJ7" s="193"/>
      <c r="DK7" s="193"/>
      <c r="DL7" s="193"/>
      <c r="DM7" s="193"/>
      <c r="DN7" s="193"/>
      <c r="DO7" s="193"/>
      <c r="DP7" s="193"/>
      <c r="DQ7" s="193"/>
      <c r="DR7" s="193"/>
      <c r="DS7" s="193"/>
      <c r="DT7" s="193"/>
      <c r="DU7" s="193"/>
      <c r="DV7" s="193"/>
      <c r="DW7" s="193"/>
      <c r="DX7" s="193"/>
      <c r="DY7" s="193"/>
      <c r="DZ7" s="193"/>
      <c r="EA7" s="193"/>
      <c r="EB7" s="193"/>
      <c r="EC7" s="193"/>
      <c r="ED7" s="193"/>
      <c r="EE7" s="193"/>
      <c r="EF7" s="193"/>
      <c r="EG7" s="193"/>
      <c r="EH7" s="193"/>
      <c r="EI7" s="193"/>
      <c r="EJ7" s="193"/>
      <c r="EK7" s="193"/>
      <c r="EL7" s="193"/>
      <c r="EM7" s="193"/>
      <c r="EN7" s="193"/>
      <c r="EO7" s="193"/>
      <c r="EP7" s="193"/>
      <c r="EQ7" s="193"/>
      <c r="ER7" s="193"/>
      <c r="ES7" s="193"/>
      <c r="ET7" s="193"/>
      <c r="EU7" s="193"/>
      <c r="EV7" s="193"/>
      <c r="EW7" s="193"/>
      <c r="EX7" s="193"/>
      <c r="EY7" s="193"/>
      <c r="EZ7" s="193"/>
      <c r="FA7" s="193"/>
      <c r="FB7" s="193"/>
      <c r="FC7" s="193"/>
      <c r="FD7" s="193"/>
      <c r="FE7" s="193"/>
      <c r="FF7" s="193"/>
      <c r="FG7" s="193"/>
      <c r="FH7" s="193"/>
      <c r="FI7" s="193"/>
      <c r="FJ7" s="193"/>
      <c r="FK7" s="193"/>
      <c r="FL7" s="193"/>
      <c r="FM7" s="193"/>
      <c r="FN7" s="193"/>
      <c r="FO7" s="193"/>
      <c r="FP7" s="193"/>
      <c r="FQ7" s="193"/>
      <c r="FR7" s="193"/>
      <c r="FS7" s="193"/>
      <c r="FT7" s="193"/>
      <c r="FU7" s="193"/>
      <c r="FV7" s="193"/>
      <c r="FW7" s="193"/>
      <c r="FX7" s="193"/>
      <c r="GA7" s="489"/>
      <c r="GB7" s="489"/>
      <c r="GC7" s="489"/>
      <c r="GD7" s="489"/>
    </row>
    <row customHeight="1" ht="11.25" hidden="1">
      <c r="F8" s="193"/>
      <c r="T8" s="193"/>
      <c r="U8" s="193"/>
      <c r="V8" s="193"/>
      <c r="W8" s="193"/>
      <c r="X8" s="193"/>
      <c r="Y8" s="193"/>
      <c r="Z8" s="193"/>
      <c r="AA8" s="193"/>
      <c r="AB8" s="308"/>
      <c r="AC8" s="308"/>
      <c r="AD8" s="193" t="str">
        <f>AD9&amp;AD10</f>
        <v>2027Предложение организации</v>
      </c>
      <c r="AE8" s="193" t="str">
        <f>AE9&amp;AE10</f>
        <v>2027Принято органом регулирования</v>
      </c>
      <c r="AF8" s="193" t="str">
        <f>AF9&amp;AF10</f>
        <v>2027Отклонение, %</v>
      </c>
      <c r="AG8" s="193" t="str">
        <f>AG9&amp;AG10</f>
        <v>2028Предложение организации</v>
      </c>
      <c r="AH8" s="193" t="str">
        <f>AH9&amp;AH10</f>
        <v>2028Принято органом регулирования</v>
      </c>
      <c r="AI8" s="193" t="str">
        <f>AI9&amp;AI10</f>
        <v>2028Отклонение, %</v>
      </c>
      <c r="AJ8" s="193" t="str">
        <f>AJ9&amp;AJ10</f>
        <v>2029Предложение организации</v>
      </c>
      <c r="AK8" s="193" t="str">
        <f>AK9&amp;AK10</f>
        <v>2029Принято органом регулирования</v>
      </c>
      <c r="AL8" s="193" t="str">
        <f>AL9&amp;AL10</f>
        <v>2029Отклонение, %</v>
      </c>
      <c r="AM8" s="193" t="str">
        <f>AM9&amp;AM10</f>
        <v>2030Предложение организации</v>
      </c>
      <c r="AN8" s="193" t="str">
        <f>AN9&amp;AN10</f>
        <v>2030Принято органом регулирования</v>
      </c>
      <c r="AO8" s="193" t="str">
        <f>AO9&amp;AO10</f>
        <v>2030Отклонение, %</v>
      </c>
      <c r="AP8" s="193" t="str">
        <f>AP9&amp;AP10</f>
        <v>2031Предложение организации</v>
      </c>
      <c r="AQ8" s="193" t="str">
        <f>AQ9&amp;AQ10</f>
        <v>2031Принято органом регулирования</v>
      </c>
      <c r="AR8" s="193" t="str">
        <f>AR9&amp;AR10</f>
        <v>2031Отклонение, %</v>
      </c>
      <c r="AS8" s="193" t="str">
        <f>AS9&amp;AS10</f>
        <v>2032Предложение организации</v>
      </c>
      <c r="AT8" s="193" t="str">
        <f>AT9&amp;AT10</f>
        <v>2032Принято органом регулирования</v>
      </c>
      <c r="AU8" s="193" t="str">
        <f>AU9&amp;AU10</f>
        <v>2032Отклонение, %</v>
      </c>
      <c r="AV8" s="193" t="str">
        <f>AV9&amp;AV10</f>
        <v>2033Предложение организации</v>
      </c>
      <c r="AW8" s="193" t="str">
        <f>AW9&amp;AW10</f>
        <v>2033Принято органом регулирования</v>
      </c>
      <c r="AX8" s="193" t="str">
        <f>AX9&amp;AX10</f>
        <v>2033Отклонение, %</v>
      </c>
      <c r="AY8" s="193" t="str">
        <f>AY9&amp;AY10</f>
        <v>2034Предложение организации</v>
      </c>
      <c r="AZ8" s="193" t="str">
        <f>AZ9&amp;AZ10</f>
        <v>2034Принято органом регулирования</v>
      </c>
      <c r="BA8" s="193" t="str">
        <f>BA9&amp;BA10</f>
        <v>2034Отклонение, %</v>
      </c>
      <c r="BB8" s="193" t="str">
        <f>BB9&amp;BB10</f>
        <v>2035Предложение организации</v>
      </c>
      <c r="BC8" s="193" t="str">
        <f>BC9&amp;BC10</f>
        <v>2035Принято органом регулирования</v>
      </c>
      <c r="BD8" s="193" t="str">
        <f>BD9&amp;BD10</f>
        <v>2035Отклонение, %</v>
      </c>
      <c r="BE8" s="193" t="str">
        <f>BE9&amp;BE10</f>
        <v>2036Предложение организации</v>
      </c>
      <c r="BF8" s="193" t="str">
        <f>BF9&amp;BF10</f>
        <v>2036Принято органом регулирования</v>
      </c>
      <c r="BG8" s="193" t="str">
        <f>BG9&amp;BG10</f>
        <v>2036Отклонение, %</v>
      </c>
      <c r="BH8" s="193" t="str">
        <f>BH9&amp;BH10</f>
        <v>2037Предложение организации</v>
      </c>
      <c r="BI8" s="193" t="str">
        <f>BI9&amp;BI10</f>
        <v>2037Принято органом регулирования</v>
      </c>
      <c r="BJ8" s="193" t="str">
        <f>BJ9&amp;BJ10</f>
        <v>2037Отклонение, %</v>
      </c>
      <c r="BK8" s="193" t="str">
        <f>BK9&amp;BK10</f>
        <v>2038Предложение организации</v>
      </c>
      <c r="BL8" s="193" t="str">
        <f>BL9&amp;BL10</f>
        <v>2038Принято органом регулирования</v>
      </c>
      <c r="BM8" s="193" t="str">
        <f>BM9&amp;BM10</f>
        <v>2038Отклонение, %</v>
      </c>
      <c r="BN8" s="193" t="str">
        <f>BN9&amp;BN10</f>
        <v>2039Предложение организации</v>
      </c>
      <c r="BO8" s="193" t="str">
        <f>BO9&amp;BO10</f>
        <v>2039Принято органом регулирования</v>
      </c>
      <c r="BP8" s="193" t="str">
        <f>BP9&amp;BP10</f>
        <v>2039Отклонение, %</v>
      </c>
      <c r="BQ8" s="193" t="str">
        <f>BQ9&amp;BQ10</f>
        <v>2040Предложение организации</v>
      </c>
      <c r="BR8" s="193" t="str">
        <f>BR9&amp;BR10</f>
        <v>2040Принято органом регулирования</v>
      </c>
      <c r="BS8" s="193" t="str">
        <f>BS9&amp;BS10</f>
        <v>2040Отклонение, %</v>
      </c>
      <c r="BT8" s="193" t="str">
        <f>BT9&amp;BT10</f>
        <v>2041Предложение организации</v>
      </c>
      <c r="BU8" s="193" t="str">
        <f>BU9&amp;BU10</f>
        <v>2041Принято органом регулирования</v>
      </c>
      <c r="BV8" s="193" t="str">
        <f>BV9&amp;BV10</f>
        <v>2041Отклонение, %</v>
      </c>
      <c r="BW8" s="193" t="str">
        <f>BW9&amp;BW10</f>
        <v>2042Предложение организации</v>
      </c>
      <c r="BX8" s="193" t="str">
        <f>BX9&amp;BX10</f>
        <v>2042Принято органом регулирования</v>
      </c>
      <c r="BY8" s="193" t="str">
        <f>BY9&amp;BY10</f>
        <v>2042Отклонение, %</v>
      </c>
      <c r="BZ8" s="193" t="str">
        <f>BZ9&amp;BZ10</f>
        <v>2043Предложение организации</v>
      </c>
      <c r="CA8" s="193" t="str">
        <f>CA9&amp;CA10</f>
        <v>2043Принято органом регулирования</v>
      </c>
      <c r="CB8" s="193" t="str">
        <f>CB9&amp;CB10</f>
        <v>2043Отклонение, %</v>
      </c>
      <c r="CC8" s="193" t="str">
        <f>CC9&amp;CC10</f>
        <v>2044Предложение организации</v>
      </c>
      <c r="CD8" s="193" t="str">
        <f>CD9&amp;CD10</f>
        <v>2044Принято органом регулирования</v>
      </c>
      <c r="CE8" s="193" t="str">
        <f>CE9&amp;CE10</f>
        <v>2044Отклонение, %</v>
      </c>
      <c r="CF8" s="193" t="str">
        <f>CF9&amp;CF10</f>
        <v>2045Предложение организации</v>
      </c>
      <c r="CG8" s="193" t="str">
        <f>CG9&amp;CG10</f>
        <v>2045Принято органом регулирования</v>
      </c>
      <c r="CH8" s="193" t="str">
        <f>CH9&amp;CH10</f>
        <v>2045Отклонение, %</v>
      </c>
      <c r="CI8" s="193" t="str">
        <f>CI9&amp;CI10</f>
        <v>2046Предложение организации</v>
      </c>
      <c r="CJ8" s="193" t="str">
        <f>CJ9&amp;CJ10</f>
        <v>2046Принято органом регулирования</v>
      </c>
      <c r="CK8" s="193" t="str">
        <f>CK9&amp;CK10</f>
        <v>2046Отклонение, %</v>
      </c>
      <c r="CL8" s="193" t="str">
        <f>CL9&amp;CL10</f>
        <v>2047Предложение организации</v>
      </c>
      <c r="CM8" s="193" t="str">
        <f>CM9&amp;CM10</f>
        <v>2047Принято органом регулирования</v>
      </c>
      <c r="CN8" s="193" t="str">
        <f>CN9&amp;CN10</f>
        <v>2047Отклонение, %</v>
      </c>
      <c r="CO8" s="193" t="str">
        <f>CO9&amp;CO10</f>
        <v>2048Предложение организации</v>
      </c>
      <c r="CP8" s="193" t="str">
        <f>CP9&amp;CP10</f>
        <v>2048Принято органом регулирования</v>
      </c>
      <c r="CQ8" s="193" t="str">
        <f>CQ9&amp;CQ10</f>
        <v>2048Отклонение, %</v>
      </c>
      <c r="CR8" s="193" t="str">
        <f>CR9&amp;CR10</f>
        <v>2049Предложение организации</v>
      </c>
      <c r="CS8" s="193" t="str">
        <f>CS9&amp;CS10</f>
        <v>2049Принято органом регулирования</v>
      </c>
      <c r="CT8" s="193" t="str">
        <f>CT9&amp;CT10</f>
        <v>2049Отклонение, %</v>
      </c>
      <c r="CU8" s="193" t="str">
        <f>CU9&amp;CU10</f>
        <v>2050Предложение организации</v>
      </c>
      <c r="CV8" s="193" t="str">
        <f>CV9&amp;CV10</f>
        <v>2050Принято органом регулирования</v>
      </c>
      <c r="CW8" s="193" t="str">
        <f>CW9&amp;CW10</f>
        <v>2050Отклонение, %</v>
      </c>
      <c r="CX8" s="193" t="str">
        <f>CX9&amp;CX10</f>
        <v>2051Предложение организации</v>
      </c>
      <c r="CY8" s="193" t="str">
        <f>CY9&amp;CY10</f>
        <v>2051Принято органом регулирования</v>
      </c>
      <c r="CZ8" s="193" t="str">
        <f>CZ9&amp;CZ10</f>
        <v>2051Отклонение, %</v>
      </c>
      <c r="DA8" s="193" t="str">
        <f>DA9&amp;DA10</f>
        <v>2052Предложение организации</v>
      </c>
      <c r="DB8" s="193" t="str">
        <f>DB9&amp;DB10</f>
        <v>2052Принято органом регулирования</v>
      </c>
      <c r="DC8" s="193" t="str">
        <f>DC9&amp;DC10</f>
        <v>2052Отклонение, %</v>
      </c>
      <c r="DD8" s="193" t="str">
        <f>DD9&amp;DD10</f>
        <v>2053Предложение организации</v>
      </c>
      <c r="DE8" s="193" t="str">
        <f>DE9&amp;DE10</f>
        <v>2053Принято органом регулирования</v>
      </c>
      <c r="DF8" s="193" t="str">
        <f>DF9&amp;DF10</f>
        <v>2053Отклонение, %</v>
      </c>
      <c r="DG8" s="193" t="str">
        <f>DG9&amp;DG10</f>
        <v>2054Предложение организации</v>
      </c>
      <c r="DH8" s="193" t="str">
        <f>DH9&amp;DH10</f>
        <v>2054Принято органом регулирования</v>
      </c>
      <c r="DI8" s="193" t="str">
        <f>DI9&amp;DI10</f>
        <v>2054Отклонение, %</v>
      </c>
      <c r="DJ8" s="193" t="str">
        <f>DJ9&amp;DJ10</f>
        <v>2055Предложение организации</v>
      </c>
      <c r="DK8" s="193" t="str">
        <f>DK9&amp;DK10</f>
        <v>2055Принято органом регулирования</v>
      </c>
      <c r="DL8" s="193" t="str">
        <f>DL9&amp;DL10</f>
        <v>2055Отклонение, %</v>
      </c>
      <c r="DM8" s="193" t="str">
        <f>DM9&amp;DM10</f>
        <v>2056Предложение организации</v>
      </c>
      <c r="DN8" s="193" t="str">
        <f>DN9&amp;DN10</f>
        <v>2056Принято органом регулирования</v>
      </c>
      <c r="DO8" s="193" t="str">
        <f>DO9&amp;DO10</f>
        <v>2056Отклонение, %</v>
      </c>
      <c r="DP8" s="193" t="str">
        <f>DP9&amp;DP10</f>
        <v>2057Предложение организации</v>
      </c>
      <c r="DQ8" s="193" t="str">
        <f>DQ9&amp;DQ10</f>
        <v>2057Принято органом регулирования</v>
      </c>
      <c r="DR8" s="193" t="str">
        <f>DR9&amp;DR10</f>
        <v>2057Отклонение, %</v>
      </c>
      <c r="DS8" s="193" t="str">
        <f>DS9&amp;DS10</f>
        <v>2058Предложение организации</v>
      </c>
      <c r="DT8" s="193" t="str">
        <f>DT9&amp;DT10</f>
        <v>2058Принято органом регулирования</v>
      </c>
      <c r="DU8" s="193" t="str">
        <f>DU9&amp;DU10</f>
        <v>2058Отклонение, %</v>
      </c>
      <c r="DV8" s="193" t="str">
        <f>DV9&amp;DV10</f>
        <v>2059Предложение организации</v>
      </c>
      <c r="DW8" s="193" t="str">
        <f>DW9&amp;DW10</f>
        <v>2059Принято органом регулирования</v>
      </c>
      <c r="DX8" s="193" t="str">
        <f>DX9&amp;DX10</f>
        <v>2059Отклонение, %</v>
      </c>
      <c r="DY8" s="193" t="str">
        <f>DY9&amp;DY10</f>
        <v>2060Предложение организации</v>
      </c>
      <c r="DZ8" s="193" t="str">
        <f>DZ9&amp;DZ10</f>
        <v>2060Принято органом регулирования</v>
      </c>
      <c r="EA8" s="193" t="str">
        <f>EA9&amp;EA10</f>
        <v>2060Отклонение, %</v>
      </c>
      <c r="EB8" s="193" t="str">
        <f>EB9&amp;EB10</f>
        <v>2061Предложение организации</v>
      </c>
      <c r="EC8" s="193" t="str">
        <f>EC9&amp;EC10</f>
        <v>2061Принято органом регулирования</v>
      </c>
      <c r="ED8" s="193" t="str">
        <f>ED9&amp;ED10</f>
        <v>2061Отклонение, %</v>
      </c>
      <c r="EE8" s="193" t="str">
        <f>EE9&amp;EE10</f>
        <v>2062Предложение организации</v>
      </c>
      <c r="EF8" s="193" t="str">
        <f>EF9&amp;EF10</f>
        <v>2062Принято органом регулирования</v>
      </c>
      <c r="EG8" s="193" t="str">
        <f>EG9&amp;EG10</f>
        <v>2062Отклонение, %</v>
      </c>
      <c r="EH8" s="193" t="str">
        <f>EH9&amp;EH10</f>
        <v>2063Предложение организации</v>
      </c>
      <c r="EI8" s="193" t="str">
        <f>EI9&amp;EI10</f>
        <v>2063Принято органом регулирования</v>
      </c>
      <c r="EJ8" s="193" t="str">
        <f>EJ9&amp;EJ10</f>
        <v>2063Отклонение, %</v>
      </c>
      <c r="EK8" s="193" t="str">
        <f>EK9&amp;EK10</f>
        <v>2064Предложение организации</v>
      </c>
      <c r="EL8" s="193" t="str">
        <f>EL9&amp;EL10</f>
        <v>2064Принято органом регулирования</v>
      </c>
      <c r="EM8" s="193" t="str">
        <f>EM9&amp;EM10</f>
        <v>2064Отклонение, %</v>
      </c>
      <c r="EN8" s="193" t="str">
        <f>EN9&amp;EN10</f>
        <v>2065Предложение организации</v>
      </c>
      <c r="EO8" s="193" t="str">
        <f>EO9&amp;EO10</f>
        <v>2065Принято органом регулирования</v>
      </c>
      <c r="EP8" s="193" t="str">
        <f>EP9&amp;EP10</f>
        <v>2065Отклонение, %</v>
      </c>
      <c r="EQ8" s="193" t="str">
        <f>EQ9&amp;EQ10</f>
        <v>2066Предложение организации</v>
      </c>
      <c r="ER8" s="193" t="str">
        <f>ER9&amp;ER10</f>
        <v>2066Принято органом регулирования</v>
      </c>
      <c r="ES8" s="193" t="str">
        <f>ES9&amp;ES10</f>
        <v>2066Отклонение, %</v>
      </c>
      <c r="ET8" s="193" t="str">
        <f>ET9&amp;ET10</f>
        <v>2067Предложение организации</v>
      </c>
      <c r="EU8" s="193" t="str">
        <f>EU9&amp;EU10</f>
        <v>2067Принято органом регулирования</v>
      </c>
      <c r="EV8" s="193" t="str">
        <f>EV9&amp;EV10</f>
        <v>2067Отклонение, %</v>
      </c>
      <c r="EW8" s="193" t="str">
        <f>EW9&amp;EW10</f>
        <v>2068Предложение организации</v>
      </c>
      <c r="EX8" s="193" t="str">
        <f>EX9&amp;EX10</f>
        <v>2068Принято органом регулирования</v>
      </c>
      <c r="EY8" s="193" t="str">
        <f>EY9&amp;EY10</f>
        <v>2068Отклонение, %</v>
      </c>
      <c r="EZ8" s="193" t="str">
        <f>EZ9&amp;EZ10</f>
        <v>2069Предложение организации</v>
      </c>
      <c r="FA8" s="193" t="str">
        <f>FA9&amp;FA10</f>
        <v>2069Принято органом регулирования</v>
      </c>
      <c r="FB8" s="193" t="str">
        <f>FB9&amp;FB10</f>
        <v>2069Отклонение, %</v>
      </c>
      <c r="FC8" s="193" t="str">
        <f>FC9&amp;FC10</f>
        <v>2070Предложение организации</v>
      </c>
      <c r="FD8" s="193" t="str">
        <f>FD9&amp;FD10</f>
        <v>2070Принято органом регулирования</v>
      </c>
      <c r="FE8" s="193" t="str">
        <f>FE9&amp;FE10</f>
        <v>2070Отклонение, %</v>
      </c>
      <c r="FF8" s="193" t="str">
        <f>FF9&amp;FF10</f>
        <v>2071Предложение организации</v>
      </c>
      <c r="FG8" s="193" t="str">
        <f>FG9&amp;FG10</f>
        <v>2071Принято органом регулирования</v>
      </c>
      <c r="FH8" s="193" t="str">
        <f>FH9&amp;FH10</f>
        <v>2071Отклонение, %</v>
      </c>
      <c r="FI8" s="193" t="str">
        <f>FI9&amp;FI10</f>
        <v>2072Предложение организации</v>
      </c>
      <c r="FJ8" s="193" t="str">
        <f>FJ9&amp;FJ10</f>
        <v>2072Принято органом регулирования</v>
      </c>
      <c r="FK8" s="193" t="str">
        <f>FK9&amp;FK10</f>
        <v>2072Отклонение, %</v>
      </c>
      <c r="FL8" s="193" t="str">
        <f>FL9&amp;FL10</f>
        <v>2073Предложение организации</v>
      </c>
      <c r="FM8" s="193" t="str">
        <f>FM9&amp;FM10</f>
        <v>2073Принято органом регулирования</v>
      </c>
      <c r="FN8" s="193" t="str">
        <f>FN9&amp;FN10</f>
        <v>2073Отклонение, %</v>
      </c>
      <c r="FO8" s="193" t="str">
        <f>FO9&amp;FO10</f>
        <v>2074Предложение организации</v>
      </c>
      <c r="FP8" s="193" t="str">
        <f>FP9&amp;FP10</f>
        <v>2074Принято органом регулирования</v>
      </c>
      <c r="FQ8" s="193" t="str">
        <f>FQ9&amp;FQ10</f>
        <v>2074Отклонение, %</v>
      </c>
      <c r="FR8" s="193" t="str">
        <f>FR9&amp;FR10</f>
        <v>2075Предложение организации</v>
      </c>
      <c r="FS8" s="193" t="str">
        <f>FS9&amp;FS10</f>
        <v>2075Принято органом регулирования</v>
      </c>
      <c r="FT8" s="193" t="str">
        <f>FT9&amp;FT10</f>
        <v>2075Отклонение, %</v>
      </c>
      <c r="FU8" s="193" t="str">
        <f>FU9&amp;FU10</f>
        <v>2076Предложение организации</v>
      </c>
      <c r="FV8" s="193" t="str">
        <f>FV9&amp;FV10</f>
        <v>2076Принято органом регулирования</v>
      </c>
      <c r="FW8" s="193" t="str">
        <f>FW9&amp;FW10</f>
        <v>2076Отклонение, %</v>
      </c>
      <c r="FX8" s="193"/>
      <c r="GA8" s="489"/>
      <c r="GB8" s="489"/>
      <c r="GC8" s="489"/>
      <c r="GD8" s="489"/>
    </row>
    <row s="1143" customFormat="1" customHeight="1" ht="11.25" hidden="1">
      <c r="A9" s="309" t="s">
        <v>403</v>
      </c>
      <c r="AD9" s="312" cm="1" t="str">
        <f t="array" ref="AD9:AD9">god</f>
        <v>2027</v>
      </c>
      <c r="AE9" s="312" cm="1" t="str">
        <f t="array" ref="AE9:AE9">god</f>
        <v>2027</v>
      </c>
      <c r="AF9" s="312" cm="1" t="str">
        <f t="array" ref="AF9:AF9">god</f>
        <v>2027</v>
      </c>
      <c r="AG9" s="312">
        <f>god+1</f>
        <v>2028</v>
      </c>
      <c r="AH9" s="312">
        <f>god+1</f>
        <v>2028</v>
      </c>
      <c r="AI9" s="312">
        <f>god+1</f>
        <v>2028</v>
      </c>
      <c r="AJ9" s="312">
        <f>god+2</f>
        <v>2029</v>
      </c>
      <c r="AK9" s="312">
        <f>god+2</f>
        <v>2029</v>
      </c>
      <c r="AL9" s="312">
        <f>god+2</f>
        <v>2029</v>
      </c>
      <c r="AM9" s="312">
        <f>god+3</f>
        <v>2030</v>
      </c>
      <c r="AN9" s="312">
        <f>god+3</f>
        <v>2030</v>
      </c>
      <c r="AO9" s="312">
        <f>god+3</f>
        <v>2030</v>
      </c>
      <c r="AP9" s="312">
        <f>god+4</f>
        <v>2031</v>
      </c>
      <c r="AQ9" s="312">
        <f>god+4</f>
        <v>2031</v>
      </c>
      <c r="AR9" s="312">
        <f>god+4</f>
        <v>2031</v>
      </c>
      <c r="AS9" s="312">
        <f>god+5</f>
        <v>2032</v>
      </c>
      <c r="AT9" s="312">
        <f>god+5</f>
        <v>2032</v>
      </c>
      <c r="AU9" s="312">
        <f>god+5</f>
        <v>2032</v>
      </c>
      <c r="AV9" s="312">
        <f>god+6</f>
        <v>2033</v>
      </c>
      <c r="AW9" s="312">
        <f>god+6</f>
        <v>2033</v>
      </c>
      <c r="AX9" s="312">
        <f>god+6</f>
        <v>2033</v>
      </c>
      <c r="AY9" s="312">
        <f>god+7</f>
        <v>2034</v>
      </c>
      <c r="AZ9" s="312">
        <f>god+7</f>
        <v>2034</v>
      </c>
      <c r="BA9" s="312">
        <f>god+7</f>
        <v>2034</v>
      </c>
      <c r="BB9" s="312">
        <f>god+8</f>
        <v>2035</v>
      </c>
      <c r="BC9" s="312">
        <f>god+8</f>
        <v>2035</v>
      </c>
      <c r="BD9" s="312">
        <f>god+8</f>
        <v>2035</v>
      </c>
      <c r="BE9" s="312">
        <f>god+9</f>
        <v>2036</v>
      </c>
      <c r="BF9" s="312">
        <f>god+9</f>
        <v>2036</v>
      </c>
      <c r="BG9" s="312">
        <f>god+9</f>
        <v>2036</v>
      </c>
      <c r="BH9" s="312">
        <f>god+10</f>
        <v>2037</v>
      </c>
      <c r="BI9" s="312">
        <f>god+10</f>
        <v>2037</v>
      </c>
      <c r="BJ9" s="312">
        <f>god+10</f>
        <v>2037</v>
      </c>
      <c r="BK9" s="312">
        <f>god+11</f>
        <v>2038</v>
      </c>
      <c r="BL9" s="312">
        <f>god+11</f>
        <v>2038</v>
      </c>
      <c r="BM9" s="312">
        <f>god+11</f>
        <v>2038</v>
      </c>
      <c r="BN9" s="312">
        <f>god+12</f>
        <v>2039</v>
      </c>
      <c r="BO9" s="312">
        <f>god+12</f>
        <v>2039</v>
      </c>
      <c r="BP9" s="312">
        <f>god+12</f>
        <v>2039</v>
      </c>
      <c r="BQ9" s="312">
        <f>god+13</f>
        <v>2040</v>
      </c>
      <c r="BR9" s="312">
        <f>god+13</f>
        <v>2040</v>
      </c>
      <c r="BS9" s="312">
        <f>god+13</f>
        <v>2040</v>
      </c>
      <c r="BT9" s="312">
        <f>god+14</f>
        <v>2041</v>
      </c>
      <c r="BU9" s="312">
        <f>god+14</f>
        <v>2041</v>
      </c>
      <c r="BV9" s="312">
        <f>god+14</f>
        <v>2041</v>
      </c>
      <c r="BW9" s="312">
        <f>god+15</f>
        <v>2042</v>
      </c>
      <c r="BX9" s="312">
        <f>god+15</f>
        <v>2042</v>
      </c>
      <c r="BY9" s="312">
        <f>god+15</f>
        <v>2042</v>
      </c>
      <c r="BZ9" s="312">
        <f>god+16</f>
        <v>2043</v>
      </c>
      <c r="CA9" s="312">
        <f>god+16</f>
        <v>2043</v>
      </c>
      <c r="CB9" s="312">
        <f>god+16</f>
        <v>2043</v>
      </c>
      <c r="CC9" s="312">
        <f>god+17</f>
        <v>2044</v>
      </c>
      <c r="CD9" s="312">
        <f>god+17</f>
        <v>2044</v>
      </c>
      <c r="CE9" s="312">
        <f>god+17</f>
        <v>2044</v>
      </c>
      <c r="CF9" s="312">
        <f>god+18</f>
        <v>2045</v>
      </c>
      <c r="CG9" s="312">
        <f>god+18</f>
        <v>2045</v>
      </c>
      <c r="CH9" s="312">
        <f>god+18</f>
        <v>2045</v>
      </c>
      <c r="CI9" s="312">
        <f>god+19</f>
        <v>2046</v>
      </c>
      <c r="CJ9" s="312">
        <f>god+19</f>
        <v>2046</v>
      </c>
      <c r="CK9" s="312">
        <f>god+19</f>
        <v>2046</v>
      </c>
      <c r="CL9" s="312">
        <f>god+20</f>
        <v>2047</v>
      </c>
      <c r="CM9" s="312">
        <f>god+20</f>
        <v>2047</v>
      </c>
      <c r="CN9" s="312">
        <f>god+20</f>
        <v>2047</v>
      </c>
      <c r="CO9" s="312">
        <f>god+21</f>
        <v>2048</v>
      </c>
      <c r="CP9" s="312">
        <f>god+21</f>
        <v>2048</v>
      </c>
      <c r="CQ9" s="312">
        <f>god+21</f>
        <v>2048</v>
      </c>
      <c r="CR9" s="312">
        <f>god+22</f>
        <v>2049</v>
      </c>
      <c r="CS9" s="312">
        <f>god+22</f>
        <v>2049</v>
      </c>
      <c r="CT9" s="312">
        <f>god+22</f>
        <v>2049</v>
      </c>
      <c r="CU9" s="312">
        <f>god+23</f>
        <v>2050</v>
      </c>
      <c r="CV9" s="312">
        <f>god+23</f>
        <v>2050</v>
      </c>
      <c r="CW9" s="312">
        <f>god+23</f>
        <v>2050</v>
      </c>
      <c r="CX9" s="312">
        <f>god+24</f>
        <v>2051</v>
      </c>
      <c r="CY9" s="312">
        <f>god+24</f>
        <v>2051</v>
      </c>
      <c r="CZ9" s="312">
        <f>god+24</f>
        <v>2051</v>
      </c>
      <c r="DA9" s="312">
        <f>god+25</f>
        <v>2052</v>
      </c>
      <c r="DB9" s="312">
        <f>god+25</f>
        <v>2052</v>
      </c>
      <c r="DC9" s="312">
        <f>god+25</f>
        <v>2052</v>
      </c>
      <c r="DD9" s="312">
        <f>god+26</f>
        <v>2053</v>
      </c>
      <c r="DE9" s="312">
        <f>god+26</f>
        <v>2053</v>
      </c>
      <c r="DF9" s="312">
        <f>god+26</f>
        <v>2053</v>
      </c>
      <c r="DG9" s="312">
        <f>god+27</f>
        <v>2054</v>
      </c>
      <c r="DH9" s="312">
        <f>god+27</f>
        <v>2054</v>
      </c>
      <c r="DI9" s="312">
        <f>god+27</f>
        <v>2054</v>
      </c>
      <c r="DJ9" s="312">
        <f>god+28</f>
        <v>2055</v>
      </c>
      <c r="DK9" s="312">
        <f>god+28</f>
        <v>2055</v>
      </c>
      <c r="DL9" s="312">
        <f>god+28</f>
        <v>2055</v>
      </c>
      <c r="DM9" s="312">
        <f>god+29</f>
        <v>2056</v>
      </c>
      <c r="DN9" s="312">
        <f>god+29</f>
        <v>2056</v>
      </c>
      <c r="DO9" s="312">
        <f>god+29</f>
        <v>2056</v>
      </c>
      <c r="DP9" s="312">
        <f>god+30</f>
        <v>2057</v>
      </c>
      <c r="DQ9" s="312">
        <f>god+30</f>
        <v>2057</v>
      </c>
      <c r="DR9" s="312">
        <f>god+30</f>
        <v>2057</v>
      </c>
      <c r="DS9" s="312">
        <f>god+31</f>
        <v>2058</v>
      </c>
      <c r="DT9" s="312">
        <f>god+31</f>
        <v>2058</v>
      </c>
      <c r="DU9" s="312">
        <f>god+31</f>
        <v>2058</v>
      </c>
      <c r="DV9" s="312">
        <f>god+32</f>
        <v>2059</v>
      </c>
      <c r="DW9" s="312">
        <f>god+32</f>
        <v>2059</v>
      </c>
      <c r="DX9" s="312">
        <f>god+32</f>
        <v>2059</v>
      </c>
      <c r="DY9" s="312">
        <f>god+33</f>
        <v>2060</v>
      </c>
      <c r="DZ9" s="312">
        <f>god+33</f>
        <v>2060</v>
      </c>
      <c r="EA9" s="312">
        <f>god+33</f>
        <v>2060</v>
      </c>
      <c r="EB9" s="312">
        <f>god+34</f>
        <v>2061</v>
      </c>
      <c r="EC9" s="312">
        <f>god+34</f>
        <v>2061</v>
      </c>
      <c r="ED9" s="312">
        <f>god+34</f>
        <v>2061</v>
      </c>
      <c r="EE9" s="312">
        <f>god+35</f>
        <v>2062</v>
      </c>
      <c r="EF9" s="312">
        <f>god+35</f>
        <v>2062</v>
      </c>
      <c r="EG9" s="312">
        <f>god+35</f>
        <v>2062</v>
      </c>
      <c r="EH9" s="312">
        <f>god+36</f>
        <v>2063</v>
      </c>
      <c r="EI9" s="312">
        <f>god+36</f>
        <v>2063</v>
      </c>
      <c r="EJ9" s="312">
        <f>god+36</f>
        <v>2063</v>
      </c>
      <c r="EK9" s="312">
        <f>god+37</f>
        <v>2064</v>
      </c>
      <c r="EL9" s="312">
        <f>god+37</f>
        <v>2064</v>
      </c>
      <c r="EM9" s="312">
        <f>god+37</f>
        <v>2064</v>
      </c>
      <c r="EN9" s="312">
        <f>god+38</f>
        <v>2065</v>
      </c>
      <c r="EO9" s="312">
        <f>god+38</f>
        <v>2065</v>
      </c>
      <c r="EP9" s="312">
        <f>god+38</f>
        <v>2065</v>
      </c>
      <c r="EQ9" s="312">
        <f>god+39</f>
        <v>2066</v>
      </c>
      <c r="ER9" s="312">
        <f>god+39</f>
        <v>2066</v>
      </c>
      <c r="ES9" s="312">
        <f>god+39</f>
        <v>2066</v>
      </c>
      <c r="ET9" s="312">
        <f>god+40</f>
        <v>2067</v>
      </c>
      <c r="EU9" s="312">
        <f>god+40</f>
        <v>2067</v>
      </c>
      <c r="EV9" s="312">
        <f>god+40</f>
        <v>2067</v>
      </c>
      <c r="EW9" s="312">
        <f>god+41</f>
        <v>2068</v>
      </c>
      <c r="EX9" s="312">
        <f>god+41</f>
        <v>2068</v>
      </c>
      <c r="EY9" s="312">
        <f>god+41</f>
        <v>2068</v>
      </c>
      <c r="EZ9" s="312">
        <f>god+42</f>
        <v>2069</v>
      </c>
      <c r="FA9" s="312">
        <f>god+42</f>
        <v>2069</v>
      </c>
      <c r="FB9" s="312">
        <f>god+42</f>
        <v>2069</v>
      </c>
      <c r="FC9" s="312">
        <f>god+43</f>
        <v>2070</v>
      </c>
      <c r="FD9" s="312">
        <f>god+43</f>
        <v>2070</v>
      </c>
      <c r="FE9" s="312">
        <f>god+43</f>
        <v>2070</v>
      </c>
      <c r="FF9" s="312">
        <f>god+44</f>
        <v>2071</v>
      </c>
      <c r="FG9" s="312">
        <f>god+44</f>
        <v>2071</v>
      </c>
      <c r="FH9" s="312">
        <f>god+44</f>
        <v>2071</v>
      </c>
      <c r="FI9" s="312">
        <f>god+45</f>
        <v>2072</v>
      </c>
      <c r="FJ9" s="312">
        <f>god+45</f>
        <v>2072</v>
      </c>
      <c r="FK9" s="312">
        <f>god+45</f>
        <v>2072</v>
      </c>
      <c r="FL9" s="312">
        <f>god+46</f>
        <v>2073</v>
      </c>
      <c r="FM9" s="312">
        <f>god+46</f>
        <v>2073</v>
      </c>
      <c r="FN9" s="312">
        <f>god+46</f>
        <v>2073</v>
      </c>
      <c r="FO9" s="312">
        <f>god+47</f>
        <v>2074</v>
      </c>
      <c r="FP9" s="312">
        <f>god+47</f>
        <v>2074</v>
      </c>
      <c r="FQ9" s="312">
        <f>god+47</f>
        <v>2074</v>
      </c>
      <c r="FR9" s="312">
        <f>god+48</f>
        <v>2075</v>
      </c>
      <c r="FS9" s="312">
        <f>god+48</f>
        <v>2075</v>
      </c>
      <c r="FT9" s="312">
        <f>god+48</f>
        <v>2075</v>
      </c>
      <c r="FU9" s="312">
        <f>god+49</f>
        <v>2076</v>
      </c>
      <c r="FV9" s="312">
        <f>god+49</f>
        <v>2076</v>
      </c>
      <c r="FW9" s="312">
        <f>god+49</f>
        <v>2076</v>
      </c>
      <c r="FZ9" s="489"/>
      <c r="GA9" s="489"/>
      <c r="GB9" s="489"/>
      <c r="GC9" s="489"/>
      <c r="GD9" s="489"/>
      <c r="GF9" s="1730"/>
      <c r="GG9" s="1730"/>
      <c r="GH9" s="1730"/>
      <c r="GI9" s="1730"/>
      <c r="GJ9" s="1730"/>
      <c r="GK9" s="1730"/>
      <c r="GL9" s="1730"/>
      <c r="GM9" s="1730"/>
      <c r="GN9" s="1730"/>
    </row>
    <row s="1143" customFormat="1" customHeight="1" ht="11.25" hidden="1">
      <c r="A10" s="309" t="s">
        <v>404</v>
      </c>
      <c r="AD10" s="312" cm="1" t="str">
        <f t="array" ref="AD10:AD10">AD26</f>
        <v>Предложение организации</v>
      </c>
      <c r="AE10" s="312" cm="1" t="str">
        <f t="array" ref="AE10:AE10">AE26</f>
        <v>Принято органом регулирования</v>
      </c>
      <c r="AF10" s="312" cm="1" t="str">
        <f t="array" ref="AF10:AF10">AF26</f>
        <v>Отклонение, %</v>
      </c>
      <c r="AG10" s="312" cm="1" t="str">
        <f t="array" ref="AG10:AG10">AG26</f>
        <v>Предложение организации</v>
      </c>
      <c r="AH10" s="312" cm="1" t="str">
        <f t="array" ref="AH10:AH10">AH26</f>
        <v>Принято органом регулирования</v>
      </c>
      <c r="AI10" s="312" cm="1" t="str">
        <f t="array" ref="AI10:AI10">AI26</f>
        <v>Отклонение, %</v>
      </c>
      <c r="AJ10" s="312" cm="1" t="str">
        <f t="array" ref="AJ10:AJ10">AJ26</f>
        <v>Предложение организации</v>
      </c>
      <c r="AK10" s="312" cm="1" t="str">
        <f t="array" ref="AK10:AK10">AK26</f>
        <v>Принято органом регулирования</v>
      </c>
      <c r="AL10" s="312" cm="1" t="str">
        <f t="array" ref="AL10:AL10">AL26</f>
        <v>Отклонение, %</v>
      </c>
      <c r="AM10" s="312" cm="1" t="str">
        <f t="array" ref="AM10:AM10">AM26</f>
        <v>Предложение организации</v>
      </c>
      <c r="AN10" s="312" cm="1" t="str">
        <f t="array" ref="AN10:AN10">AN26</f>
        <v>Принято органом регулирования</v>
      </c>
      <c r="AO10" s="312" cm="1" t="str">
        <f t="array" ref="AO10:AO10">AO26</f>
        <v>Отклонение, %</v>
      </c>
      <c r="AP10" s="312" cm="1" t="str">
        <f t="array" ref="AP10:AP10">AP26</f>
        <v>Предложение организации</v>
      </c>
      <c r="AQ10" s="312" cm="1" t="str">
        <f t="array" ref="AQ10:AQ10">AQ26</f>
        <v>Принято органом регулирования</v>
      </c>
      <c r="AR10" s="312" cm="1" t="str">
        <f t="array" ref="AR10:AR10">AR26</f>
        <v>Отклонение, %</v>
      </c>
      <c r="AS10" s="312" cm="1" t="str">
        <f t="array" ref="AS10:AS10">AS26</f>
        <v>Предложение организации</v>
      </c>
      <c r="AT10" s="312" cm="1" t="str">
        <f t="array" ref="AT10:AT10">AT26</f>
        <v>Принято органом регулирования</v>
      </c>
      <c r="AU10" s="312" cm="1" t="str">
        <f t="array" ref="AU10:AU10">AU26</f>
        <v>Отклонение, %</v>
      </c>
      <c r="AV10" s="312" cm="1" t="str">
        <f t="array" ref="AV10:AV10">AV26</f>
        <v>Предложение организации</v>
      </c>
      <c r="AW10" s="312" cm="1" t="str">
        <f t="array" ref="AW10:AW10">AW26</f>
        <v>Принято органом регулирования</v>
      </c>
      <c r="AX10" s="312" cm="1" t="str">
        <f t="array" ref="AX10:AX10">AX26</f>
        <v>Отклонение, %</v>
      </c>
      <c r="AY10" s="312" cm="1" t="str">
        <f t="array" ref="AY10:AY10">AY26</f>
        <v>Предложение организации</v>
      </c>
      <c r="AZ10" s="312" cm="1" t="str">
        <f t="array" ref="AZ10:AZ10">AZ26</f>
        <v>Принято органом регулирования</v>
      </c>
      <c r="BA10" s="312" cm="1" t="str">
        <f t="array" ref="BA10:BA10">BA26</f>
        <v>Отклонение, %</v>
      </c>
      <c r="BB10" s="312" cm="1" t="str">
        <f t="array" ref="BB10:BB10">BB26</f>
        <v>Предложение организации</v>
      </c>
      <c r="BC10" s="312" cm="1" t="str">
        <f t="array" ref="BC10:BC10">BC26</f>
        <v>Принято органом регулирования</v>
      </c>
      <c r="BD10" s="312" cm="1" t="str">
        <f t="array" ref="BD10:BD10">BD26</f>
        <v>Отклонение, %</v>
      </c>
      <c r="BE10" s="312" cm="1" t="str">
        <f t="array" ref="BE10:BE10">BE26</f>
        <v>Предложение организации</v>
      </c>
      <c r="BF10" s="312" cm="1" t="str">
        <f t="array" ref="BF10:BF10">BF26</f>
        <v>Принято органом регулирования</v>
      </c>
      <c r="BG10" s="312" cm="1" t="str">
        <f t="array" ref="BG10:BG10">BG26</f>
        <v>Отклонение, %</v>
      </c>
      <c r="BH10" s="312" cm="1" t="str">
        <f t="array" ref="BH10:BH10">BH26</f>
        <v>Предложение организации</v>
      </c>
      <c r="BI10" s="312" cm="1" t="str">
        <f t="array" ref="BI10:BI10">BI26</f>
        <v>Принято органом регулирования</v>
      </c>
      <c r="BJ10" s="312" cm="1" t="str">
        <f t="array" ref="BJ10:BJ10">BJ26</f>
        <v>Отклонение, %</v>
      </c>
      <c r="BK10" s="312" cm="1" t="str">
        <f t="array" ref="BK10:BK10">BK26</f>
        <v>Предложение организации</v>
      </c>
      <c r="BL10" s="312" cm="1" t="str">
        <f t="array" ref="BL10:BL10">BL26</f>
        <v>Принято органом регулирования</v>
      </c>
      <c r="BM10" s="312" cm="1" t="str">
        <f t="array" ref="BM10:BM10">BM26</f>
        <v>Отклонение, %</v>
      </c>
      <c r="BN10" s="312" cm="1" t="str">
        <f t="array" ref="BN10:BN10">BN26</f>
        <v>Предложение организации</v>
      </c>
      <c r="BO10" s="312" cm="1" t="str">
        <f t="array" ref="BO10:BO10">BO26</f>
        <v>Принято органом регулирования</v>
      </c>
      <c r="BP10" s="312" cm="1" t="str">
        <f t="array" ref="BP10:BP10">BP26</f>
        <v>Отклонение, %</v>
      </c>
      <c r="BQ10" s="312" cm="1" t="str">
        <f t="array" ref="BQ10:BQ10">BQ26</f>
        <v>Предложение организации</v>
      </c>
      <c r="BR10" s="312" cm="1" t="str">
        <f t="array" ref="BR10:BR10">BR26</f>
        <v>Принято органом регулирования</v>
      </c>
      <c r="BS10" s="312" cm="1" t="str">
        <f t="array" ref="BS10:BS10">BS26</f>
        <v>Отклонение, %</v>
      </c>
      <c r="BT10" s="312" cm="1" t="str">
        <f t="array" ref="BT10:BT10">BT26</f>
        <v>Предложение организации</v>
      </c>
      <c r="BU10" s="312" cm="1" t="str">
        <f t="array" ref="BU10:BU10">BU26</f>
        <v>Принято органом регулирования</v>
      </c>
      <c r="BV10" s="312" cm="1" t="str">
        <f t="array" ref="BV10:BV10">BV26</f>
        <v>Отклонение, %</v>
      </c>
      <c r="BW10" s="312" cm="1" t="str">
        <f t="array" ref="BW10:BW10">BW26</f>
        <v>Предложение организации</v>
      </c>
      <c r="BX10" s="312" cm="1" t="str">
        <f t="array" ref="BX10:BX10">BX26</f>
        <v>Принято органом регулирования</v>
      </c>
      <c r="BY10" s="312" cm="1" t="str">
        <f t="array" ref="BY10:BY10">BY26</f>
        <v>Отклонение, %</v>
      </c>
      <c r="BZ10" s="312" cm="1" t="str">
        <f t="array" ref="BZ10:BZ10">BZ26</f>
        <v>Предложение организации</v>
      </c>
      <c r="CA10" s="312" cm="1" t="str">
        <f t="array" ref="CA10:CA10">CA26</f>
        <v>Принято органом регулирования</v>
      </c>
      <c r="CB10" s="312" cm="1" t="str">
        <f t="array" ref="CB10:CB10">CB26</f>
        <v>Отклонение, %</v>
      </c>
      <c r="CC10" s="312" cm="1" t="str">
        <f t="array" ref="CC10:CC10">CC26</f>
        <v>Предложение организации</v>
      </c>
      <c r="CD10" s="312" cm="1" t="str">
        <f t="array" ref="CD10:CD10">CD26</f>
        <v>Принято органом регулирования</v>
      </c>
      <c r="CE10" s="312" cm="1" t="str">
        <f t="array" ref="CE10:CE10">CE26</f>
        <v>Отклонение, %</v>
      </c>
      <c r="CF10" s="312" cm="1" t="str">
        <f t="array" ref="CF10:CF10">CF26</f>
        <v>Предложение организации</v>
      </c>
      <c r="CG10" s="312" cm="1" t="str">
        <f t="array" ref="CG10:CG10">CG26</f>
        <v>Принято органом регулирования</v>
      </c>
      <c r="CH10" s="312" cm="1" t="str">
        <f t="array" ref="CH10:CH10">CH26</f>
        <v>Отклонение, %</v>
      </c>
      <c r="CI10" s="312" cm="1" t="str">
        <f t="array" ref="CI10:CI10">CI26</f>
        <v>Предложение организации</v>
      </c>
      <c r="CJ10" s="312" cm="1" t="str">
        <f t="array" ref="CJ10:CJ10">CJ26</f>
        <v>Принято органом регулирования</v>
      </c>
      <c r="CK10" s="312" cm="1" t="str">
        <f t="array" ref="CK10:CK10">CK26</f>
        <v>Отклонение, %</v>
      </c>
      <c r="CL10" s="312" cm="1" t="str">
        <f t="array" ref="CL10:CL10">CL26</f>
        <v>Предложение организации</v>
      </c>
      <c r="CM10" s="312" cm="1" t="str">
        <f t="array" ref="CM10:CM10">CM26</f>
        <v>Принято органом регулирования</v>
      </c>
      <c r="CN10" s="312" cm="1" t="str">
        <f t="array" ref="CN10:CN10">CN26</f>
        <v>Отклонение, %</v>
      </c>
      <c r="CO10" s="312" cm="1" t="str">
        <f t="array" ref="CO10:CO10">CO26</f>
        <v>Предложение организации</v>
      </c>
      <c r="CP10" s="312" cm="1" t="str">
        <f t="array" ref="CP10:CP10">CP26</f>
        <v>Принято органом регулирования</v>
      </c>
      <c r="CQ10" s="312" cm="1" t="str">
        <f t="array" ref="CQ10:CQ10">CQ26</f>
        <v>Отклонение, %</v>
      </c>
      <c r="CR10" s="312" cm="1" t="str">
        <f t="array" ref="CR10:CR10">CR26</f>
        <v>Предложение организации</v>
      </c>
      <c r="CS10" s="312" cm="1" t="str">
        <f t="array" ref="CS10:CS10">CS26</f>
        <v>Принято органом регулирования</v>
      </c>
      <c r="CT10" s="312" cm="1" t="str">
        <f t="array" ref="CT10:CT10">CT26</f>
        <v>Отклонение, %</v>
      </c>
      <c r="CU10" s="312" cm="1" t="str">
        <f t="array" ref="CU10:CU10">CU26</f>
        <v>Предложение организации</v>
      </c>
      <c r="CV10" s="312" cm="1" t="str">
        <f t="array" ref="CV10:CV10">CV26</f>
        <v>Принято органом регулирования</v>
      </c>
      <c r="CW10" s="312" cm="1" t="str">
        <f t="array" ref="CW10:CW10">CW26</f>
        <v>Отклонение, %</v>
      </c>
      <c r="CX10" s="312" cm="1" t="str">
        <f t="array" ref="CX10:CX10">CX26</f>
        <v>Предложение организации</v>
      </c>
      <c r="CY10" s="312" cm="1" t="str">
        <f t="array" ref="CY10:CY10">CY26</f>
        <v>Принято органом регулирования</v>
      </c>
      <c r="CZ10" s="312" cm="1" t="str">
        <f t="array" ref="CZ10:CZ10">CZ26</f>
        <v>Отклонение, %</v>
      </c>
      <c r="DA10" s="312" cm="1" t="str">
        <f t="array" ref="DA10:DA10">DA26</f>
        <v>Предложение организации</v>
      </c>
      <c r="DB10" s="312" cm="1" t="str">
        <f t="array" ref="DB10:DB10">DB26</f>
        <v>Принято органом регулирования</v>
      </c>
      <c r="DC10" s="312" cm="1" t="str">
        <f t="array" ref="DC10:DC10">DC26</f>
        <v>Отклонение, %</v>
      </c>
      <c r="DD10" s="312" cm="1" t="str">
        <f t="array" ref="DD10:DD10">DD26</f>
        <v>Предложение организации</v>
      </c>
      <c r="DE10" s="312" cm="1" t="str">
        <f t="array" ref="DE10:DE10">DE26</f>
        <v>Принято органом регулирования</v>
      </c>
      <c r="DF10" s="312" cm="1" t="str">
        <f t="array" ref="DF10:DF10">DF26</f>
        <v>Отклонение, %</v>
      </c>
      <c r="DG10" s="312" cm="1" t="str">
        <f t="array" ref="DG10:DG10">DG26</f>
        <v>Предложение организации</v>
      </c>
      <c r="DH10" s="312" cm="1" t="str">
        <f t="array" ref="DH10:DH10">DH26</f>
        <v>Принято органом регулирования</v>
      </c>
      <c r="DI10" s="312" cm="1" t="str">
        <f t="array" ref="DI10:DI10">DI26</f>
        <v>Отклонение, %</v>
      </c>
      <c r="DJ10" s="312" cm="1" t="str">
        <f t="array" ref="DJ10:DJ10">DJ26</f>
        <v>Предложение организации</v>
      </c>
      <c r="DK10" s="312" cm="1" t="str">
        <f t="array" ref="DK10:DK10">DK26</f>
        <v>Принято органом регулирования</v>
      </c>
      <c r="DL10" s="312" cm="1" t="str">
        <f t="array" ref="DL10:DL10">DL26</f>
        <v>Отклонение, %</v>
      </c>
      <c r="DM10" s="312" cm="1" t="str">
        <f t="array" ref="DM10:DM10">DM26</f>
        <v>Предложение организации</v>
      </c>
      <c r="DN10" s="312" cm="1" t="str">
        <f t="array" ref="DN10:DN10">DN26</f>
        <v>Принято органом регулирования</v>
      </c>
      <c r="DO10" s="312" cm="1" t="str">
        <f t="array" ref="DO10:DO10">DO26</f>
        <v>Отклонение, %</v>
      </c>
      <c r="DP10" s="312" cm="1" t="str">
        <f t="array" ref="DP10:DP10">DP26</f>
        <v>Предложение организации</v>
      </c>
      <c r="DQ10" s="312" cm="1" t="str">
        <f t="array" ref="DQ10:DQ10">DQ26</f>
        <v>Принято органом регулирования</v>
      </c>
      <c r="DR10" s="312" cm="1" t="str">
        <f t="array" ref="DR10:DR10">DR26</f>
        <v>Отклонение, %</v>
      </c>
      <c r="DS10" s="312" cm="1" t="str">
        <f t="array" ref="DS10:DS10">DS26</f>
        <v>Предложение организации</v>
      </c>
      <c r="DT10" s="312" cm="1" t="str">
        <f t="array" ref="DT10:DT10">DT26</f>
        <v>Принято органом регулирования</v>
      </c>
      <c r="DU10" s="312" cm="1" t="str">
        <f t="array" ref="DU10:DU10">DU26</f>
        <v>Отклонение, %</v>
      </c>
      <c r="DV10" s="312" cm="1" t="str">
        <f t="array" ref="DV10:DV10">DV26</f>
        <v>Предложение организации</v>
      </c>
      <c r="DW10" s="312" cm="1" t="str">
        <f t="array" ref="DW10:DW10">DW26</f>
        <v>Принято органом регулирования</v>
      </c>
      <c r="DX10" s="312" cm="1" t="str">
        <f t="array" ref="DX10:DX10">DX26</f>
        <v>Отклонение, %</v>
      </c>
      <c r="DY10" s="312" cm="1" t="str">
        <f t="array" ref="DY10:DY10">DY26</f>
        <v>Предложение организации</v>
      </c>
      <c r="DZ10" s="312" cm="1" t="str">
        <f t="array" ref="DZ10:DZ10">DZ26</f>
        <v>Принято органом регулирования</v>
      </c>
      <c r="EA10" s="312" cm="1" t="str">
        <f t="array" ref="EA10:EA10">EA26</f>
        <v>Отклонение, %</v>
      </c>
      <c r="EB10" s="312" cm="1" t="str">
        <f t="array" ref="EB10:EB10">EB26</f>
        <v>Предложение организации</v>
      </c>
      <c r="EC10" s="312" cm="1" t="str">
        <f t="array" ref="EC10:EC10">EC26</f>
        <v>Принято органом регулирования</v>
      </c>
      <c r="ED10" s="312" cm="1" t="str">
        <f t="array" ref="ED10:ED10">ED26</f>
        <v>Отклонение, %</v>
      </c>
      <c r="EE10" s="312" cm="1" t="str">
        <f t="array" ref="EE10:EE10">EE26</f>
        <v>Предложение организации</v>
      </c>
      <c r="EF10" s="312" cm="1" t="str">
        <f t="array" ref="EF10:EF10">EF26</f>
        <v>Принято органом регулирования</v>
      </c>
      <c r="EG10" s="312" cm="1" t="str">
        <f t="array" ref="EG10:EG10">EG26</f>
        <v>Отклонение, %</v>
      </c>
      <c r="EH10" s="312" cm="1" t="str">
        <f t="array" ref="EH10:EH10">EH26</f>
        <v>Предложение организации</v>
      </c>
      <c r="EI10" s="312" cm="1" t="str">
        <f t="array" ref="EI10:EI10">EI26</f>
        <v>Принято органом регулирования</v>
      </c>
      <c r="EJ10" s="312" cm="1" t="str">
        <f t="array" ref="EJ10:EJ10">EJ26</f>
        <v>Отклонение, %</v>
      </c>
      <c r="EK10" s="312" cm="1" t="str">
        <f t="array" ref="EK10:EK10">EK26</f>
        <v>Предложение организации</v>
      </c>
      <c r="EL10" s="312" cm="1" t="str">
        <f t="array" ref="EL10:EL10">EL26</f>
        <v>Принято органом регулирования</v>
      </c>
      <c r="EM10" s="312" cm="1" t="str">
        <f t="array" ref="EM10:EM10">EM26</f>
        <v>Отклонение, %</v>
      </c>
      <c r="EN10" s="312" cm="1" t="str">
        <f t="array" ref="EN10:EN10">EN26</f>
        <v>Предложение организации</v>
      </c>
      <c r="EO10" s="312" cm="1" t="str">
        <f t="array" ref="EO10:EO10">EO26</f>
        <v>Принято органом регулирования</v>
      </c>
      <c r="EP10" s="312" cm="1" t="str">
        <f t="array" ref="EP10:EP10">EP26</f>
        <v>Отклонение, %</v>
      </c>
      <c r="EQ10" s="312" cm="1" t="str">
        <f t="array" ref="EQ10:EQ10">EQ26</f>
        <v>Предложение организации</v>
      </c>
      <c r="ER10" s="312" cm="1" t="str">
        <f t="array" ref="ER10:ER10">ER26</f>
        <v>Принято органом регулирования</v>
      </c>
      <c r="ES10" s="312" cm="1" t="str">
        <f t="array" ref="ES10:ES10">ES26</f>
        <v>Отклонение, %</v>
      </c>
      <c r="ET10" s="312" cm="1" t="str">
        <f t="array" ref="ET10:ET10">ET26</f>
        <v>Предложение организации</v>
      </c>
      <c r="EU10" s="312" cm="1" t="str">
        <f t="array" ref="EU10:EU10">EU26</f>
        <v>Принято органом регулирования</v>
      </c>
      <c r="EV10" s="312" cm="1" t="str">
        <f t="array" ref="EV10:EV10">EV26</f>
        <v>Отклонение, %</v>
      </c>
      <c r="EW10" s="312" cm="1" t="str">
        <f t="array" ref="EW10:EW10">EW26</f>
        <v>Предложение организации</v>
      </c>
      <c r="EX10" s="312" cm="1" t="str">
        <f t="array" ref="EX10:EX10">EX26</f>
        <v>Принято органом регулирования</v>
      </c>
      <c r="EY10" s="312" cm="1" t="str">
        <f t="array" ref="EY10:EY10">EY26</f>
        <v>Отклонение, %</v>
      </c>
      <c r="EZ10" s="312" cm="1" t="str">
        <f t="array" ref="EZ10:EZ10">EZ26</f>
        <v>Предложение организации</v>
      </c>
      <c r="FA10" s="312" cm="1" t="str">
        <f t="array" ref="FA10:FA10">FA26</f>
        <v>Принято органом регулирования</v>
      </c>
      <c r="FB10" s="312" cm="1" t="str">
        <f t="array" ref="FB10:FB10">FB26</f>
        <v>Отклонение, %</v>
      </c>
      <c r="FC10" s="312" cm="1" t="str">
        <f t="array" ref="FC10:FC10">FC26</f>
        <v>Предложение организации</v>
      </c>
      <c r="FD10" s="312" cm="1" t="str">
        <f t="array" ref="FD10:FD10">FD26</f>
        <v>Принято органом регулирования</v>
      </c>
      <c r="FE10" s="312" cm="1" t="str">
        <f t="array" ref="FE10:FE10">FE26</f>
        <v>Отклонение, %</v>
      </c>
      <c r="FF10" s="312" cm="1" t="str">
        <f t="array" ref="FF10:FF10">FF26</f>
        <v>Предложение организации</v>
      </c>
      <c r="FG10" s="312" cm="1" t="str">
        <f t="array" ref="FG10:FG10">FG26</f>
        <v>Принято органом регулирования</v>
      </c>
      <c r="FH10" s="312" cm="1" t="str">
        <f t="array" ref="FH10:FH10">FH26</f>
        <v>Отклонение, %</v>
      </c>
      <c r="FI10" s="312" cm="1" t="str">
        <f t="array" ref="FI10:FI10">FI26</f>
        <v>Предложение организации</v>
      </c>
      <c r="FJ10" s="312" cm="1" t="str">
        <f t="array" ref="FJ10:FJ10">FJ26</f>
        <v>Принято органом регулирования</v>
      </c>
      <c r="FK10" s="312" cm="1" t="str">
        <f t="array" ref="FK10:FK10">FK26</f>
        <v>Отклонение, %</v>
      </c>
      <c r="FL10" s="312" cm="1" t="str">
        <f t="array" ref="FL10:FL10">FL26</f>
        <v>Предложение организации</v>
      </c>
      <c r="FM10" s="312" cm="1" t="str">
        <f t="array" ref="FM10:FM10">FM26</f>
        <v>Принято органом регулирования</v>
      </c>
      <c r="FN10" s="312" cm="1" t="str">
        <f t="array" ref="FN10:FN10">FN26</f>
        <v>Отклонение, %</v>
      </c>
      <c r="FO10" s="312" cm="1" t="str">
        <f t="array" ref="FO10:FO10">FO26</f>
        <v>Предложение организации</v>
      </c>
      <c r="FP10" s="312" cm="1" t="str">
        <f t="array" ref="FP10:FP10">FP26</f>
        <v>Принято органом регулирования</v>
      </c>
      <c r="FQ10" s="312" cm="1" t="str">
        <f t="array" ref="FQ10:FQ10">FQ26</f>
        <v>Отклонение, %</v>
      </c>
      <c r="FR10" s="312" cm="1" t="str">
        <f t="array" ref="FR10:FR10">FR26</f>
        <v>Предложение организации</v>
      </c>
      <c r="FS10" s="312" cm="1" t="str">
        <f t="array" ref="FS10:FS10">FS26</f>
        <v>Принято органом регулирования</v>
      </c>
      <c r="FT10" s="312" cm="1" t="str">
        <f t="array" ref="FT10:FT10">FT26</f>
        <v>Отклонение, %</v>
      </c>
      <c r="FU10" s="312" cm="1" t="str">
        <f t="array" ref="FU10:FU10">FU26</f>
        <v>Предложение организации</v>
      </c>
      <c r="FV10" s="312" cm="1" t="str">
        <f t="array" ref="FV10:FV10">FV26</f>
        <v>Принято органом регулирования</v>
      </c>
      <c r="FW10" s="312" cm="1" t="str">
        <f t="array" ref="FW10:FW10">FW26</f>
        <v>Отклонение, %</v>
      </c>
      <c r="FZ10" s="489"/>
      <c r="GA10" s="489"/>
      <c r="GB10" s="489"/>
      <c r="GC10" s="489"/>
      <c r="GD10" s="489"/>
      <c r="GF10" s="1730"/>
      <c r="GG10" s="1730"/>
      <c r="GH10" s="1730"/>
      <c r="GI10" s="1730"/>
      <c r="GJ10" s="1730"/>
      <c r="GK10" s="1730"/>
      <c r="GL10" s="1730"/>
      <c r="GM10" s="1730"/>
      <c r="GN10" s="1730"/>
    </row>
    <row s="895" customFormat="1" customHeight="1" ht="11.25" hidden="1">
      <c r="A11" s="309" t="s">
        <v>350</v>
      </c>
      <c r="B11" s="312"/>
      <c r="C11" s="312"/>
      <c r="D11" s="312"/>
      <c r="E11" s="312"/>
      <c r="F11" s="312"/>
      <c r="G11" s="312"/>
      <c r="H11" s="312"/>
      <c r="I11" s="312"/>
      <c r="J11" s="312"/>
      <c r="K11" s="312"/>
      <c r="L11" s="312"/>
      <c r="M11" s="312"/>
      <c r="N11" s="312"/>
      <c r="O11" s="312"/>
      <c r="P11" s="312"/>
      <c r="Q11" s="312"/>
      <c r="R11" s="312"/>
      <c r="S11" s="312"/>
      <c r="T11" s="312"/>
      <c r="U11" s="312"/>
      <c r="V11" s="312"/>
      <c r="W11" s="312"/>
      <c r="X11" s="312"/>
      <c r="Y11" s="312"/>
      <c r="Z11" s="312"/>
      <c r="AA11" s="312"/>
      <c r="AB11" s="312" t="s">
        <v>338</v>
      </c>
      <c r="AC11" s="312"/>
      <c r="AD11" s="312"/>
      <c r="AE11" s="312"/>
      <c r="AF11" s="312"/>
      <c r="AG11" s="312"/>
      <c r="AH11" s="312"/>
      <c r="AI11" s="312"/>
      <c r="AJ11" s="312"/>
      <c r="AK11" s="312"/>
      <c r="AL11" s="312"/>
      <c r="AM11" s="312"/>
      <c r="AN11" s="312"/>
      <c r="AO11" s="312"/>
      <c r="AP11" s="312"/>
      <c r="AQ11" s="312"/>
      <c r="AR11" s="312"/>
      <c r="AS11" s="312"/>
      <c r="AT11" s="312"/>
      <c r="AU11" s="312"/>
      <c r="AV11" s="312"/>
      <c r="AW11" s="312"/>
      <c r="AX11" s="312"/>
      <c r="AY11" s="312"/>
      <c r="AZ11" s="312"/>
      <c r="BA11" s="312"/>
      <c r="BB11" s="312"/>
      <c r="BC11" s="312"/>
      <c r="BD11" s="312"/>
      <c r="BE11" s="312"/>
      <c r="BF11" s="312"/>
      <c r="BG11" s="312"/>
      <c r="BH11" s="312"/>
      <c r="BI11" s="312"/>
      <c r="BJ11" s="312"/>
      <c r="BK11" s="312"/>
      <c r="BL11" s="312"/>
      <c r="BM11" s="312"/>
      <c r="BN11" s="312"/>
      <c r="BO11" s="312"/>
      <c r="BP11" s="312"/>
      <c r="BQ11" s="312"/>
      <c r="BR11" s="312"/>
      <c r="BS11" s="312"/>
      <c r="BT11" s="312"/>
      <c r="BU11" s="312"/>
      <c r="BV11" s="312"/>
      <c r="BW11" s="312"/>
      <c r="BX11" s="312"/>
      <c r="BY11" s="312"/>
      <c r="BZ11" s="312"/>
      <c r="CA11" s="312"/>
      <c r="CB11" s="312"/>
      <c r="CC11" s="312"/>
      <c r="CD11" s="312"/>
      <c r="CE11" s="312"/>
      <c r="CF11" s="312"/>
      <c r="CG11" s="312"/>
      <c r="CH11" s="312"/>
      <c r="CI11" s="312"/>
      <c r="CJ11" s="312"/>
      <c r="CK11" s="312"/>
      <c r="CL11" s="312"/>
      <c r="CM11" s="312"/>
      <c r="CN11" s="312"/>
      <c r="CO11" s="312"/>
      <c r="CP11" s="312"/>
      <c r="CQ11" s="312"/>
      <c r="CR11" s="312"/>
      <c r="CS11" s="312"/>
      <c r="CT11" s="312"/>
      <c r="CU11" s="312"/>
      <c r="CV11" s="312"/>
      <c r="CW11" s="312"/>
      <c r="CX11" s="312"/>
      <c r="CY11" s="312"/>
      <c r="CZ11" s="312"/>
      <c r="DA11" s="312"/>
      <c r="DB11" s="312"/>
      <c r="DC11" s="312"/>
      <c r="DD11" s="312"/>
      <c r="DE11" s="312"/>
      <c r="DF11" s="312"/>
      <c r="DG11" s="312"/>
      <c r="DH11" s="312"/>
      <c r="DI11" s="312"/>
      <c r="DJ11" s="312"/>
      <c r="DK11" s="312"/>
      <c r="DL11" s="312"/>
      <c r="DM11" s="312"/>
      <c r="DN11" s="312"/>
      <c r="DO11" s="312"/>
      <c r="DP11" s="312"/>
      <c r="DQ11" s="312"/>
      <c r="DR11" s="312"/>
      <c r="DS11" s="312"/>
      <c r="DT11" s="312"/>
      <c r="DU11" s="312"/>
      <c r="DV11" s="312"/>
      <c r="DW11" s="312"/>
      <c r="DX11" s="312"/>
      <c r="DY11" s="312"/>
      <c r="DZ11" s="312"/>
      <c r="EA11" s="312"/>
      <c r="EB11" s="312"/>
      <c r="EC11" s="312"/>
      <c r="ED11" s="312"/>
      <c r="EE11" s="312"/>
      <c r="EF11" s="312"/>
      <c r="EG11" s="312"/>
      <c r="EH11" s="312"/>
      <c r="EI11" s="312"/>
      <c r="EJ11" s="312"/>
      <c r="EK11" s="312"/>
      <c r="EL11" s="312"/>
      <c r="EM11" s="312"/>
      <c r="EN11" s="312"/>
      <c r="EO11" s="312"/>
      <c r="EP11" s="312"/>
      <c r="EQ11" s="312"/>
      <c r="ER11" s="312"/>
      <c r="ES11" s="312"/>
      <c r="ET11" s="312"/>
      <c r="EU11" s="312"/>
      <c r="EV11" s="312"/>
      <c r="EW11" s="312"/>
      <c r="EX11" s="312"/>
      <c r="EY11" s="312"/>
      <c r="EZ11" s="312"/>
      <c r="FA11" s="312"/>
      <c r="FB11" s="312"/>
      <c r="FC11" s="312"/>
      <c r="FD11" s="312"/>
      <c r="FE11" s="312"/>
      <c r="FF11" s="312"/>
      <c r="FG11" s="312"/>
      <c r="FH11" s="312"/>
      <c r="FI11" s="312"/>
      <c r="FJ11" s="312"/>
      <c r="FK11" s="312"/>
      <c r="FL11" s="312"/>
      <c r="FM11" s="312"/>
      <c r="FN11" s="312"/>
      <c r="FO11" s="312"/>
      <c r="FP11" s="312"/>
      <c r="FQ11" s="312"/>
      <c r="FR11" s="312"/>
      <c r="FS11" s="312"/>
      <c r="FT11" s="312"/>
      <c r="FU11" s="312"/>
      <c r="FV11" s="312"/>
      <c r="FW11" s="312"/>
      <c r="FX11" s="312"/>
      <c r="FY11" s="312"/>
      <c r="FZ11" s="489"/>
      <c r="GA11" s="489"/>
      <c r="GB11" s="489"/>
      <c r="GC11" s="489"/>
      <c r="GD11" s="489"/>
      <c r="GF11" s="1732"/>
      <c r="GG11" s="1732"/>
      <c r="GH11" s="1732"/>
      <c r="GI11" s="1732"/>
      <c r="GJ11" s="1732"/>
      <c r="GK11" s="1732"/>
      <c r="GL11" s="1732"/>
      <c r="GM11" s="1732"/>
      <c r="GN11" s="1732"/>
    </row>
    <row customHeight="1" ht="11.25" hidden="1">
      <c r="A12" s="0" t="s">
        <v>109</v>
      </c>
      <c r="AD12" s="0" t="str">
        <f>"389.0."&amp;AD$9-2010&amp;"."</f>
        <v>389.0.17.</v>
      </c>
      <c r="AE12" s="0" t="str">
        <f>"389.0."&amp;AE$9-2010&amp;"."</f>
        <v>389.0.17.</v>
      </c>
      <c r="AF12" s="0" t="str">
        <f>"389.0."&amp;AF$9-2010&amp;"."</f>
        <v>389.0.17.</v>
      </c>
      <c r="AG12" s="0" t="str">
        <f>"389.0."&amp;AG$9-2010&amp;"."</f>
        <v>389.0.18.</v>
      </c>
      <c r="AH12" s="0" t="str">
        <f>"389.0."&amp;AH$9-2010&amp;"."</f>
        <v>389.0.18.</v>
      </c>
      <c r="AI12" s="0" t="str">
        <f>"389.0."&amp;AI$9-2010&amp;"."</f>
        <v>389.0.18.</v>
      </c>
      <c r="AJ12" s="0" t="str">
        <f>"389.0."&amp;AJ$9-2010&amp;"."</f>
        <v>389.0.19.</v>
      </c>
      <c r="AK12" s="0" t="str">
        <f>"389.0."&amp;AK$9-2010&amp;"."</f>
        <v>389.0.19.</v>
      </c>
      <c r="AL12" s="0" t="str">
        <f>"389.0."&amp;AL$9-2010&amp;"."</f>
        <v>389.0.19.</v>
      </c>
      <c r="AM12" s="0" t="str">
        <f>"389.0."&amp;AM$9-2010&amp;"."</f>
        <v>389.0.20.</v>
      </c>
      <c r="AN12" s="0" t="str">
        <f>"389.0."&amp;AN$9-2010&amp;"."</f>
        <v>389.0.20.</v>
      </c>
      <c r="AO12" s="0" t="str">
        <f>"389.0."&amp;AO$9-2010&amp;"."</f>
        <v>389.0.20.</v>
      </c>
      <c r="AP12" s="0" t="str">
        <f>"389.0."&amp;AP$9-2010&amp;"."</f>
        <v>389.0.21.</v>
      </c>
      <c r="AQ12" s="0" t="str">
        <f>"389.0."&amp;AQ$9-2010&amp;"."</f>
        <v>389.0.21.</v>
      </c>
      <c r="AR12" s="0" t="str">
        <f>"389.0."&amp;AR$9-2010&amp;"."</f>
        <v>389.0.21.</v>
      </c>
      <c r="AS12" s="0" t="str">
        <f>"389.0."&amp;AS$9-2010&amp;"."</f>
        <v>389.0.22.</v>
      </c>
      <c r="AT12" s="0" t="str">
        <f>"389.0."&amp;AT$9-2010&amp;"."</f>
        <v>389.0.22.</v>
      </c>
      <c r="AU12" s="0" t="str">
        <f>"389.0."&amp;AU$9-2010&amp;"."</f>
        <v>389.0.22.</v>
      </c>
      <c r="AV12" s="0" t="str">
        <f>"389.0."&amp;AV$9-2010&amp;"."</f>
        <v>389.0.23.</v>
      </c>
      <c r="AW12" s="0" t="str">
        <f>"389.0."&amp;AW$9-2010&amp;"."</f>
        <v>389.0.23.</v>
      </c>
      <c r="AX12" s="0" t="str">
        <f>"389.0."&amp;AX$9-2010&amp;"."</f>
        <v>389.0.23.</v>
      </c>
      <c r="AY12" s="0" t="str">
        <f>"389.0."&amp;AY$9-2010&amp;"."</f>
        <v>389.0.24.</v>
      </c>
      <c r="AZ12" s="0" t="str">
        <f>"389.0."&amp;AZ$9-2010&amp;"."</f>
        <v>389.0.24.</v>
      </c>
      <c r="BA12" s="0" t="str">
        <f>"389.0."&amp;BA$9-2010&amp;"."</f>
        <v>389.0.24.</v>
      </c>
      <c r="BB12" s="0" t="str">
        <f>"389.0."&amp;BB$9-2010&amp;"."</f>
        <v>389.0.25.</v>
      </c>
      <c r="BC12" s="0" t="str">
        <f>"389.0."&amp;BC$9-2010&amp;"."</f>
        <v>389.0.25.</v>
      </c>
      <c r="BD12" s="0" t="str">
        <f>"389.0."&amp;BD$9-2010&amp;"."</f>
        <v>389.0.25.</v>
      </c>
      <c r="BE12" s="0" t="str">
        <f>"389.0."&amp;BE$9-2010&amp;"."</f>
        <v>389.0.26.</v>
      </c>
      <c r="BF12" s="0" t="str">
        <f>"389.0."&amp;BF$9-2010&amp;"."</f>
        <v>389.0.26.</v>
      </c>
      <c r="BG12" s="0" t="str">
        <f>"389.0."&amp;BG$9-2010&amp;"."</f>
        <v>389.0.26.</v>
      </c>
      <c r="BH12" s="0" t="str">
        <f>"389.0."&amp;BH$9-2010&amp;"."</f>
        <v>389.0.27.</v>
      </c>
      <c r="BI12" s="0" t="str">
        <f>"389.0."&amp;BI$9-2010&amp;"."</f>
        <v>389.0.27.</v>
      </c>
      <c r="BJ12" s="0" t="str">
        <f>"389.0."&amp;BJ$9-2010&amp;"."</f>
        <v>389.0.27.</v>
      </c>
      <c r="BK12" s="0" t="str">
        <f>"389.0."&amp;BK$9-2010&amp;"."</f>
        <v>389.0.28.</v>
      </c>
      <c r="BL12" s="0" t="str">
        <f>"389.0."&amp;BL$9-2010&amp;"."</f>
        <v>389.0.28.</v>
      </c>
      <c r="BM12" s="0" t="str">
        <f>"389.0."&amp;BM$9-2010&amp;"."</f>
        <v>389.0.28.</v>
      </c>
      <c r="BN12" s="0" t="str">
        <f>"389.0."&amp;BN$9-2010&amp;"."</f>
        <v>389.0.29.</v>
      </c>
      <c r="BO12" s="0" t="str">
        <f>"389.0."&amp;BO$9-2010&amp;"."</f>
        <v>389.0.29.</v>
      </c>
      <c r="BP12" s="0" t="str">
        <f>"389.0."&amp;BP$9-2010&amp;"."</f>
        <v>389.0.29.</v>
      </c>
      <c r="BQ12" s="0" t="str">
        <f>"389.0."&amp;BQ$9-2010&amp;"."</f>
        <v>389.0.30.</v>
      </c>
      <c r="BR12" s="0" t="str">
        <f>"389.0."&amp;BR$9-2010&amp;"."</f>
        <v>389.0.30.</v>
      </c>
      <c r="BS12" s="0" t="str">
        <f>"389.0."&amp;BS$9-2010&amp;"."</f>
        <v>389.0.30.</v>
      </c>
      <c r="BT12" s="0" t="str">
        <f>"389.0."&amp;BT$9-2010&amp;"."</f>
        <v>389.0.31.</v>
      </c>
      <c r="BU12" s="0" t="str">
        <f>"389.0."&amp;BU$9-2010&amp;"."</f>
        <v>389.0.31.</v>
      </c>
      <c r="BV12" s="0" t="str">
        <f>"389.0."&amp;BV$9-2010&amp;"."</f>
        <v>389.0.31.</v>
      </c>
      <c r="BW12" s="0" t="str">
        <f>"389.0."&amp;BW$9-2010&amp;"."</f>
        <v>389.0.32.</v>
      </c>
      <c r="BX12" s="0" t="str">
        <f>"389.0."&amp;BX$9-2010&amp;"."</f>
        <v>389.0.32.</v>
      </c>
      <c r="BY12" s="0" t="str">
        <f>"389.0."&amp;BY$9-2010&amp;"."</f>
        <v>389.0.32.</v>
      </c>
      <c r="BZ12" s="0" t="str">
        <f>"389.0."&amp;BZ$9-2010&amp;"."</f>
        <v>389.0.33.</v>
      </c>
      <c r="CA12" s="0" t="str">
        <f>"389.0."&amp;CA$9-2010&amp;"."</f>
        <v>389.0.33.</v>
      </c>
      <c r="CB12" s="0" t="str">
        <f>"389.0."&amp;CB$9-2010&amp;"."</f>
        <v>389.0.33.</v>
      </c>
      <c r="CC12" s="0" t="str">
        <f>"389.0."&amp;CC$9-2010&amp;"."</f>
        <v>389.0.34.</v>
      </c>
      <c r="CD12" s="0" t="str">
        <f>"389.0."&amp;CD$9-2010&amp;"."</f>
        <v>389.0.34.</v>
      </c>
      <c r="CE12" s="0" t="str">
        <f>"389.0."&amp;CE$9-2010&amp;"."</f>
        <v>389.0.34.</v>
      </c>
      <c r="CF12" s="0" t="str">
        <f>"389.0."&amp;CF$9-2010&amp;"."</f>
        <v>389.0.35.</v>
      </c>
      <c r="CG12" s="0" t="str">
        <f>"389.0."&amp;CG$9-2010&amp;"."</f>
        <v>389.0.35.</v>
      </c>
      <c r="CH12" s="0" t="str">
        <f>"389.0."&amp;CH$9-2010&amp;"."</f>
        <v>389.0.35.</v>
      </c>
      <c r="CI12" s="0" t="str">
        <f>"389.0."&amp;CI$9-2010&amp;"."</f>
        <v>389.0.36.</v>
      </c>
      <c r="CJ12" s="0" t="str">
        <f>"389.0."&amp;CJ$9-2010&amp;"."</f>
        <v>389.0.36.</v>
      </c>
      <c r="CK12" s="0" t="str">
        <f>"389.0."&amp;CK$9-2010&amp;"."</f>
        <v>389.0.36.</v>
      </c>
      <c r="CL12" s="0" t="str">
        <f>"389.0."&amp;CL$9-2010&amp;"."</f>
        <v>389.0.37.</v>
      </c>
      <c r="CM12" s="0" t="str">
        <f>"389.0."&amp;CM$9-2010&amp;"."</f>
        <v>389.0.37.</v>
      </c>
      <c r="CN12" s="0" t="str">
        <f>"389.0."&amp;CN$9-2010&amp;"."</f>
        <v>389.0.37.</v>
      </c>
      <c r="CO12" s="0" t="str">
        <f>"389.0."&amp;CO$9-2010&amp;"."</f>
        <v>389.0.38.</v>
      </c>
      <c r="CP12" s="0" t="str">
        <f>"389.0."&amp;CP$9-2010&amp;"."</f>
        <v>389.0.38.</v>
      </c>
      <c r="CQ12" s="0" t="str">
        <f>"389.0."&amp;CQ$9-2010&amp;"."</f>
        <v>389.0.38.</v>
      </c>
      <c r="CR12" s="0" t="str">
        <f>"389.0."&amp;CR$9-2010&amp;"."</f>
        <v>389.0.39.</v>
      </c>
      <c r="CS12" s="0" t="str">
        <f>"389.0."&amp;CS$9-2010&amp;"."</f>
        <v>389.0.39.</v>
      </c>
      <c r="CT12" s="0" t="str">
        <f>"389.0."&amp;CT$9-2010&amp;"."</f>
        <v>389.0.39.</v>
      </c>
      <c r="CU12" s="0" t="str">
        <f>"389.0."&amp;CU$9-2010&amp;"."</f>
        <v>389.0.40.</v>
      </c>
      <c r="CV12" s="0" t="str">
        <f>"389.0."&amp;CV$9-2010&amp;"."</f>
        <v>389.0.40.</v>
      </c>
      <c r="CW12" s="0" t="str">
        <f>"389.0."&amp;CW$9-2010&amp;"."</f>
        <v>389.0.40.</v>
      </c>
      <c r="CX12" s="0" t="str">
        <f>"389.0."&amp;CX$9-2010&amp;"."</f>
        <v>389.0.41.</v>
      </c>
      <c r="CY12" s="0" t="str">
        <f>"389.0."&amp;CY$9-2010&amp;"."</f>
        <v>389.0.41.</v>
      </c>
      <c r="CZ12" s="0" t="str">
        <f>"389.0."&amp;CZ$9-2010&amp;"."</f>
        <v>389.0.41.</v>
      </c>
      <c r="DA12" s="0" t="str">
        <f>"389.0."&amp;DA$9-2010&amp;"."</f>
        <v>389.0.42.</v>
      </c>
      <c r="DB12" s="0" t="str">
        <f>"389.0."&amp;DB$9-2010&amp;"."</f>
        <v>389.0.42.</v>
      </c>
      <c r="DC12" s="0" t="str">
        <f>"389.0."&amp;DC$9-2010&amp;"."</f>
        <v>389.0.42.</v>
      </c>
      <c r="DD12" s="0" t="str">
        <f>"389.0."&amp;DD$9-2010&amp;"."</f>
        <v>389.0.43.</v>
      </c>
      <c r="DE12" s="0" t="str">
        <f>"389.0."&amp;DE$9-2010&amp;"."</f>
        <v>389.0.43.</v>
      </c>
      <c r="DF12" s="0" t="str">
        <f>"389.0."&amp;DF$9-2010&amp;"."</f>
        <v>389.0.43.</v>
      </c>
      <c r="DG12" s="0" t="str">
        <f>"389.0."&amp;DG$9-2010&amp;"."</f>
        <v>389.0.44.</v>
      </c>
      <c r="DH12" s="0" t="str">
        <f>"389.0."&amp;DH$9-2010&amp;"."</f>
        <v>389.0.44.</v>
      </c>
      <c r="DI12" s="0" t="str">
        <f>"389.0."&amp;DI$9-2010&amp;"."</f>
        <v>389.0.44.</v>
      </c>
      <c r="DJ12" s="0" t="str">
        <f>"389.0."&amp;DJ$9-2010&amp;"."</f>
        <v>389.0.45.</v>
      </c>
      <c r="DK12" s="0" t="str">
        <f>"389.0."&amp;DK$9-2010&amp;"."</f>
        <v>389.0.45.</v>
      </c>
      <c r="DL12" s="0" t="str">
        <f>"389.0."&amp;DL$9-2010&amp;"."</f>
        <v>389.0.45.</v>
      </c>
      <c r="DM12" s="0" t="str">
        <f>"389.0."&amp;DM$9-2010&amp;"."</f>
        <v>389.0.46.</v>
      </c>
      <c r="DN12" s="0" t="str">
        <f>"389.0."&amp;DN$9-2010&amp;"."</f>
        <v>389.0.46.</v>
      </c>
      <c r="DO12" s="0" t="str">
        <f>"389.0."&amp;DO$9-2010&amp;"."</f>
        <v>389.0.46.</v>
      </c>
      <c r="DP12" s="0" t="str">
        <f>"389.0."&amp;DP$9-2010&amp;"."</f>
        <v>389.0.47.</v>
      </c>
      <c r="DQ12" s="0" t="str">
        <f>"389.0."&amp;DQ$9-2010&amp;"."</f>
        <v>389.0.47.</v>
      </c>
      <c r="DR12" s="0" t="str">
        <f>"389.0."&amp;DR$9-2010&amp;"."</f>
        <v>389.0.47.</v>
      </c>
      <c r="DS12" s="0" t="str">
        <f>"389.0."&amp;DS$9-2010&amp;"."</f>
        <v>389.0.48.</v>
      </c>
      <c r="DT12" s="0" t="str">
        <f>"389.0."&amp;DT$9-2010&amp;"."</f>
        <v>389.0.48.</v>
      </c>
      <c r="DU12" s="0" t="str">
        <f>"389.0."&amp;DU$9-2010&amp;"."</f>
        <v>389.0.48.</v>
      </c>
      <c r="DV12" s="0" t="str">
        <f>"389.0."&amp;DV$9-2010&amp;"."</f>
        <v>389.0.49.</v>
      </c>
      <c r="DW12" s="0" t="str">
        <f>"389.0."&amp;DW$9-2010&amp;"."</f>
        <v>389.0.49.</v>
      </c>
      <c r="DX12" s="0" t="str">
        <f>"389.0."&amp;DX$9-2010&amp;"."</f>
        <v>389.0.49.</v>
      </c>
      <c r="DY12" s="0" t="str">
        <f>"389.0."&amp;DY$9-2010&amp;"."</f>
        <v>389.0.50.</v>
      </c>
      <c r="DZ12" s="0" t="str">
        <f>"389.0."&amp;DZ$9-2010&amp;"."</f>
        <v>389.0.50.</v>
      </c>
      <c r="EA12" s="0" t="str">
        <f>"389.0."&amp;EA$9-2010&amp;"."</f>
        <v>389.0.50.</v>
      </c>
      <c r="EB12" s="0" t="str">
        <f>"389.0."&amp;EB$9-2010&amp;"."</f>
        <v>389.0.51.</v>
      </c>
      <c r="EC12" s="0" t="str">
        <f>"389.0."&amp;EC$9-2010&amp;"."</f>
        <v>389.0.51.</v>
      </c>
      <c r="ED12" s="0" t="str">
        <f>"389.0."&amp;ED$9-2010&amp;"."</f>
        <v>389.0.51.</v>
      </c>
      <c r="EE12" s="0" t="str">
        <f>"389.0."&amp;EE$9-2010&amp;"."</f>
        <v>389.0.52.</v>
      </c>
      <c r="EF12" s="0" t="str">
        <f>"389.0."&amp;EF$9-2010&amp;"."</f>
        <v>389.0.52.</v>
      </c>
      <c r="EG12" s="0" t="str">
        <f>"389.0."&amp;EG$9-2010&amp;"."</f>
        <v>389.0.52.</v>
      </c>
      <c r="EH12" s="0" t="str">
        <f>"389.0."&amp;EH$9-2010&amp;"."</f>
        <v>389.0.53.</v>
      </c>
      <c r="EI12" s="0" t="str">
        <f>"389.0."&amp;EI$9-2010&amp;"."</f>
        <v>389.0.53.</v>
      </c>
      <c r="EJ12" s="0" t="str">
        <f>"389.0."&amp;EJ$9-2010&amp;"."</f>
        <v>389.0.53.</v>
      </c>
      <c r="EK12" s="0" t="str">
        <f>"389.0."&amp;EK$9-2010&amp;"."</f>
        <v>389.0.54.</v>
      </c>
      <c r="EL12" s="0" t="str">
        <f>"389.0."&amp;EL$9-2010&amp;"."</f>
        <v>389.0.54.</v>
      </c>
      <c r="EM12" s="0" t="str">
        <f>"389.0."&amp;EM$9-2010&amp;"."</f>
        <v>389.0.54.</v>
      </c>
      <c r="EN12" s="0" t="str">
        <f>"389.0."&amp;EN$9-2010&amp;"."</f>
        <v>389.0.55.</v>
      </c>
      <c r="EO12" s="0" t="str">
        <f>"389.0."&amp;EO$9-2010&amp;"."</f>
        <v>389.0.55.</v>
      </c>
      <c r="EP12" s="0" t="str">
        <f>"389.0."&amp;EP$9-2010&amp;"."</f>
        <v>389.0.55.</v>
      </c>
      <c r="EQ12" s="0" t="str">
        <f>"389.0."&amp;EQ$9-2010&amp;"."</f>
        <v>389.0.56.</v>
      </c>
      <c r="ER12" s="0" t="str">
        <f>"389.0."&amp;ER$9-2010&amp;"."</f>
        <v>389.0.56.</v>
      </c>
      <c r="ES12" s="0" t="str">
        <f>"389.0."&amp;ES$9-2010&amp;"."</f>
        <v>389.0.56.</v>
      </c>
      <c r="ET12" s="0" t="str">
        <f>"389.0."&amp;ET$9-2010&amp;"."</f>
        <v>389.0.57.</v>
      </c>
      <c r="EU12" s="0" t="str">
        <f>"389.0."&amp;EU$9-2010&amp;"."</f>
        <v>389.0.57.</v>
      </c>
      <c r="EV12" s="0" t="str">
        <f>"389.0."&amp;EV$9-2010&amp;"."</f>
        <v>389.0.57.</v>
      </c>
      <c r="EW12" s="0" t="str">
        <f>"389.0."&amp;EW$9-2010&amp;"."</f>
        <v>389.0.58.</v>
      </c>
      <c r="EX12" s="0" t="str">
        <f>"389.0."&amp;EX$9-2010&amp;"."</f>
        <v>389.0.58.</v>
      </c>
      <c r="EY12" s="0" t="str">
        <f>"389.0."&amp;EY$9-2010&amp;"."</f>
        <v>389.0.58.</v>
      </c>
      <c r="EZ12" s="0" t="str">
        <f>"389.0."&amp;EZ$9-2010&amp;"."</f>
        <v>389.0.59.</v>
      </c>
      <c r="FA12" s="0" t="str">
        <f>"389.0."&amp;FA$9-2010&amp;"."</f>
        <v>389.0.59.</v>
      </c>
      <c r="FB12" s="0" t="str">
        <f>"389.0."&amp;FB$9-2010&amp;"."</f>
        <v>389.0.59.</v>
      </c>
      <c r="FC12" s="0" t="str">
        <f>"389.0."&amp;FC$9-2010&amp;"."</f>
        <v>389.0.60.</v>
      </c>
      <c r="FD12" s="0" t="str">
        <f>"389.0."&amp;FD$9-2010&amp;"."</f>
        <v>389.0.60.</v>
      </c>
      <c r="FE12" s="0" t="str">
        <f>"389.0."&amp;FE$9-2010&amp;"."</f>
        <v>389.0.60.</v>
      </c>
      <c r="FF12" s="0" t="str">
        <f>"389.0."&amp;FF$9-2010&amp;"."</f>
        <v>389.0.61.</v>
      </c>
      <c r="FG12" s="0" t="str">
        <f>"389.0."&amp;FG$9-2010&amp;"."</f>
        <v>389.0.61.</v>
      </c>
      <c r="FH12" s="0" t="str">
        <f>"389.0."&amp;FH$9-2010&amp;"."</f>
        <v>389.0.61.</v>
      </c>
      <c r="FI12" s="0" t="str">
        <f>"389.0."&amp;FI$9-2010&amp;"."</f>
        <v>389.0.62.</v>
      </c>
      <c r="FJ12" s="0" t="str">
        <f>"389.0."&amp;FJ$9-2010&amp;"."</f>
        <v>389.0.62.</v>
      </c>
      <c r="FK12" s="0" t="str">
        <f>"389.0."&amp;FK$9-2010&amp;"."</f>
        <v>389.0.62.</v>
      </c>
      <c r="FL12" s="0" t="str">
        <f>"389.0."&amp;FL$9-2010&amp;"."</f>
        <v>389.0.63.</v>
      </c>
      <c r="FM12" s="0" t="str">
        <f>"389.0."&amp;FM$9-2010&amp;"."</f>
        <v>389.0.63.</v>
      </c>
      <c r="FN12" s="0" t="str">
        <f>"389.0."&amp;FN$9-2010&amp;"."</f>
        <v>389.0.63.</v>
      </c>
      <c r="FO12" s="0" t="str">
        <f>"389.0."&amp;FO$9-2010&amp;"."</f>
        <v>389.0.64.</v>
      </c>
      <c r="FP12" s="0" t="str">
        <f>"389.0."&amp;FP$9-2010&amp;"."</f>
        <v>389.0.64.</v>
      </c>
      <c r="FQ12" s="0" t="str">
        <f>"389.0."&amp;FQ$9-2010&amp;"."</f>
        <v>389.0.64.</v>
      </c>
      <c r="FR12" s="0" t="str">
        <f>"389.0."&amp;FR$9-2010&amp;"."</f>
        <v>389.0.65.</v>
      </c>
      <c r="FS12" s="0" t="str">
        <f>"389.0."&amp;FS$9-2010&amp;"."</f>
        <v>389.0.65.</v>
      </c>
      <c r="FT12" s="0" t="str">
        <f>"389.0."&amp;FT$9-2010&amp;"."</f>
        <v>389.0.65.</v>
      </c>
      <c r="FU12" s="0" t="str">
        <f>"389.0."&amp;FU$9-2010&amp;"."</f>
        <v>389.0.66.</v>
      </c>
      <c r="FV12" s="0" t="str">
        <f>"389.0."&amp;FV$9-2010&amp;"."</f>
        <v>389.0.66.</v>
      </c>
      <c r="FW12" s="0" t="str">
        <f>"389.0."&amp;FW$9-2010&amp;"."</f>
        <v>389.0.66.</v>
      </c>
    </row>
    <row customHeight="1" ht="11.25" hidden="1">
      <c r="A13" s="0" t="s">
        <v>406</v>
      </c>
      <c r="AD13" s="0" cm="1" t="str">
        <f t="array" ref="AD13:AD13">IF($A13="uni_org_reg_NAME",INDEX(org_reg_values,MATCH(AD$10,org_reg_codes,0),1),IF($A13="uni_pf_NAME",INDEX(pf_codes_values,MATCH(AD$10,pf_codes,0),1),""))</f>
        <v>328.0.1.</v>
      </c>
      <c r="AE13" s="0" cm="1" t="str">
        <f t="array" ref="AE13:AE13">IF($A13="uni_org_reg_NAME",INDEX(org_reg_values,MATCH(AE$10,org_reg_codes,0),1),IF($A13="uni_pf_NAME",INDEX(pf_codes_values,MATCH(AE$10,pf_codes,0),1),""))</f>
        <v>328.0.2.</v>
      </c>
      <c r="AF13" s="0" cm="1" t="str">
        <f t="array" ref="AF13:AF13">IF($A13="uni_org_reg_NAME",INDEX(org_reg_values,MATCH(AF$10,org_reg_codes,0),1),IF($A13="uni_pf_NAME",INDEX(pf_codes_values,MATCH(AF$10,pf_codes,0),1),""))</f>
        <v>328.0.4.</v>
      </c>
      <c r="AG13" s="0" cm="1" t="str">
        <f t="array" ref="AG13:AG13">IF($A13="uni_org_reg_NAME",INDEX(org_reg_values,MATCH(AG$10,org_reg_codes,0),1),IF($A13="uni_pf_NAME",INDEX(pf_codes_values,MATCH(AG$10,pf_codes,0),1),""))</f>
        <v>328.0.1.</v>
      </c>
      <c r="AH13" s="0" cm="1" t="str">
        <f t="array" ref="AH13:AH13">IF($A13="uni_org_reg_NAME",INDEX(org_reg_values,MATCH(AH$10,org_reg_codes,0),1),IF($A13="uni_pf_NAME",INDEX(pf_codes_values,MATCH(AH$10,pf_codes,0),1),""))</f>
        <v>328.0.2.</v>
      </c>
      <c r="AI13" s="0" cm="1" t="str">
        <f t="array" ref="AI13:AI13">IF($A13="uni_org_reg_NAME",INDEX(org_reg_values,MATCH(AI$10,org_reg_codes,0),1),IF($A13="uni_pf_NAME",INDEX(pf_codes_values,MATCH(AI$10,pf_codes,0),1),""))</f>
        <v>328.0.4.</v>
      </c>
      <c r="AJ13" s="0" cm="1" t="str">
        <f t="array" ref="AJ13:AJ13">IF($A13="uni_org_reg_NAME",INDEX(org_reg_values,MATCH(AJ$10,org_reg_codes,0),1),IF($A13="uni_pf_NAME",INDEX(pf_codes_values,MATCH(AJ$10,pf_codes,0),1),""))</f>
        <v>328.0.1.</v>
      </c>
      <c r="AK13" s="0" cm="1" t="str">
        <f t="array" ref="AK13:AK13">IF($A13="uni_org_reg_NAME",INDEX(org_reg_values,MATCH(AK$10,org_reg_codes,0),1),IF($A13="uni_pf_NAME",INDEX(pf_codes_values,MATCH(AK$10,pf_codes,0),1),""))</f>
        <v>328.0.2.</v>
      </c>
      <c r="AL13" s="0" cm="1" t="str">
        <f t="array" ref="AL13:AL13">IF($A13="uni_org_reg_NAME",INDEX(org_reg_values,MATCH(AL$10,org_reg_codes,0),1),IF($A13="uni_pf_NAME",INDEX(pf_codes_values,MATCH(AL$10,pf_codes,0),1),""))</f>
        <v>328.0.4.</v>
      </c>
      <c r="AM13" s="0" cm="1" t="str">
        <f t="array" ref="AM13:AM13">IF($A13="uni_org_reg_NAME",INDEX(org_reg_values,MATCH(AM$10,org_reg_codes,0),1),IF($A13="uni_pf_NAME",INDEX(pf_codes_values,MATCH(AM$10,pf_codes,0),1),""))</f>
        <v>328.0.1.</v>
      </c>
      <c r="AN13" s="0" cm="1" t="str">
        <f t="array" ref="AN13:AN13">IF($A13="uni_org_reg_NAME",INDEX(org_reg_values,MATCH(AN$10,org_reg_codes,0),1),IF($A13="uni_pf_NAME",INDEX(pf_codes_values,MATCH(AN$10,pf_codes,0),1),""))</f>
        <v>328.0.2.</v>
      </c>
      <c r="AO13" s="0" cm="1" t="str">
        <f t="array" ref="AO13:AO13">IF($A13="uni_org_reg_NAME",INDEX(org_reg_values,MATCH(AO$10,org_reg_codes,0),1),IF($A13="uni_pf_NAME",INDEX(pf_codes_values,MATCH(AO$10,pf_codes,0),1),""))</f>
        <v>328.0.4.</v>
      </c>
      <c r="AP13" s="0" cm="1" t="str">
        <f t="array" ref="AP13:AP13">IF($A13="uni_org_reg_NAME",INDEX(org_reg_values,MATCH(AP$10,org_reg_codes,0),1),IF($A13="uni_pf_NAME",INDEX(pf_codes_values,MATCH(AP$10,pf_codes,0),1),""))</f>
        <v>328.0.1.</v>
      </c>
      <c r="AQ13" s="0" cm="1" t="str">
        <f t="array" ref="AQ13:AQ13">IF($A13="uni_org_reg_NAME",INDEX(org_reg_values,MATCH(AQ$10,org_reg_codes,0),1),IF($A13="uni_pf_NAME",INDEX(pf_codes_values,MATCH(AQ$10,pf_codes,0),1),""))</f>
        <v>328.0.2.</v>
      </c>
      <c r="AR13" s="0" cm="1" t="str">
        <f t="array" ref="AR13:AR13">IF($A13="uni_org_reg_NAME",INDEX(org_reg_values,MATCH(AR$10,org_reg_codes,0),1),IF($A13="uni_pf_NAME",INDEX(pf_codes_values,MATCH(AR$10,pf_codes,0),1),""))</f>
        <v>328.0.4.</v>
      </c>
      <c r="AS13" s="0" cm="1" t="str">
        <f t="array" ref="AS13:AS13">IF($A13="uni_org_reg_NAME",INDEX(org_reg_values,MATCH(AS$10,org_reg_codes,0),1),IF($A13="uni_pf_NAME",INDEX(pf_codes_values,MATCH(AS$10,pf_codes,0),1),""))</f>
        <v>328.0.1.</v>
      </c>
      <c r="AT13" s="0" cm="1" t="str">
        <f t="array" ref="AT13:AT13">IF($A13="uni_org_reg_NAME",INDEX(org_reg_values,MATCH(AT$10,org_reg_codes,0),1),IF($A13="uni_pf_NAME",INDEX(pf_codes_values,MATCH(AT$10,pf_codes,0),1),""))</f>
        <v>328.0.2.</v>
      </c>
      <c r="AU13" s="0" cm="1" t="str">
        <f t="array" ref="AU13:AU13">IF($A13="uni_org_reg_NAME",INDEX(org_reg_values,MATCH(AU$10,org_reg_codes,0),1),IF($A13="uni_pf_NAME",INDEX(pf_codes_values,MATCH(AU$10,pf_codes,0),1),""))</f>
        <v>328.0.4.</v>
      </c>
      <c r="AV13" s="0" cm="1" t="str">
        <f t="array" ref="AV13:AV13">IF($A13="uni_org_reg_NAME",INDEX(org_reg_values,MATCH(AV$10,org_reg_codes,0),1),IF($A13="uni_pf_NAME",INDEX(pf_codes_values,MATCH(AV$10,pf_codes,0),1),""))</f>
        <v>328.0.1.</v>
      </c>
      <c r="AW13" s="0" cm="1" t="str">
        <f t="array" ref="AW13:AW13">IF($A13="uni_org_reg_NAME",INDEX(org_reg_values,MATCH(AW$10,org_reg_codes,0),1),IF($A13="uni_pf_NAME",INDEX(pf_codes_values,MATCH(AW$10,pf_codes,0),1),""))</f>
        <v>328.0.2.</v>
      </c>
      <c r="AX13" s="0" cm="1" t="str">
        <f t="array" ref="AX13:AX13">IF($A13="uni_org_reg_NAME",INDEX(org_reg_values,MATCH(AX$10,org_reg_codes,0),1),IF($A13="uni_pf_NAME",INDEX(pf_codes_values,MATCH(AX$10,pf_codes,0),1),""))</f>
        <v>328.0.4.</v>
      </c>
      <c r="AY13" s="0" cm="1" t="str">
        <f t="array" ref="AY13:AY13">IF($A13="uni_org_reg_NAME",INDEX(org_reg_values,MATCH(AY$10,org_reg_codes,0),1),IF($A13="uni_pf_NAME",INDEX(pf_codes_values,MATCH(AY$10,pf_codes,0),1),""))</f>
        <v>328.0.1.</v>
      </c>
      <c r="AZ13" s="0" cm="1" t="str">
        <f t="array" ref="AZ13:AZ13">IF($A13="uni_org_reg_NAME",INDEX(org_reg_values,MATCH(AZ$10,org_reg_codes,0),1),IF($A13="uni_pf_NAME",INDEX(pf_codes_values,MATCH(AZ$10,pf_codes,0),1),""))</f>
        <v>328.0.2.</v>
      </c>
      <c r="BA13" s="0" cm="1" t="str">
        <f t="array" ref="BA13:BA13">IF($A13="uni_org_reg_NAME",INDEX(org_reg_values,MATCH(BA$10,org_reg_codes,0),1),IF($A13="uni_pf_NAME",INDEX(pf_codes_values,MATCH(BA$10,pf_codes,0),1),""))</f>
        <v>328.0.4.</v>
      </c>
      <c r="BB13" s="0" cm="1" t="str">
        <f t="array" ref="BB13:BB13">IF($A13="uni_org_reg_NAME",INDEX(org_reg_values,MATCH(BB$10,org_reg_codes,0),1),IF($A13="uni_pf_NAME",INDEX(pf_codes_values,MATCH(BB$10,pf_codes,0),1),""))</f>
        <v>328.0.1.</v>
      </c>
      <c r="BC13" s="0" cm="1" t="str">
        <f t="array" ref="BC13:BC13">IF($A13="uni_org_reg_NAME",INDEX(org_reg_values,MATCH(BC$10,org_reg_codes,0),1),IF($A13="uni_pf_NAME",INDEX(pf_codes_values,MATCH(BC$10,pf_codes,0),1),""))</f>
        <v>328.0.2.</v>
      </c>
      <c r="BD13" s="0" cm="1" t="str">
        <f t="array" ref="BD13:BD13">IF($A13="uni_org_reg_NAME",INDEX(org_reg_values,MATCH(BD$10,org_reg_codes,0),1),IF($A13="uni_pf_NAME",INDEX(pf_codes_values,MATCH(BD$10,pf_codes,0),1),""))</f>
        <v>328.0.4.</v>
      </c>
      <c r="BE13" s="0" cm="1" t="str">
        <f t="array" ref="BE13:BE13">IF($A13="uni_org_reg_NAME",INDEX(org_reg_values,MATCH(BE$10,org_reg_codes,0),1),IF($A13="uni_pf_NAME",INDEX(pf_codes_values,MATCH(BE$10,pf_codes,0),1),""))</f>
        <v>328.0.1.</v>
      </c>
      <c r="BF13" s="0" cm="1" t="str">
        <f t="array" ref="BF13:BF13">IF($A13="uni_org_reg_NAME",INDEX(org_reg_values,MATCH(BF$10,org_reg_codes,0),1),IF($A13="uni_pf_NAME",INDEX(pf_codes_values,MATCH(BF$10,pf_codes,0),1),""))</f>
        <v>328.0.2.</v>
      </c>
      <c r="BG13" s="0" cm="1" t="str">
        <f t="array" ref="BG13:BG13">IF($A13="uni_org_reg_NAME",INDEX(org_reg_values,MATCH(BG$10,org_reg_codes,0),1),IF($A13="uni_pf_NAME",INDEX(pf_codes_values,MATCH(BG$10,pf_codes,0),1),""))</f>
        <v>328.0.4.</v>
      </c>
      <c r="BH13" s="0" cm="1" t="str">
        <f t="array" ref="BH13:BH13">IF($A13="uni_org_reg_NAME",INDEX(org_reg_values,MATCH(BH$10,org_reg_codes,0),1),IF($A13="uni_pf_NAME",INDEX(pf_codes_values,MATCH(BH$10,pf_codes,0),1),""))</f>
        <v>328.0.1.</v>
      </c>
      <c r="BI13" s="0" cm="1" t="str">
        <f t="array" ref="BI13:BI13">IF($A13="uni_org_reg_NAME",INDEX(org_reg_values,MATCH(BI$10,org_reg_codes,0),1),IF($A13="uni_pf_NAME",INDEX(pf_codes_values,MATCH(BI$10,pf_codes,0),1),""))</f>
        <v>328.0.2.</v>
      </c>
      <c r="BJ13" s="0" cm="1" t="str">
        <f t="array" ref="BJ13:BJ13">IF($A13="uni_org_reg_NAME",INDEX(org_reg_values,MATCH(BJ$10,org_reg_codes,0),1),IF($A13="uni_pf_NAME",INDEX(pf_codes_values,MATCH(BJ$10,pf_codes,0),1),""))</f>
        <v>328.0.4.</v>
      </c>
      <c r="BK13" s="0" cm="1" t="str">
        <f t="array" ref="BK13:BK13">IF($A13="uni_org_reg_NAME",INDEX(org_reg_values,MATCH(BK$10,org_reg_codes,0),1),IF($A13="uni_pf_NAME",INDEX(pf_codes_values,MATCH(BK$10,pf_codes,0),1),""))</f>
        <v>328.0.1.</v>
      </c>
      <c r="BL13" s="0" cm="1" t="str">
        <f t="array" ref="BL13:BL13">IF($A13="uni_org_reg_NAME",INDEX(org_reg_values,MATCH(BL$10,org_reg_codes,0),1),IF($A13="uni_pf_NAME",INDEX(pf_codes_values,MATCH(BL$10,pf_codes,0),1),""))</f>
        <v>328.0.2.</v>
      </c>
      <c r="BM13" s="0" cm="1" t="str">
        <f t="array" ref="BM13:BM13">IF($A13="uni_org_reg_NAME",INDEX(org_reg_values,MATCH(BM$10,org_reg_codes,0),1),IF($A13="uni_pf_NAME",INDEX(pf_codes_values,MATCH(BM$10,pf_codes,0),1),""))</f>
        <v>328.0.4.</v>
      </c>
      <c r="BN13" s="0" cm="1" t="str">
        <f t="array" ref="BN13:BN13">IF($A13="uni_org_reg_NAME",INDEX(org_reg_values,MATCH(BN$10,org_reg_codes,0),1),IF($A13="uni_pf_NAME",INDEX(pf_codes_values,MATCH(BN$10,pf_codes,0),1),""))</f>
        <v>328.0.1.</v>
      </c>
      <c r="BO13" s="0" cm="1" t="str">
        <f t="array" ref="BO13:BO13">IF($A13="uni_org_reg_NAME",INDEX(org_reg_values,MATCH(BO$10,org_reg_codes,0),1),IF($A13="uni_pf_NAME",INDEX(pf_codes_values,MATCH(BO$10,pf_codes,0),1),""))</f>
        <v>328.0.2.</v>
      </c>
      <c r="BP13" s="0" cm="1" t="str">
        <f t="array" ref="BP13:BP13">IF($A13="uni_org_reg_NAME",INDEX(org_reg_values,MATCH(BP$10,org_reg_codes,0),1),IF($A13="uni_pf_NAME",INDEX(pf_codes_values,MATCH(BP$10,pf_codes,0),1),""))</f>
        <v>328.0.4.</v>
      </c>
      <c r="BQ13" s="0" cm="1" t="str">
        <f t="array" ref="BQ13:BQ13">IF($A13="uni_org_reg_NAME",INDEX(org_reg_values,MATCH(BQ$10,org_reg_codes,0),1),IF($A13="uni_pf_NAME",INDEX(pf_codes_values,MATCH(BQ$10,pf_codes,0),1),""))</f>
        <v>328.0.1.</v>
      </c>
      <c r="BR13" s="0" cm="1" t="str">
        <f t="array" ref="BR13:BR13">IF($A13="uni_org_reg_NAME",INDEX(org_reg_values,MATCH(BR$10,org_reg_codes,0),1),IF($A13="uni_pf_NAME",INDEX(pf_codes_values,MATCH(BR$10,pf_codes,0),1),""))</f>
        <v>328.0.2.</v>
      </c>
      <c r="BS13" s="0" cm="1" t="str">
        <f t="array" ref="BS13:BS13">IF($A13="uni_org_reg_NAME",INDEX(org_reg_values,MATCH(BS$10,org_reg_codes,0),1),IF($A13="uni_pf_NAME",INDEX(pf_codes_values,MATCH(BS$10,pf_codes,0),1),""))</f>
        <v>328.0.4.</v>
      </c>
      <c r="BT13" s="0" cm="1" t="str">
        <f t="array" ref="BT13:BT13">IF($A13="uni_org_reg_NAME",INDEX(org_reg_values,MATCH(BT$10,org_reg_codes,0),1),IF($A13="uni_pf_NAME",INDEX(pf_codes_values,MATCH(BT$10,pf_codes,0),1),""))</f>
        <v>328.0.1.</v>
      </c>
      <c r="BU13" s="0" cm="1" t="str">
        <f t="array" ref="BU13:BU13">IF($A13="uni_org_reg_NAME",INDEX(org_reg_values,MATCH(BU$10,org_reg_codes,0),1),IF($A13="uni_pf_NAME",INDEX(pf_codes_values,MATCH(BU$10,pf_codes,0),1),""))</f>
        <v>328.0.2.</v>
      </c>
      <c r="BV13" s="0" cm="1" t="str">
        <f t="array" ref="BV13:BV13">IF($A13="uni_org_reg_NAME",INDEX(org_reg_values,MATCH(BV$10,org_reg_codes,0),1),IF($A13="uni_pf_NAME",INDEX(pf_codes_values,MATCH(BV$10,pf_codes,0),1),""))</f>
        <v>328.0.4.</v>
      </c>
      <c r="BW13" s="0" cm="1" t="str">
        <f t="array" ref="BW13:BW13">IF($A13="uni_org_reg_NAME",INDEX(org_reg_values,MATCH(BW$10,org_reg_codes,0),1),IF($A13="uni_pf_NAME",INDEX(pf_codes_values,MATCH(BW$10,pf_codes,0),1),""))</f>
        <v>328.0.1.</v>
      </c>
      <c r="BX13" s="0" cm="1" t="str">
        <f t="array" ref="BX13:BX13">IF($A13="uni_org_reg_NAME",INDEX(org_reg_values,MATCH(BX$10,org_reg_codes,0),1),IF($A13="uni_pf_NAME",INDEX(pf_codes_values,MATCH(BX$10,pf_codes,0),1),""))</f>
        <v>328.0.2.</v>
      </c>
      <c r="BY13" s="0" cm="1" t="str">
        <f t="array" ref="BY13:BY13">IF($A13="uni_org_reg_NAME",INDEX(org_reg_values,MATCH(BY$10,org_reg_codes,0),1),IF($A13="uni_pf_NAME",INDEX(pf_codes_values,MATCH(BY$10,pf_codes,0),1),""))</f>
        <v>328.0.4.</v>
      </c>
      <c r="BZ13" s="0" cm="1" t="str">
        <f t="array" ref="BZ13:BZ13">IF($A13="uni_org_reg_NAME",INDEX(org_reg_values,MATCH(BZ$10,org_reg_codes,0),1),IF($A13="uni_pf_NAME",INDEX(pf_codes_values,MATCH(BZ$10,pf_codes,0),1),""))</f>
        <v>328.0.1.</v>
      </c>
      <c r="CA13" s="0" cm="1" t="str">
        <f t="array" ref="CA13:CA13">IF($A13="uni_org_reg_NAME",INDEX(org_reg_values,MATCH(CA$10,org_reg_codes,0),1),IF($A13="uni_pf_NAME",INDEX(pf_codes_values,MATCH(CA$10,pf_codes,0),1),""))</f>
        <v>328.0.2.</v>
      </c>
      <c r="CB13" s="0" cm="1" t="str">
        <f t="array" ref="CB13:CB13">IF($A13="uni_org_reg_NAME",INDEX(org_reg_values,MATCH(CB$10,org_reg_codes,0),1),IF($A13="uni_pf_NAME",INDEX(pf_codes_values,MATCH(CB$10,pf_codes,0),1),""))</f>
        <v>328.0.4.</v>
      </c>
      <c r="CC13" s="0" cm="1" t="str">
        <f t="array" ref="CC13:CC13">IF($A13="uni_org_reg_NAME",INDEX(org_reg_values,MATCH(CC$10,org_reg_codes,0),1),IF($A13="uni_pf_NAME",INDEX(pf_codes_values,MATCH(CC$10,pf_codes,0),1),""))</f>
        <v>328.0.1.</v>
      </c>
      <c r="CD13" s="0" cm="1" t="str">
        <f t="array" ref="CD13:CD13">IF($A13="uni_org_reg_NAME",INDEX(org_reg_values,MATCH(CD$10,org_reg_codes,0),1),IF($A13="uni_pf_NAME",INDEX(pf_codes_values,MATCH(CD$10,pf_codes,0),1),""))</f>
        <v>328.0.2.</v>
      </c>
      <c r="CE13" s="0" cm="1" t="str">
        <f t="array" ref="CE13:CE13">IF($A13="uni_org_reg_NAME",INDEX(org_reg_values,MATCH(CE$10,org_reg_codes,0),1),IF($A13="uni_pf_NAME",INDEX(pf_codes_values,MATCH(CE$10,pf_codes,0),1),""))</f>
        <v>328.0.4.</v>
      </c>
      <c r="CF13" s="0" cm="1" t="str">
        <f t="array" ref="CF13:CF13">IF($A13="uni_org_reg_NAME",INDEX(org_reg_values,MATCH(CF$10,org_reg_codes,0),1),IF($A13="uni_pf_NAME",INDEX(pf_codes_values,MATCH(CF$10,pf_codes,0),1),""))</f>
        <v>328.0.1.</v>
      </c>
      <c r="CG13" s="0" cm="1" t="str">
        <f t="array" ref="CG13:CG13">IF($A13="uni_org_reg_NAME",INDEX(org_reg_values,MATCH(CG$10,org_reg_codes,0),1),IF($A13="uni_pf_NAME",INDEX(pf_codes_values,MATCH(CG$10,pf_codes,0),1),""))</f>
        <v>328.0.2.</v>
      </c>
      <c r="CH13" s="0" cm="1" t="str">
        <f t="array" ref="CH13:CH13">IF($A13="uni_org_reg_NAME",INDEX(org_reg_values,MATCH(CH$10,org_reg_codes,0),1),IF($A13="uni_pf_NAME",INDEX(pf_codes_values,MATCH(CH$10,pf_codes,0),1),""))</f>
        <v>328.0.4.</v>
      </c>
      <c r="CI13" s="0" cm="1" t="str">
        <f t="array" ref="CI13:CI13">IF($A13="uni_org_reg_NAME",INDEX(org_reg_values,MATCH(CI$10,org_reg_codes,0),1),IF($A13="uni_pf_NAME",INDEX(pf_codes_values,MATCH(CI$10,pf_codes,0),1),""))</f>
        <v>328.0.1.</v>
      </c>
      <c r="CJ13" s="0" cm="1" t="str">
        <f t="array" ref="CJ13:CJ13">IF($A13="uni_org_reg_NAME",INDEX(org_reg_values,MATCH(CJ$10,org_reg_codes,0),1),IF($A13="uni_pf_NAME",INDEX(pf_codes_values,MATCH(CJ$10,pf_codes,0),1),""))</f>
        <v>328.0.2.</v>
      </c>
      <c r="CK13" s="0" cm="1" t="str">
        <f t="array" ref="CK13:CK13">IF($A13="uni_org_reg_NAME",INDEX(org_reg_values,MATCH(CK$10,org_reg_codes,0),1),IF($A13="uni_pf_NAME",INDEX(pf_codes_values,MATCH(CK$10,pf_codes,0),1),""))</f>
        <v>328.0.4.</v>
      </c>
      <c r="CL13" s="0" cm="1" t="str">
        <f t="array" ref="CL13:CL13">IF($A13="uni_org_reg_NAME",INDEX(org_reg_values,MATCH(CL$10,org_reg_codes,0),1),IF($A13="uni_pf_NAME",INDEX(pf_codes_values,MATCH(CL$10,pf_codes,0),1),""))</f>
        <v>328.0.1.</v>
      </c>
      <c r="CM13" s="0" cm="1" t="str">
        <f t="array" ref="CM13:CM13">IF($A13="uni_org_reg_NAME",INDEX(org_reg_values,MATCH(CM$10,org_reg_codes,0),1),IF($A13="uni_pf_NAME",INDEX(pf_codes_values,MATCH(CM$10,pf_codes,0),1),""))</f>
        <v>328.0.2.</v>
      </c>
      <c r="CN13" s="0" cm="1" t="str">
        <f t="array" ref="CN13:CN13">IF($A13="uni_org_reg_NAME",INDEX(org_reg_values,MATCH(CN$10,org_reg_codes,0),1),IF($A13="uni_pf_NAME",INDEX(pf_codes_values,MATCH(CN$10,pf_codes,0),1),""))</f>
        <v>328.0.4.</v>
      </c>
      <c r="CO13" s="0" cm="1" t="str">
        <f t="array" ref="CO13:CO13">IF($A13="uni_org_reg_NAME",INDEX(org_reg_values,MATCH(CO$10,org_reg_codes,0),1),IF($A13="uni_pf_NAME",INDEX(pf_codes_values,MATCH(CO$10,pf_codes,0),1),""))</f>
        <v>328.0.1.</v>
      </c>
      <c r="CP13" s="0" cm="1" t="str">
        <f t="array" ref="CP13:CP13">IF($A13="uni_org_reg_NAME",INDEX(org_reg_values,MATCH(CP$10,org_reg_codes,0),1),IF($A13="uni_pf_NAME",INDEX(pf_codes_values,MATCH(CP$10,pf_codes,0),1),""))</f>
        <v>328.0.2.</v>
      </c>
      <c r="CQ13" s="0" cm="1" t="str">
        <f t="array" ref="CQ13:CQ13">IF($A13="uni_org_reg_NAME",INDEX(org_reg_values,MATCH(CQ$10,org_reg_codes,0),1),IF($A13="uni_pf_NAME",INDEX(pf_codes_values,MATCH(CQ$10,pf_codes,0),1),""))</f>
        <v>328.0.4.</v>
      </c>
      <c r="CR13" s="0" cm="1" t="str">
        <f t="array" ref="CR13:CR13">IF($A13="uni_org_reg_NAME",INDEX(org_reg_values,MATCH(CR$10,org_reg_codes,0),1),IF($A13="uni_pf_NAME",INDEX(pf_codes_values,MATCH(CR$10,pf_codes,0),1),""))</f>
        <v>328.0.1.</v>
      </c>
      <c r="CS13" s="0" cm="1" t="str">
        <f t="array" ref="CS13:CS13">IF($A13="uni_org_reg_NAME",INDEX(org_reg_values,MATCH(CS$10,org_reg_codes,0),1),IF($A13="uni_pf_NAME",INDEX(pf_codes_values,MATCH(CS$10,pf_codes,0),1),""))</f>
        <v>328.0.2.</v>
      </c>
      <c r="CT13" s="0" cm="1" t="str">
        <f t="array" ref="CT13:CT13">IF($A13="uni_org_reg_NAME",INDEX(org_reg_values,MATCH(CT$10,org_reg_codes,0),1),IF($A13="uni_pf_NAME",INDEX(pf_codes_values,MATCH(CT$10,pf_codes,0),1),""))</f>
        <v>328.0.4.</v>
      </c>
      <c r="CU13" s="0" cm="1" t="str">
        <f t="array" ref="CU13:CU13">IF($A13="uni_org_reg_NAME",INDEX(org_reg_values,MATCH(CU$10,org_reg_codes,0),1),IF($A13="uni_pf_NAME",INDEX(pf_codes_values,MATCH(CU$10,pf_codes,0),1),""))</f>
        <v>328.0.1.</v>
      </c>
      <c r="CV13" s="0" cm="1" t="str">
        <f t="array" ref="CV13:CV13">IF($A13="uni_org_reg_NAME",INDEX(org_reg_values,MATCH(CV$10,org_reg_codes,0),1),IF($A13="uni_pf_NAME",INDEX(pf_codes_values,MATCH(CV$10,pf_codes,0),1),""))</f>
        <v>328.0.2.</v>
      </c>
      <c r="CW13" s="0" cm="1" t="str">
        <f t="array" ref="CW13:CW13">IF($A13="uni_org_reg_NAME",INDEX(org_reg_values,MATCH(CW$10,org_reg_codes,0),1),IF($A13="uni_pf_NAME",INDEX(pf_codes_values,MATCH(CW$10,pf_codes,0),1),""))</f>
        <v>328.0.4.</v>
      </c>
      <c r="CX13" s="0" cm="1" t="str">
        <f t="array" ref="CX13:CX13">IF($A13="uni_org_reg_NAME",INDEX(org_reg_values,MATCH(CX$10,org_reg_codes,0),1),IF($A13="uni_pf_NAME",INDEX(pf_codes_values,MATCH(CX$10,pf_codes,0),1),""))</f>
        <v>328.0.1.</v>
      </c>
      <c r="CY13" s="0" cm="1" t="str">
        <f t="array" ref="CY13:CY13">IF($A13="uni_org_reg_NAME",INDEX(org_reg_values,MATCH(CY$10,org_reg_codes,0),1),IF($A13="uni_pf_NAME",INDEX(pf_codes_values,MATCH(CY$10,pf_codes,0),1),""))</f>
        <v>328.0.2.</v>
      </c>
      <c r="CZ13" s="0" cm="1" t="str">
        <f t="array" ref="CZ13:CZ13">IF($A13="uni_org_reg_NAME",INDEX(org_reg_values,MATCH(CZ$10,org_reg_codes,0),1),IF($A13="uni_pf_NAME",INDEX(pf_codes_values,MATCH(CZ$10,pf_codes,0),1),""))</f>
        <v>328.0.4.</v>
      </c>
      <c r="DA13" s="0" cm="1" t="str">
        <f t="array" ref="DA13:DA13">IF($A13="uni_org_reg_NAME",INDEX(org_reg_values,MATCH(DA$10,org_reg_codes,0),1),IF($A13="uni_pf_NAME",INDEX(pf_codes_values,MATCH(DA$10,pf_codes,0),1),""))</f>
        <v>328.0.1.</v>
      </c>
      <c r="DB13" s="0" cm="1" t="str">
        <f t="array" ref="DB13:DB13">IF($A13="uni_org_reg_NAME",INDEX(org_reg_values,MATCH(DB$10,org_reg_codes,0),1),IF($A13="uni_pf_NAME",INDEX(pf_codes_values,MATCH(DB$10,pf_codes,0),1),""))</f>
        <v>328.0.2.</v>
      </c>
      <c r="DC13" s="0" cm="1" t="str">
        <f t="array" ref="DC13:DC13">IF($A13="uni_org_reg_NAME",INDEX(org_reg_values,MATCH(DC$10,org_reg_codes,0),1),IF($A13="uni_pf_NAME",INDEX(pf_codes_values,MATCH(DC$10,pf_codes,0),1),""))</f>
        <v>328.0.4.</v>
      </c>
      <c r="DD13" s="0" cm="1" t="str">
        <f t="array" ref="DD13:DD13">IF($A13="uni_org_reg_NAME",INDEX(org_reg_values,MATCH(DD$10,org_reg_codes,0),1),IF($A13="uni_pf_NAME",INDEX(pf_codes_values,MATCH(DD$10,pf_codes,0),1),""))</f>
        <v>328.0.1.</v>
      </c>
      <c r="DE13" s="0" cm="1" t="str">
        <f t="array" ref="DE13:DE13">IF($A13="uni_org_reg_NAME",INDEX(org_reg_values,MATCH(DE$10,org_reg_codes,0),1),IF($A13="uni_pf_NAME",INDEX(pf_codes_values,MATCH(DE$10,pf_codes,0),1),""))</f>
        <v>328.0.2.</v>
      </c>
      <c r="DF13" s="0" cm="1" t="str">
        <f t="array" ref="DF13:DF13">IF($A13="uni_org_reg_NAME",INDEX(org_reg_values,MATCH(DF$10,org_reg_codes,0),1),IF($A13="uni_pf_NAME",INDEX(pf_codes_values,MATCH(DF$10,pf_codes,0),1),""))</f>
        <v>328.0.4.</v>
      </c>
      <c r="DG13" s="0" cm="1" t="str">
        <f t="array" ref="DG13:DG13">IF($A13="uni_org_reg_NAME",INDEX(org_reg_values,MATCH(DG$10,org_reg_codes,0),1),IF($A13="uni_pf_NAME",INDEX(pf_codes_values,MATCH(DG$10,pf_codes,0),1),""))</f>
        <v>328.0.1.</v>
      </c>
      <c r="DH13" s="0" cm="1" t="str">
        <f t="array" ref="DH13:DH13">IF($A13="uni_org_reg_NAME",INDEX(org_reg_values,MATCH(DH$10,org_reg_codes,0),1),IF($A13="uni_pf_NAME",INDEX(pf_codes_values,MATCH(DH$10,pf_codes,0),1),""))</f>
        <v>328.0.2.</v>
      </c>
      <c r="DI13" s="0" cm="1" t="str">
        <f t="array" ref="DI13:DI13">IF($A13="uni_org_reg_NAME",INDEX(org_reg_values,MATCH(DI$10,org_reg_codes,0),1),IF($A13="uni_pf_NAME",INDEX(pf_codes_values,MATCH(DI$10,pf_codes,0),1),""))</f>
        <v>328.0.4.</v>
      </c>
      <c r="DJ13" s="0" cm="1" t="str">
        <f t="array" ref="DJ13:DJ13">IF($A13="uni_org_reg_NAME",INDEX(org_reg_values,MATCH(DJ$10,org_reg_codes,0),1),IF($A13="uni_pf_NAME",INDEX(pf_codes_values,MATCH(DJ$10,pf_codes,0),1),""))</f>
        <v>328.0.1.</v>
      </c>
      <c r="DK13" s="0" cm="1" t="str">
        <f t="array" ref="DK13:DK13">IF($A13="uni_org_reg_NAME",INDEX(org_reg_values,MATCH(DK$10,org_reg_codes,0),1),IF($A13="uni_pf_NAME",INDEX(pf_codes_values,MATCH(DK$10,pf_codes,0),1),""))</f>
        <v>328.0.2.</v>
      </c>
      <c r="DL13" s="0" cm="1" t="str">
        <f t="array" ref="DL13:DL13">IF($A13="uni_org_reg_NAME",INDEX(org_reg_values,MATCH(DL$10,org_reg_codes,0),1),IF($A13="uni_pf_NAME",INDEX(pf_codes_values,MATCH(DL$10,pf_codes,0),1),""))</f>
        <v>328.0.4.</v>
      </c>
      <c r="DM13" s="0" cm="1" t="str">
        <f t="array" ref="DM13:DM13">IF($A13="uni_org_reg_NAME",INDEX(org_reg_values,MATCH(DM$10,org_reg_codes,0),1),IF($A13="uni_pf_NAME",INDEX(pf_codes_values,MATCH(DM$10,pf_codes,0),1),""))</f>
        <v>328.0.1.</v>
      </c>
      <c r="DN13" s="0" cm="1" t="str">
        <f t="array" ref="DN13:DN13">IF($A13="uni_org_reg_NAME",INDEX(org_reg_values,MATCH(DN$10,org_reg_codes,0),1),IF($A13="uni_pf_NAME",INDEX(pf_codes_values,MATCH(DN$10,pf_codes,0),1),""))</f>
        <v>328.0.2.</v>
      </c>
      <c r="DO13" s="0" cm="1" t="str">
        <f t="array" ref="DO13:DO13">IF($A13="uni_org_reg_NAME",INDEX(org_reg_values,MATCH(DO$10,org_reg_codes,0),1),IF($A13="uni_pf_NAME",INDEX(pf_codes_values,MATCH(DO$10,pf_codes,0),1),""))</f>
        <v>328.0.4.</v>
      </c>
      <c r="DP13" s="0" cm="1" t="str">
        <f t="array" ref="DP13:DP13">IF($A13="uni_org_reg_NAME",INDEX(org_reg_values,MATCH(DP$10,org_reg_codes,0),1),IF($A13="uni_pf_NAME",INDEX(pf_codes_values,MATCH(DP$10,pf_codes,0),1),""))</f>
        <v>328.0.1.</v>
      </c>
      <c r="DQ13" s="0" cm="1" t="str">
        <f t="array" ref="DQ13:DQ13">IF($A13="uni_org_reg_NAME",INDEX(org_reg_values,MATCH(DQ$10,org_reg_codes,0),1),IF($A13="uni_pf_NAME",INDEX(pf_codes_values,MATCH(DQ$10,pf_codes,0),1),""))</f>
        <v>328.0.2.</v>
      </c>
      <c r="DR13" s="0" cm="1" t="str">
        <f t="array" ref="DR13:DR13">IF($A13="uni_org_reg_NAME",INDEX(org_reg_values,MATCH(DR$10,org_reg_codes,0),1),IF($A13="uni_pf_NAME",INDEX(pf_codes_values,MATCH(DR$10,pf_codes,0),1),""))</f>
        <v>328.0.4.</v>
      </c>
      <c r="DS13" s="0" cm="1" t="str">
        <f t="array" ref="DS13:DS13">IF($A13="uni_org_reg_NAME",INDEX(org_reg_values,MATCH(DS$10,org_reg_codes,0),1),IF($A13="uni_pf_NAME",INDEX(pf_codes_values,MATCH(DS$10,pf_codes,0),1),""))</f>
        <v>328.0.1.</v>
      </c>
      <c r="DT13" s="0" cm="1" t="str">
        <f t="array" ref="DT13:DT13">IF($A13="uni_org_reg_NAME",INDEX(org_reg_values,MATCH(DT$10,org_reg_codes,0),1),IF($A13="uni_pf_NAME",INDEX(pf_codes_values,MATCH(DT$10,pf_codes,0),1),""))</f>
        <v>328.0.2.</v>
      </c>
      <c r="DU13" s="0" cm="1" t="str">
        <f t="array" ref="DU13:DU13">IF($A13="uni_org_reg_NAME",INDEX(org_reg_values,MATCH(DU$10,org_reg_codes,0),1),IF($A13="uni_pf_NAME",INDEX(pf_codes_values,MATCH(DU$10,pf_codes,0),1),""))</f>
        <v>328.0.4.</v>
      </c>
      <c r="DV13" s="0" cm="1" t="str">
        <f t="array" ref="DV13:DV13">IF($A13="uni_org_reg_NAME",INDEX(org_reg_values,MATCH(DV$10,org_reg_codes,0),1),IF($A13="uni_pf_NAME",INDEX(pf_codes_values,MATCH(DV$10,pf_codes,0),1),""))</f>
        <v>328.0.1.</v>
      </c>
      <c r="DW13" s="0" cm="1" t="str">
        <f t="array" ref="DW13:DW13">IF($A13="uni_org_reg_NAME",INDEX(org_reg_values,MATCH(DW$10,org_reg_codes,0),1),IF($A13="uni_pf_NAME",INDEX(pf_codes_values,MATCH(DW$10,pf_codes,0),1),""))</f>
        <v>328.0.2.</v>
      </c>
      <c r="DX13" s="0" cm="1" t="str">
        <f t="array" ref="DX13:DX13">IF($A13="uni_org_reg_NAME",INDEX(org_reg_values,MATCH(DX$10,org_reg_codes,0),1),IF($A13="uni_pf_NAME",INDEX(pf_codes_values,MATCH(DX$10,pf_codes,0),1),""))</f>
        <v>328.0.4.</v>
      </c>
      <c r="DY13" s="0" cm="1" t="str">
        <f t="array" ref="DY13:DY13">IF($A13="uni_org_reg_NAME",INDEX(org_reg_values,MATCH(DY$10,org_reg_codes,0),1),IF($A13="uni_pf_NAME",INDEX(pf_codes_values,MATCH(DY$10,pf_codes,0),1),""))</f>
        <v>328.0.1.</v>
      </c>
      <c r="DZ13" s="0" cm="1" t="str">
        <f t="array" ref="DZ13:DZ13">IF($A13="uni_org_reg_NAME",INDEX(org_reg_values,MATCH(DZ$10,org_reg_codes,0),1),IF($A13="uni_pf_NAME",INDEX(pf_codes_values,MATCH(DZ$10,pf_codes,0),1),""))</f>
        <v>328.0.2.</v>
      </c>
      <c r="EA13" s="0" cm="1" t="str">
        <f t="array" ref="EA13:EA13">IF($A13="uni_org_reg_NAME",INDEX(org_reg_values,MATCH(EA$10,org_reg_codes,0),1),IF($A13="uni_pf_NAME",INDEX(pf_codes_values,MATCH(EA$10,pf_codes,0),1),""))</f>
        <v>328.0.4.</v>
      </c>
      <c r="EB13" s="0" cm="1" t="str">
        <f t="array" ref="EB13:EB13">IF($A13="uni_org_reg_NAME",INDEX(org_reg_values,MATCH(EB$10,org_reg_codes,0),1),IF($A13="uni_pf_NAME",INDEX(pf_codes_values,MATCH(EB$10,pf_codes,0),1),""))</f>
        <v>328.0.1.</v>
      </c>
      <c r="EC13" s="0" cm="1" t="str">
        <f t="array" ref="EC13:EC13">IF($A13="uni_org_reg_NAME",INDEX(org_reg_values,MATCH(EC$10,org_reg_codes,0),1),IF($A13="uni_pf_NAME",INDEX(pf_codes_values,MATCH(EC$10,pf_codes,0),1),""))</f>
        <v>328.0.2.</v>
      </c>
      <c r="ED13" s="0" cm="1" t="str">
        <f t="array" ref="ED13:ED13">IF($A13="uni_org_reg_NAME",INDEX(org_reg_values,MATCH(ED$10,org_reg_codes,0),1),IF($A13="uni_pf_NAME",INDEX(pf_codes_values,MATCH(ED$10,pf_codes,0),1),""))</f>
        <v>328.0.4.</v>
      </c>
      <c r="EE13" s="0" cm="1" t="str">
        <f t="array" ref="EE13:EE13">IF($A13="uni_org_reg_NAME",INDEX(org_reg_values,MATCH(EE$10,org_reg_codes,0),1),IF($A13="uni_pf_NAME",INDEX(pf_codes_values,MATCH(EE$10,pf_codes,0),1),""))</f>
        <v>328.0.1.</v>
      </c>
      <c r="EF13" s="0" cm="1" t="str">
        <f t="array" ref="EF13:EF13">IF($A13="uni_org_reg_NAME",INDEX(org_reg_values,MATCH(EF$10,org_reg_codes,0),1),IF($A13="uni_pf_NAME",INDEX(pf_codes_values,MATCH(EF$10,pf_codes,0),1),""))</f>
        <v>328.0.2.</v>
      </c>
      <c r="EG13" s="0" cm="1" t="str">
        <f t="array" ref="EG13:EG13">IF($A13="uni_org_reg_NAME",INDEX(org_reg_values,MATCH(EG$10,org_reg_codes,0),1),IF($A13="uni_pf_NAME",INDEX(pf_codes_values,MATCH(EG$10,pf_codes,0),1),""))</f>
        <v>328.0.4.</v>
      </c>
      <c r="EH13" s="0" cm="1" t="str">
        <f t="array" ref="EH13:EH13">IF($A13="uni_org_reg_NAME",INDEX(org_reg_values,MATCH(EH$10,org_reg_codes,0),1),IF($A13="uni_pf_NAME",INDEX(pf_codes_values,MATCH(EH$10,pf_codes,0),1),""))</f>
        <v>328.0.1.</v>
      </c>
      <c r="EI13" s="0" cm="1" t="str">
        <f t="array" ref="EI13:EI13">IF($A13="uni_org_reg_NAME",INDEX(org_reg_values,MATCH(EI$10,org_reg_codes,0),1),IF($A13="uni_pf_NAME",INDEX(pf_codes_values,MATCH(EI$10,pf_codes,0),1),""))</f>
        <v>328.0.2.</v>
      </c>
      <c r="EJ13" s="0" cm="1" t="str">
        <f t="array" ref="EJ13:EJ13">IF($A13="uni_org_reg_NAME",INDEX(org_reg_values,MATCH(EJ$10,org_reg_codes,0),1),IF($A13="uni_pf_NAME",INDEX(pf_codes_values,MATCH(EJ$10,pf_codes,0),1),""))</f>
        <v>328.0.4.</v>
      </c>
      <c r="EK13" s="0" cm="1" t="str">
        <f t="array" ref="EK13:EK13">IF($A13="uni_org_reg_NAME",INDEX(org_reg_values,MATCH(EK$10,org_reg_codes,0),1),IF($A13="uni_pf_NAME",INDEX(pf_codes_values,MATCH(EK$10,pf_codes,0),1),""))</f>
        <v>328.0.1.</v>
      </c>
      <c r="EL13" s="0" cm="1" t="str">
        <f t="array" ref="EL13:EL13">IF($A13="uni_org_reg_NAME",INDEX(org_reg_values,MATCH(EL$10,org_reg_codes,0),1),IF($A13="uni_pf_NAME",INDEX(pf_codes_values,MATCH(EL$10,pf_codes,0),1),""))</f>
        <v>328.0.2.</v>
      </c>
      <c r="EM13" s="0" cm="1" t="str">
        <f t="array" ref="EM13:EM13">IF($A13="uni_org_reg_NAME",INDEX(org_reg_values,MATCH(EM$10,org_reg_codes,0),1),IF($A13="uni_pf_NAME",INDEX(pf_codes_values,MATCH(EM$10,pf_codes,0),1),""))</f>
        <v>328.0.4.</v>
      </c>
      <c r="EN13" s="0" cm="1" t="str">
        <f t="array" ref="EN13:EN13">IF($A13="uni_org_reg_NAME",INDEX(org_reg_values,MATCH(EN$10,org_reg_codes,0),1),IF($A13="uni_pf_NAME",INDEX(pf_codes_values,MATCH(EN$10,pf_codes,0),1),""))</f>
        <v>328.0.1.</v>
      </c>
      <c r="EO13" s="0" cm="1" t="str">
        <f t="array" ref="EO13:EO13">IF($A13="uni_org_reg_NAME",INDEX(org_reg_values,MATCH(EO$10,org_reg_codes,0),1),IF($A13="uni_pf_NAME",INDEX(pf_codes_values,MATCH(EO$10,pf_codes,0),1),""))</f>
        <v>328.0.2.</v>
      </c>
      <c r="EP13" s="0" cm="1" t="str">
        <f t="array" ref="EP13:EP13">IF($A13="uni_org_reg_NAME",INDEX(org_reg_values,MATCH(EP$10,org_reg_codes,0),1),IF($A13="uni_pf_NAME",INDEX(pf_codes_values,MATCH(EP$10,pf_codes,0),1),""))</f>
        <v>328.0.4.</v>
      </c>
      <c r="EQ13" s="0" cm="1" t="str">
        <f t="array" ref="EQ13:EQ13">IF($A13="uni_org_reg_NAME",INDEX(org_reg_values,MATCH(EQ$10,org_reg_codes,0),1),IF($A13="uni_pf_NAME",INDEX(pf_codes_values,MATCH(EQ$10,pf_codes,0),1),""))</f>
        <v>328.0.1.</v>
      </c>
      <c r="ER13" s="0" cm="1" t="str">
        <f t="array" ref="ER13:ER13">IF($A13="uni_org_reg_NAME",INDEX(org_reg_values,MATCH(ER$10,org_reg_codes,0),1),IF($A13="uni_pf_NAME",INDEX(pf_codes_values,MATCH(ER$10,pf_codes,0),1),""))</f>
        <v>328.0.2.</v>
      </c>
      <c r="ES13" s="0" cm="1" t="str">
        <f t="array" ref="ES13:ES13">IF($A13="uni_org_reg_NAME",INDEX(org_reg_values,MATCH(ES$10,org_reg_codes,0),1),IF($A13="uni_pf_NAME",INDEX(pf_codes_values,MATCH(ES$10,pf_codes,0),1),""))</f>
        <v>328.0.4.</v>
      </c>
      <c r="ET13" s="0" cm="1" t="str">
        <f t="array" ref="ET13:ET13">IF($A13="uni_org_reg_NAME",INDEX(org_reg_values,MATCH(ET$10,org_reg_codes,0),1),IF($A13="uni_pf_NAME",INDEX(pf_codes_values,MATCH(ET$10,pf_codes,0),1),""))</f>
        <v>328.0.1.</v>
      </c>
      <c r="EU13" s="0" cm="1" t="str">
        <f t="array" ref="EU13:EU13">IF($A13="uni_org_reg_NAME",INDEX(org_reg_values,MATCH(EU$10,org_reg_codes,0),1),IF($A13="uni_pf_NAME",INDEX(pf_codes_values,MATCH(EU$10,pf_codes,0),1),""))</f>
        <v>328.0.2.</v>
      </c>
      <c r="EV13" s="0" cm="1" t="str">
        <f t="array" ref="EV13:EV13">IF($A13="uni_org_reg_NAME",INDEX(org_reg_values,MATCH(EV$10,org_reg_codes,0),1),IF($A13="uni_pf_NAME",INDEX(pf_codes_values,MATCH(EV$10,pf_codes,0),1),""))</f>
        <v>328.0.4.</v>
      </c>
      <c r="EW13" s="0" cm="1" t="str">
        <f t="array" ref="EW13:EW13">IF($A13="uni_org_reg_NAME",INDEX(org_reg_values,MATCH(EW$10,org_reg_codes,0),1),IF($A13="uni_pf_NAME",INDEX(pf_codes_values,MATCH(EW$10,pf_codes,0),1),""))</f>
        <v>328.0.1.</v>
      </c>
      <c r="EX13" s="0" cm="1" t="str">
        <f t="array" ref="EX13:EX13">IF($A13="uni_org_reg_NAME",INDEX(org_reg_values,MATCH(EX$10,org_reg_codes,0),1),IF($A13="uni_pf_NAME",INDEX(pf_codes_values,MATCH(EX$10,pf_codes,0),1),""))</f>
        <v>328.0.2.</v>
      </c>
      <c r="EY13" s="0" cm="1" t="str">
        <f t="array" ref="EY13:EY13">IF($A13="uni_org_reg_NAME",INDEX(org_reg_values,MATCH(EY$10,org_reg_codes,0),1),IF($A13="uni_pf_NAME",INDEX(pf_codes_values,MATCH(EY$10,pf_codes,0),1),""))</f>
        <v>328.0.4.</v>
      </c>
      <c r="EZ13" s="0" cm="1" t="str">
        <f t="array" ref="EZ13:EZ13">IF($A13="uni_org_reg_NAME",INDEX(org_reg_values,MATCH(EZ$10,org_reg_codes,0),1),IF($A13="uni_pf_NAME",INDEX(pf_codes_values,MATCH(EZ$10,pf_codes,0),1),""))</f>
        <v>328.0.1.</v>
      </c>
      <c r="FA13" s="0" cm="1" t="str">
        <f t="array" ref="FA13:FA13">IF($A13="uni_org_reg_NAME",INDEX(org_reg_values,MATCH(FA$10,org_reg_codes,0),1),IF($A13="uni_pf_NAME",INDEX(pf_codes_values,MATCH(FA$10,pf_codes,0),1),""))</f>
        <v>328.0.2.</v>
      </c>
      <c r="FB13" s="0" cm="1" t="str">
        <f t="array" ref="FB13:FB13">IF($A13="uni_org_reg_NAME",INDEX(org_reg_values,MATCH(FB$10,org_reg_codes,0),1),IF($A13="uni_pf_NAME",INDEX(pf_codes_values,MATCH(FB$10,pf_codes,0),1),""))</f>
        <v>328.0.4.</v>
      </c>
      <c r="FC13" s="0" cm="1" t="str">
        <f t="array" ref="FC13:FC13">IF($A13="uni_org_reg_NAME",INDEX(org_reg_values,MATCH(FC$10,org_reg_codes,0),1),IF($A13="uni_pf_NAME",INDEX(pf_codes_values,MATCH(FC$10,pf_codes,0),1),""))</f>
        <v>328.0.1.</v>
      </c>
      <c r="FD13" s="0" cm="1" t="str">
        <f t="array" ref="FD13:FD13">IF($A13="uni_org_reg_NAME",INDEX(org_reg_values,MATCH(FD$10,org_reg_codes,0),1),IF($A13="uni_pf_NAME",INDEX(pf_codes_values,MATCH(FD$10,pf_codes,0),1),""))</f>
        <v>328.0.2.</v>
      </c>
      <c r="FE13" s="0" cm="1" t="str">
        <f t="array" ref="FE13:FE13">IF($A13="uni_org_reg_NAME",INDEX(org_reg_values,MATCH(FE$10,org_reg_codes,0),1),IF($A13="uni_pf_NAME",INDEX(pf_codes_values,MATCH(FE$10,pf_codes,0),1),""))</f>
        <v>328.0.4.</v>
      </c>
      <c r="FF13" s="0" cm="1" t="str">
        <f t="array" ref="FF13:FF13">IF($A13="uni_org_reg_NAME",INDEX(org_reg_values,MATCH(FF$10,org_reg_codes,0),1),IF($A13="uni_pf_NAME",INDEX(pf_codes_values,MATCH(FF$10,pf_codes,0),1),""))</f>
        <v>328.0.1.</v>
      </c>
      <c r="FG13" s="0" cm="1" t="str">
        <f t="array" ref="FG13:FG13">IF($A13="uni_org_reg_NAME",INDEX(org_reg_values,MATCH(FG$10,org_reg_codes,0),1),IF($A13="uni_pf_NAME",INDEX(pf_codes_values,MATCH(FG$10,pf_codes,0),1),""))</f>
        <v>328.0.2.</v>
      </c>
      <c r="FH13" s="0" cm="1" t="str">
        <f t="array" ref="FH13:FH13">IF($A13="uni_org_reg_NAME",INDEX(org_reg_values,MATCH(FH$10,org_reg_codes,0),1),IF($A13="uni_pf_NAME",INDEX(pf_codes_values,MATCH(FH$10,pf_codes,0),1),""))</f>
        <v>328.0.4.</v>
      </c>
      <c r="FI13" s="0" cm="1" t="str">
        <f t="array" ref="FI13:FI13">IF($A13="uni_org_reg_NAME",INDEX(org_reg_values,MATCH(FI$10,org_reg_codes,0),1),IF($A13="uni_pf_NAME",INDEX(pf_codes_values,MATCH(FI$10,pf_codes,0),1),""))</f>
        <v>328.0.1.</v>
      </c>
      <c r="FJ13" s="0" cm="1" t="str">
        <f t="array" ref="FJ13:FJ13">IF($A13="uni_org_reg_NAME",INDEX(org_reg_values,MATCH(FJ$10,org_reg_codes,0),1),IF($A13="uni_pf_NAME",INDEX(pf_codes_values,MATCH(FJ$10,pf_codes,0),1),""))</f>
        <v>328.0.2.</v>
      </c>
      <c r="FK13" s="0" cm="1" t="str">
        <f t="array" ref="FK13:FK13">IF($A13="uni_org_reg_NAME",INDEX(org_reg_values,MATCH(FK$10,org_reg_codes,0),1),IF($A13="uni_pf_NAME",INDEX(pf_codes_values,MATCH(FK$10,pf_codes,0),1),""))</f>
        <v>328.0.4.</v>
      </c>
      <c r="FL13" s="0" cm="1" t="str">
        <f t="array" ref="FL13:FL13">IF($A13="uni_org_reg_NAME",INDEX(org_reg_values,MATCH(FL$10,org_reg_codes,0),1),IF($A13="uni_pf_NAME",INDEX(pf_codes_values,MATCH(FL$10,pf_codes,0),1),""))</f>
        <v>328.0.1.</v>
      </c>
      <c r="FM13" s="0" cm="1" t="str">
        <f t="array" ref="FM13:FM13">IF($A13="uni_org_reg_NAME",INDEX(org_reg_values,MATCH(FM$10,org_reg_codes,0),1),IF($A13="uni_pf_NAME",INDEX(pf_codes_values,MATCH(FM$10,pf_codes,0),1),""))</f>
        <v>328.0.2.</v>
      </c>
      <c r="FN13" s="0" cm="1" t="str">
        <f t="array" ref="FN13:FN13">IF($A13="uni_org_reg_NAME",INDEX(org_reg_values,MATCH(FN$10,org_reg_codes,0),1),IF($A13="uni_pf_NAME",INDEX(pf_codes_values,MATCH(FN$10,pf_codes,0),1),""))</f>
        <v>328.0.4.</v>
      </c>
      <c r="FO13" s="0" cm="1" t="str">
        <f t="array" ref="FO13:FO13">IF($A13="uni_org_reg_NAME",INDEX(org_reg_values,MATCH(FO$10,org_reg_codes,0),1),IF($A13="uni_pf_NAME",INDEX(pf_codes_values,MATCH(FO$10,pf_codes,0),1),""))</f>
        <v>328.0.1.</v>
      </c>
      <c r="FP13" s="0" cm="1" t="str">
        <f t="array" ref="FP13:FP13">IF($A13="uni_org_reg_NAME",INDEX(org_reg_values,MATCH(FP$10,org_reg_codes,0),1),IF($A13="uni_pf_NAME",INDEX(pf_codes_values,MATCH(FP$10,pf_codes,0),1),""))</f>
        <v>328.0.2.</v>
      </c>
      <c r="FQ13" s="0" cm="1" t="str">
        <f t="array" ref="FQ13:FQ13">IF($A13="uni_org_reg_NAME",INDEX(org_reg_values,MATCH(FQ$10,org_reg_codes,0),1),IF($A13="uni_pf_NAME",INDEX(pf_codes_values,MATCH(FQ$10,pf_codes,0),1),""))</f>
        <v>328.0.4.</v>
      </c>
      <c r="FR13" s="0" cm="1" t="str">
        <f t="array" ref="FR13:FR13">IF($A13="uni_org_reg_NAME",INDEX(org_reg_values,MATCH(FR$10,org_reg_codes,0),1),IF($A13="uni_pf_NAME",INDEX(pf_codes_values,MATCH(FR$10,pf_codes,0),1),""))</f>
        <v>328.0.1.</v>
      </c>
      <c r="FS13" s="0" cm="1" t="str">
        <f t="array" ref="FS13:FS13">IF($A13="uni_org_reg_NAME",INDEX(org_reg_values,MATCH(FS$10,org_reg_codes,0),1),IF($A13="uni_pf_NAME",INDEX(pf_codes_values,MATCH(FS$10,pf_codes,0),1),""))</f>
        <v>328.0.2.</v>
      </c>
      <c r="FT13" s="0" cm="1" t="str">
        <f t="array" ref="FT13:FT13">IF($A13="uni_org_reg_NAME",INDEX(org_reg_values,MATCH(FT$10,org_reg_codes,0),1),IF($A13="uni_pf_NAME",INDEX(pf_codes_values,MATCH(FT$10,pf_codes,0),1),""))</f>
        <v>328.0.4.</v>
      </c>
      <c r="FU13" s="0" cm="1" t="str">
        <f t="array" ref="FU13:FU13">IF($A13="uni_org_reg_NAME",INDEX(org_reg_values,MATCH(FU$10,org_reg_codes,0),1),IF($A13="uni_pf_NAME",INDEX(pf_codes_values,MATCH(FU$10,pf_codes,0),1),""))</f>
        <v>328.0.1.</v>
      </c>
      <c r="FV13" s="0" cm="1" t="str">
        <f t="array" ref="FV13:FV13">IF($A13="uni_org_reg_NAME",INDEX(org_reg_values,MATCH(FV$10,org_reg_codes,0),1),IF($A13="uni_pf_NAME",INDEX(pf_codes_values,MATCH(FV$10,pf_codes,0),1),""))</f>
        <v>328.0.2.</v>
      </c>
      <c r="FW13" s="0" cm="1" t="str">
        <f t="array" ref="FW13:FW13">IF($A13="uni_org_reg_NAME",INDEX(org_reg_values,MATCH(FW$10,org_reg_codes,0),1),IF($A13="uni_pf_NAME",INDEX(pf_codes_values,MATCH(FW$10,pf_codes,0),1),""))</f>
        <v>328.0.4.</v>
      </c>
    </row>
    <row s="1548" customFormat="1" customHeight="1" ht="11.25" hidden="1">
      <c r="A14" s="371"/>
      <c r="C14" s="193"/>
      <c r="D14" s="193"/>
      <c r="E14" s="180"/>
      <c r="G14" s="193"/>
      <c r="H14" s="193"/>
      <c r="I14" s="193"/>
      <c r="J14" s="193"/>
      <c r="K14" s="193"/>
      <c r="L14" s="193"/>
      <c r="M14" s="193"/>
      <c r="N14" s="193"/>
      <c r="O14" s="193"/>
      <c r="P14" s="193"/>
      <c r="Q14" s="193"/>
      <c r="R14" s="193"/>
      <c r="S14" s="193"/>
      <c r="AB14" s="176"/>
      <c r="AC14" s="176"/>
      <c r="AG14" s="1548"/>
      <c r="AH14" s="1548"/>
      <c r="AI14" s="1548"/>
      <c r="AJ14" s="1548"/>
      <c r="AK14" s="1548"/>
      <c r="AL14" s="1548"/>
      <c r="AM14" s="1548"/>
      <c r="AN14" s="1548"/>
      <c r="AO14" s="1548"/>
      <c r="AP14" s="1548"/>
      <c r="AQ14" s="1548"/>
      <c r="AR14" s="1548"/>
      <c r="AS14" s="1548"/>
      <c r="AT14" s="1548"/>
      <c r="AU14" s="1548"/>
      <c r="AV14" s="1548"/>
      <c r="AW14" s="1548"/>
      <c r="AX14" s="1548"/>
      <c r="AY14" s="1548"/>
      <c r="AZ14" s="1548"/>
      <c r="BA14" s="1548"/>
      <c r="BB14" s="1548"/>
      <c r="BC14" s="1548"/>
      <c r="BD14" s="1548"/>
      <c r="BE14" s="1548"/>
      <c r="BF14" s="1548"/>
      <c r="BG14" s="1548"/>
      <c r="BH14" s="1548"/>
      <c r="BI14" s="1548"/>
      <c r="BJ14" s="1548"/>
      <c r="BK14" s="1548"/>
      <c r="BL14" s="1548"/>
      <c r="BM14" s="1548"/>
      <c r="BN14" s="1548"/>
      <c r="BO14" s="1548"/>
      <c r="BP14" s="1548"/>
      <c r="BQ14" s="1548"/>
      <c r="BR14" s="1548"/>
      <c r="BS14" s="1548"/>
      <c r="BT14" s="1548"/>
      <c r="BU14" s="1548"/>
      <c r="BV14" s="1548"/>
      <c r="BW14" s="1548"/>
      <c r="BX14" s="1548"/>
      <c r="BY14" s="1548"/>
      <c r="BZ14" s="1548"/>
      <c r="CA14" s="1548"/>
      <c r="CB14" s="1548"/>
      <c r="CC14" s="1548"/>
      <c r="CD14" s="1548"/>
      <c r="CE14" s="1548"/>
      <c r="CF14" s="1548"/>
      <c r="CG14" s="1548"/>
      <c r="CH14" s="1548"/>
      <c r="CI14" s="1548"/>
      <c r="CJ14" s="1548"/>
      <c r="CK14" s="1548"/>
      <c r="CL14" s="1548"/>
      <c r="CM14" s="1548"/>
      <c r="CN14" s="1548"/>
      <c r="CO14" s="1548"/>
      <c r="CP14" s="1548"/>
      <c r="CQ14" s="1548"/>
      <c r="CR14" s="1548"/>
      <c r="CS14" s="1548"/>
      <c r="CT14" s="1548"/>
      <c r="CU14" s="1548"/>
      <c r="CV14" s="1548"/>
      <c r="CW14" s="1548"/>
      <c r="CX14" s="1548"/>
      <c r="CY14" s="1548"/>
      <c r="CZ14" s="1548"/>
      <c r="DA14" s="1548"/>
      <c r="DB14" s="1548"/>
      <c r="DC14" s="1548"/>
      <c r="DD14" s="1548"/>
      <c r="DE14" s="1548"/>
      <c r="DF14" s="1548"/>
      <c r="DG14" s="1548"/>
      <c r="DH14" s="1548"/>
      <c r="DI14" s="1548"/>
      <c r="DJ14" s="1548"/>
      <c r="DK14" s="1548"/>
      <c r="DL14" s="1548"/>
      <c r="DM14" s="1548"/>
      <c r="DN14" s="1548"/>
      <c r="DO14" s="1548"/>
      <c r="DP14" s="1548"/>
      <c r="DQ14" s="1548"/>
      <c r="DR14" s="1548"/>
      <c r="DS14" s="1548"/>
      <c r="DT14" s="1548"/>
      <c r="DU14" s="1548"/>
      <c r="DV14" s="1548"/>
      <c r="DW14" s="1548"/>
      <c r="DX14" s="1548"/>
      <c r="DY14" s="1548"/>
      <c r="DZ14" s="1548"/>
      <c r="EA14" s="1548"/>
      <c r="EB14" s="1548"/>
      <c r="EC14" s="1548"/>
      <c r="ED14" s="1548"/>
      <c r="EE14" s="1548"/>
      <c r="EF14" s="1548"/>
      <c r="EG14" s="1548"/>
      <c r="EH14" s="1548"/>
      <c r="EI14" s="1548"/>
      <c r="EJ14" s="1548"/>
      <c r="EK14" s="1548"/>
      <c r="EL14" s="1548"/>
      <c r="EM14" s="1548"/>
      <c r="EN14" s="1548"/>
      <c r="EO14" s="1548"/>
      <c r="EP14" s="1548"/>
      <c r="EQ14" s="1548"/>
      <c r="ER14" s="1548"/>
      <c r="ES14" s="1548"/>
      <c r="ET14" s="1548"/>
      <c r="EU14" s="1548"/>
      <c r="EV14" s="1548"/>
      <c r="EW14" s="1548"/>
      <c r="EX14" s="1548"/>
      <c r="EY14" s="1548"/>
      <c r="EZ14" s="1548"/>
      <c r="FA14" s="1548"/>
      <c r="FB14" s="1548"/>
      <c r="FC14" s="1548"/>
      <c r="FD14" s="1548"/>
      <c r="FE14" s="1548"/>
      <c r="FF14" s="1548"/>
      <c r="FG14" s="1548"/>
      <c r="FH14" s="1548"/>
      <c r="FI14" s="1548"/>
      <c r="FJ14" s="1548"/>
      <c r="FK14" s="1548"/>
      <c r="FL14" s="1548"/>
      <c r="FM14" s="1548"/>
      <c r="FN14" s="1548"/>
      <c r="FO14" s="1548"/>
      <c r="FP14" s="1548"/>
      <c r="FQ14" s="1548"/>
      <c r="FR14" s="1548"/>
      <c r="FS14" s="1548"/>
      <c r="FT14" s="1548"/>
      <c r="FU14" s="1548"/>
      <c r="FV14" s="1548"/>
      <c r="FW14" s="1548"/>
      <c r="FZ14" s="489"/>
      <c r="GA14" s="489"/>
      <c r="GB14" s="489"/>
      <c r="GC14" s="489"/>
      <c r="GD14" s="489"/>
      <c r="GF14" s="0"/>
      <c r="GG14" s="0"/>
      <c r="GH14" s="0"/>
      <c r="GI14" s="0"/>
      <c r="GJ14" s="0"/>
      <c r="GK14" s="0"/>
      <c r="GL14" s="0"/>
      <c r="GM14" s="0"/>
      <c r="GN14" s="0"/>
    </row>
    <row s="1548" customFormat="1" customHeight="1" ht="11.25" hidden="1">
      <c r="A15" s="371"/>
      <c r="C15" s="193"/>
      <c r="D15" s="193"/>
      <c r="E15" s="180"/>
      <c r="G15" s="193"/>
      <c r="H15" s="193"/>
      <c r="I15" s="193"/>
      <c r="J15" s="193"/>
      <c r="K15" s="193"/>
      <c r="L15" s="193"/>
      <c r="M15" s="193"/>
      <c r="N15" s="193"/>
      <c r="O15" s="193"/>
      <c r="P15" s="193"/>
      <c r="Q15" s="193"/>
      <c r="R15" s="193"/>
      <c r="S15" s="193"/>
      <c r="AB15" s="176"/>
      <c r="AC15" s="176"/>
      <c r="AG15" s="1548"/>
      <c r="AH15" s="1548"/>
      <c r="AI15" s="1548"/>
      <c r="AJ15" s="1548"/>
      <c r="AK15" s="1548"/>
      <c r="AL15" s="1548"/>
      <c r="AM15" s="1548"/>
      <c r="AN15" s="1548"/>
      <c r="AO15" s="1548"/>
      <c r="AP15" s="1548"/>
      <c r="AQ15" s="1548"/>
      <c r="AR15" s="1548"/>
      <c r="AS15" s="1548"/>
      <c r="AT15" s="1548"/>
      <c r="AU15" s="1548"/>
      <c r="AV15" s="1548"/>
      <c r="AW15" s="1548"/>
      <c r="AX15" s="1548"/>
      <c r="AY15" s="1548"/>
      <c r="AZ15" s="1548"/>
      <c r="BA15" s="1548"/>
      <c r="BB15" s="1548"/>
      <c r="BC15" s="1548"/>
      <c r="BD15" s="1548"/>
      <c r="BE15" s="1548"/>
      <c r="BF15" s="1548"/>
      <c r="BG15" s="1548"/>
      <c r="BH15" s="1548"/>
      <c r="BI15" s="1548"/>
      <c r="BJ15" s="1548"/>
      <c r="BK15" s="1548"/>
      <c r="BL15" s="1548"/>
      <c r="BM15" s="1548"/>
      <c r="BN15" s="1548"/>
      <c r="BO15" s="1548"/>
      <c r="BP15" s="1548"/>
      <c r="BQ15" s="1548"/>
      <c r="BR15" s="1548"/>
      <c r="BS15" s="1548"/>
      <c r="BT15" s="1548"/>
      <c r="BU15" s="1548"/>
      <c r="BV15" s="1548"/>
      <c r="BW15" s="1548"/>
      <c r="BX15" s="1548"/>
      <c r="BY15" s="1548"/>
      <c r="BZ15" s="1548"/>
      <c r="CA15" s="1548"/>
      <c r="CB15" s="1548"/>
      <c r="CC15" s="1548"/>
      <c r="CD15" s="1548"/>
      <c r="CE15" s="1548"/>
      <c r="CF15" s="1548"/>
      <c r="CG15" s="1548"/>
      <c r="CH15" s="1548"/>
      <c r="CI15" s="1548"/>
      <c r="CJ15" s="1548"/>
      <c r="CK15" s="1548"/>
      <c r="CL15" s="1548"/>
      <c r="CM15" s="1548"/>
      <c r="CN15" s="1548"/>
      <c r="CO15" s="1548"/>
      <c r="CP15" s="1548"/>
      <c r="CQ15" s="1548"/>
      <c r="CR15" s="1548"/>
      <c r="CS15" s="1548"/>
      <c r="CT15" s="1548"/>
      <c r="CU15" s="1548"/>
      <c r="CV15" s="1548"/>
      <c r="CW15" s="1548"/>
      <c r="CX15" s="1548"/>
      <c r="CY15" s="1548"/>
      <c r="CZ15" s="1548"/>
      <c r="DA15" s="1548"/>
      <c r="DB15" s="1548"/>
      <c r="DC15" s="1548"/>
      <c r="DD15" s="1548"/>
      <c r="DE15" s="1548"/>
      <c r="DF15" s="1548"/>
      <c r="DG15" s="1548"/>
      <c r="DH15" s="1548"/>
      <c r="DI15" s="1548"/>
      <c r="DJ15" s="1548"/>
      <c r="DK15" s="1548"/>
      <c r="DL15" s="1548"/>
      <c r="DM15" s="1548"/>
      <c r="DN15" s="1548"/>
      <c r="DO15" s="1548"/>
      <c r="DP15" s="1548"/>
      <c r="DQ15" s="1548"/>
      <c r="DR15" s="1548"/>
      <c r="DS15" s="1548"/>
      <c r="DT15" s="1548"/>
      <c r="DU15" s="1548"/>
      <c r="DV15" s="1548"/>
      <c r="DW15" s="1548"/>
      <c r="DX15" s="1548"/>
      <c r="DY15" s="1548"/>
      <c r="DZ15" s="1548"/>
      <c r="EA15" s="1548"/>
      <c r="EB15" s="1548"/>
      <c r="EC15" s="1548"/>
      <c r="ED15" s="1548"/>
      <c r="EE15" s="1548"/>
      <c r="EF15" s="1548"/>
      <c r="EG15" s="1548"/>
      <c r="EH15" s="1548"/>
      <c r="EI15" s="1548"/>
      <c r="EJ15" s="1548"/>
      <c r="EK15" s="1548"/>
      <c r="EL15" s="1548"/>
      <c r="EM15" s="1548"/>
      <c r="EN15" s="1548"/>
      <c r="EO15" s="1548"/>
      <c r="EP15" s="1548"/>
      <c r="EQ15" s="1548"/>
      <c r="ER15" s="1548"/>
      <c r="ES15" s="1548"/>
      <c r="ET15" s="1548"/>
      <c r="EU15" s="1548"/>
      <c r="EV15" s="1548"/>
      <c r="EW15" s="1548"/>
      <c r="EX15" s="1548"/>
      <c r="EY15" s="1548"/>
      <c r="EZ15" s="1548"/>
      <c r="FA15" s="1548"/>
      <c r="FB15" s="1548"/>
      <c r="FC15" s="1548"/>
      <c r="FD15" s="1548"/>
      <c r="FE15" s="1548"/>
      <c r="FF15" s="1548"/>
      <c r="FG15" s="1548"/>
      <c r="FH15" s="1548"/>
      <c r="FI15" s="1548"/>
      <c r="FJ15" s="1548"/>
      <c r="FK15" s="1548"/>
      <c r="FL15" s="1548"/>
      <c r="FM15" s="1548"/>
      <c r="FN15" s="1548"/>
      <c r="FO15" s="1548"/>
      <c r="FP15" s="1548"/>
      <c r="FQ15" s="1548"/>
      <c r="FR15" s="1548"/>
      <c r="FS15" s="1548"/>
      <c r="FT15" s="1548"/>
      <c r="FU15" s="1548"/>
      <c r="FV15" s="1548"/>
      <c r="FW15" s="1548"/>
      <c r="FZ15" s="489"/>
      <c r="GA15" s="489"/>
      <c r="GB15" s="489"/>
      <c r="GC15" s="489"/>
      <c r="GD15" s="489"/>
      <c r="GF15" s="0"/>
      <c r="GG15" s="0"/>
      <c r="GH15" s="0"/>
      <c r="GI15" s="0"/>
      <c r="GJ15" s="0"/>
      <c r="GK15" s="0"/>
      <c r="GL15" s="0"/>
      <c r="GM15" s="0"/>
      <c r="GN15" s="0"/>
    </row>
    <row s="1548" customFormat="1" customHeight="1" ht="11.25" hidden="1">
      <c r="A16" s="371"/>
      <c r="C16" s="193"/>
      <c r="D16" s="193"/>
      <c r="E16" s="180"/>
      <c r="G16" s="193"/>
      <c r="H16" s="193"/>
      <c r="I16" s="193"/>
      <c r="J16" s="193"/>
      <c r="K16" s="193"/>
      <c r="L16" s="193"/>
      <c r="M16" s="193"/>
      <c r="N16" s="193"/>
      <c r="O16" s="193"/>
      <c r="P16" s="193"/>
      <c r="Q16" s="193"/>
      <c r="R16" s="193"/>
      <c r="S16" s="193"/>
      <c r="AB16" s="176"/>
      <c r="AC16" s="176"/>
      <c r="AG16" s="1548"/>
      <c r="AH16" s="1548"/>
      <c r="AI16" s="1548"/>
      <c r="AJ16" s="1548"/>
      <c r="AK16" s="1548"/>
      <c r="AL16" s="1548"/>
      <c r="AM16" s="1548"/>
      <c r="AN16" s="1548"/>
      <c r="AO16" s="1548"/>
      <c r="AP16" s="1548"/>
      <c r="AQ16" s="1548"/>
      <c r="AR16" s="1548"/>
      <c r="AS16" s="1548"/>
      <c r="AT16" s="1548"/>
      <c r="AU16" s="1548"/>
      <c r="AV16" s="1548"/>
      <c r="AW16" s="1548"/>
      <c r="AX16" s="1548"/>
      <c r="AY16" s="1548"/>
      <c r="AZ16" s="1548"/>
      <c r="BA16" s="1548"/>
      <c r="BB16" s="1548"/>
      <c r="BC16" s="1548"/>
      <c r="BD16" s="1548"/>
      <c r="BE16" s="1548"/>
      <c r="BF16" s="1548"/>
      <c r="BG16" s="1548"/>
      <c r="BH16" s="1548"/>
      <c r="BI16" s="1548"/>
      <c r="BJ16" s="1548"/>
      <c r="BK16" s="1548"/>
      <c r="BL16" s="1548"/>
      <c r="BM16" s="1548"/>
      <c r="BN16" s="1548"/>
      <c r="BO16" s="1548"/>
      <c r="BP16" s="1548"/>
      <c r="BQ16" s="1548"/>
      <c r="BR16" s="1548"/>
      <c r="BS16" s="1548"/>
      <c r="BT16" s="1548"/>
      <c r="BU16" s="1548"/>
      <c r="BV16" s="1548"/>
      <c r="BW16" s="1548"/>
      <c r="BX16" s="1548"/>
      <c r="BY16" s="1548"/>
      <c r="BZ16" s="1548"/>
      <c r="CA16" s="1548"/>
      <c r="CB16" s="1548"/>
      <c r="CC16" s="1548"/>
      <c r="CD16" s="1548"/>
      <c r="CE16" s="1548"/>
      <c r="CF16" s="1548"/>
      <c r="CG16" s="1548"/>
      <c r="CH16" s="1548"/>
      <c r="CI16" s="1548"/>
      <c r="CJ16" s="1548"/>
      <c r="CK16" s="1548"/>
      <c r="CL16" s="1548"/>
      <c r="CM16" s="1548"/>
      <c r="CN16" s="1548"/>
      <c r="CO16" s="1548"/>
      <c r="CP16" s="1548"/>
      <c r="CQ16" s="1548"/>
      <c r="CR16" s="1548"/>
      <c r="CS16" s="1548"/>
      <c r="CT16" s="1548"/>
      <c r="CU16" s="1548"/>
      <c r="CV16" s="1548"/>
      <c r="CW16" s="1548"/>
      <c r="CX16" s="1548"/>
      <c r="CY16" s="1548"/>
      <c r="CZ16" s="1548"/>
      <c r="DA16" s="1548"/>
      <c r="DB16" s="1548"/>
      <c r="DC16" s="1548"/>
      <c r="DD16" s="1548"/>
      <c r="DE16" s="1548"/>
      <c r="DF16" s="1548"/>
      <c r="DG16" s="1548"/>
      <c r="DH16" s="1548"/>
      <c r="DI16" s="1548"/>
      <c r="DJ16" s="1548"/>
      <c r="DK16" s="1548"/>
      <c r="DL16" s="1548"/>
      <c r="DM16" s="1548"/>
      <c r="DN16" s="1548"/>
      <c r="DO16" s="1548"/>
      <c r="DP16" s="1548"/>
      <c r="DQ16" s="1548"/>
      <c r="DR16" s="1548"/>
      <c r="DS16" s="1548"/>
      <c r="DT16" s="1548"/>
      <c r="DU16" s="1548"/>
      <c r="DV16" s="1548"/>
      <c r="DW16" s="1548"/>
      <c r="DX16" s="1548"/>
      <c r="DY16" s="1548"/>
      <c r="DZ16" s="1548"/>
      <c r="EA16" s="1548"/>
      <c r="EB16" s="1548"/>
      <c r="EC16" s="1548"/>
      <c r="ED16" s="1548"/>
      <c r="EE16" s="1548"/>
      <c r="EF16" s="1548"/>
      <c r="EG16" s="1548"/>
      <c r="EH16" s="1548"/>
      <c r="EI16" s="1548"/>
      <c r="EJ16" s="1548"/>
      <c r="EK16" s="1548"/>
      <c r="EL16" s="1548"/>
      <c r="EM16" s="1548"/>
      <c r="EN16" s="1548"/>
      <c r="EO16" s="1548"/>
      <c r="EP16" s="1548"/>
      <c r="EQ16" s="1548"/>
      <c r="ER16" s="1548"/>
      <c r="ES16" s="1548"/>
      <c r="ET16" s="1548"/>
      <c r="EU16" s="1548"/>
      <c r="EV16" s="1548"/>
      <c r="EW16" s="1548"/>
      <c r="EX16" s="1548"/>
      <c r="EY16" s="1548"/>
      <c r="EZ16" s="1548"/>
      <c r="FA16" s="1548"/>
      <c r="FB16" s="1548"/>
      <c r="FC16" s="1548"/>
      <c r="FD16" s="1548"/>
      <c r="FE16" s="1548"/>
      <c r="FF16" s="1548"/>
      <c r="FG16" s="1548"/>
      <c r="FH16" s="1548"/>
      <c r="FI16" s="1548"/>
      <c r="FJ16" s="1548"/>
      <c r="FK16" s="1548"/>
      <c r="FL16" s="1548"/>
      <c r="FM16" s="1548"/>
      <c r="FN16" s="1548"/>
      <c r="FO16" s="1548"/>
      <c r="FP16" s="1548"/>
      <c r="FQ16" s="1548"/>
      <c r="FR16" s="1548"/>
      <c r="FS16" s="1548"/>
      <c r="FT16" s="1548"/>
      <c r="FU16" s="1548"/>
      <c r="FV16" s="1548"/>
      <c r="FW16" s="1548"/>
      <c r="FZ16" s="489"/>
      <c r="GA16" s="489"/>
      <c r="GB16" s="489"/>
      <c r="GC16" s="489"/>
      <c r="GD16" s="489"/>
      <c r="GF16" s="0"/>
      <c r="GG16" s="0"/>
      <c r="GH16" s="0"/>
      <c r="GI16" s="0"/>
      <c r="GJ16" s="0"/>
      <c r="GK16" s="0"/>
      <c r="GL16" s="0"/>
      <c r="GM16" s="0"/>
      <c r="GN16" s="0"/>
    </row>
    <row s="1548" customFormat="1" customHeight="1" ht="11.25" hidden="1">
      <c r="A17" s="371"/>
      <c r="C17" s="193"/>
      <c r="D17" s="193"/>
      <c r="E17" s="180"/>
      <c r="G17" s="193"/>
      <c r="H17" s="193"/>
      <c r="I17" s="193"/>
      <c r="J17" s="193"/>
      <c r="K17" s="193"/>
      <c r="L17" s="193"/>
      <c r="M17" s="193"/>
      <c r="N17" s="193"/>
      <c r="O17" s="193"/>
      <c r="P17" s="193"/>
      <c r="Q17" s="193"/>
      <c r="R17" s="193"/>
      <c r="S17" s="193"/>
      <c r="AB17" s="176"/>
      <c r="AC17" s="176"/>
      <c r="AG17" s="1548"/>
      <c r="AH17" s="1548"/>
      <c r="AI17" s="1548"/>
      <c r="AJ17" s="1548"/>
      <c r="AK17" s="1548"/>
      <c r="AL17" s="1548"/>
      <c r="AM17" s="1548"/>
      <c r="AN17" s="1548"/>
      <c r="AO17" s="1548"/>
      <c r="AP17" s="1548"/>
      <c r="AQ17" s="1548"/>
      <c r="AR17" s="1548"/>
      <c r="AS17" s="1548"/>
      <c r="AT17" s="1548"/>
      <c r="AU17" s="1548"/>
      <c r="AV17" s="1548"/>
      <c r="AW17" s="1548"/>
      <c r="AX17" s="1548"/>
      <c r="AY17" s="1548"/>
      <c r="AZ17" s="1548"/>
      <c r="BA17" s="1548"/>
      <c r="BB17" s="1548"/>
      <c r="BC17" s="1548"/>
      <c r="BD17" s="1548"/>
      <c r="BE17" s="1548"/>
      <c r="BF17" s="1548"/>
      <c r="BG17" s="1548"/>
      <c r="BH17" s="1548"/>
      <c r="BI17" s="1548"/>
      <c r="BJ17" s="1548"/>
      <c r="BK17" s="1548"/>
      <c r="BL17" s="1548"/>
      <c r="BM17" s="1548"/>
      <c r="BN17" s="1548"/>
      <c r="BO17" s="1548"/>
      <c r="BP17" s="1548"/>
      <c r="BQ17" s="1548"/>
      <c r="BR17" s="1548"/>
      <c r="BS17" s="1548"/>
      <c r="BT17" s="1548"/>
      <c r="BU17" s="1548"/>
      <c r="BV17" s="1548"/>
      <c r="BW17" s="1548"/>
      <c r="BX17" s="1548"/>
      <c r="BY17" s="1548"/>
      <c r="BZ17" s="1548"/>
      <c r="CA17" s="1548"/>
      <c r="CB17" s="1548"/>
      <c r="CC17" s="1548"/>
      <c r="CD17" s="1548"/>
      <c r="CE17" s="1548"/>
      <c r="CF17" s="1548"/>
      <c r="CG17" s="1548"/>
      <c r="CH17" s="1548"/>
      <c r="CI17" s="1548"/>
      <c r="CJ17" s="1548"/>
      <c r="CK17" s="1548"/>
      <c r="CL17" s="1548"/>
      <c r="CM17" s="1548"/>
      <c r="CN17" s="1548"/>
      <c r="CO17" s="1548"/>
      <c r="CP17" s="1548"/>
      <c r="CQ17" s="1548"/>
      <c r="CR17" s="1548"/>
      <c r="CS17" s="1548"/>
      <c r="CT17" s="1548"/>
      <c r="CU17" s="1548"/>
      <c r="CV17" s="1548"/>
      <c r="CW17" s="1548"/>
      <c r="CX17" s="1548"/>
      <c r="CY17" s="1548"/>
      <c r="CZ17" s="1548"/>
      <c r="DA17" s="1548"/>
      <c r="DB17" s="1548"/>
      <c r="DC17" s="1548"/>
      <c r="DD17" s="1548"/>
      <c r="DE17" s="1548"/>
      <c r="DF17" s="1548"/>
      <c r="DG17" s="1548"/>
      <c r="DH17" s="1548"/>
      <c r="DI17" s="1548"/>
      <c r="DJ17" s="1548"/>
      <c r="DK17" s="1548"/>
      <c r="DL17" s="1548"/>
      <c r="DM17" s="1548"/>
      <c r="DN17" s="1548"/>
      <c r="DO17" s="1548"/>
      <c r="DP17" s="1548"/>
      <c r="DQ17" s="1548"/>
      <c r="DR17" s="1548"/>
      <c r="DS17" s="1548"/>
      <c r="DT17" s="1548"/>
      <c r="DU17" s="1548"/>
      <c r="DV17" s="1548"/>
      <c r="DW17" s="1548"/>
      <c r="DX17" s="1548"/>
      <c r="DY17" s="1548"/>
      <c r="DZ17" s="1548"/>
      <c r="EA17" s="1548"/>
      <c r="EB17" s="1548"/>
      <c r="EC17" s="1548"/>
      <c r="ED17" s="1548"/>
      <c r="EE17" s="1548"/>
      <c r="EF17" s="1548"/>
      <c r="EG17" s="1548"/>
      <c r="EH17" s="1548"/>
      <c r="EI17" s="1548"/>
      <c r="EJ17" s="1548"/>
      <c r="EK17" s="1548"/>
      <c r="EL17" s="1548"/>
      <c r="EM17" s="1548"/>
      <c r="EN17" s="1548"/>
      <c r="EO17" s="1548"/>
      <c r="EP17" s="1548"/>
      <c r="EQ17" s="1548"/>
      <c r="ER17" s="1548"/>
      <c r="ES17" s="1548"/>
      <c r="ET17" s="1548"/>
      <c r="EU17" s="1548"/>
      <c r="EV17" s="1548"/>
      <c r="EW17" s="1548"/>
      <c r="EX17" s="1548"/>
      <c r="EY17" s="1548"/>
      <c r="EZ17" s="1548"/>
      <c r="FA17" s="1548"/>
      <c r="FB17" s="1548"/>
      <c r="FC17" s="1548"/>
      <c r="FD17" s="1548"/>
      <c r="FE17" s="1548"/>
      <c r="FF17" s="1548"/>
      <c r="FG17" s="1548"/>
      <c r="FH17" s="1548"/>
      <c r="FI17" s="1548"/>
      <c r="FJ17" s="1548"/>
      <c r="FK17" s="1548"/>
      <c r="FL17" s="1548"/>
      <c r="FM17" s="1548"/>
      <c r="FN17" s="1548"/>
      <c r="FO17" s="1548"/>
      <c r="FP17" s="1548"/>
      <c r="FQ17" s="1548"/>
      <c r="FR17" s="1548"/>
      <c r="FS17" s="1548"/>
      <c r="FT17" s="1548"/>
      <c r="FU17" s="1548"/>
      <c r="FV17" s="1548"/>
      <c r="FW17" s="1548"/>
      <c r="FZ17" s="489"/>
      <c r="GA17" s="489"/>
      <c r="GB17" s="489"/>
      <c r="GC17" s="489"/>
      <c r="GD17" s="489"/>
      <c r="GF17" s="0"/>
      <c r="GG17" s="0"/>
      <c r="GH17" s="0"/>
      <c r="GI17" s="0"/>
      <c r="GJ17" s="0"/>
      <c r="GK17" s="0"/>
      <c r="GL17" s="0"/>
      <c r="GM17" s="0"/>
      <c r="GN17" s="0"/>
    </row>
    <row s="1548" customFormat="1" customHeight="1" ht="11.25" hidden="1">
      <c r="A18" s="371"/>
      <c r="C18" s="193"/>
      <c r="D18" s="193"/>
      <c r="E18" s="180"/>
      <c r="G18" s="193"/>
      <c r="H18" s="193"/>
      <c r="I18" s="193"/>
      <c r="J18" s="193"/>
      <c r="K18" s="193"/>
      <c r="L18" s="193"/>
      <c r="M18" s="193"/>
      <c r="N18" s="193"/>
      <c r="O18" s="193"/>
      <c r="P18" s="193"/>
      <c r="Q18" s="193"/>
      <c r="R18" s="193"/>
      <c r="S18" s="193"/>
      <c r="AB18" s="176"/>
      <c r="AC18" s="176"/>
      <c r="AG18" s="1548"/>
      <c r="AH18" s="1548"/>
      <c r="AI18" s="1548"/>
      <c r="AJ18" s="1548"/>
      <c r="AK18" s="1548"/>
      <c r="AL18" s="1548"/>
      <c r="AM18" s="1548"/>
      <c r="AN18" s="1548"/>
      <c r="AO18" s="1548"/>
      <c r="AP18" s="1548"/>
      <c r="AQ18" s="1548"/>
      <c r="AR18" s="1548"/>
      <c r="AS18" s="1548"/>
      <c r="AT18" s="1548"/>
      <c r="AU18" s="1548"/>
      <c r="AV18" s="1548"/>
      <c r="AW18" s="1548"/>
      <c r="AX18" s="1548"/>
      <c r="AY18" s="1548"/>
      <c r="AZ18" s="1548"/>
      <c r="BA18" s="1548"/>
      <c r="BB18" s="1548"/>
      <c r="BC18" s="1548"/>
      <c r="BD18" s="1548"/>
      <c r="BE18" s="1548"/>
      <c r="BF18" s="1548"/>
      <c r="BG18" s="1548"/>
      <c r="BH18" s="1548"/>
      <c r="BI18" s="1548"/>
      <c r="BJ18" s="1548"/>
      <c r="BK18" s="1548"/>
      <c r="BL18" s="1548"/>
      <c r="BM18" s="1548"/>
      <c r="BN18" s="1548"/>
      <c r="BO18" s="1548"/>
      <c r="BP18" s="1548"/>
      <c r="BQ18" s="1548"/>
      <c r="BR18" s="1548"/>
      <c r="BS18" s="1548"/>
      <c r="BT18" s="1548"/>
      <c r="BU18" s="1548"/>
      <c r="BV18" s="1548"/>
      <c r="BW18" s="1548"/>
      <c r="BX18" s="1548"/>
      <c r="BY18" s="1548"/>
      <c r="BZ18" s="1548"/>
      <c r="CA18" s="1548"/>
      <c r="CB18" s="1548"/>
      <c r="CC18" s="1548"/>
      <c r="CD18" s="1548"/>
      <c r="CE18" s="1548"/>
      <c r="CF18" s="1548"/>
      <c r="CG18" s="1548"/>
      <c r="CH18" s="1548"/>
      <c r="CI18" s="1548"/>
      <c r="CJ18" s="1548"/>
      <c r="CK18" s="1548"/>
      <c r="CL18" s="1548"/>
      <c r="CM18" s="1548"/>
      <c r="CN18" s="1548"/>
      <c r="CO18" s="1548"/>
      <c r="CP18" s="1548"/>
      <c r="CQ18" s="1548"/>
      <c r="CR18" s="1548"/>
      <c r="CS18" s="1548"/>
      <c r="CT18" s="1548"/>
      <c r="CU18" s="1548"/>
      <c r="CV18" s="1548"/>
      <c r="CW18" s="1548"/>
      <c r="CX18" s="1548"/>
      <c r="CY18" s="1548"/>
      <c r="CZ18" s="1548"/>
      <c r="DA18" s="1548"/>
      <c r="DB18" s="1548"/>
      <c r="DC18" s="1548"/>
      <c r="DD18" s="1548"/>
      <c r="DE18" s="1548"/>
      <c r="DF18" s="1548"/>
      <c r="DG18" s="1548"/>
      <c r="DH18" s="1548"/>
      <c r="DI18" s="1548"/>
      <c r="DJ18" s="1548"/>
      <c r="DK18" s="1548"/>
      <c r="DL18" s="1548"/>
      <c r="DM18" s="1548"/>
      <c r="DN18" s="1548"/>
      <c r="DO18" s="1548"/>
      <c r="DP18" s="1548"/>
      <c r="DQ18" s="1548"/>
      <c r="DR18" s="1548"/>
      <c r="DS18" s="1548"/>
      <c r="DT18" s="1548"/>
      <c r="DU18" s="1548"/>
      <c r="DV18" s="1548"/>
      <c r="DW18" s="1548"/>
      <c r="DX18" s="1548"/>
      <c r="DY18" s="1548"/>
      <c r="DZ18" s="1548"/>
      <c r="EA18" s="1548"/>
      <c r="EB18" s="1548"/>
      <c r="EC18" s="1548"/>
      <c r="ED18" s="1548"/>
      <c r="EE18" s="1548"/>
      <c r="EF18" s="1548"/>
      <c r="EG18" s="1548"/>
      <c r="EH18" s="1548"/>
      <c r="EI18" s="1548"/>
      <c r="EJ18" s="1548"/>
      <c r="EK18" s="1548"/>
      <c r="EL18" s="1548"/>
      <c r="EM18" s="1548"/>
      <c r="EN18" s="1548"/>
      <c r="EO18" s="1548"/>
      <c r="EP18" s="1548"/>
      <c r="EQ18" s="1548"/>
      <c r="ER18" s="1548"/>
      <c r="ES18" s="1548"/>
      <c r="ET18" s="1548"/>
      <c r="EU18" s="1548"/>
      <c r="EV18" s="1548"/>
      <c r="EW18" s="1548"/>
      <c r="EX18" s="1548"/>
      <c r="EY18" s="1548"/>
      <c r="EZ18" s="1548"/>
      <c r="FA18" s="1548"/>
      <c r="FB18" s="1548"/>
      <c r="FC18" s="1548"/>
      <c r="FD18" s="1548"/>
      <c r="FE18" s="1548"/>
      <c r="FF18" s="1548"/>
      <c r="FG18" s="1548"/>
      <c r="FH18" s="1548"/>
      <c r="FI18" s="1548"/>
      <c r="FJ18" s="1548"/>
      <c r="FK18" s="1548"/>
      <c r="FL18" s="1548"/>
      <c r="FM18" s="1548"/>
      <c r="FN18" s="1548"/>
      <c r="FO18" s="1548"/>
      <c r="FP18" s="1548"/>
      <c r="FQ18" s="1548"/>
      <c r="FR18" s="1548"/>
      <c r="FS18" s="1548"/>
      <c r="FT18" s="1548"/>
      <c r="FU18" s="1548"/>
      <c r="FV18" s="1548"/>
      <c r="FW18" s="1548"/>
      <c r="FZ18" s="489"/>
      <c r="GA18" s="489"/>
      <c r="GB18" s="489"/>
      <c r="GC18" s="489"/>
      <c r="GD18" s="489"/>
      <c r="GF18" s="0"/>
      <c r="GG18" s="0"/>
      <c r="GH18" s="0"/>
      <c r="GI18" s="0"/>
      <c r="GJ18" s="0"/>
      <c r="GK18" s="0"/>
      <c r="GL18" s="0"/>
      <c r="GM18" s="0"/>
      <c r="GN18" s="0"/>
    </row>
    <row s="1548" customFormat="1" customHeight="1" ht="11.25" hidden="1">
      <c r="A19" s="371"/>
      <c r="C19" s="193"/>
      <c r="D19" s="193"/>
      <c r="E19" s="180"/>
      <c r="G19" s="193"/>
      <c r="H19" s="193"/>
      <c r="I19" s="193"/>
      <c r="J19" s="193"/>
      <c r="K19" s="193"/>
      <c r="L19" s="193"/>
      <c r="M19" s="193"/>
      <c r="N19" s="193"/>
      <c r="O19" s="193"/>
      <c r="P19" s="193"/>
      <c r="Q19" s="193"/>
      <c r="R19" s="193"/>
      <c r="S19" s="193"/>
      <c r="AB19" s="176"/>
      <c r="AC19" s="176"/>
      <c r="AG19" s="1548"/>
      <c r="AH19" s="1548"/>
      <c r="AI19" s="1548"/>
      <c r="AJ19" s="1548"/>
      <c r="AK19" s="1548"/>
      <c r="AL19" s="1548"/>
      <c r="AM19" s="1548"/>
      <c r="AN19" s="1548"/>
      <c r="AO19" s="1548"/>
      <c r="AP19" s="1548"/>
      <c r="AQ19" s="1548"/>
      <c r="AR19" s="1548"/>
      <c r="AS19" s="1548"/>
      <c r="AT19" s="1548"/>
      <c r="AU19" s="1548"/>
      <c r="AV19" s="1548"/>
      <c r="AW19" s="1548"/>
      <c r="AX19" s="1548"/>
      <c r="AY19" s="1548"/>
      <c r="AZ19" s="1548"/>
      <c r="BA19" s="1548"/>
      <c r="BB19" s="1548"/>
      <c r="BC19" s="1548"/>
      <c r="BD19" s="1548"/>
      <c r="BE19" s="1548"/>
      <c r="BF19" s="1548"/>
      <c r="BG19" s="1548"/>
      <c r="BH19" s="1548"/>
      <c r="BI19" s="1548"/>
      <c r="BJ19" s="1548"/>
      <c r="BK19" s="1548"/>
      <c r="BL19" s="1548"/>
      <c r="BM19" s="1548"/>
      <c r="BN19" s="1548"/>
      <c r="BO19" s="1548"/>
      <c r="BP19" s="1548"/>
      <c r="BQ19" s="1548"/>
      <c r="BR19" s="1548"/>
      <c r="BS19" s="1548"/>
      <c r="BT19" s="1548"/>
      <c r="BU19" s="1548"/>
      <c r="BV19" s="1548"/>
      <c r="BW19" s="1548"/>
      <c r="BX19" s="1548"/>
      <c r="BY19" s="1548"/>
      <c r="BZ19" s="1548"/>
      <c r="CA19" s="1548"/>
      <c r="CB19" s="1548"/>
      <c r="CC19" s="1548"/>
      <c r="CD19" s="1548"/>
      <c r="CE19" s="1548"/>
      <c r="CF19" s="1548"/>
      <c r="CG19" s="1548"/>
      <c r="CH19" s="1548"/>
      <c r="CI19" s="1548"/>
      <c r="CJ19" s="1548"/>
      <c r="CK19" s="1548"/>
      <c r="CL19" s="1548"/>
      <c r="CM19" s="1548"/>
      <c r="CN19" s="1548"/>
      <c r="CO19" s="1548"/>
      <c r="CP19" s="1548"/>
      <c r="CQ19" s="1548"/>
      <c r="CR19" s="1548"/>
      <c r="CS19" s="1548"/>
      <c r="CT19" s="1548"/>
      <c r="CU19" s="1548"/>
      <c r="CV19" s="1548"/>
      <c r="CW19" s="1548"/>
      <c r="CX19" s="1548"/>
      <c r="CY19" s="1548"/>
      <c r="CZ19" s="1548"/>
      <c r="DA19" s="1548"/>
      <c r="DB19" s="1548"/>
      <c r="DC19" s="1548"/>
      <c r="DD19" s="1548"/>
      <c r="DE19" s="1548"/>
      <c r="DF19" s="1548"/>
      <c r="DG19" s="1548"/>
      <c r="DH19" s="1548"/>
      <c r="DI19" s="1548"/>
      <c r="DJ19" s="1548"/>
      <c r="DK19" s="1548"/>
      <c r="DL19" s="1548"/>
      <c r="DM19" s="1548"/>
      <c r="DN19" s="1548"/>
      <c r="DO19" s="1548"/>
      <c r="DP19" s="1548"/>
      <c r="DQ19" s="1548"/>
      <c r="DR19" s="1548"/>
      <c r="DS19" s="1548"/>
      <c r="DT19" s="1548"/>
      <c r="DU19" s="1548"/>
      <c r="DV19" s="1548"/>
      <c r="DW19" s="1548"/>
      <c r="DX19" s="1548"/>
      <c r="DY19" s="1548"/>
      <c r="DZ19" s="1548"/>
      <c r="EA19" s="1548"/>
      <c r="EB19" s="1548"/>
      <c r="EC19" s="1548"/>
      <c r="ED19" s="1548"/>
      <c r="EE19" s="1548"/>
      <c r="EF19" s="1548"/>
      <c r="EG19" s="1548"/>
      <c r="EH19" s="1548"/>
      <c r="EI19" s="1548"/>
      <c r="EJ19" s="1548"/>
      <c r="EK19" s="1548"/>
      <c r="EL19" s="1548"/>
      <c r="EM19" s="1548"/>
      <c r="EN19" s="1548"/>
      <c r="EO19" s="1548"/>
      <c r="EP19" s="1548"/>
      <c r="EQ19" s="1548"/>
      <c r="ER19" s="1548"/>
      <c r="ES19" s="1548"/>
      <c r="ET19" s="1548"/>
      <c r="EU19" s="1548"/>
      <c r="EV19" s="1548"/>
      <c r="EW19" s="1548"/>
      <c r="EX19" s="1548"/>
      <c r="EY19" s="1548"/>
      <c r="EZ19" s="1548"/>
      <c r="FA19" s="1548"/>
      <c r="FB19" s="1548"/>
      <c r="FC19" s="1548"/>
      <c r="FD19" s="1548"/>
      <c r="FE19" s="1548"/>
      <c r="FF19" s="1548"/>
      <c r="FG19" s="1548"/>
      <c r="FH19" s="1548"/>
      <c r="FI19" s="1548"/>
      <c r="FJ19" s="1548"/>
      <c r="FK19" s="1548"/>
      <c r="FL19" s="1548"/>
      <c r="FM19" s="1548"/>
      <c r="FN19" s="1548"/>
      <c r="FO19" s="1548"/>
      <c r="FP19" s="1548"/>
      <c r="FQ19" s="1548"/>
      <c r="FR19" s="1548"/>
      <c r="FS19" s="1548"/>
      <c r="FT19" s="1548"/>
      <c r="FU19" s="1548"/>
      <c r="FV19" s="1548"/>
      <c r="FW19" s="1548"/>
      <c r="FZ19" s="489"/>
      <c r="GA19" s="489"/>
      <c r="GB19" s="489"/>
      <c r="GC19" s="489"/>
      <c r="GD19" s="489"/>
      <c r="GF19" s="0"/>
      <c r="GG19" s="0"/>
      <c r="GH19" s="0"/>
      <c r="GI19" s="0"/>
      <c r="GJ19" s="0"/>
      <c r="GK19" s="0"/>
      <c r="GL19" s="0"/>
      <c r="GM19" s="0"/>
      <c r="GN19" s="0"/>
    </row>
    <row s="1548" customFormat="1" customHeight="1" ht="11.25" hidden="1">
      <c r="A20" s="371"/>
      <c r="C20" s="193"/>
      <c r="D20" s="193"/>
      <c r="E20" s="180"/>
      <c r="G20" s="193"/>
      <c r="H20" s="193"/>
      <c r="I20" s="193"/>
      <c r="J20" s="193"/>
      <c r="K20" s="193"/>
      <c r="L20" s="193"/>
      <c r="M20" s="193"/>
      <c r="N20" s="193"/>
      <c r="O20" s="193"/>
      <c r="P20" s="193"/>
      <c r="Q20" s="193"/>
      <c r="R20" s="193"/>
      <c r="S20" s="193"/>
      <c r="AB20" s="176"/>
      <c r="AC20" s="176"/>
      <c r="AG20" s="1548"/>
      <c r="AH20" s="1548"/>
      <c r="AI20" s="1548"/>
      <c r="AJ20" s="1548"/>
      <c r="AK20" s="1548"/>
      <c r="AL20" s="1548"/>
      <c r="AM20" s="1548"/>
      <c r="AN20" s="1548"/>
      <c r="AO20" s="1548"/>
      <c r="AP20" s="1548"/>
      <c r="AQ20" s="1548"/>
      <c r="AR20" s="1548"/>
      <c r="AS20" s="1548"/>
      <c r="AT20" s="1548"/>
      <c r="AU20" s="1548"/>
      <c r="AV20" s="1548"/>
      <c r="AW20" s="1548"/>
      <c r="AX20" s="1548"/>
      <c r="AY20" s="1548"/>
      <c r="AZ20" s="1548"/>
      <c r="BA20" s="1548"/>
      <c r="BB20" s="1548"/>
      <c r="BC20" s="1548"/>
      <c r="BD20" s="1548"/>
      <c r="BE20" s="1548"/>
      <c r="BF20" s="1548"/>
      <c r="BG20" s="1548"/>
      <c r="BH20" s="1548"/>
      <c r="BI20" s="1548"/>
      <c r="BJ20" s="1548"/>
      <c r="BK20" s="1548"/>
      <c r="BL20" s="1548"/>
      <c r="BM20" s="1548"/>
      <c r="BN20" s="1548"/>
      <c r="BO20" s="1548"/>
      <c r="BP20" s="1548"/>
      <c r="BQ20" s="1548"/>
      <c r="BR20" s="1548"/>
      <c r="BS20" s="1548"/>
      <c r="BT20" s="1548"/>
      <c r="BU20" s="1548"/>
      <c r="BV20" s="1548"/>
      <c r="BW20" s="1548"/>
      <c r="BX20" s="1548"/>
      <c r="BY20" s="1548"/>
      <c r="BZ20" s="1548"/>
      <c r="CA20" s="1548"/>
      <c r="CB20" s="1548"/>
      <c r="CC20" s="1548"/>
      <c r="CD20" s="1548"/>
      <c r="CE20" s="1548"/>
      <c r="CF20" s="1548"/>
      <c r="CG20" s="1548"/>
      <c r="CH20" s="1548"/>
      <c r="CI20" s="1548"/>
      <c r="CJ20" s="1548"/>
      <c r="CK20" s="1548"/>
      <c r="CL20" s="1548"/>
      <c r="CM20" s="1548"/>
      <c r="CN20" s="1548"/>
      <c r="CO20" s="1548"/>
      <c r="CP20" s="1548"/>
      <c r="CQ20" s="1548"/>
      <c r="CR20" s="1548"/>
      <c r="CS20" s="1548"/>
      <c r="CT20" s="1548"/>
      <c r="CU20" s="1548"/>
      <c r="CV20" s="1548"/>
      <c r="CW20" s="1548"/>
      <c r="CX20" s="1548"/>
      <c r="CY20" s="1548"/>
      <c r="CZ20" s="1548"/>
      <c r="DA20" s="1548"/>
      <c r="DB20" s="1548"/>
      <c r="DC20" s="1548"/>
      <c r="DD20" s="1548"/>
      <c r="DE20" s="1548"/>
      <c r="DF20" s="1548"/>
      <c r="DG20" s="1548"/>
      <c r="DH20" s="1548"/>
      <c r="DI20" s="1548"/>
      <c r="DJ20" s="1548"/>
      <c r="DK20" s="1548"/>
      <c r="DL20" s="1548"/>
      <c r="DM20" s="1548"/>
      <c r="DN20" s="1548"/>
      <c r="DO20" s="1548"/>
      <c r="DP20" s="1548"/>
      <c r="DQ20" s="1548"/>
      <c r="DR20" s="1548"/>
      <c r="DS20" s="1548"/>
      <c r="DT20" s="1548"/>
      <c r="DU20" s="1548"/>
      <c r="DV20" s="1548"/>
      <c r="DW20" s="1548"/>
      <c r="DX20" s="1548"/>
      <c r="DY20" s="1548"/>
      <c r="DZ20" s="1548"/>
      <c r="EA20" s="1548"/>
      <c r="EB20" s="1548"/>
      <c r="EC20" s="1548"/>
      <c r="ED20" s="1548"/>
      <c r="EE20" s="1548"/>
      <c r="EF20" s="1548"/>
      <c r="EG20" s="1548"/>
      <c r="EH20" s="1548"/>
      <c r="EI20" s="1548"/>
      <c r="EJ20" s="1548"/>
      <c r="EK20" s="1548"/>
      <c r="EL20" s="1548"/>
      <c r="EM20" s="1548"/>
      <c r="EN20" s="1548"/>
      <c r="EO20" s="1548"/>
      <c r="EP20" s="1548"/>
      <c r="EQ20" s="1548"/>
      <c r="ER20" s="1548"/>
      <c r="ES20" s="1548"/>
      <c r="ET20" s="1548"/>
      <c r="EU20" s="1548"/>
      <c r="EV20" s="1548"/>
      <c r="EW20" s="1548"/>
      <c r="EX20" s="1548"/>
      <c r="EY20" s="1548"/>
      <c r="EZ20" s="1548"/>
      <c r="FA20" s="1548"/>
      <c r="FB20" s="1548"/>
      <c r="FC20" s="1548"/>
      <c r="FD20" s="1548"/>
      <c r="FE20" s="1548"/>
      <c r="FF20" s="1548"/>
      <c r="FG20" s="1548"/>
      <c r="FH20" s="1548"/>
      <c r="FI20" s="1548"/>
      <c r="FJ20" s="1548"/>
      <c r="FK20" s="1548"/>
      <c r="FL20" s="1548"/>
      <c r="FM20" s="1548"/>
      <c r="FN20" s="1548"/>
      <c r="FO20" s="1548"/>
      <c r="FP20" s="1548"/>
      <c r="FQ20" s="1548"/>
      <c r="FR20" s="1548"/>
      <c r="FS20" s="1548"/>
      <c r="FT20" s="1548"/>
      <c r="FU20" s="1548"/>
      <c r="FV20" s="1548"/>
      <c r="FW20" s="1548"/>
      <c r="FZ20" s="489"/>
      <c r="GA20" s="489"/>
      <c r="GB20" s="489"/>
      <c r="GC20" s="489"/>
      <c r="GD20" s="489"/>
      <c r="GF20" s="0"/>
      <c r="GG20" s="0"/>
      <c r="GH20" s="0"/>
      <c r="GI20" s="0"/>
      <c r="GJ20" s="0"/>
      <c r="GK20" s="0"/>
      <c r="GL20" s="0"/>
      <c r="GM20" s="0"/>
      <c r="GN20" s="0"/>
    </row>
    <row customHeight="1" ht="14.625">
      <c r="E21" s="180">
        <v>15</v>
      </c>
      <c r="AA21" s="182"/>
      <c r="AB21" s="896" cm="1" t="str">
        <f t="array" ref="AB21:AB21">tpl_title</f>
        <v>Кемеровская область / 2027 / ООО "КК-ИНВЕСТ" (ИНН:1901133713, КПП:190101001) / ДПР: 2025-2027</v>
      </c>
      <c r="AG21" s="286"/>
      <c r="AH21" s="286"/>
      <c r="AI21" s="286"/>
      <c r="AJ21" s="286"/>
      <c r="AK21" s="286"/>
      <c r="AL21" s="286"/>
      <c r="AM21" s="286"/>
      <c r="AN21" s="286"/>
      <c r="AO21" s="286"/>
      <c r="AP21" s="286"/>
      <c r="AQ21" s="286"/>
      <c r="AR21" s="286"/>
      <c r="AS21" s="286"/>
      <c r="AT21" s="286"/>
      <c r="AU21" s="286"/>
      <c r="AV21" s="286"/>
      <c r="AW21" s="286"/>
      <c r="AX21" s="286"/>
      <c r="AY21" s="286"/>
      <c r="AZ21" s="286"/>
      <c r="BA21" s="286"/>
      <c r="BB21" s="286"/>
      <c r="BC21" s="286"/>
      <c r="BD21" s="286"/>
      <c r="BE21" s="286"/>
      <c r="BF21" s="286"/>
      <c r="BG21" s="286"/>
      <c r="BH21" s="286"/>
      <c r="BI21" s="286"/>
      <c r="BJ21" s="286"/>
      <c r="BK21" s="286"/>
      <c r="BL21" s="286"/>
      <c r="BM21" s="286"/>
      <c r="BN21" s="286"/>
      <c r="BO21" s="286"/>
      <c r="BP21" s="286"/>
      <c r="BQ21" s="286"/>
      <c r="BR21" s="286"/>
      <c r="BS21" s="286"/>
      <c r="BT21" s="286"/>
      <c r="BU21" s="286"/>
      <c r="BV21" s="286"/>
      <c r="BW21" s="286"/>
      <c r="BX21" s="286"/>
      <c r="BY21" s="286"/>
      <c r="BZ21" s="286"/>
      <c r="CA21" s="286"/>
      <c r="CB21" s="286"/>
      <c r="CC21" s="286"/>
      <c r="CD21" s="286"/>
      <c r="CE21" s="286"/>
      <c r="CF21" s="286"/>
      <c r="CG21" s="286"/>
      <c r="CH21" s="286"/>
      <c r="CI21" s="286"/>
      <c r="CJ21" s="286"/>
      <c r="CK21" s="286"/>
      <c r="CL21" s="286"/>
      <c r="CM21" s="286"/>
      <c r="CN21" s="286"/>
      <c r="CO21" s="286"/>
      <c r="CP21" s="286"/>
      <c r="CQ21" s="286"/>
      <c r="CR21" s="286"/>
      <c r="CS21" s="286"/>
      <c r="CT21" s="286"/>
      <c r="CU21" s="286"/>
      <c r="CV21" s="286"/>
      <c r="CW21" s="286"/>
      <c r="CX21" s="286"/>
      <c r="CY21" s="286"/>
      <c r="CZ21" s="286"/>
      <c r="DA21" s="286"/>
      <c r="DB21" s="286"/>
      <c r="DC21" s="286"/>
      <c r="DD21" s="286"/>
      <c r="DE21" s="286"/>
      <c r="DF21" s="286"/>
      <c r="DG21" s="286"/>
      <c r="DH21" s="286"/>
      <c r="DI21" s="286"/>
      <c r="DJ21" s="286"/>
      <c r="DK21" s="286"/>
      <c r="DL21" s="286"/>
      <c r="DM21" s="286"/>
      <c r="DN21" s="286"/>
      <c r="DO21" s="286"/>
      <c r="DP21" s="286"/>
      <c r="DQ21" s="286"/>
      <c r="DR21" s="286"/>
      <c r="DS21" s="286"/>
      <c r="DT21" s="286"/>
      <c r="DU21" s="286"/>
      <c r="DV21" s="286"/>
      <c r="DW21" s="286"/>
      <c r="DX21" s="286"/>
      <c r="DY21" s="286"/>
      <c r="DZ21" s="286"/>
      <c r="EA21" s="286"/>
      <c r="EB21" s="286"/>
      <c r="EC21" s="286"/>
      <c r="ED21" s="286"/>
      <c r="EE21" s="286"/>
      <c r="EF21" s="286"/>
      <c r="EG21" s="286"/>
      <c r="EH21" s="286"/>
      <c r="EI21" s="286"/>
      <c r="EJ21" s="286"/>
      <c r="EK21" s="286"/>
      <c r="EL21" s="286"/>
      <c r="EM21" s="286"/>
      <c r="EN21" s="286"/>
      <c r="EO21" s="286"/>
      <c r="EP21" s="286"/>
      <c r="EQ21" s="286"/>
      <c r="ER21" s="286"/>
      <c r="ES21" s="286"/>
      <c r="ET21" s="286"/>
      <c r="EU21" s="286"/>
      <c r="EV21" s="286"/>
      <c r="EW21" s="286"/>
      <c r="EX21" s="286"/>
      <c r="EY21" s="286"/>
      <c r="EZ21" s="286"/>
      <c r="FA21" s="286"/>
      <c r="FB21" s="286"/>
      <c r="FC21" s="286"/>
      <c r="FD21" s="286"/>
      <c r="FE21" s="286"/>
      <c r="FF21" s="286"/>
      <c r="FG21" s="286"/>
      <c r="FH21" s="286"/>
      <c r="FI21" s="286"/>
      <c r="FJ21" s="286"/>
      <c r="FK21" s="286"/>
      <c r="FL21" s="286"/>
      <c r="FM21" s="286"/>
      <c r="FN21" s="286"/>
      <c r="FO21" s="286"/>
      <c r="FP21" s="286"/>
      <c r="FQ21" s="286"/>
      <c r="FR21" s="286"/>
      <c r="FS21" s="286"/>
      <c r="FT21" s="286"/>
      <c r="FU21" s="286"/>
      <c r="FV21" s="286"/>
      <c r="FW21" s="286"/>
      <c r="GA21" s="489"/>
      <c r="GB21" s="489"/>
      <c r="GC21" s="489"/>
      <c r="GD21" s="489"/>
    </row>
    <row s="1659" customFormat="1" customHeight="1" ht="23.400000000000002">
      <c r="A22" s="371"/>
      <c r="B22" s="175"/>
      <c r="E22" s="180">
        <v>24</v>
      </c>
      <c r="F22" s="175"/>
      <c r="T22" s="175"/>
      <c r="U22" s="175"/>
      <c r="V22" s="175"/>
      <c r="W22" s="175"/>
      <c r="X22" s="175"/>
      <c r="Y22" s="175"/>
      <c r="Z22" s="175"/>
      <c r="AA22" s="181"/>
      <c r="AB22" s="547" t="s">
        <v>78</v>
      </c>
      <c r="AC22" s="897"/>
      <c r="AD22" s="897"/>
      <c r="AE22" s="897"/>
      <c r="AF22" s="897"/>
      <c r="AG22" s="897"/>
      <c r="AH22" s="897"/>
      <c r="AI22" s="897"/>
      <c r="AJ22" s="897"/>
      <c r="AK22" s="897"/>
      <c r="AL22" s="897"/>
      <c r="AM22" s="897"/>
      <c r="AN22" s="897"/>
      <c r="AO22" s="897"/>
      <c r="AP22" s="897"/>
      <c r="AQ22" s="897"/>
      <c r="AR22" s="897"/>
      <c r="AS22" s="897"/>
      <c r="AT22" s="897"/>
      <c r="AU22" s="897"/>
      <c r="AV22" s="897"/>
      <c r="AW22" s="897"/>
      <c r="AX22" s="897"/>
      <c r="AY22" s="897"/>
      <c r="AZ22" s="897"/>
      <c r="BA22" s="897"/>
      <c r="BB22" s="897"/>
      <c r="BC22" s="897"/>
      <c r="BD22" s="897"/>
      <c r="BE22" s="897"/>
      <c r="BF22" s="897"/>
      <c r="BG22" s="897"/>
      <c r="BH22" s="897"/>
      <c r="BI22" s="897"/>
      <c r="BJ22" s="897"/>
      <c r="BK22" s="897"/>
      <c r="BL22" s="897"/>
      <c r="BM22" s="897"/>
      <c r="BN22" s="897"/>
      <c r="BO22" s="897"/>
      <c r="BP22" s="897"/>
      <c r="BQ22" s="897"/>
      <c r="BR22" s="897"/>
      <c r="BS22" s="897"/>
      <c r="BT22" s="897"/>
      <c r="BU22" s="897"/>
      <c r="BV22" s="897"/>
      <c r="BW22" s="897"/>
      <c r="BX22" s="897"/>
      <c r="BY22" s="897"/>
      <c r="BZ22" s="897"/>
      <c r="CA22" s="897"/>
      <c r="CB22" s="897"/>
      <c r="CC22" s="897"/>
      <c r="CD22" s="897"/>
      <c r="CE22" s="897"/>
      <c r="CF22" s="897"/>
      <c r="CG22" s="897"/>
      <c r="CH22" s="897"/>
      <c r="CI22" s="897"/>
      <c r="CJ22" s="897"/>
      <c r="CK22" s="897"/>
      <c r="CL22" s="897"/>
      <c r="CM22" s="897"/>
      <c r="CN22" s="897"/>
      <c r="CO22" s="897"/>
      <c r="CP22" s="897"/>
      <c r="CQ22" s="897"/>
      <c r="CR22" s="897"/>
      <c r="CS22" s="897"/>
      <c r="CT22" s="897"/>
      <c r="CU22" s="897"/>
      <c r="CV22" s="897"/>
      <c r="CW22" s="897"/>
      <c r="CX22" s="897"/>
      <c r="CY22" s="897"/>
      <c r="CZ22" s="897"/>
      <c r="DA22" s="897"/>
      <c r="DB22" s="897"/>
      <c r="DC22" s="897"/>
      <c r="DD22" s="897"/>
      <c r="DE22" s="897"/>
      <c r="DF22" s="897"/>
      <c r="DG22" s="897"/>
      <c r="DH22" s="897"/>
      <c r="DI22" s="897"/>
      <c r="DJ22" s="897"/>
      <c r="DK22" s="897"/>
      <c r="DL22" s="897"/>
      <c r="DM22" s="897"/>
      <c r="DN22" s="897"/>
      <c r="DO22" s="897"/>
      <c r="DP22" s="897"/>
      <c r="DQ22" s="897"/>
      <c r="DR22" s="897"/>
      <c r="DS22" s="897"/>
      <c r="DT22" s="897"/>
      <c r="DU22" s="897"/>
      <c r="DV22" s="897"/>
      <c r="DW22" s="897"/>
      <c r="DX22" s="897"/>
      <c r="DY22" s="897"/>
      <c r="DZ22" s="897"/>
      <c r="EA22" s="897"/>
      <c r="EB22" s="897"/>
      <c r="EC22" s="897"/>
      <c r="ED22" s="897"/>
      <c r="EE22" s="897"/>
      <c r="EF22" s="897"/>
      <c r="EG22" s="897"/>
      <c r="EH22" s="897"/>
      <c r="EI22" s="897"/>
      <c r="EJ22" s="897"/>
      <c r="EK22" s="897"/>
      <c r="EL22" s="897"/>
      <c r="EM22" s="897"/>
      <c r="EN22" s="897"/>
      <c r="EO22" s="897"/>
      <c r="EP22" s="897"/>
      <c r="EQ22" s="897"/>
      <c r="ER22" s="897"/>
      <c r="ES22" s="897"/>
      <c r="ET22" s="897"/>
      <c r="EU22" s="897"/>
      <c r="EV22" s="897"/>
      <c r="EW22" s="897"/>
      <c r="EX22" s="897"/>
      <c r="EY22" s="897"/>
      <c r="EZ22" s="897"/>
      <c r="FA22" s="897"/>
      <c r="FB22" s="897"/>
      <c r="FC22" s="897"/>
      <c r="FD22" s="897"/>
      <c r="FE22" s="897"/>
      <c r="FF22" s="897"/>
      <c r="FG22" s="897"/>
      <c r="FH22" s="897"/>
      <c r="FI22" s="897"/>
      <c r="FJ22" s="897"/>
      <c r="FK22" s="897"/>
      <c r="FL22" s="897"/>
      <c r="FM22" s="897"/>
      <c r="FN22" s="897"/>
      <c r="FO22" s="897"/>
      <c r="FP22" s="897"/>
      <c r="FQ22" s="897"/>
      <c r="FR22" s="897"/>
      <c r="FS22" s="897"/>
      <c r="FT22" s="897"/>
      <c r="FU22" s="897"/>
      <c r="FV22" s="897"/>
      <c r="FW22" s="897"/>
      <c r="FX22" s="181"/>
      <c r="FZ22" s="489"/>
      <c r="GA22" s="489"/>
      <c r="GB22" s="489"/>
      <c r="GC22" s="489"/>
      <c r="GD22" s="489"/>
      <c r="GF22" s="0"/>
      <c r="GG22" s="0"/>
      <c r="GH22" s="0"/>
      <c r="GI22" s="0"/>
      <c r="GJ22" s="0"/>
      <c r="GK22" s="0"/>
      <c r="GL22" s="0"/>
      <c r="GM22" s="0"/>
      <c r="GN22" s="0"/>
    </row>
    <row customHeight="1" ht="21.450000000000003">
      <c r="E23" s="180">
        <v>22</v>
      </c>
      <c r="AB23" s="285"/>
      <c r="AD23" s="285"/>
      <c r="AG23" s="286"/>
      <c r="AH23" s="286"/>
      <c r="AI23" s="286"/>
      <c r="AJ23" s="286"/>
      <c r="AK23" s="286"/>
      <c r="AL23" s="286"/>
      <c r="AM23" s="286"/>
      <c r="AN23" s="286"/>
      <c r="AO23" s="286"/>
      <c r="AP23" s="286"/>
      <c r="AQ23" s="286"/>
      <c r="AR23" s="286"/>
      <c r="AS23" s="286"/>
      <c r="AT23" s="286"/>
      <c r="AU23" s="286"/>
      <c r="AV23" s="286"/>
      <c r="AW23" s="286"/>
      <c r="AX23" s="286"/>
      <c r="AY23" s="286"/>
      <c r="AZ23" s="286"/>
      <c r="BA23" s="286"/>
      <c r="BB23" s="286"/>
      <c r="BC23" s="286"/>
      <c r="BD23" s="286"/>
      <c r="BE23" s="286"/>
      <c r="BF23" s="286"/>
      <c r="BG23" s="286"/>
      <c r="BH23" s="286"/>
      <c r="BI23" s="286"/>
      <c r="BJ23" s="286"/>
      <c r="BK23" s="286"/>
      <c r="BL23" s="286"/>
      <c r="BM23" s="286"/>
      <c r="BN23" s="286"/>
      <c r="BO23" s="286"/>
      <c r="BP23" s="286"/>
      <c r="BQ23" s="286"/>
      <c r="BR23" s="286"/>
      <c r="BS23" s="286"/>
      <c r="BT23" s="286"/>
      <c r="BU23" s="286"/>
      <c r="BV23" s="286"/>
      <c r="BW23" s="286"/>
      <c r="BX23" s="286"/>
      <c r="BY23" s="286"/>
      <c r="BZ23" s="286"/>
      <c r="CA23" s="286"/>
      <c r="CB23" s="286"/>
      <c r="CC23" s="286"/>
      <c r="CD23" s="286"/>
      <c r="CE23" s="286"/>
      <c r="CF23" s="286"/>
      <c r="CG23" s="286"/>
      <c r="CH23" s="286"/>
      <c r="CI23" s="286"/>
      <c r="CJ23" s="286"/>
      <c r="CK23" s="286"/>
      <c r="CL23" s="286"/>
      <c r="CM23" s="286"/>
      <c r="CN23" s="286"/>
      <c r="CO23" s="286"/>
      <c r="CP23" s="286"/>
      <c r="CQ23" s="286"/>
      <c r="CR23" s="286"/>
      <c r="CS23" s="286"/>
      <c r="CT23" s="286"/>
      <c r="CU23" s="286"/>
      <c r="CV23" s="286"/>
      <c r="CW23" s="286"/>
      <c r="CX23" s="286"/>
      <c r="CY23" s="286"/>
      <c r="CZ23" s="286"/>
      <c r="DA23" s="286"/>
      <c r="DB23" s="286"/>
      <c r="DC23" s="286"/>
      <c r="DD23" s="286"/>
      <c r="DE23" s="286"/>
      <c r="DF23" s="286"/>
      <c r="DG23" s="286"/>
      <c r="DH23" s="286"/>
      <c r="DI23" s="286"/>
      <c r="DJ23" s="286"/>
      <c r="DK23" s="286"/>
      <c r="DL23" s="286"/>
      <c r="DM23" s="286"/>
      <c r="DN23" s="286"/>
      <c r="DO23" s="286"/>
      <c r="DP23" s="286"/>
      <c r="DQ23" s="286"/>
      <c r="DR23" s="286"/>
      <c r="DS23" s="286"/>
      <c r="DT23" s="286"/>
      <c r="DU23" s="286"/>
      <c r="DV23" s="286"/>
      <c r="DW23" s="286"/>
      <c r="DX23" s="286"/>
      <c r="DY23" s="286"/>
      <c r="DZ23" s="286"/>
      <c r="EA23" s="286"/>
      <c r="EB23" s="286"/>
      <c r="EC23" s="286"/>
      <c r="ED23" s="286"/>
      <c r="EE23" s="286"/>
      <c r="EF23" s="286"/>
      <c r="EG23" s="286"/>
      <c r="EH23" s="286"/>
      <c r="EI23" s="286"/>
      <c r="EJ23" s="286"/>
      <c r="EK23" s="286"/>
      <c r="EL23" s="286"/>
      <c r="EM23" s="286"/>
      <c r="EN23" s="286"/>
      <c r="EO23" s="286"/>
      <c r="EP23" s="286"/>
      <c r="EQ23" s="286"/>
      <c r="ER23" s="286"/>
      <c r="ES23" s="286"/>
      <c r="ET23" s="286"/>
      <c r="EU23" s="286"/>
      <c r="EV23" s="286"/>
      <c r="EW23" s="286"/>
      <c r="EX23" s="286"/>
      <c r="EY23" s="286"/>
      <c r="EZ23" s="286"/>
      <c r="FA23" s="286"/>
      <c r="FB23" s="286"/>
      <c r="FC23" s="286"/>
      <c r="FD23" s="286"/>
      <c r="FE23" s="286"/>
      <c r="FF23" s="286"/>
      <c r="FG23" s="286"/>
      <c r="FH23" s="286"/>
      <c r="FI23" s="286"/>
      <c r="FJ23" s="286"/>
      <c r="FK23" s="286"/>
      <c r="FL23" s="286"/>
      <c r="FM23" s="286"/>
      <c r="FN23" s="286"/>
      <c r="FO23" s="286"/>
      <c r="FP23" s="286"/>
      <c r="FQ23" s="286"/>
      <c r="FR23" s="286"/>
      <c r="FS23" s="286"/>
      <c r="FT23" s="286"/>
      <c r="FU23" s="286"/>
      <c r="FV23" s="286"/>
      <c r="FW23" s="286"/>
      <c r="GA23" s="489"/>
      <c r="GB23" s="489"/>
      <c r="GC23" s="489"/>
      <c r="GD23" s="489"/>
    </row>
    <row s="1659" customFormat="1" customHeight="1" ht="21.450000000000003">
      <c r="A24" s="371"/>
      <c r="B24" s="175"/>
      <c r="E24" s="180">
        <v>22</v>
      </c>
      <c r="F24" s="175"/>
      <c r="T24" s="175"/>
      <c r="U24" s="175"/>
      <c r="V24" s="175"/>
      <c r="W24" s="175"/>
      <c r="X24" s="175"/>
      <c r="Y24" s="175"/>
      <c r="Z24" s="175"/>
      <c r="AA24" s="206"/>
      <c r="AB24" s="898" t="s">
        <v>78</v>
      </c>
      <c r="AC24" s="899"/>
      <c r="AD24" s="899"/>
      <c r="AE24" s="899"/>
      <c r="AF24" s="899"/>
      <c r="AG24" s="899"/>
      <c r="AH24" s="899"/>
      <c r="AI24" s="899"/>
      <c r="AJ24" s="899"/>
      <c r="AK24" s="899"/>
      <c r="AL24" s="899"/>
      <c r="AM24" s="899"/>
      <c r="AN24" s="899"/>
      <c r="AO24" s="899"/>
      <c r="AP24" s="899"/>
      <c r="AQ24" s="899"/>
      <c r="AR24" s="899"/>
      <c r="AS24" s="899"/>
      <c r="AT24" s="899"/>
      <c r="AU24" s="899"/>
      <c r="AV24" s="899"/>
      <c r="AW24" s="899"/>
      <c r="AX24" s="899"/>
      <c r="AY24" s="899"/>
      <c r="AZ24" s="899"/>
      <c r="BA24" s="899"/>
      <c r="BB24" s="899"/>
      <c r="BC24" s="899"/>
      <c r="BD24" s="899"/>
      <c r="BE24" s="899"/>
      <c r="BF24" s="899"/>
      <c r="BG24" s="900"/>
      <c r="BH24" s="900"/>
      <c r="BI24" s="900"/>
      <c r="BJ24" s="900"/>
      <c r="BK24" s="900"/>
      <c r="BL24" s="900"/>
      <c r="BM24" s="900"/>
      <c r="BN24" s="900"/>
      <c r="BO24" s="900"/>
      <c r="BP24" s="900"/>
      <c r="BQ24" s="900"/>
      <c r="BR24" s="900"/>
      <c r="BS24" s="900"/>
      <c r="BT24" s="900"/>
      <c r="BU24" s="900"/>
      <c r="BV24" s="900"/>
      <c r="BW24" s="900"/>
      <c r="BX24" s="900"/>
      <c r="BY24" s="900"/>
      <c r="BZ24" s="900"/>
      <c r="CA24" s="900"/>
      <c r="CB24" s="900"/>
      <c r="CC24" s="900"/>
      <c r="CD24" s="900"/>
      <c r="CE24" s="900"/>
      <c r="CF24" s="900"/>
      <c r="CG24" s="900"/>
      <c r="CH24" s="900"/>
      <c r="CI24" s="900"/>
      <c r="CJ24" s="900"/>
      <c r="CK24" s="900"/>
      <c r="CL24" s="900"/>
      <c r="CM24" s="900"/>
      <c r="CN24" s="900"/>
      <c r="CO24" s="900"/>
      <c r="CP24" s="900"/>
      <c r="CQ24" s="900"/>
      <c r="CR24" s="900"/>
      <c r="CS24" s="900"/>
      <c r="CT24" s="900"/>
      <c r="CU24" s="900"/>
      <c r="CV24" s="900"/>
      <c r="CW24" s="900"/>
      <c r="CX24" s="900"/>
      <c r="CY24" s="900"/>
      <c r="CZ24" s="900"/>
      <c r="DA24" s="900"/>
      <c r="DB24" s="900"/>
      <c r="DC24" s="900"/>
      <c r="DD24" s="900"/>
      <c r="DE24" s="900"/>
      <c r="DF24" s="900"/>
      <c r="DG24" s="900"/>
      <c r="DH24" s="900"/>
      <c r="DI24" s="900"/>
      <c r="DJ24" s="900"/>
      <c r="DK24" s="900"/>
      <c r="DL24" s="900"/>
      <c r="DM24" s="900"/>
      <c r="DN24" s="900"/>
      <c r="DO24" s="900"/>
      <c r="DP24" s="900"/>
      <c r="DQ24" s="900"/>
      <c r="DR24" s="900"/>
      <c r="DS24" s="900"/>
      <c r="DT24" s="900"/>
      <c r="DU24" s="900"/>
      <c r="DV24" s="900"/>
      <c r="DW24" s="900"/>
      <c r="DX24" s="900"/>
      <c r="DY24" s="900"/>
      <c r="DZ24" s="900"/>
      <c r="EA24" s="900"/>
      <c r="EB24" s="900"/>
      <c r="EC24" s="900"/>
      <c r="ED24" s="900"/>
      <c r="EE24" s="900"/>
      <c r="EF24" s="900"/>
      <c r="EG24" s="900"/>
      <c r="EH24" s="900"/>
      <c r="EI24" s="900"/>
      <c r="EJ24" s="900"/>
      <c r="EK24" s="900"/>
      <c r="EL24" s="900"/>
      <c r="EM24" s="900"/>
      <c r="EN24" s="900"/>
      <c r="EO24" s="900"/>
      <c r="EP24" s="900"/>
      <c r="EQ24" s="900"/>
      <c r="ER24" s="900"/>
      <c r="ES24" s="900"/>
      <c r="ET24" s="900"/>
      <c r="EU24" s="900"/>
      <c r="EV24" s="900"/>
      <c r="EW24" s="900"/>
      <c r="EX24" s="900"/>
      <c r="EY24" s="900"/>
      <c r="EZ24" s="900"/>
      <c r="FA24" s="900"/>
      <c r="FB24" s="900"/>
      <c r="FC24" s="900"/>
      <c r="FD24" s="900"/>
      <c r="FE24" s="900"/>
      <c r="FF24" s="900"/>
      <c r="FG24" s="900"/>
      <c r="FH24" s="900"/>
      <c r="FI24" s="900"/>
      <c r="FJ24" s="900"/>
      <c r="FK24" s="900"/>
      <c r="FL24" s="900"/>
      <c r="FM24" s="900"/>
      <c r="FN24" s="900"/>
      <c r="FO24" s="900"/>
      <c r="FP24" s="900"/>
      <c r="FQ24" s="900"/>
      <c r="FR24" s="900"/>
      <c r="FS24" s="900"/>
      <c r="FT24" s="900"/>
      <c r="FU24" s="900"/>
      <c r="FV24" s="900"/>
      <c r="FW24" s="900"/>
      <c r="FX24" s="181"/>
      <c r="FZ24" s="489"/>
      <c r="GA24" s="489"/>
      <c r="GB24" s="489"/>
      <c r="GC24" s="489"/>
      <c r="GD24" s="489"/>
      <c r="GF24" s="0"/>
      <c r="GG24" s="0"/>
      <c r="GH24" s="0"/>
      <c r="GI24" s="0"/>
      <c r="GJ24" s="0"/>
      <c r="GK24" s="0"/>
      <c r="GL24" s="0"/>
      <c r="GM24" s="0"/>
      <c r="GN24" s="0"/>
    </row>
    <row customHeight="1" ht="21.450000000000003">
      <c r="E25" s="180">
        <v>22</v>
      </c>
      <c r="AB25" s="1589" t="s">
        <v>412</v>
      </c>
      <c r="AC25" s="1589" t="s">
        <v>413</v>
      </c>
      <c r="AD25" s="1591" t="str">
        <f>AD9&amp;" год"</f>
        <v>2027 год</v>
      </c>
      <c r="AE25" s="1706"/>
      <c r="AF25" s="1707"/>
      <c r="AG25" s="1591" t="str">
        <f>AG9&amp;" год"</f>
        <v>2028 год</v>
      </c>
      <c r="AH25" s="1706"/>
      <c r="AI25" s="1707"/>
      <c r="AJ25" s="1591" t="str">
        <f>AJ9&amp;" год"</f>
        <v>2029 год</v>
      </c>
      <c r="AK25" s="1706"/>
      <c r="AL25" s="1707"/>
      <c r="AM25" s="1591" t="str">
        <f>AM9&amp;" год"</f>
        <v>2030 год</v>
      </c>
      <c r="AN25" s="1706"/>
      <c r="AO25" s="1707"/>
      <c r="AP25" s="1591" t="str">
        <f>AP9&amp;" год"</f>
        <v>2031 год</v>
      </c>
      <c r="AQ25" s="1706"/>
      <c r="AR25" s="1707"/>
      <c r="AS25" s="1591" t="str">
        <f>AS9&amp;" год"</f>
        <v>2032 год</v>
      </c>
      <c r="AT25" s="1706"/>
      <c r="AU25" s="1707"/>
      <c r="AV25" s="1591" t="str">
        <f>AV9&amp;" год"</f>
        <v>2033 год</v>
      </c>
      <c r="AW25" s="1706"/>
      <c r="AX25" s="1707"/>
      <c r="AY25" s="1591" t="str">
        <f>AY9&amp;" год"</f>
        <v>2034 год</v>
      </c>
      <c r="AZ25" s="1706"/>
      <c r="BA25" s="1707"/>
      <c r="BB25" s="1591" t="str">
        <f>BB9&amp;" год"</f>
        <v>2035 год</v>
      </c>
      <c r="BC25" s="1706"/>
      <c r="BD25" s="1707"/>
      <c r="BE25" s="1591" t="str">
        <f>BE9&amp;" год"</f>
        <v>2036 год</v>
      </c>
      <c r="BF25" s="1706"/>
      <c r="BG25" s="1707"/>
      <c r="BH25" s="1591" t="str">
        <f>BH9&amp;" год"</f>
        <v>2037 год</v>
      </c>
      <c r="BI25" s="1706"/>
      <c r="BJ25" s="1707"/>
      <c r="BK25" s="1591" t="str">
        <f>BK9&amp;" год"</f>
        <v>2038 год</v>
      </c>
      <c r="BL25" s="1706"/>
      <c r="BM25" s="1707"/>
      <c r="BN25" s="1591" t="str">
        <f>BN9&amp;" год"</f>
        <v>2039 год</v>
      </c>
      <c r="BO25" s="1706"/>
      <c r="BP25" s="1707"/>
      <c r="BQ25" s="1591" t="str">
        <f>BQ9&amp;" год"</f>
        <v>2040 год</v>
      </c>
      <c r="BR25" s="1706"/>
      <c r="BS25" s="1707"/>
      <c r="BT25" s="1591" t="str">
        <f>BT9&amp;" год"</f>
        <v>2041 год</v>
      </c>
      <c r="BU25" s="1706"/>
      <c r="BV25" s="1707"/>
      <c r="BW25" s="1591" t="str">
        <f>BW9&amp;" год"</f>
        <v>2042 год</v>
      </c>
      <c r="BX25" s="1706"/>
      <c r="BY25" s="1707"/>
      <c r="BZ25" s="1591" t="str">
        <f>BZ9&amp;" год"</f>
        <v>2043 год</v>
      </c>
      <c r="CA25" s="1706"/>
      <c r="CB25" s="1707"/>
      <c r="CC25" s="1591" t="str">
        <f>CC9&amp;" год"</f>
        <v>2044 год</v>
      </c>
      <c r="CD25" s="1706"/>
      <c r="CE25" s="1707"/>
      <c r="CF25" s="1591" t="str">
        <f>CF9&amp;" год"</f>
        <v>2045 год</v>
      </c>
      <c r="CG25" s="1706"/>
      <c r="CH25" s="1707"/>
      <c r="CI25" s="1591" t="str">
        <f>CI9&amp;" год"</f>
        <v>2046 год</v>
      </c>
      <c r="CJ25" s="1706"/>
      <c r="CK25" s="1707"/>
      <c r="CL25" s="1591" t="str">
        <f>CL9&amp;" год"</f>
        <v>2047 год</v>
      </c>
      <c r="CM25" s="1706"/>
      <c r="CN25" s="1707"/>
      <c r="CO25" s="1591" t="str">
        <f>CO9&amp;" год"</f>
        <v>2048 год</v>
      </c>
      <c r="CP25" s="1706"/>
      <c r="CQ25" s="1707"/>
      <c r="CR25" s="1591" t="str">
        <f>CR9&amp;" год"</f>
        <v>2049 год</v>
      </c>
      <c r="CS25" s="1706"/>
      <c r="CT25" s="1707"/>
      <c r="CU25" s="1591" t="str">
        <f>CU9&amp;" год"</f>
        <v>2050 год</v>
      </c>
      <c r="CV25" s="1706"/>
      <c r="CW25" s="1707"/>
      <c r="CX25" s="1591" t="str">
        <f>CX9&amp;" год"</f>
        <v>2051 год</v>
      </c>
      <c r="CY25" s="1706"/>
      <c r="CZ25" s="1707"/>
      <c r="DA25" s="1591" t="str">
        <f>DA9&amp;" год"</f>
        <v>2052 год</v>
      </c>
      <c r="DB25" s="1706"/>
      <c r="DC25" s="1707"/>
      <c r="DD25" s="1591" t="str">
        <f>DD9&amp;" год"</f>
        <v>2053 год</v>
      </c>
      <c r="DE25" s="1706"/>
      <c r="DF25" s="1707"/>
      <c r="DG25" s="1591" t="str">
        <f>DG9&amp;" год"</f>
        <v>2054 год</v>
      </c>
      <c r="DH25" s="1706"/>
      <c r="DI25" s="1707"/>
      <c r="DJ25" s="1591" t="str">
        <f>DJ9&amp;" год"</f>
        <v>2055 год</v>
      </c>
      <c r="DK25" s="1706"/>
      <c r="DL25" s="1707"/>
      <c r="DM25" s="1591" t="str">
        <f>DM9&amp;" год"</f>
        <v>2056 год</v>
      </c>
      <c r="DN25" s="1706"/>
      <c r="DO25" s="1707"/>
      <c r="DP25" s="1591" t="str">
        <f>DP9&amp;" год"</f>
        <v>2057 год</v>
      </c>
      <c r="DQ25" s="1706"/>
      <c r="DR25" s="1707"/>
      <c r="DS25" s="1591" t="str">
        <f>DS9&amp;" год"</f>
        <v>2058 год</v>
      </c>
      <c r="DT25" s="1706"/>
      <c r="DU25" s="1707"/>
      <c r="DV25" s="1591" t="str">
        <f>DV9&amp;" год"</f>
        <v>2059 год</v>
      </c>
      <c r="DW25" s="1706"/>
      <c r="DX25" s="1707"/>
      <c r="DY25" s="1591" t="str">
        <f>DY9&amp;" год"</f>
        <v>2060 год</v>
      </c>
      <c r="DZ25" s="1706"/>
      <c r="EA25" s="1707"/>
      <c r="EB25" s="1591" t="str">
        <f>EB9&amp;" год"</f>
        <v>2061 год</v>
      </c>
      <c r="EC25" s="1706"/>
      <c r="ED25" s="1707"/>
      <c r="EE25" s="1591" t="str">
        <f>EE9&amp;" год"</f>
        <v>2062 год</v>
      </c>
      <c r="EF25" s="1706"/>
      <c r="EG25" s="1707"/>
      <c r="EH25" s="1591" t="str">
        <f>EH9&amp;" год"</f>
        <v>2063 год</v>
      </c>
      <c r="EI25" s="1706"/>
      <c r="EJ25" s="1707"/>
      <c r="EK25" s="1591" t="str">
        <f>EK9&amp;" год"</f>
        <v>2064 год</v>
      </c>
      <c r="EL25" s="1706"/>
      <c r="EM25" s="1707"/>
      <c r="EN25" s="1591" t="str">
        <f>EN9&amp;" год"</f>
        <v>2065 год</v>
      </c>
      <c r="EO25" s="1706"/>
      <c r="EP25" s="1707"/>
      <c r="EQ25" s="1591" t="str">
        <f>EQ9&amp;" год"</f>
        <v>2066 год</v>
      </c>
      <c r="ER25" s="1706"/>
      <c r="ES25" s="1707"/>
      <c r="ET25" s="1591" t="str">
        <f>ET9&amp;" год"</f>
        <v>2067 год</v>
      </c>
      <c r="EU25" s="1706"/>
      <c r="EV25" s="1707"/>
      <c r="EW25" s="1591" t="str">
        <f>EW9&amp;" год"</f>
        <v>2068 год</v>
      </c>
      <c r="EX25" s="1706"/>
      <c r="EY25" s="1707"/>
      <c r="EZ25" s="1591" t="str">
        <f>EZ9&amp;" год"</f>
        <v>2069 год</v>
      </c>
      <c r="FA25" s="1706"/>
      <c r="FB25" s="1707"/>
      <c r="FC25" s="1591" t="str">
        <f>FC9&amp;" год"</f>
        <v>2070 год</v>
      </c>
      <c r="FD25" s="1706"/>
      <c r="FE25" s="1707"/>
      <c r="FF25" s="1591" t="str">
        <f>FF9&amp;" год"</f>
        <v>2071 год</v>
      </c>
      <c r="FG25" s="1706"/>
      <c r="FH25" s="1707"/>
      <c r="FI25" s="1591" t="str">
        <f>FI9&amp;" год"</f>
        <v>2072 год</v>
      </c>
      <c r="FJ25" s="1706"/>
      <c r="FK25" s="1707"/>
      <c r="FL25" s="1591" t="str">
        <f>FL9&amp;" год"</f>
        <v>2073 год</v>
      </c>
      <c r="FM25" s="1706"/>
      <c r="FN25" s="1707"/>
      <c r="FO25" s="1591" t="str">
        <f>FO9&amp;" год"</f>
        <v>2074 год</v>
      </c>
      <c r="FP25" s="1706"/>
      <c r="FQ25" s="1707"/>
      <c r="FR25" s="1591" t="str">
        <f>FR9&amp;" год"</f>
        <v>2075 год</v>
      </c>
      <c r="FS25" s="1706"/>
      <c r="FT25" s="1707"/>
      <c r="FU25" s="1591" t="str">
        <f>FU9&amp;" год"</f>
        <v>2076 год</v>
      </c>
      <c r="FV25" s="1706"/>
      <c r="FW25" s="1707"/>
      <c r="GA25" s="489"/>
      <c r="GB25" s="489"/>
      <c r="GC25" s="489"/>
      <c r="GD25" s="489"/>
    </row>
    <row customHeight="1" ht="42.900000000000006">
      <c r="E26" s="180">
        <v>44</v>
      </c>
      <c r="AB26" s="1589"/>
      <c r="AC26" s="1589"/>
      <c r="AD26" s="331" t="s">
        <v>416</v>
      </c>
      <c r="AE26" s="380" t="s">
        <v>415</v>
      </c>
      <c r="AF26" s="380" t="s">
        <v>1130</v>
      </c>
      <c r="AG26" s="422" t="s">
        <v>416</v>
      </c>
      <c r="AH26" s="380" t="s">
        <v>415</v>
      </c>
      <c r="AI26" s="380" t="s">
        <v>1130</v>
      </c>
      <c r="AJ26" s="422" t="s">
        <v>416</v>
      </c>
      <c r="AK26" s="380" t="s">
        <v>415</v>
      </c>
      <c r="AL26" s="380" t="s">
        <v>1130</v>
      </c>
      <c r="AM26" s="422" t="s">
        <v>416</v>
      </c>
      <c r="AN26" s="380" t="s">
        <v>415</v>
      </c>
      <c r="AO26" s="380" t="s">
        <v>1130</v>
      </c>
      <c r="AP26" s="422" t="s">
        <v>416</v>
      </c>
      <c r="AQ26" s="380" t="s">
        <v>415</v>
      </c>
      <c r="AR26" s="380" t="s">
        <v>1130</v>
      </c>
      <c r="AS26" s="422" t="s">
        <v>416</v>
      </c>
      <c r="AT26" s="380" t="s">
        <v>415</v>
      </c>
      <c r="AU26" s="380" t="s">
        <v>1130</v>
      </c>
      <c r="AV26" s="422" t="s">
        <v>416</v>
      </c>
      <c r="AW26" s="380" t="s">
        <v>415</v>
      </c>
      <c r="AX26" s="380" t="s">
        <v>1130</v>
      </c>
      <c r="AY26" s="422" t="s">
        <v>416</v>
      </c>
      <c r="AZ26" s="380" t="s">
        <v>415</v>
      </c>
      <c r="BA26" s="380" t="s">
        <v>1130</v>
      </c>
      <c r="BB26" s="422" t="s">
        <v>416</v>
      </c>
      <c r="BC26" s="380" t="s">
        <v>415</v>
      </c>
      <c r="BD26" s="380" t="s">
        <v>1130</v>
      </c>
      <c r="BE26" s="422" t="s">
        <v>416</v>
      </c>
      <c r="BF26" s="380" t="s">
        <v>415</v>
      </c>
      <c r="BG26" s="380" t="s">
        <v>1130</v>
      </c>
      <c r="BH26" s="422" t="s">
        <v>416</v>
      </c>
      <c r="BI26" s="380" t="s">
        <v>415</v>
      </c>
      <c r="BJ26" s="380" t="s">
        <v>1130</v>
      </c>
      <c r="BK26" s="422" t="s">
        <v>416</v>
      </c>
      <c r="BL26" s="380" t="s">
        <v>415</v>
      </c>
      <c r="BM26" s="380" t="s">
        <v>1130</v>
      </c>
      <c r="BN26" s="422" t="s">
        <v>416</v>
      </c>
      <c r="BO26" s="380" t="s">
        <v>415</v>
      </c>
      <c r="BP26" s="380" t="s">
        <v>1130</v>
      </c>
      <c r="BQ26" s="422" t="s">
        <v>416</v>
      </c>
      <c r="BR26" s="380" t="s">
        <v>415</v>
      </c>
      <c r="BS26" s="380" t="s">
        <v>1130</v>
      </c>
      <c r="BT26" s="422" t="s">
        <v>416</v>
      </c>
      <c r="BU26" s="380" t="s">
        <v>415</v>
      </c>
      <c r="BV26" s="380" t="s">
        <v>1130</v>
      </c>
      <c r="BW26" s="380" t="s">
        <v>416</v>
      </c>
      <c r="BX26" s="380" t="s">
        <v>415</v>
      </c>
      <c r="BY26" s="380" t="s">
        <v>1130</v>
      </c>
      <c r="BZ26" s="380" t="s">
        <v>416</v>
      </c>
      <c r="CA26" s="380" t="s">
        <v>415</v>
      </c>
      <c r="CB26" s="380" t="s">
        <v>1130</v>
      </c>
      <c r="CC26" s="380" t="s">
        <v>416</v>
      </c>
      <c r="CD26" s="380" t="s">
        <v>415</v>
      </c>
      <c r="CE26" s="380" t="s">
        <v>1130</v>
      </c>
      <c r="CF26" s="380" t="s">
        <v>416</v>
      </c>
      <c r="CG26" s="380" t="s">
        <v>415</v>
      </c>
      <c r="CH26" s="380" t="s">
        <v>1130</v>
      </c>
      <c r="CI26" s="380" t="s">
        <v>416</v>
      </c>
      <c r="CJ26" s="380" t="s">
        <v>415</v>
      </c>
      <c r="CK26" s="380" t="s">
        <v>1130</v>
      </c>
      <c r="CL26" s="380" t="s">
        <v>416</v>
      </c>
      <c r="CM26" s="380" t="s">
        <v>415</v>
      </c>
      <c r="CN26" s="380" t="s">
        <v>1130</v>
      </c>
      <c r="CO26" s="380" t="s">
        <v>416</v>
      </c>
      <c r="CP26" s="380" t="s">
        <v>415</v>
      </c>
      <c r="CQ26" s="380" t="s">
        <v>1130</v>
      </c>
      <c r="CR26" s="380" t="s">
        <v>416</v>
      </c>
      <c r="CS26" s="380" t="s">
        <v>415</v>
      </c>
      <c r="CT26" s="380" t="s">
        <v>1130</v>
      </c>
      <c r="CU26" s="380" t="s">
        <v>416</v>
      </c>
      <c r="CV26" s="380" t="s">
        <v>415</v>
      </c>
      <c r="CW26" s="380" t="s">
        <v>1130</v>
      </c>
      <c r="CX26" s="380" t="s">
        <v>416</v>
      </c>
      <c r="CY26" s="380" t="s">
        <v>415</v>
      </c>
      <c r="CZ26" s="380" t="s">
        <v>1130</v>
      </c>
      <c r="DA26" s="380" t="s">
        <v>416</v>
      </c>
      <c r="DB26" s="380" t="s">
        <v>415</v>
      </c>
      <c r="DC26" s="380" t="s">
        <v>1130</v>
      </c>
      <c r="DD26" s="380" t="s">
        <v>416</v>
      </c>
      <c r="DE26" s="380" t="s">
        <v>415</v>
      </c>
      <c r="DF26" s="380" t="s">
        <v>1130</v>
      </c>
      <c r="DG26" s="380" t="s">
        <v>416</v>
      </c>
      <c r="DH26" s="380" t="s">
        <v>415</v>
      </c>
      <c r="DI26" s="380" t="s">
        <v>1130</v>
      </c>
      <c r="DJ26" s="380" t="s">
        <v>416</v>
      </c>
      <c r="DK26" s="380" t="s">
        <v>415</v>
      </c>
      <c r="DL26" s="380" t="s">
        <v>1130</v>
      </c>
      <c r="DM26" s="380" t="s">
        <v>416</v>
      </c>
      <c r="DN26" s="380" t="s">
        <v>415</v>
      </c>
      <c r="DO26" s="380" t="s">
        <v>1130</v>
      </c>
      <c r="DP26" s="380" t="s">
        <v>416</v>
      </c>
      <c r="DQ26" s="380" t="s">
        <v>415</v>
      </c>
      <c r="DR26" s="380" t="s">
        <v>1130</v>
      </c>
      <c r="DS26" s="380" t="s">
        <v>416</v>
      </c>
      <c r="DT26" s="380" t="s">
        <v>415</v>
      </c>
      <c r="DU26" s="380" t="s">
        <v>1130</v>
      </c>
      <c r="DV26" s="380" t="s">
        <v>416</v>
      </c>
      <c r="DW26" s="380" t="s">
        <v>415</v>
      </c>
      <c r="DX26" s="380" t="s">
        <v>1130</v>
      </c>
      <c r="DY26" s="380" t="s">
        <v>416</v>
      </c>
      <c r="DZ26" s="380" t="s">
        <v>415</v>
      </c>
      <c r="EA26" s="380" t="s">
        <v>1130</v>
      </c>
      <c r="EB26" s="380" t="s">
        <v>416</v>
      </c>
      <c r="EC26" s="380" t="s">
        <v>415</v>
      </c>
      <c r="ED26" s="380" t="s">
        <v>1130</v>
      </c>
      <c r="EE26" s="380" t="s">
        <v>416</v>
      </c>
      <c r="EF26" s="380" t="s">
        <v>415</v>
      </c>
      <c r="EG26" s="380" t="s">
        <v>1130</v>
      </c>
      <c r="EH26" s="380" t="s">
        <v>416</v>
      </c>
      <c r="EI26" s="380" t="s">
        <v>415</v>
      </c>
      <c r="EJ26" s="380" t="s">
        <v>1130</v>
      </c>
      <c r="EK26" s="380" t="s">
        <v>416</v>
      </c>
      <c r="EL26" s="380" t="s">
        <v>415</v>
      </c>
      <c r="EM26" s="380" t="s">
        <v>1130</v>
      </c>
      <c r="EN26" s="380" t="s">
        <v>416</v>
      </c>
      <c r="EO26" s="380" t="s">
        <v>415</v>
      </c>
      <c r="EP26" s="380" t="s">
        <v>1130</v>
      </c>
      <c r="EQ26" s="380" t="s">
        <v>416</v>
      </c>
      <c r="ER26" s="380" t="s">
        <v>415</v>
      </c>
      <c r="ES26" s="380" t="s">
        <v>1130</v>
      </c>
      <c r="ET26" s="380" t="s">
        <v>416</v>
      </c>
      <c r="EU26" s="380" t="s">
        <v>415</v>
      </c>
      <c r="EV26" s="380" t="s">
        <v>1130</v>
      </c>
      <c r="EW26" s="380" t="s">
        <v>416</v>
      </c>
      <c r="EX26" s="380" t="s">
        <v>415</v>
      </c>
      <c r="EY26" s="380" t="s">
        <v>1130</v>
      </c>
      <c r="EZ26" s="380" t="s">
        <v>416</v>
      </c>
      <c r="FA26" s="380" t="s">
        <v>415</v>
      </c>
      <c r="FB26" s="380" t="s">
        <v>1130</v>
      </c>
      <c r="FC26" s="380" t="s">
        <v>416</v>
      </c>
      <c r="FD26" s="380" t="s">
        <v>415</v>
      </c>
      <c r="FE26" s="380" t="s">
        <v>1130</v>
      </c>
      <c r="FF26" s="380" t="s">
        <v>416</v>
      </c>
      <c r="FG26" s="380" t="s">
        <v>415</v>
      </c>
      <c r="FH26" s="380" t="s">
        <v>1130</v>
      </c>
      <c r="FI26" s="380" t="s">
        <v>416</v>
      </c>
      <c r="FJ26" s="380" t="s">
        <v>415</v>
      </c>
      <c r="FK26" s="380" t="s">
        <v>1130</v>
      </c>
      <c r="FL26" s="380" t="s">
        <v>416</v>
      </c>
      <c r="FM26" s="380" t="s">
        <v>415</v>
      </c>
      <c r="FN26" s="380" t="s">
        <v>1130</v>
      </c>
      <c r="FO26" s="380" t="s">
        <v>416</v>
      </c>
      <c r="FP26" s="380" t="s">
        <v>415</v>
      </c>
      <c r="FQ26" s="380" t="s">
        <v>1130</v>
      </c>
      <c r="FR26" s="380" t="s">
        <v>416</v>
      </c>
      <c r="FS26" s="380" t="s">
        <v>415</v>
      </c>
      <c r="FT26" s="380" t="s">
        <v>1130</v>
      </c>
      <c r="FU26" s="380" t="s">
        <v>416</v>
      </c>
      <c r="FV26" s="380" t="s">
        <v>415</v>
      </c>
      <c r="FW26" s="380" t="s">
        <v>1130</v>
      </c>
      <c r="GA26" s="489"/>
      <c r="GB26" s="489"/>
      <c r="GC26" s="489"/>
      <c r="GD26" s="489"/>
    </row>
    <row customHeight="1" ht="43.5" hidden="1">
      <c r="E27" s="965">
        <v>0</v>
      </c>
      <c r="AB27" s="903"/>
      <c r="AC27" s="904"/>
      <c r="AD27" s="381"/>
      <c r="AE27" s="901"/>
      <c r="AF27" s="901"/>
      <c r="AG27" s="901"/>
      <c r="AH27" s="901"/>
      <c r="AI27" s="901"/>
      <c r="AJ27" s="901"/>
      <c r="AK27" s="901"/>
      <c r="AL27" s="901"/>
      <c r="AM27" s="901"/>
      <c r="AN27" s="901"/>
      <c r="AO27" s="901"/>
      <c r="AP27" s="901"/>
      <c r="AQ27" s="901"/>
      <c r="AR27" s="901"/>
      <c r="AS27" s="901"/>
      <c r="AT27" s="901"/>
      <c r="AU27" s="901"/>
      <c r="AV27" s="901"/>
      <c r="AW27" s="901"/>
      <c r="AX27" s="901"/>
      <c r="AY27" s="901"/>
      <c r="AZ27" s="901"/>
      <c r="BA27" s="901"/>
      <c r="BB27" s="901"/>
      <c r="BC27" s="901"/>
      <c r="BD27" s="901"/>
      <c r="BE27" s="901"/>
      <c r="BF27" s="901"/>
      <c r="BG27" s="901"/>
      <c r="BH27" s="901"/>
      <c r="BI27" s="901"/>
      <c r="BJ27" s="901"/>
      <c r="BK27" s="901"/>
      <c r="BL27" s="901"/>
      <c r="BM27" s="901"/>
      <c r="BN27" s="901"/>
      <c r="BO27" s="901"/>
      <c r="BP27" s="901"/>
      <c r="BQ27" s="901"/>
      <c r="BR27" s="901"/>
      <c r="BS27" s="901"/>
      <c r="BT27" s="901"/>
      <c r="BU27" s="901"/>
      <c r="BV27" s="901"/>
      <c r="BW27" s="901"/>
      <c r="BX27" s="901"/>
      <c r="BY27" s="901"/>
      <c r="BZ27" s="901"/>
      <c r="CA27" s="901"/>
      <c r="CB27" s="901"/>
      <c r="CC27" s="901"/>
      <c r="CD27" s="901"/>
      <c r="CE27" s="901"/>
      <c r="CF27" s="901"/>
      <c r="CG27" s="901"/>
      <c r="CH27" s="901"/>
      <c r="CI27" s="901"/>
      <c r="CJ27" s="901"/>
      <c r="CK27" s="901"/>
      <c r="CL27" s="901"/>
      <c r="CM27" s="901"/>
      <c r="CN27" s="901"/>
      <c r="CO27" s="901"/>
      <c r="CP27" s="901"/>
      <c r="CQ27" s="901"/>
      <c r="CR27" s="901"/>
      <c r="CS27" s="901"/>
      <c r="CT27" s="901"/>
      <c r="CU27" s="901"/>
      <c r="CV27" s="901"/>
      <c r="CW27" s="901"/>
      <c r="CX27" s="901"/>
      <c r="CY27" s="901"/>
      <c r="CZ27" s="901"/>
      <c r="DA27" s="901"/>
      <c r="DB27" s="901"/>
      <c r="DC27" s="901"/>
      <c r="DD27" s="901"/>
      <c r="DE27" s="901"/>
      <c r="DF27" s="901"/>
      <c r="DG27" s="901"/>
      <c r="DH27" s="901"/>
      <c r="DI27" s="901"/>
      <c r="DJ27" s="901"/>
      <c r="DK27" s="901"/>
      <c r="DL27" s="901"/>
      <c r="DM27" s="901"/>
      <c r="DN27" s="901"/>
      <c r="DO27" s="901"/>
      <c r="DP27" s="901"/>
      <c r="DQ27" s="901"/>
      <c r="DR27" s="901"/>
      <c r="DS27" s="901"/>
      <c r="DT27" s="901"/>
      <c r="DU27" s="901"/>
      <c r="DV27" s="901"/>
      <c r="DW27" s="901"/>
      <c r="DX27" s="901"/>
      <c r="DY27" s="901"/>
      <c r="DZ27" s="901"/>
      <c r="EA27" s="901"/>
      <c r="EB27" s="901"/>
      <c r="EC27" s="901"/>
      <c r="ED27" s="901"/>
      <c r="EE27" s="901"/>
      <c r="EF27" s="901"/>
      <c r="EG27" s="901"/>
      <c r="EH27" s="901"/>
      <c r="EI27" s="901"/>
      <c r="EJ27" s="901"/>
      <c r="EK27" s="901"/>
      <c r="EL27" s="901"/>
      <c r="EM27" s="901"/>
      <c r="EN27" s="901"/>
      <c r="EO27" s="901"/>
      <c r="EP27" s="901"/>
      <c r="EQ27" s="901"/>
      <c r="ER27" s="901"/>
      <c r="ES27" s="901"/>
      <c r="ET27" s="901"/>
      <c r="EU27" s="901"/>
      <c r="EV27" s="901"/>
      <c r="EW27" s="901"/>
      <c r="EX27" s="901"/>
      <c r="EY27" s="901"/>
      <c r="EZ27" s="901"/>
      <c r="FA27" s="901"/>
      <c r="FB27" s="901"/>
      <c r="FC27" s="901"/>
      <c r="FD27" s="901"/>
      <c r="FE27" s="901"/>
      <c r="FF27" s="901"/>
      <c r="FG27" s="901"/>
      <c r="FH27" s="901"/>
      <c r="FI27" s="901"/>
      <c r="FJ27" s="901"/>
      <c r="FK27" s="901"/>
      <c r="FL27" s="901"/>
      <c r="FM27" s="901"/>
      <c r="FN27" s="901"/>
      <c r="FO27" s="901"/>
      <c r="FP27" s="901"/>
      <c r="FQ27" s="901"/>
      <c r="FR27" s="901"/>
      <c r="FS27" s="901"/>
      <c r="FT27" s="901"/>
      <c r="FU27" s="901"/>
      <c r="FV27" s="901"/>
      <c r="FW27" s="902"/>
      <c r="GA27" s="489"/>
      <c r="GB27" s="489"/>
      <c r="GC27" s="489"/>
      <c r="GD27" s="489"/>
    </row>
    <row customHeight="1" ht="21.450000000000003" hidden="1">
      <c r="E28" s="180">
        <v>22</v>
      </c>
      <c r="F28" s="175" cm="1" t="str">
        <f t="array" ref="F28:F28">X28</f>
        <v>0</v>
      </c>
      <c r="G28" s="193" cm="1" t="str">
        <f t="array" ref="G28:G28">INDEX('Общие сведения'!$AK$169:$AK$202,MATCH($F28,'Общие сведения'!$Y$169:$Y$202,0))</f>
        <v>0</v>
      </c>
      <c r="R28" s="193" cm="1" t="str">
        <f t="array" ref="R28:R28">INDEX('Общие сведения'!$AK$169:$AK$202,MATCH($F28,'Общие сведения'!$Y$169:$Y$202,0))</f>
        <v>0</v>
      </c>
      <c r="T28" s="753">
        <f>X28&gt;0</f>
        <v>0</v>
      </c>
      <c r="V28" s="175" t="s">
        <v>266</v>
      </c>
      <c r="X28" s="175">
        <v>0</v>
      </c>
      <c r="AB28" s="1709" t="s">
        <v>355</v>
      </c>
      <c r="AC28" s="1710"/>
      <c r="AD28" s="1701" t="str">
        <f>"Тариф "&amp;F28</f>
        <v>Тариф 0</v>
      </c>
      <c r="AE28" s="1702"/>
      <c r="AF28" s="1702"/>
      <c r="AG28" s="1702"/>
      <c r="AH28" s="1702"/>
      <c r="AI28" s="1702"/>
      <c r="AJ28" s="1702"/>
      <c r="AK28" s="1702"/>
      <c r="AL28" s="1702"/>
      <c r="AM28" s="1702"/>
      <c r="AN28" s="1702"/>
      <c r="AO28" s="1702"/>
      <c r="AP28" s="1702"/>
      <c r="AQ28" s="1702"/>
      <c r="AR28" s="1702"/>
      <c r="AS28" s="1702"/>
      <c r="AT28" s="1702"/>
      <c r="AU28" s="1702"/>
      <c r="AV28" s="1702"/>
      <c r="AW28" s="1702"/>
      <c r="AX28" s="1702"/>
      <c r="AY28" s="1702"/>
      <c r="AZ28" s="1702"/>
      <c r="BA28" s="1702"/>
      <c r="BB28" s="1702"/>
      <c r="BC28" s="1702"/>
      <c r="BD28" s="1702"/>
      <c r="BE28" s="1702"/>
      <c r="BF28" s="1702"/>
      <c r="BG28" s="1702"/>
      <c r="BH28" s="1702"/>
      <c r="BI28" s="1702"/>
      <c r="BJ28" s="1702"/>
      <c r="BK28" s="1702"/>
      <c r="BL28" s="1702"/>
      <c r="BM28" s="1702"/>
      <c r="BN28" s="1702"/>
      <c r="BO28" s="1702"/>
      <c r="BP28" s="1702"/>
      <c r="BQ28" s="1702"/>
      <c r="BR28" s="1702"/>
      <c r="BS28" s="1702"/>
      <c r="BT28" s="1702"/>
      <c r="BU28" s="1702"/>
      <c r="BV28" s="1702"/>
      <c r="BW28" s="1702"/>
      <c r="BX28" s="1702"/>
      <c r="BY28" s="1702"/>
      <c r="BZ28" s="1702"/>
      <c r="CA28" s="1702"/>
      <c r="CB28" s="1702"/>
      <c r="CC28" s="1702"/>
      <c r="CD28" s="1702"/>
      <c r="CE28" s="1702"/>
      <c r="CF28" s="1702"/>
      <c r="CG28" s="1702"/>
      <c r="CH28" s="1702"/>
      <c r="CI28" s="1702"/>
      <c r="CJ28" s="1702"/>
      <c r="CK28" s="1702"/>
      <c r="CL28" s="1702"/>
      <c r="CM28" s="1702"/>
      <c r="CN28" s="1702"/>
      <c r="CO28" s="1702"/>
      <c r="CP28" s="1702"/>
      <c r="CQ28" s="1702"/>
      <c r="CR28" s="1702"/>
      <c r="CS28" s="1702"/>
      <c r="CT28" s="1702"/>
      <c r="CU28" s="1702"/>
      <c r="CV28" s="1702"/>
      <c r="CW28" s="1702"/>
      <c r="CX28" s="1702"/>
      <c r="CY28" s="1702"/>
      <c r="CZ28" s="1702"/>
      <c r="DA28" s="1702"/>
      <c r="DB28" s="1702"/>
      <c r="DC28" s="1702"/>
      <c r="DD28" s="1702"/>
      <c r="DE28" s="1702"/>
      <c r="DF28" s="1702"/>
      <c r="DG28" s="1702"/>
      <c r="DH28" s="1702"/>
      <c r="DI28" s="1702"/>
      <c r="DJ28" s="1702"/>
      <c r="DK28" s="1702"/>
      <c r="DL28" s="1702"/>
      <c r="DM28" s="1702"/>
      <c r="DN28" s="1702"/>
      <c r="DO28" s="1702"/>
      <c r="DP28" s="1702"/>
      <c r="DQ28" s="1702"/>
      <c r="DR28" s="1702"/>
      <c r="DS28" s="1702"/>
      <c r="DT28" s="1702"/>
      <c r="DU28" s="1702"/>
      <c r="DV28" s="1702"/>
      <c r="DW28" s="1702"/>
      <c r="DX28" s="1702"/>
      <c r="DY28" s="1702"/>
      <c r="DZ28" s="1702"/>
      <c r="EA28" s="1702"/>
      <c r="EB28" s="1702"/>
      <c r="EC28" s="1702"/>
      <c r="ED28" s="1702"/>
      <c r="EE28" s="1702"/>
      <c r="EF28" s="1702"/>
      <c r="EG28" s="1702"/>
      <c r="EH28" s="1702"/>
      <c r="EI28" s="1702"/>
      <c r="EJ28" s="1702"/>
      <c r="EK28" s="1702"/>
      <c r="EL28" s="1702"/>
      <c r="EM28" s="1702"/>
      <c r="EN28" s="1702"/>
      <c r="EO28" s="1702"/>
      <c r="EP28" s="1702"/>
      <c r="EQ28" s="1702"/>
      <c r="ER28" s="1702"/>
      <c r="ES28" s="1702"/>
      <c r="ET28" s="1702"/>
      <c r="EU28" s="1702"/>
      <c r="EV28" s="1702"/>
      <c r="EW28" s="1702"/>
      <c r="EX28" s="1702"/>
      <c r="EY28" s="1702"/>
      <c r="EZ28" s="1702"/>
      <c r="FA28" s="1702"/>
      <c r="FB28" s="1702"/>
      <c r="FC28" s="1702"/>
      <c r="FD28" s="1702"/>
      <c r="FE28" s="1702"/>
      <c r="FF28" s="1702"/>
      <c r="FG28" s="1702"/>
      <c r="FH28" s="1702"/>
      <c r="FI28" s="1702"/>
      <c r="FJ28" s="1702"/>
      <c r="FK28" s="1702"/>
      <c r="FL28" s="1702"/>
      <c r="FM28" s="1702"/>
      <c r="FN28" s="1702"/>
      <c r="FO28" s="1702"/>
      <c r="FP28" s="1702"/>
      <c r="FQ28" s="1702"/>
      <c r="FR28" s="1702"/>
      <c r="FS28" s="1702"/>
      <c r="FT28" s="1702"/>
      <c r="FU28" s="1702"/>
      <c r="FV28" s="1702"/>
      <c r="FW28" s="1703"/>
      <c r="GA28" s="489"/>
      <c r="GB28" s="489"/>
      <c r="GC28" s="489"/>
      <c r="GD28" s="489"/>
    </row>
    <row customHeight="1" ht="15" hidden="1">
      <c r="E29" s="965">
        <v>0</v>
      </c>
      <c r="F29" s="175" cm="1" t="str">
        <f t="array" ref="F29:F29">OFFSET(G29,-1,-1)</f>
        <v>0</v>
      </c>
      <c r="T29" s="753" t="b">
        <v>0</v>
      </c>
      <c r="AB29" s="1564"/>
      <c r="AC29" s="1566"/>
      <c r="AD29" s="1701"/>
      <c r="AE29" s="1704"/>
      <c r="AF29" s="1704"/>
      <c r="AG29" s="1704"/>
      <c r="AH29" s="1704"/>
      <c r="AI29" s="1704"/>
      <c r="AJ29" s="1704"/>
      <c r="AK29" s="1704"/>
      <c r="AL29" s="1704"/>
      <c r="AM29" s="1704"/>
      <c r="AN29" s="1704"/>
      <c r="AO29" s="1704"/>
      <c r="AP29" s="1704"/>
      <c r="AQ29" s="1704"/>
      <c r="AR29" s="1704"/>
      <c r="AS29" s="1704"/>
      <c r="AT29" s="1704"/>
      <c r="AU29" s="1704"/>
      <c r="AV29" s="1704"/>
      <c r="AW29" s="1704"/>
      <c r="AX29" s="1704"/>
      <c r="AY29" s="1704"/>
      <c r="AZ29" s="1704"/>
      <c r="BA29" s="1704"/>
      <c r="BB29" s="1704"/>
      <c r="BC29" s="1704"/>
      <c r="BD29" s="1704"/>
      <c r="BE29" s="1704"/>
      <c r="BF29" s="1704"/>
      <c r="BG29" s="1704"/>
      <c r="BH29" s="1704"/>
      <c r="BI29" s="1704"/>
      <c r="BJ29" s="1704"/>
      <c r="BK29" s="1704"/>
      <c r="BL29" s="1704"/>
      <c r="BM29" s="1704"/>
      <c r="BN29" s="1704"/>
      <c r="BO29" s="1704"/>
      <c r="BP29" s="1704"/>
      <c r="BQ29" s="1704"/>
      <c r="BR29" s="1704"/>
      <c r="BS29" s="1704"/>
      <c r="BT29" s="1704"/>
      <c r="BU29" s="1704"/>
      <c r="BV29" s="1704"/>
      <c r="BW29" s="1704"/>
      <c r="BX29" s="1704"/>
      <c r="BY29" s="1704"/>
      <c r="BZ29" s="1704"/>
      <c r="CA29" s="1704"/>
      <c r="CB29" s="1704"/>
      <c r="CC29" s="1704"/>
      <c r="CD29" s="1704"/>
      <c r="CE29" s="1704"/>
      <c r="CF29" s="1704"/>
      <c r="CG29" s="1704"/>
      <c r="CH29" s="1704"/>
      <c r="CI29" s="1704"/>
      <c r="CJ29" s="1704"/>
      <c r="CK29" s="1704"/>
      <c r="CL29" s="1704"/>
      <c r="CM29" s="1704"/>
      <c r="CN29" s="1704"/>
      <c r="CO29" s="1704"/>
      <c r="CP29" s="1704"/>
      <c r="CQ29" s="1704"/>
      <c r="CR29" s="1704"/>
      <c r="CS29" s="1704"/>
      <c r="CT29" s="1704"/>
      <c r="CU29" s="1704"/>
      <c r="CV29" s="1704"/>
      <c r="CW29" s="1704"/>
      <c r="CX29" s="1704"/>
      <c r="CY29" s="1704"/>
      <c r="CZ29" s="1704"/>
      <c r="DA29" s="1704"/>
      <c r="DB29" s="1704"/>
      <c r="DC29" s="1704"/>
      <c r="DD29" s="1704"/>
      <c r="DE29" s="1704"/>
      <c r="DF29" s="1704"/>
      <c r="DG29" s="1704"/>
      <c r="DH29" s="1704"/>
      <c r="DI29" s="1704"/>
      <c r="DJ29" s="1704"/>
      <c r="DK29" s="1704"/>
      <c r="DL29" s="1704"/>
      <c r="DM29" s="1704"/>
      <c r="DN29" s="1704"/>
      <c r="DO29" s="1704"/>
      <c r="DP29" s="1704"/>
      <c r="DQ29" s="1704"/>
      <c r="DR29" s="1704"/>
      <c r="DS29" s="1704"/>
      <c r="DT29" s="1704"/>
      <c r="DU29" s="1704"/>
      <c r="DV29" s="1704"/>
      <c r="DW29" s="1704"/>
      <c r="DX29" s="1704"/>
      <c r="DY29" s="1704"/>
      <c r="DZ29" s="1704"/>
      <c r="EA29" s="1704"/>
      <c r="EB29" s="1704"/>
      <c r="EC29" s="1704"/>
      <c r="ED29" s="1704"/>
      <c r="EE29" s="1704"/>
      <c r="EF29" s="1704"/>
      <c r="EG29" s="1704"/>
      <c r="EH29" s="1704"/>
      <c r="EI29" s="1704"/>
      <c r="EJ29" s="1704"/>
      <c r="EK29" s="1704"/>
      <c r="EL29" s="1704"/>
      <c r="EM29" s="1704"/>
      <c r="EN29" s="1704"/>
      <c r="EO29" s="1704"/>
      <c r="EP29" s="1704"/>
      <c r="EQ29" s="1704"/>
      <c r="ER29" s="1704"/>
      <c r="ES29" s="1704"/>
      <c r="ET29" s="1704"/>
      <c r="EU29" s="1704"/>
      <c r="EV29" s="1704"/>
      <c r="EW29" s="1704"/>
      <c r="EX29" s="1704"/>
      <c r="EY29" s="1704"/>
      <c r="EZ29" s="1704"/>
      <c r="FA29" s="1704"/>
      <c r="FB29" s="1704"/>
      <c r="FC29" s="1704"/>
      <c r="FD29" s="1704"/>
      <c r="FE29" s="1704"/>
      <c r="FF29" s="1704"/>
      <c r="FG29" s="1704"/>
      <c r="FH29" s="1704"/>
      <c r="FI29" s="1704"/>
      <c r="FJ29" s="1704"/>
      <c r="FK29" s="1704"/>
      <c r="FL29" s="1704"/>
      <c r="FM29" s="1704"/>
      <c r="FN29" s="1704"/>
      <c r="FO29" s="1704"/>
      <c r="FP29" s="1704"/>
      <c r="FQ29" s="1704"/>
      <c r="FR29" s="1704"/>
      <c r="FS29" s="1704"/>
      <c r="FT29" s="1704"/>
      <c r="FU29" s="1704"/>
      <c r="FV29" s="1704"/>
      <c r="FW29" s="1705"/>
      <c r="GA29" s="489"/>
      <c r="GB29" s="489"/>
      <c r="GC29" s="489"/>
      <c r="GD29" s="489"/>
    </row>
    <row customHeight="1" ht="16.575" hidden="1">
      <c r="E30" s="180">
        <v>17</v>
      </c>
      <c r="F30" s="175" cm="1" t="str">
        <f t="array" ref="F30:F30">OFFSET(G30,-1,-1)</f>
        <v>0</v>
      </c>
      <c r="T30" s="753" cm="1" t="str">
        <f t="array" ref="T30:T30">T28</f>
        <v>false</v>
      </c>
      <c r="AB30" s="1564" t="s">
        <v>2446</v>
      </c>
      <c r="AC30" s="1566"/>
      <c r="AD30" s="1701" cm="1" t="str">
        <f t="array" ref="AD30:AD30">INDEX('Общие сведения'!$AM$169:$AM$202,MATCH($F30,'Общие сведения'!$Y$169:$Y$202,0))</f>
        <v>0</v>
      </c>
      <c r="AE30" s="1704"/>
      <c r="AF30" s="1704"/>
      <c r="AG30" s="1704"/>
      <c r="AH30" s="1704"/>
      <c r="AI30" s="1704"/>
      <c r="AJ30" s="1704"/>
      <c r="AK30" s="1704"/>
      <c r="AL30" s="1704"/>
      <c r="AM30" s="1704"/>
      <c r="AN30" s="1704"/>
      <c r="AO30" s="1704"/>
      <c r="AP30" s="1704"/>
      <c r="AQ30" s="1704"/>
      <c r="AR30" s="1704"/>
      <c r="AS30" s="1704"/>
      <c r="AT30" s="1704"/>
      <c r="AU30" s="1704"/>
      <c r="AV30" s="1704"/>
      <c r="AW30" s="1704"/>
      <c r="AX30" s="1704"/>
      <c r="AY30" s="1704"/>
      <c r="AZ30" s="1704"/>
      <c r="BA30" s="1704"/>
      <c r="BB30" s="1704"/>
      <c r="BC30" s="1704"/>
      <c r="BD30" s="1704"/>
      <c r="BE30" s="1704"/>
      <c r="BF30" s="1704"/>
      <c r="BG30" s="1704"/>
      <c r="BH30" s="1704"/>
      <c r="BI30" s="1704"/>
      <c r="BJ30" s="1704"/>
      <c r="BK30" s="1704"/>
      <c r="BL30" s="1704"/>
      <c r="BM30" s="1704"/>
      <c r="BN30" s="1704"/>
      <c r="BO30" s="1704"/>
      <c r="BP30" s="1704"/>
      <c r="BQ30" s="1704"/>
      <c r="BR30" s="1704"/>
      <c r="BS30" s="1704"/>
      <c r="BT30" s="1704"/>
      <c r="BU30" s="1704"/>
      <c r="BV30" s="1704"/>
      <c r="BW30" s="1704"/>
      <c r="BX30" s="1704"/>
      <c r="BY30" s="1704"/>
      <c r="BZ30" s="1704"/>
      <c r="CA30" s="1704"/>
      <c r="CB30" s="1704"/>
      <c r="CC30" s="1704"/>
      <c r="CD30" s="1704"/>
      <c r="CE30" s="1704"/>
      <c r="CF30" s="1704"/>
      <c r="CG30" s="1704"/>
      <c r="CH30" s="1704"/>
      <c r="CI30" s="1704"/>
      <c r="CJ30" s="1704"/>
      <c r="CK30" s="1704"/>
      <c r="CL30" s="1704"/>
      <c r="CM30" s="1704"/>
      <c r="CN30" s="1704"/>
      <c r="CO30" s="1704"/>
      <c r="CP30" s="1704"/>
      <c r="CQ30" s="1704"/>
      <c r="CR30" s="1704"/>
      <c r="CS30" s="1704"/>
      <c r="CT30" s="1704"/>
      <c r="CU30" s="1704"/>
      <c r="CV30" s="1704"/>
      <c r="CW30" s="1704"/>
      <c r="CX30" s="1704"/>
      <c r="CY30" s="1704"/>
      <c r="CZ30" s="1704"/>
      <c r="DA30" s="1704"/>
      <c r="DB30" s="1704"/>
      <c r="DC30" s="1704"/>
      <c r="DD30" s="1704"/>
      <c r="DE30" s="1704"/>
      <c r="DF30" s="1704"/>
      <c r="DG30" s="1704"/>
      <c r="DH30" s="1704"/>
      <c r="DI30" s="1704"/>
      <c r="DJ30" s="1704"/>
      <c r="DK30" s="1704"/>
      <c r="DL30" s="1704"/>
      <c r="DM30" s="1704"/>
      <c r="DN30" s="1704"/>
      <c r="DO30" s="1704"/>
      <c r="DP30" s="1704"/>
      <c r="DQ30" s="1704"/>
      <c r="DR30" s="1704"/>
      <c r="DS30" s="1704"/>
      <c r="DT30" s="1704"/>
      <c r="DU30" s="1704"/>
      <c r="DV30" s="1704"/>
      <c r="DW30" s="1704"/>
      <c r="DX30" s="1704"/>
      <c r="DY30" s="1704"/>
      <c r="DZ30" s="1704"/>
      <c r="EA30" s="1704"/>
      <c r="EB30" s="1704"/>
      <c r="EC30" s="1704"/>
      <c r="ED30" s="1704"/>
      <c r="EE30" s="1704"/>
      <c r="EF30" s="1704"/>
      <c r="EG30" s="1704"/>
      <c r="EH30" s="1704"/>
      <c r="EI30" s="1704"/>
      <c r="EJ30" s="1704"/>
      <c r="EK30" s="1704"/>
      <c r="EL30" s="1704"/>
      <c r="EM30" s="1704"/>
      <c r="EN30" s="1704"/>
      <c r="EO30" s="1704"/>
      <c r="EP30" s="1704"/>
      <c r="EQ30" s="1704"/>
      <c r="ER30" s="1704"/>
      <c r="ES30" s="1704"/>
      <c r="ET30" s="1704"/>
      <c r="EU30" s="1704"/>
      <c r="EV30" s="1704"/>
      <c r="EW30" s="1704"/>
      <c r="EX30" s="1704"/>
      <c r="EY30" s="1704"/>
      <c r="EZ30" s="1704"/>
      <c r="FA30" s="1704"/>
      <c r="FB30" s="1704"/>
      <c r="FC30" s="1704"/>
      <c r="FD30" s="1704"/>
      <c r="FE30" s="1704"/>
      <c r="FF30" s="1704"/>
      <c r="FG30" s="1704"/>
      <c r="FH30" s="1704"/>
      <c r="FI30" s="1704"/>
      <c r="FJ30" s="1704"/>
      <c r="FK30" s="1704"/>
      <c r="FL30" s="1704"/>
      <c r="FM30" s="1704"/>
      <c r="FN30" s="1704"/>
      <c r="FO30" s="1704"/>
      <c r="FP30" s="1704"/>
      <c r="FQ30" s="1704"/>
      <c r="FR30" s="1704"/>
      <c r="FS30" s="1704"/>
      <c r="FT30" s="1704"/>
      <c r="FU30" s="1704"/>
      <c r="FV30" s="1704"/>
      <c r="FW30" s="1705"/>
      <c r="GA30" s="489"/>
      <c r="GB30" s="489"/>
      <c r="GC30" s="489"/>
      <c r="GD30" s="489"/>
    </row>
    <row customHeight="1" ht="16.575" hidden="1">
      <c r="E31" s="180">
        <v>17</v>
      </c>
      <c r="F31" s="175" cm="1" t="str">
        <f t="array" ref="F31:F31">OFFSET(G31,-1,-1)</f>
        <v>0</v>
      </c>
      <c r="T31" s="753" cm="1" t="str">
        <f t="array" ref="T31:T31">T30</f>
        <v>false</v>
      </c>
      <c r="AB31" s="1564" t="s">
        <v>2447</v>
      </c>
      <c r="AC31" s="1566"/>
      <c r="AD31" s="1701" cm="1" t="str">
        <f t="array" ref="AD31:AD31">INDEX('Общие сведения'!$AJ$169:$AJ$202,MATCH($F31,'Общие сведения'!$Y$169:$Y$202,0))</f>
        <v>0</v>
      </c>
      <c r="AE31" s="1704"/>
      <c r="AF31" s="1704"/>
      <c r="AG31" s="1704"/>
      <c r="AH31" s="1704"/>
      <c r="AI31" s="1704"/>
      <c r="AJ31" s="1704"/>
      <c r="AK31" s="1704"/>
      <c r="AL31" s="1704"/>
      <c r="AM31" s="1704"/>
      <c r="AN31" s="1704"/>
      <c r="AO31" s="1704"/>
      <c r="AP31" s="1704"/>
      <c r="AQ31" s="1704"/>
      <c r="AR31" s="1704"/>
      <c r="AS31" s="1704"/>
      <c r="AT31" s="1704"/>
      <c r="AU31" s="1704"/>
      <c r="AV31" s="1704"/>
      <c r="AW31" s="1704"/>
      <c r="AX31" s="1704"/>
      <c r="AY31" s="1704"/>
      <c r="AZ31" s="1704"/>
      <c r="BA31" s="1704"/>
      <c r="BB31" s="1704"/>
      <c r="BC31" s="1704"/>
      <c r="BD31" s="1704"/>
      <c r="BE31" s="1704"/>
      <c r="BF31" s="1704"/>
      <c r="BG31" s="1704"/>
      <c r="BH31" s="1704"/>
      <c r="BI31" s="1704"/>
      <c r="BJ31" s="1704"/>
      <c r="BK31" s="1704"/>
      <c r="BL31" s="1704"/>
      <c r="BM31" s="1704"/>
      <c r="BN31" s="1704"/>
      <c r="BO31" s="1704"/>
      <c r="BP31" s="1704"/>
      <c r="BQ31" s="1704"/>
      <c r="BR31" s="1704"/>
      <c r="BS31" s="1704"/>
      <c r="BT31" s="1704"/>
      <c r="BU31" s="1704"/>
      <c r="BV31" s="1704"/>
      <c r="BW31" s="1704"/>
      <c r="BX31" s="1704"/>
      <c r="BY31" s="1704"/>
      <c r="BZ31" s="1704"/>
      <c r="CA31" s="1704"/>
      <c r="CB31" s="1704"/>
      <c r="CC31" s="1704"/>
      <c r="CD31" s="1704"/>
      <c r="CE31" s="1704"/>
      <c r="CF31" s="1704"/>
      <c r="CG31" s="1704"/>
      <c r="CH31" s="1704"/>
      <c r="CI31" s="1704"/>
      <c r="CJ31" s="1704"/>
      <c r="CK31" s="1704"/>
      <c r="CL31" s="1704"/>
      <c r="CM31" s="1704"/>
      <c r="CN31" s="1704"/>
      <c r="CO31" s="1704"/>
      <c r="CP31" s="1704"/>
      <c r="CQ31" s="1704"/>
      <c r="CR31" s="1704"/>
      <c r="CS31" s="1704"/>
      <c r="CT31" s="1704"/>
      <c r="CU31" s="1704"/>
      <c r="CV31" s="1704"/>
      <c r="CW31" s="1704"/>
      <c r="CX31" s="1704"/>
      <c r="CY31" s="1704"/>
      <c r="CZ31" s="1704"/>
      <c r="DA31" s="1704"/>
      <c r="DB31" s="1704"/>
      <c r="DC31" s="1704"/>
      <c r="DD31" s="1704"/>
      <c r="DE31" s="1704"/>
      <c r="DF31" s="1704"/>
      <c r="DG31" s="1704"/>
      <c r="DH31" s="1704"/>
      <c r="DI31" s="1704"/>
      <c r="DJ31" s="1704"/>
      <c r="DK31" s="1704"/>
      <c r="DL31" s="1704"/>
      <c r="DM31" s="1704"/>
      <c r="DN31" s="1704"/>
      <c r="DO31" s="1704"/>
      <c r="DP31" s="1704"/>
      <c r="DQ31" s="1704"/>
      <c r="DR31" s="1704"/>
      <c r="DS31" s="1704"/>
      <c r="DT31" s="1704"/>
      <c r="DU31" s="1704"/>
      <c r="DV31" s="1704"/>
      <c r="DW31" s="1704"/>
      <c r="DX31" s="1704"/>
      <c r="DY31" s="1704"/>
      <c r="DZ31" s="1704"/>
      <c r="EA31" s="1704"/>
      <c r="EB31" s="1704"/>
      <c r="EC31" s="1704"/>
      <c r="ED31" s="1704"/>
      <c r="EE31" s="1704"/>
      <c r="EF31" s="1704"/>
      <c r="EG31" s="1704"/>
      <c r="EH31" s="1704"/>
      <c r="EI31" s="1704"/>
      <c r="EJ31" s="1704"/>
      <c r="EK31" s="1704"/>
      <c r="EL31" s="1704"/>
      <c r="EM31" s="1704"/>
      <c r="EN31" s="1704"/>
      <c r="EO31" s="1704"/>
      <c r="EP31" s="1704"/>
      <c r="EQ31" s="1704"/>
      <c r="ER31" s="1704"/>
      <c r="ES31" s="1704"/>
      <c r="ET31" s="1704"/>
      <c r="EU31" s="1704"/>
      <c r="EV31" s="1704"/>
      <c r="EW31" s="1704"/>
      <c r="EX31" s="1704"/>
      <c r="EY31" s="1704"/>
      <c r="EZ31" s="1704"/>
      <c r="FA31" s="1704"/>
      <c r="FB31" s="1704"/>
      <c r="FC31" s="1704"/>
      <c r="FD31" s="1704"/>
      <c r="FE31" s="1704"/>
      <c r="FF31" s="1704"/>
      <c r="FG31" s="1704"/>
      <c r="FH31" s="1704"/>
      <c r="FI31" s="1704"/>
      <c r="FJ31" s="1704"/>
      <c r="FK31" s="1704"/>
      <c r="FL31" s="1704"/>
      <c r="FM31" s="1704"/>
      <c r="FN31" s="1704"/>
      <c r="FO31" s="1704"/>
      <c r="FP31" s="1704"/>
      <c r="FQ31" s="1704"/>
      <c r="FR31" s="1704"/>
      <c r="FS31" s="1704"/>
      <c r="FT31" s="1704"/>
      <c r="FU31" s="1704"/>
      <c r="FV31" s="1704"/>
      <c r="FW31" s="1705"/>
      <c r="GA31" s="489"/>
      <c r="GB31" s="489"/>
      <c r="GC31" s="489"/>
      <c r="GD31" s="489"/>
    </row>
    <row customHeight="1" ht="16.575" hidden="1">
      <c r="B32" s="192">
        <f>R28="одноставочный"</f>
        <v>0</v>
      </c>
      <c r="E32" s="180">
        <v>17</v>
      </c>
      <c r="F32" s="175" cm="1" t="str">
        <f t="array" ref="F32:F32">OFFSET(G32,-1,-1)</f>
        <v>0</v>
      </c>
      <c r="T32" s="753">
        <f>AND(F32&gt;0,G28="одноставочный")</f>
        <v>0</v>
      </c>
      <c r="AB32" s="905" t="s">
        <v>2448</v>
      </c>
      <c r="AC32" s="906"/>
      <c r="AD32" s="907"/>
      <c r="AE32" s="907"/>
      <c r="AF32" s="907"/>
      <c r="AG32" s="907"/>
      <c r="AH32" s="907"/>
      <c r="AI32" s="907"/>
      <c r="AJ32" s="907"/>
      <c r="AK32" s="907"/>
      <c r="AL32" s="907"/>
      <c r="AM32" s="907"/>
      <c r="AN32" s="907"/>
      <c r="AO32" s="907"/>
      <c r="AP32" s="907"/>
      <c r="AQ32" s="907"/>
      <c r="AR32" s="907"/>
      <c r="AS32" s="907"/>
      <c r="AT32" s="907"/>
      <c r="AU32" s="907"/>
      <c r="AV32" s="907"/>
      <c r="AW32" s="907"/>
      <c r="AX32" s="907"/>
      <c r="AY32" s="907"/>
      <c r="AZ32" s="907"/>
      <c r="BA32" s="907"/>
      <c r="BB32" s="907"/>
      <c r="BC32" s="907"/>
      <c r="BD32" s="907"/>
      <c r="BE32" s="907"/>
      <c r="BF32" s="907"/>
      <c r="BG32" s="907"/>
      <c r="BH32" s="907"/>
      <c r="BI32" s="907"/>
      <c r="BJ32" s="908"/>
      <c r="BK32" s="907"/>
      <c r="BL32" s="907"/>
      <c r="BM32" s="908"/>
      <c r="BN32" s="907"/>
      <c r="BO32" s="907"/>
      <c r="BP32" s="908"/>
      <c r="BQ32" s="907"/>
      <c r="BR32" s="907"/>
      <c r="BS32" s="908"/>
      <c r="BT32" s="907"/>
      <c r="BU32" s="907"/>
      <c r="BV32" s="908"/>
      <c r="BW32" s="907"/>
      <c r="BX32" s="907"/>
      <c r="BY32" s="908"/>
      <c r="BZ32" s="907"/>
      <c r="CA32" s="907"/>
      <c r="CB32" s="908"/>
      <c r="CC32" s="907"/>
      <c r="CD32" s="907"/>
      <c r="CE32" s="908"/>
      <c r="CF32" s="907"/>
      <c r="CG32" s="907"/>
      <c r="CH32" s="908"/>
      <c r="CI32" s="907"/>
      <c r="CJ32" s="907"/>
      <c r="CK32" s="908"/>
      <c r="CL32" s="907"/>
      <c r="CM32" s="907"/>
      <c r="CN32" s="908"/>
      <c r="CO32" s="907"/>
      <c r="CP32" s="907"/>
      <c r="CQ32" s="908"/>
      <c r="CR32" s="907"/>
      <c r="CS32" s="907"/>
      <c r="CT32" s="908"/>
      <c r="CU32" s="907"/>
      <c r="CV32" s="907"/>
      <c r="CW32" s="908"/>
      <c r="CX32" s="907"/>
      <c r="CY32" s="907"/>
      <c r="CZ32" s="908"/>
      <c r="DA32" s="907"/>
      <c r="DB32" s="907"/>
      <c r="DC32" s="908"/>
      <c r="DD32" s="907"/>
      <c r="DE32" s="907"/>
      <c r="DF32" s="908"/>
      <c r="DG32" s="907"/>
      <c r="DH32" s="907"/>
      <c r="DI32" s="908"/>
      <c r="DJ32" s="907"/>
      <c r="DK32" s="907"/>
      <c r="DL32" s="908"/>
      <c r="DM32" s="907"/>
      <c r="DN32" s="907"/>
      <c r="DO32" s="908"/>
      <c r="DP32" s="907"/>
      <c r="DQ32" s="907"/>
      <c r="DR32" s="908"/>
      <c r="DS32" s="907"/>
      <c r="DT32" s="907"/>
      <c r="DU32" s="908"/>
      <c r="DV32" s="907"/>
      <c r="DW32" s="907"/>
      <c r="DX32" s="908"/>
      <c r="DY32" s="907"/>
      <c r="DZ32" s="907"/>
      <c r="EA32" s="908"/>
      <c r="EB32" s="907"/>
      <c r="EC32" s="907"/>
      <c r="ED32" s="908"/>
      <c r="EE32" s="907"/>
      <c r="EF32" s="907"/>
      <c r="EG32" s="908"/>
      <c r="EH32" s="907"/>
      <c r="EI32" s="907"/>
      <c r="EJ32" s="908"/>
      <c r="EK32" s="907"/>
      <c r="EL32" s="907"/>
      <c r="EM32" s="908"/>
      <c r="EN32" s="907"/>
      <c r="EO32" s="907"/>
      <c r="EP32" s="908"/>
      <c r="EQ32" s="907"/>
      <c r="ER32" s="907"/>
      <c r="ES32" s="908"/>
      <c r="ET32" s="907"/>
      <c r="EU32" s="907"/>
      <c r="EV32" s="908"/>
      <c r="EW32" s="907"/>
      <c r="EX32" s="907"/>
      <c r="EY32" s="908"/>
      <c r="EZ32" s="907"/>
      <c r="FA32" s="907"/>
      <c r="FB32" s="908"/>
      <c r="FC32" s="907"/>
      <c r="FD32" s="907"/>
      <c r="FE32" s="908"/>
      <c r="FF32" s="907"/>
      <c r="FG32" s="907"/>
      <c r="FH32" s="908"/>
      <c r="FI32" s="907"/>
      <c r="FJ32" s="907"/>
      <c r="FK32" s="908"/>
      <c r="FL32" s="907"/>
      <c r="FM32" s="907"/>
      <c r="FN32" s="908"/>
      <c r="FO32" s="907"/>
      <c r="FP32" s="907"/>
      <c r="FQ32" s="908"/>
      <c r="FR32" s="907"/>
      <c r="FS32" s="907"/>
      <c r="FT32" s="908"/>
      <c r="FU32" s="907"/>
      <c r="FV32" s="907"/>
      <c r="FW32" s="908"/>
      <c r="GA32" s="489"/>
      <c r="GB32" s="489"/>
      <c r="GC32" s="489"/>
      <c r="GD32" s="489"/>
    </row>
    <row s="972" customFormat="1" customHeight="1" ht="16.575" hidden="1">
      <c r="B33" s="192" cm="1" t="str">
        <f t="array" ref="B33:B33">B32</f>
        <v>false</v>
      </c>
      <c r="E33" s="180">
        <v>17</v>
      </c>
      <c r="F33" s="175" cm="1" t="str">
        <f t="array" ref="F33:F33">OFFSET(G33,-1,-1)</f>
        <v>0</v>
      </c>
      <c r="G33" s="193" t="s">
        <v>2085</v>
      </c>
      <c r="I33" s="193" t="s">
        <v>2449</v>
      </c>
      <c r="T33" s="753" cm="1" t="str">
        <f t="array" ref="T33:T33">T32</f>
        <v>false</v>
      </c>
      <c r="AB33" s="909" t="s">
        <v>2450</v>
      </c>
      <c r="AC33" s="910" t="s">
        <v>1005</v>
      </c>
      <c r="AD33" s="165">
        <f>IF(method_reg="Метод экономически обоснованных расходов",_xlfn.SUMIFS('Калькуляция (4.6)'!AJ$25:AJ$162,'Калькуляция (4.6)'!$F$25:$F$162,$F33,'Калькуляция (4.6)'!$G$25:$G$162,$G33),IF(method_reg="Метод сравнения аналогов",_xlfn.SUMIFS(INDEX('Калькуляция (МСА)'!$AE$25:$BW$82,,MATCH(AD$8,'Калькуляция (МСА)'!$AE$8:$BW$8,0)),'Калькуляция (МСА)'!$F$25:$F$82,$F33,'Калькуляция (МСА)'!$G$25:$G$82,$G33),_xlfn.SUMIFS(INDEX('Калькуляция (5.9)'!$AJ$25:$BW$139,,MATCH(AD$8,'Калькуляция (5.9)'!$AJ$8:$BW$8,0)),'Калькуляция (5.9)'!$F$25:$F$139,$F33,'Калькуляция (5.9)'!$G$25:$G$139,$G33)))</f>
        <v>0</v>
      </c>
      <c r="AE33" s="165">
        <f>IF(method_reg="Метод экономически обоснованных расходов",_xlfn.SUMIFS('Калькуляция (4.6)'!AK$25:AK$162,'Калькуляция (4.6)'!$F$25:$F$162,$F33,'Калькуляция (4.6)'!$G$25:$G$162,$G33),IF(method_reg="Метод сравнения аналогов",_xlfn.SUMIFS(INDEX('Калькуляция (МСА)'!$AE$25:$BW$82,,MATCH(AE$8,'Калькуляция (МСА)'!$AE$8:$BW$8,0)),'Калькуляция (МСА)'!$F$25:$F$82,$F33,'Калькуляция (МСА)'!$G$25:$G$82,$G33),_xlfn.SUMIFS(INDEX('Калькуляция (5.9)'!$AJ$25:$BW$139,,MATCH(AE$8,'Калькуляция (5.9)'!$AJ$8:$BW$8,0)),'Калькуляция (5.9)'!$F$25:$F$139,$F33,'Калькуляция (5.9)'!$G$25:$G$139,$G33)))</f>
        <v>0</v>
      </c>
      <c r="AF33" s="912">
        <f>IF(AD33=0,0,(AE33-AD33)/AD33*100)</f>
        <v>0</v>
      </c>
      <c r="AG33" s="165">
        <f>IF(method_reg="Метод сравнения аналогов",_xlfn.SUMIFS(INDEX('Калькуляция (МСА)'!$AE$25:$BW$82,,MATCH(AG$8,'Калькуляция (МСА)'!$AE$8:$BW$8,0)),'Калькуляция (МСА)'!$F$25:$F$82,$F33,'Калькуляция (МСА)'!$G$25:$G$82,$G33),_xlfn.SUMIFS(INDEX('Калькуляция (5.9)'!$AJ$25:$BW$139,,MATCH(AG$8,'Калькуляция (5.9)'!$AJ$8:$BW$8,0)),'Калькуляция (5.9)'!$F$25:$F$139,$F33,'Калькуляция (5.9)'!$G$25:$G$139,$G33))</f>
        <v>0</v>
      </c>
      <c r="AH33" s="165">
        <f>IF(method_reg="Метод сравнения аналогов",_xlfn.SUMIFS(INDEX('Калькуляция (МСА)'!$AE$25:$BW$82,,MATCH(AH$8,'Калькуляция (МСА)'!$AE$8:$BW$8,0)),'Калькуляция (МСА)'!$F$25:$F$82,$F33,'Калькуляция (МСА)'!$G$25:$G$82,$G33),_xlfn.SUMIFS(INDEX('Калькуляция (5.9)'!$AJ$25:$BW$139,,MATCH(AH$8,'Калькуляция (5.9)'!$AJ$8:$BW$8,0)),'Калькуляция (5.9)'!$F$25:$F$139,$F33,'Калькуляция (5.9)'!$G$25:$G$139,$G33))</f>
        <v>0</v>
      </c>
      <c r="AI33" s="912">
        <f>IF(AG33=0,0,(AH33-AG33)/AG33*100)</f>
        <v>0</v>
      </c>
      <c r="AJ33" s="165">
        <f>IF(method_reg="Метод сравнения аналогов",_xlfn.SUMIFS(INDEX('Калькуляция (МСА)'!$AE$25:$BW$82,,MATCH(AJ$8,'Калькуляция (МСА)'!$AE$8:$BW$8,0)),'Калькуляция (МСА)'!$F$25:$F$82,$F33,'Калькуляция (МСА)'!$G$25:$G$82,$G33),_xlfn.SUMIFS(INDEX('Калькуляция (5.9)'!$AJ$25:$BW$139,,MATCH(AJ$8,'Калькуляция (5.9)'!$AJ$8:$BW$8,0)),'Калькуляция (5.9)'!$F$25:$F$139,$F33,'Калькуляция (5.9)'!$G$25:$G$139,$G33))</f>
        <v>0</v>
      </c>
      <c r="AK33" s="165">
        <f>IF(method_reg="Метод сравнения аналогов",_xlfn.SUMIFS(INDEX('Калькуляция (МСА)'!$AE$25:$BW$82,,MATCH(AK$8,'Калькуляция (МСА)'!$AE$8:$BW$8,0)),'Калькуляция (МСА)'!$F$25:$F$82,$F33,'Калькуляция (МСА)'!$G$25:$G$82,$G33),_xlfn.SUMIFS(INDEX('Калькуляция (5.9)'!$AJ$25:$BW$139,,MATCH(AK$8,'Калькуляция (5.9)'!$AJ$8:$BW$8,0)),'Калькуляция (5.9)'!$F$25:$F$139,$F33,'Калькуляция (5.9)'!$G$25:$G$139,$G33))</f>
        <v>0</v>
      </c>
      <c r="AL33" s="912">
        <f>IF(AJ33=0,0,(AK33-AJ33)/AJ33*100)</f>
        <v>0</v>
      </c>
      <c r="AM33" s="165">
        <f>IF(method_reg="Метод сравнения аналогов",_xlfn.SUMIFS(INDEX('Калькуляция (МСА)'!$AE$25:$BW$82,,MATCH(AM$8,'Калькуляция (МСА)'!$AE$8:$BW$8,0)),'Калькуляция (МСА)'!$F$25:$F$82,$F33,'Калькуляция (МСА)'!$G$25:$G$82,$G33),_xlfn.SUMIFS(INDEX('Калькуляция (5.9)'!$AJ$25:$BW$139,,MATCH(AM$8,'Калькуляция (5.9)'!$AJ$8:$BW$8,0)),'Калькуляция (5.9)'!$F$25:$F$139,$F33,'Калькуляция (5.9)'!$G$25:$G$139,$G33))</f>
        <v>0</v>
      </c>
      <c r="AN33" s="165">
        <f>IF(method_reg="Метод сравнения аналогов",_xlfn.SUMIFS(INDEX('Калькуляция (МСА)'!$AE$25:$BW$82,,MATCH(AN$8,'Калькуляция (МСА)'!$AE$8:$BW$8,0)),'Калькуляция (МСА)'!$F$25:$F$82,$F33,'Калькуляция (МСА)'!$G$25:$G$82,$G33),_xlfn.SUMIFS(INDEX('Калькуляция (5.9)'!$AJ$25:$BW$139,,MATCH(AN$8,'Калькуляция (5.9)'!$AJ$8:$BW$8,0)),'Калькуляция (5.9)'!$F$25:$F$139,$F33,'Калькуляция (5.9)'!$G$25:$G$139,$G33))</f>
        <v>0</v>
      </c>
      <c r="AO33" s="912">
        <f>IF(AM33=0,0,(AN33-AM33)/AM33*100)</f>
        <v>0</v>
      </c>
      <c r="AP33" s="165">
        <f>IF(method_reg="Метод сравнения аналогов",_xlfn.SUMIFS(INDEX('Калькуляция (МСА)'!$AE$25:$BW$82,,MATCH(AP$8,'Калькуляция (МСА)'!$AE$8:$BW$8,0)),'Калькуляция (МСА)'!$F$25:$F$82,$F33,'Калькуляция (МСА)'!$G$25:$G$82,$G33),_xlfn.SUMIFS(INDEX('Калькуляция (5.9)'!$AJ$25:$BW$139,,MATCH(AP$8,'Калькуляция (5.9)'!$AJ$8:$BW$8,0)),'Калькуляция (5.9)'!$F$25:$F$139,$F33,'Калькуляция (5.9)'!$G$25:$G$139,$G33))</f>
        <v>0</v>
      </c>
      <c r="AQ33" s="165">
        <f>IF(method_reg="Метод сравнения аналогов",_xlfn.SUMIFS(INDEX('Калькуляция (МСА)'!$AE$25:$BW$82,,MATCH(AQ$8,'Калькуляция (МСА)'!$AE$8:$BW$8,0)),'Калькуляция (МСА)'!$F$25:$F$82,$F33,'Калькуляция (МСА)'!$G$25:$G$82,$G33),_xlfn.SUMIFS(INDEX('Калькуляция (5.9)'!$AJ$25:$BW$139,,MATCH(AQ$8,'Калькуляция (5.9)'!$AJ$8:$BW$8,0)),'Калькуляция (5.9)'!$F$25:$F$139,$F33,'Калькуляция (5.9)'!$G$25:$G$139,$G33))</f>
        <v>0</v>
      </c>
      <c r="AR33" s="912">
        <f>IF(AP33=0,0,(AQ33-AP33)/AP33*100)</f>
        <v>0</v>
      </c>
      <c r="AS33" s="165">
        <f>IF(method_reg="Метод сравнения аналогов",_xlfn.SUMIFS(INDEX('Калькуляция (МСА)'!$AE$25:$BW$82,,MATCH(AS$8,'Калькуляция (МСА)'!$AE$8:$BW$8,0)),'Калькуляция (МСА)'!$F$25:$F$82,$F33,'Калькуляция (МСА)'!$G$25:$G$82,$G33),_xlfn.SUMIFS(INDEX('Калькуляция (5.9)'!$AJ$25:$BW$139,,MATCH(AS$8,'Калькуляция (5.9)'!$AJ$8:$BW$8,0)),'Калькуляция (5.9)'!$F$25:$F$139,$F33,'Калькуляция (5.9)'!$G$25:$G$139,$G33))</f>
        <v>0</v>
      </c>
      <c r="AT33" s="165">
        <f>IF(method_reg="Метод сравнения аналогов",_xlfn.SUMIFS(INDEX('Калькуляция (МСА)'!$AE$25:$BW$82,,MATCH(AT$8,'Калькуляция (МСА)'!$AE$8:$BW$8,0)),'Калькуляция (МСА)'!$F$25:$F$82,$F33,'Калькуляция (МСА)'!$G$25:$G$82,$G33),_xlfn.SUMIFS(INDEX('Калькуляция (5.9)'!$AJ$25:$BW$139,,MATCH(AT$8,'Калькуляция (5.9)'!$AJ$8:$BW$8,0)),'Калькуляция (5.9)'!$F$25:$F$139,$F33,'Калькуляция (5.9)'!$G$25:$G$139,$G33))</f>
        <v>0</v>
      </c>
      <c r="AU33" s="912">
        <f>IF(AS33=0,0,(AT33-AS33)/AS33*100)</f>
        <v>0</v>
      </c>
      <c r="AV33" s="165">
        <f>IF(method_reg="Метод сравнения аналогов",_xlfn.SUMIFS(INDEX('Калькуляция (МСА)'!$AE$25:$BW$82,,MATCH(AV$8,'Калькуляция (МСА)'!$AE$8:$BW$8,0)),'Калькуляция (МСА)'!$F$25:$F$82,$F33,'Калькуляция (МСА)'!$G$25:$G$82,$G33),_xlfn.SUMIFS(INDEX('Калькуляция (5.9)'!$AJ$25:$BW$139,,MATCH(AV$8,'Калькуляция (5.9)'!$AJ$8:$BW$8,0)),'Калькуляция (5.9)'!$F$25:$F$139,$F33,'Калькуляция (5.9)'!$G$25:$G$139,$G33))</f>
        <v>0</v>
      </c>
      <c r="AW33" s="165">
        <f>IF(method_reg="Метод сравнения аналогов",_xlfn.SUMIFS(INDEX('Калькуляция (МСА)'!$AE$25:$BW$82,,MATCH(AW$8,'Калькуляция (МСА)'!$AE$8:$BW$8,0)),'Калькуляция (МСА)'!$F$25:$F$82,$F33,'Калькуляция (МСА)'!$G$25:$G$82,$G33),_xlfn.SUMIFS(INDEX('Калькуляция (5.9)'!$AJ$25:$BW$139,,MATCH(AW$8,'Калькуляция (5.9)'!$AJ$8:$BW$8,0)),'Калькуляция (5.9)'!$F$25:$F$139,$F33,'Калькуляция (5.9)'!$G$25:$G$139,$G33))</f>
        <v>0</v>
      </c>
      <c r="AX33" s="912">
        <f>IF(AV33=0,0,(AW33-AV33)/AV33*100)</f>
        <v>0</v>
      </c>
      <c r="AY33" s="165">
        <f>IF(method_reg="Метод сравнения аналогов",_xlfn.SUMIFS(INDEX('Калькуляция (МСА)'!$AE$25:$BW$82,,MATCH(AY$8,'Калькуляция (МСА)'!$AE$8:$BW$8,0)),'Калькуляция (МСА)'!$F$25:$F$82,$F33,'Калькуляция (МСА)'!$G$25:$G$82,$G33),_xlfn.SUMIFS(INDEX('Калькуляция (5.9)'!$AJ$25:$BW$139,,MATCH(AY$8,'Калькуляция (5.9)'!$AJ$8:$BW$8,0)),'Калькуляция (5.9)'!$F$25:$F$139,$F33,'Калькуляция (5.9)'!$G$25:$G$139,$G33))</f>
        <v>0</v>
      </c>
      <c r="AZ33" s="165">
        <f>IF(method_reg="Метод сравнения аналогов",_xlfn.SUMIFS(INDEX('Калькуляция (МСА)'!$AE$25:$BW$82,,MATCH(AZ$8,'Калькуляция (МСА)'!$AE$8:$BW$8,0)),'Калькуляция (МСА)'!$F$25:$F$82,$F33,'Калькуляция (МСА)'!$G$25:$G$82,$G33),_xlfn.SUMIFS(INDEX('Калькуляция (5.9)'!$AJ$25:$BW$139,,MATCH(AZ$8,'Калькуляция (5.9)'!$AJ$8:$BW$8,0)),'Калькуляция (5.9)'!$F$25:$F$139,$F33,'Калькуляция (5.9)'!$G$25:$G$139,$G33))</f>
        <v>0</v>
      </c>
      <c r="BA33" s="912">
        <f>IF(AY33=0,0,(AZ33-AY33)/AY33*100)</f>
        <v>0</v>
      </c>
      <c r="BB33" s="165">
        <f>IF(method_reg="Метод сравнения аналогов",_xlfn.SUMIFS(INDEX('Калькуляция (МСА)'!$AE$25:$BW$82,,MATCH(BB$8,'Калькуляция (МСА)'!$AE$8:$BW$8,0)),'Калькуляция (МСА)'!$F$25:$F$82,$F33,'Калькуляция (МСА)'!$G$25:$G$82,$G33),_xlfn.SUMIFS(INDEX('Калькуляция (5.9)'!$AJ$25:$BW$139,,MATCH(BB$8,'Калькуляция (5.9)'!$AJ$8:$BW$8,0)),'Калькуляция (5.9)'!$F$25:$F$139,$F33,'Калькуляция (5.9)'!$G$25:$G$139,$G33))</f>
        <v>0</v>
      </c>
      <c r="BC33" s="165">
        <f>IF(method_reg="Метод сравнения аналогов",_xlfn.SUMIFS(INDEX('Калькуляция (МСА)'!$AE$25:$BW$82,,MATCH(BC$8,'Калькуляция (МСА)'!$AE$8:$BW$8,0)),'Калькуляция (МСА)'!$F$25:$F$82,$F33,'Калькуляция (МСА)'!$G$25:$G$82,$G33),_xlfn.SUMIFS(INDEX('Калькуляция (5.9)'!$AJ$25:$BW$139,,MATCH(BC$8,'Калькуляция (5.9)'!$AJ$8:$BW$8,0)),'Калькуляция (5.9)'!$F$25:$F$139,$F33,'Калькуляция (5.9)'!$G$25:$G$139,$G33))</f>
        <v>0</v>
      </c>
      <c r="BD33" s="912">
        <f>IF(BB33=0,0,(BC33-BB33)/BB33*100)</f>
        <v>0</v>
      </c>
      <c r="BE33" s="165">
        <f>IF(method_reg="Метод сравнения аналогов",_xlfn.SUMIFS(INDEX('Калькуляция (МСА)'!$AE$25:$BW$82,,MATCH(BE$8,'Калькуляция (МСА)'!$AE$8:$BW$8,0)),'Калькуляция (МСА)'!$F$25:$F$82,$F33,'Калькуляция (МСА)'!$G$25:$G$82,$G33),_xlfn.SUMIFS(INDEX('Калькуляция (5.9)'!$AJ$25:$BW$139,,MATCH(BE$8,'Калькуляция (5.9)'!$AJ$8:$BW$8,0)),'Калькуляция (5.9)'!$F$25:$F$139,$F33,'Калькуляция (5.9)'!$G$25:$G$139,$G33))</f>
        <v>0</v>
      </c>
      <c r="BF33" s="165">
        <f>IF(method_reg="Метод сравнения аналогов",_xlfn.SUMIFS(INDEX('Калькуляция (МСА)'!$AE$25:$BW$82,,MATCH(BF$8,'Калькуляция (МСА)'!$AE$8:$BW$8,0)),'Калькуляция (МСА)'!$F$25:$F$82,$F33,'Калькуляция (МСА)'!$G$25:$G$82,$G33),_xlfn.SUMIFS(INDEX('Калькуляция (5.9)'!$AJ$25:$BW$139,,MATCH(BF$8,'Калькуляция (5.9)'!$AJ$8:$BW$8,0)),'Калькуляция (5.9)'!$F$25:$F$139,$F33,'Калькуляция (5.9)'!$G$25:$G$139,$G33))</f>
        <v>0</v>
      </c>
      <c r="BG33" s="912">
        <f>IF(BE33=0,0,(BF33-BE33)/BE33*100)</f>
        <v>0</v>
      </c>
      <c r="BH33" s="165"/>
      <c r="BI33" s="165"/>
      <c r="BJ33" s="912">
        <f>IF(BH33=0,0,(BI33-BH33)/BH33*100)</f>
        <v>0</v>
      </c>
      <c r="BK33" s="165"/>
      <c r="BL33" s="165"/>
      <c r="BM33" s="912">
        <f>IF(BK33=0,0,(BL33-BK33)/BK33*100)</f>
        <v>0</v>
      </c>
      <c r="BN33" s="165"/>
      <c r="BO33" s="165"/>
      <c r="BP33" s="912">
        <f>IF(BN33=0,0,(BO33-BN33)/BN33*100)</f>
        <v>0</v>
      </c>
      <c r="BQ33" s="165"/>
      <c r="BR33" s="165"/>
      <c r="BS33" s="912">
        <f>IF(BQ33=0,0,(BR33-BQ33)/BQ33*100)</f>
        <v>0</v>
      </c>
      <c r="BT33" s="165"/>
      <c r="BU33" s="165"/>
      <c r="BV33" s="912">
        <f>IF(BT33=0,0,(BU33-BT33)/BT33*100)</f>
        <v>0</v>
      </c>
      <c r="BW33" s="165"/>
      <c r="BX33" s="165"/>
      <c r="BY33" s="912">
        <f>IF(BW33=0,0,(BX33-BW33)/BW33*100)</f>
        <v>0</v>
      </c>
      <c r="BZ33" s="165"/>
      <c r="CA33" s="165"/>
      <c r="CB33" s="912">
        <f>IF(BZ33=0,0,(CA33-BZ33)/BZ33*100)</f>
        <v>0</v>
      </c>
      <c r="CC33" s="165"/>
      <c r="CD33" s="165"/>
      <c r="CE33" s="912">
        <f>IF(CC33=0,0,(CD33-CC33)/CC33*100)</f>
        <v>0</v>
      </c>
      <c r="CF33" s="165"/>
      <c r="CG33" s="165"/>
      <c r="CH33" s="912">
        <f>IF(CF33=0,0,(CG33-CF33)/CF33*100)</f>
        <v>0</v>
      </c>
      <c r="CI33" s="165"/>
      <c r="CJ33" s="165"/>
      <c r="CK33" s="912">
        <f>IF(CI33=0,0,(CJ33-CI33)/CI33*100)</f>
        <v>0</v>
      </c>
      <c r="CL33" s="165"/>
      <c r="CM33" s="165"/>
      <c r="CN33" s="912">
        <f>IF(CL33=0,0,(CM33-CL33)/CL33*100)</f>
        <v>0</v>
      </c>
      <c r="CO33" s="165"/>
      <c r="CP33" s="165"/>
      <c r="CQ33" s="912">
        <f>IF(CO33=0,0,(CP33-CO33)/CO33*100)</f>
        <v>0</v>
      </c>
      <c r="CR33" s="165"/>
      <c r="CS33" s="165"/>
      <c r="CT33" s="912">
        <f>IF(CR33=0,0,(CS33-CR33)/CR33*100)</f>
        <v>0</v>
      </c>
      <c r="CU33" s="165"/>
      <c r="CV33" s="165"/>
      <c r="CW33" s="912">
        <f>IF(CU33=0,0,(CV33-CU33)/CU33*100)</f>
        <v>0</v>
      </c>
      <c r="CX33" s="165"/>
      <c r="CY33" s="165"/>
      <c r="CZ33" s="912">
        <f>IF(CX33=0,0,(CY33-CX33)/CX33*100)</f>
        <v>0</v>
      </c>
      <c r="DA33" s="165"/>
      <c r="DB33" s="165"/>
      <c r="DC33" s="912">
        <f>IF(DA33=0,0,(DB33-DA33)/DA33*100)</f>
        <v>0</v>
      </c>
      <c r="DD33" s="165"/>
      <c r="DE33" s="165"/>
      <c r="DF33" s="912">
        <f>IF(DD33=0,0,(DE33-DD33)/DD33*100)</f>
        <v>0</v>
      </c>
      <c r="DG33" s="165"/>
      <c r="DH33" s="165"/>
      <c r="DI33" s="912">
        <f>IF(DG33=0,0,(DH33-DG33)/DG33*100)</f>
        <v>0</v>
      </c>
      <c r="DJ33" s="165"/>
      <c r="DK33" s="165"/>
      <c r="DL33" s="912">
        <f>IF(DJ33=0,0,(DK33-DJ33)/DJ33*100)</f>
        <v>0</v>
      </c>
      <c r="DM33" s="165"/>
      <c r="DN33" s="165"/>
      <c r="DO33" s="912">
        <f>IF(DM33=0,0,(DN33-DM33)/DM33*100)</f>
        <v>0</v>
      </c>
      <c r="DP33" s="165"/>
      <c r="DQ33" s="165"/>
      <c r="DR33" s="912">
        <f>IF(DP33=0,0,(DQ33-DP33)/DP33*100)</f>
        <v>0</v>
      </c>
      <c r="DS33" s="165"/>
      <c r="DT33" s="165"/>
      <c r="DU33" s="912">
        <f>IF(DS33=0,0,(DT33-DS33)/DS33*100)</f>
        <v>0</v>
      </c>
      <c r="DV33" s="165"/>
      <c r="DW33" s="165"/>
      <c r="DX33" s="912">
        <f>IF(DV33=0,0,(DW33-DV33)/DV33*100)</f>
        <v>0</v>
      </c>
      <c r="DY33" s="165"/>
      <c r="DZ33" s="165"/>
      <c r="EA33" s="912">
        <f>IF(DY33=0,0,(DZ33-DY33)/DY33*100)</f>
        <v>0</v>
      </c>
      <c r="EB33" s="165"/>
      <c r="EC33" s="165"/>
      <c r="ED33" s="912">
        <f>IF(EB33=0,0,(EC33-EB33)/EB33*100)</f>
        <v>0</v>
      </c>
      <c r="EE33" s="165"/>
      <c r="EF33" s="165"/>
      <c r="EG33" s="912">
        <f>IF(EE33=0,0,(EF33-EE33)/EE33*100)</f>
        <v>0</v>
      </c>
      <c r="EH33" s="165"/>
      <c r="EI33" s="165"/>
      <c r="EJ33" s="912">
        <f>IF(EH33=0,0,(EI33-EH33)/EH33*100)</f>
        <v>0</v>
      </c>
      <c r="EK33" s="165"/>
      <c r="EL33" s="165"/>
      <c r="EM33" s="912">
        <f>IF(EK33=0,0,(EL33-EK33)/EK33*100)</f>
        <v>0</v>
      </c>
      <c r="EN33" s="165"/>
      <c r="EO33" s="165"/>
      <c r="EP33" s="912">
        <f>IF(EN33=0,0,(EO33-EN33)/EN33*100)</f>
        <v>0</v>
      </c>
      <c r="EQ33" s="165"/>
      <c r="ER33" s="165"/>
      <c r="ES33" s="912">
        <f>IF(EQ33=0,0,(ER33-EQ33)/EQ33*100)</f>
        <v>0</v>
      </c>
      <c r="ET33" s="165"/>
      <c r="EU33" s="165"/>
      <c r="EV33" s="912">
        <f>IF(ET33=0,0,(EU33-ET33)/ET33*100)</f>
        <v>0</v>
      </c>
      <c r="EW33" s="165"/>
      <c r="EX33" s="165"/>
      <c r="EY33" s="912">
        <f>IF(EW33=0,0,(EX33-EW33)/EW33*100)</f>
        <v>0</v>
      </c>
      <c r="EZ33" s="165"/>
      <c r="FA33" s="165"/>
      <c r="FB33" s="912">
        <f>IF(EZ33=0,0,(FA33-EZ33)/EZ33*100)</f>
        <v>0</v>
      </c>
      <c r="FC33" s="165"/>
      <c r="FD33" s="165"/>
      <c r="FE33" s="912">
        <f>IF(FC33=0,0,(FD33-FC33)/FC33*100)</f>
        <v>0</v>
      </c>
      <c r="FF33" s="165"/>
      <c r="FG33" s="165"/>
      <c r="FH33" s="912">
        <f>IF(FF33=0,0,(FG33-FF33)/FF33*100)</f>
        <v>0</v>
      </c>
      <c r="FI33" s="165"/>
      <c r="FJ33" s="165"/>
      <c r="FK33" s="912">
        <f>IF(FI33=0,0,(FJ33-FI33)/FI33*100)</f>
        <v>0</v>
      </c>
      <c r="FL33" s="165"/>
      <c r="FM33" s="165"/>
      <c r="FN33" s="912">
        <f>IF(FL33=0,0,(FM33-FL33)/FL33*100)</f>
        <v>0</v>
      </c>
      <c r="FO33" s="165"/>
      <c r="FP33" s="165"/>
      <c r="FQ33" s="912">
        <f>IF(FO33=0,0,(FP33-FO33)/FO33*100)</f>
        <v>0</v>
      </c>
      <c r="FR33" s="165"/>
      <c r="FS33" s="165"/>
      <c r="FT33" s="912">
        <f>IF(FR33=0,0,(FS33-FR33)/FR33*100)</f>
        <v>0</v>
      </c>
      <c r="FU33" s="165"/>
      <c r="FV33" s="165"/>
      <c r="FW33" s="912">
        <f>IF(FU33=0,0,(FV33-FU33)/FU33*100)</f>
        <v>0</v>
      </c>
      <c r="FZ33" s="489" t="s">
        <v>2451</v>
      </c>
      <c r="GA33" s="489"/>
      <c r="GB33" s="489"/>
      <c r="GC33" s="489"/>
      <c r="GD33" s="489"/>
      <c r="GF33" s="1501" cm="1" t="str">
        <f t="array" ref="GF33:GF33">INDEX('Общие сведения'!$N$170:$N$202,MATCH($F33,'Общие сведения'!$Y$170:$Y$202,0)+1)</f>
        <v>0</v>
      </c>
      <c r="GG33" s="1501" t="s">
        <v>707</v>
      </c>
      <c r="GH33" s="1501" t="s">
        <v>2452</v>
      </c>
      <c r="GI33" s="1501" t="s">
        <v>796</v>
      </c>
      <c r="GJ33" s="1501" t="s">
        <v>2084</v>
      </c>
      <c r="GK33" s="1501"/>
      <c r="GL33" s="1501" t="s">
        <v>303</v>
      </c>
      <c r="GM33" s="1501" t="s">
        <v>2453</v>
      </c>
      <c r="GN33" s="1501" t="s">
        <v>2454</v>
      </c>
    </row>
    <row s="972" customFormat="1" customHeight="1" ht="16.575" hidden="1">
      <c r="B34" s="192" cm="1" t="str">
        <f t="array" ref="B34:B34">B33</f>
        <v>false</v>
      </c>
      <c r="E34" s="180">
        <v>17</v>
      </c>
      <c r="F34" s="175" cm="1" t="str">
        <f t="array" ref="F34:F34">OFFSET(G34,-1,-1)</f>
        <v>0</v>
      </c>
      <c r="G34" s="193" t="s">
        <v>2091</v>
      </c>
      <c r="I34" s="193" t="s">
        <v>2455</v>
      </c>
      <c r="T34" s="753" cm="1" t="str">
        <f t="array" ref="T34:T34">T33</f>
        <v>false</v>
      </c>
      <c r="AB34" s="909" t="s">
        <v>2456</v>
      </c>
      <c r="AC34" s="910" t="s">
        <v>1005</v>
      </c>
      <c r="AD34" s="165">
        <f>IF(method_reg="Метод экономически обоснованных расходов",_xlfn.SUMIFS('Калькуляция (4.6)'!AJ$25:AJ$162,'Калькуляция (4.6)'!$F$25:$F$162,$F34,'Калькуляция (4.6)'!$G$25:$G$162,$G34),IF(method_reg="Метод сравнения аналогов",_xlfn.SUMIFS(INDEX('Калькуляция (МСА)'!$AE$25:$BW$82,,MATCH(AD$8,'Калькуляция (МСА)'!$AE$8:$BW$8,0)),'Калькуляция (МСА)'!$F$25:$F$82,$F34,'Калькуляция (МСА)'!$G$25:$G$82,$G34),_xlfn.SUMIFS(INDEX('Калькуляция (5.9)'!$AJ$25:$BW$139,,MATCH(AD$8,'Калькуляция (5.9)'!$AJ$8:$BW$8,0)),'Калькуляция (5.9)'!$F$25:$F$139,$F34,'Калькуляция (5.9)'!$G$25:$G$139,$G34)))</f>
        <v>0</v>
      </c>
      <c r="AE34" s="165">
        <f>IF(method_reg="Метод экономически обоснованных расходов",_xlfn.SUMIFS('Калькуляция (4.6)'!AK$25:AK$162,'Калькуляция (4.6)'!$F$25:$F$162,$F34,'Калькуляция (4.6)'!$G$25:$G$162,$G34),IF(method_reg="Метод сравнения аналогов",_xlfn.SUMIFS(INDEX('Калькуляция (МСА)'!$AE$25:$BW$82,,MATCH(AE$8,'Калькуляция (МСА)'!$AE$8:$BW$8,0)),'Калькуляция (МСА)'!$F$25:$F$82,$F34,'Калькуляция (МСА)'!$G$25:$G$82,$G34),_xlfn.SUMIFS(INDEX('Калькуляция (5.9)'!$AJ$25:$BW$139,,MATCH(AE$8,'Калькуляция (5.9)'!$AJ$8:$BW$8,0)),'Калькуляция (5.9)'!$F$25:$F$139,$F34,'Калькуляция (5.9)'!$G$25:$G$139,$G34)))</f>
        <v>0</v>
      </c>
      <c r="AF34" s="912">
        <f>IF(AD34=0,0,(AE34-AD34)/AD34*100)</f>
        <v>0</v>
      </c>
      <c r="AG34" s="165">
        <f>IF(method_reg="Метод сравнения аналогов",_xlfn.SUMIFS(INDEX('Калькуляция (МСА)'!$AE$25:$BW$82,,MATCH(AG$8,'Калькуляция (МСА)'!$AE$8:$BW$8,0)),'Калькуляция (МСА)'!$F$25:$F$82,$F34,'Калькуляция (МСА)'!$G$25:$G$82,$G34),_xlfn.SUMIFS(INDEX('Калькуляция (5.9)'!$AJ$25:$BW$139,,MATCH(AG$8,'Калькуляция (5.9)'!$AJ$8:$BW$8,0)),'Калькуляция (5.9)'!$F$25:$F$139,$F34,'Калькуляция (5.9)'!$G$25:$G$139,$G34))</f>
        <v>0</v>
      </c>
      <c r="AH34" s="165">
        <f>IF(method_reg="Метод сравнения аналогов",_xlfn.SUMIFS(INDEX('Калькуляция (МСА)'!$AE$25:$BW$82,,MATCH(AH$8,'Калькуляция (МСА)'!$AE$8:$BW$8,0)),'Калькуляция (МСА)'!$F$25:$F$82,$F34,'Калькуляция (МСА)'!$G$25:$G$82,$G34),_xlfn.SUMIFS(INDEX('Калькуляция (5.9)'!$AJ$25:$BW$139,,MATCH(AH$8,'Калькуляция (5.9)'!$AJ$8:$BW$8,0)),'Калькуляция (5.9)'!$F$25:$F$139,$F34,'Калькуляция (5.9)'!$G$25:$G$139,$G34))</f>
        <v>0</v>
      </c>
      <c r="AI34" s="912">
        <f>IF(AG34=0,0,(AH34-AG34)/AG34*100)</f>
        <v>0</v>
      </c>
      <c r="AJ34" s="165">
        <f>IF(method_reg="Метод сравнения аналогов",_xlfn.SUMIFS(INDEX('Калькуляция (МСА)'!$AE$25:$BW$82,,MATCH(AJ$8,'Калькуляция (МСА)'!$AE$8:$BW$8,0)),'Калькуляция (МСА)'!$F$25:$F$82,$F34,'Калькуляция (МСА)'!$G$25:$G$82,$G34),_xlfn.SUMIFS(INDEX('Калькуляция (5.9)'!$AJ$25:$BW$139,,MATCH(AJ$8,'Калькуляция (5.9)'!$AJ$8:$BW$8,0)),'Калькуляция (5.9)'!$F$25:$F$139,$F34,'Калькуляция (5.9)'!$G$25:$G$139,$G34))</f>
        <v>0</v>
      </c>
      <c r="AK34" s="165">
        <f>IF(method_reg="Метод сравнения аналогов",_xlfn.SUMIFS(INDEX('Калькуляция (МСА)'!$AE$25:$BW$82,,MATCH(AK$8,'Калькуляция (МСА)'!$AE$8:$BW$8,0)),'Калькуляция (МСА)'!$F$25:$F$82,$F34,'Калькуляция (МСА)'!$G$25:$G$82,$G34),_xlfn.SUMIFS(INDEX('Калькуляция (5.9)'!$AJ$25:$BW$139,,MATCH(AK$8,'Калькуляция (5.9)'!$AJ$8:$BW$8,0)),'Калькуляция (5.9)'!$F$25:$F$139,$F34,'Калькуляция (5.9)'!$G$25:$G$139,$G34))</f>
        <v>0</v>
      </c>
      <c r="AL34" s="912">
        <f>IF(AJ34=0,0,(AK34-AJ34)/AJ34*100)</f>
        <v>0</v>
      </c>
      <c r="AM34" s="165">
        <f>IF(method_reg="Метод сравнения аналогов",_xlfn.SUMIFS(INDEX('Калькуляция (МСА)'!$AE$25:$BW$82,,MATCH(AM$8,'Калькуляция (МСА)'!$AE$8:$BW$8,0)),'Калькуляция (МСА)'!$F$25:$F$82,$F34,'Калькуляция (МСА)'!$G$25:$G$82,$G34),_xlfn.SUMIFS(INDEX('Калькуляция (5.9)'!$AJ$25:$BW$139,,MATCH(AM$8,'Калькуляция (5.9)'!$AJ$8:$BW$8,0)),'Калькуляция (5.9)'!$F$25:$F$139,$F34,'Калькуляция (5.9)'!$G$25:$G$139,$G34))</f>
        <v>0</v>
      </c>
      <c r="AN34" s="165">
        <f>IF(method_reg="Метод сравнения аналогов",_xlfn.SUMIFS(INDEX('Калькуляция (МСА)'!$AE$25:$BW$82,,MATCH(AN$8,'Калькуляция (МСА)'!$AE$8:$BW$8,0)),'Калькуляция (МСА)'!$F$25:$F$82,$F34,'Калькуляция (МСА)'!$G$25:$G$82,$G34),_xlfn.SUMIFS(INDEX('Калькуляция (5.9)'!$AJ$25:$BW$139,,MATCH(AN$8,'Калькуляция (5.9)'!$AJ$8:$BW$8,0)),'Калькуляция (5.9)'!$F$25:$F$139,$F34,'Калькуляция (5.9)'!$G$25:$G$139,$G34))</f>
        <v>0</v>
      </c>
      <c r="AO34" s="912">
        <f>IF(AM34=0,0,(AN34-AM34)/AM34*100)</f>
        <v>0</v>
      </c>
      <c r="AP34" s="165">
        <f>IF(method_reg="Метод сравнения аналогов",_xlfn.SUMIFS(INDEX('Калькуляция (МСА)'!$AE$25:$BW$82,,MATCH(AP$8,'Калькуляция (МСА)'!$AE$8:$BW$8,0)),'Калькуляция (МСА)'!$F$25:$F$82,$F34,'Калькуляция (МСА)'!$G$25:$G$82,$G34),_xlfn.SUMIFS(INDEX('Калькуляция (5.9)'!$AJ$25:$BW$139,,MATCH(AP$8,'Калькуляция (5.9)'!$AJ$8:$BW$8,0)),'Калькуляция (5.9)'!$F$25:$F$139,$F34,'Калькуляция (5.9)'!$G$25:$G$139,$G34))</f>
        <v>0</v>
      </c>
      <c r="AQ34" s="165">
        <f>IF(method_reg="Метод сравнения аналогов",_xlfn.SUMIFS(INDEX('Калькуляция (МСА)'!$AE$25:$BW$82,,MATCH(AQ$8,'Калькуляция (МСА)'!$AE$8:$BW$8,0)),'Калькуляция (МСА)'!$F$25:$F$82,$F34,'Калькуляция (МСА)'!$G$25:$G$82,$G34),_xlfn.SUMIFS(INDEX('Калькуляция (5.9)'!$AJ$25:$BW$139,,MATCH(AQ$8,'Калькуляция (5.9)'!$AJ$8:$BW$8,0)),'Калькуляция (5.9)'!$F$25:$F$139,$F34,'Калькуляция (5.9)'!$G$25:$G$139,$G34))</f>
        <v>0</v>
      </c>
      <c r="AR34" s="912">
        <f>IF(AP34=0,0,(AQ34-AP34)/AP34*100)</f>
        <v>0</v>
      </c>
      <c r="AS34" s="165">
        <f>IF(method_reg="Метод сравнения аналогов",_xlfn.SUMIFS(INDEX('Калькуляция (МСА)'!$AE$25:$BW$82,,MATCH(AS$8,'Калькуляция (МСА)'!$AE$8:$BW$8,0)),'Калькуляция (МСА)'!$F$25:$F$82,$F34,'Калькуляция (МСА)'!$G$25:$G$82,$G34),_xlfn.SUMIFS(INDEX('Калькуляция (5.9)'!$AJ$25:$BW$139,,MATCH(AS$8,'Калькуляция (5.9)'!$AJ$8:$BW$8,0)),'Калькуляция (5.9)'!$F$25:$F$139,$F34,'Калькуляция (5.9)'!$G$25:$G$139,$G34))</f>
        <v>0</v>
      </c>
      <c r="AT34" s="165">
        <f>IF(method_reg="Метод сравнения аналогов",_xlfn.SUMIFS(INDEX('Калькуляция (МСА)'!$AE$25:$BW$82,,MATCH(AT$8,'Калькуляция (МСА)'!$AE$8:$BW$8,0)),'Калькуляция (МСА)'!$F$25:$F$82,$F34,'Калькуляция (МСА)'!$G$25:$G$82,$G34),_xlfn.SUMIFS(INDEX('Калькуляция (5.9)'!$AJ$25:$BW$139,,MATCH(AT$8,'Калькуляция (5.9)'!$AJ$8:$BW$8,0)),'Калькуляция (5.9)'!$F$25:$F$139,$F34,'Калькуляция (5.9)'!$G$25:$G$139,$G34))</f>
        <v>0</v>
      </c>
      <c r="AU34" s="912">
        <f>IF(AS34=0,0,(AT34-AS34)/AS34*100)</f>
        <v>0</v>
      </c>
      <c r="AV34" s="165">
        <f>IF(method_reg="Метод сравнения аналогов",_xlfn.SUMIFS(INDEX('Калькуляция (МСА)'!$AE$25:$BW$82,,MATCH(AV$8,'Калькуляция (МСА)'!$AE$8:$BW$8,0)),'Калькуляция (МСА)'!$F$25:$F$82,$F34,'Калькуляция (МСА)'!$G$25:$G$82,$G34),_xlfn.SUMIFS(INDEX('Калькуляция (5.9)'!$AJ$25:$BW$139,,MATCH(AV$8,'Калькуляция (5.9)'!$AJ$8:$BW$8,0)),'Калькуляция (5.9)'!$F$25:$F$139,$F34,'Калькуляция (5.9)'!$G$25:$G$139,$G34))</f>
        <v>0</v>
      </c>
      <c r="AW34" s="165">
        <f>IF(method_reg="Метод сравнения аналогов",_xlfn.SUMIFS(INDEX('Калькуляция (МСА)'!$AE$25:$BW$82,,MATCH(AW$8,'Калькуляция (МСА)'!$AE$8:$BW$8,0)),'Калькуляция (МСА)'!$F$25:$F$82,$F34,'Калькуляция (МСА)'!$G$25:$G$82,$G34),_xlfn.SUMIFS(INDEX('Калькуляция (5.9)'!$AJ$25:$BW$139,,MATCH(AW$8,'Калькуляция (5.9)'!$AJ$8:$BW$8,0)),'Калькуляция (5.9)'!$F$25:$F$139,$F34,'Калькуляция (5.9)'!$G$25:$G$139,$G34))</f>
        <v>0</v>
      </c>
      <c r="AX34" s="912">
        <f>IF(AV34=0,0,(AW34-AV34)/AV34*100)</f>
        <v>0</v>
      </c>
      <c r="AY34" s="165">
        <f>IF(method_reg="Метод сравнения аналогов",_xlfn.SUMIFS(INDEX('Калькуляция (МСА)'!$AE$25:$BW$82,,MATCH(AY$8,'Калькуляция (МСА)'!$AE$8:$BW$8,0)),'Калькуляция (МСА)'!$F$25:$F$82,$F34,'Калькуляция (МСА)'!$G$25:$G$82,$G34),_xlfn.SUMIFS(INDEX('Калькуляция (5.9)'!$AJ$25:$BW$139,,MATCH(AY$8,'Калькуляция (5.9)'!$AJ$8:$BW$8,0)),'Калькуляция (5.9)'!$F$25:$F$139,$F34,'Калькуляция (5.9)'!$G$25:$G$139,$G34))</f>
        <v>0</v>
      </c>
      <c r="AZ34" s="165">
        <f>IF(method_reg="Метод сравнения аналогов",_xlfn.SUMIFS(INDEX('Калькуляция (МСА)'!$AE$25:$BW$82,,MATCH(AZ$8,'Калькуляция (МСА)'!$AE$8:$BW$8,0)),'Калькуляция (МСА)'!$F$25:$F$82,$F34,'Калькуляция (МСА)'!$G$25:$G$82,$G34),_xlfn.SUMIFS(INDEX('Калькуляция (5.9)'!$AJ$25:$BW$139,,MATCH(AZ$8,'Калькуляция (5.9)'!$AJ$8:$BW$8,0)),'Калькуляция (5.9)'!$F$25:$F$139,$F34,'Калькуляция (5.9)'!$G$25:$G$139,$G34))</f>
        <v>0</v>
      </c>
      <c r="BA34" s="912">
        <f>IF(AY34=0,0,(AZ34-AY34)/AY34*100)</f>
        <v>0</v>
      </c>
      <c r="BB34" s="165">
        <f>IF(method_reg="Метод сравнения аналогов",_xlfn.SUMIFS(INDEX('Калькуляция (МСА)'!$AE$25:$BW$82,,MATCH(BB$8,'Калькуляция (МСА)'!$AE$8:$BW$8,0)),'Калькуляция (МСА)'!$F$25:$F$82,$F34,'Калькуляция (МСА)'!$G$25:$G$82,$G34),_xlfn.SUMIFS(INDEX('Калькуляция (5.9)'!$AJ$25:$BW$139,,MATCH(BB$8,'Калькуляция (5.9)'!$AJ$8:$BW$8,0)),'Калькуляция (5.9)'!$F$25:$F$139,$F34,'Калькуляция (5.9)'!$G$25:$G$139,$G34))</f>
        <v>0</v>
      </c>
      <c r="BC34" s="165">
        <f>IF(method_reg="Метод сравнения аналогов",_xlfn.SUMIFS(INDEX('Калькуляция (МСА)'!$AE$25:$BW$82,,MATCH(BC$8,'Калькуляция (МСА)'!$AE$8:$BW$8,0)),'Калькуляция (МСА)'!$F$25:$F$82,$F34,'Калькуляция (МСА)'!$G$25:$G$82,$G34),_xlfn.SUMIFS(INDEX('Калькуляция (5.9)'!$AJ$25:$BW$139,,MATCH(BC$8,'Калькуляция (5.9)'!$AJ$8:$BW$8,0)),'Калькуляция (5.9)'!$F$25:$F$139,$F34,'Калькуляция (5.9)'!$G$25:$G$139,$G34))</f>
        <v>0</v>
      </c>
      <c r="BD34" s="912">
        <f>IF(BB34=0,0,(BC34-BB34)/BB34*100)</f>
        <v>0</v>
      </c>
      <c r="BE34" s="165">
        <f>IF(method_reg="Метод сравнения аналогов",_xlfn.SUMIFS(INDEX('Калькуляция (МСА)'!$AE$25:$BW$82,,MATCH(BE$8,'Калькуляция (МСА)'!$AE$8:$BW$8,0)),'Калькуляция (МСА)'!$F$25:$F$82,$F34,'Калькуляция (МСА)'!$G$25:$G$82,$G34),_xlfn.SUMIFS(INDEX('Калькуляция (5.9)'!$AJ$25:$BW$139,,MATCH(BE$8,'Калькуляция (5.9)'!$AJ$8:$BW$8,0)),'Калькуляция (5.9)'!$F$25:$F$139,$F34,'Калькуляция (5.9)'!$G$25:$G$139,$G34))</f>
        <v>0</v>
      </c>
      <c r="BF34" s="165">
        <f>IF(method_reg="Метод сравнения аналогов",_xlfn.SUMIFS(INDEX('Калькуляция (МСА)'!$AE$25:$BW$82,,MATCH(BF$8,'Калькуляция (МСА)'!$AE$8:$BW$8,0)),'Калькуляция (МСА)'!$F$25:$F$82,$F34,'Калькуляция (МСА)'!$G$25:$G$82,$G34),_xlfn.SUMIFS(INDEX('Калькуляция (5.9)'!$AJ$25:$BW$139,,MATCH(BF$8,'Калькуляция (5.9)'!$AJ$8:$BW$8,0)),'Калькуляция (5.9)'!$F$25:$F$139,$F34,'Калькуляция (5.9)'!$G$25:$G$139,$G34))</f>
        <v>0</v>
      </c>
      <c r="BG34" s="912">
        <f>IF(BE34=0,0,(BF34-BE34)/BE34*100)</f>
        <v>0</v>
      </c>
      <c r="BH34" s="165"/>
      <c r="BI34" s="165"/>
      <c r="BJ34" s="912">
        <f>IF(BH34=0,0,(BI34-BH34)/BH34*100)</f>
        <v>0</v>
      </c>
      <c r="BK34" s="165"/>
      <c r="BL34" s="165"/>
      <c r="BM34" s="912">
        <f>IF(BK34=0,0,(BL34-BK34)/BK34*100)</f>
        <v>0</v>
      </c>
      <c r="BN34" s="165"/>
      <c r="BO34" s="165"/>
      <c r="BP34" s="912">
        <f>IF(BN34=0,0,(BO34-BN34)/BN34*100)</f>
        <v>0</v>
      </c>
      <c r="BQ34" s="165"/>
      <c r="BR34" s="165"/>
      <c r="BS34" s="912">
        <f>IF(BQ34=0,0,(BR34-BQ34)/BQ34*100)</f>
        <v>0</v>
      </c>
      <c r="BT34" s="165"/>
      <c r="BU34" s="165"/>
      <c r="BV34" s="912">
        <f>IF(BT34=0,0,(BU34-BT34)/BT34*100)</f>
        <v>0</v>
      </c>
      <c r="BW34" s="165"/>
      <c r="BX34" s="165"/>
      <c r="BY34" s="912">
        <f>IF(BW34=0,0,(BX34-BW34)/BW34*100)</f>
        <v>0</v>
      </c>
      <c r="BZ34" s="165"/>
      <c r="CA34" s="165"/>
      <c r="CB34" s="912">
        <f>IF(BZ34=0,0,(CA34-BZ34)/BZ34*100)</f>
        <v>0</v>
      </c>
      <c r="CC34" s="165"/>
      <c r="CD34" s="165"/>
      <c r="CE34" s="912">
        <f>IF(CC34=0,0,(CD34-CC34)/CC34*100)</f>
        <v>0</v>
      </c>
      <c r="CF34" s="165"/>
      <c r="CG34" s="165"/>
      <c r="CH34" s="912">
        <f>IF(CF34=0,0,(CG34-CF34)/CF34*100)</f>
        <v>0</v>
      </c>
      <c r="CI34" s="165"/>
      <c r="CJ34" s="165"/>
      <c r="CK34" s="912">
        <f>IF(CI34=0,0,(CJ34-CI34)/CI34*100)</f>
        <v>0</v>
      </c>
      <c r="CL34" s="165"/>
      <c r="CM34" s="165"/>
      <c r="CN34" s="912">
        <f>IF(CL34=0,0,(CM34-CL34)/CL34*100)</f>
        <v>0</v>
      </c>
      <c r="CO34" s="165"/>
      <c r="CP34" s="165"/>
      <c r="CQ34" s="912">
        <f>IF(CO34=0,0,(CP34-CO34)/CO34*100)</f>
        <v>0</v>
      </c>
      <c r="CR34" s="165"/>
      <c r="CS34" s="165"/>
      <c r="CT34" s="912">
        <f>IF(CR34=0,0,(CS34-CR34)/CR34*100)</f>
        <v>0</v>
      </c>
      <c r="CU34" s="165"/>
      <c r="CV34" s="165"/>
      <c r="CW34" s="912">
        <f>IF(CU34=0,0,(CV34-CU34)/CU34*100)</f>
        <v>0</v>
      </c>
      <c r="CX34" s="165"/>
      <c r="CY34" s="165"/>
      <c r="CZ34" s="912">
        <f>IF(CX34=0,0,(CY34-CX34)/CX34*100)</f>
        <v>0</v>
      </c>
      <c r="DA34" s="165"/>
      <c r="DB34" s="165"/>
      <c r="DC34" s="912">
        <f>IF(DA34=0,0,(DB34-DA34)/DA34*100)</f>
        <v>0</v>
      </c>
      <c r="DD34" s="165"/>
      <c r="DE34" s="165"/>
      <c r="DF34" s="912">
        <f>IF(DD34=0,0,(DE34-DD34)/DD34*100)</f>
        <v>0</v>
      </c>
      <c r="DG34" s="165"/>
      <c r="DH34" s="165"/>
      <c r="DI34" s="912">
        <f>IF(DG34=0,0,(DH34-DG34)/DG34*100)</f>
        <v>0</v>
      </c>
      <c r="DJ34" s="165"/>
      <c r="DK34" s="165"/>
      <c r="DL34" s="912">
        <f>IF(DJ34=0,0,(DK34-DJ34)/DJ34*100)</f>
        <v>0</v>
      </c>
      <c r="DM34" s="165"/>
      <c r="DN34" s="165"/>
      <c r="DO34" s="912">
        <f>IF(DM34=0,0,(DN34-DM34)/DM34*100)</f>
        <v>0</v>
      </c>
      <c r="DP34" s="165"/>
      <c r="DQ34" s="165"/>
      <c r="DR34" s="912">
        <f>IF(DP34=0,0,(DQ34-DP34)/DP34*100)</f>
        <v>0</v>
      </c>
      <c r="DS34" s="165"/>
      <c r="DT34" s="165"/>
      <c r="DU34" s="912">
        <f>IF(DS34=0,0,(DT34-DS34)/DS34*100)</f>
        <v>0</v>
      </c>
      <c r="DV34" s="165"/>
      <c r="DW34" s="165"/>
      <c r="DX34" s="912">
        <f>IF(DV34=0,0,(DW34-DV34)/DV34*100)</f>
        <v>0</v>
      </c>
      <c r="DY34" s="165"/>
      <c r="DZ34" s="165"/>
      <c r="EA34" s="912">
        <f>IF(DY34=0,0,(DZ34-DY34)/DY34*100)</f>
        <v>0</v>
      </c>
      <c r="EB34" s="165"/>
      <c r="EC34" s="165"/>
      <c r="ED34" s="912">
        <f>IF(EB34=0,0,(EC34-EB34)/EB34*100)</f>
        <v>0</v>
      </c>
      <c r="EE34" s="165"/>
      <c r="EF34" s="165"/>
      <c r="EG34" s="912">
        <f>IF(EE34=0,0,(EF34-EE34)/EE34*100)</f>
        <v>0</v>
      </c>
      <c r="EH34" s="165"/>
      <c r="EI34" s="165"/>
      <c r="EJ34" s="912">
        <f>IF(EH34=0,0,(EI34-EH34)/EH34*100)</f>
        <v>0</v>
      </c>
      <c r="EK34" s="165"/>
      <c r="EL34" s="165"/>
      <c r="EM34" s="912">
        <f>IF(EK34=0,0,(EL34-EK34)/EK34*100)</f>
        <v>0</v>
      </c>
      <c r="EN34" s="165"/>
      <c r="EO34" s="165"/>
      <c r="EP34" s="912">
        <f>IF(EN34=0,0,(EO34-EN34)/EN34*100)</f>
        <v>0</v>
      </c>
      <c r="EQ34" s="165"/>
      <c r="ER34" s="165"/>
      <c r="ES34" s="912">
        <f>IF(EQ34=0,0,(ER34-EQ34)/EQ34*100)</f>
        <v>0</v>
      </c>
      <c r="ET34" s="165"/>
      <c r="EU34" s="165"/>
      <c r="EV34" s="912">
        <f>IF(ET34=0,0,(EU34-ET34)/ET34*100)</f>
        <v>0</v>
      </c>
      <c r="EW34" s="165"/>
      <c r="EX34" s="165"/>
      <c r="EY34" s="912">
        <f>IF(EW34=0,0,(EX34-EW34)/EW34*100)</f>
        <v>0</v>
      </c>
      <c r="EZ34" s="165"/>
      <c r="FA34" s="165"/>
      <c r="FB34" s="912">
        <f>IF(EZ34=0,0,(FA34-EZ34)/EZ34*100)</f>
        <v>0</v>
      </c>
      <c r="FC34" s="165"/>
      <c r="FD34" s="165"/>
      <c r="FE34" s="912">
        <f>IF(FC34=0,0,(FD34-FC34)/FC34*100)</f>
        <v>0</v>
      </c>
      <c r="FF34" s="165"/>
      <c r="FG34" s="165"/>
      <c r="FH34" s="912">
        <f>IF(FF34=0,0,(FG34-FF34)/FF34*100)</f>
        <v>0</v>
      </c>
      <c r="FI34" s="165"/>
      <c r="FJ34" s="165"/>
      <c r="FK34" s="912">
        <f>IF(FI34=0,0,(FJ34-FI34)/FI34*100)</f>
        <v>0</v>
      </c>
      <c r="FL34" s="165"/>
      <c r="FM34" s="165"/>
      <c r="FN34" s="912">
        <f>IF(FL34=0,0,(FM34-FL34)/FL34*100)</f>
        <v>0</v>
      </c>
      <c r="FO34" s="165"/>
      <c r="FP34" s="165"/>
      <c r="FQ34" s="912">
        <f>IF(FO34=0,0,(FP34-FO34)/FO34*100)</f>
        <v>0</v>
      </c>
      <c r="FR34" s="165"/>
      <c r="FS34" s="165"/>
      <c r="FT34" s="912">
        <f>IF(FR34=0,0,(FS34-FR34)/FR34*100)</f>
        <v>0</v>
      </c>
      <c r="FU34" s="165"/>
      <c r="FV34" s="165"/>
      <c r="FW34" s="912">
        <f>IF(FU34=0,0,(FV34-FU34)/FU34*100)</f>
        <v>0</v>
      </c>
      <c r="FZ34" s="489" t="s">
        <v>2457</v>
      </c>
      <c r="GA34" s="489"/>
      <c r="GB34" s="489"/>
      <c r="GC34" s="489"/>
      <c r="GD34" s="489"/>
      <c r="GF34" s="1501" cm="1" t="str">
        <f t="array" ref="GF34:GF34">GF33</f>
        <v>0</v>
      </c>
      <c r="GG34" s="1501" t="s">
        <v>707</v>
      </c>
      <c r="GH34" s="1501" t="s">
        <v>2452</v>
      </c>
      <c r="GI34" s="1501" t="s">
        <v>797</v>
      </c>
      <c r="GJ34" s="1501"/>
      <c r="GK34" s="1501"/>
      <c r="GL34" s="1501" t="s">
        <v>303</v>
      </c>
      <c r="GM34" s="1501" t="s">
        <v>2453</v>
      </c>
      <c r="GN34" s="1501" t="s">
        <v>2454</v>
      </c>
    </row>
    <row customHeight="1" ht="16.575" hidden="1">
      <c r="B35" s="192" cm="1" t="str">
        <f t="array" ref="B35:B35">B34</f>
        <v>false</v>
      </c>
      <c r="E35" s="180">
        <v>17</v>
      </c>
      <c r="F35" s="175" cm="1" t="str">
        <f t="array" ref="F35:F35">OFFSET(G35,-1,-1)</f>
        <v>0</v>
      </c>
      <c r="I35" s="193" t="s">
        <v>2458</v>
      </c>
      <c r="T35" s="753" cm="1" t="str">
        <f t="array" ref="T35:T35">T34</f>
        <v>false</v>
      </c>
      <c r="AB35" s="913" t="s">
        <v>2459</v>
      </c>
      <c r="AC35" s="380" t="s">
        <v>495</v>
      </c>
      <c r="AD35" s="461">
        <f>IF(AD33=0,0,AD34/AD33)</f>
        <v>0</v>
      </c>
      <c r="AE35" s="461">
        <f>IF(AE33=0,0,AE34/AE33)</f>
        <v>0</v>
      </c>
      <c r="AF35" s="914"/>
      <c r="AG35" s="461">
        <f>IF(AG33=0,0,AG34/AG33)</f>
        <v>0</v>
      </c>
      <c r="AH35" s="461">
        <f>IF(AH33=0,0,AH34/AH33)</f>
        <v>0</v>
      </c>
      <c r="AI35" s="914"/>
      <c r="AJ35" s="461">
        <f>IF(AJ33=0,0,AJ34/AJ33)</f>
        <v>0</v>
      </c>
      <c r="AK35" s="461">
        <f>IF(AK33=0,0,AK34/AK33)</f>
        <v>0</v>
      </c>
      <c r="AL35" s="914"/>
      <c r="AM35" s="461">
        <f>IF(AM33=0,0,AM34/AM33)</f>
        <v>0</v>
      </c>
      <c r="AN35" s="461">
        <f>IF(AN33=0,0,AN34/AN33)</f>
        <v>0</v>
      </c>
      <c r="AO35" s="914"/>
      <c r="AP35" s="461">
        <f>IF(AP33=0,0,AP34/AP33)</f>
        <v>0</v>
      </c>
      <c r="AQ35" s="461">
        <f>IF(AQ33=0,0,AQ34/AQ33)</f>
        <v>0</v>
      </c>
      <c r="AR35" s="914"/>
      <c r="AS35" s="461">
        <f>IF(AS33=0,0,AS34/AS33)</f>
        <v>0</v>
      </c>
      <c r="AT35" s="461">
        <f>IF(AT33=0,0,AT34/AT33)</f>
        <v>0</v>
      </c>
      <c r="AU35" s="914"/>
      <c r="AV35" s="461">
        <f>IF(AV33=0,0,AV34/AV33)</f>
        <v>0</v>
      </c>
      <c r="AW35" s="461">
        <f>IF(AW33=0,0,AW34/AW33)</f>
        <v>0</v>
      </c>
      <c r="AX35" s="914"/>
      <c r="AY35" s="461">
        <f>IF(AY33=0,0,AY34/AY33)</f>
        <v>0</v>
      </c>
      <c r="AZ35" s="461">
        <f>IF(AZ33=0,0,AZ34/AZ33)</f>
        <v>0</v>
      </c>
      <c r="BA35" s="914"/>
      <c r="BB35" s="461">
        <f>IF(BB33=0,0,BB34/BB33)</f>
        <v>0</v>
      </c>
      <c r="BC35" s="461">
        <f>IF(BC33=0,0,BC34/BC33)</f>
        <v>0</v>
      </c>
      <c r="BD35" s="914"/>
      <c r="BE35" s="461">
        <f>IF(BE33=0,0,BE34/BE33)</f>
        <v>0</v>
      </c>
      <c r="BF35" s="461">
        <f>IF(BF33=0,0,BF34/BF33)</f>
        <v>0</v>
      </c>
      <c r="BG35" s="914"/>
      <c r="BH35" s="461">
        <f>IF(BH33=0,0,BH34/BH33)</f>
        <v>0</v>
      </c>
      <c r="BI35" s="461">
        <f>IF(BI33=0,0,BI34/BI33)</f>
        <v>0</v>
      </c>
      <c r="BJ35" s="915"/>
      <c r="BK35" s="461">
        <f>IF(BK33=0,0,BK34/BK33)</f>
        <v>0</v>
      </c>
      <c r="BL35" s="461">
        <f>IF(BL33=0,0,BL34/BL33)</f>
        <v>0</v>
      </c>
      <c r="BM35" s="915"/>
      <c r="BN35" s="461">
        <f>IF(BN33=0,0,BN34/BN33)</f>
        <v>0</v>
      </c>
      <c r="BO35" s="461">
        <f>IF(BO33=0,0,BO34/BO33)</f>
        <v>0</v>
      </c>
      <c r="BP35" s="915"/>
      <c r="BQ35" s="461">
        <f>IF(BQ33=0,0,BQ34/BQ33)</f>
        <v>0</v>
      </c>
      <c r="BR35" s="461">
        <f>IF(BR33=0,0,BR34/BR33)</f>
        <v>0</v>
      </c>
      <c r="BS35" s="915"/>
      <c r="BT35" s="461">
        <f>IF(BT33=0,0,BT34/BT33)</f>
        <v>0</v>
      </c>
      <c r="BU35" s="461">
        <f>IF(BU33=0,0,BU34/BU33)</f>
        <v>0</v>
      </c>
      <c r="BV35" s="915"/>
      <c r="BW35" s="461">
        <f>IF(BW33=0,0,BW34/BW33)</f>
        <v>0</v>
      </c>
      <c r="BX35" s="461">
        <f>IF(BX33=0,0,BX34/BX33)</f>
        <v>0</v>
      </c>
      <c r="BY35" s="915"/>
      <c r="BZ35" s="461">
        <f>IF(BZ33=0,0,BZ34/BZ33)</f>
        <v>0</v>
      </c>
      <c r="CA35" s="461">
        <f>IF(CA33=0,0,CA34/CA33)</f>
        <v>0</v>
      </c>
      <c r="CB35" s="915"/>
      <c r="CC35" s="461">
        <f>IF(CC33=0,0,CC34/CC33)</f>
        <v>0</v>
      </c>
      <c r="CD35" s="461">
        <f>IF(CD33=0,0,CD34/CD33)</f>
        <v>0</v>
      </c>
      <c r="CE35" s="915"/>
      <c r="CF35" s="461">
        <f>IF(CF33=0,0,CF34/CF33)</f>
        <v>0</v>
      </c>
      <c r="CG35" s="461">
        <f>IF(CG33=0,0,CG34/CG33)</f>
        <v>0</v>
      </c>
      <c r="CH35" s="915"/>
      <c r="CI35" s="461">
        <f>IF(CI33=0,0,CI34/CI33)</f>
        <v>0</v>
      </c>
      <c r="CJ35" s="461">
        <f>IF(CJ33=0,0,CJ34/CJ33)</f>
        <v>0</v>
      </c>
      <c r="CK35" s="915"/>
      <c r="CL35" s="461">
        <f>IF(CL33=0,0,CL34/CL33)</f>
        <v>0</v>
      </c>
      <c r="CM35" s="461">
        <f>IF(CM33=0,0,CM34/CM33)</f>
        <v>0</v>
      </c>
      <c r="CN35" s="915"/>
      <c r="CO35" s="461">
        <f>IF(CO33=0,0,CO34/CO33)</f>
        <v>0</v>
      </c>
      <c r="CP35" s="461">
        <f>IF(CP33=0,0,CP34/CP33)</f>
        <v>0</v>
      </c>
      <c r="CQ35" s="915"/>
      <c r="CR35" s="461">
        <f>IF(CR33=0,0,CR34/CR33)</f>
        <v>0</v>
      </c>
      <c r="CS35" s="461">
        <f>IF(CS33=0,0,CS34/CS33)</f>
        <v>0</v>
      </c>
      <c r="CT35" s="915"/>
      <c r="CU35" s="461">
        <f>IF(CU33=0,0,CU34/CU33)</f>
        <v>0</v>
      </c>
      <c r="CV35" s="461">
        <f>IF(CV33=0,0,CV34/CV33)</f>
        <v>0</v>
      </c>
      <c r="CW35" s="915"/>
      <c r="CX35" s="461">
        <f>IF(CX33=0,0,CX34/CX33)</f>
        <v>0</v>
      </c>
      <c r="CY35" s="461">
        <f>IF(CY33=0,0,CY34/CY33)</f>
        <v>0</v>
      </c>
      <c r="CZ35" s="915"/>
      <c r="DA35" s="461">
        <f>IF(DA33=0,0,DA34/DA33)</f>
        <v>0</v>
      </c>
      <c r="DB35" s="461">
        <f>IF(DB33=0,0,DB34/DB33)</f>
        <v>0</v>
      </c>
      <c r="DC35" s="915"/>
      <c r="DD35" s="461">
        <f>IF(DD33=0,0,DD34/DD33)</f>
        <v>0</v>
      </c>
      <c r="DE35" s="461">
        <f>IF(DE33=0,0,DE34/DE33)</f>
        <v>0</v>
      </c>
      <c r="DF35" s="915"/>
      <c r="DG35" s="461">
        <f>IF(DG33=0,0,DG34/DG33)</f>
        <v>0</v>
      </c>
      <c r="DH35" s="461">
        <f>IF(DH33=0,0,DH34/DH33)</f>
        <v>0</v>
      </c>
      <c r="DI35" s="915"/>
      <c r="DJ35" s="461">
        <f>IF(DJ33=0,0,DJ34/DJ33)</f>
        <v>0</v>
      </c>
      <c r="DK35" s="461">
        <f>IF(DK33=0,0,DK34/DK33)</f>
        <v>0</v>
      </c>
      <c r="DL35" s="915"/>
      <c r="DM35" s="461">
        <f>IF(DM33=0,0,DM34/DM33)</f>
        <v>0</v>
      </c>
      <c r="DN35" s="461">
        <f>IF(DN33=0,0,DN34/DN33)</f>
        <v>0</v>
      </c>
      <c r="DO35" s="915"/>
      <c r="DP35" s="461">
        <f>IF(DP33=0,0,DP34/DP33)</f>
        <v>0</v>
      </c>
      <c r="DQ35" s="461">
        <f>IF(DQ33=0,0,DQ34/DQ33)</f>
        <v>0</v>
      </c>
      <c r="DR35" s="915"/>
      <c r="DS35" s="461">
        <f>IF(DS33=0,0,DS34/DS33)</f>
        <v>0</v>
      </c>
      <c r="DT35" s="461">
        <f>IF(DT33=0,0,DT34/DT33)</f>
        <v>0</v>
      </c>
      <c r="DU35" s="915"/>
      <c r="DV35" s="461">
        <f>IF(DV33=0,0,DV34/DV33)</f>
        <v>0</v>
      </c>
      <c r="DW35" s="461">
        <f>IF(DW33=0,0,DW34/DW33)</f>
        <v>0</v>
      </c>
      <c r="DX35" s="915"/>
      <c r="DY35" s="461">
        <f>IF(DY33=0,0,DY34/DY33)</f>
        <v>0</v>
      </c>
      <c r="DZ35" s="461">
        <f>IF(DZ33=0,0,DZ34/DZ33)</f>
        <v>0</v>
      </c>
      <c r="EA35" s="915"/>
      <c r="EB35" s="461">
        <f>IF(EB33=0,0,EB34/EB33)</f>
        <v>0</v>
      </c>
      <c r="EC35" s="461">
        <f>IF(EC33=0,0,EC34/EC33)</f>
        <v>0</v>
      </c>
      <c r="ED35" s="915"/>
      <c r="EE35" s="461">
        <f>IF(EE33=0,0,EE34/EE33)</f>
        <v>0</v>
      </c>
      <c r="EF35" s="461">
        <f>IF(EF33=0,0,EF34/EF33)</f>
        <v>0</v>
      </c>
      <c r="EG35" s="915"/>
      <c r="EH35" s="461">
        <f>IF(EH33=0,0,EH34/EH33)</f>
        <v>0</v>
      </c>
      <c r="EI35" s="461">
        <f>IF(EI33=0,0,EI34/EI33)</f>
        <v>0</v>
      </c>
      <c r="EJ35" s="915"/>
      <c r="EK35" s="461">
        <f>IF(EK33=0,0,EK34/EK33)</f>
        <v>0</v>
      </c>
      <c r="EL35" s="461">
        <f>IF(EL33=0,0,EL34/EL33)</f>
        <v>0</v>
      </c>
      <c r="EM35" s="915"/>
      <c r="EN35" s="461">
        <f>IF(EN33=0,0,EN34/EN33)</f>
        <v>0</v>
      </c>
      <c r="EO35" s="461">
        <f>IF(EO33=0,0,EO34/EO33)</f>
        <v>0</v>
      </c>
      <c r="EP35" s="915"/>
      <c r="EQ35" s="461">
        <f>IF(EQ33=0,0,EQ34/EQ33)</f>
        <v>0</v>
      </c>
      <c r="ER35" s="461">
        <f>IF(ER33=0,0,ER34/ER33)</f>
        <v>0</v>
      </c>
      <c r="ES35" s="915"/>
      <c r="ET35" s="461">
        <f>IF(ET33=0,0,ET34/ET33)</f>
        <v>0</v>
      </c>
      <c r="EU35" s="461">
        <f>IF(EU33=0,0,EU34/EU33)</f>
        <v>0</v>
      </c>
      <c r="EV35" s="915"/>
      <c r="EW35" s="461">
        <f>IF(EW33=0,0,EW34/EW33)</f>
        <v>0</v>
      </c>
      <c r="EX35" s="461">
        <f>IF(EX33=0,0,EX34/EX33)</f>
        <v>0</v>
      </c>
      <c r="EY35" s="915"/>
      <c r="EZ35" s="461">
        <f>IF(EZ33=0,0,EZ34/EZ33)</f>
        <v>0</v>
      </c>
      <c r="FA35" s="461">
        <f>IF(FA33=0,0,FA34/FA33)</f>
        <v>0</v>
      </c>
      <c r="FB35" s="915"/>
      <c r="FC35" s="461">
        <f>IF(FC33=0,0,FC34/FC33)</f>
        <v>0</v>
      </c>
      <c r="FD35" s="461">
        <f>IF(FD33=0,0,FD34/FD33)</f>
        <v>0</v>
      </c>
      <c r="FE35" s="915"/>
      <c r="FF35" s="461">
        <f>IF(FF33=0,0,FF34/FF33)</f>
        <v>0</v>
      </c>
      <c r="FG35" s="461">
        <f>IF(FG33=0,0,FG34/FG33)</f>
        <v>0</v>
      </c>
      <c r="FH35" s="915"/>
      <c r="FI35" s="461">
        <f>IF(FI33=0,0,FI34/FI33)</f>
        <v>0</v>
      </c>
      <c r="FJ35" s="461">
        <f>IF(FJ33=0,0,FJ34/FJ33)</f>
        <v>0</v>
      </c>
      <c r="FK35" s="915"/>
      <c r="FL35" s="461">
        <f>IF(FL33=0,0,FL34/FL33)</f>
        <v>0</v>
      </c>
      <c r="FM35" s="461">
        <f>IF(FM33=0,0,FM34/FM33)</f>
        <v>0</v>
      </c>
      <c r="FN35" s="915"/>
      <c r="FO35" s="461">
        <f>IF(FO33=0,0,FO34/FO33)</f>
        <v>0</v>
      </c>
      <c r="FP35" s="461">
        <f>IF(FP33=0,0,FP34/FP33)</f>
        <v>0</v>
      </c>
      <c r="FQ35" s="915"/>
      <c r="FR35" s="461">
        <f>IF(FR33=0,0,FR34/FR33)</f>
        <v>0</v>
      </c>
      <c r="FS35" s="461">
        <f>IF(FS33=0,0,FS34/FS33)</f>
        <v>0</v>
      </c>
      <c r="FT35" s="915"/>
      <c r="FU35" s="461">
        <f>IF(FU33=0,0,FU34/FU33)</f>
        <v>0</v>
      </c>
      <c r="FV35" s="461">
        <f>IF(FV33=0,0,FV34/FV33)</f>
        <v>0</v>
      </c>
      <c r="FW35" s="915"/>
      <c r="FZ35" s="489" t="s">
        <v>2460</v>
      </c>
      <c r="GA35" s="489"/>
      <c r="GB35" s="489"/>
      <c r="GC35" s="489"/>
      <c r="GD35" s="489"/>
      <c r="GF35" s="1501" cm="1" t="str">
        <f t="array" ref="GF35:GF35">GF34</f>
        <v>0</v>
      </c>
      <c r="GG35" s="1501" t="s">
        <v>707</v>
      </c>
      <c r="GH35" s="1501"/>
      <c r="GI35" s="1501" t="s">
        <v>797</v>
      </c>
      <c r="GJ35" s="1501"/>
      <c r="GK35" s="1501"/>
      <c r="GL35" s="1501" t="s">
        <v>303</v>
      </c>
      <c r="GM35" s="1501" t="s">
        <v>931</v>
      </c>
      <c r="GN35" s="1501" t="s">
        <v>932</v>
      </c>
    </row>
    <row customHeight="1" ht="16.575" hidden="1">
      <c r="B36" s="192" cm="1" t="str">
        <f t="array" ref="B36:B36">B35</f>
        <v>false</v>
      </c>
      <c r="E36" s="180">
        <v>17</v>
      </c>
      <c r="F36" s="175" cm="1" t="str">
        <f t="array" ref="F36:F36">OFFSET(G36,-1,-1)</f>
        <v>0</v>
      </c>
      <c r="G36" s="193" t="s">
        <v>2461</v>
      </c>
      <c r="I36" s="193" t="s">
        <v>2458</v>
      </c>
      <c r="T36" s="753" cm="1" t="str">
        <f t="array" ref="T36:T36">T35</f>
        <v>false</v>
      </c>
      <c r="AB36" s="913" t="s">
        <v>2462</v>
      </c>
      <c r="AC36" s="380" t="s">
        <v>629</v>
      </c>
      <c r="AD36" s="166">
        <f>SUM(AD37:AD38)</f>
        <v>0</v>
      </c>
      <c r="AE36" s="166">
        <f>SUM(AE37:AE38)</f>
        <v>0</v>
      </c>
      <c r="AF36" s="917">
        <f>IF(AD36=0,0,(AE36-AD36)/AD36*100)</f>
        <v>0</v>
      </c>
      <c r="AG36" s="166">
        <f>SUM(AG37:AG38)</f>
        <v>0</v>
      </c>
      <c r="AH36" s="166">
        <f>SUM(AH37:AH38)</f>
        <v>0</v>
      </c>
      <c r="AI36" s="917">
        <f>IF(AG36=0,0,(AH36-AG36)/AG36*100)</f>
        <v>0</v>
      </c>
      <c r="AJ36" s="166">
        <f>SUM(AJ37:AJ38)</f>
        <v>0</v>
      </c>
      <c r="AK36" s="166">
        <f>SUM(AK37:AK38)</f>
        <v>0</v>
      </c>
      <c r="AL36" s="917">
        <f>IF(AJ36=0,0,(AK36-AJ36)/AJ36*100)</f>
        <v>0</v>
      </c>
      <c r="AM36" s="166">
        <f>SUM(AM37:AM38)</f>
        <v>0</v>
      </c>
      <c r="AN36" s="166">
        <f>SUM(AN37:AN38)</f>
        <v>0</v>
      </c>
      <c r="AO36" s="917">
        <f>IF(AM36=0,0,(AN36-AM36)/AM36*100)</f>
        <v>0</v>
      </c>
      <c r="AP36" s="166">
        <f>SUM(AP37:AP38)</f>
        <v>0</v>
      </c>
      <c r="AQ36" s="166">
        <f>SUM(AQ37:AQ38)</f>
        <v>0</v>
      </c>
      <c r="AR36" s="917">
        <f>IF(AP36=0,0,(AQ36-AP36)/AP36*100)</f>
        <v>0</v>
      </c>
      <c r="AS36" s="166">
        <f>SUM(AS37:AS38)</f>
        <v>0</v>
      </c>
      <c r="AT36" s="166">
        <f>SUM(AT37:AT38)</f>
        <v>0</v>
      </c>
      <c r="AU36" s="917">
        <f>IF(AS36=0,0,(AT36-AS36)/AS36*100)</f>
        <v>0</v>
      </c>
      <c r="AV36" s="166">
        <f>SUM(AV37:AV38)</f>
        <v>0</v>
      </c>
      <c r="AW36" s="166">
        <f>SUM(AW37:AW38)</f>
        <v>0</v>
      </c>
      <c r="AX36" s="917">
        <f>IF(AV36=0,0,(AW36-AV36)/AV36*100)</f>
        <v>0</v>
      </c>
      <c r="AY36" s="166">
        <f>SUM(AY37:AY38)</f>
        <v>0</v>
      </c>
      <c r="AZ36" s="166">
        <f>SUM(AZ37:AZ38)</f>
        <v>0</v>
      </c>
      <c r="BA36" s="917">
        <f>IF(AY36=0,0,(AZ36-AY36)/AY36*100)</f>
        <v>0</v>
      </c>
      <c r="BB36" s="166">
        <f>SUM(BB37:BB38)</f>
        <v>0</v>
      </c>
      <c r="BC36" s="166">
        <f>SUM(BC37:BC38)</f>
        <v>0</v>
      </c>
      <c r="BD36" s="917">
        <f>IF(BB36=0,0,(BC36-BB36)/BB36*100)</f>
        <v>0</v>
      </c>
      <c r="BE36" s="166">
        <f>SUM(BE37:BE38)</f>
        <v>0</v>
      </c>
      <c r="BF36" s="166">
        <f>SUM(BF37:BF38)</f>
        <v>0</v>
      </c>
      <c r="BG36" s="917">
        <f>IF(BE36=0,0,(BF36-BE36)/BE36*100)</f>
        <v>0</v>
      </c>
      <c r="BH36" s="166">
        <f>SUM(BH37:BH38)</f>
        <v>0</v>
      </c>
      <c r="BI36" s="166">
        <f>SUM(BI37:BI38)</f>
        <v>0</v>
      </c>
      <c r="BJ36" s="917">
        <f>IF(BH36=0,0,(BI36-BH36)/BH36*100)</f>
        <v>0</v>
      </c>
      <c r="BK36" s="166">
        <f>SUM(BK37:BK38)</f>
        <v>0</v>
      </c>
      <c r="BL36" s="166">
        <f>SUM(BL37:BL38)</f>
        <v>0</v>
      </c>
      <c r="BM36" s="917">
        <f>IF(BK36=0,0,(BL36-BK36)/BK36*100)</f>
        <v>0</v>
      </c>
      <c r="BN36" s="166">
        <f>SUM(BN37:BN38)</f>
        <v>0</v>
      </c>
      <c r="BO36" s="166">
        <f>SUM(BO37:BO38)</f>
        <v>0</v>
      </c>
      <c r="BP36" s="917">
        <f>IF(BN36=0,0,(BO36-BN36)/BN36*100)</f>
        <v>0</v>
      </c>
      <c r="BQ36" s="166">
        <f>SUM(BQ37:BQ38)</f>
        <v>0</v>
      </c>
      <c r="BR36" s="166">
        <f>SUM(BR37:BR38)</f>
        <v>0</v>
      </c>
      <c r="BS36" s="917">
        <f>IF(BQ36=0,0,(BR36-BQ36)/BQ36*100)</f>
        <v>0</v>
      </c>
      <c r="BT36" s="166">
        <f>SUM(BT37:BT38)</f>
        <v>0</v>
      </c>
      <c r="BU36" s="166">
        <f>SUM(BU37:BU38)</f>
        <v>0</v>
      </c>
      <c r="BV36" s="917">
        <f>IF(BT36=0,0,(BU36-BT36)/BT36*100)</f>
        <v>0</v>
      </c>
      <c r="BW36" s="166">
        <f>SUM(BW37:BW38)</f>
        <v>0</v>
      </c>
      <c r="BX36" s="166">
        <f>SUM(BX37:BX38)</f>
        <v>0</v>
      </c>
      <c r="BY36" s="917">
        <f>IF(BW36=0,0,(BX36-BW36)/BW36*100)</f>
        <v>0</v>
      </c>
      <c r="BZ36" s="166">
        <f>SUM(BZ37:BZ38)</f>
        <v>0</v>
      </c>
      <c r="CA36" s="166">
        <f>SUM(CA37:CA38)</f>
        <v>0</v>
      </c>
      <c r="CB36" s="917">
        <f>IF(BZ36=0,0,(CA36-BZ36)/BZ36*100)</f>
        <v>0</v>
      </c>
      <c r="CC36" s="166">
        <f>SUM(CC37:CC38)</f>
        <v>0</v>
      </c>
      <c r="CD36" s="166">
        <f>SUM(CD37:CD38)</f>
        <v>0</v>
      </c>
      <c r="CE36" s="917">
        <f>IF(CC36=0,0,(CD36-CC36)/CC36*100)</f>
        <v>0</v>
      </c>
      <c r="CF36" s="166">
        <f>SUM(CF37:CF38)</f>
        <v>0</v>
      </c>
      <c r="CG36" s="166">
        <f>SUM(CG37:CG38)</f>
        <v>0</v>
      </c>
      <c r="CH36" s="917">
        <f>IF(CF36=0,0,(CG36-CF36)/CF36*100)</f>
        <v>0</v>
      </c>
      <c r="CI36" s="166">
        <f>SUM(CI37:CI38)</f>
        <v>0</v>
      </c>
      <c r="CJ36" s="166">
        <f>SUM(CJ37:CJ38)</f>
        <v>0</v>
      </c>
      <c r="CK36" s="917">
        <f>IF(CI36=0,0,(CJ36-CI36)/CI36*100)</f>
        <v>0</v>
      </c>
      <c r="CL36" s="166">
        <f>SUM(CL37:CL38)</f>
        <v>0</v>
      </c>
      <c r="CM36" s="166">
        <f>SUM(CM37:CM38)</f>
        <v>0</v>
      </c>
      <c r="CN36" s="917">
        <f>IF(CL36=0,0,(CM36-CL36)/CL36*100)</f>
        <v>0</v>
      </c>
      <c r="CO36" s="166">
        <f>SUM(CO37:CO38)</f>
        <v>0</v>
      </c>
      <c r="CP36" s="166">
        <f>SUM(CP37:CP38)</f>
        <v>0</v>
      </c>
      <c r="CQ36" s="917">
        <f>IF(CO36=0,0,(CP36-CO36)/CO36*100)</f>
        <v>0</v>
      </c>
      <c r="CR36" s="166">
        <f>SUM(CR37:CR38)</f>
        <v>0</v>
      </c>
      <c r="CS36" s="166">
        <f>SUM(CS37:CS38)</f>
        <v>0</v>
      </c>
      <c r="CT36" s="917">
        <f>IF(CR36=0,0,(CS36-CR36)/CR36*100)</f>
        <v>0</v>
      </c>
      <c r="CU36" s="166">
        <f>SUM(CU37:CU38)</f>
        <v>0</v>
      </c>
      <c r="CV36" s="166">
        <f>SUM(CV37:CV38)</f>
        <v>0</v>
      </c>
      <c r="CW36" s="917">
        <f>IF(CU36=0,0,(CV36-CU36)/CU36*100)</f>
        <v>0</v>
      </c>
      <c r="CX36" s="166">
        <f>SUM(CX37:CX38)</f>
        <v>0</v>
      </c>
      <c r="CY36" s="166">
        <f>SUM(CY37:CY38)</f>
        <v>0</v>
      </c>
      <c r="CZ36" s="917">
        <f>IF(CX36=0,0,(CY36-CX36)/CX36*100)</f>
        <v>0</v>
      </c>
      <c r="DA36" s="166">
        <f>SUM(DA37:DA38)</f>
        <v>0</v>
      </c>
      <c r="DB36" s="166">
        <f>SUM(DB37:DB38)</f>
        <v>0</v>
      </c>
      <c r="DC36" s="917">
        <f>IF(DA36=0,0,(DB36-DA36)/DA36*100)</f>
        <v>0</v>
      </c>
      <c r="DD36" s="166">
        <f>SUM(DD37:DD38)</f>
        <v>0</v>
      </c>
      <c r="DE36" s="166">
        <f>SUM(DE37:DE38)</f>
        <v>0</v>
      </c>
      <c r="DF36" s="917">
        <f>IF(DD36=0,0,(DE36-DD36)/DD36*100)</f>
        <v>0</v>
      </c>
      <c r="DG36" s="166">
        <f>SUM(DG37:DG38)</f>
        <v>0</v>
      </c>
      <c r="DH36" s="166">
        <f>SUM(DH37:DH38)</f>
        <v>0</v>
      </c>
      <c r="DI36" s="917">
        <f>IF(DG36=0,0,(DH36-DG36)/DG36*100)</f>
        <v>0</v>
      </c>
      <c r="DJ36" s="166">
        <f>SUM(DJ37:DJ38)</f>
        <v>0</v>
      </c>
      <c r="DK36" s="166">
        <f>SUM(DK37:DK38)</f>
        <v>0</v>
      </c>
      <c r="DL36" s="917">
        <f>IF(DJ36=0,0,(DK36-DJ36)/DJ36*100)</f>
        <v>0</v>
      </c>
      <c r="DM36" s="166">
        <f>SUM(DM37:DM38)</f>
        <v>0</v>
      </c>
      <c r="DN36" s="166">
        <f>SUM(DN37:DN38)</f>
        <v>0</v>
      </c>
      <c r="DO36" s="917">
        <f>IF(DM36=0,0,(DN36-DM36)/DM36*100)</f>
        <v>0</v>
      </c>
      <c r="DP36" s="166">
        <f>SUM(DP37:DP38)</f>
        <v>0</v>
      </c>
      <c r="DQ36" s="166">
        <f>SUM(DQ37:DQ38)</f>
        <v>0</v>
      </c>
      <c r="DR36" s="917">
        <f>IF(DP36=0,0,(DQ36-DP36)/DP36*100)</f>
        <v>0</v>
      </c>
      <c r="DS36" s="166">
        <f>SUM(DS37:DS38)</f>
        <v>0</v>
      </c>
      <c r="DT36" s="166">
        <f>SUM(DT37:DT38)</f>
        <v>0</v>
      </c>
      <c r="DU36" s="917">
        <f>IF(DS36=0,0,(DT36-DS36)/DS36*100)</f>
        <v>0</v>
      </c>
      <c r="DV36" s="166">
        <f>SUM(DV37:DV38)</f>
        <v>0</v>
      </c>
      <c r="DW36" s="166">
        <f>SUM(DW37:DW38)</f>
        <v>0</v>
      </c>
      <c r="DX36" s="917">
        <f>IF(DV36=0,0,(DW36-DV36)/DV36*100)</f>
        <v>0</v>
      </c>
      <c r="DY36" s="166">
        <f>SUM(DY37:DY38)</f>
        <v>0</v>
      </c>
      <c r="DZ36" s="166">
        <f>SUM(DZ37:DZ38)</f>
        <v>0</v>
      </c>
      <c r="EA36" s="917">
        <f>IF(DY36=0,0,(DZ36-DY36)/DY36*100)</f>
        <v>0</v>
      </c>
      <c r="EB36" s="166">
        <f>SUM(EB37:EB38)</f>
        <v>0</v>
      </c>
      <c r="EC36" s="166">
        <f>SUM(EC37:EC38)</f>
        <v>0</v>
      </c>
      <c r="ED36" s="917">
        <f>IF(EB36=0,0,(EC36-EB36)/EB36*100)</f>
        <v>0</v>
      </c>
      <c r="EE36" s="166">
        <f>SUM(EE37:EE38)</f>
        <v>0</v>
      </c>
      <c r="EF36" s="166">
        <f>SUM(EF37:EF38)</f>
        <v>0</v>
      </c>
      <c r="EG36" s="917">
        <f>IF(EE36=0,0,(EF36-EE36)/EE36*100)</f>
        <v>0</v>
      </c>
      <c r="EH36" s="166">
        <f>SUM(EH37:EH38)</f>
        <v>0</v>
      </c>
      <c r="EI36" s="166">
        <f>SUM(EI37:EI38)</f>
        <v>0</v>
      </c>
      <c r="EJ36" s="917">
        <f>IF(EH36=0,0,(EI36-EH36)/EH36*100)</f>
        <v>0</v>
      </c>
      <c r="EK36" s="166">
        <f>SUM(EK37:EK38)</f>
        <v>0</v>
      </c>
      <c r="EL36" s="166">
        <f>SUM(EL37:EL38)</f>
        <v>0</v>
      </c>
      <c r="EM36" s="917">
        <f>IF(EK36=0,0,(EL36-EK36)/EK36*100)</f>
        <v>0</v>
      </c>
      <c r="EN36" s="166">
        <f>SUM(EN37:EN38)</f>
        <v>0</v>
      </c>
      <c r="EO36" s="166">
        <f>SUM(EO37:EO38)</f>
        <v>0</v>
      </c>
      <c r="EP36" s="917">
        <f>IF(EN36=0,0,(EO36-EN36)/EN36*100)</f>
        <v>0</v>
      </c>
      <c r="EQ36" s="166">
        <f>SUM(EQ37:EQ38)</f>
        <v>0</v>
      </c>
      <c r="ER36" s="166">
        <f>SUM(ER37:ER38)</f>
        <v>0</v>
      </c>
      <c r="ES36" s="917">
        <f>IF(EQ36=0,0,(ER36-EQ36)/EQ36*100)</f>
        <v>0</v>
      </c>
      <c r="ET36" s="166">
        <f>SUM(ET37:ET38)</f>
        <v>0</v>
      </c>
      <c r="EU36" s="166">
        <f>SUM(EU37:EU38)</f>
        <v>0</v>
      </c>
      <c r="EV36" s="917">
        <f>IF(ET36=0,0,(EU36-ET36)/ET36*100)</f>
        <v>0</v>
      </c>
      <c r="EW36" s="166">
        <f>SUM(EW37:EW38)</f>
        <v>0</v>
      </c>
      <c r="EX36" s="166">
        <f>SUM(EX37:EX38)</f>
        <v>0</v>
      </c>
      <c r="EY36" s="917">
        <f>IF(EW36=0,0,(EX36-EW36)/EW36*100)</f>
        <v>0</v>
      </c>
      <c r="EZ36" s="166">
        <f>SUM(EZ37:EZ38)</f>
        <v>0</v>
      </c>
      <c r="FA36" s="166">
        <f>SUM(FA37:FA38)</f>
        <v>0</v>
      </c>
      <c r="FB36" s="917">
        <f>IF(EZ36=0,0,(FA36-EZ36)/EZ36*100)</f>
        <v>0</v>
      </c>
      <c r="FC36" s="166">
        <f>SUM(FC37:FC38)</f>
        <v>0</v>
      </c>
      <c r="FD36" s="166">
        <f>SUM(FD37:FD38)</f>
        <v>0</v>
      </c>
      <c r="FE36" s="917">
        <f>IF(FC36=0,0,(FD36-FC36)/FC36*100)</f>
        <v>0</v>
      </c>
      <c r="FF36" s="166">
        <f>SUM(FF37:FF38)</f>
        <v>0</v>
      </c>
      <c r="FG36" s="166">
        <f>SUM(FG37:FG38)</f>
        <v>0</v>
      </c>
      <c r="FH36" s="917">
        <f>IF(FF36=0,0,(FG36-FF36)/FF36*100)</f>
        <v>0</v>
      </c>
      <c r="FI36" s="166">
        <f>SUM(FI37:FI38)</f>
        <v>0</v>
      </c>
      <c r="FJ36" s="166">
        <f>SUM(FJ37:FJ38)</f>
        <v>0</v>
      </c>
      <c r="FK36" s="917">
        <f>IF(FI36=0,0,(FJ36-FI36)/FI36*100)</f>
        <v>0</v>
      </c>
      <c r="FL36" s="166">
        <f>SUM(FL37:FL38)</f>
        <v>0</v>
      </c>
      <c r="FM36" s="166">
        <f>SUM(FM37:FM38)</f>
        <v>0</v>
      </c>
      <c r="FN36" s="917">
        <f>IF(FL36=0,0,(FM36-FL36)/FL36*100)</f>
        <v>0</v>
      </c>
      <c r="FO36" s="166">
        <f>SUM(FO37:FO38)</f>
        <v>0</v>
      </c>
      <c r="FP36" s="166">
        <f>SUM(FP37:FP38)</f>
        <v>0</v>
      </c>
      <c r="FQ36" s="917">
        <f>IF(FO36=0,0,(FP36-FO36)/FO36*100)</f>
        <v>0</v>
      </c>
      <c r="FR36" s="166">
        <f>SUM(FR37:FR38)</f>
        <v>0</v>
      </c>
      <c r="FS36" s="166">
        <f>SUM(FS37:FS38)</f>
        <v>0</v>
      </c>
      <c r="FT36" s="917">
        <f>IF(FR36=0,0,(FS36-FR36)/FR36*100)</f>
        <v>0</v>
      </c>
      <c r="FU36" s="166">
        <f>SUM(FU37:FU38)</f>
        <v>0</v>
      </c>
      <c r="FV36" s="166">
        <f>SUM(FV37:FV38)</f>
        <v>0</v>
      </c>
      <c r="FW36" s="917">
        <f>IF(FU36=0,0,(FV36-FU36)/FU36*100)</f>
        <v>0</v>
      </c>
      <c r="FZ36" s="489" t="s">
        <v>2463</v>
      </c>
      <c r="GA36" s="489"/>
      <c r="GB36" s="489"/>
      <c r="GC36" s="489"/>
      <c r="GD36" s="489"/>
      <c r="GF36" s="1501" cm="1" t="str">
        <f t="array" ref="GF36:GF36">GF35</f>
        <v>0</v>
      </c>
      <c r="GG36" s="1501" t="s">
        <v>707</v>
      </c>
      <c r="GH36" s="1501"/>
      <c r="GI36" s="1501"/>
      <c r="GJ36" s="1501"/>
      <c r="GK36" s="1501"/>
      <c r="GL36" s="1501" t="s">
        <v>303</v>
      </c>
      <c r="GM36" s="1501" t="s">
        <v>2079</v>
      </c>
      <c r="GN36" s="1501" t="s">
        <v>2080</v>
      </c>
    </row>
    <row customHeight="1" ht="16.575" hidden="1">
      <c r="B37" s="192" cm="1" t="str">
        <f t="array" ref="B37:B37">B36</f>
        <v>false</v>
      </c>
      <c r="E37" s="180">
        <v>17</v>
      </c>
      <c r="F37" s="175" cm="1" t="str">
        <f t="array" ref="F37:F37">OFFSET(G37,-1,-1)</f>
        <v>0</v>
      </c>
      <c r="G37" s="193" t="s">
        <v>2081</v>
      </c>
      <c r="T37" s="753" cm="1" t="str">
        <f t="array" ref="T37:T37">T36</f>
        <v>false</v>
      </c>
      <c r="AB37" s="646" t="s">
        <v>2082</v>
      </c>
      <c r="AC37" s="380" t="s">
        <v>629</v>
      </c>
      <c r="AD37" s="166">
        <f>IF(method_reg="Метод экономически обоснованных расходов",_xlfn.SUMIFS('Калькуляция (4.6)'!AJ$25:AJ$162,'Калькуляция (4.6)'!$F$25:$F$162,$F37,'Калькуляция (4.6)'!$G$25:$G$162,$G37),IF(method_reg="Метод сравнения аналогов",_xlfn.SUMIFS(INDEX('Калькуляция (МСА)'!$AE$25:$BW$82,,MATCH(AD$8,'Калькуляция (МСА)'!$AE$8:$BW$8,0)),'Калькуляция (МСА)'!$F$25:$F$82,$F37,'Калькуляция (МСА)'!$G$25:$G$82,$G37),_xlfn.SUMIFS(INDEX('Калькуляция (5.9)'!$AJ$25:$BW$139,,MATCH(AD$8,'Калькуляция (5.9)'!$AJ$8:$BW$8,0)),'Калькуляция (5.9)'!$F$25:$F$139,$F37,'Калькуляция (5.9)'!$G$25:$G$139,$G37)))</f>
        <v>0</v>
      </c>
      <c r="AE37" s="166">
        <f>IF(method_reg="Метод экономически обоснованных расходов",_xlfn.SUMIFS('Калькуляция (4.6)'!AK$25:AK$162,'Калькуляция (4.6)'!$F$25:$F$162,$F37,'Калькуляция (4.6)'!$G$25:$G$162,$G37),IF(method_reg="Метод сравнения аналогов",_xlfn.SUMIFS(INDEX('Калькуляция (МСА)'!$AE$25:$BW$82,,MATCH(AE$8,'Калькуляция (МСА)'!$AE$8:$BW$8,0)),'Калькуляция (МСА)'!$F$25:$F$82,$F37,'Калькуляция (МСА)'!$G$25:$G$82,$G37),_xlfn.SUMIFS(INDEX('Калькуляция (5.9)'!$AJ$25:$BW$139,,MATCH(AE$8,'Калькуляция (5.9)'!$AJ$8:$BW$8,0)),'Калькуляция (5.9)'!$F$25:$F$139,$F37,'Калькуляция (5.9)'!$G$25:$G$139,$G37)))</f>
        <v>0</v>
      </c>
      <c r="AF37" s="917">
        <f>IF(AD37=0,0,(AE37-AD37)/AD37*100)</f>
        <v>0</v>
      </c>
      <c r="AG37" s="166">
        <f>IF(method_reg="Метод сравнения аналогов",_xlfn.SUMIFS(INDEX('Калькуляция (МСА)'!$AE$25:$BW$82,,MATCH(AG$8,'Калькуляция (МСА)'!$AE$8:$BW$8,0)),'Калькуляция (МСА)'!$F$25:$F$82,$F37,'Калькуляция (МСА)'!$G$25:$G$82,$G37),_xlfn.SUMIFS(INDEX('Калькуляция (5.9)'!$AJ$25:$BW$139,,MATCH(AG$8,'Калькуляция (5.9)'!$AJ$8:$BW$8,0)),'Калькуляция (5.9)'!$F$25:$F$139,$F37,'Калькуляция (5.9)'!$G$25:$G$139,$G37))</f>
        <v>0</v>
      </c>
      <c r="AH37" s="166">
        <f>IF(method_reg="Метод сравнения аналогов",_xlfn.SUMIFS(INDEX('Калькуляция (МСА)'!$AE$25:$BW$82,,MATCH(AH$8,'Калькуляция (МСА)'!$AE$8:$BW$8,0)),'Калькуляция (МСА)'!$F$25:$F$82,$F37,'Калькуляция (МСА)'!$G$25:$G$82,$G37),_xlfn.SUMIFS(INDEX('Калькуляция (5.9)'!$AJ$25:$BW$139,,MATCH(AH$8,'Калькуляция (5.9)'!$AJ$8:$BW$8,0)),'Калькуляция (5.9)'!$F$25:$F$139,$F37,'Калькуляция (5.9)'!$G$25:$G$139,$G37))</f>
        <v>0</v>
      </c>
      <c r="AI37" s="917">
        <f>IF(AG37=0,0,(AH37-AG37)/AG37*100)</f>
        <v>0</v>
      </c>
      <c r="AJ37" s="166">
        <f>IF(method_reg="Метод сравнения аналогов",_xlfn.SUMIFS(INDEX('Калькуляция (МСА)'!$AE$25:$BW$82,,MATCH(AJ$8,'Калькуляция (МСА)'!$AE$8:$BW$8,0)),'Калькуляция (МСА)'!$F$25:$F$82,$F37,'Калькуляция (МСА)'!$G$25:$G$82,$G37),_xlfn.SUMIFS(INDEX('Калькуляция (5.9)'!$AJ$25:$BW$139,,MATCH(AJ$8,'Калькуляция (5.9)'!$AJ$8:$BW$8,0)),'Калькуляция (5.9)'!$F$25:$F$139,$F37,'Калькуляция (5.9)'!$G$25:$G$139,$G37))</f>
        <v>0</v>
      </c>
      <c r="AK37" s="166">
        <f>IF(method_reg="Метод сравнения аналогов",_xlfn.SUMIFS(INDEX('Калькуляция (МСА)'!$AE$25:$BW$82,,MATCH(AK$8,'Калькуляция (МСА)'!$AE$8:$BW$8,0)),'Калькуляция (МСА)'!$F$25:$F$82,$F37,'Калькуляция (МСА)'!$G$25:$G$82,$G37),_xlfn.SUMIFS(INDEX('Калькуляция (5.9)'!$AJ$25:$BW$139,,MATCH(AK$8,'Калькуляция (5.9)'!$AJ$8:$BW$8,0)),'Калькуляция (5.9)'!$F$25:$F$139,$F37,'Калькуляция (5.9)'!$G$25:$G$139,$G37))</f>
        <v>0</v>
      </c>
      <c r="AL37" s="917">
        <f>IF(AJ37=0,0,(AK37-AJ37)/AJ37*100)</f>
        <v>0</v>
      </c>
      <c r="AM37" s="166">
        <f>IF(method_reg="Метод сравнения аналогов",_xlfn.SUMIFS(INDEX('Калькуляция (МСА)'!$AE$25:$BW$82,,MATCH(AM$8,'Калькуляция (МСА)'!$AE$8:$BW$8,0)),'Калькуляция (МСА)'!$F$25:$F$82,$F37,'Калькуляция (МСА)'!$G$25:$G$82,$G37),_xlfn.SUMIFS(INDEX('Калькуляция (5.9)'!$AJ$25:$BW$139,,MATCH(AM$8,'Калькуляция (5.9)'!$AJ$8:$BW$8,0)),'Калькуляция (5.9)'!$F$25:$F$139,$F37,'Калькуляция (5.9)'!$G$25:$G$139,$G37))</f>
        <v>0</v>
      </c>
      <c r="AN37" s="166">
        <f>IF(method_reg="Метод сравнения аналогов",_xlfn.SUMIFS(INDEX('Калькуляция (МСА)'!$AE$25:$BW$82,,MATCH(AN$8,'Калькуляция (МСА)'!$AE$8:$BW$8,0)),'Калькуляция (МСА)'!$F$25:$F$82,$F37,'Калькуляция (МСА)'!$G$25:$G$82,$G37),_xlfn.SUMIFS(INDEX('Калькуляция (5.9)'!$AJ$25:$BW$139,,MATCH(AN$8,'Калькуляция (5.9)'!$AJ$8:$BW$8,0)),'Калькуляция (5.9)'!$F$25:$F$139,$F37,'Калькуляция (5.9)'!$G$25:$G$139,$G37))</f>
        <v>0</v>
      </c>
      <c r="AO37" s="917">
        <f>IF(AM37=0,0,(AN37-AM37)/AM37*100)</f>
        <v>0</v>
      </c>
      <c r="AP37" s="166">
        <f>IF(method_reg="Метод сравнения аналогов",_xlfn.SUMIFS(INDEX('Калькуляция (МСА)'!$AE$25:$BW$82,,MATCH(AP$8,'Калькуляция (МСА)'!$AE$8:$BW$8,0)),'Калькуляция (МСА)'!$F$25:$F$82,$F37,'Калькуляция (МСА)'!$G$25:$G$82,$G37),_xlfn.SUMIFS(INDEX('Калькуляция (5.9)'!$AJ$25:$BW$139,,MATCH(AP$8,'Калькуляция (5.9)'!$AJ$8:$BW$8,0)),'Калькуляция (5.9)'!$F$25:$F$139,$F37,'Калькуляция (5.9)'!$G$25:$G$139,$G37))</f>
        <v>0</v>
      </c>
      <c r="AQ37" s="166">
        <f>IF(method_reg="Метод сравнения аналогов",_xlfn.SUMIFS(INDEX('Калькуляция (МСА)'!$AE$25:$BW$82,,MATCH(AQ$8,'Калькуляция (МСА)'!$AE$8:$BW$8,0)),'Калькуляция (МСА)'!$F$25:$F$82,$F37,'Калькуляция (МСА)'!$G$25:$G$82,$G37),_xlfn.SUMIFS(INDEX('Калькуляция (5.9)'!$AJ$25:$BW$139,,MATCH(AQ$8,'Калькуляция (5.9)'!$AJ$8:$BW$8,0)),'Калькуляция (5.9)'!$F$25:$F$139,$F37,'Калькуляция (5.9)'!$G$25:$G$139,$G37))</f>
        <v>0</v>
      </c>
      <c r="AR37" s="917">
        <f>IF(AP37=0,0,(AQ37-AP37)/AP37*100)</f>
        <v>0</v>
      </c>
      <c r="AS37" s="166">
        <f>IF(method_reg="Метод сравнения аналогов",_xlfn.SUMIFS(INDEX('Калькуляция (МСА)'!$AE$25:$BW$82,,MATCH(AS$8,'Калькуляция (МСА)'!$AE$8:$BW$8,0)),'Калькуляция (МСА)'!$F$25:$F$82,$F37,'Калькуляция (МСА)'!$G$25:$G$82,$G37),_xlfn.SUMIFS(INDEX('Калькуляция (5.9)'!$AJ$25:$BW$139,,MATCH(AS$8,'Калькуляция (5.9)'!$AJ$8:$BW$8,0)),'Калькуляция (5.9)'!$F$25:$F$139,$F37,'Калькуляция (5.9)'!$G$25:$G$139,$G37))</f>
        <v>0</v>
      </c>
      <c r="AT37" s="166">
        <f>IF(method_reg="Метод сравнения аналогов",_xlfn.SUMIFS(INDEX('Калькуляция (МСА)'!$AE$25:$BW$82,,MATCH(AT$8,'Калькуляция (МСА)'!$AE$8:$BW$8,0)),'Калькуляция (МСА)'!$F$25:$F$82,$F37,'Калькуляция (МСА)'!$G$25:$G$82,$G37),_xlfn.SUMIFS(INDEX('Калькуляция (5.9)'!$AJ$25:$BW$139,,MATCH(AT$8,'Калькуляция (5.9)'!$AJ$8:$BW$8,0)),'Калькуляция (5.9)'!$F$25:$F$139,$F37,'Калькуляция (5.9)'!$G$25:$G$139,$G37))</f>
        <v>0</v>
      </c>
      <c r="AU37" s="917">
        <f>IF(AS37=0,0,(AT37-AS37)/AS37*100)</f>
        <v>0</v>
      </c>
      <c r="AV37" s="166">
        <f>IF(method_reg="Метод сравнения аналогов",_xlfn.SUMIFS(INDEX('Калькуляция (МСА)'!$AE$25:$BW$82,,MATCH(AV$8,'Калькуляция (МСА)'!$AE$8:$BW$8,0)),'Калькуляция (МСА)'!$F$25:$F$82,$F37,'Калькуляция (МСА)'!$G$25:$G$82,$G37),_xlfn.SUMIFS(INDEX('Калькуляция (5.9)'!$AJ$25:$BW$139,,MATCH(AV$8,'Калькуляция (5.9)'!$AJ$8:$BW$8,0)),'Калькуляция (5.9)'!$F$25:$F$139,$F37,'Калькуляция (5.9)'!$G$25:$G$139,$G37))</f>
        <v>0</v>
      </c>
      <c r="AW37" s="166">
        <f>IF(method_reg="Метод сравнения аналогов",_xlfn.SUMIFS(INDEX('Калькуляция (МСА)'!$AE$25:$BW$82,,MATCH(AW$8,'Калькуляция (МСА)'!$AE$8:$BW$8,0)),'Калькуляция (МСА)'!$F$25:$F$82,$F37,'Калькуляция (МСА)'!$G$25:$G$82,$G37),_xlfn.SUMIFS(INDEX('Калькуляция (5.9)'!$AJ$25:$BW$139,,MATCH(AW$8,'Калькуляция (5.9)'!$AJ$8:$BW$8,0)),'Калькуляция (5.9)'!$F$25:$F$139,$F37,'Калькуляция (5.9)'!$G$25:$G$139,$G37))</f>
        <v>0</v>
      </c>
      <c r="AX37" s="917">
        <f>IF(AV37=0,0,(AW37-AV37)/AV37*100)</f>
        <v>0</v>
      </c>
      <c r="AY37" s="166">
        <f>IF(method_reg="Метод сравнения аналогов",_xlfn.SUMIFS(INDEX('Калькуляция (МСА)'!$AE$25:$BW$82,,MATCH(AY$8,'Калькуляция (МСА)'!$AE$8:$BW$8,0)),'Калькуляция (МСА)'!$F$25:$F$82,$F37,'Калькуляция (МСА)'!$G$25:$G$82,$G37),_xlfn.SUMIFS(INDEX('Калькуляция (5.9)'!$AJ$25:$BW$139,,MATCH(AY$8,'Калькуляция (5.9)'!$AJ$8:$BW$8,0)),'Калькуляция (5.9)'!$F$25:$F$139,$F37,'Калькуляция (5.9)'!$G$25:$G$139,$G37))</f>
        <v>0</v>
      </c>
      <c r="AZ37" s="166">
        <f>IF(method_reg="Метод сравнения аналогов",_xlfn.SUMIFS(INDEX('Калькуляция (МСА)'!$AE$25:$BW$82,,MATCH(AZ$8,'Калькуляция (МСА)'!$AE$8:$BW$8,0)),'Калькуляция (МСА)'!$F$25:$F$82,$F37,'Калькуляция (МСА)'!$G$25:$G$82,$G37),_xlfn.SUMIFS(INDEX('Калькуляция (5.9)'!$AJ$25:$BW$139,,MATCH(AZ$8,'Калькуляция (5.9)'!$AJ$8:$BW$8,0)),'Калькуляция (5.9)'!$F$25:$F$139,$F37,'Калькуляция (5.9)'!$G$25:$G$139,$G37))</f>
        <v>0</v>
      </c>
      <c r="BA37" s="917">
        <f>IF(AY37=0,0,(AZ37-AY37)/AY37*100)</f>
        <v>0</v>
      </c>
      <c r="BB37" s="166">
        <f>IF(method_reg="Метод сравнения аналогов",_xlfn.SUMIFS(INDEX('Калькуляция (МСА)'!$AE$25:$BW$82,,MATCH(BB$8,'Калькуляция (МСА)'!$AE$8:$BW$8,0)),'Калькуляция (МСА)'!$F$25:$F$82,$F37,'Калькуляция (МСА)'!$G$25:$G$82,$G37),_xlfn.SUMIFS(INDEX('Калькуляция (5.9)'!$AJ$25:$BW$139,,MATCH(BB$8,'Калькуляция (5.9)'!$AJ$8:$BW$8,0)),'Калькуляция (5.9)'!$F$25:$F$139,$F37,'Калькуляция (5.9)'!$G$25:$G$139,$G37))</f>
        <v>0</v>
      </c>
      <c r="BC37" s="166">
        <f>IF(method_reg="Метод сравнения аналогов",_xlfn.SUMIFS(INDEX('Калькуляция (МСА)'!$AE$25:$BW$82,,MATCH(BC$8,'Калькуляция (МСА)'!$AE$8:$BW$8,0)),'Калькуляция (МСА)'!$F$25:$F$82,$F37,'Калькуляция (МСА)'!$G$25:$G$82,$G37),_xlfn.SUMIFS(INDEX('Калькуляция (5.9)'!$AJ$25:$BW$139,,MATCH(BC$8,'Калькуляция (5.9)'!$AJ$8:$BW$8,0)),'Калькуляция (5.9)'!$F$25:$F$139,$F37,'Калькуляция (5.9)'!$G$25:$G$139,$G37))</f>
        <v>0</v>
      </c>
      <c r="BD37" s="917">
        <f>IF(BB37=0,0,(BC37-BB37)/BB37*100)</f>
        <v>0</v>
      </c>
      <c r="BE37" s="166">
        <f>IF(method_reg="Метод сравнения аналогов",_xlfn.SUMIFS(INDEX('Калькуляция (МСА)'!$AE$25:$BW$82,,MATCH(BE$8,'Калькуляция (МСА)'!$AE$8:$BW$8,0)),'Калькуляция (МСА)'!$F$25:$F$82,$F37,'Калькуляция (МСА)'!$G$25:$G$82,$G37),_xlfn.SUMIFS(INDEX('Калькуляция (5.9)'!$AJ$25:$BW$139,,MATCH(BE$8,'Калькуляция (5.9)'!$AJ$8:$BW$8,0)),'Калькуляция (5.9)'!$F$25:$F$139,$F37,'Калькуляция (5.9)'!$G$25:$G$139,$G37))</f>
        <v>0</v>
      </c>
      <c r="BF37" s="166">
        <f>IF(method_reg="Метод сравнения аналогов",_xlfn.SUMIFS(INDEX('Калькуляция (МСА)'!$AE$25:$BW$82,,MATCH(BF$8,'Калькуляция (МСА)'!$AE$8:$BW$8,0)),'Калькуляция (МСА)'!$F$25:$F$82,$F37,'Калькуляция (МСА)'!$G$25:$G$82,$G37),_xlfn.SUMIFS(INDEX('Калькуляция (5.9)'!$AJ$25:$BW$139,,MATCH(BF$8,'Калькуляция (5.9)'!$AJ$8:$BW$8,0)),'Калькуляция (5.9)'!$F$25:$F$139,$F37,'Калькуляция (5.9)'!$G$25:$G$139,$G37))</f>
        <v>0</v>
      </c>
      <c r="BG37" s="917">
        <f>IF(BE37=0,0,(BF37-BE37)/BE37*100)</f>
        <v>0</v>
      </c>
      <c r="BH37" s="166"/>
      <c r="BI37" s="166"/>
      <c r="BJ37" s="917">
        <f>IF(BH37=0,0,(BI37-BH37)/BH37*100)</f>
        <v>0</v>
      </c>
      <c r="BK37" s="166"/>
      <c r="BL37" s="166"/>
      <c r="BM37" s="917">
        <f>IF(BK37=0,0,(BL37-BK37)/BK37*100)</f>
        <v>0</v>
      </c>
      <c r="BN37" s="166"/>
      <c r="BO37" s="166"/>
      <c r="BP37" s="917">
        <f>IF(BN37=0,0,(BO37-BN37)/BN37*100)</f>
        <v>0</v>
      </c>
      <c r="BQ37" s="166"/>
      <c r="BR37" s="166"/>
      <c r="BS37" s="917">
        <f>IF(BQ37=0,0,(BR37-BQ37)/BQ37*100)</f>
        <v>0</v>
      </c>
      <c r="BT37" s="166"/>
      <c r="BU37" s="166"/>
      <c r="BV37" s="917">
        <f>IF(BT37=0,0,(BU37-BT37)/BT37*100)</f>
        <v>0</v>
      </c>
      <c r="BW37" s="166"/>
      <c r="BX37" s="166"/>
      <c r="BY37" s="917">
        <f>IF(BW37=0,0,(BX37-BW37)/BW37*100)</f>
        <v>0</v>
      </c>
      <c r="BZ37" s="166"/>
      <c r="CA37" s="166"/>
      <c r="CB37" s="917">
        <f>IF(BZ37=0,0,(CA37-BZ37)/BZ37*100)</f>
        <v>0</v>
      </c>
      <c r="CC37" s="166"/>
      <c r="CD37" s="166"/>
      <c r="CE37" s="917">
        <f>IF(CC37=0,0,(CD37-CC37)/CC37*100)</f>
        <v>0</v>
      </c>
      <c r="CF37" s="166"/>
      <c r="CG37" s="166"/>
      <c r="CH37" s="917">
        <f>IF(CF37=0,0,(CG37-CF37)/CF37*100)</f>
        <v>0</v>
      </c>
      <c r="CI37" s="166"/>
      <c r="CJ37" s="166"/>
      <c r="CK37" s="917">
        <f>IF(CI37=0,0,(CJ37-CI37)/CI37*100)</f>
        <v>0</v>
      </c>
      <c r="CL37" s="166"/>
      <c r="CM37" s="166"/>
      <c r="CN37" s="917">
        <f>IF(CL37=0,0,(CM37-CL37)/CL37*100)</f>
        <v>0</v>
      </c>
      <c r="CO37" s="166"/>
      <c r="CP37" s="166"/>
      <c r="CQ37" s="917">
        <f>IF(CO37=0,0,(CP37-CO37)/CO37*100)</f>
        <v>0</v>
      </c>
      <c r="CR37" s="166"/>
      <c r="CS37" s="166"/>
      <c r="CT37" s="917">
        <f>IF(CR37=0,0,(CS37-CR37)/CR37*100)</f>
        <v>0</v>
      </c>
      <c r="CU37" s="166"/>
      <c r="CV37" s="166"/>
      <c r="CW37" s="917">
        <f>IF(CU37=0,0,(CV37-CU37)/CU37*100)</f>
        <v>0</v>
      </c>
      <c r="CX37" s="166"/>
      <c r="CY37" s="166"/>
      <c r="CZ37" s="917">
        <f>IF(CX37=0,0,(CY37-CX37)/CX37*100)</f>
        <v>0</v>
      </c>
      <c r="DA37" s="166"/>
      <c r="DB37" s="166"/>
      <c r="DC37" s="917">
        <f>IF(DA37=0,0,(DB37-DA37)/DA37*100)</f>
        <v>0</v>
      </c>
      <c r="DD37" s="166"/>
      <c r="DE37" s="166"/>
      <c r="DF37" s="917">
        <f>IF(DD37=0,0,(DE37-DD37)/DD37*100)</f>
        <v>0</v>
      </c>
      <c r="DG37" s="166"/>
      <c r="DH37" s="166"/>
      <c r="DI37" s="917">
        <f>IF(DG37=0,0,(DH37-DG37)/DG37*100)</f>
        <v>0</v>
      </c>
      <c r="DJ37" s="166"/>
      <c r="DK37" s="166"/>
      <c r="DL37" s="917">
        <f>IF(DJ37=0,0,(DK37-DJ37)/DJ37*100)</f>
        <v>0</v>
      </c>
      <c r="DM37" s="166"/>
      <c r="DN37" s="166"/>
      <c r="DO37" s="917">
        <f>IF(DM37=0,0,(DN37-DM37)/DM37*100)</f>
        <v>0</v>
      </c>
      <c r="DP37" s="166"/>
      <c r="DQ37" s="166"/>
      <c r="DR37" s="917">
        <f>IF(DP37=0,0,(DQ37-DP37)/DP37*100)</f>
        <v>0</v>
      </c>
      <c r="DS37" s="166"/>
      <c r="DT37" s="166"/>
      <c r="DU37" s="917">
        <f>IF(DS37=0,0,(DT37-DS37)/DS37*100)</f>
        <v>0</v>
      </c>
      <c r="DV37" s="166"/>
      <c r="DW37" s="166"/>
      <c r="DX37" s="917">
        <f>IF(DV37=0,0,(DW37-DV37)/DV37*100)</f>
        <v>0</v>
      </c>
      <c r="DY37" s="166"/>
      <c r="DZ37" s="166"/>
      <c r="EA37" s="917">
        <f>IF(DY37=0,0,(DZ37-DY37)/DY37*100)</f>
        <v>0</v>
      </c>
      <c r="EB37" s="166"/>
      <c r="EC37" s="166"/>
      <c r="ED37" s="917">
        <f>IF(EB37=0,0,(EC37-EB37)/EB37*100)</f>
        <v>0</v>
      </c>
      <c r="EE37" s="166"/>
      <c r="EF37" s="166"/>
      <c r="EG37" s="917">
        <f>IF(EE37=0,0,(EF37-EE37)/EE37*100)</f>
        <v>0</v>
      </c>
      <c r="EH37" s="166"/>
      <c r="EI37" s="166"/>
      <c r="EJ37" s="917">
        <f>IF(EH37=0,0,(EI37-EH37)/EH37*100)</f>
        <v>0</v>
      </c>
      <c r="EK37" s="166"/>
      <c r="EL37" s="166"/>
      <c r="EM37" s="917">
        <f>IF(EK37=0,0,(EL37-EK37)/EK37*100)</f>
        <v>0</v>
      </c>
      <c r="EN37" s="166"/>
      <c r="EO37" s="166"/>
      <c r="EP37" s="917">
        <f>IF(EN37=0,0,(EO37-EN37)/EN37*100)</f>
        <v>0</v>
      </c>
      <c r="EQ37" s="166"/>
      <c r="ER37" s="166"/>
      <c r="ES37" s="917">
        <f>IF(EQ37=0,0,(ER37-EQ37)/EQ37*100)</f>
        <v>0</v>
      </c>
      <c r="ET37" s="166"/>
      <c r="EU37" s="166"/>
      <c r="EV37" s="917">
        <f>IF(ET37=0,0,(EU37-ET37)/ET37*100)</f>
        <v>0</v>
      </c>
      <c r="EW37" s="166"/>
      <c r="EX37" s="166"/>
      <c r="EY37" s="917">
        <f>IF(EW37=0,0,(EX37-EW37)/EW37*100)</f>
        <v>0</v>
      </c>
      <c r="EZ37" s="166"/>
      <c r="FA37" s="166"/>
      <c r="FB37" s="917">
        <f>IF(EZ37=0,0,(FA37-EZ37)/EZ37*100)</f>
        <v>0</v>
      </c>
      <c r="FC37" s="166"/>
      <c r="FD37" s="166"/>
      <c r="FE37" s="917">
        <f>IF(FC37=0,0,(FD37-FC37)/FC37*100)</f>
        <v>0</v>
      </c>
      <c r="FF37" s="166"/>
      <c r="FG37" s="166"/>
      <c r="FH37" s="917">
        <f>IF(FF37=0,0,(FG37-FF37)/FF37*100)</f>
        <v>0</v>
      </c>
      <c r="FI37" s="166"/>
      <c r="FJ37" s="166"/>
      <c r="FK37" s="917">
        <f>IF(FI37=0,0,(FJ37-FI37)/FI37*100)</f>
        <v>0</v>
      </c>
      <c r="FL37" s="166"/>
      <c r="FM37" s="166"/>
      <c r="FN37" s="917">
        <f>IF(FL37=0,0,(FM37-FL37)/FL37*100)</f>
        <v>0</v>
      </c>
      <c r="FO37" s="166"/>
      <c r="FP37" s="166"/>
      <c r="FQ37" s="917">
        <f>IF(FO37=0,0,(FP37-FO37)/FO37*100)</f>
        <v>0</v>
      </c>
      <c r="FR37" s="166"/>
      <c r="FS37" s="166"/>
      <c r="FT37" s="917">
        <f>IF(FR37=0,0,(FS37-FR37)/FR37*100)</f>
        <v>0</v>
      </c>
      <c r="FU37" s="166"/>
      <c r="FV37" s="166"/>
      <c r="FW37" s="917">
        <f>IF(FU37=0,0,(FV37-FU37)/FU37*100)</f>
        <v>0</v>
      </c>
      <c r="FZ37" s="489" t="s">
        <v>2464</v>
      </c>
      <c r="GA37" s="489"/>
      <c r="GB37" s="489"/>
      <c r="GC37" s="489"/>
      <c r="GD37" s="489"/>
      <c r="GF37" s="1501" cm="1" t="str">
        <f t="array" ref="GF37:GF37">GF36</f>
        <v>0</v>
      </c>
      <c r="GG37" s="1501" t="s">
        <v>707</v>
      </c>
      <c r="GH37" s="1501"/>
      <c r="GI37" s="1501" t="s">
        <v>796</v>
      </c>
      <c r="GJ37" s="1501" t="s">
        <v>2084</v>
      </c>
      <c r="GK37" s="1501"/>
      <c r="GL37" s="1501" t="s">
        <v>303</v>
      </c>
      <c r="GM37" s="1501" t="s">
        <v>2079</v>
      </c>
      <c r="GN37" s="1501" t="s">
        <v>2080</v>
      </c>
    </row>
    <row customHeight="1" ht="16.575" hidden="1">
      <c r="B38" s="192" cm="1" t="str">
        <f t="array" ref="B38:B38">B37</f>
        <v>false</v>
      </c>
      <c r="E38" s="180">
        <v>17</v>
      </c>
      <c r="F38" s="175" cm="1" t="str">
        <f t="array" ref="F38:F38">OFFSET(G38,-1,-1)</f>
        <v>0</v>
      </c>
      <c r="G38" s="193" t="s">
        <v>2088</v>
      </c>
      <c r="T38" s="753" cm="1" t="str">
        <f t="array" ref="T38:T38">T37</f>
        <v>false</v>
      </c>
      <c r="AB38" s="646" t="s">
        <v>2089</v>
      </c>
      <c r="AC38" s="380" t="s">
        <v>629</v>
      </c>
      <c r="AD38" s="166">
        <f>IF(method_reg="Метод экономически обоснованных расходов",_xlfn.SUMIFS('Калькуляция (4.6)'!AJ$25:AJ$162,'Калькуляция (4.6)'!$F$25:$F$162,$F38,'Калькуляция (4.6)'!$G$25:$G$162,$G38),IF(method_reg="Метод сравнения аналогов",_xlfn.SUMIFS(INDEX('Калькуляция (МСА)'!$AE$25:$BW$82,,MATCH(AD$8,'Калькуляция (МСА)'!$AE$8:$BW$8,0)),'Калькуляция (МСА)'!$F$25:$F$82,$F38,'Калькуляция (МСА)'!$G$25:$G$82,$G38),_xlfn.SUMIFS(INDEX('Калькуляция (5.9)'!$AJ$25:$BW$139,,MATCH(AD$8,'Калькуляция (5.9)'!$AJ$8:$BW$8,0)),'Калькуляция (5.9)'!$F$25:$F$139,$F38,'Калькуляция (5.9)'!$G$25:$G$139,$G38)))</f>
        <v>0</v>
      </c>
      <c r="AE38" s="166">
        <f>IF(method_reg="Метод экономически обоснованных расходов",_xlfn.SUMIFS('Калькуляция (4.6)'!AK$25:AK$162,'Калькуляция (4.6)'!$F$25:$F$162,$F38,'Калькуляция (4.6)'!$G$25:$G$162,$G38),IF(method_reg="Метод сравнения аналогов",_xlfn.SUMIFS(INDEX('Калькуляция (МСА)'!$AE$25:$BW$82,,MATCH(AE$8,'Калькуляция (МСА)'!$AE$8:$BW$8,0)),'Калькуляция (МСА)'!$F$25:$F$82,$F38,'Калькуляция (МСА)'!$G$25:$G$82,$G38),_xlfn.SUMIFS(INDEX('Калькуляция (5.9)'!$AJ$25:$BW$139,,MATCH(AE$8,'Калькуляция (5.9)'!$AJ$8:$BW$8,0)),'Калькуляция (5.9)'!$F$25:$F$139,$F38,'Калькуляция (5.9)'!$G$25:$G$139,$G38)))</f>
        <v>0</v>
      </c>
      <c r="AF38" s="917">
        <f>IF(AD38=0,0,(AE38-AD38)/AD38*100)</f>
        <v>0</v>
      </c>
      <c r="AG38" s="166">
        <f>IF(method_reg="Метод сравнения аналогов",_xlfn.SUMIFS(INDEX('Калькуляция (МСА)'!$AE$25:$BW$82,,MATCH(AG$8,'Калькуляция (МСА)'!$AE$8:$BW$8,0)),'Калькуляция (МСА)'!$F$25:$F$82,$F38,'Калькуляция (МСА)'!$G$25:$G$82,$G38),_xlfn.SUMIFS(INDEX('Калькуляция (5.9)'!$AJ$25:$BW$139,,MATCH(AG$8,'Калькуляция (5.9)'!$AJ$8:$BW$8,0)),'Калькуляция (5.9)'!$F$25:$F$139,$F38,'Калькуляция (5.9)'!$G$25:$G$139,$G38))</f>
        <v>0</v>
      </c>
      <c r="AH38" s="166">
        <f>IF(method_reg="Метод сравнения аналогов",_xlfn.SUMIFS(INDEX('Калькуляция (МСА)'!$AE$25:$BW$82,,MATCH(AH$8,'Калькуляция (МСА)'!$AE$8:$BW$8,0)),'Калькуляция (МСА)'!$F$25:$F$82,$F38,'Калькуляция (МСА)'!$G$25:$G$82,$G38),_xlfn.SUMIFS(INDEX('Калькуляция (5.9)'!$AJ$25:$BW$139,,MATCH(AH$8,'Калькуляция (5.9)'!$AJ$8:$BW$8,0)),'Калькуляция (5.9)'!$F$25:$F$139,$F38,'Калькуляция (5.9)'!$G$25:$G$139,$G38))</f>
        <v>0</v>
      </c>
      <c r="AI38" s="917">
        <f>IF(AG38=0,0,(AH38-AG38)/AG38*100)</f>
        <v>0</v>
      </c>
      <c r="AJ38" s="166">
        <f>IF(method_reg="Метод сравнения аналогов",_xlfn.SUMIFS(INDEX('Калькуляция (МСА)'!$AE$25:$BW$82,,MATCH(AJ$8,'Калькуляция (МСА)'!$AE$8:$BW$8,0)),'Калькуляция (МСА)'!$F$25:$F$82,$F38,'Калькуляция (МСА)'!$G$25:$G$82,$G38),_xlfn.SUMIFS(INDEX('Калькуляция (5.9)'!$AJ$25:$BW$139,,MATCH(AJ$8,'Калькуляция (5.9)'!$AJ$8:$BW$8,0)),'Калькуляция (5.9)'!$F$25:$F$139,$F38,'Калькуляция (5.9)'!$G$25:$G$139,$G38))</f>
        <v>0</v>
      </c>
      <c r="AK38" s="166">
        <f>IF(method_reg="Метод сравнения аналогов",_xlfn.SUMIFS(INDEX('Калькуляция (МСА)'!$AE$25:$BW$82,,MATCH(AK$8,'Калькуляция (МСА)'!$AE$8:$BW$8,0)),'Калькуляция (МСА)'!$F$25:$F$82,$F38,'Калькуляция (МСА)'!$G$25:$G$82,$G38),_xlfn.SUMIFS(INDEX('Калькуляция (5.9)'!$AJ$25:$BW$139,,MATCH(AK$8,'Калькуляция (5.9)'!$AJ$8:$BW$8,0)),'Калькуляция (5.9)'!$F$25:$F$139,$F38,'Калькуляция (5.9)'!$G$25:$G$139,$G38))</f>
        <v>0</v>
      </c>
      <c r="AL38" s="917">
        <f>IF(AJ38=0,0,(AK38-AJ38)/AJ38*100)</f>
        <v>0</v>
      </c>
      <c r="AM38" s="166">
        <f>IF(method_reg="Метод сравнения аналогов",_xlfn.SUMIFS(INDEX('Калькуляция (МСА)'!$AE$25:$BW$82,,MATCH(AM$8,'Калькуляция (МСА)'!$AE$8:$BW$8,0)),'Калькуляция (МСА)'!$F$25:$F$82,$F38,'Калькуляция (МСА)'!$G$25:$G$82,$G38),_xlfn.SUMIFS(INDEX('Калькуляция (5.9)'!$AJ$25:$BW$139,,MATCH(AM$8,'Калькуляция (5.9)'!$AJ$8:$BW$8,0)),'Калькуляция (5.9)'!$F$25:$F$139,$F38,'Калькуляция (5.9)'!$G$25:$G$139,$G38))</f>
        <v>0</v>
      </c>
      <c r="AN38" s="166">
        <f>IF(method_reg="Метод сравнения аналогов",_xlfn.SUMIFS(INDEX('Калькуляция (МСА)'!$AE$25:$BW$82,,MATCH(AN$8,'Калькуляция (МСА)'!$AE$8:$BW$8,0)),'Калькуляция (МСА)'!$F$25:$F$82,$F38,'Калькуляция (МСА)'!$G$25:$G$82,$G38),_xlfn.SUMIFS(INDEX('Калькуляция (5.9)'!$AJ$25:$BW$139,,MATCH(AN$8,'Калькуляция (5.9)'!$AJ$8:$BW$8,0)),'Калькуляция (5.9)'!$F$25:$F$139,$F38,'Калькуляция (5.9)'!$G$25:$G$139,$G38))</f>
        <v>0</v>
      </c>
      <c r="AO38" s="917">
        <f>IF(AM38=0,0,(AN38-AM38)/AM38*100)</f>
        <v>0</v>
      </c>
      <c r="AP38" s="166">
        <f>IF(method_reg="Метод сравнения аналогов",_xlfn.SUMIFS(INDEX('Калькуляция (МСА)'!$AE$25:$BW$82,,MATCH(AP$8,'Калькуляция (МСА)'!$AE$8:$BW$8,0)),'Калькуляция (МСА)'!$F$25:$F$82,$F38,'Калькуляция (МСА)'!$G$25:$G$82,$G38),_xlfn.SUMIFS(INDEX('Калькуляция (5.9)'!$AJ$25:$BW$139,,MATCH(AP$8,'Калькуляция (5.9)'!$AJ$8:$BW$8,0)),'Калькуляция (5.9)'!$F$25:$F$139,$F38,'Калькуляция (5.9)'!$G$25:$G$139,$G38))</f>
        <v>0</v>
      </c>
      <c r="AQ38" s="166">
        <f>IF(method_reg="Метод сравнения аналогов",_xlfn.SUMIFS(INDEX('Калькуляция (МСА)'!$AE$25:$BW$82,,MATCH(AQ$8,'Калькуляция (МСА)'!$AE$8:$BW$8,0)),'Калькуляция (МСА)'!$F$25:$F$82,$F38,'Калькуляция (МСА)'!$G$25:$G$82,$G38),_xlfn.SUMIFS(INDEX('Калькуляция (5.9)'!$AJ$25:$BW$139,,MATCH(AQ$8,'Калькуляция (5.9)'!$AJ$8:$BW$8,0)),'Калькуляция (5.9)'!$F$25:$F$139,$F38,'Калькуляция (5.9)'!$G$25:$G$139,$G38))</f>
        <v>0</v>
      </c>
      <c r="AR38" s="917">
        <f>IF(AP38=0,0,(AQ38-AP38)/AP38*100)</f>
        <v>0</v>
      </c>
      <c r="AS38" s="166">
        <f>IF(method_reg="Метод сравнения аналогов",_xlfn.SUMIFS(INDEX('Калькуляция (МСА)'!$AE$25:$BW$82,,MATCH(AS$8,'Калькуляция (МСА)'!$AE$8:$BW$8,0)),'Калькуляция (МСА)'!$F$25:$F$82,$F38,'Калькуляция (МСА)'!$G$25:$G$82,$G38),_xlfn.SUMIFS(INDEX('Калькуляция (5.9)'!$AJ$25:$BW$139,,MATCH(AS$8,'Калькуляция (5.9)'!$AJ$8:$BW$8,0)),'Калькуляция (5.9)'!$F$25:$F$139,$F38,'Калькуляция (5.9)'!$G$25:$G$139,$G38))</f>
        <v>0</v>
      </c>
      <c r="AT38" s="166">
        <f>IF(method_reg="Метод сравнения аналогов",_xlfn.SUMIFS(INDEX('Калькуляция (МСА)'!$AE$25:$BW$82,,MATCH(AT$8,'Калькуляция (МСА)'!$AE$8:$BW$8,0)),'Калькуляция (МСА)'!$F$25:$F$82,$F38,'Калькуляция (МСА)'!$G$25:$G$82,$G38),_xlfn.SUMIFS(INDEX('Калькуляция (5.9)'!$AJ$25:$BW$139,,MATCH(AT$8,'Калькуляция (5.9)'!$AJ$8:$BW$8,0)),'Калькуляция (5.9)'!$F$25:$F$139,$F38,'Калькуляция (5.9)'!$G$25:$G$139,$G38))</f>
        <v>0</v>
      </c>
      <c r="AU38" s="917">
        <f>IF(AS38=0,0,(AT38-AS38)/AS38*100)</f>
        <v>0</v>
      </c>
      <c r="AV38" s="166">
        <f>IF(method_reg="Метод сравнения аналогов",_xlfn.SUMIFS(INDEX('Калькуляция (МСА)'!$AE$25:$BW$82,,MATCH(AV$8,'Калькуляция (МСА)'!$AE$8:$BW$8,0)),'Калькуляция (МСА)'!$F$25:$F$82,$F38,'Калькуляция (МСА)'!$G$25:$G$82,$G38),_xlfn.SUMIFS(INDEX('Калькуляция (5.9)'!$AJ$25:$BW$139,,MATCH(AV$8,'Калькуляция (5.9)'!$AJ$8:$BW$8,0)),'Калькуляция (5.9)'!$F$25:$F$139,$F38,'Калькуляция (5.9)'!$G$25:$G$139,$G38))</f>
        <v>0</v>
      </c>
      <c r="AW38" s="166">
        <f>IF(method_reg="Метод сравнения аналогов",_xlfn.SUMIFS(INDEX('Калькуляция (МСА)'!$AE$25:$BW$82,,MATCH(AW$8,'Калькуляция (МСА)'!$AE$8:$BW$8,0)),'Калькуляция (МСА)'!$F$25:$F$82,$F38,'Калькуляция (МСА)'!$G$25:$G$82,$G38),_xlfn.SUMIFS(INDEX('Калькуляция (5.9)'!$AJ$25:$BW$139,,MATCH(AW$8,'Калькуляция (5.9)'!$AJ$8:$BW$8,0)),'Калькуляция (5.9)'!$F$25:$F$139,$F38,'Калькуляция (5.9)'!$G$25:$G$139,$G38))</f>
        <v>0</v>
      </c>
      <c r="AX38" s="917">
        <f>IF(AV38=0,0,(AW38-AV38)/AV38*100)</f>
        <v>0</v>
      </c>
      <c r="AY38" s="166">
        <f>IF(method_reg="Метод сравнения аналогов",_xlfn.SUMIFS(INDEX('Калькуляция (МСА)'!$AE$25:$BW$82,,MATCH(AY$8,'Калькуляция (МСА)'!$AE$8:$BW$8,0)),'Калькуляция (МСА)'!$F$25:$F$82,$F38,'Калькуляция (МСА)'!$G$25:$G$82,$G38),_xlfn.SUMIFS(INDEX('Калькуляция (5.9)'!$AJ$25:$BW$139,,MATCH(AY$8,'Калькуляция (5.9)'!$AJ$8:$BW$8,0)),'Калькуляция (5.9)'!$F$25:$F$139,$F38,'Калькуляция (5.9)'!$G$25:$G$139,$G38))</f>
        <v>0</v>
      </c>
      <c r="AZ38" s="166">
        <f>IF(method_reg="Метод сравнения аналогов",_xlfn.SUMIFS(INDEX('Калькуляция (МСА)'!$AE$25:$BW$82,,MATCH(AZ$8,'Калькуляция (МСА)'!$AE$8:$BW$8,0)),'Калькуляция (МСА)'!$F$25:$F$82,$F38,'Калькуляция (МСА)'!$G$25:$G$82,$G38),_xlfn.SUMIFS(INDEX('Калькуляция (5.9)'!$AJ$25:$BW$139,,MATCH(AZ$8,'Калькуляция (5.9)'!$AJ$8:$BW$8,0)),'Калькуляция (5.9)'!$F$25:$F$139,$F38,'Калькуляция (5.9)'!$G$25:$G$139,$G38))</f>
        <v>0</v>
      </c>
      <c r="BA38" s="917">
        <f>IF(AY38=0,0,(AZ38-AY38)/AY38*100)</f>
        <v>0</v>
      </c>
      <c r="BB38" s="166">
        <f>IF(method_reg="Метод сравнения аналогов",_xlfn.SUMIFS(INDEX('Калькуляция (МСА)'!$AE$25:$BW$82,,MATCH(BB$8,'Калькуляция (МСА)'!$AE$8:$BW$8,0)),'Калькуляция (МСА)'!$F$25:$F$82,$F38,'Калькуляция (МСА)'!$G$25:$G$82,$G38),_xlfn.SUMIFS(INDEX('Калькуляция (5.9)'!$AJ$25:$BW$139,,MATCH(BB$8,'Калькуляция (5.9)'!$AJ$8:$BW$8,0)),'Калькуляция (5.9)'!$F$25:$F$139,$F38,'Калькуляция (5.9)'!$G$25:$G$139,$G38))</f>
        <v>0</v>
      </c>
      <c r="BC38" s="166">
        <f>IF(method_reg="Метод сравнения аналогов",_xlfn.SUMIFS(INDEX('Калькуляция (МСА)'!$AE$25:$BW$82,,MATCH(BC$8,'Калькуляция (МСА)'!$AE$8:$BW$8,0)),'Калькуляция (МСА)'!$F$25:$F$82,$F38,'Калькуляция (МСА)'!$G$25:$G$82,$G38),_xlfn.SUMIFS(INDEX('Калькуляция (5.9)'!$AJ$25:$BW$139,,MATCH(BC$8,'Калькуляция (5.9)'!$AJ$8:$BW$8,0)),'Калькуляция (5.9)'!$F$25:$F$139,$F38,'Калькуляция (5.9)'!$G$25:$G$139,$G38))</f>
        <v>0</v>
      </c>
      <c r="BD38" s="917">
        <f>IF(BB38=0,0,(BC38-BB38)/BB38*100)</f>
        <v>0</v>
      </c>
      <c r="BE38" s="166">
        <f>IF(method_reg="Метод сравнения аналогов",_xlfn.SUMIFS(INDEX('Калькуляция (МСА)'!$AE$25:$BW$82,,MATCH(BE$8,'Калькуляция (МСА)'!$AE$8:$BW$8,0)),'Калькуляция (МСА)'!$F$25:$F$82,$F38,'Калькуляция (МСА)'!$G$25:$G$82,$G38),_xlfn.SUMIFS(INDEX('Калькуляция (5.9)'!$AJ$25:$BW$139,,MATCH(BE$8,'Калькуляция (5.9)'!$AJ$8:$BW$8,0)),'Калькуляция (5.9)'!$F$25:$F$139,$F38,'Калькуляция (5.9)'!$G$25:$G$139,$G38))</f>
        <v>0</v>
      </c>
      <c r="BF38" s="166">
        <f>IF(method_reg="Метод сравнения аналогов",_xlfn.SUMIFS(INDEX('Калькуляция (МСА)'!$AE$25:$BW$82,,MATCH(BF$8,'Калькуляция (МСА)'!$AE$8:$BW$8,0)),'Калькуляция (МСА)'!$F$25:$F$82,$F38,'Калькуляция (МСА)'!$G$25:$G$82,$G38),_xlfn.SUMIFS(INDEX('Калькуляция (5.9)'!$AJ$25:$BW$139,,MATCH(BF$8,'Калькуляция (5.9)'!$AJ$8:$BW$8,0)),'Калькуляция (5.9)'!$F$25:$F$139,$F38,'Калькуляция (5.9)'!$G$25:$G$139,$G38))</f>
        <v>0</v>
      </c>
      <c r="BG38" s="917">
        <f>IF(BE38=0,0,(BF38-BE38)/BE38*100)</f>
        <v>0</v>
      </c>
      <c r="BH38" s="166"/>
      <c r="BI38" s="166"/>
      <c r="BJ38" s="917">
        <f>IF(BH38=0,0,(BI38-BH38)/BH38*100)</f>
        <v>0</v>
      </c>
      <c r="BK38" s="166"/>
      <c r="BL38" s="166"/>
      <c r="BM38" s="917">
        <f>IF(BK38=0,0,(BL38-BK38)/BK38*100)</f>
        <v>0</v>
      </c>
      <c r="BN38" s="166"/>
      <c r="BO38" s="166"/>
      <c r="BP38" s="917">
        <f>IF(BN38=0,0,(BO38-BN38)/BN38*100)</f>
        <v>0</v>
      </c>
      <c r="BQ38" s="166"/>
      <c r="BR38" s="166"/>
      <c r="BS38" s="917">
        <f>IF(BQ38=0,0,(BR38-BQ38)/BQ38*100)</f>
        <v>0</v>
      </c>
      <c r="BT38" s="166"/>
      <c r="BU38" s="166"/>
      <c r="BV38" s="917">
        <f>IF(BT38=0,0,(BU38-BT38)/BT38*100)</f>
        <v>0</v>
      </c>
      <c r="BW38" s="166"/>
      <c r="BX38" s="166"/>
      <c r="BY38" s="917">
        <f>IF(BW38=0,0,(BX38-BW38)/BW38*100)</f>
        <v>0</v>
      </c>
      <c r="BZ38" s="166"/>
      <c r="CA38" s="166"/>
      <c r="CB38" s="917">
        <f>IF(BZ38=0,0,(CA38-BZ38)/BZ38*100)</f>
        <v>0</v>
      </c>
      <c r="CC38" s="166"/>
      <c r="CD38" s="166"/>
      <c r="CE38" s="917">
        <f>IF(CC38=0,0,(CD38-CC38)/CC38*100)</f>
        <v>0</v>
      </c>
      <c r="CF38" s="166"/>
      <c r="CG38" s="166"/>
      <c r="CH38" s="917">
        <f>IF(CF38=0,0,(CG38-CF38)/CF38*100)</f>
        <v>0</v>
      </c>
      <c r="CI38" s="166"/>
      <c r="CJ38" s="166"/>
      <c r="CK38" s="917">
        <f>IF(CI38=0,0,(CJ38-CI38)/CI38*100)</f>
        <v>0</v>
      </c>
      <c r="CL38" s="166"/>
      <c r="CM38" s="166"/>
      <c r="CN38" s="917">
        <f>IF(CL38=0,0,(CM38-CL38)/CL38*100)</f>
        <v>0</v>
      </c>
      <c r="CO38" s="166"/>
      <c r="CP38" s="166"/>
      <c r="CQ38" s="917">
        <f>IF(CO38=0,0,(CP38-CO38)/CO38*100)</f>
        <v>0</v>
      </c>
      <c r="CR38" s="166"/>
      <c r="CS38" s="166"/>
      <c r="CT38" s="917">
        <f>IF(CR38=0,0,(CS38-CR38)/CR38*100)</f>
        <v>0</v>
      </c>
      <c r="CU38" s="166"/>
      <c r="CV38" s="166"/>
      <c r="CW38" s="917">
        <f>IF(CU38=0,0,(CV38-CU38)/CU38*100)</f>
        <v>0</v>
      </c>
      <c r="CX38" s="166"/>
      <c r="CY38" s="166"/>
      <c r="CZ38" s="917">
        <f>IF(CX38=0,0,(CY38-CX38)/CX38*100)</f>
        <v>0</v>
      </c>
      <c r="DA38" s="166"/>
      <c r="DB38" s="166"/>
      <c r="DC38" s="917">
        <f>IF(DA38=0,0,(DB38-DA38)/DA38*100)</f>
        <v>0</v>
      </c>
      <c r="DD38" s="166"/>
      <c r="DE38" s="166"/>
      <c r="DF38" s="917">
        <f>IF(DD38=0,0,(DE38-DD38)/DD38*100)</f>
        <v>0</v>
      </c>
      <c r="DG38" s="166"/>
      <c r="DH38" s="166"/>
      <c r="DI38" s="917">
        <f>IF(DG38=0,0,(DH38-DG38)/DG38*100)</f>
        <v>0</v>
      </c>
      <c r="DJ38" s="166"/>
      <c r="DK38" s="166"/>
      <c r="DL38" s="917">
        <f>IF(DJ38=0,0,(DK38-DJ38)/DJ38*100)</f>
        <v>0</v>
      </c>
      <c r="DM38" s="166"/>
      <c r="DN38" s="166"/>
      <c r="DO38" s="917">
        <f>IF(DM38=0,0,(DN38-DM38)/DM38*100)</f>
        <v>0</v>
      </c>
      <c r="DP38" s="166"/>
      <c r="DQ38" s="166"/>
      <c r="DR38" s="917">
        <f>IF(DP38=0,0,(DQ38-DP38)/DP38*100)</f>
        <v>0</v>
      </c>
      <c r="DS38" s="166"/>
      <c r="DT38" s="166"/>
      <c r="DU38" s="917">
        <f>IF(DS38=0,0,(DT38-DS38)/DS38*100)</f>
        <v>0</v>
      </c>
      <c r="DV38" s="166"/>
      <c r="DW38" s="166"/>
      <c r="DX38" s="917">
        <f>IF(DV38=0,0,(DW38-DV38)/DV38*100)</f>
        <v>0</v>
      </c>
      <c r="DY38" s="166"/>
      <c r="DZ38" s="166"/>
      <c r="EA38" s="917">
        <f>IF(DY38=0,0,(DZ38-DY38)/DY38*100)</f>
        <v>0</v>
      </c>
      <c r="EB38" s="166"/>
      <c r="EC38" s="166"/>
      <c r="ED38" s="917">
        <f>IF(EB38=0,0,(EC38-EB38)/EB38*100)</f>
        <v>0</v>
      </c>
      <c r="EE38" s="166"/>
      <c r="EF38" s="166"/>
      <c r="EG38" s="917">
        <f>IF(EE38=0,0,(EF38-EE38)/EE38*100)</f>
        <v>0</v>
      </c>
      <c r="EH38" s="166"/>
      <c r="EI38" s="166"/>
      <c r="EJ38" s="917">
        <f>IF(EH38=0,0,(EI38-EH38)/EH38*100)</f>
        <v>0</v>
      </c>
      <c r="EK38" s="166"/>
      <c r="EL38" s="166"/>
      <c r="EM38" s="917">
        <f>IF(EK38=0,0,(EL38-EK38)/EK38*100)</f>
        <v>0</v>
      </c>
      <c r="EN38" s="166"/>
      <c r="EO38" s="166"/>
      <c r="EP38" s="917">
        <f>IF(EN38=0,0,(EO38-EN38)/EN38*100)</f>
        <v>0</v>
      </c>
      <c r="EQ38" s="166"/>
      <c r="ER38" s="166"/>
      <c r="ES38" s="917">
        <f>IF(EQ38=0,0,(ER38-EQ38)/EQ38*100)</f>
        <v>0</v>
      </c>
      <c r="ET38" s="166"/>
      <c r="EU38" s="166"/>
      <c r="EV38" s="917">
        <f>IF(ET38=0,0,(EU38-ET38)/ET38*100)</f>
        <v>0</v>
      </c>
      <c r="EW38" s="166"/>
      <c r="EX38" s="166"/>
      <c r="EY38" s="917">
        <f>IF(EW38=0,0,(EX38-EW38)/EW38*100)</f>
        <v>0</v>
      </c>
      <c r="EZ38" s="166"/>
      <c r="FA38" s="166"/>
      <c r="FB38" s="917">
        <f>IF(EZ38=0,0,(FA38-EZ38)/EZ38*100)</f>
        <v>0</v>
      </c>
      <c r="FC38" s="166"/>
      <c r="FD38" s="166"/>
      <c r="FE38" s="917">
        <f>IF(FC38=0,0,(FD38-FC38)/FC38*100)</f>
        <v>0</v>
      </c>
      <c r="FF38" s="166"/>
      <c r="FG38" s="166"/>
      <c r="FH38" s="917">
        <f>IF(FF38=0,0,(FG38-FF38)/FF38*100)</f>
        <v>0</v>
      </c>
      <c r="FI38" s="166"/>
      <c r="FJ38" s="166"/>
      <c r="FK38" s="917">
        <f>IF(FI38=0,0,(FJ38-FI38)/FI38*100)</f>
        <v>0</v>
      </c>
      <c r="FL38" s="166"/>
      <c r="FM38" s="166"/>
      <c r="FN38" s="917">
        <f>IF(FL38=0,0,(FM38-FL38)/FL38*100)</f>
        <v>0</v>
      </c>
      <c r="FO38" s="166"/>
      <c r="FP38" s="166"/>
      <c r="FQ38" s="917">
        <f>IF(FO38=0,0,(FP38-FO38)/FO38*100)</f>
        <v>0</v>
      </c>
      <c r="FR38" s="166"/>
      <c r="FS38" s="166"/>
      <c r="FT38" s="917">
        <f>IF(FR38=0,0,(FS38-FR38)/FR38*100)</f>
        <v>0</v>
      </c>
      <c r="FU38" s="166"/>
      <c r="FV38" s="166"/>
      <c r="FW38" s="917">
        <f>IF(FU38=0,0,(FV38-FU38)/FU38*100)</f>
        <v>0</v>
      </c>
      <c r="FZ38" s="489" t="s">
        <v>2465</v>
      </c>
      <c r="GA38" s="489"/>
      <c r="GB38" s="489"/>
      <c r="GC38" s="489"/>
      <c r="GD38" s="489"/>
      <c r="GF38" s="1501" cm="1" t="str">
        <f t="array" ref="GF38:GF38">GF37</f>
        <v>0</v>
      </c>
      <c r="GG38" s="1501" t="s">
        <v>707</v>
      </c>
      <c r="GH38" s="1501"/>
      <c r="GI38" s="1501" t="s">
        <v>797</v>
      </c>
      <c r="GJ38" s="1501"/>
      <c r="GK38" s="1501"/>
      <c r="GL38" s="1501" t="s">
        <v>303</v>
      </c>
      <c r="GM38" s="1501" t="s">
        <v>2079</v>
      </c>
      <c r="GN38" s="1501" t="s">
        <v>2080</v>
      </c>
    </row>
    <row s="972" customFormat="1" customHeight="1" ht="16.575" hidden="1">
      <c r="B39" s="192" cm="1" t="str">
        <f t="array" ref="B39:B39">B38</f>
        <v>false</v>
      </c>
      <c r="E39" s="180">
        <v>17</v>
      </c>
      <c r="F39" s="175" cm="1" t="str">
        <f t="array" ref="F39:F39">OFFSET(G39,-1,-1)</f>
        <v>0</v>
      </c>
      <c r="I39" s="193" t="s">
        <v>2466</v>
      </c>
      <c r="T39" s="753" cm="1" t="str">
        <f t="array" ref="T39:T39">T38</f>
        <v>false</v>
      </c>
      <c r="AB39" s="909" t="s">
        <v>2467</v>
      </c>
      <c r="AC39" s="910" t="s">
        <v>1005</v>
      </c>
      <c r="AD39" s="165">
        <f>IF(plat_nds="да",AD33*(1+Сценарии!AE$26%),AD33)</f>
        <v>0</v>
      </c>
      <c r="AE39" s="165">
        <f>IF(plat_nds="да",AE33*(1+Сценарии!AY$26%),AE33)</f>
        <v>0</v>
      </c>
      <c r="AF39" s="912">
        <f>IF(AD39=0,0,(AE39-AD39)/AD39*100)</f>
        <v>0</v>
      </c>
      <c r="AG39" s="165">
        <f>IF(plat_nds="да",AG33*(1+Сценарии!AF$26%),AG33)</f>
        <v>0</v>
      </c>
      <c r="AH39" s="165">
        <f>IF(plat_nds="да",AH33*(1+Сценарии!AZ$26%),AH33)</f>
        <v>0</v>
      </c>
      <c r="AI39" s="912">
        <f>IF(AG39=0,0,(AH39-AG39)/AG39*100)</f>
        <v>0</v>
      </c>
      <c r="AJ39" s="165">
        <f>IF(plat_nds="да",AJ33*(1+Сценарии!AG$26%),AJ33)</f>
        <v>0</v>
      </c>
      <c r="AK39" s="165">
        <f>IF(plat_nds="да",AK33*(1+Сценарии!BA$26%),AK33)</f>
        <v>0</v>
      </c>
      <c r="AL39" s="912">
        <f>IF(AJ39=0,0,(AK39-AJ39)/AJ39*100)</f>
        <v>0</v>
      </c>
      <c r="AM39" s="165">
        <f>IF(plat_nds="да",AM33*(1+Сценарии!AH$26%),AM33)</f>
        <v>0</v>
      </c>
      <c r="AN39" s="165">
        <f>IF(plat_nds="да",AN33*(1+Сценарии!BB$26%),AN33)</f>
        <v>0</v>
      </c>
      <c r="AO39" s="912">
        <f>IF(AM39=0,0,(AN39-AM39)/AM39*100)</f>
        <v>0</v>
      </c>
      <c r="AP39" s="165">
        <f>IF(plat_nds="да",AP33*(1+Сценарии!AI$26%),AP33)</f>
        <v>0</v>
      </c>
      <c r="AQ39" s="165">
        <f>IF(plat_nds="да",AQ33*(1+Сценарии!BC$26%),AQ33)</f>
        <v>0</v>
      </c>
      <c r="AR39" s="912">
        <f>IF(AP39=0,0,(AQ39-AP39)/AP39*100)</f>
        <v>0</v>
      </c>
      <c r="AS39" s="165">
        <f>IF(plat_nds="да",AS33*(1+Сценарии!AJ$26%),AS33)</f>
        <v>0</v>
      </c>
      <c r="AT39" s="165">
        <f>IF(plat_nds="да",AT33*(1+Сценарии!BD$26%),AT33)</f>
        <v>0</v>
      </c>
      <c r="AU39" s="912">
        <f>IF(AS39=0,0,(AT39-AS39)/AS39*100)</f>
        <v>0</v>
      </c>
      <c r="AV39" s="165">
        <f>IF(plat_nds="да",AV33*(1+Сценарии!AK$26%),AV33)</f>
        <v>0</v>
      </c>
      <c r="AW39" s="165">
        <f>IF(plat_nds="да",AW33*(1+Сценарии!BE$26%),AW33)</f>
        <v>0</v>
      </c>
      <c r="AX39" s="912">
        <f>IF(AV39=0,0,(AW39-AV39)/AV39*100)</f>
        <v>0</v>
      </c>
      <c r="AY39" s="165">
        <f>IF(plat_nds="да",AY33*(1+Сценарии!AL$26%),AY33)</f>
        <v>0</v>
      </c>
      <c r="AZ39" s="165">
        <f>IF(plat_nds="да",AZ33*(1+Сценарии!BF$26%),AZ33)</f>
        <v>0</v>
      </c>
      <c r="BA39" s="912">
        <f>IF(AY39=0,0,(AZ39-AY39)/AY39*100)</f>
        <v>0</v>
      </c>
      <c r="BB39" s="165">
        <f>IF(plat_nds="да",BB33*(1+Сценарии!AM$26%),BB33)</f>
        <v>0</v>
      </c>
      <c r="BC39" s="165">
        <f>IF(plat_nds="да",BC33*(1+Сценарии!BG$26%),BC33)</f>
        <v>0</v>
      </c>
      <c r="BD39" s="912">
        <f>IF(BB39=0,0,(BC39-BB39)/BB39*100)</f>
        <v>0</v>
      </c>
      <c r="BE39" s="165">
        <f>IF(plat_nds="да",BE33*(1+Сценарии!AX$26%),BE33)</f>
        <v>0</v>
      </c>
      <c r="BF39" s="165">
        <f>IF(plat_nds="да",BF33*(1+Сценарии!BR$26%),BF33)</f>
        <v>0</v>
      </c>
      <c r="BG39" s="912">
        <f>IF(BE39=0,0,(BF39-BE39)/BE39*100)</f>
        <v>0</v>
      </c>
      <c r="BH39" s="165"/>
      <c r="BI39" s="165"/>
      <c r="BJ39" s="912">
        <f>IF(BH39=0,0,(BI39-BH39)/BH39*100)</f>
        <v>0</v>
      </c>
      <c r="BK39" s="165"/>
      <c r="BL39" s="165"/>
      <c r="BM39" s="912">
        <f>IF(BK39=0,0,(BL39-BK39)/BK39*100)</f>
        <v>0</v>
      </c>
      <c r="BN39" s="165"/>
      <c r="BO39" s="165"/>
      <c r="BP39" s="912">
        <f>IF(BN39=0,0,(BO39-BN39)/BN39*100)</f>
        <v>0</v>
      </c>
      <c r="BQ39" s="165"/>
      <c r="BR39" s="165"/>
      <c r="BS39" s="912">
        <f>IF(BQ39=0,0,(BR39-BQ39)/BQ39*100)</f>
        <v>0</v>
      </c>
      <c r="BT39" s="165"/>
      <c r="BU39" s="165"/>
      <c r="BV39" s="912">
        <f>IF(BT39=0,0,(BU39-BT39)/BT39*100)</f>
        <v>0</v>
      </c>
      <c r="BW39" s="165"/>
      <c r="BX39" s="165"/>
      <c r="BY39" s="912">
        <f>IF(BW39=0,0,(BX39-BW39)/BW39*100)</f>
        <v>0</v>
      </c>
      <c r="BZ39" s="165"/>
      <c r="CA39" s="165"/>
      <c r="CB39" s="912">
        <f>IF(BZ39=0,0,(CA39-BZ39)/BZ39*100)</f>
        <v>0</v>
      </c>
      <c r="CC39" s="165"/>
      <c r="CD39" s="165"/>
      <c r="CE39" s="912">
        <f>IF(CC39=0,0,(CD39-CC39)/CC39*100)</f>
        <v>0</v>
      </c>
      <c r="CF39" s="165"/>
      <c r="CG39" s="165"/>
      <c r="CH39" s="912">
        <f>IF(CF39=0,0,(CG39-CF39)/CF39*100)</f>
        <v>0</v>
      </c>
      <c r="CI39" s="165"/>
      <c r="CJ39" s="165"/>
      <c r="CK39" s="912">
        <f>IF(CI39=0,0,(CJ39-CI39)/CI39*100)</f>
        <v>0</v>
      </c>
      <c r="CL39" s="165"/>
      <c r="CM39" s="165"/>
      <c r="CN39" s="912">
        <f>IF(CL39=0,0,(CM39-CL39)/CL39*100)</f>
        <v>0</v>
      </c>
      <c r="CO39" s="165"/>
      <c r="CP39" s="165"/>
      <c r="CQ39" s="912">
        <f>IF(CO39=0,0,(CP39-CO39)/CO39*100)</f>
        <v>0</v>
      </c>
      <c r="CR39" s="165"/>
      <c r="CS39" s="165"/>
      <c r="CT39" s="912">
        <f>IF(CR39=0,0,(CS39-CR39)/CR39*100)</f>
        <v>0</v>
      </c>
      <c r="CU39" s="165"/>
      <c r="CV39" s="165"/>
      <c r="CW39" s="912">
        <f>IF(CU39=0,0,(CV39-CU39)/CU39*100)</f>
        <v>0</v>
      </c>
      <c r="CX39" s="165"/>
      <c r="CY39" s="165"/>
      <c r="CZ39" s="912">
        <f>IF(CX39=0,0,(CY39-CX39)/CX39*100)</f>
        <v>0</v>
      </c>
      <c r="DA39" s="165"/>
      <c r="DB39" s="165"/>
      <c r="DC39" s="912">
        <f>IF(DA39=0,0,(DB39-DA39)/DA39*100)</f>
        <v>0</v>
      </c>
      <c r="DD39" s="165"/>
      <c r="DE39" s="165"/>
      <c r="DF39" s="912">
        <f>IF(DD39=0,0,(DE39-DD39)/DD39*100)</f>
        <v>0</v>
      </c>
      <c r="DG39" s="165"/>
      <c r="DH39" s="165"/>
      <c r="DI39" s="912">
        <f>IF(DG39=0,0,(DH39-DG39)/DG39*100)</f>
        <v>0</v>
      </c>
      <c r="DJ39" s="165"/>
      <c r="DK39" s="165"/>
      <c r="DL39" s="912">
        <f>IF(DJ39=0,0,(DK39-DJ39)/DJ39*100)</f>
        <v>0</v>
      </c>
      <c r="DM39" s="165"/>
      <c r="DN39" s="165"/>
      <c r="DO39" s="912">
        <f>IF(DM39=0,0,(DN39-DM39)/DM39*100)</f>
        <v>0</v>
      </c>
      <c r="DP39" s="165"/>
      <c r="DQ39" s="165"/>
      <c r="DR39" s="912">
        <f>IF(DP39=0,0,(DQ39-DP39)/DP39*100)</f>
        <v>0</v>
      </c>
      <c r="DS39" s="165"/>
      <c r="DT39" s="165"/>
      <c r="DU39" s="912">
        <f>IF(DS39=0,0,(DT39-DS39)/DS39*100)</f>
        <v>0</v>
      </c>
      <c r="DV39" s="165"/>
      <c r="DW39" s="165"/>
      <c r="DX39" s="912">
        <f>IF(DV39=0,0,(DW39-DV39)/DV39*100)</f>
        <v>0</v>
      </c>
      <c r="DY39" s="165"/>
      <c r="DZ39" s="165"/>
      <c r="EA39" s="912">
        <f>IF(DY39=0,0,(DZ39-DY39)/DY39*100)</f>
        <v>0</v>
      </c>
      <c r="EB39" s="165"/>
      <c r="EC39" s="165"/>
      <c r="ED39" s="912">
        <f>IF(EB39=0,0,(EC39-EB39)/EB39*100)</f>
        <v>0</v>
      </c>
      <c r="EE39" s="165"/>
      <c r="EF39" s="165"/>
      <c r="EG39" s="912">
        <f>IF(EE39=0,0,(EF39-EE39)/EE39*100)</f>
        <v>0</v>
      </c>
      <c r="EH39" s="165"/>
      <c r="EI39" s="165"/>
      <c r="EJ39" s="912">
        <f>IF(EH39=0,0,(EI39-EH39)/EH39*100)</f>
        <v>0</v>
      </c>
      <c r="EK39" s="165"/>
      <c r="EL39" s="165"/>
      <c r="EM39" s="912">
        <f>IF(EK39=0,0,(EL39-EK39)/EK39*100)</f>
        <v>0</v>
      </c>
      <c r="EN39" s="165"/>
      <c r="EO39" s="165"/>
      <c r="EP39" s="912">
        <f>IF(EN39=0,0,(EO39-EN39)/EN39*100)</f>
        <v>0</v>
      </c>
      <c r="EQ39" s="165"/>
      <c r="ER39" s="165"/>
      <c r="ES39" s="912">
        <f>IF(EQ39=0,0,(ER39-EQ39)/EQ39*100)</f>
        <v>0</v>
      </c>
      <c r="ET39" s="165"/>
      <c r="EU39" s="165"/>
      <c r="EV39" s="912">
        <f>IF(ET39=0,0,(EU39-ET39)/ET39*100)</f>
        <v>0</v>
      </c>
      <c r="EW39" s="165"/>
      <c r="EX39" s="165"/>
      <c r="EY39" s="912">
        <f>IF(EW39=0,0,(EX39-EW39)/EW39*100)</f>
        <v>0</v>
      </c>
      <c r="EZ39" s="165"/>
      <c r="FA39" s="165"/>
      <c r="FB39" s="912">
        <f>IF(EZ39=0,0,(FA39-EZ39)/EZ39*100)</f>
        <v>0</v>
      </c>
      <c r="FC39" s="165"/>
      <c r="FD39" s="165"/>
      <c r="FE39" s="912">
        <f>IF(FC39=0,0,(FD39-FC39)/FC39*100)</f>
        <v>0</v>
      </c>
      <c r="FF39" s="165"/>
      <c r="FG39" s="165"/>
      <c r="FH39" s="912">
        <f>IF(FF39=0,0,(FG39-FF39)/FF39*100)</f>
        <v>0</v>
      </c>
      <c r="FI39" s="165"/>
      <c r="FJ39" s="165"/>
      <c r="FK39" s="912">
        <f>IF(FI39=0,0,(FJ39-FI39)/FI39*100)</f>
        <v>0</v>
      </c>
      <c r="FL39" s="165"/>
      <c r="FM39" s="165"/>
      <c r="FN39" s="912">
        <f>IF(FL39=0,0,(FM39-FL39)/FL39*100)</f>
        <v>0</v>
      </c>
      <c r="FO39" s="165"/>
      <c r="FP39" s="165"/>
      <c r="FQ39" s="912">
        <f>IF(FO39=0,0,(FP39-FO39)/FO39*100)</f>
        <v>0</v>
      </c>
      <c r="FR39" s="165"/>
      <c r="FS39" s="165"/>
      <c r="FT39" s="912">
        <f>IF(FR39=0,0,(FS39-FR39)/FR39*100)</f>
        <v>0</v>
      </c>
      <c r="FU39" s="165"/>
      <c r="FV39" s="165"/>
      <c r="FW39" s="912">
        <f>IF(FU39=0,0,(FV39-FU39)/FU39*100)</f>
        <v>0</v>
      </c>
      <c r="FZ39" s="489" t="s">
        <v>2468</v>
      </c>
      <c r="GA39" s="489"/>
      <c r="GB39" s="489"/>
      <c r="GC39" s="489"/>
      <c r="GD39" s="489"/>
      <c r="GF39" s="1501" cm="1" t="str">
        <f t="array" ref="GF39:GF39">GF38</f>
        <v>0</v>
      </c>
      <c r="GG39" s="1501" t="s">
        <v>704</v>
      </c>
      <c r="GH39" s="1501" t="s">
        <v>2469</v>
      </c>
      <c r="GI39" s="1501" t="s">
        <v>796</v>
      </c>
      <c r="GJ39" s="1501" t="s">
        <v>2084</v>
      </c>
      <c r="GK39" s="1501"/>
      <c r="GL39" s="1501" t="s">
        <v>303</v>
      </c>
      <c r="GM39" s="1501" t="s">
        <v>2470</v>
      </c>
      <c r="GN39" s="1501" t="s">
        <v>2471</v>
      </c>
    </row>
    <row s="972" customFormat="1" customHeight="1" ht="16.575" hidden="1">
      <c r="B40" s="192" cm="1" t="str">
        <f t="array" ref="B40:B40">B39</f>
        <v>false</v>
      </c>
      <c r="E40" s="180">
        <v>17</v>
      </c>
      <c r="F40" s="175" cm="1" t="str">
        <f t="array" ref="F40:F40">OFFSET(G40,-1,-1)</f>
        <v>0</v>
      </c>
      <c r="I40" s="193" t="s">
        <v>2472</v>
      </c>
      <c r="T40" s="753" cm="1" t="str">
        <f t="array" ref="T40:T40">T39</f>
        <v>false</v>
      </c>
      <c r="AB40" s="909" t="s">
        <v>2473</v>
      </c>
      <c r="AC40" s="910" t="s">
        <v>1005</v>
      </c>
      <c r="AD40" s="165">
        <f>IF(plat_nds="да",AD34*(1+Сценарии!AE$26%),AD34)</f>
        <v>0</v>
      </c>
      <c r="AE40" s="165">
        <f>IF(plat_nds="да",AE34*(1+Сценарии!AY$26%),AE34)</f>
        <v>0</v>
      </c>
      <c r="AF40" s="912">
        <f>IF(AD40=0,0,(AE40-AD40)/AD40*100)</f>
        <v>0</v>
      </c>
      <c r="AG40" s="165">
        <f>IF(plat_nds="да",AG34*(1+Сценарии!AF$26%),AG34)</f>
        <v>0</v>
      </c>
      <c r="AH40" s="165">
        <f>IF(plat_nds="да",AH34*(1+Сценарии!AZ$26%),AH34)</f>
        <v>0</v>
      </c>
      <c r="AI40" s="912">
        <f>IF(AG40=0,0,(AH40-AG40)/AG40*100)</f>
        <v>0</v>
      </c>
      <c r="AJ40" s="165">
        <f>IF(plat_nds="да",AJ34*(1+Сценарии!AG$26%),AJ34)</f>
        <v>0</v>
      </c>
      <c r="AK40" s="165">
        <f>IF(plat_nds="да",AK34*(1+Сценарии!BA$26%),AK34)</f>
        <v>0</v>
      </c>
      <c r="AL40" s="912">
        <f>IF(AJ40=0,0,(AK40-AJ40)/AJ40*100)</f>
        <v>0</v>
      </c>
      <c r="AM40" s="165">
        <f>IF(plat_nds="да",AM34*(1+Сценарии!AH$26%),AM34)</f>
        <v>0</v>
      </c>
      <c r="AN40" s="165">
        <f>IF(plat_nds="да",AN34*(1+Сценарии!BB$26%),AN34)</f>
        <v>0</v>
      </c>
      <c r="AO40" s="912">
        <f>IF(AM40=0,0,(AN40-AM40)/AM40*100)</f>
        <v>0</v>
      </c>
      <c r="AP40" s="165">
        <f>IF(plat_nds="да",AP34*(1+Сценарии!AI$26%),AP34)</f>
        <v>0</v>
      </c>
      <c r="AQ40" s="165">
        <f>IF(plat_nds="да",AQ34*(1+Сценарии!BC$26%),AQ34)</f>
        <v>0</v>
      </c>
      <c r="AR40" s="912">
        <f>IF(AP40=0,0,(AQ40-AP40)/AP40*100)</f>
        <v>0</v>
      </c>
      <c r="AS40" s="165">
        <f>IF(plat_nds="да",AS34*(1+Сценарии!AJ$26%),AS34)</f>
        <v>0</v>
      </c>
      <c r="AT40" s="165">
        <f>IF(plat_nds="да",AT34*(1+Сценарии!BD$26%),AT34)</f>
        <v>0</v>
      </c>
      <c r="AU40" s="912">
        <f>IF(AS40=0,0,(AT40-AS40)/AS40*100)</f>
        <v>0</v>
      </c>
      <c r="AV40" s="165">
        <f>IF(plat_nds="да",AV34*(1+Сценарии!AK$26%),AV34)</f>
        <v>0</v>
      </c>
      <c r="AW40" s="165">
        <f>IF(plat_nds="да",AW34*(1+Сценарии!BE$26%),AW34)</f>
        <v>0</v>
      </c>
      <c r="AX40" s="912">
        <f>IF(AV40=0,0,(AW40-AV40)/AV40*100)</f>
        <v>0</v>
      </c>
      <c r="AY40" s="165">
        <f>IF(plat_nds="да",AY34*(1+Сценарии!AL$26%),AY34)</f>
        <v>0</v>
      </c>
      <c r="AZ40" s="165">
        <f>IF(plat_nds="да",AZ34*(1+Сценарии!BF$26%),AZ34)</f>
        <v>0</v>
      </c>
      <c r="BA40" s="912">
        <f>IF(AY40=0,0,(AZ40-AY40)/AY40*100)</f>
        <v>0</v>
      </c>
      <c r="BB40" s="165">
        <f>IF(plat_nds="да",BB34*(1+Сценарии!AM$26%),BB34)</f>
        <v>0</v>
      </c>
      <c r="BC40" s="165">
        <f>IF(plat_nds="да",BC34*(1+Сценарии!BG$26%),BC34)</f>
        <v>0</v>
      </c>
      <c r="BD40" s="912">
        <f>IF(BB40=0,0,(BC40-BB40)/BB40*100)</f>
        <v>0</v>
      </c>
      <c r="BE40" s="165">
        <f>IF(plat_nds="да",BE34*(1+Сценарии!AX$26%),BE34)</f>
        <v>0</v>
      </c>
      <c r="BF40" s="165">
        <f>IF(plat_nds="да",BF34*(1+Сценарии!BR$26%),BF34)</f>
        <v>0</v>
      </c>
      <c r="BG40" s="912">
        <f>IF(BE40=0,0,(BF40-BE40)/BE40*100)</f>
        <v>0</v>
      </c>
      <c r="BH40" s="165"/>
      <c r="BI40" s="165"/>
      <c r="BJ40" s="912">
        <f>IF(BH40=0,0,(BI40-BH40)/BH40*100)</f>
        <v>0</v>
      </c>
      <c r="BK40" s="165"/>
      <c r="BL40" s="165"/>
      <c r="BM40" s="912">
        <f>IF(BK40=0,0,(BL40-BK40)/BK40*100)</f>
        <v>0</v>
      </c>
      <c r="BN40" s="165"/>
      <c r="BO40" s="165"/>
      <c r="BP40" s="912">
        <f>IF(BN40=0,0,(BO40-BN40)/BN40*100)</f>
        <v>0</v>
      </c>
      <c r="BQ40" s="165"/>
      <c r="BR40" s="165"/>
      <c r="BS40" s="912">
        <f>IF(BQ40=0,0,(BR40-BQ40)/BQ40*100)</f>
        <v>0</v>
      </c>
      <c r="BT40" s="165"/>
      <c r="BU40" s="165"/>
      <c r="BV40" s="912">
        <f>IF(BT40=0,0,(BU40-BT40)/BT40*100)</f>
        <v>0</v>
      </c>
      <c r="BW40" s="165"/>
      <c r="BX40" s="165"/>
      <c r="BY40" s="912">
        <f>IF(BW40=0,0,(BX40-BW40)/BW40*100)</f>
        <v>0</v>
      </c>
      <c r="BZ40" s="165"/>
      <c r="CA40" s="165"/>
      <c r="CB40" s="912">
        <f>IF(BZ40=0,0,(CA40-BZ40)/BZ40*100)</f>
        <v>0</v>
      </c>
      <c r="CC40" s="165"/>
      <c r="CD40" s="165"/>
      <c r="CE40" s="912">
        <f>IF(CC40=0,0,(CD40-CC40)/CC40*100)</f>
        <v>0</v>
      </c>
      <c r="CF40" s="165"/>
      <c r="CG40" s="165"/>
      <c r="CH40" s="912">
        <f>IF(CF40=0,0,(CG40-CF40)/CF40*100)</f>
        <v>0</v>
      </c>
      <c r="CI40" s="165"/>
      <c r="CJ40" s="165"/>
      <c r="CK40" s="912">
        <f>IF(CI40=0,0,(CJ40-CI40)/CI40*100)</f>
        <v>0</v>
      </c>
      <c r="CL40" s="165"/>
      <c r="CM40" s="165"/>
      <c r="CN40" s="912">
        <f>IF(CL40=0,0,(CM40-CL40)/CL40*100)</f>
        <v>0</v>
      </c>
      <c r="CO40" s="165"/>
      <c r="CP40" s="165"/>
      <c r="CQ40" s="912">
        <f>IF(CO40=0,0,(CP40-CO40)/CO40*100)</f>
        <v>0</v>
      </c>
      <c r="CR40" s="165"/>
      <c r="CS40" s="165"/>
      <c r="CT40" s="912">
        <f>IF(CR40=0,0,(CS40-CR40)/CR40*100)</f>
        <v>0</v>
      </c>
      <c r="CU40" s="165"/>
      <c r="CV40" s="165"/>
      <c r="CW40" s="912">
        <f>IF(CU40=0,0,(CV40-CU40)/CU40*100)</f>
        <v>0</v>
      </c>
      <c r="CX40" s="165"/>
      <c r="CY40" s="165"/>
      <c r="CZ40" s="912">
        <f>IF(CX40=0,0,(CY40-CX40)/CX40*100)</f>
        <v>0</v>
      </c>
      <c r="DA40" s="165"/>
      <c r="DB40" s="165"/>
      <c r="DC40" s="912">
        <f>IF(DA40=0,0,(DB40-DA40)/DA40*100)</f>
        <v>0</v>
      </c>
      <c r="DD40" s="165"/>
      <c r="DE40" s="165"/>
      <c r="DF40" s="912">
        <f>IF(DD40=0,0,(DE40-DD40)/DD40*100)</f>
        <v>0</v>
      </c>
      <c r="DG40" s="165"/>
      <c r="DH40" s="165"/>
      <c r="DI40" s="912">
        <f>IF(DG40=0,0,(DH40-DG40)/DG40*100)</f>
        <v>0</v>
      </c>
      <c r="DJ40" s="165"/>
      <c r="DK40" s="165"/>
      <c r="DL40" s="912">
        <f>IF(DJ40=0,0,(DK40-DJ40)/DJ40*100)</f>
        <v>0</v>
      </c>
      <c r="DM40" s="165"/>
      <c r="DN40" s="165"/>
      <c r="DO40" s="912">
        <f>IF(DM40=0,0,(DN40-DM40)/DM40*100)</f>
        <v>0</v>
      </c>
      <c r="DP40" s="165"/>
      <c r="DQ40" s="165"/>
      <c r="DR40" s="912">
        <f>IF(DP40=0,0,(DQ40-DP40)/DP40*100)</f>
        <v>0</v>
      </c>
      <c r="DS40" s="165"/>
      <c r="DT40" s="165"/>
      <c r="DU40" s="912">
        <f>IF(DS40=0,0,(DT40-DS40)/DS40*100)</f>
        <v>0</v>
      </c>
      <c r="DV40" s="165"/>
      <c r="DW40" s="165"/>
      <c r="DX40" s="912">
        <f>IF(DV40=0,0,(DW40-DV40)/DV40*100)</f>
        <v>0</v>
      </c>
      <c r="DY40" s="165"/>
      <c r="DZ40" s="165"/>
      <c r="EA40" s="912">
        <f>IF(DY40=0,0,(DZ40-DY40)/DY40*100)</f>
        <v>0</v>
      </c>
      <c r="EB40" s="165"/>
      <c r="EC40" s="165"/>
      <c r="ED40" s="912">
        <f>IF(EB40=0,0,(EC40-EB40)/EB40*100)</f>
        <v>0</v>
      </c>
      <c r="EE40" s="165"/>
      <c r="EF40" s="165"/>
      <c r="EG40" s="912">
        <f>IF(EE40=0,0,(EF40-EE40)/EE40*100)</f>
        <v>0</v>
      </c>
      <c r="EH40" s="165"/>
      <c r="EI40" s="165"/>
      <c r="EJ40" s="912">
        <f>IF(EH40=0,0,(EI40-EH40)/EH40*100)</f>
        <v>0</v>
      </c>
      <c r="EK40" s="165"/>
      <c r="EL40" s="165"/>
      <c r="EM40" s="912">
        <f>IF(EK40=0,0,(EL40-EK40)/EK40*100)</f>
        <v>0</v>
      </c>
      <c r="EN40" s="165"/>
      <c r="EO40" s="165"/>
      <c r="EP40" s="912">
        <f>IF(EN40=0,0,(EO40-EN40)/EN40*100)</f>
        <v>0</v>
      </c>
      <c r="EQ40" s="165"/>
      <c r="ER40" s="165"/>
      <c r="ES40" s="912">
        <f>IF(EQ40=0,0,(ER40-EQ40)/EQ40*100)</f>
        <v>0</v>
      </c>
      <c r="ET40" s="165"/>
      <c r="EU40" s="165"/>
      <c r="EV40" s="912">
        <f>IF(ET40=0,0,(EU40-ET40)/ET40*100)</f>
        <v>0</v>
      </c>
      <c r="EW40" s="165"/>
      <c r="EX40" s="165"/>
      <c r="EY40" s="912">
        <f>IF(EW40=0,0,(EX40-EW40)/EW40*100)</f>
        <v>0</v>
      </c>
      <c r="EZ40" s="165"/>
      <c r="FA40" s="165"/>
      <c r="FB40" s="912">
        <f>IF(EZ40=0,0,(FA40-EZ40)/EZ40*100)</f>
        <v>0</v>
      </c>
      <c r="FC40" s="165"/>
      <c r="FD40" s="165"/>
      <c r="FE40" s="912">
        <f>IF(FC40=0,0,(FD40-FC40)/FC40*100)</f>
        <v>0</v>
      </c>
      <c r="FF40" s="165"/>
      <c r="FG40" s="165"/>
      <c r="FH40" s="912">
        <f>IF(FF40=0,0,(FG40-FF40)/FF40*100)</f>
        <v>0</v>
      </c>
      <c r="FI40" s="165"/>
      <c r="FJ40" s="165"/>
      <c r="FK40" s="912">
        <f>IF(FI40=0,0,(FJ40-FI40)/FI40*100)</f>
        <v>0</v>
      </c>
      <c r="FL40" s="165"/>
      <c r="FM40" s="165"/>
      <c r="FN40" s="912">
        <f>IF(FL40=0,0,(FM40-FL40)/FL40*100)</f>
        <v>0</v>
      </c>
      <c r="FO40" s="165"/>
      <c r="FP40" s="165"/>
      <c r="FQ40" s="912">
        <f>IF(FO40=0,0,(FP40-FO40)/FO40*100)</f>
        <v>0</v>
      </c>
      <c r="FR40" s="165"/>
      <c r="FS40" s="165"/>
      <c r="FT40" s="912">
        <f>IF(FR40=0,0,(FS40-FR40)/FR40*100)</f>
        <v>0</v>
      </c>
      <c r="FU40" s="165"/>
      <c r="FV40" s="165"/>
      <c r="FW40" s="912">
        <f>IF(FU40=0,0,(FV40-FU40)/FU40*100)</f>
        <v>0</v>
      </c>
      <c r="FZ40" s="489" t="s">
        <v>2474</v>
      </c>
      <c r="GA40" s="489"/>
      <c r="GB40" s="489"/>
      <c r="GC40" s="489"/>
      <c r="GD40" s="489"/>
      <c r="GF40" s="1501" cm="1" t="str">
        <f t="array" ref="GF40:GF40">GF39</f>
        <v>0</v>
      </c>
      <c r="GG40" s="1501" t="s">
        <v>704</v>
      </c>
      <c r="GH40" s="1501" t="s">
        <v>2469</v>
      </c>
      <c r="GI40" s="1501" t="s">
        <v>797</v>
      </c>
      <c r="GJ40" s="1501"/>
      <c r="GK40" s="1501"/>
      <c r="GL40" s="1501" t="s">
        <v>303</v>
      </c>
      <c r="GM40" s="1501" t="s">
        <v>2470</v>
      </c>
      <c r="GN40" s="1501" t="s">
        <v>2471</v>
      </c>
    </row>
    <row customHeight="1" ht="16.575" hidden="1">
      <c r="B41" s="192" cm="1" t="str">
        <f t="array" ref="B41:B41">B40</f>
        <v>false</v>
      </c>
      <c r="E41" s="180">
        <v>17</v>
      </c>
      <c r="F41" s="175" cm="1" t="str">
        <f t="array" ref="F41:F41">OFFSET(G41,-1,-1)</f>
        <v>0</v>
      </c>
      <c r="I41" s="193" t="s">
        <v>2475</v>
      </c>
      <c r="T41" s="753" cm="1" t="str">
        <f t="array" ref="T41:T41">T40</f>
        <v>false</v>
      </c>
      <c r="AB41" s="913" t="s">
        <v>2459</v>
      </c>
      <c r="AC41" s="380" t="s">
        <v>495</v>
      </c>
      <c r="AD41" s="461">
        <f>IF(AD39=0,0,AD40/AD39)</f>
        <v>0</v>
      </c>
      <c r="AE41" s="461">
        <f>IF(AE39=0,0,AE40/AE39)</f>
        <v>0</v>
      </c>
      <c r="AF41" s="917"/>
      <c r="AG41" s="461">
        <f>IF(AG39=0,0,AG40/AG39)</f>
        <v>0</v>
      </c>
      <c r="AH41" s="461">
        <f>IF(AH39=0,0,AH40/AH39)</f>
        <v>0</v>
      </c>
      <c r="AI41" s="917"/>
      <c r="AJ41" s="461">
        <f>IF(AJ39=0,0,AJ40/AJ39)</f>
        <v>0</v>
      </c>
      <c r="AK41" s="461">
        <f>IF(AK39=0,0,AK40/AK39)</f>
        <v>0</v>
      </c>
      <c r="AL41" s="917"/>
      <c r="AM41" s="461">
        <f>IF(AM39=0,0,AM40/AM39)</f>
        <v>0</v>
      </c>
      <c r="AN41" s="461">
        <f>IF(AN39=0,0,AN40/AN39)</f>
        <v>0</v>
      </c>
      <c r="AO41" s="917"/>
      <c r="AP41" s="461">
        <f>IF(AP39=0,0,AP40/AP39)</f>
        <v>0</v>
      </c>
      <c r="AQ41" s="461">
        <f>IF(AQ39=0,0,AQ40/AQ39)</f>
        <v>0</v>
      </c>
      <c r="AR41" s="917"/>
      <c r="AS41" s="461">
        <f>IF(AS39=0,0,AS40/AS39)</f>
        <v>0</v>
      </c>
      <c r="AT41" s="461">
        <f>IF(AT39=0,0,AT40/AT39)</f>
        <v>0</v>
      </c>
      <c r="AU41" s="917"/>
      <c r="AV41" s="461">
        <f>IF(AV39=0,0,AV40/AV39)</f>
        <v>0</v>
      </c>
      <c r="AW41" s="461">
        <f>IF(AW39=0,0,AW40/AW39)</f>
        <v>0</v>
      </c>
      <c r="AX41" s="917"/>
      <c r="AY41" s="461">
        <f>IF(AY39=0,0,AY40/AY39)</f>
        <v>0</v>
      </c>
      <c r="AZ41" s="461">
        <f>IF(AZ39=0,0,AZ40/AZ39)</f>
        <v>0</v>
      </c>
      <c r="BA41" s="917"/>
      <c r="BB41" s="461">
        <f>IF(BB39=0,0,BB40/BB39)</f>
        <v>0</v>
      </c>
      <c r="BC41" s="461">
        <f>IF(BC39=0,0,BC40/BC39)</f>
        <v>0</v>
      </c>
      <c r="BD41" s="917"/>
      <c r="BE41" s="461">
        <f>IF(BE39=0,0,BE40/BE39)</f>
        <v>0</v>
      </c>
      <c r="BF41" s="461">
        <f>IF(BF39=0,0,BF40/BF39)</f>
        <v>0</v>
      </c>
      <c r="BG41" s="917"/>
      <c r="BH41" s="461">
        <f>IF(BH39=0,0,BH40/BH39)</f>
        <v>0</v>
      </c>
      <c r="BI41" s="461">
        <f>IF(BI39=0,0,BI40/BI39)</f>
        <v>0</v>
      </c>
      <c r="BJ41" s="915"/>
      <c r="BK41" s="461">
        <f>IF(BK39=0,0,BK40/BK39)</f>
        <v>0</v>
      </c>
      <c r="BL41" s="461">
        <f>IF(BL39=0,0,BL40/BL39)</f>
        <v>0</v>
      </c>
      <c r="BM41" s="915"/>
      <c r="BN41" s="461">
        <f>IF(BN39=0,0,BN40/BN39)</f>
        <v>0</v>
      </c>
      <c r="BO41" s="461">
        <f>IF(BO39=0,0,BO40/BO39)</f>
        <v>0</v>
      </c>
      <c r="BP41" s="915"/>
      <c r="BQ41" s="461">
        <f>IF(BQ39=0,0,BQ40/BQ39)</f>
        <v>0</v>
      </c>
      <c r="BR41" s="461">
        <f>IF(BR39=0,0,BR40/BR39)</f>
        <v>0</v>
      </c>
      <c r="BS41" s="915"/>
      <c r="BT41" s="461">
        <f>IF(BT39=0,0,BT40/BT39)</f>
        <v>0</v>
      </c>
      <c r="BU41" s="461">
        <f>IF(BU39=0,0,BU40/BU39)</f>
        <v>0</v>
      </c>
      <c r="BV41" s="915"/>
      <c r="BW41" s="461">
        <f>IF(BW39=0,0,BW40/BW39)</f>
        <v>0</v>
      </c>
      <c r="BX41" s="461">
        <f>IF(BX39=0,0,BX40/BX39)</f>
        <v>0</v>
      </c>
      <c r="BY41" s="915"/>
      <c r="BZ41" s="461">
        <f>IF(BZ39=0,0,BZ40/BZ39)</f>
        <v>0</v>
      </c>
      <c r="CA41" s="461">
        <f>IF(CA39=0,0,CA40/CA39)</f>
        <v>0</v>
      </c>
      <c r="CB41" s="915"/>
      <c r="CC41" s="461">
        <f>IF(CC39=0,0,CC40/CC39)</f>
        <v>0</v>
      </c>
      <c r="CD41" s="461">
        <f>IF(CD39=0,0,CD40/CD39)</f>
        <v>0</v>
      </c>
      <c r="CE41" s="915"/>
      <c r="CF41" s="461">
        <f>IF(CF39=0,0,CF40/CF39)</f>
        <v>0</v>
      </c>
      <c r="CG41" s="461">
        <f>IF(CG39=0,0,CG40/CG39)</f>
        <v>0</v>
      </c>
      <c r="CH41" s="915"/>
      <c r="CI41" s="461">
        <f>IF(CI39=0,0,CI40/CI39)</f>
        <v>0</v>
      </c>
      <c r="CJ41" s="461">
        <f>IF(CJ39=0,0,CJ40/CJ39)</f>
        <v>0</v>
      </c>
      <c r="CK41" s="915"/>
      <c r="CL41" s="461">
        <f>IF(CL39=0,0,CL40/CL39)</f>
        <v>0</v>
      </c>
      <c r="CM41" s="461">
        <f>IF(CM39=0,0,CM40/CM39)</f>
        <v>0</v>
      </c>
      <c r="CN41" s="915"/>
      <c r="CO41" s="461">
        <f>IF(CO39=0,0,CO40/CO39)</f>
        <v>0</v>
      </c>
      <c r="CP41" s="461">
        <f>IF(CP39=0,0,CP40/CP39)</f>
        <v>0</v>
      </c>
      <c r="CQ41" s="915"/>
      <c r="CR41" s="461">
        <f>IF(CR39=0,0,CR40/CR39)</f>
        <v>0</v>
      </c>
      <c r="CS41" s="461">
        <f>IF(CS39=0,0,CS40/CS39)</f>
        <v>0</v>
      </c>
      <c r="CT41" s="915"/>
      <c r="CU41" s="461">
        <f>IF(CU39=0,0,CU40/CU39)</f>
        <v>0</v>
      </c>
      <c r="CV41" s="461">
        <f>IF(CV39=0,0,CV40/CV39)</f>
        <v>0</v>
      </c>
      <c r="CW41" s="915"/>
      <c r="CX41" s="461">
        <f>IF(CX39=0,0,CX40/CX39)</f>
        <v>0</v>
      </c>
      <c r="CY41" s="461">
        <f>IF(CY39=0,0,CY40/CY39)</f>
        <v>0</v>
      </c>
      <c r="CZ41" s="915"/>
      <c r="DA41" s="461">
        <f>IF(DA39=0,0,DA40/DA39)</f>
        <v>0</v>
      </c>
      <c r="DB41" s="461">
        <f>IF(DB39=0,0,DB40/DB39)</f>
        <v>0</v>
      </c>
      <c r="DC41" s="915"/>
      <c r="DD41" s="461">
        <f>IF(DD39=0,0,DD40/DD39)</f>
        <v>0</v>
      </c>
      <c r="DE41" s="461">
        <f>IF(DE39=0,0,DE40/DE39)</f>
        <v>0</v>
      </c>
      <c r="DF41" s="915"/>
      <c r="DG41" s="461">
        <f>IF(DG39=0,0,DG40/DG39)</f>
        <v>0</v>
      </c>
      <c r="DH41" s="461">
        <f>IF(DH39=0,0,DH40/DH39)</f>
        <v>0</v>
      </c>
      <c r="DI41" s="915"/>
      <c r="DJ41" s="461">
        <f>IF(DJ39=0,0,DJ40/DJ39)</f>
        <v>0</v>
      </c>
      <c r="DK41" s="461">
        <f>IF(DK39=0,0,DK40/DK39)</f>
        <v>0</v>
      </c>
      <c r="DL41" s="915"/>
      <c r="DM41" s="461">
        <f>IF(DM39=0,0,DM40/DM39)</f>
        <v>0</v>
      </c>
      <c r="DN41" s="461">
        <f>IF(DN39=0,0,DN40/DN39)</f>
        <v>0</v>
      </c>
      <c r="DO41" s="915"/>
      <c r="DP41" s="461">
        <f>IF(DP39=0,0,DP40/DP39)</f>
        <v>0</v>
      </c>
      <c r="DQ41" s="461">
        <f>IF(DQ39=0,0,DQ40/DQ39)</f>
        <v>0</v>
      </c>
      <c r="DR41" s="915"/>
      <c r="DS41" s="461">
        <f>IF(DS39=0,0,DS40/DS39)</f>
        <v>0</v>
      </c>
      <c r="DT41" s="461">
        <f>IF(DT39=0,0,DT40/DT39)</f>
        <v>0</v>
      </c>
      <c r="DU41" s="915"/>
      <c r="DV41" s="461">
        <f>IF(DV39=0,0,DV40/DV39)</f>
        <v>0</v>
      </c>
      <c r="DW41" s="461">
        <f>IF(DW39=0,0,DW40/DW39)</f>
        <v>0</v>
      </c>
      <c r="DX41" s="915"/>
      <c r="DY41" s="461">
        <f>IF(DY39=0,0,DY40/DY39)</f>
        <v>0</v>
      </c>
      <c r="DZ41" s="461">
        <f>IF(DZ39=0,0,DZ40/DZ39)</f>
        <v>0</v>
      </c>
      <c r="EA41" s="915"/>
      <c r="EB41" s="461">
        <f>IF(EB39=0,0,EB40/EB39)</f>
        <v>0</v>
      </c>
      <c r="EC41" s="461">
        <f>IF(EC39=0,0,EC40/EC39)</f>
        <v>0</v>
      </c>
      <c r="ED41" s="915"/>
      <c r="EE41" s="461">
        <f>IF(EE39=0,0,EE40/EE39)</f>
        <v>0</v>
      </c>
      <c r="EF41" s="461">
        <f>IF(EF39=0,0,EF40/EF39)</f>
        <v>0</v>
      </c>
      <c r="EG41" s="915"/>
      <c r="EH41" s="461">
        <f>IF(EH39=0,0,EH40/EH39)</f>
        <v>0</v>
      </c>
      <c r="EI41" s="461">
        <f>IF(EI39=0,0,EI40/EI39)</f>
        <v>0</v>
      </c>
      <c r="EJ41" s="915"/>
      <c r="EK41" s="461">
        <f>IF(EK39=0,0,EK40/EK39)</f>
        <v>0</v>
      </c>
      <c r="EL41" s="461">
        <f>IF(EL39=0,0,EL40/EL39)</f>
        <v>0</v>
      </c>
      <c r="EM41" s="915"/>
      <c r="EN41" s="461">
        <f>IF(EN39=0,0,EN40/EN39)</f>
        <v>0</v>
      </c>
      <c r="EO41" s="461">
        <f>IF(EO39=0,0,EO40/EO39)</f>
        <v>0</v>
      </c>
      <c r="EP41" s="915"/>
      <c r="EQ41" s="461">
        <f>IF(EQ39=0,0,EQ40/EQ39)</f>
        <v>0</v>
      </c>
      <c r="ER41" s="461">
        <f>IF(ER39=0,0,ER40/ER39)</f>
        <v>0</v>
      </c>
      <c r="ES41" s="915"/>
      <c r="ET41" s="461">
        <f>IF(ET39=0,0,ET40/ET39)</f>
        <v>0</v>
      </c>
      <c r="EU41" s="461">
        <f>IF(EU39=0,0,EU40/EU39)</f>
        <v>0</v>
      </c>
      <c r="EV41" s="915"/>
      <c r="EW41" s="461">
        <f>IF(EW39=0,0,EW40/EW39)</f>
        <v>0</v>
      </c>
      <c r="EX41" s="461">
        <f>IF(EX39=0,0,EX40/EX39)</f>
        <v>0</v>
      </c>
      <c r="EY41" s="915"/>
      <c r="EZ41" s="461">
        <f>IF(EZ39=0,0,EZ40/EZ39)</f>
        <v>0</v>
      </c>
      <c r="FA41" s="461">
        <f>IF(FA39=0,0,FA40/FA39)</f>
        <v>0</v>
      </c>
      <c r="FB41" s="915"/>
      <c r="FC41" s="461">
        <f>IF(FC39=0,0,FC40/FC39)</f>
        <v>0</v>
      </c>
      <c r="FD41" s="461">
        <f>IF(FD39=0,0,FD40/FD39)</f>
        <v>0</v>
      </c>
      <c r="FE41" s="915"/>
      <c r="FF41" s="461">
        <f>IF(FF39=0,0,FF40/FF39)</f>
        <v>0</v>
      </c>
      <c r="FG41" s="461">
        <f>IF(FG39=0,0,FG40/FG39)</f>
        <v>0</v>
      </c>
      <c r="FH41" s="915"/>
      <c r="FI41" s="461">
        <f>IF(FI39=0,0,FI40/FI39)</f>
        <v>0</v>
      </c>
      <c r="FJ41" s="461">
        <f>IF(FJ39=0,0,FJ40/FJ39)</f>
        <v>0</v>
      </c>
      <c r="FK41" s="915"/>
      <c r="FL41" s="461">
        <f>IF(FL39=0,0,FL40/FL39)</f>
        <v>0</v>
      </c>
      <c r="FM41" s="461">
        <f>IF(FM39=0,0,FM40/FM39)</f>
        <v>0</v>
      </c>
      <c r="FN41" s="915"/>
      <c r="FO41" s="461">
        <f>IF(FO39=0,0,FO40/FO39)</f>
        <v>0</v>
      </c>
      <c r="FP41" s="461">
        <f>IF(FP39=0,0,FP40/FP39)</f>
        <v>0</v>
      </c>
      <c r="FQ41" s="915"/>
      <c r="FR41" s="461">
        <f>IF(FR39=0,0,FR40/FR39)</f>
        <v>0</v>
      </c>
      <c r="FS41" s="461">
        <f>IF(FS39=0,0,FS40/FS39)</f>
        <v>0</v>
      </c>
      <c r="FT41" s="915"/>
      <c r="FU41" s="461">
        <f>IF(FU39=0,0,FU40/FU39)</f>
        <v>0</v>
      </c>
      <c r="FV41" s="461">
        <f>IF(FV39=0,0,FV40/FV39)</f>
        <v>0</v>
      </c>
      <c r="FW41" s="915"/>
      <c r="FZ41" s="489" t="s">
        <v>2476</v>
      </c>
      <c r="GA41" s="489"/>
      <c r="GB41" s="489"/>
      <c r="GC41" s="489"/>
      <c r="GD41" s="489"/>
      <c r="GF41" s="1501" cm="1" t="str">
        <f t="array" ref="GF41:GF41">GF40</f>
        <v>0</v>
      </c>
      <c r="GG41" s="1501" t="s">
        <v>704</v>
      </c>
      <c r="GH41" s="1501"/>
      <c r="GI41" s="1501" t="s">
        <v>797</v>
      </c>
      <c r="GJ41" s="1501"/>
      <c r="GK41" s="1501"/>
      <c r="GL41" s="1501" t="s">
        <v>303</v>
      </c>
      <c r="GM41" s="1501" t="s">
        <v>931</v>
      </c>
      <c r="GN41" s="1501" t="s">
        <v>932</v>
      </c>
    </row>
    <row customHeight="1" ht="16.575" hidden="1">
      <c r="B42" s="192" cm="1" t="str">
        <f t="array" ref="B42:B42">B41</f>
        <v>false</v>
      </c>
      <c r="E42" s="180">
        <v>17</v>
      </c>
      <c r="F42" s="175" cm="1" t="str">
        <f t="array" ref="F42:F42">OFFSET(G42,-1,-1)</f>
        <v>0</v>
      </c>
      <c r="G42" s="193" t="s">
        <v>2477</v>
      </c>
      <c r="I42" s="193" t="s">
        <v>2475</v>
      </c>
      <c r="T42" s="753" cm="1" t="str">
        <f t="array" ref="T42:T42">T41</f>
        <v>false</v>
      </c>
      <c r="AB42" s="913" t="s">
        <v>2478</v>
      </c>
      <c r="AC42" s="380" t="s">
        <v>629</v>
      </c>
      <c r="AD42" s="100">
        <f>_xlfn.SUMIFS('Баланс Пр'!AI$27:AI$165,'Баланс Пр'!$F$27:$F$165,$F42,'Баланс Пр'!$AB$27:$AB$165,"9.1.2.3")</f>
        <v>0</v>
      </c>
      <c r="AE42" s="100">
        <f>_xlfn.SUMIFS('Баланс Пр'!BC$27:BC$165,'Баланс Пр'!$F$27:$F$165,$F42,'Баланс Пр'!$AB$27:$AB$165,"9.1.2.3")</f>
        <v>0</v>
      </c>
      <c r="AF42" s="917">
        <f>IF(AD42=0,0,(AE42-AD42)/AD42*100)</f>
        <v>0</v>
      </c>
      <c r="AG42" s="100">
        <f>_xlfn.SUMIFS('Баланс Пр'!AJ$27:AJ$165,'Баланс Пр'!$F$27:$F$165,$F42,'Баланс Пр'!$AB$27:$AB$165,"9.1.2.3")</f>
        <v>0</v>
      </c>
      <c r="AH42" s="100">
        <f>_xlfn.SUMIFS('Баланс Пр'!BD$27:BD$165,'Баланс Пр'!$F$27:$F$165,$F42,'Баланс Пр'!$AB$27:$AB$165,"9.1.2.3")</f>
        <v>0</v>
      </c>
      <c r="AI42" s="917">
        <f>IF(AG42=0,0,(AH42-AG42)/AG42*100)</f>
        <v>0</v>
      </c>
      <c r="AJ42" s="100">
        <f>_xlfn.SUMIFS('Баланс Пр'!AK$27:AK$165,'Баланс Пр'!$F$27:$F$165,$F42,'Баланс Пр'!$AB$27:$AB$165,"9.1.2.3")</f>
        <v>0</v>
      </c>
      <c r="AK42" s="100">
        <f>_xlfn.SUMIFS('Баланс Пр'!BE$27:BE$165,'Баланс Пр'!$F$27:$F$165,$F42,'Баланс Пр'!$AB$27:$AB$165,"9.1.2.3")</f>
        <v>0</v>
      </c>
      <c r="AL42" s="917">
        <f>IF(AJ42=0,0,(AK42-AJ42)/AJ42*100)</f>
        <v>0</v>
      </c>
      <c r="AM42" s="100">
        <f>_xlfn.SUMIFS('Баланс Пр'!AL$27:AL$165,'Баланс Пр'!$F$27:$F$165,$F42,'Баланс Пр'!$AB$27:$AB$165,"9.1.2.3")</f>
        <v>0</v>
      </c>
      <c r="AN42" s="100">
        <f>_xlfn.SUMIFS('Баланс Пр'!BF$27:BF$165,'Баланс Пр'!$F$27:$F$165,$F42,'Баланс Пр'!$AB$27:$AB$165,"9.1.2.3")</f>
        <v>0</v>
      </c>
      <c r="AO42" s="917">
        <f>IF(AM42=0,0,(AN42-AM42)/AM42*100)</f>
        <v>0</v>
      </c>
      <c r="AP42" s="100">
        <f>_xlfn.SUMIFS('Баланс Пр'!AM$27:AM$165,'Баланс Пр'!$F$27:$F$165,$F42,'Баланс Пр'!$AB$27:$AB$165,"9.1.2.3")</f>
        <v>0</v>
      </c>
      <c r="AQ42" s="100">
        <f>_xlfn.SUMIFS('Баланс Пр'!BG$27:BG$165,'Баланс Пр'!$F$27:$F$165,$F42,'Баланс Пр'!$AB$27:$AB$165,"9.1.2.3")</f>
        <v>0</v>
      </c>
      <c r="AR42" s="917">
        <f>IF(AP42=0,0,(AQ42-AP42)/AP42*100)</f>
        <v>0</v>
      </c>
      <c r="AS42" s="100">
        <f>_xlfn.SUMIFS('Баланс Пр'!AN$27:AN$165,'Баланс Пр'!$F$27:$F$165,$F42,'Баланс Пр'!$AB$27:$AB$165,"9.1.2.3")</f>
        <v>0</v>
      </c>
      <c r="AT42" s="100">
        <f>_xlfn.SUMIFS('Баланс Пр'!BH$27:BH$165,'Баланс Пр'!$F$27:$F$165,$F42,'Баланс Пр'!$AB$27:$AB$165,"9.1.2.3")</f>
        <v>0</v>
      </c>
      <c r="AU42" s="917">
        <f>IF(AS42=0,0,(AT42-AS42)/AS42*100)</f>
        <v>0</v>
      </c>
      <c r="AV42" s="100">
        <f>_xlfn.SUMIFS('Баланс Пр'!AO$27:AO$165,'Баланс Пр'!$F$27:$F$165,$F42,'Баланс Пр'!$AB$27:$AB$165,"9.1.2.3")</f>
        <v>0</v>
      </c>
      <c r="AW42" s="100">
        <f>_xlfn.SUMIFS('Баланс Пр'!BI$27:BI$165,'Баланс Пр'!$F$27:$F$165,$F42,'Баланс Пр'!$AB$27:$AB$165,"9.1.2.3")</f>
        <v>0</v>
      </c>
      <c r="AX42" s="917">
        <f>IF(AV42=0,0,(AW42-AV42)/AV42*100)</f>
        <v>0</v>
      </c>
      <c r="AY42" s="100">
        <f>_xlfn.SUMIFS('Баланс Пр'!AP$27:AP$165,'Баланс Пр'!$F$27:$F$165,$F42,'Баланс Пр'!$AB$27:$AB$165,"9.1.2.3")</f>
        <v>0</v>
      </c>
      <c r="AZ42" s="100">
        <f>_xlfn.SUMIFS('Баланс Пр'!BJ$27:BJ$165,'Баланс Пр'!$F$27:$F$165,$F42,'Баланс Пр'!$AB$27:$AB$165,"9.1.2.3")</f>
        <v>0</v>
      </c>
      <c r="BA42" s="917">
        <f>IF(AY42=0,0,(AZ42-AY42)/AY42*100)</f>
        <v>0</v>
      </c>
      <c r="BB42" s="100">
        <f>_xlfn.SUMIFS('Баланс Пр'!AQ$27:AQ$165,'Баланс Пр'!$F$27:$F$165,$F42,'Баланс Пр'!$AB$27:$AB$165,"9.1.2.3")</f>
        <v>0</v>
      </c>
      <c r="BC42" s="100">
        <f>_xlfn.SUMIFS('Баланс Пр'!BK$27:BK$165,'Баланс Пр'!$F$27:$F$165,$F42,'Баланс Пр'!$AB$27:$AB$165,"9.1.2.3")</f>
        <v>0</v>
      </c>
      <c r="BD42" s="917">
        <f>IF(BB42=0,0,(BC42-BB42)/BB42*100)</f>
        <v>0</v>
      </c>
      <c r="BE42" s="100">
        <f>_xlfn.SUMIFS('Баланс Пр'!BB$27:BB$165,'Баланс Пр'!$F$27:$F$165,$F42,'Баланс Пр'!$AB$27:$AB$165,"9.1.2.3")</f>
        <v>0</v>
      </c>
      <c r="BF42" s="100">
        <f>_xlfn.SUMIFS('Баланс Пр'!BV$27:BV$165,'Баланс Пр'!$F$27:$F$165,$F42,'Баланс Пр'!$AB$27:$AB$165,"9.1.2.3")</f>
        <v>0</v>
      </c>
      <c r="BG42" s="917">
        <f>IF(BE42=0,0,(BF42-BE42)/BE42*100)</f>
        <v>0</v>
      </c>
      <c r="BH42" s="166">
        <f>SUM(BH43:BH44)</f>
        <v>0</v>
      </c>
      <c r="BI42" s="166">
        <f>SUM(BI43:BI44)</f>
        <v>0</v>
      </c>
      <c r="BJ42" s="917">
        <f>IF(BH42=0,0,(BI42-BH42)/BH42*100)</f>
        <v>0</v>
      </c>
      <c r="BK42" s="166">
        <f>SUM(BK43:BK44)</f>
        <v>0</v>
      </c>
      <c r="BL42" s="166">
        <f>SUM(BL43:BL44)</f>
        <v>0</v>
      </c>
      <c r="BM42" s="917">
        <f>IF(BK42=0,0,(BL42-BK42)/BK42*100)</f>
        <v>0</v>
      </c>
      <c r="BN42" s="166">
        <f>SUM(BN43:BN44)</f>
        <v>0</v>
      </c>
      <c r="BO42" s="166">
        <f>SUM(BO43:BO44)</f>
        <v>0</v>
      </c>
      <c r="BP42" s="917">
        <f>IF(BN42=0,0,(BO42-BN42)/BN42*100)</f>
        <v>0</v>
      </c>
      <c r="BQ42" s="166">
        <f>SUM(BQ43:BQ44)</f>
        <v>0</v>
      </c>
      <c r="BR42" s="166">
        <f>SUM(BR43:BR44)</f>
        <v>0</v>
      </c>
      <c r="BS42" s="917">
        <f>IF(BQ42=0,0,(BR42-BQ42)/BQ42*100)</f>
        <v>0</v>
      </c>
      <c r="BT42" s="166">
        <f>SUM(BT43:BT44)</f>
        <v>0</v>
      </c>
      <c r="BU42" s="166">
        <f>SUM(BU43:BU44)</f>
        <v>0</v>
      </c>
      <c r="BV42" s="917">
        <f>IF(BT42=0,0,(BU42-BT42)/BT42*100)</f>
        <v>0</v>
      </c>
      <c r="BW42" s="166">
        <f>SUM(BW43:BW44)</f>
        <v>0</v>
      </c>
      <c r="BX42" s="166">
        <f>SUM(BX43:BX44)</f>
        <v>0</v>
      </c>
      <c r="BY42" s="917">
        <f>IF(BW42=0,0,(BX42-BW42)/BW42*100)</f>
        <v>0</v>
      </c>
      <c r="BZ42" s="166">
        <f>SUM(BZ43:BZ44)</f>
        <v>0</v>
      </c>
      <c r="CA42" s="166">
        <f>SUM(CA43:CA44)</f>
        <v>0</v>
      </c>
      <c r="CB42" s="917">
        <f>IF(BZ42=0,0,(CA42-BZ42)/BZ42*100)</f>
        <v>0</v>
      </c>
      <c r="CC42" s="166">
        <f>SUM(CC43:CC44)</f>
        <v>0</v>
      </c>
      <c r="CD42" s="166">
        <f>SUM(CD43:CD44)</f>
        <v>0</v>
      </c>
      <c r="CE42" s="917">
        <f>IF(CC42=0,0,(CD42-CC42)/CC42*100)</f>
        <v>0</v>
      </c>
      <c r="CF42" s="166">
        <f>SUM(CF43:CF44)</f>
        <v>0</v>
      </c>
      <c r="CG42" s="166">
        <f>SUM(CG43:CG44)</f>
        <v>0</v>
      </c>
      <c r="CH42" s="917">
        <f>IF(CF42=0,0,(CG42-CF42)/CF42*100)</f>
        <v>0</v>
      </c>
      <c r="CI42" s="166">
        <f>SUM(CI43:CI44)</f>
        <v>0</v>
      </c>
      <c r="CJ42" s="166">
        <f>SUM(CJ43:CJ44)</f>
        <v>0</v>
      </c>
      <c r="CK42" s="917">
        <f>IF(CI42=0,0,(CJ42-CI42)/CI42*100)</f>
        <v>0</v>
      </c>
      <c r="CL42" s="166">
        <f>SUM(CL43:CL44)</f>
        <v>0</v>
      </c>
      <c r="CM42" s="166">
        <f>SUM(CM43:CM44)</f>
        <v>0</v>
      </c>
      <c r="CN42" s="917">
        <f>IF(CL42=0,0,(CM42-CL42)/CL42*100)</f>
        <v>0</v>
      </c>
      <c r="CO42" s="166">
        <f>SUM(CO43:CO44)</f>
        <v>0</v>
      </c>
      <c r="CP42" s="166">
        <f>SUM(CP43:CP44)</f>
        <v>0</v>
      </c>
      <c r="CQ42" s="917">
        <f>IF(CO42=0,0,(CP42-CO42)/CO42*100)</f>
        <v>0</v>
      </c>
      <c r="CR42" s="166">
        <f>SUM(CR43:CR44)</f>
        <v>0</v>
      </c>
      <c r="CS42" s="166">
        <f>SUM(CS43:CS44)</f>
        <v>0</v>
      </c>
      <c r="CT42" s="917">
        <f>IF(CR42=0,0,(CS42-CR42)/CR42*100)</f>
        <v>0</v>
      </c>
      <c r="CU42" s="166">
        <f>SUM(CU43:CU44)</f>
        <v>0</v>
      </c>
      <c r="CV42" s="166">
        <f>SUM(CV43:CV44)</f>
        <v>0</v>
      </c>
      <c r="CW42" s="917">
        <f>IF(CU42=0,0,(CV42-CU42)/CU42*100)</f>
        <v>0</v>
      </c>
      <c r="CX42" s="166">
        <f>SUM(CX43:CX44)</f>
        <v>0</v>
      </c>
      <c r="CY42" s="166">
        <f>SUM(CY43:CY44)</f>
        <v>0</v>
      </c>
      <c r="CZ42" s="917">
        <f>IF(CX42=0,0,(CY42-CX42)/CX42*100)</f>
        <v>0</v>
      </c>
      <c r="DA42" s="166">
        <f>SUM(DA43:DA44)</f>
        <v>0</v>
      </c>
      <c r="DB42" s="166">
        <f>SUM(DB43:DB44)</f>
        <v>0</v>
      </c>
      <c r="DC42" s="917">
        <f>IF(DA42=0,0,(DB42-DA42)/DA42*100)</f>
        <v>0</v>
      </c>
      <c r="DD42" s="166">
        <f>SUM(DD43:DD44)</f>
        <v>0</v>
      </c>
      <c r="DE42" s="166">
        <f>SUM(DE43:DE44)</f>
        <v>0</v>
      </c>
      <c r="DF42" s="917">
        <f>IF(DD42=0,0,(DE42-DD42)/DD42*100)</f>
        <v>0</v>
      </c>
      <c r="DG42" s="166">
        <f>SUM(DG43:DG44)</f>
        <v>0</v>
      </c>
      <c r="DH42" s="166">
        <f>SUM(DH43:DH44)</f>
        <v>0</v>
      </c>
      <c r="DI42" s="917">
        <f>IF(DG42=0,0,(DH42-DG42)/DG42*100)</f>
        <v>0</v>
      </c>
      <c r="DJ42" s="166">
        <f>SUM(DJ43:DJ44)</f>
        <v>0</v>
      </c>
      <c r="DK42" s="166">
        <f>SUM(DK43:DK44)</f>
        <v>0</v>
      </c>
      <c r="DL42" s="917">
        <f>IF(DJ42=0,0,(DK42-DJ42)/DJ42*100)</f>
        <v>0</v>
      </c>
      <c r="DM42" s="166">
        <f>SUM(DM43:DM44)</f>
        <v>0</v>
      </c>
      <c r="DN42" s="166">
        <f>SUM(DN43:DN44)</f>
        <v>0</v>
      </c>
      <c r="DO42" s="917">
        <f>IF(DM42=0,0,(DN42-DM42)/DM42*100)</f>
        <v>0</v>
      </c>
      <c r="DP42" s="166">
        <f>SUM(DP43:DP44)</f>
        <v>0</v>
      </c>
      <c r="DQ42" s="166">
        <f>SUM(DQ43:DQ44)</f>
        <v>0</v>
      </c>
      <c r="DR42" s="917">
        <f>IF(DP42=0,0,(DQ42-DP42)/DP42*100)</f>
        <v>0</v>
      </c>
      <c r="DS42" s="166">
        <f>SUM(DS43:DS44)</f>
        <v>0</v>
      </c>
      <c r="DT42" s="166">
        <f>SUM(DT43:DT44)</f>
        <v>0</v>
      </c>
      <c r="DU42" s="917">
        <f>IF(DS42=0,0,(DT42-DS42)/DS42*100)</f>
        <v>0</v>
      </c>
      <c r="DV42" s="166">
        <f>SUM(DV43:DV44)</f>
        <v>0</v>
      </c>
      <c r="DW42" s="166">
        <f>SUM(DW43:DW44)</f>
        <v>0</v>
      </c>
      <c r="DX42" s="917">
        <f>IF(DV42=0,0,(DW42-DV42)/DV42*100)</f>
        <v>0</v>
      </c>
      <c r="DY42" s="166">
        <f>SUM(DY43:DY44)</f>
        <v>0</v>
      </c>
      <c r="DZ42" s="166">
        <f>SUM(DZ43:DZ44)</f>
        <v>0</v>
      </c>
      <c r="EA42" s="917">
        <f>IF(DY42=0,0,(DZ42-DY42)/DY42*100)</f>
        <v>0</v>
      </c>
      <c r="EB42" s="166">
        <f>SUM(EB43:EB44)</f>
        <v>0</v>
      </c>
      <c r="EC42" s="166">
        <f>SUM(EC43:EC44)</f>
        <v>0</v>
      </c>
      <c r="ED42" s="917">
        <f>IF(EB42=0,0,(EC42-EB42)/EB42*100)</f>
        <v>0</v>
      </c>
      <c r="EE42" s="166">
        <f>SUM(EE43:EE44)</f>
        <v>0</v>
      </c>
      <c r="EF42" s="166">
        <f>SUM(EF43:EF44)</f>
        <v>0</v>
      </c>
      <c r="EG42" s="917">
        <f>IF(EE42=0,0,(EF42-EE42)/EE42*100)</f>
        <v>0</v>
      </c>
      <c r="EH42" s="166">
        <f>SUM(EH43:EH44)</f>
        <v>0</v>
      </c>
      <c r="EI42" s="166">
        <f>SUM(EI43:EI44)</f>
        <v>0</v>
      </c>
      <c r="EJ42" s="917">
        <f>IF(EH42=0,0,(EI42-EH42)/EH42*100)</f>
        <v>0</v>
      </c>
      <c r="EK42" s="166">
        <f>SUM(EK43:EK44)</f>
        <v>0</v>
      </c>
      <c r="EL42" s="166">
        <f>SUM(EL43:EL44)</f>
        <v>0</v>
      </c>
      <c r="EM42" s="917">
        <f>IF(EK42=0,0,(EL42-EK42)/EK42*100)</f>
        <v>0</v>
      </c>
      <c r="EN42" s="166">
        <f>SUM(EN43:EN44)</f>
        <v>0</v>
      </c>
      <c r="EO42" s="166">
        <f>SUM(EO43:EO44)</f>
        <v>0</v>
      </c>
      <c r="EP42" s="917">
        <f>IF(EN42=0,0,(EO42-EN42)/EN42*100)</f>
        <v>0</v>
      </c>
      <c r="EQ42" s="166">
        <f>SUM(EQ43:EQ44)</f>
        <v>0</v>
      </c>
      <c r="ER42" s="166">
        <f>SUM(ER43:ER44)</f>
        <v>0</v>
      </c>
      <c r="ES42" s="917">
        <f>IF(EQ42=0,0,(ER42-EQ42)/EQ42*100)</f>
        <v>0</v>
      </c>
      <c r="ET42" s="166">
        <f>SUM(ET43:ET44)</f>
        <v>0</v>
      </c>
      <c r="EU42" s="166">
        <f>SUM(EU43:EU44)</f>
        <v>0</v>
      </c>
      <c r="EV42" s="917">
        <f>IF(ET42=0,0,(EU42-ET42)/ET42*100)</f>
        <v>0</v>
      </c>
      <c r="EW42" s="166">
        <f>SUM(EW43:EW44)</f>
        <v>0</v>
      </c>
      <c r="EX42" s="166">
        <f>SUM(EX43:EX44)</f>
        <v>0</v>
      </c>
      <c r="EY42" s="917">
        <f>IF(EW42=0,0,(EX42-EW42)/EW42*100)</f>
        <v>0</v>
      </c>
      <c r="EZ42" s="166">
        <f>SUM(EZ43:EZ44)</f>
        <v>0</v>
      </c>
      <c r="FA42" s="166">
        <f>SUM(FA43:FA44)</f>
        <v>0</v>
      </c>
      <c r="FB42" s="917">
        <f>IF(EZ42=0,0,(FA42-EZ42)/EZ42*100)</f>
        <v>0</v>
      </c>
      <c r="FC42" s="166">
        <f>SUM(FC43:FC44)</f>
        <v>0</v>
      </c>
      <c r="FD42" s="166">
        <f>SUM(FD43:FD44)</f>
        <v>0</v>
      </c>
      <c r="FE42" s="917">
        <f>IF(FC42=0,0,(FD42-FC42)/FC42*100)</f>
        <v>0</v>
      </c>
      <c r="FF42" s="166">
        <f>SUM(FF43:FF44)</f>
        <v>0</v>
      </c>
      <c r="FG42" s="166">
        <f>SUM(FG43:FG44)</f>
        <v>0</v>
      </c>
      <c r="FH42" s="917">
        <f>IF(FF42=0,0,(FG42-FF42)/FF42*100)</f>
        <v>0</v>
      </c>
      <c r="FI42" s="166">
        <f>SUM(FI43:FI44)</f>
        <v>0</v>
      </c>
      <c r="FJ42" s="166">
        <f>SUM(FJ43:FJ44)</f>
        <v>0</v>
      </c>
      <c r="FK42" s="917">
        <f>IF(FI42=0,0,(FJ42-FI42)/FI42*100)</f>
        <v>0</v>
      </c>
      <c r="FL42" s="166">
        <f>SUM(FL43:FL44)</f>
        <v>0</v>
      </c>
      <c r="FM42" s="166">
        <f>SUM(FM43:FM44)</f>
        <v>0</v>
      </c>
      <c r="FN42" s="917">
        <f>IF(FL42=0,0,(FM42-FL42)/FL42*100)</f>
        <v>0</v>
      </c>
      <c r="FO42" s="166">
        <f>SUM(FO43:FO44)</f>
        <v>0</v>
      </c>
      <c r="FP42" s="166">
        <f>SUM(FP43:FP44)</f>
        <v>0</v>
      </c>
      <c r="FQ42" s="917">
        <f>IF(FO42=0,0,(FP42-FO42)/FO42*100)</f>
        <v>0</v>
      </c>
      <c r="FR42" s="166">
        <f>SUM(FR43:FR44)</f>
        <v>0</v>
      </c>
      <c r="FS42" s="166">
        <f>SUM(FS43:FS44)</f>
        <v>0</v>
      </c>
      <c r="FT42" s="917">
        <f>IF(FR42=0,0,(FS42-FR42)/FR42*100)</f>
        <v>0</v>
      </c>
      <c r="FU42" s="166">
        <f>SUM(FU43:FU44)</f>
        <v>0</v>
      </c>
      <c r="FV42" s="166">
        <f>SUM(FV43:FV44)</f>
        <v>0</v>
      </c>
      <c r="FW42" s="917">
        <f>IF(FU42=0,0,(FV42-FU42)/FU42*100)</f>
        <v>0</v>
      </c>
      <c r="FZ42" s="489" t="s">
        <v>2479</v>
      </c>
      <c r="GA42" s="489"/>
      <c r="GB42" s="489"/>
      <c r="GC42" s="489"/>
      <c r="GD42" s="489"/>
      <c r="GF42" s="1501" cm="1" t="str">
        <f t="array" ref="GF42:GF42">GF41</f>
        <v>0</v>
      </c>
      <c r="GG42" s="1501" t="s">
        <v>704</v>
      </c>
      <c r="GH42" s="1501"/>
      <c r="GI42" s="1501"/>
      <c r="GJ42" s="1501"/>
      <c r="GK42" s="1501"/>
      <c r="GL42" s="1501" t="s">
        <v>303</v>
      </c>
      <c r="GM42" s="1501" t="s">
        <v>2079</v>
      </c>
      <c r="GN42" s="1501" t="s">
        <v>2080</v>
      </c>
    </row>
    <row customHeight="1" ht="16.575" hidden="1">
      <c r="B43" s="192" cm="1" t="str">
        <f t="array" ref="B43:B43">B42</f>
        <v>false</v>
      </c>
      <c r="E43" s="180">
        <v>17</v>
      </c>
      <c r="F43" s="175" cm="1" t="str">
        <f t="array" ref="F43:F43">OFFSET(G43,-1,-1)</f>
        <v>0</v>
      </c>
      <c r="T43" s="753" cm="1" t="str">
        <f t="array" ref="T43:T43">T42</f>
        <v>false</v>
      </c>
      <c r="AB43" s="560" t="s">
        <v>2480</v>
      </c>
      <c r="AC43" s="381" t="s">
        <v>629</v>
      </c>
      <c r="AD43" s="121"/>
      <c r="AE43" s="121"/>
      <c r="AF43" s="918">
        <f>IF(AD43=0,0,(AE43-AD43)/AD43*100)</f>
        <v>0</v>
      </c>
      <c r="AG43" s="121"/>
      <c r="AH43" s="121"/>
      <c r="AI43" s="918">
        <f>IF(AG43=0,0,(AH43-AG43)/AG43*100)</f>
        <v>0</v>
      </c>
      <c r="AJ43" s="121"/>
      <c r="AK43" s="121"/>
      <c r="AL43" s="918">
        <f>IF(AJ43=0,0,(AK43-AJ43)/AJ43*100)</f>
        <v>0</v>
      </c>
      <c r="AM43" s="121"/>
      <c r="AN43" s="121"/>
      <c r="AO43" s="918">
        <f>IF(AM43=0,0,(AN43-AM43)/AM43*100)</f>
        <v>0</v>
      </c>
      <c r="AP43" s="121"/>
      <c r="AQ43" s="121"/>
      <c r="AR43" s="918">
        <f>IF(AP43=0,0,(AQ43-AP43)/AP43*100)</f>
        <v>0</v>
      </c>
      <c r="AS43" s="121"/>
      <c r="AT43" s="121"/>
      <c r="AU43" s="918">
        <f>IF(AS43=0,0,(AT43-AS43)/AS43*100)</f>
        <v>0</v>
      </c>
      <c r="AV43" s="121"/>
      <c r="AW43" s="121"/>
      <c r="AX43" s="918">
        <f>IF(AV43=0,0,(AW43-AV43)/AV43*100)</f>
        <v>0</v>
      </c>
      <c r="AY43" s="121"/>
      <c r="AZ43" s="121"/>
      <c r="BA43" s="918">
        <f>IF(AY43=0,0,(AZ43-AY43)/AY43*100)</f>
        <v>0</v>
      </c>
      <c r="BB43" s="121"/>
      <c r="BC43" s="121"/>
      <c r="BD43" s="918">
        <f>IF(BB43=0,0,(BC43-BB43)/BB43*100)</f>
        <v>0</v>
      </c>
      <c r="BE43" s="121"/>
      <c r="BF43" s="121"/>
      <c r="BG43" s="918">
        <f>IF(BE43=0,0,(BF43-BE43)/BE43*100)</f>
        <v>0</v>
      </c>
      <c r="BH43" s="121"/>
      <c r="BI43" s="121"/>
      <c r="BJ43" s="918">
        <f>IF(BH43=0,0,(BI43-BH43)/BH43*100)</f>
        <v>0</v>
      </c>
      <c r="BK43" s="121"/>
      <c r="BL43" s="121"/>
      <c r="BM43" s="918">
        <f>IF(BK43=0,0,(BL43-BK43)/BK43*100)</f>
        <v>0</v>
      </c>
      <c r="BN43" s="121"/>
      <c r="BO43" s="121"/>
      <c r="BP43" s="918">
        <f>IF(BN43=0,0,(BO43-BN43)/BN43*100)</f>
        <v>0</v>
      </c>
      <c r="BQ43" s="121"/>
      <c r="BR43" s="121"/>
      <c r="BS43" s="918">
        <f>IF(BQ43=0,0,(BR43-BQ43)/BQ43*100)</f>
        <v>0</v>
      </c>
      <c r="BT43" s="121"/>
      <c r="BU43" s="121"/>
      <c r="BV43" s="918">
        <f>IF(BT43=0,0,(BU43-BT43)/BT43*100)</f>
        <v>0</v>
      </c>
      <c r="BW43" s="121"/>
      <c r="BX43" s="121"/>
      <c r="BY43" s="918">
        <f>IF(BW43=0,0,(BX43-BW43)/BW43*100)</f>
        <v>0</v>
      </c>
      <c r="BZ43" s="121"/>
      <c r="CA43" s="121"/>
      <c r="CB43" s="918">
        <f>IF(BZ43=0,0,(CA43-BZ43)/BZ43*100)</f>
        <v>0</v>
      </c>
      <c r="CC43" s="121"/>
      <c r="CD43" s="121"/>
      <c r="CE43" s="918">
        <f>IF(CC43=0,0,(CD43-CC43)/CC43*100)</f>
        <v>0</v>
      </c>
      <c r="CF43" s="121"/>
      <c r="CG43" s="121"/>
      <c r="CH43" s="918">
        <f>IF(CF43=0,0,(CG43-CF43)/CF43*100)</f>
        <v>0</v>
      </c>
      <c r="CI43" s="121"/>
      <c r="CJ43" s="121"/>
      <c r="CK43" s="918">
        <f>IF(CI43=0,0,(CJ43-CI43)/CI43*100)</f>
        <v>0</v>
      </c>
      <c r="CL43" s="121"/>
      <c r="CM43" s="121"/>
      <c r="CN43" s="918">
        <f>IF(CL43=0,0,(CM43-CL43)/CL43*100)</f>
        <v>0</v>
      </c>
      <c r="CO43" s="121"/>
      <c r="CP43" s="121"/>
      <c r="CQ43" s="918">
        <f>IF(CO43=0,0,(CP43-CO43)/CO43*100)</f>
        <v>0</v>
      </c>
      <c r="CR43" s="121"/>
      <c r="CS43" s="121"/>
      <c r="CT43" s="918">
        <f>IF(CR43=0,0,(CS43-CR43)/CR43*100)</f>
        <v>0</v>
      </c>
      <c r="CU43" s="121"/>
      <c r="CV43" s="121"/>
      <c r="CW43" s="918">
        <f>IF(CU43=0,0,(CV43-CU43)/CU43*100)</f>
        <v>0</v>
      </c>
      <c r="CX43" s="121"/>
      <c r="CY43" s="121"/>
      <c r="CZ43" s="918">
        <f>IF(CX43=0,0,(CY43-CX43)/CX43*100)</f>
        <v>0</v>
      </c>
      <c r="DA43" s="121"/>
      <c r="DB43" s="121"/>
      <c r="DC43" s="918">
        <f>IF(DA43=0,0,(DB43-DA43)/DA43*100)</f>
        <v>0</v>
      </c>
      <c r="DD43" s="121"/>
      <c r="DE43" s="121"/>
      <c r="DF43" s="918">
        <f>IF(DD43=0,0,(DE43-DD43)/DD43*100)</f>
        <v>0</v>
      </c>
      <c r="DG43" s="121"/>
      <c r="DH43" s="121"/>
      <c r="DI43" s="918">
        <f>IF(DG43=0,0,(DH43-DG43)/DG43*100)</f>
        <v>0</v>
      </c>
      <c r="DJ43" s="121"/>
      <c r="DK43" s="121"/>
      <c r="DL43" s="918">
        <f>IF(DJ43=0,0,(DK43-DJ43)/DJ43*100)</f>
        <v>0</v>
      </c>
      <c r="DM43" s="121"/>
      <c r="DN43" s="121"/>
      <c r="DO43" s="918">
        <f>IF(DM43=0,0,(DN43-DM43)/DM43*100)</f>
        <v>0</v>
      </c>
      <c r="DP43" s="121"/>
      <c r="DQ43" s="121"/>
      <c r="DR43" s="918">
        <f>IF(DP43=0,0,(DQ43-DP43)/DP43*100)</f>
        <v>0</v>
      </c>
      <c r="DS43" s="121"/>
      <c r="DT43" s="121"/>
      <c r="DU43" s="918">
        <f>IF(DS43=0,0,(DT43-DS43)/DS43*100)</f>
        <v>0</v>
      </c>
      <c r="DV43" s="121"/>
      <c r="DW43" s="121"/>
      <c r="DX43" s="918">
        <f>IF(DV43=0,0,(DW43-DV43)/DV43*100)</f>
        <v>0</v>
      </c>
      <c r="DY43" s="121"/>
      <c r="DZ43" s="121"/>
      <c r="EA43" s="918">
        <f>IF(DY43=0,0,(DZ43-DY43)/DY43*100)</f>
        <v>0</v>
      </c>
      <c r="EB43" s="121"/>
      <c r="EC43" s="121"/>
      <c r="ED43" s="918">
        <f>IF(EB43=0,0,(EC43-EB43)/EB43*100)</f>
        <v>0</v>
      </c>
      <c r="EE43" s="121"/>
      <c r="EF43" s="121"/>
      <c r="EG43" s="918">
        <f>IF(EE43=0,0,(EF43-EE43)/EE43*100)</f>
        <v>0</v>
      </c>
      <c r="EH43" s="121"/>
      <c r="EI43" s="121"/>
      <c r="EJ43" s="918">
        <f>IF(EH43=0,0,(EI43-EH43)/EH43*100)</f>
        <v>0</v>
      </c>
      <c r="EK43" s="121"/>
      <c r="EL43" s="121"/>
      <c r="EM43" s="918">
        <f>IF(EK43=0,0,(EL43-EK43)/EK43*100)</f>
        <v>0</v>
      </c>
      <c r="EN43" s="121"/>
      <c r="EO43" s="121"/>
      <c r="EP43" s="918">
        <f>IF(EN43=0,0,(EO43-EN43)/EN43*100)</f>
        <v>0</v>
      </c>
      <c r="EQ43" s="121"/>
      <c r="ER43" s="121"/>
      <c r="ES43" s="918">
        <f>IF(EQ43=0,0,(ER43-EQ43)/EQ43*100)</f>
        <v>0</v>
      </c>
      <c r="ET43" s="121"/>
      <c r="EU43" s="121"/>
      <c r="EV43" s="918">
        <f>IF(ET43=0,0,(EU43-ET43)/ET43*100)</f>
        <v>0</v>
      </c>
      <c r="EW43" s="121"/>
      <c r="EX43" s="121"/>
      <c r="EY43" s="918">
        <f>IF(EW43=0,0,(EX43-EW43)/EW43*100)</f>
        <v>0</v>
      </c>
      <c r="EZ43" s="121"/>
      <c r="FA43" s="121"/>
      <c r="FB43" s="918">
        <f>IF(EZ43=0,0,(FA43-EZ43)/EZ43*100)</f>
        <v>0</v>
      </c>
      <c r="FC43" s="121"/>
      <c r="FD43" s="121"/>
      <c r="FE43" s="918">
        <f>IF(FC43=0,0,(FD43-FC43)/FC43*100)</f>
        <v>0</v>
      </c>
      <c r="FF43" s="121"/>
      <c r="FG43" s="121"/>
      <c r="FH43" s="918">
        <f>IF(FF43=0,0,(FG43-FF43)/FF43*100)</f>
        <v>0</v>
      </c>
      <c r="FI43" s="121"/>
      <c r="FJ43" s="121"/>
      <c r="FK43" s="918">
        <f>IF(FI43=0,0,(FJ43-FI43)/FI43*100)</f>
        <v>0</v>
      </c>
      <c r="FL43" s="121"/>
      <c r="FM43" s="121"/>
      <c r="FN43" s="918">
        <f>IF(FL43=0,0,(FM43-FL43)/FL43*100)</f>
        <v>0</v>
      </c>
      <c r="FO43" s="121"/>
      <c r="FP43" s="121"/>
      <c r="FQ43" s="918">
        <f>IF(FO43=0,0,(FP43-FO43)/FO43*100)</f>
        <v>0</v>
      </c>
      <c r="FR43" s="121"/>
      <c r="FS43" s="121"/>
      <c r="FT43" s="918">
        <f>IF(FR43=0,0,(FS43-FR43)/FR43*100)</f>
        <v>0</v>
      </c>
      <c r="FU43" s="121"/>
      <c r="FV43" s="121"/>
      <c r="FW43" s="918">
        <f>IF(FU43=0,0,(FV43-FU43)/FU43*100)</f>
        <v>0</v>
      </c>
      <c r="FZ43" s="489" t="s">
        <v>2481</v>
      </c>
      <c r="GA43" s="489"/>
      <c r="GB43" s="489"/>
      <c r="GC43" s="489"/>
      <c r="GD43" s="489"/>
      <c r="GF43" s="1501" cm="1" t="str">
        <f t="array" ref="GF43:GF43">GF42</f>
        <v>0</v>
      </c>
      <c r="GG43" s="1501" t="s">
        <v>704</v>
      </c>
      <c r="GH43" s="1501"/>
      <c r="GI43" s="1501" t="s">
        <v>796</v>
      </c>
      <c r="GJ43" s="1501" t="s">
        <v>2084</v>
      </c>
      <c r="GK43" s="1501"/>
      <c r="GL43" s="1501" t="s">
        <v>303</v>
      </c>
      <c r="GM43" s="1501" t="s">
        <v>2079</v>
      </c>
      <c r="GN43" s="1501" t="s">
        <v>2080</v>
      </c>
    </row>
    <row customHeight="1" ht="16.575" hidden="1">
      <c r="B44" s="192" cm="1" t="str">
        <f t="array" ref="B44:B44">B43</f>
        <v>false</v>
      </c>
      <c r="E44" s="180">
        <v>17</v>
      </c>
      <c r="F44" s="175" cm="1" t="str">
        <f t="array" ref="F44:F44">OFFSET(G44,-1,-1)</f>
        <v>0</v>
      </c>
      <c r="T44" s="753" cm="1" t="str">
        <f t="array" ref="T44:T44">T43</f>
        <v>false</v>
      </c>
      <c r="AB44" s="560" t="s">
        <v>2482</v>
      </c>
      <c r="AC44" s="381" t="s">
        <v>629</v>
      </c>
      <c r="AD44" s="121"/>
      <c r="AE44" s="121"/>
      <c r="AF44" s="918">
        <f>IF(AD44=0,0,(AE44-AD44)/AD44*100)</f>
        <v>0</v>
      </c>
      <c r="AG44" s="121"/>
      <c r="AH44" s="121"/>
      <c r="AI44" s="918">
        <f>IF(AG44=0,0,(AH44-AG44)/AG44*100)</f>
        <v>0</v>
      </c>
      <c r="AJ44" s="121"/>
      <c r="AK44" s="121"/>
      <c r="AL44" s="918">
        <f>IF(AJ44=0,0,(AK44-AJ44)/AJ44*100)</f>
        <v>0</v>
      </c>
      <c r="AM44" s="121"/>
      <c r="AN44" s="121"/>
      <c r="AO44" s="918">
        <f>IF(AM44=0,0,(AN44-AM44)/AM44*100)</f>
        <v>0</v>
      </c>
      <c r="AP44" s="121"/>
      <c r="AQ44" s="121"/>
      <c r="AR44" s="918">
        <f>IF(AP44=0,0,(AQ44-AP44)/AP44*100)</f>
        <v>0</v>
      </c>
      <c r="AS44" s="121"/>
      <c r="AT44" s="121"/>
      <c r="AU44" s="918">
        <f>IF(AS44=0,0,(AT44-AS44)/AS44*100)</f>
        <v>0</v>
      </c>
      <c r="AV44" s="121"/>
      <c r="AW44" s="121"/>
      <c r="AX44" s="918">
        <f>IF(AV44=0,0,(AW44-AV44)/AV44*100)</f>
        <v>0</v>
      </c>
      <c r="AY44" s="121"/>
      <c r="AZ44" s="121"/>
      <c r="BA44" s="918">
        <f>IF(AY44=0,0,(AZ44-AY44)/AY44*100)</f>
        <v>0</v>
      </c>
      <c r="BB44" s="121"/>
      <c r="BC44" s="121"/>
      <c r="BD44" s="918">
        <f>IF(BB44=0,0,(BC44-BB44)/BB44*100)</f>
        <v>0</v>
      </c>
      <c r="BE44" s="121"/>
      <c r="BF44" s="121"/>
      <c r="BG44" s="918">
        <f>IF(BE44=0,0,(BF44-BE44)/BE44*100)</f>
        <v>0</v>
      </c>
      <c r="BH44" s="121"/>
      <c r="BI44" s="121"/>
      <c r="BJ44" s="918">
        <f>IF(BH44=0,0,(BI44-BH44)/BH44*100)</f>
        <v>0</v>
      </c>
      <c r="BK44" s="121"/>
      <c r="BL44" s="121"/>
      <c r="BM44" s="918">
        <f>IF(BK44=0,0,(BL44-BK44)/BK44*100)</f>
        <v>0</v>
      </c>
      <c r="BN44" s="121"/>
      <c r="BO44" s="121"/>
      <c r="BP44" s="918">
        <f>IF(BN44=0,0,(BO44-BN44)/BN44*100)</f>
        <v>0</v>
      </c>
      <c r="BQ44" s="121"/>
      <c r="BR44" s="121"/>
      <c r="BS44" s="918">
        <f>IF(BQ44=0,0,(BR44-BQ44)/BQ44*100)</f>
        <v>0</v>
      </c>
      <c r="BT44" s="121"/>
      <c r="BU44" s="121"/>
      <c r="BV44" s="918">
        <f>IF(BT44=0,0,(BU44-BT44)/BT44*100)</f>
        <v>0</v>
      </c>
      <c r="BW44" s="121"/>
      <c r="BX44" s="121"/>
      <c r="BY44" s="918">
        <f>IF(BW44=0,0,(BX44-BW44)/BW44*100)</f>
        <v>0</v>
      </c>
      <c r="BZ44" s="121"/>
      <c r="CA44" s="121"/>
      <c r="CB44" s="918">
        <f>IF(BZ44=0,0,(CA44-BZ44)/BZ44*100)</f>
        <v>0</v>
      </c>
      <c r="CC44" s="121"/>
      <c r="CD44" s="121"/>
      <c r="CE44" s="918">
        <f>IF(CC44=0,0,(CD44-CC44)/CC44*100)</f>
        <v>0</v>
      </c>
      <c r="CF44" s="121"/>
      <c r="CG44" s="121"/>
      <c r="CH44" s="918">
        <f>IF(CF44=0,0,(CG44-CF44)/CF44*100)</f>
        <v>0</v>
      </c>
      <c r="CI44" s="121"/>
      <c r="CJ44" s="121"/>
      <c r="CK44" s="918">
        <f>IF(CI44=0,0,(CJ44-CI44)/CI44*100)</f>
        <v>0</v>
      </c>
      <c r="CL44" s="121"/>
      <c r="CM44" s="121"/>
      <c r="CN44" s="918">
        <f>IF(CL44=0,0,(CM44-CL44)/CL44*100)</f>
        <v>0</v>
      </c>
      <c r="CO44" s="121"/>
      <c r="CP44" s="121"/>
      <c r="CQ44" s="918">
        <f>IF(CO44=0,0,(CP44-CO44)/CO44*100)</f>
        <v>0</v>
      </c>
      <c r="CR44" s="121"/>
      <c r="CS44" s="121"/>
      <c r="CT44" s="918">
        <f>IF(CR44=0,0,(CS44-CR44)/CR44*100)</f>
        <v>0</v>
      </c>
      <c r="CU44" s="121"/>
      <c r="CV44" s="121"/>
      <c r="CW44" s="918">
        <f>IF(CU44=0,0,(CV44-CU44)/CU44*100)</f>
        <v>0</v>
      </c>
      <c r="CX44" s="121"/>
      <c r="CY44" s="121"/>
      <c r="CZ44" s="918">
        <f>IF(CX44=0,0,(CY44-CX44)/CX44*100)</f>
        <v>0</v>
      </c>
      <c r="DA44" s="121"/>
      <c r="DB44" s="121"/>
      <c r="DC44" s="918">
        <f>IF(DA44=0,0,(DB44-DA44)/DA44*100)</f>
        <v>0</v>
      </c>
      <c r="DD44" s="121"/>
      <c r="DE44" s="121"/>
      <c r="DF44" s="918">
        <f>IF(DD44=0,0,(DE44-DD44)/DD44*100)</f>
        <v>0</v>
      </c>
      <c r="DG44" s="121"/>
      <c r="DH44" s="121"/>
      <c r="DI44" s="918">
        <f>IF(DG44=0,0,(DH44-DG44)/DG44*100)</f>
        <v>0</v>
      </c>
      <c r="DJ44" s="121"/>
      <c r="DK44" s="121"/>
      <c r="DL44" s="918">
        <f>IF(DJ44=0,0,(DK44-DJ44)/DJ44*100)</f>
        <v>0</v>
      </c>
      <c r="DM44" s="121"/>
      <c r="DN44" s="121"/>
      <c r="DO44" s="918">
        <f>IF(DM44=0,0,(DN44-DM44)/DM44*100)</f>
        <v>0</v>
      </c>
      <c r="DP44" s="121"/>
      <c r="DQ44" s="121"/>
      <c r="DR44" s="918">
        <f>IF(DP44=0,0,(DQ44-DP44)/DP44*100)</f>
        <v>0</v>
      </c>
      <c r="DS44" s="121"/>
      <c r="DT44" s="121"/>
      <c r="DU44" s="918">
        <f>IF(DS44=0,0,(DT44-DS44)/DS44*100)</f>
        <v>0</v>
      </c>
      <c r="DV44" s="121"/>
      <c r="DW44" s="121"/>
      <c r="DX44" s="918">
        <f>IF(DV44=0,0,(DW44-DV44)/DV44*100)</f>
        <v>0</v>
      </c>
      <c r="DY44" s="121"/>
      <c r="DZ44" s="121"/>
      <c r="EA44" s="918">
        <f>IF(DY44=0,0,(DZ44-DY44)/DY44*100)</f>
        <v>0</v>
      </c>
      <c r="EB44" s="121"/>
      <c r="EC44" s="121"/>
      <c r="ED44" s="918">
        <f>IF(EB44=0,0,(EC44-EB44)/EB44*100)</f>
        <v>0</v>
      </c>
      <c r="EE44" s="121"/>
      <c r="EF44" s="121"/>
      <c r="EG44" s="918">
        <f>IF(EE44=0,0,(EF44-EE44)/EE44*100)</f>
        <v>0</v>
      </c>
      <c r="EH44" s="121"/>
      <c r="EI44" s="121"/>
      <c r="EJ44" s="918">
        <f>IF(EH44=0,0,(EI44-EH44)/EH44*100)</f>
        <v>0</v>
      </c>
      <c r="EK44" s="121"/>
      <c r="EL44" s="121"/>
      <c r="EM44" s="918">
        <f>IF(EK44=0,0,(EL44-EK44)/EK44*100)</f>
        <v>0</v>
      </c>
      <c r="EN44" s="121"/>
      <c r="EO44" s="121"/>
      <c r="EP44" s="918">
        <f>IF(EN44=0,0,(EO44-EN44)/EN44*100)</f>
        <v>0</v>
      </c>
      <c r="EQ44" s="121"/>
      <c r="ER44" s="121"/>
      <c r="ES44" s="918">
        <f>IF(EQ44=0,0,(ER44-EQ44)/EQ44*100)</f>
        <v>0</v>
      </c>
      <c r="ET44" s="121"/>
      <c r="EU44" s="121"/>
      <c r="EV44" s="918">
        <f>IF(ET44=0,0,(EU44-ET44)/ET44*100)</f>
        <v>0</v>
      </c>
      <c r="EW44" s="121"/>
      <c r="EX44" s="121"/>
      <c r="EY44" s="918">
        <f>IF(EW44=0,0,(EX44-EW44)/EW44*100)</f>
        <v>0</v>
      </c>
      <c r="EZ44" s="121"/>
      <c r="FA44" s="121"/>
      <c r="FB44" s="918">
        <f>IF(EZ44=0,0,(FA44-EZ44)/EZ44*100)</f>
        <v>0</v>
      </c>
      <c r="FC44" s="121"/>
      <c r="FD44" s="121"/>
      <c r="FE44" s="918">
        <f>IF(FC44=0,0,(FD44-FC44)/FC44*100)</f>
        <v>0</v>
      </c>
      <c r="FF44" s="121"/>
      <c r="FG44" s="121"/>
      <c r="FH44" s="918">
        <f>IF(FF44=0,0,(FG44-FF44)/FF44*100)</f>
        <v>0</v>
      </c>
      <c r="FI44" s="121"/>
      <c r="FJ44" s="121"/>
      <c r="FK44" s="918">
        <f>IF(FI44=0,0,(FJ44-FI44)/FI44*100)</f>
        <v>0</v>
      </c>
      <c r="FL44" s="121"/>
      <c r="FM44" s="121"/>
      <c r="FN44" s="918">
        <f>IF(FL44=0,0,(FM44-FL44)/FL44*100)</f>
        <v>0</v>
      </c>
      <c r="FO44" s="121"/>
      <c r="FP44" s="121"/>
      <c r="FQ44" s="918">
        <f>IF(FO44=0,0,(FP44-FO44)/FO44*100)</f>
        <v>0</v>
      </c>
      <c r="FR44" s="121"/>
      <c r="FS44" s="121"/>
      <c r="FT44" s="918">
        <f>IF(FR44=0,0,(FS44-FR44)/FR44*100)</f>
        <v>0</v>
      </c>
      <c r="FU44" s="121"/>
      <c r="FV44" s="121"/>
      <c r="FW44" s="918">
        <f>IF(FU44=0,0,(FV44-FU44)/FU44*100)</f>
        <v>0</v>
      </c>
      <c r="FZ44" s="489" t="s">
        <v>2483</v>
      </c>
      <c r="GA44" s="489"/>
      <c r="GB44" s="489"/>
      <c r="GC44" s="489"/>
      <c r="GD44" s="489"/>
      <c r="GF44" s="1501" cm="1" t="str">
        <f t="array" ref="GF44:GF44">GF43</f>
        <v>0</v>
      </c>
      <c r="GG44" s="1501" t="s">
        <v>704</v>
      </c>
      <c r="GH44" s="1501"/>
      <c r="GI44" s="1501" t="s">
        <v>797</v>
      </c>
      <c r="GJ44" s="1501"/>
      <c r="GK44" s="1501"/>
      <c r="GL44" s="1501" t="s">
        <v>303</v>
      </c>
      <c r="GM44" s="1501" t="s">
        <v>2079</v>
      </c>
      <c r="GN44" s="1501" t="s">
        <v>2080</v>
      </c>
    </row>
    <row customHeight="1" ht="16.575" hidden="1">
      <c r="B45" s="192" cm="1" t="str">
        <f t="array" ref="B45:B45">OFFSET(A45,-1,1)</f>
        <v>false</v>
      </c>
      <c r="E45" s="180">
        <v>17</v>
      </c>
      <c r="F45" s="175" cm="1" t="str">
        <f t="array" ref="F45:F45">OFFSET(G45,-1,-1)</f>
        <v>0</v>
      </c>
      <c r="T45" s="753">
        <f>AND(OFFSET(S45,1,1),Y45&gt;0)</f>
        <v>0</v>
      </c>
      <c r="W45" s="175" t="s">
        <v>189</v>
      </c>
      <c r="Y45" s="175">
        <v>0</v>
      </c>
      <c r="AA45" s="1532" t="s">
        <v>171</v>
      </c>
      <c r="AB45" s="102"/>
      <c r="AC45" s="381" t="s">
        <v>1005</v>
      </c>
      <c r="AD45" s="121"/>
      <c r="AE45" s="121"/>
      <c r="AF45" s="918">
        <f>IF(AD45=0,0,(AE45-AD45)/AD45*100)</f>
        <v>0</v>
      </c>
      <c r="AG45" s="121"/>
      <c r="AH45" s="121"/>
      <c r="AI45" s="918">
        <f>IF(AG45=0,0,(AH45-AG45)/AG45*100)</f>
        <v>0</v>
      </c>
      <c r="AJ45" s="121"/>
      <c r="AK45" s="121"/>
      <c r="AL45" s="918">
        <f>IF(AJ45=0,0,(AK45-AJ45)/AJ45*100)</f>
        <v>0</v>
      </c>
      <c r="AM45" s="121"/>
      <c r="AN45" s="121"/>
      <c r="AO45" s="918">
        <f>IF(AM45=0,0,(AN45-AM45)/AM45*100)</f>
        <v>0</v>
      </c>
      <c r="AP45" s="121"/>
      <c r="AQ45" s="121"/>
      <c r="AR45" s="918">
        <f>IF(AP45=0,0,(AQ45-AP45)/AP45*100)</f>
        <v>0</v>
      </c>
      <c r="AS45" s="121"/>
      <c r="AT45" s="121"/>
      <c r="AU45" s="918">
        <f>IF(AS45=0,0,(AT45-AS45)/AS45*100)</f>
        <v>0</v>
      </c>
      <c r="AV45" s="121"/>
      <c r="AW45" s="121"/>
      <c r="AX45" s="918">
        <f>IF(AV45=0,0,(AW45-AV45)/AV45*100)</f>
        <v>0</v>
      </c>
      <c r="AY45" s="121"/>
      <c r="AZ45" s="121"/>
      <c r="BA45" s="918">
        <f>IF(AY45=0,0,(AZ45-AY45)/AY45*100)</f>
        <v>0</v>
      </c>
      <c r="BB45" s="121"/>
      <c r="BC45" s="121"/>
      <c r="BD45" s="918">
        <f>IF(BB45=0,0,(BC45-BB45)/BB45*100)</f>
        <v>0</v>
      </c>
      <c r="BE45" s="121"/>
      <c r="BF45" s="121"/>
      <c r="BG45" s="918">
        <f>IF(BE45=0,0,(BF45-BE45)/BE45*100)</f>
        <v>0</v>
      </c>
      <c r="BH45" s="121"/>
      <c r="BI45" s="121"/>
      <c r="BJ45" s="918">
        <f>IF(BH45=0,0,(BI45-BH45)/BH45*100)</f>
        <v>0</v>
      </c>
      <c r="BK45" s="121"/>
      <c r="BL45" s="121"/>
      <c r="BM45" s="918">
        <f>IF(BK45=0,0,(BL45-BK45)/BK45*100)</f>
        <v>0</v>
      </c>
      <c r="BN45" s="121"/>
      <c r="BO45" s="121"/>
      <c r="BP45" s="918">
        <f>IF(BN45=0,0,(BO45-BN45)/BN45*100)</f>
        <v>0</v>
      </c>
      <c r="BQ45" s="121"/>
      <c r="BR45" s="121"/>
      <c r="BS45" s="918">
        <f>IF(BQ45=0,0,(BR45-BQ45)/BQ45*100)</f>
        <v>0</v>
      </c>
      <c r="BT45" s="121"/>
      <c r="BU45" s="121"/>
      <c r="BV45" s="918">
        <f>IF(BT45=0,0,(BU45-BT45)/BT45*100)</f>
        <v>0</v>
      </c>
      <c r="BW45" s="121"/>
      <c r="BX45" s="121"/>
      <c r="BY45" s="918">
        <f>IF(BW45=0,0,(BX45-BW45)/BW45*100)</f>
        <v>0</v>
      </c>
      <c r="BZ45" s="121"/>
      <c r="CA45" s="121"/>
      <c r="CB45" s="918">
        <f>IF(BZ45=0,0,(CA45-BZ45)/BZ45*100)</f>
        <v>0</v>
      </c>
      <c r="CC45" s="121"/>
      <c r="CD45" s="121"/>
      <c r="CE45" s="918">
        <f>IF(CC45=0,0,(CD45-CC45)/CC45*100)</f>
        <v>0</v>
      </c>
      <c r="CF45" s="121"/>
      <c r="CG45" s="121"/>
      <c r="CH45" s="918">
        <f>IF(CF45=0,0,(CG45-CF45)/CF45*100)</f>
        <v>0</v>
      </c>
      <c r="CI45" s="121"/>
      <c r="CJ45" s="121"/>
      <c r="CK45" s="918">
        <f>IF(CI45=0,0,(CJ45-CI45)/CI45*100)</f>
        <v>0</v>
      </c>
      <c r="CL45" s="121"/>
      <c r="CM45" s="121"/>
      <c r="CN45" s="918">
        <f>IF(CL45=0,0,(CM45-CL45)/CL45*100)</f>
        <v>0</v>
      </c>
      <c r="CO45" s="121"/>
      <c r="CP45" s="121"/>
      <c r="CQ45" s="918">
        <f>IF(CO45=0,0,(CP45-CO45)/CO45*100)</f>
        <v>0</v>
      </c>
      <c r="CR45" s="121"/>
      <c r="CS45" s="121"/>
      <c r="CT45" s="918">
        <f>IF(CR45=0,0,(CS45-CR45)/CR45*100)</f>
        <v>0</v>
      </c>
      <c r="CU45" s="121"/>
      <c r="CV45" s="121"/>
      <c r="CW45" s="918">
        <f>IF(CU45=0,0,(CV45-CU45)/CU45*100)</f>
        <v>0</v>
      </c>
      <c r="CX45" s="121"/>
      <c r="CY45" s="121"/>
      <c r="CZ45" s="918">
        <f>IF(CX45=0,0,(CY45-CX45)/CX45*100)</f>
        <v>0</v>
      </c>
      <c r="DA45" s="121"/>
      <c r="DB45" s="121"/>
      <c r="DC45" s="918">
        <f>IF(DA45=0,0,(DB45-DA45)/DA45*100)</f>
        <v>0</v>
      </c>
      <c r="DD45" s="121"/>
      <c r="DE45" s="121"/>
      <c r="DF45" s="918">
        <f>IF(DD45=0,0,(DE45-DD45)/DD45*100)</f>
        <v>0</v>
      </c>
      <c r="DG45" s="121"/>
      <c r="DH45" s="121"/>
      <c r="DI45" s="918">
        <f>IF(DG45=0,0,(DH45-DG45)/DG45*100)</f>
        <v>0</v>
      </c>
      <c r="DJ45" s="121"/>
      <c r="DK45" s="121"/>
      <c r="DL45" s="918">
        <f>IF(DJ45=0,0,(DK45-DJ45)/DJ45*100)</f>
        <v>0</v>
      </c>
      <c r="DM45" s="121"/>
      <c r="DN45" s="121"/>
      <c r="DO45" s="918">
        <f>IF(DM45=0,0,(DN45-DM45)/DM45*100)</f>
        <v>0</v>
      </c>
      <c r="DP45" s="121"/>
      <c r="DQ45" s="121"/>
      <c r="DR45" s="918">
        <f>IF(DP45=0,0,(DQ45-DP45)/DP45*100)</f>
        <v>0</v>
      </c>
      <c r="DS45" s="121"/>
      <c r="DT45" s="121"/>
      <c r="DU45" s="918">
        <f>IF(DS45=0,0,(DT45-DS45)/DS45*100)</f>
        <v>0</v>
      </c>
      <c r="DV45" s="121"/>
      <c r="DW45" s="121"/>
      <c r="DX45" s="918">
        <f>IF(DV45=0,0,(DW45-DV45)/DV45*100)</f>
        <v>0</v>
      </c>
      <c r="DY45" s="121"/>
      <c r="DZ45" s="121"/>
      <c r="EA45" s="918">
        <f>IF(DY45=0,0,(DZ45-DY45)/DY45*100)</f>
        <v>0</v>
      </c>
      <c r="EB45" s="121"/>
      <c r="EC45" s="121"/>
      <c r="ED45" s="918">
        <f>IF(EB45=0,0,(EC45-EB45)/EB45*100)</f>
        <v>0</v>
      </c>
      <c r="EE45" s="121"/>
      <c r="EF45" s="121"/>
      <c r="EG45" s="918">
        <f>IF(EE45=0,0,(EF45-EE45)/EE45*100)</f>
        <v>0</v>
      </c>
      <c r="EH45" s="121"/>
      <c r="EI45" s="121"/>
      <c r="EJ45" s="918">
        <f>IF(EH45=0,0,(EI45-EH45)/EH45*100)</f>
        <v>0</v>
      </c>
      <c r="EK45" s="121"/>
      <c r="EL45" s="121"/>
      <c r="EM45" s="918">
        <f>IF(EK45=0,0,(EL45-EK45)/EK45*100)</f>
        <v>0</v>
      </c>
      <c r="EN45" s="121"/>
      <c r="EO45" s="121"/>
      <c r="EP45" s="918">
        <f>IF(EN45=0,0,(EO45-EN45)/EN45*100)</f>
        <v>0</v>
      </c>
      <c r="EQ45" s="121"/>
      <c r="ER45" s="121"/>
      <c r="ES45" s="918">
        <f>IF(EQ45=0,0,(ER45-EQ45)/EQ45*100)</f>
        <v>0</v>
      </c>
      <c r="ET45" s="121"/>
      <c r="EU45" s="121"/>
      <c r="EV45" s="918">
        <f>IF(ET45=0,0,(EU45-ET45)/ET45*100)</f>
        <v>0</v>
      </c>
      <c r="EW45" s="121"/>
      <c r="EX45" s="121"/>
      <c r="EY45" s="918">
        <f>IF(EW45=0,0,(EX45-EW45)/EW45*100)</f>
        <v>0</v>
      </c>
      <c r="EZ45" s="121"/>
      <c r="FA45" s="121"/>
      <c r="FB45" s="918">
        <f>IF(EZ45=0,0,(FA45-EZ45)/EZ45*100)</f>
        <v>0</v>
      </c>
      <c r="FC45" s="121"/>
      <c r="FD45" s="121"/>
      <c r="FE45" s="918">
        <f>IF(FC45=0,0,(FD45-FC45)/FC45*100)</f>
        <v>0</v>
      </c>
      <c r="FF45" s="121"/>
      <c r="FG45" s="121"/>
      <c r="FH45" s="918">
        <f>IF(FF45=0,0,(FG45-FF45)/FF45*100)</f>
        <v>0</v>
      </c>
      <c r="FI45" s="121"/>
      <c r="FJ45" s="121"/>
      <c r="FK45" s="918">
        <f>IF(FI45=0,0,(FJ45-FI45)/FI45*100)</f>
        <v>0</v>
      </c>
      <c r="FL45" s="121"/>
      <c r="FM45" s="121"/>
      <c r="FN45" s="918">
        <f>IF(FL45=0,0,(FM45-FL45)/FL45*100)</f>
        <v>0</v>
      </c>
      <c r="FO45" s="121"/>
      <c r="FP45" s="121"/>
      <c r="FQ45" s="918">
        <f>IF(FO45=0,0,(FP45-FO45)/FO45*100)</f>
        <v>0</v>
      </c>
      <c r="FR45" s="121"/>
      <c r="FS45" s="121"/>
      <c r="FT45" s="918">
        <f>IF(FR45=0,0,(FS45-FR45)/FR45*100)</f>
        <v>0</v>
      </c>
      <c r="FU45" s="121"/>
      <c r="FV45" s="121"/>
      <c r="FW45" s="918">
        <f>IF(FU45=0,0,(FV45-FU45)/FU45*100)</f>
        <v>0</v>
      </c>
      <c r="FZ45" s="489" t="s">
        <v>2484</v>
      </c>
      <c r="GA45" s="489" t="s">
        <v>2485</v>
      </c>
      <c r="GB45" s="489" cm="1" t="str">
        <f t="array" ref="GB45:GB45">AB45</f>
        <v>0</v>
      </c>
      <c r="GC45" s="489"/>
      <c r="GD45" s="489" t="b">
        <v>1</v>
      </c>
      <c r="GF45" s="1501" cm="1" t="str">
        <f t="array" ref="GF45:GF45">OFFSET(GG45,-1,-1)</f>
        <v>0</v>
      </c>
      <c r="GG45" s="1501" t="s">
        <v>704</v>
      </c>
      <c r="GH45" s="1501"/>
      <c r="GI45" s="1501"/>
      <c r="GJ45" s="1501"/>
      <c r="GK45" s="1501" cm="1" t="str">
        <f t="array" ref="GK45:GK45">$AB45</f>
        <v>0</v>
      </c>
      <c r="GL45" s="1501" t="s">
        <v>303</v>
      </c>
      <c r="GM45" s="1501" t="s">
        <v>2453</v>
      </c>
      <c r="GN45" s="1501" t="s">
        <v>2454</v>
      </c>
    </row>
    <row customHeight="1" ht="16.575" hidden="1">
      <c r="B46" s="192" cm="1" t="str">
        <f t="array" ref="B46:B46">OFFSET(A46,-1,1)</f>
        <v>false</v>
      </c>
      <c r="E46" s="180">
        <v>17</v>
      </c>
      <c r="F46" s="175" cm="1" t="str">
        <f t="array" ref="F46:F46">OFFSET(G46,-1,-1)</f>
        <v>0</v>
      </c>
      <c r="T46" s="753">
        <f>AND(OFFSET(S46,1,1),Y45&gt;0)</f>
        <v>0</v>
      </c>
      <c r="AA46" s="1533"/>
      <c r="AB46" s="913" t="s">
        <v>2486</v>
      </c>
      <c r="AC46" s="381" t="s">
        <v>629</v>
      </c>
      <c r="AD46" s="121"/>
      <c r="AE46" s="121"/>
      <c r="AF46" s="918">
        <f>IF(AD46=0,0,(AE46-AD46)/AD46*100)</f>
        <v>0</v>
      </c>
      <c r="AG46" s="121"/>
      <c r="AH46" s="121"/>
      <c r="AI46" s="918">
        <f>IF(AG46=0,0,(AH46-AG46)/AG46*100)</f>
        <v>0</v>
      </c>
      <c r="AJ46" s="121"/>
      <c r="AK46" s="121"/>
      <c r="AL46" s="918">
        <f>IF(AJ46=0,0,(AK46-AJ46)/AJ46*100)</f>
        <v>0</v>
      </c>
      <c r="AM46" s="121"/>
      <c r="AN46" s="121"/>
      <c r="AO46" s="918">
        <f>IF(AM46=0,0,(AN46-AM46)/AM46*100)</f>
        <v>0</v>
      </c>
      <c r="AP46" s="121"/>
      <c r="AQ46" s="121"/>
      <c r="AR46" s="918">
        <f>IF(AP46=0,0,(AQ46-AP46)/AP46*100)</f>
        <v>0</v>
      </c>
      <c r="AS46" s="121"/>
      <c r="AT46" s="121"/>
      <c r="AU46" s="918">
        <f>IF(AS46=0,0,(AT46-AS46)/AS46*100)</f>
        <v>0</v>
      </c>
      <c r="AV46" s="121"/>
      <c r="AW46" s="121"/>
      <c r="AX46" s="918">
        <f>IF(AV46=0,0,(AW46-AV46)/AV46*100)</f>
        <v>0</v>
      </c>
      <c r="AY46" s="121"/>
      <c r="AZ46" s="121"/>
      <c r="BA46" s="918">
        <f>IF(AY46=0,0,(AZ46-AY46)/AY46*100)</f>
        <v>0</v>
      </c>
      <c r="BB46" s="121"/>
      <c r="BC46" s="121"/>
      <c r="BD46" s="918">
        <f>IF(BB46=0,0,(BC46-BB46)/BB46*100)</f>
        <v>0</v>
      </c>
      <c r="BE46" s="121"/>
      <c r="BF46" s="121"/>
      <c r="BG46" s="918">
        <f>IF(BE46=0,0,(BF46-BE46)/BE46*100)</f>
        <v>0</v>
      </c>
      <c r="BH46" s="121"/>
      <c r="BI46" s="121"/>
      <c r="BJ46" s="918">
        <f>IF(BH46=0,0,(BI46-BH46)/BH46*100)</f>
        <v>0</v>
      </c>
      <c r="BK46" s="121"/>
      <c r="BL46" s="121"/>
      <c r="BM46" s="918">
        <f>IF(BK46=0,0,(BL46-BK46)/BK46*100)</f>
        <v>0</v>
      </c>
      <c r="BN46" s="121"/>
      <c r="BO46" s="121"/>
      <c r="BP46" s="918">
        <f>IF(BN46=0,0,(BO46-BN46)/BN46*100)</f>
        <v>0</v>
      </c>
      <c r="BQ46" s="121"/>
      <c r="BR46" s="121"/>
      <c r="BS46" s="918">
        <f>IF(BQ46=0,0,(BR46-BQ46)/BQ46*100)</f>
        <v>0</v>
      </c>
      <c r="BT46" s="121"/>
      <c r="BU46" s="121"/>
      <c r="BV46" s="918">
        <f>IF(BT46=0,0,(BU46-BT46)/BT46*100)</f>
        <v>0</v>
      </c>
      <c r="BW46" s="121"/>
      <c r="BX46" s="121"/>
      <c r="BY46" s="918">
        <f>IF(BW46=0,0,(BX46-BW46)/BW46*100)</f>
        <v>0</v>
      </c>
      <c r="BZ46" s="121"/>
      <c r="CA46" s="121"/>
      <c r="CB46" s="918">
        <f>IF(BZ46=0,0,(CA46-BZ46)/BZ46*100)</f>
        <v>0</v>
      </c>
      <c r="CC46" s="121"/>
      <c r="CD46" s="121"/>
      <c r="CE46" s="918">
        <f>IF(CC46=0,0,(CD46-CC46)/CC46*100)</f>
        <v>0</v>
      </c>
      <c r="CF46" s="121"/>
      <c r="CG46" s="121"/>
      <c r="CH46" s="918">
        <f>IF(CF46=0,0,(CG46-CF46)/CF46*100)</f>
        <v>0</v>
      </c>
      <c r="CI46" s="121"/>
      <c r="CJ46" s="121"/>
      <c r="CK46" s="918">
        <f>IF(CI46=0,0,(CJ46-CI46)/CI46*100)</f>
        <v>0</v>
      </c>
      <c r="CL46" s="121"/>
      <c r="CM46" s="121"/>
      <c r="CN46" s="918">
        <f>IF(CL46=0,0,(CM46-CL46)/CL46*100)</f>
        <v>0</v>
      </c>
      <c r="CO46" s="121"/>
      <c r="CP46" s="121"/>
      <c r="CQ46" s="918">
        <f>IF(CO46=0,0,(CP46-CO46)/CO46*100)</f>
        <v>0</v>
      </c>
      <c r="CR46" s="121"/>
      <c r="CS46" s="121"/>
      <c r="CT46" s="918">
        <f>IF(CR46=0,0,(CS46-CR46)/CR46*100)</f>
        <v>0</v>
      </c>
      <c r="CU46" s="121"/>
      <c r="CV46" s="121"/>
      <c r="CW46" s="918">
        <f>IF(CU46=0,0,(CV46-CU46)/CU46*100)</f>
        <v>0</v>
      </c>
      <c r="CX46" s="121"/>
      <c r="CY46" s="121"/>
      <c r="CZ46" s="918">
        <f>IF(CX46=0,0,(CY46-CX46)/CX46*100)</f>
        <v>0</v>
      </c>
      <c r="DA46" s="121"/>
      <c r="DB46" s="121"/>
      <c r="DC46" s="918">
        <f>IF(DA46=0,0,(DB46-DA46)/DA46*100)</f>
        <v>0</v>
      </c>
      <c r="DD46" s="121"/>
      <c r="DE46" s="121"/>
      <c r="DF46" s="918">
        <f>IF(DD46=0,0,(DE46-DD46)/DD46*100)</f>
        <v>0</v>
      </c>
      <c r="DG46" s="121"/>
      <c r="DH46" s="121"/>
      <c r="DI46" s="918">
        <f>IF(DG46=0,0,(DH46-DG46)/DG46*100)</f>
        <v>0</v>
      </c>
      <c r="DJ46" s="121"/>
      <c r="DK46" s="121"/>
      <c r="DL46" s="918">
        <f>IF(DJ46=0,0,(DK46-DJ46)/DJ46*100)</f>
        <v>0</v>
      </c>
      <c r="DM46" s="121"/>
      <c r="DN46" s="121"/>
      <c r="DO46" s="918">
        <f>IF(DM46=0,0,(DN46-DM46)/DM46*100)</f>
        <v>0</v>
      </c>
      <c r="DP46" s="121"/>
      <c r="DQ46" s="121"/>
      <c r="DR46" s="918">
        <f>IF(DP46=0,0,(DQ46-DP46)/DP46*100)</f>
        <v>0</v>
      </c>
      <c r="DS46" s="121"/>
      <c r="DT46" s="121"/>
      <c r="DU46" s="918">
        <f>IF(DS46=0,0,(DT46-DS46)/DS46*100)</f>
        <v>0</v>
      </c>
      <c r="DV46" s="121"/>
      <c r="DW46" s="121"/>
      <c r="DX46" s="918">
        <f>IF(DV46=0,0,(DW46-DV46)/DV46*100)</f>
        <v>0</v>
      </c>
      <c r="DY46" s="121"/>
      <c r="DZ46" s="121"/>
      <c r="EA46" s="918">
        <f>IF(DY46=0,0,(DZ46-DY46)/DY46*100)</f>
        <v>0</v>
      </c>
      <c r="EB46" s="121"/>
      <c r="EC46" s="121"/>
      <c r="ED46" s="918">
        <f>IF(EB46=0,0,(EC46-EB46)/EB46*100)</f>
        <v>0</v>
      </c>
      <c r="EE46" s="121"/>
      <c r="EF46" s="121"/>
      <c r="EG46" s="918">
        <f>IF(EE46=0,0,(EF46-EE46)/EE46*100)</f>
        <v>0</v>
      </c>
      <c r="EH46" s="121"/>
      <c r="EI46" s="121"/>
      <c r="EJ46" s="918">
        <f>IF(EH46=0,0,(EI46-EH46)/EH46*100)</f>
        <v>0</v>
      </c>
      <c r="EK46" s="121"/>
      <c r="EL46" s="121"/>
      <c r="EM46" s="918">
        <f>IF(EK46=0,0,(EL46-EK46)/EK46*100)</f>
        <v>0</v>
      </c>
      <c r="EN46" s="121"/>
      <c r="EO46" s="121"/>
      <c r="EP46" s="918">
        <f>IF(EN46=0,0,(EO46-EN46)/EN46*100)</f>
        <v>0</v>
      </c>
      <c r="EQ46" s="121"/>
      <c r="ER46" s="121"/>
      <c r="ES46" s="918">
        <f>IF(EQ46=0,0,(ER46-EQ46)/EQ46*100)</f>
        <v>0</v>
      </c>
      <c r="ET46" s="121"/>
      <c r="EU46" s="121"/>
      <c r="EV46" s="918">
        <f>IF(ET46=0,0,(EU46-ET46)/ET46*100)</f>
        <v>0</v>
      </c>
      <c r="EW46" s="121"/>
      <c r="EX46" s="121"/>
      <c r="EY46" s="918">
        <f>IF(EW46=0,0,(EX46-EW46)/EW46*100)</f>
        <v>0</v>
      </c>
      <c r="EZ46" s="121"/>
      <c r="FA46" s="121"/>
      <c r="FB46" s="918">
        <f>IF(EZ46=0,0,(FA46-EZ46)/EZ46*100)</f>
        <v>0</v>
      </c>
      <c r="FC46" s="121"/>
      <c r="FD46" s="121"/>
      <c r="FE46" s="918">
        <f>IF(FC46=0,0,(FD46-FC46)/FC46*100)</f>
        <v>0</v>
      </c>
      <c r="FF46" s="121"/>
      <c r="FG46" s="121"/>
      <c r="FH46" s="918">
        <f>IF(FF46=0,0,(FG46-FF46)/FF46*100)</f>
        <v>0</v>
      </c>
      <c r="FI46" s="121"/>
      <c r="FJ46" s="121"/>
      <c r="FK46" s="918">
        <f>IF(FI46=0,0,(FJ46-FI46)/FI46*100)</f>
        <v>0</v>
      </c>
      <c r="FL46" s="121"/>
      <c r="FM46" s="121"/>
      <c r="FN46" s="918">
        <f>IF(FL46=0,0,(FM46-FL46)/FL46*100)</f>
        <v>0</v>
      </c>
      <c r="FO46" s="121"/>
      <c r="FP46" s="121"/>
      <c r="FQ46" s="918">
        <f>IF(FO46=0,0,(FP46-FO46)/FO46*100)</f>
        <v>0</v>
      </c>
      <c r="FR46" s="121"/>
      <c r="FS46" s="121"/>
      <c r="FT46" s="918">
        <f>IF(FR46=0,0,(FS46-FR46)/FR46*100)</f>
        <v>0</v>
      </c>
      <c r="FU46" s="121"/>
      <c r="FV46" s="121"/>
      <c r="FW46" s="918">
        <f>IF(FU46=0,0,(FV46-FU46)/FU46*100)</f>
        <v>0</v>
      </c>
      <c r="FZ46" s="489" t="s">
        <v>2479</v>
      </c>
      <c r="GA46" s="489" t="s">
        <v>2485</v>
      </c>
      <c r="GB46" s="489" cm="1" t="str">
        <f t="array" ref="GB46:GB46">GB45</f>
        <v>0</v>
      </c>
      <c r="GC46" s="489"/>
      <c r="GD46" s="489"/>
      <c r="GF46" s="1501" cm="1" t="str">
        <f t="array" ref="GF46:GF46">GF45</f>
        <v>0</v>
      </c>
      <c r="GG46" s="1501" t="s">
        <v>704</v>
      </c>
      <c r="GH46" s="1501"/>
      <c r="GI46" s="1501"/>
      <c r="GJ46" s="1501"/>
      <c r="GK46" s="1501" cm="1" t="str">
        <f t="array" ref="GK46:GK46">GK45</f>
        <v>0</v>
      </c>
      <c r="GL46" s="1501" t="s">
        <v>303</v>
      </c>
      <c r="GM46" s="1501" t="s">
        <v>2079</v>
      </c>
      <c r="GN46" s="1501" t="s">
        <v>2080</v>
      </c>
    </row>
    <row customHeight="1" ht="16.575" hidden="1">
      <c r="B47" s="192" cm="1" t="str">
        <f t="array" ref="B47:B47">OFFSET(A47,-1,1)</f>
        <v>false</v>
      </c>
      <c r="E47" s="180">
        <v>17</v>
      </c>
      <c r="F47" s="175" cm="1" t="str">
        <f t="array" ref="F47:F47">OFFSET(G47,-1,-1)</f>
        <v>0</v>
      </c>
      <c r="T47" s="753" cm="1" t="str">
        <f t="array" ref="T47:T47">T44</f>
        <v>false</v>
      </c>
      <c r="W47" s="371" t="s">
        <v>2487</v>
      </c>
      <c r="AB47" s="919" t="s">
        <v>191</v>
      </c>
      <c r="AC47" s="241"/>
      <c r="AD47" s="609"/>
      <c r="AE47" s="609"/>
      <c r="AF47" s="920"/>
      <c r="AG47" s="609"/>
      <c r="AH47" s="609"/>
      <c r="AI47" s="920"/>
      <c r="AJ47" s="609"/>
      <c r="AK47" s="609"/>
      <c r="AL47" s="920"/>
      <c r="AM47" s="609"/>
      <c r="AN47" s="609"/>
      <c r="AO47" s="920"/>
      <c r="AP47" s="609"/>
      <c r="AQ47" s="609"/>
      <c r="AR47" s="920"/>
      <c r="AS47" s="609"/>
      <c r="AT47" s="609"/>
      <c r="AU47" s="920"/>
      <c r="AV47" s="609"/>
      <c r="AW47" s="609"/>
      <c r="AX47" s="920"/>
      <c r="AY47" s="609"/>
      <c r="AZ47" s="609"/>
      <c r="BA47" s="920"/>
      <c r="BB47" s="609"/>
      <c r="BC47" s="609"/>
      <c r="BD47" s="920"/>
      <c r="BE47" s="609"/>
      <c r="BF47" s="609"/>
      <c r="BG47" s="920"/>
      <c r="BH47" s="609"/>
      <c r="BI47" s="609"/>
      <c r="BJ47" s="920"/>
      <c r="BK47" s="920"/>
      <c r="BL47" s="920"/>
      <c r="BM47" s="920"/>
      <c r="BN47" s="920"/>
      <c r="BO47" s="920"/>
      <c r="BP47" s="920"/>
      <c r="BQ47" s="920"/>
      <c r="BR47" s="920"/>
      <c r="BS47" s="920"/>
      <c r="BT47" s="920"/>
      <c r="BU47" s="920"/>
      <c r="BV47" s="920"/>
      <c r="BW47" s="920"/>
      <c r="BX47" s="920"/>
      <c r="BY47" s="920"/>
      <c r="BZ47" s="920"/>
      <c r="CA47" s="920"/>
      <c r="CB47" s="920"/>
      <c r="CC47" s="920"/>
      <c r="CD47" s="920"/>
      <c r="CE47" s="920"/>
      <c r="CF47" s="920"/>
      <c r="CG47" s="920"/>
      <c r="CH47" s="920"/>
      <c r="CI47" s="920"/>
      <c r="CJ47" s="920"/>
      <c r="CK47" s="920"/>
      <c r="CL47" s="920"/>
      <c r="CM47" s="920"/>
      <c r="CN47" s="920"/>
      <c r="CO47" s="920"/>
      <c r="CP47" s="920"/>
      <c r="CQ47" s="920"/>
      <c r="CR47" s="920"/>
      <c r="CS47" s="920"/>
      <c r="CT47" s="920"/>
      <c r="CU47" s="920"/>
      <c r="CV47" s="920"/>
      <c r="CW47" s="920"/>
      <c r="CX47" s="920"/>
      <c r="CY47" s="920"/>
      <c r="CZ47" s="920"/>
      <c r="DA47" s="920"/>
      <c r="DB47" s="920"/>
      <c r="DC47" s="920"/>
      <c r="DD47" s="920"/>
      <c r="DE47" s="920"/>
      <c r="DF47" s="920"/>
      <c r="DG47" s="920"/>
      <c r="DH47" s="920"/>
      <c r="DI47" s="920"/>
      <c r="DJ47" s="920"/>
      <c r="DK47" s="920"/>
      <c r="DL47" s="920"/>
      <c r="DM47" s="920"/>
      <c r="DN47" s="920"/>
      <c r="DO47" s="920"/>
      <c r="DP47" s="920"/>
      <c r="DQ47" s="920"/>
      <c r="DR47" s="920"/>
      <c r="DS47" s="920"/>
      <c r="DT47" s="920"/>
      <c r="DU47" s="920"/>
      <c r="DV47" s="920"/>
      <c r="DW47" s="920"/>
      <c r="DX47" s="920"/>
      <c r="DY47" s="920"/>
      <c r="DZ47" s="920"/>
      <c r="EA47" s="920"/>
      <c r="EB47" s="920"/>
      <c r="EC47" s="920"/>
      <c r="ED47" s="920"/>
      <c r="EE47" s="920"/>
      <c r="EF47" s="920"/>
      <c r="EG47" s="920"/>
      <c r="EH47" s="920"/>
      <c r="EI47" s="920"/>
      <c r="EJ47" s="920"/>
      <c r="EK47" s="920"/>
      <c r="EL47" s="920"/>
      <c r="EM47" s="920"/>
      <c r="EN47" s="920"/>
      <c r="EO47" s="920"/>
      <c r="EP47" s="920"/>
      <c r="EQ47" s="920"/>
      <c r="ER47" s="920"/>
      <c r="ES47" s="920"/>
      <c r="ET47" s="920"/>
      <c r="EU47" s="920"/>
      <c r="EV47" s="920"/>
      <c r="EW47" s="920"/>
      <c r="EX47" s="920"/>
      <c r="EY47" s="920"/>
      <c r="EZ47" s="920"/>
      <c r="FA47" s="920"/>
      <c r="FB47" s="920"/>
      <c r="FC47" s="920"/>
      <c r="FD47" s="920"/>
      <c r="FE47" s="920"/>
      <c r="FF47" s="920"/>
      <c r="FG47" s="920"/>
      <c r="FH47" s="920"/>
      <c r="FI47" s="920"/>
      <c r="FJ47" s="920"/>
      <c r="FK47" s="920"/>
      <c r="FL47" s="920"/>
      <c r="FM47" s="920"/>
      <c r="FN47" s="920"/>
      <c r="FO47" s="920"/>
      <c r="FP47" s="920"/>
      <c r="FQ47" s="920"/>
      <c r="FR47" s="920"/>
      <c r="FS47" s="920"/>
      <c r="FT47" s="920"/>
      <c r="FU47" s="920"/>
      <c r="FV47" s="920"/>
      <c r="FW47" s="242"/>
      <c r="GA47" s="489"/>
      <c r="GB47" s="489"/>
      <c r="GC47" s="489" t="s">
        <v>2485</v>
      </c>
      <c r="GD47" s="489"/>
      <c r="GF47" s="1501"/>
      <c r="GG47" s="1501"/>
      <c r="GH47" s="1501"/>
      <c r="GI47" s="1501"/>
      <c r="GJ47" s="1501"/>
      <c r="GK47" s="1501"/>
      <c r="GL47" s="1501"/>
      <c r="GM47" s="1501"/>
      <c r="GN47" s="1501"/>
    </row>
    <row customHeight="1" ht="15.600000000000001" hidden="1">
      <c r="B48" s="192">
        <f>R28="двухставочный"</f>
        <v>0</v>
      </c>
      <c r="E48" s="180">
        <v>16</v>
      </c>
      <c r="F48" s="175" cm="1" t="str">
        <f t="array" ref="F48:F48">OFFSET(G48,-1,-1)</f>
        <v>0</v>
      </c>
      <c r="T48" s="753">
        <f>AND(F48&gt;0,G28="двухставочный")</f>
        <v>0</v>
      </c>
      <c r="AB48" s="921" t="s">
        <v>2488</v>
      </c>
      <c r="AC48" s="906"/>
      <c r="AD48" s="907"/>
      <c r="AE48" s="907"/>
      <c r="AF48" s="907"/>
      <c r="AG48" s="907"/>
      <c r="AH48" s="907"/>
      <c r="AI48" s="907"/>
      <c r="AJ48" s="907"/>
      <c r="AK48" s="907"/>
      <c r="AL48" s="907"/>
      <c r="AM48" s="907"/>
      <c r="AN48" s="907"/>
      <c r="AO48" s="907"/>
      <c r="AP48" s="907"/>
      <c r="AQ48" s="907"/>
      <c r="AR48" s="907"/>
      <c r="AS48" s="907"/>
      <c r="AT48" s="907"/>
      <c r="AU48" s="907"/>
      <c r="AV48" s="907"/>
      <c r="AW48" s="907"/>
      <c r="AX48" s="907"/>
      <c r="AY48" s="907"/>
      <c r="AZ48" s="907"/>
      <c r="BA48" s="907"/>
      <c r="BB48" s="907"/>
      <c r="BC48" s="907"/>
      <c r="BD48" s="907"/>
      <c r="BE48" s="907"/>
      <c r="BF48" s="907"/>
      <c r="BG48" s="907"/>
      <c r="BH48" s="907"/>
      <c r="BI48" s="907"/>
      <c r="BJ48" s="907"/>
      <c r="BK48" s="907"/>
      <c r="BL48" s="907"/>
      <c r="BM48" s="907"/>
      <c r="BN48" s="907"/>
      <c r="BO48" s="907"/>
      <c r="BP48" s="907"/>
      <c r="BQ48" s="907"/>
      <c r="BR48" s="907"/>
      <c r="BS48" s="907"/>
      <c r="BT48" s="907"/>
      <c r="BU48" s="907"/>
      <c r="BV48" s="907"/>
      <c r="BW48" s="907"/>
      <c r="BX48" s="907"/>
      <c r="BY48" s="907"/>
      <c r="BZ48" s="907"/>
      <c r="CA48" s="907"/>
      <c r="CB48" s="907"/>
      <c r="CC48" s="907"/>
      <c r="CD48" s="907"/>
      <c r="CE48" s="907"/>
      <c r="CF48" s="907"/>
      <c r="CG48" s="907"/>
      <c r="CH48" s="907"/>
      <c r="CI48" s="907"/>
      <c r="CJ48" s="907"/>
      <c r="CK48" s="907"/>
      <c r="CL48" s="907"/>
      <c r="CM48" s="907"/>
      <c r="CN48" s="907"/>
      <c r="CO48" s="907"/>
      <c r="CP48" s="907"/>
      <c r="CQ48" s="907"/>
      <c r="CR48" s="907"/>
      <c r="CS48" s="907"/>
      <c r="CT48" s="907"/>
      <c r="CU48" s="907"/>
      <c r="CV48" s="907"/>
      <c r="CW48" s="907"/>
      <c r="CX48" s="907"/>
      <c r="CY48" s="907"/>
      <c r="CZ48" s="907"/>
      <c r="DA48" s="907"/>
      <c r="DB48" s="907"/>
      <c r="DC48" s="907"/>
      <c r="DD48" s="907"/>
      <c r="DE48" s="907"/>
      <c r="DF48" s="907"/>
      <c r="DG48" s="907"/>
      <c r="DH48" s="907"/>
      <c r="DI48" s="907"/>
      <c r="DJ48" s="907"/>
      <c r="DK48" s="907"/>
      <c r="DL48" s="907"/>
      <c r="DM48" s="907"/>
      <c r="DN48" s="907"/>
      <c r="DO48" s="907"/>
      <c r="DP48" s="907"/>
      <c r="DQ48" s="907"/>
      <c r="DR48" s="907"/>
      <c r="DS48" s="907"/>
      <c r="DT48" s="907"/>
      <c r="DU48" s="907"/>
      <c r="DV48" s="907"/>
      <c r="DW48" s="907"/>
      <c r="DX48" s="907"/>
      <c r="DY48" s="907"/>
      <c r="DZ48" s="907"/>
      <c r="EA48" s="907"/>
      <c r="EB48" s="907"/>
      <c r="EC48" s="907"/>
      <c r="ED48" s="907"/>
      <c r="EE48" s="907"/>
      <c r="EF48" s="907"/>
      <c r="EG48" s="907"/>
      <c r="EH48" s="907"/>
      <c r="EI48" s="907"/>
      <c r="EJ48" s="907"/>
      <c r="EK48" s="907"/>
      <c r="EL48" s="907"/>
      <c r="EM48" s="907"/>
      <c r="EN48" s="907"/>
      <c r="EO48" s="907"/>
      <c r="EP48" s="907"/>
      <c r="EQ48" s="907"/>
      <c r="ER48" s="907"/>
      <c r="ES48" s="907"/>
      <c r="ET48" s="907"/>
      <c r="EU48" s="907"/>
      <c r="EV48" s="907"/>
      <c r="EW48" s="907"/>
      <c r="EX48" s="907"/>
      <c r="EY48" s="907"/>
      <c r="EZ48" s="907"/>
      <c r="FA48" s="907"/>
      <c r="FB48" s="907"/>
      <c r="FC48" s="907"/>
      <c r="FD48" s="907"/>
      <c r="FE48" s="907"/>
      <c r="FF48" s="907"/>
      <c r="FG48" s="907"/>
      <c r="FH48" s="907"/>
      <c r="FI48" s="907"/>
      <c r="FJ48" s="907"/>
      <c r="FK48" s="907"/>
      <c r="FL48" s="907"/>
      <c r="FM48" s="907"/>
      <c r="FN48" s="907"/>
      <c r="FO48" s="907"/>
      <c r="FP48" s="907"/>
      <c r="FQ48" s="907"/>
      <c r="FR48" s="907"/>
      <c r="FS48" s="907"/>
      <c r="FT48" s="907"/>
      <c r="FU48" s="907"/>
      <c r="FV48" s="907"/>
      <c r="FW48" s="908"/>
      <c r="GA48" s="489"/>
      <c r="GB48" s="489"/>
      <c r="GC48" s="489"/>
      <c r="GD48" s="489"/>
      <c r="GF48" s="1501"/>
      <c r="GG48" s="1501"/>
      <c r="GH48" s="1501"/>
      <c r="GI48" s="1501"/>
      <c r="GJ48" s="1501"/>
      <c r="GK48" s="1501"/>
      <c r="GL48" s="1501"/>
      <c r="GM48" s="1501"/>
      <c r="GN48" s="1501"/>
    </row>
    <row customHeight="1" ht="15.600000000000001" hidden="1">
      <c r="B49" s="192" cm="1" t="str">
        <f t="array" ref="B49:B49">B48</f>
        <v>false</v>
      </c>
      <c r="E49" s="180">
        <v>16</v>
      </c>
      <c r="F49" s="175" cm="1" t="str">
        <f t="array" ref="F49:F49">OFFSET(G49,-1,-1)</f>
        <v>0</v>
      </c>
      <c r="T49" s="753" cm="1" t="str">
        <f t="array" ref="T49:T49">T48</f>
        <v>false</v>
      </c>
      <c r="AB49" s="909" t="s">
        <v>2489</v>
      </c>
      <c r="AC49" s="922"/>
      <c r="AD49" s="923"/>
      <c r="AE49" s="923"/>
      <c r="AF49" s="923"/>
      <c r="AG49" s="923"/>
      <c r="AH49" s="923"/>
      <c r="AI49" s="923"/>
      <c r="AJ49" s="923"/>
      <c r="AK49" s="923"/>
      <c r="AL49" s="923"/>
      <c r="AM49" s="923"/>
      <c r="AN49" s="923"/>
      <c r="AO49" s="923"/>
      <c r="AP49" s="923"/>
      <c r="AQ49" s="923"/>
      <c r="AR49" s="923"/>
      <c r="AS49" s="923"/>
      <c r="AT49" s="923"/>
      <c r="AU49" s="923"/>
      <c r="AV49" s="923"/>
      <c r="AW49" s="923"/>
      <c r="AX49" s="923"/>
      <c r="AY49" s="923"/>
      <c r="AZ49" s="923"/>
      <c r="BA49" s="923"/>
      <c r="BB49" s="923"/>
      <c r="BC49" s="923"/>
      <c r="BD49" s="923"/>
      <c r="BE49" s="923"/>
      <c r="BF49" s="923"/>
      <c r="BG49" s="923"/>
      <c r="BH49" s="923"/>
      <c r="BI49" s="923"/>
      <c r="BJ49" s="923"/>
      <c r="BK49" s="923"/>
      <c r="BL49" s="923"/>
      <c r="BM49" s="923"/>
      <c r="BN49" s="923"/>
      <c r="BO49" s="923"/>
      <c r="BP49" s="923"/>
      <c r="BQ49" s="923"/>
      <c r="BR49" s="923"/>
      <c r="BS49" s="923"/>
      <c r="BT49" s="923"/>
      <c r="BU49" s="923"/>
      <c r="BV49" s="923"/>
      <c r="BW49" s="923"/>
      <c r="BX49" s="923"/>
      <c r="BY49" s="923"/>
      <c r="BZ49" s="923"/>
      <c r="CA49" s="923"/>
      <c r="CB49" s="923"/>
      <c r="CC49" s="923"/>
      <c r="CD49" s="923"/>
      <c r="CE49" s="923"/>
      <c r="CF49" s="923"/>
      <c r="CG49" s="923"/>
      <c r="CH49" s="923"/>
      <c r="CI49" s="923"/>
      <c r="CJ49" s="923"/>
      <c r="CK49" s="923"/>
      <c r="CL49" s="923"/>
      <c r="CM49" s="923"/>
      <c r="CN49" s="923"/>
      <c r="CO49" s="923"/>
      <c r="CP49" s="923"/>
      <c r="CQ49" s="923"/>
      <c r="CR49" s="923"/>
      <c r="CS49" s="923"/>
      <c r="CT49" s="923"/>
      <c r="CU49" s="923"/>
      <c r="CV49" s="923"/>
      <c r="CW49" s="923"/>
      <c r="CX49" s="923"/>
      <c r="CY49" s="923"/>
      <c r="CZ49" s="923"/>
      <c r="DA49" s="923"/>
      <c r="DB49" s="923"/>
      <c r="DC49" s="923"/>
      <c r="DD49" s="923"/>
      <c r="DE49" s="923"/>
      <c r="DF49" s="923"/>
      <c r="DG49" s="923"/>
      <c r="DH49" s="923"/>
      <c r="DI49" s="923"/>
      <c r="DJ49" s="923"/>
      <c r="DK49" s="923"/>
      <c r="DL49" s="923"/>
      <c r="DM49" s="923"/>
      <c r="DN49" s="923"/>
      <c r="DO49" s="923"/>
      <c r="DP49" s="923"/>
      <c r="DQ49" s="923"/>
      <c r="DR49" s="923"/>
      <c r="DS49" s="923"/>
      <c r="DT49" s="923"/>
      <c r="DU49" s="923"/>
      <c r="DV49" s="923"/>
      <c r="DW49" s="923"/>
      <c r="DX49" s="923"/>
      <c r="DY49" s="923"/>
      <c r="DZ49" s="923"/>
      <c r="EA49" s="923"/>
      <c r="EB49" s="923"/>
      <c r="EC49" s="923"/>
      <c r="ED49" s="923"/>
      <c r="EE49" s="923"/>
      <c r="EF49" s="923"/>
      <c r="EG49" s="923"/>
      <c r="EH49" s="923"/>
      <c r="EI49" s="923"/>
      <c r="EJ49" s="923"/>
      <c r="EK49" s="923"/>
      <c r="EL49" s="923"/>
      <c r="EM49" s="923"/>
      <c r="EN49" s="923"/>
      <c r="EO49" s="923"/>
      <c r="EP49" s="923"/>
      <c r="EQ49" s="923"/>
      <c r="ER49" s="923"/>
      <c r="ES49" s="923"/>
      <c r="ET49" s="923"/>
      <c r="EU49" s="923"/>
      <c r="EV49" s="923"/>
      <c r="EW49" s="923"/>
      <c r="EX49" s="923"/>
      <c r="EY49" s="923"/>
      <c r="EZ49" s="923"/>
      <c r="FA49" s="923"/>
      <c r="FB49" s="923"/>
      <c r="FC49" s="923"/>
      <c r="FD49" s="923"/>
      <c r="FE49" s="923"/>
      <c r="FF49" s="923"/>
      <c r="FG49" s="923"/>
      <c r="FH49" s="923"/>
      <c r="FI49" s="923"/>
      <c r="FJ49" s="923"/>
      <c r="FK49" s="923"/>
      <c r="FL49" s="923"/>
      <c r="FM49" s="923"/>
      <c r="FN49" s="923"/>
      <c r="FO49" s="923"/>
      <c r="FP49" s="923"/>
      <c r="FQ49" s="923"/>
      <c r="FR49" s="923"/>
      <c r="FS49" s="923"/>
      <c r="FT49" s="923"/>
      <c r="FU49" s="923"/>
      <c r="FV49" s="923"/>
      <c r="FW49" s="924"/>
      <c r="GA49" s="489"/>
      <c r="GB49" s="489"/>
      <c r="GC49" s="489"/>
      <c r="GD49" s="489"/>
      <c r="GF49" s="1501"/>
      <c r="GG49" s="1501"/>
      <c r="GH49" s="1501"/>
      <c r="GI49" s="1501"/>
      <c r="GJ49" s="1501"/>
      <c r="GK49" s="1501"/>
      <c r="GL49" s="1501"/>
      <c r="GM49" s="1501"/>
      <c r="GN49" s="1501"/>
    </row>
    <row customHeight="1" ht="15.600000000000001" hidden="1">
      <c r="B50" s="192" cm="1" t="str">
        <f t="array" ref="B50:B50">B49</f>
        <v>false</v>
      </c>
      <c r="E50" s="180">
        <v>16</v>
      </c>
      <c r="F50" s="175" cm="1" t="str">
        <f t="array" ref="F50:F50">OFFSET(G50,-1,-1)</f>
        <v>0</v>
      </c>
      <c r="G50" s="193" t="s">
        <v>2085</v>
      </c>
      <c r="I50" s="193" t="s">
        <v>2449</v>
      </c>
      <c r="T50" s="753" cm="1" t="str">
        <f t="array" ref="T50:T50">T49</f>
        <v>false</v>
      </c>
      <c r="AB50" s="560" t="s">
        <v>2490</v>
      </c>
      <c r="AC50" s="380" t="s">
        <v>1005</v>
      </c>
      <c r="AD50" s="76">
        <f>IF(method_reg="Метод экономически обоснованных расходов",_xlfn.SUMIFS('Калькуляция (4.6)'!AJ$25:AJ$162,'Калькуляция (4.6)'!$F$25:$F$162,$F50,'Калькуляция (4.6)'!$G$25:$G$162,$G50),IF(method_reg="Метод сравнения аналогов",_xlfn.SUMIFS(INDEX('Калькуляция (МСА)'!$AE$25:$BW$82,,MATCH(AD$8,'Калькуляция (МСА)'!$AE$8:$BW$8,0)),'Калькуляция (МСА)'!$F$25:$F$82,$F50,'Калькуляция (МСА)'!$G$25:$G$82,$G50),_xlfn.SUMIFS(INDEX('Калькуляция (5.9)'!$AJ$25:$BW$139,,MATCH(AD$8,'Калькуляция (5.9)'!$AJ$8:$BW$8,0)),'Калькуляция (5.9)'!$F$25:$F$139,$F50,'Калькуляция (5.9)'!$G$25:$G$139,$G50)))</f>
        <v>0</v>
      </c>
      <c r="AE50" s="76">
        <f>IF(method_reg="Метод экономически обоснованных расходов",_xlfn.SUMIFS('Калькуляция (4.6)'!AK$25:AK$162,'Калькуляция (4.6)'!$F$25:$F$162,$F50,'Калькуляция (4.6)'!$G$25:$G$162,$G50),IF(method_reg="Метод сравнения аналогов",_xlfn.SUMIFS(INDEX('Калькуляция (МСА)'!$AE$25:$BW$82,,MATCH(AE$8,'Калькуляция (МСА)'!$AE$8:$BW$8,0)),'Калькуляция (МСА)'!$F$25:$F$82,$F50,'Калькуляция (МСА)'!$G$25:$G$82,$G50),_xlfn.SUMIFS(INDEX('Калькуляция (5.9)'!$AJ$25:$BW$139,,MATCH(AE$8,'Калькуляция (5.9)'!$AJ$8:$BW$8,0)),'Калькуляция (5.9)'!$F$25:$F$139,$F50,'Калькуляция (5.9)'!$G$25:$G$139,$G50)))</f>
        <v>0</v>
      </c>
      <c r="AF50" s="915">
        <f>IF(AD50=0,0,(AE50-AD50)/AD50*100)</f>
        <v>0</v>
      </c>
      <c r="AG50" s="76">
        <f>IF(method_reg="Метод сравнения аналогов",_xlfn.SUMIFS(INDEX('Калькуляция (МСА)'!$AE$25:$BW$82,,MATCH(AG$8,'Калькуляция (МСА)'!$AE$8:$BW$8,0)),'Калькуляция (МСА)'!$F$25:$F$82,$F50,'Калькуляция (МСА)'!$G$25:$G$82,$G50),_xlfn.SUMIFS(INDEX('Калькуляция (5.9)'!$AJ$25:$BW$139,,MATCH(AG$8,'Калькуляция (5.9)'!$AJ$8:$BW$8,0)),'Калькуляция (5.9)'!$F$25:$F$139,$F50,'Калькуляция (5.9)'!$G$25:$G$139,$G50))</f>
        <v>0</v>
      </c>
      <c r="AH50" s="76">
        <f>IF(method_reg="Метод сравнения аналогов",_xlfn.SUMIFS(INDEX('Калькуляция (МСА)'!$AE$25:$BW$82,,MATCH(AH$8,'Калькуляция (МСА)'!$AE$8:$BW$8,0)),'Калькуляция (МСА)'!$F$25:$F$82,$F50,'Калькуляция (МСА)'!$G$25:$G$82,$G50),_xlfn.SUMIFS(INDEX('Калькуляция (5.9)'!$AJ$25:$BW$139,,MATCH(AH$8,'Калькуляция (5.9)'!$AJ$8:$BW$8,0)),'Калькуляция (5.9)'!$F$25:$F$139,$F50,'Калькуляция (5.9)'!$G$25:$G$139,$G50))</f>
        <v>0</v>
      </c>
      <c r="AI50" s="915">
        <f>IF(AG50=0,0,(AH50-AG50)/AG50*100)</f>
        <v>0</v>
      </c>
      <c r="AJ50" s="76">
        <f>IF(method_reg="Метод сравнения аналогов",_xlfn.SUMIFS(INDEX('Калькуляция (МСА)'!$AE$25:$BW$82,,MATCH(AJ$8,'Калькуляция (МСА)'!$AE$8:$BW$8,0)),'Калькуляция (МСА)'!$F$25:$F$82,$F50,'Калькуляция (МСА)'!$G$25:$G$82,$G50),_xlfn.SUMIFS(INDEX('Калькуляция (5.9)'!$AJ$25:$BW$139,,MATCH(AJ$8,'Калькуляция (5.9)'!$AJ$8:$BW$8,0)),'Калькуляция (5.9)'!$F$25:$F$139,$F50,'Калькуляция (5.9)'!$G$25:$G$139,$G50))</f>
        <v>0</v>
      </c>
      <c r="AK50" s="76">
        <f>IF(method_reg="Метод сравнения аналогов",_xlfn.SUMIFS(INDEX('Калькуляция (МСА)'!$AE$25:$BW$82,,MATCH(AK$8,'Калькуляция (МСА)'!$AE$8:$BW$8,0)),'Калькуляция (МСА)'!$F$25:$F$82,$F50,'Калькуляция (МСА)'!$G$25:$G$82,$G50),_xlfn.SUMIFS(INDEX('Калькуляция (5.9)'!$AJ$25:$BW$139,,MATCH(AK$8,'Калькуляция (5.9)'!$AJ$8:$BW$8,0)),'Калькуляция (5.9)'!$F$25:$F$139,$F50,'Калькуляция (5.9)'!$G$25:$G$139,$G50))</f>
        <v>0</v>
      </c>
      <c r="AL50" s="915">
        <f>IF(AJ50=0,0,(AK50-AJ50)/AJ50*100)</f>
        <v>0</v>
      </c>
      <c r="AM50" s="76">
        <f>IF(method_reg="Метод сравнения аналогов",_xlfn.SUMIFS(INDEX('Калькуляция (МСА)'!$AE$25:$BW$82,,MATCH(AM$8,'Калькуляция (МСА)'!$AE$8:$BW$8,0)),'Калькуляция (МСА)'!$F$25:$F$82,$F50,'Калькуляция (МСА)'!$G$25:$G$82,$G50),_xlfn.SUMIFS(INDEX('Калькуляция (5.9)'!$AJ$25:$BW$139,,MATCH(AM$8,'Калькуляция (5.9)'!$AJ$8:$BW$8,0)),'Калькуляция (5.9)'!$F$25:$F$139,$F50,'Калькуляция (5.9)'!$G$25:$G$139,$G50))</f>
        <v>0</v>
      </c>
      <c r="AN50" s="76">
        <f>IF(method_reg="Метод сравнения аналогов",_xlfn.SUMIFS(INDEX('Калькуляция (МСА)'!$AE$25:$BW$82,,MATCH(AN$8,'Калькуляция (МСА)'!$AE$8:$BW$8,0)),'Калькуляция (МСА)'!$F$25:$F$82,$F50,'Калькуляция (МСА)'!$G$25:$G$82,$G50),_xlfn.SUMIFS(INDEX('Калькуляция (5.9)'!$AJ$25:$BW$139,,MATCH(AN$8,'Калькуляция (5.9)'!$AJ$8:$BW$8,0)),'Калькуляция (5.9)'!$F$25:$F$139,$F50,'Калькуляция (5.9)'!$G$25:$G$139,$G50))</f>
        <v>0</v>
      </c>
      <c r="AO50" s="915">
        <f>IF(AM50=0,0,(AN50-AM50)/AM50*100)</f>
        <v>0</v>
      </c>
      <c r="AP50" s="76">
        <f>IF(method_reg="Метод сравнения аналогов",_xlfn.SUMIFS(INDEX('Калькуляция (МСА)'!$AE$25:$BW$82,,MATCH(AP$8,'Калькуляция (МСА)'!$AE$8:$BW$8,0)),'Калькуляция (МСА)'!$F$25:$F$82,$F50,'Калькуляция (МСА)'!$G$25:$G$82,$G50),_xlfn.SUMIFS(INDEX('Калькуляция (5.9)'!$AJ$25:$BW$139,,MATCH(AP$8,'Калькуляция (5.9)'!$AJ$8:$BW$8,0)),'Калькуляция (5.9)'!$F$25:$F$139,$F50,'Калькуляция (5.9)'!$G$25:$G$139,$G50))</f>
        <v>0</v>
      </c>
      <c r="AQ50" s="76">
        <f>IF(method_reg="Метод сравнения аналогов",_xlfn.SUMIFS(INDEX('Калькуляция (МСА)'!$AE$25:$BW$82,,MATCH(AQ$8,'Калькуляция (МСА)'!$AE$8:$BW$8,0)),'Калькуляция (МСА)'!$F$25:$F$82,$F50,'Калькуляция (МСА)'!$G$25:$G$82,$G50),_xlfn.SUMIFS(INDEX('Калькуляция (5.9)'!$AJ$25:$BW$139,,MATCH(AQ$8,'Калькуляция (5.9)'!$AJ$8:$BW$8,0)),'Калькуляция (5.9)'!$F$25:$F$139,$F50,'Калькуляция (5.9)'!$G$25:$G$139,$G50))</f>
        <v>0</v>
      </c>
      <c r="AR50" s="915">
        <f>IF(AP50=0,0,(AQ50-AP50)/AP50*100)</f>
        <v>0</v>
      </c>
      <c r="AS50" s="76">
        <f>IF(method_reg="Метод сравнения аналогов",_xlfn.SUMIFS(INDEX('Калькуляция (МСА)'!$AE$25:$BW$82,,MATCH(AS$8,'Калькуляция (МСА)'!$AE$8:$BW$8,0)),'Калькуляция (МСА)'!$F$25:$F$82,$F50,'Калькуляция (МСА)'!$G$25:$G$82,$G50),_xlfn.SUMIFS(INDEX('Калькуляция (5.9)'!$AJ$25:$BW$139,,MATCH(AS$8,'Калькуляция (5.9)'!$AJ$8:$BW$8,0)),'Калькуляция (5.9)'!$F$25:$F$139,$F50,'Калькуляция (5.9)'!$G$25:$G$139,$G50))</f>
        <v>0</v>
      </c>
      <c r="AT50" s="76">
        <f>IF(method_reg="Метод сравнения аналогов",_xlfn.SUMIFS(INDEX('Калькуляция (МСА)'!$AE$25:$BW$82,,MATCH(AT$8,'Калькуляция (МСА)'!$AE$8:$BW$8,0)),'Калькуляция (МСА)'!$F$25:$F$82,$F50,'Калькуляция (МСА)'!$G$25:$G$82,$G50),_xlfn.SUMIFS(INDEX('Калькуляция (5.9)'!$AJ$25:$BW$139,,MATCH(AT$8,'Калькуляция (5.9)'!$AJ$8:$BW$8,0)),'Калькуляция (5.9)'!$F$25:$F$139,$F50,'Калькуляция (5.9)'!$G$25:$G$139,$G50))</f>
        <v>0</v>
      </c>
      <c r="AU50" s="915">
        <f>IF(AS50=0,0,(AT50-AS50)/AS50*100)</f>
        <v>0</v>
      </c>
      <c r="AV50" s="76">
        <f>IF(method_reg="Метод сравнения аналогов",_xlfn.SUMIFS(INDEX('Калькуляция (МСА)'!$AE$25:$BW$82,,MATCH(AV$8,'Калькуляция (МСА)'!$AE$8:$BW$8,0)),'Калькуляция (МСА)'!$F$25:$F$82,$F50,'Калькуляция (МСА)'!$G$25:$G$82,$G50),_xlfn.SUMIFS(INDEX('Калькуляция (5.9)'!$AJ$25:$BW$139,,MATCH(AV$8,'Калькуляция (5.9)'!$AJ$8:$BW$8,0)),'Калькуляция (5.9)'!$F$25:$F$139,$F50,'Калькуляция (5.9)'!$G$25:$G$139,$G50))</f>
        <v>0</v>
      </c>
      <c r="AW50" s="76">
        <f>IF(method_reg="Метод сравнения аналогов",_xlfn.SUMIFS(INDEX('Калькуляция (МСА)'!$AE$25:$BW$82,,MATCH(AW$8,'Калькуляция (МСА)'!$AE$8:$BW$8,0)),'Калькуляция (МСА)'!$F$25:$F$82,$F50,'Калькуляция (МСА)'!$G$25:$G$82,$G50),_xlfn.SUMIFS(INDEX('Калькуляция (5.9)'!$AJ$25:$BW$139,,MATCH(AW$8,'Калькуляция (5.9)'!$AJ$8:$BW$8,0)),'Калькуляция (5.9)'!$F$25:$F$139,$F50,'Калькуляция (5.9)'!$G$25:$G$139,$G50))</f>
        <v>0</v>
      </c>
      <c r="AX50" s="915">
        <f>IF(AV50=0,0,(AW50-AV50)/AV50*100)</f>
        <v>0</v>
      </c>
      <c r="AY50" s="76">
        <f>IF(method_reg="Метод сравнения аналогов",_xlfn.SUMIFS(INDEX('Калькуляция (МСА)'!$AE$25:$BW$82,,MATCH(AY$8,'Калькуляция (МСА)'!$AE$8:$BW$8,0)),'Калькуляция (МСА)'!$F$25:$F$82,$F50,'Калькуляция (МСА)'!$G$25:$G$82,$G50),_xlfn.SUMIFS(INDEX('Калькуляция (5.9)'!$AJ$25:$BW$139,,MATCH(AY$8,'Калькуляция (5.9)'!$AJ$8:$BW$8,0)),'Калькуляция (5.9)'!$F$25:$F$139,$F50,'Калькуляция (5.9)'!$G$25:$G$139,$G50))</f>
        <v>0</v>
      </c>
      <c r="AZ50" s="76">
        <f>IF(method_reg="Метод сравнения аналогов",_xlfn.SUMIFS(INDEX('Калькуляция (МСА)'!$AE$25:$BW$82,,MATCH(AZ$8,'Калькуляция (МСА)'!$AE$8:$BW$8,0)),'Калькуляция (МСА)'!$F$25:$F$82,$F50,'Калькуляция (МСА)'!$G$25:$G$82,$G50),_xlfn.SUMIFS(INDEX('Калькуляция (5.9)'!$AJ$25:$BW$139,,MATCH(AZ$8,'Калькуляция (5.9)'!$AJ$8:$BW$8,0)),'Калькуляция (5.9)'!$F$25:$F$139,$F50,'Калькуляция (5.9)'!$G$25:$G$139,$G50))</f>
        <v>0</v>
      </c>
      <c r="BA50" s="915">
        <f>IF(AY50=0,0,(AZ50-AY50)/AY50*100)</f>
        <v>0</v>
      </c>
      <c r="BB50" s="76">
        <f>IF(method_reg="Метод сравнения аналогов",_xlfn.SUMIFS(INDEX('Калькуляция (МСА)'!$AE$25:$BW$82,,MATCH(BB$8,'Калькуляция (МСА)'!$AE$8:$BW$8,0)),'Калькуляция (МСА)'!$F$25:$F$82,$F50,'Калькуляция (МСА)'!$G$25:$G$82,$G50),_xlfn.SUMIFS(INDEX('Калькуляция (5.9)'!$AJ$25:$BW$139,,MATCH(BB$8,'Калькуляция (5.9)'!$AJ$8:$BW$8,0)),'Калькуляция (5.9)'!$F$25:$F$139,$F50,'Калькуляция (5.9)'!$G$25:$G$139,$G50))</f>
        <v>0</v>
      </c>
      <c r="BC50" s="76">
        <f>IF(method_reg="Метод сравнения аналогов",_xlfn.SUMIFS(INDEX('Калькуляция (МСА)'!$AE$25:$BW$82,,MATCH(BC$8,'Калькуляция (МСА)'!$AE$8:$BW$8,0)),'Калькуляция (МСА)'!$F$25:$F$82,$F50,'Калькуляция (МСА)'!$G$25:$G$82,$G50),_xlfn.SUMIFS(INDEX('Калькуляция (5.9)'!$AJ$25:$BW$139,,MATCH(BC$8,'Калькуляция (5.9)'!$AJ$8:$BW$8,0)),'Калькуляция (5.9)'!$F$25:$F$139,$F50,'Калькуляция (5.9)'!$G$25:$G$139,$G50))</f>
        <v>0</v>
      </c>
      <c r="BD50" s="915">
        <f>IF(BB50=0,0,(BC50-BB50)/BB50*100)</f>
        <v>0</v>
      </c>
      <c r="BE50" s="76">
        <f>IF(method_reg="Метод сравнения аналогов",_xlfn.SUMIFS(INDEX('Калькуляция (МСА)'!$AE$25:$BW$82,,MATCH(BE$8,'Калькуляция (МСА)'!$AE$8:$BW$8,0)),'Калькуляция (МСА)'!$F$25:$F$82,$F50,'Калькуляция (МСА)'!$G$25:$G$82,$G50),_xlfn.SUMIFS(INDEX('Калькуляция (5.9)'!$AJ$25:$BW$139,,MATCH(BE$8,'Калькуляция (5.9)'!$AJ$8:$BW$8,0)),'Калькуляция (5.9)'!$F$25:$F$139,$F50,'Калькуляция (5.9)'!$G$25:$G$139,$G50))</f>
        <v>0</v>
      </c>
      <c r="BF50" s="76">
        <f>IF(method_reg="Метод сравнения аналогов",_xlfn.SUMIFS(INDEX('Калькуляция (МСА)'!$AE$25:$BW$82,,MATCH(BF$8,'Калькуляция (МСА)'!$AE$8:$BW$8,0)),'Калькуляция (МСА)'!$F$25:$F$82,$F50,'Калькуляция (МСА)'!$G$25:$G$82,$G50),_xlfn.SUMIFS(INDEX('Калькуляция (5.9)'!$AJ$25:$BW$139,,MATCH(BF$8,'Калькуляция (5.9)'!$AJ$8:$BW$8,0)),'Калькуляция (5.9)'!$F$25:$F$139,$F50,'Калькуляция (5.9)'!$G$25:$G$139,$G50))</f>
        <v>0</v>
      </c>
      <c r="BG50" s="915">
        <f>IF(BE50=0,0,(BF50-BE50)/BE50*100)</f>
        <v>0</v>
      </c>
      <c r="BH50" s="76">
        <f>IF(BH52=0,0,(BH51*BH52+BH53*BH54*6)/BH52)</f>
        <v>0</v>
      </c>
      <c r="BI50" s="76">
        <f>IF(BI52=0,0,(BI51*BI52+BI53*BI54*6)/BI52)</f>
        <v>0</v>
      </c>
      <c r="BJ50" s="915">
        <f>IF(BH50=0,0,(BI50-BH50)/BH50*100)</f>
        <v>0</v>
      </c>
      <c r="BK50" s="76">
        <f>IF(BK52=0,0,(BK51*BK52+BK53*BK54*6)/BK52)</f>
        <v>0</v>
      </c>
      <c r="BL50" s="76">
        <f>IF(BL52=0,0,(BL51*BL52+BL53*BL54*6)/BL52)</f>
        <v>0</v>
      </c>
      <c r="BM50" s="915">
        <f>IF(BK50=0,0,(BL50-BK50)/BK50*100)</f>
        <v>0</v>
      </c>
      <c r="BN50" s="76">
        <f>IF(BN52=0,0,(BN51*BN52+BN53*BN54*6)/BN52)</f>
        <v>0</v>
      </c>
      <c r="BO50" s="76">
        <f>IF(BO52=0,0,(BO51*BO52+BO53*BO54*6)/BO52)</f>
        <v>0</v>
      </c>
      <c r="BP50" s="915">
        <f>IF(BN50=0,0,(BO50-BN50)/BN50*100)</f>
        <v>0</v>
      </c>
      <c r="BQ50" s="76">
        <f>IF(BQ52=0,0,(BQ51*BQ52+BQ53*BQ54*6)/BQ52)</f>
        <v>0</v>
      </c>
      <c r="BR50" s="76">
        <f>IF(BR52=0,0,(BR51*BR52+BR53*BR54*6)/BR52)</f>
        <v>0</v>
      </c>
      <c r="BS50" s="915">
        <f>IF(BQ50=0,0,(BR50-BQ50)/BQ50*100)</f>
        <v>0</v>
      </c>
      <c r="BT50" s="76">
        <f>IF(BT52=0,0,(BT51*BT52+BT53*BT54*6)/BT52)</f>
        <v>0</v>
      </c>
      <c r="BU50" s="76">
        <f>IF(BU52=0,0,(BU51*BU52+BU53*BU54*6)/BU52)</f>
        <v>0</v>
      </c>
      <c r="BV50" s="915">
        <f>IF(BT50=0,0,(BU50-BT50)/BT50*100)</f>
        <v>0</v>
      </c>
      <c r="BW50" s="76">
        <f>IF(BW52=0,0,(BW51*BW52+BW53*BW54*6)/BW52)</f>
        <v>0</v>
      </c>
      <c r="BX50" s="76">
        <f>IF(BX52=0,0,(BX51*BX52+BX53*BX54*6)/BX52)</f>
        <v>0</v>
      </c>
      <c r="BY50" s="915">
        <f>IF(BW50=0,0,(BX50-BW50)/BW50*100)</f>
        <v>0</v>
      </c>
      <c r="BZ50" s="76">
        <f>IF(BZ52=0,0,(BZ51*BZ52+BZ53*BZ54*6)/BZ52)</f>
        <v>0</v>
      </c>
      <c r="CA50" s="76">
        <f>IF(CA52=0,0,(CA51*CA52+CA53*CA54*6)/CA52)</f>
        <v>0</v>
      </c>
      <c r="CB50" s="915">
        <f>IF(BZ50=0,0,(CA50-BZ50)/BZ50*100)</f>
        <v>0</v>
      </c>
      <c r="CC50" s="76">
        <f>IF(CC52=0,0,(CC51*CC52+CC53*CC54*6)/CC52)</f>
        <v>0</v>
      </c>
      <c r="CD50" s="76">
        <f>IF(CD52=0,0,(CD51*CD52+CD53*CD54*6)/CD52)</f>
        <v>0</v>
      </c>
      <c r="CE50" s="915">
        <f>IF(CC50=0,0,(CD50-CC50)/CC50*100)</f>
        <v>0</v>
      </c>
      <c r="CF50" s="76">
        <f>IF(CF52=0,0,(CF51*CF52+CF53*CF54*6)/CF52)</f>
        <v>0</v>
      </c>
      <c r="CG50" s="76">
        <f>IF(CG52=0,0,(CG51*CG52+CG53*CG54*6)/CG52)</f>
        <v>0</v>
      </c>
      <c r="CH50" s="915">
        <f>IF(CF50=0,0,(CG50-CF50)/CF50*100)</f>
        <v>0</v>
      </c>
      <c r="CI50" s="76">
        <f>IF(CI52=0,0,(CI51*CI52+CI53*CI54*6)/CI52)</f>
        <v>0</v>
      </c>
      <c r="CJ50" s="76">
        <f>IF(CJ52=0,0,(CJ51*CJ52+CJ53*CJ54*6)/CJ52)</f>
        <v>0</v>
      </c>
      <c r="CK50" s="915">
        <f>IF(CI50=0,0,(CJ50-CI50)/CI50*100)</f>
        <v>0</v>
      </c>
      <c r="CL50" s="76">
        <f>IF(CL52=0,0,(CL51*CL52+CL53*CL54*6)/CL52)</f>
        <v>0</v>
      </c>
      <c r="CM50" s="76">
        <f>IF(CM52=0,0,(CM51*CM52+CM53*CM54*6)/CM52)</f>
        <v>0</v>
      </c>
      <c r="CN50" s="915">
        <f>IF(CL50=0,0,(CM50-CL50)/CL50*100)</f>
        <v>0</v>
      </c>
      <c r="CO50" s="76">
        <f>IF(CO52=0,0,(CO51*CO52+CO53*CO54*6)/CO52)</f>
        <v>0</v>
      </c>
      <c r="CP50" s="76">
        <f>IF(CP52=0,0,(CP51*CP52+CP53*CP54*6)/CP52)</f>
        <v>0</v>
      </c>
      <c r="CQ50" s="915">
        <f>IF(CO50=0,0,(CP50-CO50)/CO50*100)</f>
        <v>0</v>
      </c>
      <c r="CR50" s="76">
        <f>IF(CR52=0,0,(CR51*CR52+CR53*CR54*6)/CR52)</f>
        <v>0</v>
      </c>
      <c r="CS50" s="76">
        <f>IF(CS52=0,0,(CS51*CS52+CS53*CS54*6)/CS52)</f>
        <v>0</v>
      </c>
      <c r="CT50" s="915">
        <f>IF(CR50=0,0,(CS50-CR50)/CR50*100)</f>
        <v>0</v>
      </c>
      <c r="CU50" s="76">
        <f>IF(CU52=0,0,(CU51*CU52+CU53*CU54*6)/CU52)</f>
        <v>0</v>
      </c>
      <c r="CV50" s="76">
        <f>IF(CV52=0,0,(CV51*CV52+CV53*CV54*6)/CV52)</f>
        <v>0</v>
      </c>
      <c r="CW50" s="915">
        <f>IF(CU50=0,0,(CV50-CU50)/CU50*100)</f>
        <v>0</v>
      </c>
      <c r="CX50" s="76">
        <f>IF(CX52=0,0,(CX51*CX52+CX53*CX54*6)/CX52)</f>
        <v>0</v>
      </c>
      <c r="CY50" s="76">
        <f>IF(CY52=0,0,(CY51*CY52+CY53*CY54*6)/CY52)</f>
        <v>0</v>
      </c>
      <c r="CZ50" s="915">
        <f>IF(CX50=0,0,(CY50-CX50)/CX50*100)</f>
        <v>0</v>
      </c>
      <c r="DA50" s="76">
        <f>IF(DA52=0,0,(DA51*DA52+DA53*DA54*6)/DA52)</f>
        <v>0</v>
      </c>
      <c r="DB50" s="76">
        <f>IF(DB52=0,0,(DB51*DB52+DB53*DB54*6)/DB52)</f>
        <v>0</v>
      </c>
      <c r="DC50" s="915">
        <f>IF(DA50=0,0,(DB50-DA50)/DA50*100)</f>
        <v>0</v>
      </c>
      <c r="DD50" s="76">
        <f>IF(DD52=0,0,(DD51*DD52+DD53*DD54*6)/DD52)</f>
        <v>0</v>
      </c>
      <c r="DE50" s="76">
        <f>IF(DE52=0,0,(DE51*DE52+DE53*DE54*6)/DE52)</f>
        <v>0</v>
      </c>
      <c r="DF50" s="915">
        <f>IF(DD50=0,0,(DE50-DD50)/DD50*100)</f>
        <v>0</v>
      </c>
      <c r="DG50" s="76">
        <f>IF(DG52=0,0,(DG51*DG52+DG53*DG54*6)/DG52)</f>
        <v>0</v>
      </c>
      <c r="DH50" s="76">
        <f>IF(DH52=0,0,(DH51*DH52+DH53*DH54*6)/DH52)</f>
        <v>0</v>
      </c>
      <c r="DI50" s="915">
        <f>IF(DG50=0,0,(DH50-DG50)/DG50*100)</f>
        <v>0</v>
      </c>
      <c r="DJ50" s="76">
        <f>IF(DJ52=0,0,(DJ51*DJ52+DJ53*DJ54*6)/DJ52)</f>
        <v>0</v>
      </c>
      <c r="DK50" s="76">
        <f>IF(DK52=0,0,(DK51*DK52+DK53*DK54*6)/DK52)</f>
        <v>0</v>
      </c>
      <c r="DL50" s="915">
        <f>IF(DJ50=0,0,(DK50-DJ50)/DJ50*100)</f>
        <v>0</v>
      </c>
      <c r="DM50" s="76">
        <f>IF(DM52=0,0,(DM51*DM52+DM53*DM54*6)/DM52)</f>
        <v>0</v>
      </c>
      <c r="DN50" s="76">
        <f>IF(DN52=0,0,(DN51*DN52+DN53*DN54*6)/DN52)</f>
        <v>0</v>
      </c>
      <c r="DO50" s="915">
        <f>IF(DM50=0,0,(DN50-DM50)/DM50*100)</f>
        <v>0</v>
      </c>
      <c r="DP50" s="76">
        <f>IF(DP52=0,0,(DP51*DP52+DP53*DP54*6)/DP52)</f>
        <v>0</v>
      </c>
      <c r="DQ50" s="76">
        <f>IF(DQ52=0,0,(DQ51*DQ52+DQ53*DQ54*6)/DQ52)</f>
        <v>0</v>
      </c>
      <c r="DR50" s="915">
        <f>IF(DP50=0,0,(DQ50-DP50)/DP50*100)</f>
        <v>0</v>
      </c>
      <c r="DS50" s="76">
        <f>IF(DS52=0,0,(DS51*DS52+DS53*DS54*6)/DS52)</f>
        <v>0</v>
      </c>
      <c r="DT50" s="76">
        <f>IF(DT52=0,0,(DT51*DT52+DT53*DT54*6)/DT52)</f>
        <v>0</v>
      </c>
      <c r="DU50" s="915">
        <f>IF(DS50=0,0,(DT50-DS50)/DS50*100)</f>
        <v>0</v>
      </c>
      <c r="DV50" s="76">
        <f>IF(DV52=0,0,(DV51*DV52+DV53*DV54*6)/DV52)</f>
        <v>0</v>
      </c>
      <c r="DW50" s="76">
        <f>IF(DW52=0,0,(DW51*DW52+DW53*DW54*6)/DW52)</f>
        <v>0</v>
      </c>
      <c r="DX50" s="915">
        <f>IF(DV50=0,0,(DW50-DV50)/DV50*100)</f>
        <v>0</v>
      </c>
      <c r="DY50" s="76">
        <f>IF(DY52=0,0,(DY51*DY52+DY53*DY54*6)/DY52)</f>
        <v>0</v>
      </c>
      <c r="DZ50" s="76">
        <f>IF(DZ52=0,0,(DZ51*DZ52+DZ53*DZ54*6)/DZ52)</f>
        <v>0</v>
      </c>
      <c r="EA50" s="915">
        <f>IF(DY50=0,0,(DZ50-DY50)/DY50*100)</f>
        <v>0</v>
      </c>
      <c r="EB50" s="76">
        <f>IF(EB52=0,0,(EB51*EB52+EB53*EB54*6)/EB52)</f>
        <v>0</v>
      </c>
      <c r="EC50" s="76">
        <f>IF(EC52=0,0,(EC51*EC52+EC53*EC54*6)/EC52)</f>
        <v>0</v>
      </c>
      <c r="ED50" s="915">
        <f>IF(EB50=0,0,(EC50-EB50)/EB50*100)</f>
        <v>0</v>
      </c>
      <c r="EE50" s="76">
        <f>IF(EE52=0,0,(EE51*EE52+EE53*EE54*6)/EE52)</f>
        <v>0</v>
      </c>
      <c r="EF50" s="76">
        <f>IF(EF52=0,0,(EF51*EF52+EF53*EF54*6)/EF52)</f>
        <v>0</v>
      </c>
      <c r="EG50" s="915">
        <f>IF(EE50=0,0,(EF50-EE50)/EE50*100)</f>
        <v>0</v>
      </c>
      <c r="EH50" s="76">
        <f>IF(EH52=0,0,(EH51*EH52+EH53*EH54*6)/EH52)</f>
        <v>0</v>
      </c>
      <c r="EI50" s="76">
        <f>IF(EI52=0,0,(EI51*EI52+EI53*EI54*6)/EI52)</f>
        <v>0</v>
      </c>
      <c r="EJ50" s="915">
        <f>IF(EH50=0,0,(EI50-EH50)/EH50*100)</f>
        <v>0</v>
      </c>
      <c r="EK50" s="76">
        <f>IF(EK52=0,0,(EK51*EK52+EK53*EK54*6)/EK52)</f>
        <v>0</v>
      </c>
      <c r="EL50" s="76">
        <f>IF(EL52=0,0,(EL51*EL52+EL53*EL54*6)/EL52)</f>
        <v>0</v>
      </c>
      <c r="EM50" s="915">
        <f>IF(EK50=0,0,(EL50-EK50)/EK50*100)</f>
        <v>0</v>
      </c>
      <c r="EN50" s="76">
        <f>IF(EN52=0,0,(EN51*EN52+EN53*EN54*6)/EN52)</f>
        <v>0</v>
      </c>
      <c r="EO50" s="76">
        <f>IF(EO52=0,0,(EO51*EO52+EO53*EO54*6)/EO52)</f>
        <v>0</v>
      </c>
      <c r="EP50" s="915">
        <f>IF(EN50=0,0,(EO50-EN50)/EN50*100)</f>
        <v>0</v>
      </c>
      <c r="EQ50" s="76">
        <f>IF(EQ52=0,0,(EQ51*EQ52+EQ53*EQ54*6)/EQ52)</f>
        <v>0</v>
      </c>
      <c r="ER50" s="76">
        <f>IF(ER52=0,0,(ER51*ER52+ER53*ER54*6)/ER52)</f>
        <v>0</v>
      </c>
      <c r="ES50" s="915">
        <f>IF(EQ50=0,0,(ER50-EQ50)/EQ50*100)</f>
        <v>0</v>
      </c>
      <c r="ET50" s="76">
        <f>IF(ET52=0,0,(ET51*ET52+ET53*ET54*6)/ET52)</f>
        <v>0</v>
      </c>
      <c r="EU50" s="76">
        <f>IF(EU52=0,0,(EU51*EU52+EU53*EU54*6)/EU52)</f>
        <v>0</v>
      </c>
      <c r="EV50" s="915">
        <f>IF(ET50=0,0,(EU50-ET50)/ET50*100)</f>
        <v>0</v>
      </c>
      <c r="EW50" s="76">
        <f>IF(EW52=0,0,(EW51*EW52+EW53*EW54*6)/EW52)</f>
        <v>0</v>
      </c>
      <c r="EX50" s="76">
        <f>IF(EX52=0,0,(EX51*EX52+EX53*EX54*6)/EX52)</f>
        <v>0</v>
      </c>
      <c r="EY50" s="915">
        <f>IF(EW50=0,0,(EX50-EW50)/EW50*100)</f>
        <v>0</v>
      </c>
      <c r="EZ50" s="76">
        <f>IF(EZ52=0,0,(EZ51*EZ52+EZ53*EZ54*6)/EZ52)</f>
        <v>0</v>
      </c>
      <c r="FA50" s="76">
        <f>IF(FA52=0,0,(FA51*FA52+FA53*FA54*6)/FA52)</f>
        <v>0</v>
      </c>
      <c r="FB50" s="915">
        <f>IF(EZ50=0,0,(FA50-EZ50)/EZ50*100)</f>
        <v>0</v>
      </c>
      <c r="FC50" s="76">
        <f>IF(FC52=0,0,(FC51*FC52+FC53*FC54*6)/FC52)</f>
        <v>0</v>
      </c>
      <c r="FD50" s="76">
        <f>IF(FD52=0,0,(FD51*FD52+FD53*FD54*6)/FD52)</f>
        <v>0</v>
      </c>
      <c r="FE50" s="915">
        <f>IF(FC50=0,0,(FD50-FC50)/FC50*100)</f>
        <v>0</v>
      </c>
      <c r="FF50" s="76">
        <f>IF(FF52=0,0,(FF51*FF52+FF53*FF54*6)/FF52)</f>
        <v>0</v>
      </c>
      <c r="FG50" s="76">
        <f>IF(FG52=0,0,(FG51*FG52+FG53*FG54*6)/FG52)</f>
        <v>0</v>
      </c>
      <c r="FH50" s="915">
        <f>IF(FF50=0,0,(FG50-FF50)/FF50*100)</f>
        <v>0</v>
      </c>
      <c r="FI50" s="76">
        <f>IF(FI52=0,0,(FI51*FI52+FI53*FI54*6)/FI52)</f>
        <v>0</v>
      </c>
      <c r="FJ50" s="76">
        <f>IF(FJ52=0,0,(FJ51*FJ52+FJ53*FJ54*6)/FJ52)</f>
        <v>0</v>
      </c>
      <c r="FK50" s="915">
        <f>IF(FI50=0,0,(FJ50-FI50)/FI50*100)</f>
        <v>0</v>
      </c>
      <c r="FL50" s="76">
        <f>IF(FL52=0,0,(FL51*FL52+FL53*FL54*6)/FL52)</f>
        <v>0</v>
      </c>
      <c r="FM50" s="76">
        <f>IF(FM52=0,0,(FM51*FM52+FM53*FM54*6)/FM52)</f>
        <v>0</v>
      </c>
      <c r="FN50" s="915">
        <f>IF(FL50=0,0,(FM50-FL50)/FL50*100)</f>
        <v>0</v>
      </c>
      <c r="FO50" s="76">
        <f>IF(FO52=0,0,(FO51*FO52+FO53*FO54*6)/FO52)</f>
        <v>0</v>
      </c>
      <c r="FP50" s="76">
        <f>IF(FP52=0,0,(FP51*FP52+FP53*FP54*6)/FP52)</f>
        <v>0</v>
      </c>
      <c r="FQ50" s="915">
        <f>IF(FO50=0,0,(FP50-FO50)/FO50*100)</f>
        <v>0</v>
      </c>
      <c r="FR50" s="76">
        <f>IF(FR52=0,0,(FR51*FR52+FR53*FR54*6)/FR52)</f>
        <v>0</v>
      </c>
      <c r="FS50" s="76">
        <f>IF(FS52=0,0,(FS51*FS52+FS53*FS54*6)/FS52)</f>
        <v>0</v>
      </c>
      <c r="FT50" s="915">
        <f>IF(FR50=0,0,(FS50-FR50)/FR50*100)</f>
        <v>0</v>
      </c>
      <c r="FU50" s="76">
        <f>IF(FU52=0,0,(FU51*FU52+FU53*FU54*6)/FU52)</f>
        <v>0</v>
      </c>
      <c r="FV50" s="76">
        <f>IF(FV52=0,0,(FV51*FV52+FV53*FV54*6)/FV52)</f>
        <v>0</v>
      </c>
      <c r="FW50" s="915">
        <f>IF(FU50=0,0,(FV50-FU50)/FU50*100)</f>
        <v>0</v>
      </c>
      <c r="FZ50" s="489" t="s">
        <v>2491</v>
      </c>
      <c r="GA50" s="489"/>
      <c r="GB50" s="489"/>
      <c r="GC50" s="489"/>
      <c r="GD50" s="489"/>
      <c r="GF50" s="1501" cm="1" t="str">
        <f t="array" ref="GF50:GF50">INDEX('Общие сведения'!$N$170:$N$202,MATCH($F50,'Общие сведения'!$Y$170:$Y$202,0)+1)</f>
        <v>0</v>
      </c>
      <c r="GG50" s="1501" t="s">
        <v>707</v>
      </c>
      <c r="GH50" s="1501" t="s">
        <v>2452</v>
      </c>
      <c r="GI50" s="1501" t="s">
        <v>796</v>
      </c>
      <c r="GJ50" s="1501" t="s">
        <v>2084</v>
      </c>
      <c r="GK50" s="1501"/>
      <c r="GL50" s="1501" t="s">
        <v>303</v>
      </c>
      <c r="GM50" s="1501" t="s">
        <v>2492</v>
      </c>
      <c r="GN50" s="1501" t="s">
        <v>2493</v>
      </c>
    </row>
    <row customHeight="1" ht="15.600000000000001" hidden="1">
      <c r="B51" s="192" cm="1" t="str">
        <f t="array" ref="B51:B51">B50</f>
        <v>false</v>
      </c>
      <c r="E51" s="180">
        <v>16</v>
      </c>
      <c r="F51" s="175" cm="1" t="str">
        <f t="array" ref="F51:F51">OFFSET(G51,-1,-1)</f>
        <v>0</v>
      </c>
      <c r="G51" s="193" t="s">
        <v>2115</v>
      </c>
      <c r="I51" s="193" t="s">
        <v>2449</v>
      </c>
      <c r="T51" s="753" cm="1" t="str">
        <f t="array" ref="T51:T51">T50</f>
        <v>false</v>
      </c>
      <c r="AB51" s="560" t="s">
        <v>2494</v>
      </c>
      <c r="AC51" s="380" t="s">
        <v>1005</v>
      </c>
      <c r="AD51" s="76">
        <f>IF(method_reg="Метод экономически обоснованных расходов",_xlfn.SUMIFS('Калькуляция (4.6)'!AJ$25:AJ$162,'Калькуляция (4.6)'!$F$25:$F$162,$F51,'Калькуляция (4.6)'!$G$25:$G$162,$G51),IF(method_reg="Метод сравнения аналогов",_xlfn.SUMIFS(INDEX('Калькуляция (МСА)'!$AE$25:$BW$82,,MATCH(AD$8,'Калькуляция (МСА)'!$AE$8:$BW$8,0)),'Калькуляция (МСА)'!$F$25:$F$82,$F51,'Калькуляция (МСА)'!$G$25:$G$82,$G51),_xlfn.SUMIFS(INDEX('Калькуляция (5.9)'!$AJ$25:$BW$139,,MATCH(AD$8,'Калькуляция (5.9)'!$AJ$8:$BW$8,0)),'Калькуляция (5.9)'!$F$25:$F$139,$F51,'Калькуляция (5.9)'!$G$25:$G$139,$G51)))</f>
        <v>0</v>
      </c>
      <c r="AE51" s="76">
        <f>IF(method_reg="Метод экономически обоснованных расходов",_xlfn.SUMIFS('Калькуляция (4.6)'!AK$25:AK$162,'Калькуляция (4.6)'!$F$25:$F$162,$F51,'Калькуляция (4.6)'!$G$25:$G$162,$G51),IF(method_reg="Метод сравнения аналогов",_xlfn.SUMIFS(INDEX('Калькуляция (МСА)'!$AE$25:$BW$82,,MATCH(AE$8,'Калькуляция (МСА)'!$AE$8:$BW$8,0)),'Калькуляция (МСА)'!$F$25:$F$82,$F51,'Калькуляция (МСА)'!$G$25:$G$82,$G51),_xlfn.SUMIFS(INDEX('Калькуляция (5.9)'!$AJ$25:$BW$139,,MATCH(AE$8,'Калькуляция (5.9)'!$AJ$8:$BW$8,0)),'Калькуляция (5.9)'!$F$25:$F$139,$F51,'Калькуляция (5.9)'!$G$25:$G$139,$G51)))</f>
        <v>0</v>
      </c>
      <c r="AF51" s="915">
        <f>IF(AD51=0,0,(AE51-AD51)/AD51*100)</f>
        <v>0</v>
      </c>
      <c r="AG51" s="76">
        <f>IF(method_reg="Метод сравнения аналогов",_xlfn.SUMIFS(INDEX('Калькуляция (МСА)'!$AE$25:$BW$82,,MATCH(AG$8,'Калькуляция (МСА)'!$AE$8:$BW$8,0)),'Калькуляция (МСА)'!$F$25:$F$82,$F51,'Калькуляция (МСА)'!$G$25:$G$82,$G51),_xlfn.SUMIFS(INDEX('Калькуляция (5.9)'!$AJ$25:$BW$139,,MATCH(AG$8,'Калькуляция (5.9)'!$AJ$8:$BW$8,0)),'Калькуляция (5.9)'!$F$25:$F$139,$F51,'Калькуляция (5.9)'!$G$25:$G$139,$G51))</f>
        <v>0</v>
      </c>
      <c r="AH51" s="76">
        <f>IF(method_reg="Метод сравнения аналогов",_xlfn.SUMIFS(INDEX('Калькуляция (МСА)'!$AE$25:$BW$82,,MATCH(AH$8,'Калькуляция (МСА)'!$AE$8:$BW$8,0)),'Калькуляция (МСА)'!$F$25:$F$82,$F51,'Калькуляция (МСА)'!$G$25:$G$82,$G51),_xlfn.SUMIFS(INDEX('Калькуляция (5.9)'!$AJ$25:$BW$139,,MATCH(AH$8,'Калькуляция (5.9)'!$AJ$8:$BW$8,0)),'Калькуляция (5.9)'!$F$25:$F$139,$F51,'Калькуляция (5.9)'!$G$25:$G$139,$G51))</f>
        <v>0</v>
      </c>
      <c r="AI51" s="915">
        <f>IF(AG51=0,0,(AH51-AG51)/AG51*100)</f>
        <v>0</v>
      </c>
      <c r="AJ51" s="76">
        <f>IF(method_reg="Метод сравнения аналогов",_xlfn.SUMIFS(INDEX('Калькуляция (МСА)'!$AE$25:$BW$82,,MATCH(AJ$8,'Калькуляция (МСА)'!$AE$8:$BW$8,0)),'Калькуляция (МСА)'!$F$25:$F$82,$F51,'Калькуляция (МСА)'!$G$25:$G$82,$G51),_xlfn.SUMIFS(INDEX('Калькуляция (5.9)'!$AJ$25:$BW$139,,MATCH(AJ$8,'Калькуляция (5.9)'!$AJ$8:$BW$8,0)),'Калькуляция (5.9)'!$F$25:$F$139,$F51,'Калькуляция (5.9)'!$G$25:$G$139,$G51))</f>
        <v>0</v>
      </c>
      <c r="AK51" s="76">
        <f>IF(method_reg="Метод сравнения аналогов",_xlfn.SUMIFS(INDEX('Калькуляция (МСА)'!$AE$25:$BW$82,,MATCH(AK$8,'Калькуляция (МСА)'!$AE$8:$BW$8,0)),'Калькуляция (МСА)'!$F$25:$F$82,$F51,'Калькуляция (МСА)'!$G$25:$G$82,$G51),_xlfn.SUMIFS(INDEX('Калькуляция (5.9)'!$AJ$25:$BW$139,,MATCH(AK$8,'Калькуляция (5.9)'!$AJ$8:$BW$8,0)),'Калькуляция (5.9)'!$F$25:$F$139,$F51,'Калькуляция (5.9)'!$G$25:$G$139,$G51))</f>
        <v>0</v>
      </c>
      <c r="AL51" s="915">
        <f>IF(AJ51=0,0,(AK51-AJ51)/AJ51*100)</f>
        <v>0</v>
      </c>
      <c r="AM51" s="76">
        <f>IF(method_reg="Метод сравнения аналогов",_xlfn.SUMIFS(INDEX('Калькуляция (МСА)'!$AE$25:$BW$82,,MATCH(AM$8,'Калькуляция (МСА)'!$AE$8:$BW$8,0)),'Калькуляция (МСА)'!$F$25:$F$82,$F51,'Калькуляция (МСА)'!$G$25:$G$82,$G51),_xlfn.SUMIFS(INDEX('Калькуляция (5.9)'!$AJ$25:$BW$139,,MATCH(AM$8,'Калькуляция (5.9)'!$AJ$8:$BW$8,0)),'Калькуляция (5.9)'!$F$25:$F$139,$F51,'Калькуляция (5.9)'!$G$25:$G$139,$G51))</f>
        <v>0</v>
      </c>
      <c r="AN51" s="76">
        <f>IF(method_reg="Метод сравнения аналогов",_xlfn.SUMIFS(INDEX('Калькуляция (МСА)'!$AE$25:$BW$82,,MATCH(AN$8,'Калькуляция (МСА)'!$AE$8:$BW$8,0)),'Калькуляция (МСА)'!$F$25:$F$82,$F51,'Калькуляция (МСА)'!$G$25:$G$82,$G51),_xlfn.SUMIFS(INDEX('Калькуляция (5.9)'!$AJ$25:$BW$139,,MATCH(AN$8,'Калькуляция (5.9)'!$AJ$8:$BW$8,0)),'Калькуляция (5.9)'!$F$25:$F$139,$F51,'Калькуляция (5.9)'!$G$25:$G$139,$G51))</f>
        <v>0</v>
      </c>
      <c r="AO51" s="915">
        <f>IF(AM51=0,0,(AN51-AM51)/AM51*100)</f>
        <v>0</v>
      </c>
      <c r="AP51" s="76">
        <f>IF(method_reg="Метод сравнения аналогов",_xlfn.SUMIFS(INDEX('Калькуляция (МСА)'!$AE$25:$BW$82,,MATCH(AP$8,'Калькуляция (МСА)'!$AE$8:$BW$8,0)),'Калькуляция (МСА)'!$F$25:$F$82,$F51,'Калькуляция (МСА)'!$G$25:$G$82,$G51),_xlfn.SUMIFS(INDEX('Калькуляция (5.9)'!$AJ$25:$BW$139,,MATCH(AP$8,'Калькуляция (5.9)'!$AJ$8:$BW$8,0)),'Калькуляция (5.9)'!$F$25:$F$139,$F51,'Калькуляция (5.9)'!$G$25:$G$139,$G51))</f>
        <v>0</v>
      </c>
      <c r="AQ51" s="76">
        <f>IF(method_reg="Метод сравнения аналогов",_xlfn.SUMIFS(INDEX('Калькуляция (МСА)'!$AE$25:$BW$82,,MATCH(AQ$8,'Калькуляция (МСА)'!$AE$8:$BW$8,0)),'Калькуляция (МСА)'!$F$25:$F$82,$F51,'Калькуляция (МСА)'!$G$25:$G$82,$G51),_xlfn.SUMIFS(INDEX('Калькуляция (5.9)'!$AJ$25:$BW$139,,MATCH(AQ$8,'Калькуляция (5.9)'!$AJ$8:$BW$8,0)),'Калькуляция (5.9)'!$F$25:$F$139,$F51,'Калькуляция (5.9)'!$G$25:$G$139,$G51))</f>
        <v>0</v>
      </c>
      <c r="AR51" s="915">
        <f>IF(AP51=0,0,(AQ51-AP51)/AP51*100)</f>
        <v>0</v>
      </c>
      <c r="AS51" s="76">
        <f>IF(method_reg="Метод сравнения аналогов",_xlfn.SUMIFS(INDEX('Калькуляция (МСА)'!$AE$25:$BW$82,,MATCH(AS$8,'Калькуляция (МСА)'!$AE$8:$BW$8,0)),'Калькуляция (МСА)'!$F$25:$F$82,$F51,'Калькуляция (МСА)'!$G$25:$G$82,$G51),_xlfn.SUMIFS(INDEX('Калькуляция (5.9)'!$AJ$25:$BW$139,,MATCH(AS$8,'Калькуляция (5.9)'!$AJ$8:$BW$8,0)),'Калькуляция (5.9)'!$F$25:$F$139,$F51,'Калькуляция (5.9)'!$G$25:$G$139,$G51))</f>
        <v>0</v>
      </c>
      <c r="AT51" s="76">
        <f>IF(method_reg="Метод сравнения аналогов",_xlfn.SUMIFS(INDEX('Калькуляция (МСА)'!$AE$25:$BW$82,,MATCH(AT$8,'Калькуляция (МСА)'!$AE$8:$BW$8,0)),'Калькуляция (МСА)'!$F$25:$F$82,$F51,'Калькуляция (МСА)'!$G$25:$G$82,$G51),_xlfn.SUMIFS(INDEX('Калькуляция (5.9)'!$AJ$25:$BW$139,,MATCH(AT$8,'Калькуляция (5.9)'!$AJ$8:$BW$8,0)),'Калькуляция (5.9)'!$F$25:$F$139,$F51,'Калькуляция (5.9)'!$G$25:$G$139,$G51))</f>
        <v>0</v>
      </c>
      <c r="AU51" s="915">
        <f>IF(AS51=0,0,(AT51-AS51)/AS51*100)</f>
        <v>0</v>
      </c>
      <c r="AV51" s="76">
        <f>IF(method_reg="Метод сравнения аналогов",_xlfn.SUMIFS(INDEX('Калькуляция (МСА)'!$AE$25:$BW$82,,MATCH(AV$8,'Калькуляция (МСА)'!$AE$8:$BW$8,0)),'Калькуляция (МСА)'!$F$25:$F$82,$F51,'Калькуляция (МСА)'!$G$25:$G$82,$G51),_xlfn.SUMIFS(INDEX('Калькуляция (5.9)'!$AJ$25:$BW$139,,MATCH(AV$8,'Калькуляция (5.9)'!$AJ$8:$BW$8,0)),'Калькуляция (5.9)'!$F$25:$F$139,$F51,'Калькуляция (5.9)'!$G$25:$G$139,$G51))</f>
        <v>0</v>
      </c>
      <c r="AW51" s="76">
        <f>IF(method_reg="Метод сравнения аналогов",_xlfn.SUMIFS(INDEX('Калькуляция (МСА)'!$AE$25:$BW$82,,MATCH(AW$8,'Калькуляция (МСА)'!$AE$8:$BW$8,0)),'Калькуляция (МСА)'!$F$25:$F$82,$F51,'Калькуляция (МСА)'!$G$25:$G$82,$G51),_xlfn.SUMIFS(INDEX('Калькуляция (5.9)'!$AJ$25:$BW$139,,MATCH(AW$8,'Калькуляция (5.9)'!$AJ$8:$BW$8,0)),'Калькуляция (5.9)'!$F$25:$F$139,$F51,'Калькуляция (5.9)'!$G$25:$G$139,$G51))</f>
        <v>0</v>
      </c>
      <c r="AX51" s="915">
        <f>IF(AV51=0,0,(AW51-AV51)/AV51*100)</f>
        <v>0</v>
      </c>
      <c r="AY51" s="76">
        <f>IF(method_reg="Метод сравнения аналогов",_xlfn.SUMIFS(INDEX('Калькуляция (МСА)'!$AE$25:$BW$82,,MATCH(AY$8,'Калькуляция (МСА)'!$AE$8:$BW$8,0)),'Калькуляция (МСА)'!$F$25:$F$82,$F51,'Калькуляция (МСА)'!$G$25:$G$82,$G51),_xlfn.SUMIFS(INDEX('Калькуляция (5.9)'!$AJ$25:$BW$139,,MATCH(AY$8,'Калькуляция (5.9)'!$AJ$8:$BW$8,0)),'Калькуляция (5.9)'!$F$25:$F$139,$F51,'Калькуляция (5.9)'!$G$25:$G$139,$G51))</f>
        <v>0</v>
      </c>
      <c r="AZ51" s="76">
        <f>IF(method_reg="Метод сравнения аналогов",_xlfn.SUMIFS(INDEX('Калькуляция (МСА)'!$AE$25:$BW$82,,MATCH(AZ$8,'Калькуляция (МСА)'!$AE$8:$BW$8,0)),'Калькуляция (МСА)'!$F$25:$F$82,$F51,'Калькуляция (МСА)'!$G$25:$G$82,$G51),_xlfn.SUMIFS(INDEX('Калькуляция (5.9)'!$AJ$25:$BW$139,,MATCH(AZ$8,'Калькуляция (5.9)'!$AJ$8:$BW$8,0)),'Калькуляция (5.9)'!$F$25:$F$139,$F51,'Калькуляция (5.9)'!$G$25:$G$139,$G51))</f>
        <v>0</v>
      </c>
      <c r="BA51" s="915">
        <f>IF(AY51=0,0,(AZ51-AY51)/AY51*100)</f>
        <v>0</v>
      </c>
      <c r="BB51" s="76">
        <f>IF(method_reg="Метод сравнения аналогов",_xlfn.SUMIFS(INDEX('Калькуляция (МСА)'!$AE$25:$BW$82,,MATCH(BB$8,'Калькуляция (МСА)'!$AE$8:$BW$8,0)),'Калькуляция (МСА)'!$F$25:$F$82,$F51,'Калькуляция (МСА)'!$G$25:$G$82,$G51),_xlfn.SUMIFS(INDEX('Калькуляция (5.9)'!$AJ$25:$BW$139,,MATCH(BB$8,'Калькуляция (5.9)'!$AJ$8:$BW$8,0)),'Калькуляция (5.9)'!$F$25:$F$139,$F51,'Калькуляция (5.9)'!$G$25:$G$139,$G51))</f>
        <v>0</v>
      </c>
      <c r="BC51" s="76">
        <f>IF(method_reg="Метод сравнения аналогов",_xlfn.SUMIFS(INDEX('Калькуляция (МСА)'!$AE$25:$BW$82,,MATCH(BC$8,'Калькуляция (МСА)'!$AE$8:$BW$8,0)),'Калькуляция (МСА)'!$F$25:$F$82,$F51,'Калькуляция (МСА)'!$G$25:$G$82,$G51),_xlfn.SUMIFS(INDEX('Калькуляция (5.9)'!$AJ$25:$BW$139,,MATCH(BC$8,'Калькуляция (5.9)'!$AJ$8:$BW$8,0)),'Калькуляция (5.9)'!$F$25:$F$139,$F51,'Калькуляция (5.9)'!$G$25:$G$139,$G51))</f>
        <v>0</v>
      </c>
      <c r="BD51" s="915">
        <f>IF(BB51=0,0,(BC51-BB51)/BB51*100)</f>
        <v>0</v>
      </c>
      <c r="BE51" s="76">
        <f>IF(method_reg="Метод сравнения аналогов",_xlfn.SUMIFS(INDEX('Калькуляция (МСА)'!$AE$25:$BW$82,,MATCH(BE$8,'Калькуляция (МСА)'!$AE$8:$BW$8,0)),'Калькуляция (МСА)'!$F$25:$F$82,$F51,'Калькуляция (МСА)'!$G$25:$G$82,$G51),_xlfn.SUMIFS(INDEX('Калькуляция (5.9)'!$AJ$25:$BW$139,,MATCH(BE$8,'Калькуляция (5.9)'!$AJ$8:$BW$8,0)),'Калькуляция (5.9)'!$F$25:$F$139,$F51,'Калькуляция (5.9)'!$G$25:$G$139,$G51))</f>
        <v>0</v>
      </c>
      <c r="BF51" s="76">
        <f>IF(method_reg="Метод сравнения аналогов",_xlfn.SUMIFS(INDEX('Калькуляция (МСА)'!$AE$25:$BW$82,,MATCH(BF$8,'Калькуляция (МСА)'!$AE$8:$BW$8,0)),'Калькуляция (МСА)'!$F$25:$F$82,$F51,'Калькуляция (МСА)'!$G$25:$G$82,$G51),_xlfn.SUMIFS(INDEX('Калькуляция (5.9)'!$AJ$25:$BW$139,,MATCH(BF$8,'Калькуляция (5.9)'!$AJ$8:$BW$8,0)),'Калькуляция (5.9)'!$F$25:$F$139,$F51,'Калькуляция (5.9)'!$G$25:$G$139,$G51))</f>
        <v>0</v>
      </c>
      <c r="BG51" s="915">
        <f>IF(BE51=0,0,(BF51-BE51)/BE51*100)</f>
        <v>0</v>
      </c>
      <c r="BH51" s="76"/>
      <c r="BI51" s="76"/>
      <c r="BJ51" s="915">
        <f>IF(BH51=0,0,(BI51-BH51)/BH51*100)</f>
        <v>0</v>
      </c>
      <c r="BK51" s="76"/>
      <c r="BL51" s="76"/>
      <c r="BM51" s="915">
        <f>IF(BK51=0,0,(BL51-BK51)/BK51*100)</f>
        <v>0</v>
      </c>
      <c r="BN51" s="76"/>
      <c r="BO51" s="76"/>
      <c r="BP51" s="915">
        <f>IF(BN51=0,0,(BO51-BN51)/BN51*100)</f>
        <v>0</v>
      </c>
      <c r="BQ51" s="76"/>
      <c r="BR51" s="76"/>
      <c r="BS51" s="915">
        <f>IF(BQ51=0,0,(BR51-BQ51)/BQ51*100)</f>
        <v>0</v>
      </c>
      <c r="BT51" s="76"/>
      <c r="BU51" s="76"/>
      <c r="BV51" s="915">
        <f>IF(BT51=0,0,(BU51-BT51)/BT51*100)</f>
        <v>0</v>
      </c>
      <c r="BW51" s="76"/>
      <c r="BX51" s="76"/>
      <c r="BY51" s="915">
        <f>IF(BW51=0,0,(BX51-BW51)/BW51*100)</f>
        <v>0</v>
      </c>
      <c r="BZ51" s="76"/>
      <c r="CA51" s="76"/>
      <c r="CB51" s="915">
        <f>IF(BZ51=0,0,(CA51-BZ51)/BZ51*100)</f>
        <v>0</v>
      </c>
      <c r="CC51" s="76"/>
      <c r="CD51" s="76"/>
      <c r="CE51" s="915">
        <f>IF(CC51=0,0,(CD51-CC51)/CC51*100)</f>
        <v>0</v>
      </c>
      <c r="CF51" s="76"/>
      <c r="CG51" s="76"/>
      <c r="CH51" s="915">
        <f>IF(CF51=0,0,(CG51-CF51)/CF51*100)</f>
        <v>0</v>
      </c>
      <c r="CI51" s="76"/>
      <c r="CJ51" s="76"/>
      <c r="CK51" s="915">
        <f>IF(CI51=0,0,(CJ51-CI51)/CI51*100)</f>
        <v>0</v>
      </c>
      <c r="CL51" s="76"/>
      <c r="CM51" s="76"/>
      <c r="CN51" s="915">
        <f>IF(CL51=0,0,(CM51-CL51)/CL51*100)</f>
        <v>0</v>
      </c>
      <c r="CO51" s="76"/>
      <c r="CP51" s="76"/>
      <c r="CQ51" s="915">
        <f>IF(CO51=0,0,(CP51-CO51)/CO51*100)</f>
        <v>0</v>
      </c>
      <c r="CR51" s="76"/>
      <c r="CS51" s="76"/>
      <c r="CT51" s="915">
        <f>IF(CR51=0,0,(CS51-CR51)/CR51*100)</f>
        <v>0</v>
      </c>
      <c r="CU51" s="76"/>
      <c r="CV51" s="76"/>
      <c r="CW51" s="915">
        <f>IF(CU51=0,0,(CV51-CU51)/CU51*100)</f>
        <v>0</v>
      </c>
      <c r="CX51" s="76"/>
      <c r="CY51" s="76"/>
      <c r="CZ51" s="915">
        <f>IF(CX51=0,0,(CY51-CX51)/CX51*100)</f>
        <v>0</v>
      </c>
      <c r="DA51" s="76"/>
      <c r="DB51" s="76"/>
      <c r="DC51" s="915">
        <f>IF(DA51=0,0,(DB51-DA51)/DA51*100)</f>
        <v>0</v>
      </c>
      <c r="DD51" s="76"/>
      <c r="DE51" s="76"/>
      <c r="DF51" s="915">
        <f>IF(DD51=0,0,(DE51-DD51)/DD51*100)</f>
        <v>0</v>
      </c>
      <c r="DG51" s="76"/>
      <c r="DH51" s="76"/>
      <c r="DI51" s="915">
        <f>IF(DG51=0,0,(DH51-DG51)/DG51*100)</f>
        <v>0</v>
      </c>
      <c r="DJ51" s="76"/>
      <c r="DK51" s="76"/>
      <c r="DL51" s="915">
        <f>IF(DJ51=0,0,(DK51-DJ51)/DJ51*100)</f>
        <v>0</v>
      </c>
      <c r="DM51" s="76"/>
      <c r="DN51" s="76"/>
      <c r="DO51" s="915">
        <f>IF(DM51=0,0,(DN51-DM51)/DM51*100)</f>
        <v>0</v>
      </c>
      <c r="DP51" s="76"/>
      <c r="DQ51" s="76"/>
      <c r="DR51" s="915">
        <f>IF(DP51=0,0,(DQ51-DP51)/DP51*100)</f>
        <v>0</v>
      </c>
      <c r="DS51" s="76"/>
      <c r="DT51" s="76"/>
      <c r="DU51" s="915">
        <f>IF(DS51=0,0,(DT51-DS51)/DS51*100)</f>
        <v>0</v>
      </c>
      <c r="DV51" s="76"/>
      <c r="DW51" s="76"/>
      <c r="DX51" s="915">
        <f>IF(DV51=0,0,(DW51-DV51)/DV51*100)</f>
        <v>0</v>
      </c>
      <c r="DY51" s="76"/>
      <c r="DZ51" s="76"/>
      <c r="EA51" s="915">
        <f>IF(DY51=0,0,(DZ51-DY51)/DY51*100)</f>
        <v>0</v>
      </c>
      <c r="EB51" s="76"/>
      <c r="EC51" s="76"/>
      <c r="ED51" s="915">
        <f>IF(EB51=0,0,(EC51-EB51)/EB51*100)</f>
        <v>0</v>
      </c>
      <c r="EE51" s="76"/>
      <c r="EF51" s="76"/>
      <c r="EG51" s="915">
        <f>IF(EE51=0,0,(EF51-EE51)/EE51*100)</f>
        <v>0</v>
      </c>
      <c r="EH51" s="76"/>
      <c r="EI51" s="76"/>
      <c r="EJ51" s="915">
        <f>IF(EH51=0,0,(EI51-EH51)/EH51*100)</f>
        <v>0</v>
      </c>
      <c r="EK51" s="76"/>
      <c r="EL51" s="76"/>
      <c r="EM51" s="915">
        <f>IF(EK51=0,0,(EL51-EK51)/EK51*100)</f>
        <v>0</v>
      </c>
      <c r="EN51" s="76"/>
      <c r="EO51" s="76"/>
      <c r="EP51" s="915">
        <f>IF(EN51=0,0,(EO51-EN51)/EN51*100)</f>
        <v>0</v>
      </c>
      <c r="EQ51" s="76"/>
      <c r="ER51" s="76"/>
      <c r="ES51" s="915">
        <f>IF(EQ51=0,0,(ER51-EQ51)/EQ51*100)</f>
        <v>0</v>
      </c>
      <c r="ET51" s="76"/>
      <c r="EU51" s="76"/>
      <c r="EV51" s="915">
        <f>IF(ET51=0,0,(EU51-ET51)/ET51*100)</f>
        <v>0</v>
      </c>
      <c r="EW51" s="76"/>
      <c r="EX51" s="76"/>
      <c r="EY51" s="915">
        <f>IF(EW51=0,0,(EX51-EW51)/EW51*100)</f>
        <v>0</v>
      </c>
      <c r="EZ51" s="76"/>
      <c r="FA51" s="76"/>
      <c r="FB51" s="915">
        <f>IF(EZ51=0,0,(FA51-EZ51)/EZ51*100)</f>
        <v>0</v>
      </c>
      <c r="FC51" s="76"/>
      <c r="FD51" s="76"/>
      <c r="FE51" s="915">
        <f>IF(FC51=0,0,(FD51-FC51)/FC51*100)</f>
        <v>0</v>
      </c>
      <c r="FF51" s="76"/>
      <c r="FG51" s="76"/>
      <c r="FH51" s="915">
        <f>IF(FF51=0,0,(FG51-FF51)/FF51*100)</f>
        <v>0</v>
      </c>
      <c r="FI51" s="76"/>
      <c r="FJ51" s="76"/>
      <c r="FK51" s="915">
        <f>IF(FI51=0,0,(FJ51-FI51)/FI51*100)</f>
        <v>0</v>
      </c>
      <c r="FL51" s="76"/>
      <c r="FM51" s="76"/>
      <c r="FN51" s="915">
        <f>IF(FL51=0,0,(FM51-FL51)/FL51*100)</f>
        <v>0</v>
      </c>
      <c r="FO51" s="76"/>
      <c r="FP51" s="76"/>
      <c r="FQ51" s="915">
        <f>IF(FO51=0,0,(FP51-FO51)/FO51*100)</f>
        <v>0</v>
      </c>
      <c r="FR51" s="76"/>
      <c r="FS51" s="76"/>
      <c r="FT51" s="915">
        <f>IF(FR51=0,0,(FS51-FR51)/FR51*100)</f>
        <v>0</v>
      </c>
      <c r="FU51" s="76"/>
      <c r="FV51" s="76"/>
      <c r="FW51" s="915">
        <f>IF(FU51=0,0,(FV51-FU51)/FU51*100)</f>
        <v>0</v>
      </c>
      <c r="FZ51" s="489" t="s">
        <v>2495</v>
      </c>
      <c r="GA51" s="489"/>
      <c r="GB51" s="489"/>
      <c r="GC51" s="489"/>
      <c r="GD51" s="489"/>
      <c r="GF51" s="1501" cm="1" t="str">
        <f t="array" ref="GF51:GF51">GF50</f>
        <v>0</v>
      </c>
      <c r="GG51" s="1501" t="s">
        <v>707</v>
      </c>
      <c r="GH51" s="1501" t="s">
        <v>2452</v>
      </c>
      <c r="GI51" s="1501" t="s">
        <v>796</v>
      </c>
      <c r="GJ51" s="1501" t="s">
        <v>2084</v>
      </c>
      <c r="GK51" s="1501"/>
      <c r="GL51" s="1501" t="s">
        <v>303</v>
      </c>
      <c r="GM51" s="1501" t="s">
        <v>2118</v>
      </c>
      <c r="GN51" s="1501" t="s">
        <v>2119</v>
      </c>
    </row>
    <row customHeight="1" ht="15.600000000000001" hidden="1">
      <c r="B52" s="192" cm="1" t="str">
        <f t="array" ref="B52:B52">B51</f>
        <v>false</v>
      </c>
      <c r="E52" s="180">
        <v>16</v>
      </c>
      <c r="F52" s="175" cm="1" t="str">
        <f t="array" ref="F52:F52">OFFSET(G52,-1,-1)</f>
        <v>0</v>
      </c>
      <c r="G52" s="193" t="s">
        <v>2081</v>
      </c>
      <c r="I52" s="193" t="s">
        <v>2449</v>
      </c>
      <c r="T52" s="753" cm="1" t="str">
        <f t="array" ref="T52:T52">T51</f>
        <v>false</v>
      </c>
      <c r="AB52" s="560" t="s">
        <v>2496</v>
      </c>
      <c r="AC52" s="380" t="s">
        <v>629</v>
      </c>
      <c r="AD52" s="166">
        <f>IF(method_reg="Метод экономически обоснованных расходов",_xlfn.SUMIFS('Калькуляция (4.6)'!AJ$25:AJ$162,'Калькуляция (4.6)'!$F$25:$F$162,$F52,'Калькуляция (4.6)'!$G$25:$G$162,$G52),IF(method_reg="Метод сравнения аналогов",_xlfn.SUMIFS(INDEX('Калькуляция (МСА)'!$AE$25:$BW$82,,MATCH(AD$8,'Калькуляция (МСА)'!$AE$8:$BW$8,0)),'Калькуляция (МСА)'!$F$25:$F$82,$F52,'Калькуляция (МСА)'!$G$25:$G$82,$G52),_xlfn.SUMIFS(INDEX('Калькуляция (5.9)'!$AJ$25:$BW$139,,MATCH(AD$8,'Калькуляция (5.9)'!$AJ$8:$BW$8,0)),'Калькуляция (5.9)'!$F$25:$F$139,$F52,'Калькуляция (5.9)'!$G$25:$G$139,$G52)))</f>
        <v>0</v>
      </c>
      <c r="AE52" s="166">
        <f>IF(method_reg="Метод экономически обоснованных расходов",_xlfn.SUMIFS('Калькуляция (4.6)'!AK$25:AK$162,'Калькуляция (4.6)'!$F$25:$F$162,$F52,'Калькуляция (4.6)'!$G$25:$G$162,$G52),IF(method_reg="Метод сравнения аналогов",_xlfn.SUMIFS(INDEX('Калькуляция (МСА)'!$AE$25:$BW$82,,MATCH(AE$8,'Калькуляция (МСА)'!$AE$8:$BW$8,0)),'Калькуляция (МСА)'!$F$25:$F$82,$F52,'Калькуляция (МСА)'!$G$25:$G$82,$G52),_xlfn.SUMIFS(INDEX('Калькуляция (5.9)'!$AJ$25:$BW$139,,MATCH(AE$8,'Калькуляция (5.9)'!$AJ$8:$BW$8,0)),'Калькуляция (5.9)'!$F$25:$F$139,$F52,'Калькуляция (5.9)'!$G$25:$G$139,$G52)))</f>
        <v>0</v>
      </c>
      <c r="AF52" s="917">
        <f>IF(AD52=0,0,(AE52-AD52)/AD52*100)</f>
        <v>0</v>
      </c>
      <c r="AG52" s="166">
        <f>IF(method_reg="Метод сравнения аналогов",_xlfn.SUMIFS(INDEX('Калькуляция (МСА)'!$AE$25:$BW$82,,MATCH(AG$8,'Калькуляция (МСА)'!$AE$8:$BW$8,0)),'Калькуляция (МСА)'!$F$25:$F$82,$F52,'Калькуляция (МСА)'!$G$25:$G$82,$G52),_xlfn.SUMIFS(INDEX('Калькуляция (5.9)'!$AJ$25:$BW$139,,MATCH(AG$8,'Калькуляция (5.9)'!$AJ$8:$BW$8,0)),'Калькуляция (5.9)'!$F$25:$F$139,$F52,'Калькуляция (5.9)'!$G$25:$G$139,$G52))</f>
        <v>0</v>
      </c>
      <c r="AH52" s="166">
        <f>IF(method_reg="Метод сравнения аналогов",_xlfn.SUMIFS(INDEX('Калькуляция (МСА)'!$AE$25:$BW$82,,MATCH(AH$8,'Калькуляция (МСА)'!$AE$8:$BW$8,0)),'Калькуляция (МСА)'!$F$25:$F$82,$F52,'Калькуляция (МСА)'!$G$25:$G$82,$G52),_xlfn.SUMIFS(INDEX('Калькуляция (5.9)'!$AJ$25:$BW$139,,MATCH(AH$8,'Калькуляция (5.9)'!$AJ$8:$BW$8,0)),'Калькуляция (5.9)'!$F$25:$F$139,$F52,'Калькуляция (5.9)'!$G$25:$G$139,$G52))</f>
        <v>0</v>
      </c>
      <c r="AI52" s="917">
        <f>IF(AG52=0,0,(AH52-AG52)/AG52*100)</f>
        <v>0</v>
      </c>
      <c r="AJ52" s="166">
        <f>IF(method_reg="Метод сравнения аналогов",_xlfn.SUMIFS(INDEX('Калькуляция (МСА)'!$AE$25:$BW$82,,MATCH(AJ$8,'Калькуляция (МСА)'!$AE$8:$BW$8,0)),'Калькуляция (МСА)'!$F$25:$F$82,$F52,'Калькуляция (МСА)'!$G$25:$G$82,$G52),_xlfn.SUMIFS(INDEX('Калькуляция (5.9)'!$AJ$25:$BW$139,,MATCH(AJ$8,'Калькуляция (5.9)'!$AJ$8:$BW$8,0)),'Калькуляция (5.9)'!$F$25:$F$139,$F52,'Калькуляция (5.9)'!$G$25:$G$139,$G52))</f>
        <v>0</v>
      </c>
      <c r="AK52" s="166">
        <f>IF(method_reg="Метод сравнения аналогов",_xlfn.SUMIFS(INDEX('Калькуляция (МСА)'!$AE$25:$BW$82,,MATCH(AK$8,'Калькуляция (МСА)'!$AE$8:$BW$8,0)),'Калькуляция (МСА)'!$F$25:$F$82,$F52,'Калькуляция (МСА)'!$G$25:$G$82,$G52),_xlfn.SUMIFS(INDEX('Калькуляция (5.9)'!$AJ$25:$BW$139,,MATCH(AK$8,'Калькуляция (5.9)'!$AJ$8:$BW$8,0)),'Калькуляция (5.9)'!$F$25:$F$139,$F52,'Калькуляция (5.9)'!$G$25:$G$139,$G52))</f>
        <v>0</v>
      </c>
      <c r="AL52" s="917">
        <f>IF(AJ52=0,0,(AK52-AJ52)/AJ52*100)</f>
        <v>0</v>
      </c>
      <c r="AM52" s="166">
        <f>IF(method_reg="Метод сравнения аналогов",_xlfn.SUMIFS(INDEX('Калькуляция (МСА)'!$AE$25:$BW$82,,MATCH(AM$8,'Калькуляция (МСА)'!$AE$8:$BW$8,0)),'Калькуляция (МСА)'!$F$25:$F$82,$F52,'Калькуляция (МСА)'!$G$25:$G$82,$G52),_xlfn.SUMIFS(INDEX('Калькуляция (5.9)'!$AJ$25:$BW$139,,MATCH(AM$8,'Калькуляция (5.9)'!$AJ$8:$BW$8,0)),'Калькуляция (5.9)'!$F$25:$F$139,$F52,'Калькуляция (5.9)'!$G$25:$G$139,$G52))</f>
        <v>0</v>
      </c>
      <c r="AN52" s="166">
        <f>IF(method_reg="Метод сравнения аналогов",_xlfn.SUMIFS(INDEX('Калькуляция (МСА)'!$AE$25:$BW$82,,MATCH(AN$8,'Калькуляция (МСА)'!$AE$8:$BW$8,0)),'Калькуляция (МСА)'!$F$25:$F$82,$F52,'Калькуляция (МСА)'!$G$25:$G$82,$G52),_xlfn.SUMIFS(INDEX('Калькуляция (5.9)'!$AJ$25:$BW$139,,MATCH(AN$8,'Калькуляция (5.9)'!$AJ$8:$BW$8,0)),'Калькуляция (5.9)'!$F$25:$F$139,$F52,'Калькуляция (5.9)'!$G$25:$G$139,$G52))</f>
        <v>0</v>
      </c>
      <c r="AO52" s="917">
        <f>IF(AM52=0,0,(AN52-AM52)/AM52*100)</f>
        <v>0</v>
      </c>
      <c r="AP52" s="166">
        <f>IF(method_reg="Метод сравнения аналогов",_xlfn.SUMIFS(INDEX('Калькуляция (МСА)'!$AE$25:$BW$82,,MATCH(AP$8,'Калькуляция (МСА)'!$AE$8:$BW$8,0)),'Калькуляция (МСА)'!$F$25:$F$82,$F52,'Калькуляция (МСА)'!$G$25:$G$82,$G52),_xlfn.SUMIFS(INDEX('Калькуляция (5.9)'!$AJ$25:$BW$139,,MATCH(AP$8,'Калькуляция (5.9)'!$AJ$8:$BW$8,0)),'Калькуляция (5.9)'!$F$25:$F$139,$F52,'Калькуляция (5.9)'!$G$25:$G$139,$G52))</f>
        <v>0</v>
      </c>
      <c r="AQ52" s="166">
        <f>IF(method_reg="Метод сравнения аналогов",_xlfn.SUMIFS(INDEX('Калькуляция (МСА)'!$AE$25:$BW$82,,MATCH(AQ$8,'Калькуляция (МСА)'!$AE$8:$BW$8,0)),'Калькуляция (МСА)'!$F$25:$F$82,$F52,'Калькуляция (МСА)'!$G$25:$G$82,$G52),_xlfn.SUMIFS(INDEX('Калькуляция (5.9)'!$AJ$25:$BW$139,,MATCH(AQ$8,'Калькуляция (5.9)'!$AJ$8:$BW$8,0)),'Калькуляция (5.9)'!$F$25:$F$139,$F52,'Калькуляция (5.9)'!$G$25:$G$139,$G52))</f>
        <v>0</v>
      </c>
      <c r="AR52" s="917">
        <f>IF(AP52=0,0,(AQ52-AP52)/AP52*100)</f>
        <v>0</v>
      </c>
      <c r="AS52" s="166">
        <f>IF(method_reg="Метод сравнения аналогов",_xlfn.SUMIFS(INDEX('Калькуляция (МСА)'!$AE$25:$BW$82,,MATCH(AS$8,'Калькуляция (МСА)'!$AE$8:$BW$8,0)),'Калькуляция (МСА)'!$F$25:$F$82,$F52,'Калькуляция (МСА)'!$G$25:$G$82,$G52),_xlfn.SUMIFS(INDEX('Калькуляция (5.9)'!$AJ$25:$BW$139,,MATCH(AS$8,'Калькуляция (5.9)'!$AJ$8:$BW$8,0)),'Калькуляция (5.9)'!$F$25:$F$139,$F52,'Калькуляция (5.9)'!$G$25:$G$139,$G52))</f>
        <v>0</v>
      </c>
      <c r="AT52" s="166">
        <f>IF(method_reg="Метод сравнения аналогов",_xlfn.SUMIFS(INDEX('Калькуляция (МСА)'!$AE$25:$BW$82,,MATCH(AT$8,'Калькуляция (МСА)'!$AE$8:$BW$8,0)),'Калькуляция (МСА)'!$F$25:$F$82,$F52,'Калькуляция (МСА)'!$G$25:$G$82,$G52),_xlfn.SUMIFS(INDEX('Калькуляция (5.9)'!$AJ$25:$BW$139,,MATCH(AT$8,'Калькуляция (5.9)'!$AJ$8:$BW$8,0)),'Калькуляция (5.9)'!$F$25:$F$139,$F52,'Калькуляция (5.9)'!$G$25:$G$139,$G52))</f>
        <v>0</v>
      </c>
      <c r="AU52" s="917">
        <f>IF(AS52=0,0,(AT52-AS52)/AS52*100)</f>
        <v>0</v>
      </c>
      <c r="AV52" s="166">
        <f>IF(method_reg="Метод сравнения аналогов",_xlfn.SUMIFS(INDEX('Калькуляция (МСА)'!$AE$25:$BW$82,,MATCH(AV$8,'Калькуляция (МСА)'!$AE$8:$BW$8,0)),'Калькуляция (МСА)'!$F$25:$F$82,$F52,'Калькуляция (МСА)'!$G$25:$G$82,$G52),_xlfn.SUMIFS(INDEX('Калькуляция (5.9)'!$AJ$25:$BW$139,,MATCH(AV$8,'Калькуляция (5.9)'!$AJ$8:$BW$8,0)),'Калькуляция (5.9)'!$F$25:$F$139,$F52,'Калькуляция (5.9)'!$G$25:$G$139,$G52))</f>
        <v>0</v>
      </c>
      <c r="AW52" s="166">
        <f>IF(method_reg="Метод сравнения аналогов",_xlfn.SUMIFS(INDEX('Калькуляция (МСА)'!$AE$25:$BW$82,,MATCH(AW$8,'Калькуляция (МСА)'!$AE$8:$BW$8,0)),'Калькуляция (МСА)'!$F$25:$F$82,$F52,'Калькуляция (МСА)'!$G$25:$G$82,$G52),_xlfn.SUMIFS(INDEX('Калькуляция (5.9)'!$AJ$25:$BW$139,,MATCH(AW$8,'Калькуляция (5.9)'!$AJ$8:$BW$8,0)),'Калькуляция (5.9)'!$F$25:$F$139,$F52,'Калькуляция (5.9)'!$G$25:$G$139,$G52))</f>
        <v>0</v>
      </c>
      <c r="AX52" s="917">
        <f>IF(AV52=0,0,(AW52-AV52)/AV52*100)</f>
        <v>0</v>
      </c>
      <c r="AY52" s="166">
        <f>IF(method_reg="Метод сравнения аналогов",_xlfn.SUMIFS(INDEX('Калькуляция (МСА)'!$AE$25:$BW$82,,MATCH(AY$8,'Калькуляция (МСА)'!$AE$8:$BW$8,0)),'Калькуляция (МСА)'!$F$25:$F$82,$F52,'Калькуляция (МСА)'!$G$25:$G$82,$G52),_xlfn.SUMIFS(INDEX('Калькуляция (5.9)'!$AJ$25:$BW$139,,MATCH(AY$8,'Калькуляция (5.9)'!$AJ$8:$BW$8,0)),'Калькуляция (5.9)'!$F$25:$F$139,$F52,'Калькуляция (5.9)'!$G$25:$G$139,$G52))</f>
        <v>0</v>
      </c>
      <c r="AZ52" s="166">
        <f>IF(method_reg="Метод сравнения аналогов",_xlfn.SUMIFS(INDEX('Калькуляция (МСА)'!$AE$25:$BW$82,,MATCH(AZ$8,'Калькуляция (МСА)'!$AE$8:$BW$8,0)),'Калькуляция (МСА)'!$F$25:$F$82,$F52,'Калькуляция (МСА)'!$G$25:$G$82,$G52),_xlfn.SUMIFS(INDEX('Калькуляция (5.9)'!$AJ$25:$BW$139,,MATCH(AZ$8,'Калькуляция (5.9)'!$AJ$8:$BW$8,0)),'Калькуляция (5.9)'!$F$25:$F$139,$F52,'Калькуляция (5.9)'!$G$25:$G$139,$G52))</f>
        <v>0</v>
      </c>
      <c r="BA52" s="917">
        <f>IF(AY52=0,0,(AZ52-AY52)/AY52*100)</f>
        <v>0</v>
      </c>
      <c r="BB52" s="166">
        <f>IF(method_reg="Метод сравнения аналогов",_xlfn.SUMIFS(INDEX('Калькуляция (МСА)'!$AE$25:$BW$82,,MATCH(BB$8,'Калькуляция (МСА)'!$AE$8:$BW$8,0)),'Калькуляция (МСА)'!$F$25:$F$82,$F52,'Калькуляция (МСА)'!$G$25:$G$82,$G52),_xlfn.SUMIFS(INDEX('Калькуляция (5.9)'!$AJ$25:$BW$139,,MATCH(BB$8,'Калькуляция (5.9)'!$AJ$8:$BW$8,0)),'Калькуляция (5.9)'!$F$25:$F$139,$F52,'Калькуляция (5.9)'!$G$25:$G$139,$G52))</f>
        <v>0</v>
      </c>
      <c r="BC52" s="166">
        <f>IF(method_reg="Метод сравнения аналогов",_xlfn.SUMIFS(INDEX('Калькуляция (МСА)'!$AE$25:$BW$82,,MATCH(BC$8,'Калькуляция (МСА)'!$AE$8:$BW$8,0)),'Калькуляция (МСА)'!$F$25:$F$82,$F52,'Калькуляция (МСА)'!$G$25:$G$82,$G52),_xlfn.SUMIFS(INDEX('Калькуляция (5.9)'!$AJ$25:$BW$139,,MATCH(BC$8,'Калькуляция (5.9)'!$AJ$8:$BW$8,0)),'Калькуляция (5.9)'!$F$25:$F$139,$F52,'Калькуляция (5.9)'!$G$25:$G$139,$G52))</f>
        <v>0</v>
      </c>
      <c r="BD52" s="917">
        <f>IF(BB52=0,0,(BC52-BB52)/BB52*100)</f>
        <v>0</v>
      </c>
      <c r="BE52" s="166">
        <f>IF(method_reg="Метод сравнения аналогов",_xlfn.SUMIFS(INDEX('Калькуляция (МСА)'!$AE$25:$BW$82,,MATCH(BE$8,'Калькуляция (МСА)'!$AE$8:$BW$8,0)),'Калькуляция (МСА)'!$F$25:$F$82,$F52,'Калькуляция (МСА)'!$G$25:$G$82,$G52),_xlfn.SUMIFS(INDEX('Калькуляция (5.9)'!$AJ$25:$BW$139,,MATCH(BE$8,'Калькуляция (5.9)'!$AJ$8:$BW$8,0)),'Калькуляция (5.9)'!$F$25:$F$139,$F52,'Калькуляция (5.9)'!$G$25:$G$139,$G52))</f>
        <v>0</v>
      </c>
      <c r="BF52" s="166">
        <f>IF(method_reg="Метод сравнения аналогов",_xlfn.SUMIFS(INDEX('Калькуляция (МСА)'!$AE$25:$BW$82,,MATCH(BF$8,'Калькуляция (МСА)'!$AE$8:$BW$8,0)),'Калькуляция (МСА)'!$F$25:$F$82,$F52,'Калькуляция (МСА)'!$G$25:$G$82,$G52),_xlfn.SUMIFS(INDEX('Калькуляция (5.9)'!$AJ$25:$BW$139,,MATCH(BF$8,'Калькуляция (5.9)'!$AJ$8:$BW$8,0)),'Калькуляция (5.9)'!$F$25:$F$139,$F52,'Калькуляция (5.9)'!$G$25:$G$139,$G52))</f>
        <v>0</v>
      </c>
      <c r="BG52" s="917">
        <f>IF(BE52=0,0,(BF52-BE52)/BE52*100)</f>
        <v>0</v>
      </c>
      <c r="BH52" s="166"/>
      <c r="BI52" s="166"/>
      <c r="BJ52" s="917">
        <f>IF(BH52=0,0,(BI52-BH52)/BH52*100)</f>
        <v>0</v>
      </c>
      <c r="BK52" s="166"/>
      <c r="BL52" s="166"/>
      <c r="BM52" s="917">
        <f>IF(BK52=0,0,(BL52-BK52)/BK52*100)</f>
        <v>0</v>
      </c>
      <c r="BN52" s="166"/>
      <c r="BO52" s="166"/>
      <c r="BP52" s="917">
        <f>IF(BN52=0,0,(BO52-BN52)/BN52*100)</f>
        <v>0</v>
      </c>
      <c r="BQ52" s="166"/>
      <c r="BR52" s="166"/>
      <c r="BS52" s="917">
        <f>IF(BQ52=0,0,(BR52-BQ52)/BQ52*100)</f>
        <v>0</v>
      </c>
      <c r="BT52" s="166"/>
      <c r="BU52" s="166"/>
      <c r="BV52" s="917">
        <f>IF(BT52=0,0,(BU52-BT52)/BT52*100)</f>
        <v>0</v>
      </c>
      <c r="BW52" s="166"/>
      <c r="BX52" s="166"/>
      <c r="BY52" s="917">
        <f>IF(BW52=0,0,(BX52-BW52)/BW52*100)</f>
        <v>0</v>
      </c>
      <c r="BZ52" s="166"/>
      <c r="CA52" s="166"/>
      <c r="CB52" s="917">
        <f>IF(BZ52=0,0,(CA52-BZ52)/BZ52*100)</f>
        <v>0</v>
      </c>
      <c r="CC52" s="166"/>
      <c r="CD52" s="166"/>
      <c r="CE52" s="917">
        <f>IF(CC52=0,0,(CD52-CC52)/CC52*100)</f>
        <v>0</v>
      </c>
      <c r="CF52" s="166"/>
      <c r="CG52" s="166"/>
      <c r="CH52" s="917">
        <f>IF(CF52=0,0,(CG52-CF52)/CF52*100)</f>
        <v>0</v>
      </c>
      <c r="CI52" s="166"/>
      <c r="CJ52" s="166"/>
      <c r="CK52" s="917">
        <f>IF(CI52=0,0,(CJ52-CI52)/CI52*100)</f>
        <v>0</v>
      </c>
      <c r="CL52" s="166"/>
      <c r="CM52" s="166"/>
      <c r="CN52" s="917">
        <f>IF(CL52=0,0,(CM52-CL52)/CL52*100)</f>
        <v>0</v>
      </c>
      <c r="CO52" s="166"/>
      <c r="CP52" s="166"/>
      <c r="CQ52" s="917">
        <f>IF(CO52=0,0,(CP52-CO52)/CO52*100)</f>
        <v>0</v>
      </c>
      <c r="CR52" s="166"/>
      <c r="CS52" s="166"/>
      <c r="CT52" s="917">
        <f>IF(CR52=0,0,(CS52-CR52)/CR52*100)</f>
        <v>0</v>
      </c>
      <c r="CU52" s="166"/>
      <c r="CV52" s="166"/>
      <c r="CW52" s="917">
        <f>IF(CU52=0,0,(CV52-CU52)/CU52*100)</f>
        <v>0</v>
      </c>
      <c r="CX52" s="166"/>
      <c r="CY52" s="166"/>
      <c r="CZ52" s="917">
        <f>IF(CX52=0,0,(CY52-CX52)/CX52*100)</f>
        <v>0</v>
      </c>
      <c r="DA52" s="166"/>
      <c r="DB52" s="166"/>
      <c r="DC52" s="917">
        <f>IF(DA52=0,0,(DB52-DA52)/DA52*100)</f>
        <v>0</v>
      </c>
      <c r="DD52" s="166"/>
      <c r="DE52" s="166"/>
      <c r="DF52" s="917">
        <f>IF(DD52=0,0,(DE52-DD52)/DD52*100)</f>
        <v>0</v>
      </c>
      <c r="DG52" s="166"/>
      <c r="DH52" s="166"/>
      <c r="DI52" s="917">
        <f>IF(DG52=0,0,(DH52-DG52)/DG52*100)</f>
        <v>0</v>
      </c>
      <c r="DJ52" s="166"/>
      <c r="DK52" s="166"/>
      <c r="DL52" s="917">
        <f>IF(DJ52=0,0,(DK52-DJ52)/DJ52*100)</f>
        <v>0</v>
      </c>
      <c r="DM52" s="166"/>
      <c r="DN52" s="166"/>
      <c r="DO52" s="917">
        <f>IF(DM52=0,0,(DN52-DM52)/DM52*100)</f>
        <v>0</v>
      </c>
      <c r="DP52" s="166"/>
      <c r="DQ52" s="166"/>
      <c r="DR52" s="917">
        <f>IF(DP52=0,0,(DQ52-DP52)/DP52*100)</f>
        <v>0</v>
      </c>
      <c r="DS52" s="166"/>
      <c r="DT52" s="166"/>
      <c r="DU52" s="917">
        <f>IF(DS52=0,0,(DT52-DS52)/DS52*100)</f>
        <v>0</v>
      </c>
      <c r="DV52" s="166"/>
      <c r="DW52" s="166"/>
      <c r="DX52" s="917">
        <f>IF(DV52=0,0,(DW52-DV52)/DV52*100)</f>
        <v>0</v>
      </c>
      <c r="DY52" s="166"/>
      <c r="DZ52" s="166"/>
      <c r="EA52" s="917">
        <f>IF(DY52=0,0,(DZ52-DY52)/DY52*100)</f>
        <v>0</v>
      </c>
      <c r="EB52" s="166"/>
      <c r="EC52" s="166"/>
      <c r="ED52" s="917">
        <f>IF(EB52=0,0,(EC52-EB52)/EB52*100)</f>
        <v>0</v>
      </c>
      <c r="EE52" s="166"/>
      <c r="EF52" s="166"/>
      <c r="EG52" s="917">
        <f>IF(EE52=0,0,(EF52-EE52)/EE52*100)</f>
        <v>0</v>
      </c>
      <c r="EH52" s="166"/>
      <c r="EI52" s="166"/>
      <c r="EJ52" s="917">
        <f>IF(EH52=0,0,(EI52-EH52)/EH52*100)</f>
        <v>0</v>
      </c>
      <c r="EK52" s="166"/>
      <c r="EL52" s="166"/>
      <c r="EM52" s="917">
        <f>IF(EK52=0,0,(EL52-EK52)/EK52*100)</f>
        <v>0</v>
      </c>
      <c r="EN52" s="166"/>
      <c r="EO52" s="166"/>
      <c r="EP52" s="917">
        <f>IF(EN52=0,0,(EO52-EN52)/EN52*100)</f>
        <v>0</v>
      </c>
      <c r="EQ52" s="166"/>
      <c r="ER52" s="166"/>
      <c r="ES52" s="917">
        <f>IF(EQ52=0,0,(ER52-EQ52)/EQ52*100)</f>
        <v>0</v>
      </c>
      <c r="ET52" s="166"/>
      <c r="EU52" s="166"/>
      <c r="EV52" s="917">
        <f>IF(ET52=0,0,(EU52-ET52)/ET52*100)</f>
        <v>0</v>
      </c>
      <c r="EW52" s="166"/>
      <c r="EX52" s="166"/>
      <c r="EY52" s="917">
        <f>IF(EW52=0,0,(EX52-EW52)/EW52*100)</f>
        <v>0</v>
      </c>
      <c r="EZ52" s="166"/>
      <c r="FA52" s="166"/>
      <c r="FB52" s="917">
        <f>IF(EZ52=0,0,(FA52-EZ52)/EZ52*100)</f>
        <v>0</v>
      </c>
      <c r="FC52" s="166"/>
      <c r="FD52" s="166"/>
      <c r="FE52" s="917">
        <f>IF(FC52=0,0,(FD52-FC52)/FC52*100)</f>
        <v>0</v>
      </c>
      <c r="FF52" s="166"/>
      <c r="FG52" s="166"/>
      <c r="FH52" s="917">
        <f>IF(FF52=0,0,(FG52-FF52)/FF52*100)</f>
        <v>0</v>
      </c>
      <c r="FI52" s="166"/>
      <c r="FJ52" s="166"/>
      <c r="FK52" s="917">
        <f>IF(FI52=0,0,(FJ52-FI52)/FI52*100)</f>
        <v>0</v>
      </c>
      <c r="FL52" s="166"/>
      <c r="FM52" s="166"/>
      <c r="FN52" s="917">
        <f>IF(FL52=0,0,(FM52-FL52)/FL52*100)</f>
        <v>0</v>
      </c>
      <c r="FO52" s="166"/>
      <c r="FP52" s="166"/>
      <c r="FQ52" s="917">
        <f>IF(FO52=0,0,(FP52-FO52)/FO52*100)</f>
        <v>0</v>
      </c>
      <c r="FR52" s="166"/>
      <c r="FS52" s="166"/>
      <c r="FT52" s="917">
        <f>IF(FR52=0,0,(FS52-FR52)/FR52*100)</f>
        <v>0</v>
      </c>
      <c r="FU52" s="166"/>
      <c r="FV52" s="166"/>
      <c r="FW52" s="917">
        <f>IF(FU52=0,0,(FV52-FU52)/FU52*100)</f>
        <v>0</v>
      </c>
      <c r="FZ52" s="489" t="s">
        <v>2497</v>
      </c>
      <c r="GA52" s="489"/>
      <c r="GB52" s="489"/>
      <c r="GC52" s="489"/>
      <c r="GD52" s="489"/>
      <c r="GF52" s="1501" cm="1" t="str">
        <f t="array" ref="GF52:GF52">GF51</f>
        <v>0</v>
      </c>
      <c r="GG52" s="1501" t="s">
        <v>707</v>
      </c>
      <c r="GH52" s="1501" t="s">
        <v>2452</v>
      </c>
      <c r="GI52" s="1501" t="s">
        <v>796</v>
      </c>
      <c r="GJ52" s="1501" t="s">
        <v>2084</v>
      </c>
      <c r="GK52" s="1501"/>
      <c r="GL52" s="1501" t="s">
        <v>303</v>
      </c>
      <c r="GM52" s="1501" t="s">
        <v>2079</v>
      </c>
      <c r="GN52" s="1501" t="s">
        <v>2080</v>
      </c>
    </row>
    <row customHeight="1" ht="31.200000000000003" hidden="1">
      <c r="B53" s="192" cm="1" t="str">
        <f t="array" ref="B53:B53">B52</f>
        <v>false</v>
      </c>
      <c r="E53" s="180">
        <v>32</v>
      </c>
      <c r="F53" s="175" cm="1" t="str">
        <f t="array" ref="F53:F53">OFFSET(G53,-1,-1)</f>
        <v>0</v>
      </c>
      <c r="G53" s="193" t="s">
        <v>2129</v>
      </c>
      <c r="I53" s="193" t="s">
        <v>2449</v>
      </c>
      <c r="T53" s="753" cm="1" t="str">
        <f t="array" ref="T53:T53">T52</f>
        <v>false</v>
      </c>
      <c r="AB53" s="560" t="s">
        <v>2498</v>
      </c>
      <c r="AC53" s="333" t="s">
        <v>2131</v>
      </c>
      <c r="AD53" s="76">
        <f>IF(method_reg="Метод экономически обоснованных расходов",_xlfn.SUMIFS('Калькуляция (4.6)'!AJ$25:AJ$162,'Калькуляция (4.6)'!$F$25:$F$162,$F53,'Калькуляция (4.6)'!$G$25:$G$162,$G53),IF(method_reg="Метод сравнения аналогов",_xlfn.SUMIFS(INDEX('Калькуляция (МСА)'!$AE$25:$BW$82,,MATCH(AD$8,'Калькуляция (МСА)'!$AE$8:$BW$8,0)),'Калькуляция (МСА)'!$F$25:$F$82,$F53,'Калькуляция (МСА)'!$G$25:$G$82,$G53),_xlfn.SUMIFS(INDEX('Калькуляция (5.9)'!$AJ$25:$BW$139,,MATCH(AD$8,'Калькуляция (5.9)'!$AJ$8:$BW$8,0)),'Калькуляция (5.9)'!$F$25:$F$139,$F53,'Калькуляция (5.9)'!$G$25:$G$139,$G53)))</f>
        <v>0</v>
      </c>
      <c r="AE53" s="76">
        <f>IF(method_reg="Метод экономически обоснованных расходов",_xlfn.SUMIFS('Калькуляция (4.6)'!AK$25:AK$162,'Калькуляция (4.6)'!$F$25:$F$162,$F53,'Калькуляция (4.6)'!$G$25:$G$162,$G53),IF(method_reg="Метод сравнения аналогов",_xlfn.SUMIFS(INDEX('Калькуляция (МСА)'!$AE$25:$BW$82,,MATCH(AE$8,'Калькуляция (МСА)'!$AE$8:$BW$8,0)),'Калькуляция (МСА)'!$F$25:$F$82,$F53,'Калькуляция (МСА)'!$G$25:$G$82,$G53),_xlfn.SUMIFS(INDEX('Калькуляция (5.9)'!$AJ$25:$BW$139,,MATCH(AE$8,'Калькуляция (5.9)'!$AJ$8:$BW$8,0)),'Калькуляция (5.9)'!$F$25:$F$139,$F53,'Калькуляция (5.9)'!$G$25:$G$139,$G53)))</f>
        <v>0</v>
      </c>
      <c r="AF53" s="915">
        <f>IF(AD53=0,0,(AE53-AD53)/AD53*100)</f>
        <v>0</v>
      </c>
      <c r="AG53" s="76">
        <f>IF(method_reg="Метод сравнения аналогов",_xlfn.SUMIFS(INDEX('Калькуляция (МСА)'!$AE$25:$BW$82,,MATCH(AG$8,'Калькуляция (МСА)'!$AE$8:$BW$8,0)),'Калькуляция (МСА)'!$F$25:$F$82,$F53,'Калькуляция (МСА)'!$G$25:$G$82,$G53),_xlfn.SUMIFS(INDEX('Калькуляция (5.9)'!$AJ$25:$BW$139,,MATCH(AG$8,'Калькуляция (5.9)'!$AJ$8:$BW$8,0)),'Калькуляция (5.9)'!$F$25:$F$139,$F53,'Калькуляция (5.9)'!$G$25:$G$139,$G53))</f>
        <v>0</v>
      </c>
      <c r="AH53" s="76">
        <f>IF(method_reg="Метод сравнения аналогов",_xlfn.SUMIFS(INDEX('Калькуляция (МСА)'!$AE$25:$BW$82,,MATCH(AH$8,'Калькуляция (МСА)'!$AE$8:$BW$8,0)),'Калькуляция (МСА)'!$F$25:$F$82,$F53,'Калькуляция (МСА)'!$G$25:$G$82,$G53),_xlfn.SUMIFS(INDEX('Калькуляция (5.9)'!$AJ$25:$BW$139,,MATCH(AH$8,'Калькуляция (5.9)'!$AJ$8:$BW$8,0)),'Калькуляция (5.9)'!$F$25:$F$139,$F53,'Калькуляция (5.9)'!$G$25:$G$139,$G53))</f>
        <v>0</v>
      </c>
      <c r="AI53" s="915">
        <f>IF(AG53=0,0,(AH53-AG53)/AG53*100)</f>
        <v>0</v>
      </c>
      <c r="AJ53" s="76">
        <f>IF(method_reg="Метод сравнения аналогов",_xlfn.SUMIFS(INDEX('Калькуляция (МСА)'!$AE$25:$BW$82,,MATCH(AJ$8,'Калькуляция (МСА)'!$AE$8:$BW$8,0)),'Калькуляция (МСА)'!$F$25:$F$82,$F53,'Калькуляция (МСА)'!$G$25:$G$82,$G53),_xlfn.SUMIFS(INDEX('Калькуляция (5.9)'!$AJ$25:$BW$139,,MATCH(AJ$8,'Калькуляция (5.9)'!$AJ$8:$BW$8,0)),'Калькуляция (5.9)'!$F$25:$F$139,$F53,'Калькуляция (5.9)'!$G$25:$G$139,$G53))</f>
        <v>0</v>
      </c>
      <c r="AK53" s="76">
        <f>IF(method_reg="Метод сравнения аналогов",_xlfn.SUMIFS(INDEX('Калькуляция (МСА)'!$AE$25:$BW$82,,MATCH(AK$8,'Калькуляция (МСА)'!$AE$8:$BW$8,0)),'Калькуляция (МСА)'!$F$25:$F$82,$F53,'Калькуляция (МСА)'!$G$25:$G$82,$G53),_xlfn.SUMIFS(INDEX('Калькуляция (5.9)'!$AJ$25:$BW$139,,MATCH(AK$8,'Калькуляция (5.9)'!$AJ$8:$BW$8,0)),'Калькуляция (5.9)'!$F$25:$F$139,$F53,'Калькуляция (5.9)'!$G$25:$G$139,$G53))</f>
        <v>0</v>
      </c>
      <c r="AL53" s="915">
        <f>IF(AJ53=0,0,(AK53-AJ53)/AJ53*100)</f>
        <v>0</v>
      </c>
      <c r="AM53" s="76">
        <f>IF(method_reg="Метод сравнения аналогов",_xlfn.SUMIFS(INDEX('Калькуляция (МСА)'!$AE$25:$BW$82,,MATCH(AM$8,'Калькуляция (МСА)'!$AE$8:$BW$8,0)),'Калькуляция (МСА)'!$F$25:$F$82,$F53,'Калькуляция (МСА)'!$G$25:$G$82,$G53),_xlfn.SUMIFS(INDEX('Калькуляция (5.9)'!$AJ$25:$BW$139,,MATCH(AM$8,'Калькуляция (5.9)'!$AJ$8:$BW$8,0)),'Калькуляция (5.9)'!$F$25:$F$139,$F53,'Калькуляция (5.9)'!$G$25:$G$139,$G53))</f>
        <v>0</v>
      </c>
      <c r="AN53" s="76">
        <f>IF(method_reg="Метод сравнения аналогов",_xlfn.SUMIFS(INDEX('Калькуляция (МСА)'!$AE$25:$BW$82,,MATCH(AN$8,'Калькуляция (МСА)'!$AE$8:$BW$8,0)),'Калькуляция (МСА)'!$F$25:$F$82,$F53,'Калькуляция (МСА)'!$G$25:$G$82,$G53),_xlfn.SUMIFS(INDEX('Калькуляция (5.9)'!$AJ$25:$BW$139,,MATCH(AN$8,'Калькуляция (5.9)'!$AJ$8:$BW$8,0)),'Калькуляция (5.9)'!$F$25:$F$139,$F53,'Калькуляция (5.9)'!$G$25:$G$139,$G53))</f>
        <v>0</v>
      </c>
      <c r="AO53" s="915">
        <f>IF(AM53=0,0,(AN53-AM53)/AM53*100)</f>
        <v>0</v>
      </c>
      <c r="AP53" s="76">
        <f>IF(method_reg="Метод сравнения аналогов",_xlfn.SUMIFS(INDEX('Калькуляция (МСА)'!$AE$25:$BW$82,,MATCH(AP$8,'Калькуляция (МСА)'!$AE$8:$BW$8,0)),'Калькуляция (МСА)'!$F$25:$F$82,$F53,'Калькуляция (МСА)'!$G$25:$G$82,$G53),_xlfn.SUMIFS(INDEX('Калькуляция (5.9)'!$AJ$25:$BW$139,,MATCH(AP$8,'Калькуляция (5.9)'!$AJ$8:$BW$8,0)),'Калькуляция (5.9)'!$F$25:$F$139,$F53,'Калькуляция (5.9)'!$G$25:$G$139,$G53))</f>
        <v>0</v>
      </c>
      <c r="AQ53" s="76">
        <f>IF(method_reg="Метод сравнения аналогов",_xlfn.SUMIFS(INDEX('Калькуляция (МСА)'!$AE$25:$BW$82,,MATCH(AQ$8,'Калькуляция (МСА)'!$AE$8:$BW$8,0)),'Калькуляция (МСА)'!$F$25:$F$82,$F53,'Калькуляция (МСА)'!$G$25:$G$82,$G53),_xlfn.SUMIFS(INDEX('Калькуляция (5.9)'!$AJ$25:$BW$139,,MATCH(AQ$8,'Калькуляция (5.9)'!$AJ$8:$BW$8,0)),'Калькуляция (5.9)'!$F$25:$F$139,$F53,'Калькуляция (5.9)'!$G$25:$G$139,$G53))</f>
        <v>0</v>
      </c>
      <c r="AR53" s="915">
        <f>IF(AP53=0,0,(AQ53-AP53)/AP53*100)</f>
        <v>0</v>
      </c>
      <c r="AS53" s="76">
        <f>IF(method_reg="Метод сравнения аналогов",_xlfn.SUMIFS(INDEX('Калькуляция (МСА)'!$AE$25:$BW$82,,MATCH(AS$8,'Калькуляция (МСА)'!$AE$8:$BW$8,0)),'Калькуляция (МСА)'!$F$25:$F$82,$F53,'Калькуляция (МСА)'!$G$25:$G$82,$G53),_xlfn.SUMIFS(INDEX('Калькуляция (5.9)'!$AJ$25:$BW$139,,MATCH(AS$8,'Калькуляция (5.9)'!$AJ$8:$BW$8,0)),'Калькуляция (5.9)'!$F$25:$F$139,$F53,'Калькуляция (5.9)'!$G$25:$G$139,$G53))</f>
        <v>0</v>
      </c>
      <c r="AT53" s="76">
        <f>IF(method_reg="Метод сравнения аналогов",_xlfn.SUMIFS(INDEX('Калькуляция (МСА)'!$AE$25:$BW$82,,MATCH(AT$8,'Калькуляция (МСА)'!$AE$8:$BW$8,0)),'Калькуляция (МСА)'!$F$25:$F$82,$F53,'Калькуляция (МСА)'!$G$25:$G$82,$G53),_xlfn.SUMIFS(INDEX('Калькуляция (5.9)'!$AJ$25:$BW$139,,MATCH(AT$8,'Калькуляция (5.9)'!$AJ$8:$BW$8,0)),'Калькуляция (5.9)'!$F$25:$F$139,$F53,'Калькуляция (5.9)'!$G$25:$G$139,$G53))</f>
        <v>0</v>
      </c>
      <c r="AU53" s="915">
        <f>IF(AS53=0,0,(AT53-AS53)/AS53*100)</f>
        <v>0</v>
      </c>
      <c r="AV53" s="76">
        <f>IF(method_reg="Метод сравнения аналогов",_xlfn.SUMIFS(INDEX('Калькуляция (МСА)'!$AE$25:$BW$82,,MATCH(AV$8,'Калькуляция (МСА)'!$AE$8:$BW$8,0)),'Калькуляция (МСА)'!$F$25:$F$82,$F53,'Калькуляция (МСА)'!$G$25:$G$82,$G53),_xlfn.SUMIFS(INDEX('Калькуляция (5.9)'!$AJ$25:$BW$139,,MATCH(AV$8,'Калькуляция (5.9)'!$AJ$8:$BW$8,0)),'Калькуляция (5.9)'!$F$25:$F$139,$F53,'Калькуляция (5.9)'!$G$25:$G$139,$G53))</f>
        <v>0</v>
      </c>
      <c r="AW53" s="76">
        <f>IF(method_reg="Метод сравнения аналогов",_xlfn.SUMIFS(INDEX('Калькуляция (МСА)'!$AE$25:$BW$82,,MATCH(AW$8,'Калькуляция (МСА)'!$AE$8:$BW$8,0)),'Калькуляция (МСА)'!$F$25:$F$82,$F53,'Калькуляция (МСА)'!$G$25:$G$82,$G53),_xlfn.SUMIFS(INDEX('Калькуляция (5.9)'!$AJ$25:$BW$139,,MATCH(AW$8,'Калькуляция (5.9)'!$AJ$8:$BW$8,0)),'Калькуляция (5.9)'!$F$25:$F$139,$F53,'Калькуляция (5.9)'!$G$25:$G$139,$G53))</f>
        <v>0</v>
      </c>
      <c r="AX53" s="915">
        <f>IF(AV53=0,0,(AW53-AV53)/AV53*100)</f>
        <v>0</v>
      </c>
      <c r="AY53" s="76">
        <f>IF(method_reg="Метод сравнения аналогов",_xlfn.SUMIFS(INDEX('Калькуляция (МСА)'!$AE$25:$BW$82,,MATCH(AY$8,'Калькуляция (МСА)'!$AE$8:$BW$8,0)),'Калькуляция (МСА)'!$F$25:$F$82,$F53,'Калькуляция (МСА)'!$G$25:$G$82,$G53),_xlfn.SUMIFS(INDEX('Калькуляция (5.9)'!$AJ$25:$BW$139,,MATCH(AY$8,'Калькуляция (5.9)'!$AJ$8:$BW$8,0)),'Калькуляция (5.9)'!$F$25:$F$139,$F53,'Калькуляция (5.9)'!$G$25:$G$139,$G53))</f>
        <v>0</v>
      </c>
      <c r="AZ53" s="76">
        <f>IF(method_reg="Метод сравнения аналогов",_xlfn.SUMIFS(INDEX('Калькуляция (МСА)'!$AE$25:$BW$82,,MATCH(AZ$8,'Калькуляция (МСА)'!$AE$8:$BW$8,0)),'Калькуляция (МСА)'!$F$25:$F$82,$F53,'Калькуляция (МСА)'!$G$25:$G$82,$G53),_xlfn.SUMIFS(INDEX('Калькуляция (5.9)'!$AJ$25:$BW$139,,MATCH(AZ$8,'Калькуляция (5.9)'!$AJ$8:$BW$8,0)),'Калькуляция (5.9)'!$F$25:$F$139,$F53,'Калькуляция (5.9)'!$G$25:$G$139,$G53))</f>
        <v>0</v>
      </c>
      <c r="BA53" s="915">
        <f>IF(AY53=0,0,(AZ53-AY53)/AY53*100)</f>
        <v>0</v>
      </c>
      <c r="BB53" s="76">
        <f>IF(method_reg="Метод сравнения аналогов",_xlfn.SUMIFS(INDEX('Калькуляция (МСА)'!$AE$25:$BW$82,,MATCH(BB$8,'Калькуляция (МСА)'!$AE$8:$BW$8,0)),'Калькуляция (МСА)'!$F$25:$F$82,$F53,'Калькуляция (МСА)'!$G$25:$G$82,$G53),_xlfn.SUMIFS(INDEX('Калькуляция (5.9)'!$AJ$25:$BW$139,,MATCH(BB$8,'Калькуляция (5.9)'!$AJ$8:$BW$8,0)),'Калькуляция (5.9)'!$F$25:$F$139,$F53,'Калькуляция (5.9)'!$G$25:$G$139,$G53))</f>
        <v>0</v>
      </c>
      <c r="BC53" s="76">
        <f>IF(method_reg="Метод сравнения аналогов",_xlfn.SUMIFS(INDEX('Калькуляция (МСА)'!$AE$25:$BW$82,,MATCH(BC$8,'Калькуляция (МСА)'!$AE$8:$BW$8,0)),'Калькуляция (МСА)'!$F$25:$F$82,$F53,'Калькуляция (МСА)'!$G$25:$G$82,$G53),_xlfn.SUMIFS(INDEX('Калькуляция (5.9)'!$AJ$25:$BW$139,,MATCH(BC$8,'Калькуляция (5.9)'!$AJ$8:$BW$8,0)),'Калькуляция (5.9)'!$F$25:$F$139,$F53,'Калькуляция (5.9)'!$G$25:$G$139,$G53))</f>
        <v>0</v>
      </c>
      <c r="BD53" s="915">
        <f>IF(BB53=0,0,(BC53-BB53)/BB53*100)</f>
        <v>0</v>
      </c>
      <c r="BE53" s="76">
        <f>IF(method_reg="Метод сравнения аналогов",_xlfn.SUMIFS(INDEX('Калькуляция (МСА)'!$AE$25:$BW$82,,MATCH(BE$8,'Калькуляция (МСА)'!$AE$8:$BW$8,0)),'Калькуляция (МСА)'!$F$25:$F$82,$F53,'Калькуляция (МСА)'!$G$25:$G$82,$G53),_xlfn.SUMIFS(INDEX('Калькуляция (5.9)'!$AJ$25:$BW$139,,MATCH(BE$8,'Калькуляция (5.9)'!$AJ$8:$BW$8,0)),'Калькуляция (5.9)'!$F$25:$F$139,$F53,'Калькуляция (5.9)'!$G$25:$G$139,$G53))</f>
        <v>0</v>
      </c>
      <c r="BF53" s="76">
        <f>IF(method_reg="Метод сравнения аналогов",_xlfn.SUMIFS(INDEX('Калькуляция (МСА)'!$AE$25:$BW$82,,MATCH(BF$8,'Калькуляция (МСА)'!$AE$8:$BW$8,0)),'Калькуляция (МСА)'!$F$25:$F$82,$F53,'Калькуляция (МСА)'!$G$25:$G$82,$G53),_xlfn.SUMIFS(INDEX('Калькуляция (5.9)'!$AJ$25:$BW$139,,MATCH(BF$8,'Калькуляция (5.9)'!$AJ$8:$BW$8,0)),'Калькуляция (5.9)'!$F$25:$F$139,$F53,'Калькуляция (5.9)'!$G$25:$G$139,$G53))</f>
        <v>0</v>
      </c>
      <c r="BG53" s="915">
        <f>IF(BE53=0,0,(BF53-BE53)/BE53*100)</f>
        <v>0</v>
      </c>
      <c r="BH53" s="76"/>
      <c r="BI53" s="76"/>
      <c r="BJ53" s="915">
        <f>IF(BH53=0,0,(BI53-BH53)/BH53*100)</f>
        <v>0</v>
      </c>
      <c r="BK53" s="76"/>
      <c r="BL53" s="76"/>
      <c r="BM53" s="915">
        <f>IF(BK53=0,0,(BL53-BK53)/BK53*100)</f>
        <v>0</v>
      </c>
      <c r="BN53" s="76"/>
      <c r="BO53" s="76"/>
      <c r="BP53" s="915">
        <f>IF(BN53=0,0,(BO53-BN53)/BN53*100)</f>
        <v>0</v>
      </c>
      <c r="BQ53" s="76"/>
      <c r="BR53" s="76"/>
      <c r="BS53" s="915">
        <f>IF(BQ53=0,0,(BR53-BQ53)/BQ53*100)</f>
        <v>0</v>
      </c>
      <c r="BT53" s="76"/>
      <c r="BU53" s="76"/>
      <c r="BV53" s="915">
        <f>IF(BT53=0,0,(BU53-BT53)/BT53*100)</f>
        <v>0</v>
      </c>
      <c r="BW53" s="76"/>
      <c r="BX53" s="76"/>
      <c r="BY53" s="915">
        <f>IF(BW53=0,0,(BX53-BW53)/BW53*100)</f>
        <v>0</v>
      </c>
      <c r="BZ53" s="76"/>
      <c r="CA53" s="76"/>
      <c r="CB53" s="915">
        <f>IF(BZ53=0,0,(CA53-BZ53)/BZ53*100)</f>
        <v>0</v>
      </c>
      <c r="CC53" s="76"/>
      <c r="CD53" s="76"/>
      <c r="CE53" s="915">
        <f>IF(CC53=0,0,(CD53-CC53)/CC53*100)</f>
        <v>0</v>
      </c>
      <c r="CF53" s="76"/>
      <c r="CG53" s="76"/>
      <c r="CH53" s="915">
        <f>IF(CF53=0,0,(CG53-CF53)/CF53*100)</f>
        <v>0</v>
      </c>
      <c r="CI53" s="76"/>
      <c r="CJ53" s="76"/>
      <c r="CK53" s="915">
        <f>IF(CI53=0,0,(CJ53-CI53)/CI53*100)</f>
        <v>0</v>
      </c>
      <c r="CL53" s="76"/>
      <c r="CM53" s="76"/>
      <c r="CN53" s="915">
        <f>IF(CL53=0,0,(CM53-CL53)/CL53*100)</f>
        <v>0</v>
      </c>
      <c r="CO53" s="76"/>
      <c r="CP53" s="76"/>
      <c r="CQ53" s="915">
        <f>IF(CO53=0,0,(CP53-CO53)/CO53*100)</f>
        <v>0</v>
      </c>
      <c r="CR53" s="76"/>
      <c r="CS53" s="76"/>
      <c r="CT53" s="915">
        <f>IF(CR53=0,0,(CS53-CR53)/CR53*100)</f>
        <v>0</v>
      </c>
      <c r="CU53" s="76"/>
      <c r="CV53" s="76"/>
      <c r="CW53" s="915">
        <f>IF(CU53=0,0,(CV53-CU53)/CU53*100)</f>
        <v>0</v>
      </c>
      <c r="CX53" s="76"/>
      <c r="CY53" s="76"/>
      <c r="CZ53" s="915">
        <f>IF(CX53=0,0,(CY53-CX53)/CX53*100)</f>
        <v>0</v>
      </c>
      <c r="DA53" s="76"/>
      <c r="DB53" s="76"/>
      <c r="DC53" s="915">
        <f>IF(DA53=0,0,(DB53-DA53)/DA53*100)</f>
        <v>0</v>
      </c>
      <c r="DD53" s="76"/>
      <c r="DE53" s="76"/>
      <c r="DF53" s="915">
        <f>IF(DD53=0,0,(DE53-DD53)/DD53*100)</f>
        <v>0</v>
      </c>
      <c r="DG53" s="76"/>
      <c r="DH53" s="76"/>
      <c r="DI53" s="915">
        <f>IF(DG53=0,0,(DH53-DG53)/DG53*100)</f>
        <v>0</v>
      </c>
      <c r="DJ53" s="76"/>
      <c r="DK53" s="76"/>
      <c r="DL53" s="915">
        <f>IF(DJ53=0,0,(DK53-DJ53)/DJ53*100)</f>
        <v>0</v>
      </c>
      <c r="DM53" s="76"/>
      <c r="DN53" s="76"/>
      <c r="DO53" s="915">
        <f>IF(DM53=0,0,(DN53-DM53)/DM53*100)</f>
        <v>0</v>
      </c>
      <c r="DP53" s="76"/>
      <c r="DQ53" s="76"/>
      <c r="DR53" s="915">
        <f>IF(DP53=0,0,(DQ53-DP53)/DP53*100)</f>
        <v>0</v>
      </c>
      <c r="DS53" s="76"/>
      <c r="DT53" s="76"/>
      <c r="DU53" s="915">
        <f>IF(DS53=0,0,(DT53-DS53)/DS53*100)</f>
        <v>0</v>
      </c>
      <c r="DV53" s="76"/>
      <c r="DW53" s="76"/>
      <c r="DX53" s="915">
        <f>IF(DV53=0,0,(DW53-DV53)/DV53*100)</f>
        <v>0</v>
      </c>
      <c r="DY53" s="76"/>
      <c r="DZ53" s="76"/>
      <c r="EA53" s="915">
        <f>IF(DY53=0,0,(DZ53-DY53)/DY53*100)</f>
        <v>0</v>
      </c>
      <c r="EB53" s="76"/>
      <c r="EC53" s="76"/>
      <c r="ED53" s="915">
        <f>IF(EB53=0,0,(EC53-EB53)/EB53*100)</f>
        <v>0</v>
      </c>
      <c r="EE53" s="76"/>
      <c r="EF53" s="76"/>
      <c r="EG53" s="915">
        <f>IF(EE53=0,0,(EF53-EE53)/EE53*100)</f>
        <v>0</v>
      </c>
      <c r="EH53" s="76"/>
      <c r="EI53" s="76"/>
      <c r="EJ53" s="915">
        <f>IF(EH53=0,0,(EI53-EH53)/EH53*100)</f>
        <v>0</v>
      </c>
      <c r="EK53" s="76"/>
      <c r="EL53" s="76"/>
      <c r="EM53" s="915">
        <f>IF(EK53=0,0,(EL53-EK53)/EK53*100)</f>
        <v>0</v>
      </c>
      <c r="EN53" s="76"/>
      <c r="EO53" s="76"/>
      <c r="EP53" s="915">
        <f>IF(EN53=0,0,(EO53-EN53)/EN53*100)</f>
        <v>0</v>
      </c>
      <c r="EQ53" s="76"/>
      <c r="ER53" s="76"/>
      <c r="ES53" s="915">
        <f>IF(EQ53=0,0,(ER53-EQ53)/EQ53*100)</f>
        <v>0</v>
      </c>
      <c r="ET53" s="76"/>
      <c r="EU53" s="76"/>
      <c r="EV53" s="915">
        <f>IF(ET53=0,0,(EU53-ET53)/ET53*100)</f>
        <v>0</v>
      </c>
      <c r="EW53" s="76"/>
      <c r="EX53" s="76"/>
      <c r="EY53" s="915">
        <f>IF(EW53=0,0,(EX53-EW53)/EW53*100)</f>
        <v>0</v>
      </c>
      <c r="EZ53" s="76"/>
      <c r="FA53" s="76"/>
      <c r="FB53" s="915">
        <f>IF(EZ53=0,0,(FA53-EZ53)/EZ53*100)</f>
        <v>0</v>
      </c>
      <c r="FC53" s="76"/>
      <c r="FD53" s="76"/>
      <c r="FE53" s="915">
        <f>IF(FC53=0,0,(FD53-FC53)/FC53*100)</f>
        <v>0</v>
      </c>
      <c r="FF53" s="76"/>
      <c r="FG53" s="76"/>
      <c r="FH53" s="915">
        <f>IF(FF53=0,0,(FG53-FF53)/FF53*100)</f>
        <v>0</v>
      </c>
      <c r="FI53" s="76"/>
      <c r="FJ53" s="76"/>
      <c r="FK53" s="915">
        <f>IF(FI53=0,0,(FJ53-FI53)/FI53*100)</f>
        <v>0</v>
      </c>
      <c r="FL53" s="76"/>
      <c r="FM53" s="76"/>
      <c r="FN53" s="915">
        <f>IF(FL53=0,0,(FM53-FL53)/FL53*100)</f>
        <v>0</v>
      </c>
      <c r="FO53" s="76"/>
      <c r="FP53" s="76"/>
      <c r="FQ53" s="915">
        <f>IF(FO53=0,0,(FP53-FO53)/FO53*100)</f>
        <v>0</v>
      </c>
      <c r="FR53" s="76"/>
      <c r="FS53" s="76"/>
      <c r="FT53" s="915">
        <f>IF(FR53=0,0,(FS53-FR53)/FR53*100)</f>
        <v>0</v>
      </c>
      <c r="FU53" s="76"/>
      <c r="FV53" s="76"/>
      <c r="FW53" s="915">
        <f>IF(FU53=0,0,(FV53-FU53)/FU53*100)</f>
        <v>0</v>
      </c>
      <c r="FZ53" s="489" t="s">
        <v>2499</v>
      </c>
      <c r="GA53" s="489"/>
      <c r="GB53" s="489"/>
      <c r="GC53" s="489"/>
      <c r="GD53" s="489"/>
      <c r="GF53" s="1501" cm="1" t="str">
        <f t="array" ref="GF53:GF53">GF52</f>
        <v>0</v>
      </c>
      <c r="GG53" s="1501" t="s">
        <v>707</v>
      </c>
      <c r="GH53" s="1501" t="s">
        <v>2452</v>
      </c>
      <c r="GI53" s="1501" t="s">
        <v>796</v>
      </c>
      <c r="GJ53" s="1501" t="s">
        <v>2084</v>
      </c>
      <c r="GK53" s="1501"/>
      <c r="GL53" s="1501" t="s">
        <v>303</v>
      </c>
      <c r="GM53" s="1501" t="s">
        <v>2500</v>
      </c>
      <c r="GN53" s="1501" t="s">
        <v>2501</v>
      </c>
    </row>
    <row customHeight="1" ht="15.600000000000001" hidden="1">
      <c r="B54" s="192" cm="1" t="str">
        <f t="array" ref="B54:B54">B53</f>
        <v>false</v>
      </c>
      <c r="E54" s="180">
        <v>16</v>
      </c>
      <c r="F54" s="175" cm="1" t="str">
        <f t="array" ref="F54:F54">OFFSET(G54,-1,-1)</f>
        <v>0</v>
      </c>
      <c r="G54" s="193" t="s">
        <v>2106</v>
      </c>
      <c r="I54" s="193" t="s">
        <v>2449</v>
      </c>
      <c r="T54" s="753" cm="1" t="str">
        <f t="array" ref="T54:T54">T53</f>
        <v>false</v>
      </c>
      <c r="AB54" s="560" t="s">
        <v>2502</v>
      </c>
      <c r="AC54" s="845" t="s">
        <v>752</v>
      </c>
      <c r="AD54" s="76">
        <f>IF(method_reg="Метод экономически обоснованных расходов",_xlfn.SUMIFS('Калькуляция (4.6)'!AJ$25:AJ$162,'Калькуляция (4.6)'!$F$25:$F$162,$F54,'Калькуляция (4.6)'!$G$25:$G$162,$G54),IF(method_reg="Метод сравнения аналогов",_xlfn.SUMIFS(INDEX('Калькуляция (МСА)'!$AE$25:$BW$82,,MATCH(AD$8,'Калькуляция (МСА)'!$AE$8:$BW$8,0)),'Калькуляция (МСА)'!$F$25:$F$82,$F54,'Калькуляция (МСА)'!$G$25:$G$82,$G54),_xlfn.SUMIFS(INDEX('Калькуляция (5.9)'!$AJ$25:$BW$139,,MATCH(AD$8,'Калькуляция (5.9)'!$AJ$8:$BW$8,0)),'Калькуляция (5.9)'!$F$25:$F$139,$F54,'Калькуляция (5.9)'!$G$25:$G$139,$G54)))</f>
        <v>0</v>
      </c>
      <c r="AE54" s="76">
        <f>IF(method_reg="Метод экономически обоснованных расходов",_xlfn.SUMIFS('Калькуляция (4.6)'!AK$25:AK$162,'Калькуляция (4.6)'!$F$25:$F$162,$F54,'Калькуляция (4.6)'!$G$25:$G$162,$G54),IF(method_reg="Метод сравнения аналогов",_xlfn.SUMIFS(INDEX('Калькуляция (МСА)'!$AE$25:$BW$82,,MATCH(AE$8,'Калькуляция (МСА)'!$AE$8:$BW$8,0)),'Калькуляция (МСА)'!$F$25:$F$82,$F54,'Калькуляция (МСА)'!$G$25:$G$82,$G54),_xlfn.SUMIFS(INDEX('Калькуляция (5.9)'!$AJ$25:$BW$139,,MATCH(AE$8,'Калькуляция (5.9)'!$AJ$8:$BW$8,0)),'Калькуляция (5.9)'!$F$25:$F$139,$F54,'Калькуляция (5.9)'!$G$25:$G$139,$G54)))</f>
        <v>0</v>
      </c>
      <c r="AF54" s="915">
        <f>IF(AD54=0,0,(AE54-AD54)/AD54*100)</f>
        <v>0</v>
      </c>
      <c r="AG54" s="76">
        <f>IF(method_reg="Метод сравнения аналогов",_xlfn.SUMIFS(INDEX('Калькуляция (МСА)'!$AE$25:$BW$82,,MATCH(AG$8,'Калькуляция (МСА)'!$AE$8:$BW$8,0)),'Калькуляция (МСА)'!$F$25:$F$82,$F54,'Калькуляция (МСА)'!$G$25:$G$82,$G54),_xlfn.SUMIFS(INDEX('Калькуляция (5.9)'!$AJ$25:$BW$139,,MATCH(AG$8,'Калькуляция (5.9)'!$AJ$8:$BW$8,0)),'Калькуляция (5.9)'!$F$25:$F$139,$F54,'Калькуляция (5.9)'!$G$25:$G$139,$G54))</f>
        <v>0</v>
      </c>
      <c r="AH54" s="76">
        <f>IF(method_reg="Метод сравнения аналогов",_xlfn.SUMIFS(INDEX('Калькуляция (МСА)'!$AE$25:$BW$82,,MATCH(AH$8,'Калькуляция (МСА)'!$AE$8:$BW$8,0)),'Калькуляция (МСА)'!$F$25:$F$82,$F54,'Калькуляция (МСА)'!$G$25:$G$82,$G54),_xlfn.SUMIFS(INDEX('Калькуляция (5.9)'!$AJ$25:$BW$139,,MATCH(AH$8,'Калькуляция (5.9)'!$AJ$8:$BW$8,0)),'Калькуляция (5.9)'!$F$25:$F$139,$F54,'Калькуляция (5.9)'!$G$25:$G$139,$G54))</f>
        <v>0</v>
      </c>
      <c r="AI54" s="915">
        <f>IF(AG54=0,0,(AH54-AG54)/AG54*100)</f>
        <v>0</v>
      </c>
      <c r="AJ54" s="76">
        <f>IF(method_reg="Метод сравнения аналогов",_xlfn.SUMIFS(INDEX('Калькуляция (МСА)'!$AE$25:$BW$82,,MATCH(AJ$8,'Калькуляция (МСА)'!$AE$8:$BW$8,0)),'Калькуляция (МСА)'!$F$25:$F$82,$F54,'Калькуляция (МСА)'!$G$25:$G$82,$G54),_xlfn.SUMIFS(INDEX('Калькуляция (5.9)'!$AJ$25:$BW$139,,MATCH(AJ$8,'Калькуляция (5.9)'!$AJ$8:$BW$8,0)),'Калькуляция (5.9)'!$F$25:$F$139,$F54,'Калькуляция (5.9)'!$G$25:$G$139,$G54))</f>
        <v>0</v>
      </c>
      <c r="AK54" s="76">
        <f>IF(method_reg="Метод сравнения аналогов",_xlfn.SUMIFS(INDEX('Калькуляция (МСА)'!$AE$25:$BW$82,,MATCH(AK$8,'Калькуляция (МСА)'!$AE$8:$BW$8,0)),'Калькуляция (МСА)'!$F$25:$F$82,$F54,'Калькуляция (МСА)'!$G$25:$G$82,$G54),_xlfn.SUMIFS(INDEX('Калькуляция (5.9)'!$AJ$25:$BW$139,,MATCH(AK$8,'Калькуляция (5.9)'!$AJ$8:$BW$8,0)),'Калькуляция (5.9)'!$F$25:$F$139,$F54,'Калькуляция (5.9)'!$G$25:$G$139,$G54))</f>
        <v>0</v>
      </c>
      <c r="AL54" s="915">
        <f>IF(AJ54=0,0,(AK54-AJ54)/AJ54*100)</f>
        <v>0</v>
      </c>
      <c r="AM54" s="76">
        <f>IF(method_reg="Метод сравнения аналогов",_xlfn.SUMIFS(INDEX('Калькуляция (МСА)'!$AE$25:$BW$82,,MATCH(AM$8,'Калькуляция (МСА)'!$AE$8:$BW$8,0)),'Калькуляция (МСА)'!$F$25:$F$82,$F54,'Калькуляция (МСА)'!$G$25:$G$82,$G54),_xlfn.SUMIFS(INDEX('Калькуляция (5.9)'!$AJ$25:$BW$139,,MATCH(AM$8,'Калькуляция (5.9)'!$AJ$8:$BW$8,0)),'Калькуляция (5.9)'!$F$25:$F$139,$F54,'Калькуляция (5.9)'!$G$25:$G$139,$G54))</f>
        <v>0</v>
      </c>
      <c r="AN54" s="76">
        <f>IF(method_reg="Метод сравнения аналогов",_xlfn.SUMIFS(INDEX('Калькуляция (МСА)'!$AE$25:$BW$82,,MATCH(AN$8,'Калькуляция (МСА)'!$AE$8:$BW$8,0)),'Калькуляция (МСА)'!$F$25:$F$82,$F54,'Калькуляция (МСА)'!$G$25:$G$82,$G54),_xlfn.SUMIFS(INDEX('Калькуляция (5.9)'!$AJ$25:$BW$139,,MATCH(AN$8,'Калькуляция (5.9)'!$AJ$8:$BW$8,0)),'Калькуляция (5.9)'!$F$25:$F$139,$F54,'Калькуляция (5.9)'!$G$25:$G$139,$G54))</f>
        <v>0</v>
      </c>
      <c r="AO54" s="915">
        <f>IF(AM54=0,0,(AN54-AM54)/AM54*100)</f>
        <v>0</v>
      </c>
      <c r="AP54" s="76">
        <f>IF(method_reg="Метод сравнения аналогов",_xlfn.SUMIFS(INDEX('Калькуляция (МСА)'!$AE$25:$BW$82,,MATCH(AP$8,'Калькуляция (МСА)'!$AE$8:$BW$8,0)),'Калькуляция (МСА)'!$F$25:$F$82,$F54,'Калькуляция (МСА)'!$G$25:$G$82,$G54),_xlfn.SUMIFS(INDEX('Калькуляция (5.9)'!$AJ$25:$BW$139,,MATCH(AP$8,'Калькуляция (5.9)'!$AJ$8:$BW$8,0)),'Калькуляция (5.9)'!$F$25:$F$139,$F54,'Калькуляция (5.9)'!$G$25:$G$139,$G54))</f>
        <v>0</v>
      </c>
      <c r="AQ54" s="76">
        <f>IF(method_reg="Метод сравнения аналогов",_xlfn.SUMIFS(INDEX('Калькуляция (МСА)'!$AE$25:$BW$82,,MATCH(AQ$8,'Калькуляция (МСА)'!$AE$8:$BW$8,0)),'Калькуляция (МСА)'!$F$25:$F$82,$F54,'Калькуляция (МСА)'!$G$25:$G$82,$G54),_xlfn.SUMIFS(INDEX('Калькуляция (5.9)'!$AJ$25:$BW$139,,MATCH(AQ$8,'Калькуляция (5.9)'!$AJ$8:$BW$8,0)),'Калькуляция (5.9)'!$F$25:$F$139,$F54,'Калькуляция (5.9)'!$G$25:$G$139,$G54))</f>
        <v>0</v>
      </c>
      <c r="AR54" s="915">
        <f>IF(AP54=0,0,(AQ54-AP54)/AP54*100)</f>
        <v>0</v>
      </c>
      <c r="AS54" s="76">
        <f>IF(method_reg="Метод сравнения аналогов",_xlfn.SUMIFS(INDEX('Калькуляция (МСА)'!$AE$25:$BW$82,,MATCH(AS$8,'Калькуляция (МСА)'!$AE$8:$BW$8,0)),'Калькуляция (МСА)'!$F$25:$F$82,$F54,'Калькуляция (МСА)'!$G$25:$G$82,$G54),_xlfn.SUMIFS(INDEX('Калькуляция (5.9)'!$AJ$25:$BW$139,,MATCH(AS$8,'Калькуляция (5.9)'!$AJ$8:$BW$8,0)),'Калькуляция (5.9)'!$F$25:$F$139,$F54,'Калькуляция (5.9)'!$G$25:$G$139,$G54))</f>
        <v>0</v>
      </c>
      <c r="AT54" s="76">
        <f>IF(method_reg="Метод сравнения аналогов",_xlfn.SUMIFS(INDEX('Калькуляция (МСА)'!$AE$25:$BW$82,,MATCH(AT$8,'Калькуляция (МСА)'!$AE$8:$BW$8,0)),'Калькуляция (МСА)'!$F$25:$F$82,$F54,'Калькуляция (МСА)'!$G$25:$G$82,$G54),_xlfn.SUMIFS(INDEX('Калькуляция (5.9)'!$AJ$25:$BW$139,,MATCH(AT$8,'Калькуляция (5.9)'!$AJ$8:$BW$8,0)),'Калькуляция (5.9)'!$F$25:$F$139,$F54,'Калькуляция (5.9)'!$G$25:$G$139,$G54))</f>
        <v>0</v>
      </c>
      <c r="AU54" s="915">
        <f>IF(AS54=0,0,(AT54-AS54)/AS54*100)</f>
        <v>0</v>
      </c>
      <c r="AV54" s="76">
        <f>IF(method_reg="Метод сравнения аналогов",_xlfn.SUMIFS(INDEX('Калькуляция (МСА)'!$AE$25:$BW$82,,MATCH(AV$8,'Калькуляция (МСА)'!$AE$8:$BW$8,0)),'Калькуляция (МСА)'!$F$25:$F$82,$F54,'Калькуляция (МСА)'!$G$25:$G$82,$G54),_xlfn.SUMIFS(INDEX('Калькуляция (5.9)'!$AJ$25:$BW$139,,MATCH(AV$8,'Калькуляция (5.9)'!$AJ$8:$BW$8,0)),'Калькуляция (5.9)'!$F$25:$F$139,$F54,'Калькуляция (5.9)'!$G$25:$G$139,$G54))</f>
        <v>0</v>
      </c>
      <c r="AW54" s="76">
        <f>IF(method_reg="Метод сравнения аналогов",_xlfn.SUMIFS(INDEX('Калькуляция (МСА)'!$AE$25:$BW$82,,MATCH(AW$8,'Калькуляция (МСА)'!$AE$8:$BW$8,0)),'Калькуляция (МСА)'!$F$25:$F$82,$F54,'Калькуляция (МСА)'!$G$25:$G$82,$G54),_xlfn.SUMIFS(INDEX('Калькуляция (5.9)'!$AJ$25:$BW$139,,MATCH(AW$8,'Калькуляция (5.9)'!$AJ$8:$BW$8,0)),'Калькуляция (5.9)'!$F$25:$F$139,$F54,'Калькуляция (5.9)'!$G$25:$G$139,$G54))</f>
        <v>0</v>
      </c>
      <c r="AX54" s="915">
        <f>IF(AV54=0,0,(AW54-AV54)/AV54*100)</f>
        <v>0</v>
      </c>
      <c r="AY54" s="76">
        <f>IF(method_reg="Метод сравнения аналогов",_xlfn.SUMIFS(INDEX('Калькуляция (МСА)'!$AE$25:$BW$82,,MATCH(AY$8,'Калькуляция (МСА)'!$AE$8:$BW$8,0)),'Калькуляция (МСА)'!$F$25:$F$82,$F54,'Калькуляция (МСА)'!$G$25:$G$82,$G54),_xlfn.SUMIFS(INDEX('Калькуляция (5.9)'!$AJ$25:$BW$139,,MATCH(AY$8,'Калькуляция (5.9)'!$AJ$8:$BW$8,0)),'Калькуляция (5.9)'!$F$25:$F$139,$F54,'Калькуляция (5.9)'!$G$25:$G$139,$G54))</f>
        <v>0</v>
      </c>
      <c r="AZ54" s="76">
        <f>IF(method_reg="Метод сравнения аналогов",_xlfn.SUMIFS(INDEX('Калькуляция (МСА)'!$AE$25:$BW$82,,MATCH(AZ$8,'Калькуляция (МСА)'!$AE$8:$BW$8,0)),'Калькуляция (МСА)'!$F$25:$F$82,$F54,'Калькуляция (МСА)'!$G$25:$G$82,$G54),_xlfn.SUMIFS(INDEX('Калькуляция (5.9)'!$AJ$25:$BW$139,,MATCH(AZ$8,'Калькуляция (5.9)'!$AJ$8:$BW$8,0)),'Калькуляция (5.9)'!$F$25:$F$139,$F54,'Калькуляция (5.9)'!$G$25:$G$139,$G54))</f>
        <v>0</v>
      </c>
      <c r="BA54" s="915">
        <f>IF(AY54=0,0,(AZ54-AY54)/AY54*100)</f>
        <v>0</v>
      </c>
      <c r="BB54" s="76">
        <f>IF(method_reg="Метод сравнения аналогов",_xlfn.SUMIFS(INDEX('Калькуляция (МСА)'!$AE$25:$BW$82,,MATCH(BB$8,'Калькуляция (МСА)'!$AE$8:$BW$8,0)),'Калькуляция (МСА)'!$F$25:$F$82,$F54,'Калькуляция (МСА)'!$G$25:$G$82,$G54),_xlfn.SUMIFS(INDEX('Калькуляция (5.9)'!$AJ$25:$BW$139,,MATCH(BB$8,'Калькуляция (5.9)'!$AJ$8:$BW$8,0)),'Калькуляция (5.9)'!$F$25:$F$139,$F54,'Калькуляция (5.9)'!$G$25:$G$139,$G54))</f>
        <v>0</v>
      </c>
      <c r="BC54" s="76">
        <f>IF(method_reg="Метод сравнения аналогов",_xlfn.SUMIFS(INDEX('Калькуляция (МСА)'!$AE$25:$BW$82,,MATCH(BC$8,'Калькуляция (МСА)'!$AE$8:$BW$8,0)),'Калькуляция (МСА)'!$F$25:$F$82,$F54,'Калькуляция (МСА)'!$G$25:$G$82,$G54),_xlfn.SUMIFS(INDEX('Калькуляция (5.9)'!$AJ$25:$BW$139,,MATCH(BC$8,'Калькуляция (5.9)'!$AJ$8:$BW$8,0)),'Калькуляция (5.9)'!$F$25:$F$139,$F54,'Калькуляция (5.9)'!$G$25:$G$139,$G54))</f>
        <v>0</v>
      </c>
      <c r="BD54" s="915">
        <f>IF(BB54=0,0,(BC54-BB54)/BB54*100)</f>
        <v>0</v>
      </c>
      <c r="BE54" s="76">
        <f>IF(method_reg="Метод сравнения аналогов",_xlfn.SUMIFS(INDEX('Калькуляция (МСА)'!$AE$25:$BW$82,,MATCH(BE$8,'Калькуляция (МСА)'!$AE$8:$BW$8,0)),'Калькуляция (МСА)'!$F$25:$F$82,$F54,'Калькуляция (МСА)'!$G$25:$G$82,$G54),_xlfn.SUMIFS(INDEX('Калькуляция (5.9)'!$AJ$25:$BW$139,,MATCH(BE$8,'Калькуляция (5.9)'!$AJ$8:$BW$8,0)),'Калькуляция (5.9)'!$F$25:$F$139,$F54,'Калькуляция (5.9)'!$G$25:$G$139,$G54))</f>
        <v>0</v>
      </c>
      <c r="BF54" s="76">
        <f>IF(method_reg="Метод сравнения аналогов",_xlfn.SUMIFS(INDEX('Калькуляция (МСА)'!$AE$25:$BW$82,,MATCH(BF$8,'Калькуляция (МСА)'!$AE$8:$BW$8,0)),'Калькуляция (МСА)'!$F$25:$F$82,$F54,'Калькуляция (МСА)'!$G$25:$G$82,$G54),_xlfn.SUMIFS(INDEX('Калькуляция (5.9)'!$AJ$25:$BW$139,,MATCH(BF$8,'Калькуляция (5.9)'!$AJ$8:$BW$8,0)),'Калькуляция (5.9)'!$F$25:$F$139,$F54,'Калькуляция (5.9)'!$G$25:$G$139,$G54))</f>
        <v>0</v>
      </c>
      <c r="BG54" s="915">
        <f>IF(BE54=0,0,(BF54-BE54)/BE54*100)</f>
        <v>0</v>
      </c>
      <c r="BH54" s="76"/>
      <c r="BI54" s="76"/>
      <c r="BJ54" s="915">
        <f>IF(BH54=0,0,(BI54-BH54)/BH54*100)</f>
        <v>0</v>
      </c>
      <c r="BK54" s="76"/>
      <c r="BL54" s="76"/>
      <c r="BM54" s="915">
        <f>IF(BK54=0,0,(BL54-BK54)/BK54*100)</f>
        <v>0</v>
      </c>
      <c r="BN54" s="76"/>
      <c r="BO54" s="76"/>
      <c r="BP54" s="915">
        <f>IF(BN54=0,0,(BO54-BN54)/BN54*100)</f>
        <v>0</v>
      </c>
      <c r="BQ54" s="76"/>
      <c r="BR54" s="76"/>
      <c r="BS54" s="915">
        <f>IF(BQ54=0,0,(BR54-BQ54)/BQ54*100)</f>
        <v>0</v>
      </c>
      <c r="BT54" s="76"/>
      <c r="BU54" s="76"/>
      <c r="BV54" s="915">
        <f>IF(BT54=0,0,(BU54-BT54)/BT54*100)</f>
        <v>0</v>
      </c>
      <c r="BW54" s="76"/>
      <c r="BX54" s="76"/>
      <c r="BY54" s="915">
        <f>IF(BW54=0,0,(BX54-BW54)/BW54*100)</f>
        <v>0</v>
      </c>
      <c r="BZ54" s="76"/>
      <c r="CA54" s="76"/>
      <c r="CB54" s="915">
        <f>IF(BZ54=0,0,(CA54-BZ54)/BZ54*100)</f>
        <v>0</v>
      </c>
      <c r="CC54" s="76"/>
      <c r="CD54" s="76"/>
      <c r="CE54" s="915">
        <f>IF(CC54=0,0,(CD54-CC54)/CC54*100)</f>
        <v>0</v>
      </c>
      <c r="CF54" s="76"/>
      <c r="CG54" s="76"/>
      <c r="CH54" s="915">
        <f>IF(CF54=0,0,(CG54-CF54)/CF54*100)</f>
        <v>0</v>
      </c>
      <c r="CI54" s="76"/>
      <c r="CJ54" s="76"/>
      <c r="CK54" s="915">
        <f>IF(CI54=0,0,(CJ54-CI54)/CI54*100)</f>
        <v>0</v>
      </c>
      <c r="CL54" s="76"/>
      <c r="CM54" s="76"/>
      <c r="CN54" s="915">
        <f>IF(CL54=0,0,(CM54-CL54)/CL54*100)</f>
        <v>0</v>
      </c>
      <c r="CO54" s="76"/>
      <c r="CP54" s="76"/>
      <c r="CQ54" s="915">
        <f>IF(CO54=0,0,(CP54-CO54)/CO54*100)</f>
        <v>0</v>
      </c>
      <c r="CR54" s="76"/>
      <c r="CS54" s="76"/>
      <c r="CT54" s="915">
        <f>IF(CR54=0,0,(CS54-CR54)/CR54*100)</f>
        <v>0</v>
      </c>
      <c r="CU54" s="76"/>
      <c r="CV54" s="76"/>
      <c r="CW54" s="915">
        <f>IF(CU54=0,0,(CV54-CU54)/CU54*100)</f>
        <v>0</v>
      </c>
      <c r="CX54" s="76"/>
      <c r="CY54" s="76"/>
      <c r="CZ54" s="915">
        <f>IF(CX54=0,0,(CY54-CX54)/CX54*100)</f>
        <v>0</v>
      </c>
      <c r="DA54" s="76"/>
      <c r="DB54" s="76"/>
      <c r="DC54" s="915">
        <f>IF(DA54=0,0,(DB54-DA54)/DA54*100)</f>
        <v>0</v>
      </c>
      <c r="DD54" s="76"/>
      <c r="DE54" s="76"/>
      <c r="DF54" s="915">
        <f>IF(DD54=0,0,(DE54-DD54)/DD54*100)</f>
        <v>0</v>
      </c>
      <c r="DG54" s="76"/>
      <c r="DH54" s="76"/>
      <c r="DI54" s="915">
        <f>IF(DG54=0,0,(DH54-DG54)/DG54*100)</f>
        <v>0</v>
      </c>
      <c r="DJ54" s="76"/>
      <c r="DK54" s="76"/>
      <c r="DL54" s="915">
        <f>IF(DJ54=0,0,(DK54-DJ54)/DJ54*100)</f>
        <v>0</v>
      </c>
      <c r="DM54" s="76"/>
      <c r="DN54" s="76"/>
      <c r="DO54" s="915">
        <f>IF(DM54=0,0,(DN54-DM54)/DM54*100)</f>
        <v>0</v>
      </c>
      <c r="DP54" s="76"/>
      <c r="DQ54" s="76"/>
      <c r="DR54" s="915">
        <f>IF(DP54=0,0,(DQ54-DP54)/DP54*100)</f>
        <v>0</v>
      </c>
      <c r="DS54" s="76"/>
      <c r="DT54" s="76"/>
      <c r="DU54" s="915">
        <f>IF(DS54=0,0,(DT54-DS54)/DS54*100)</f>
        <v>0</v>
      </c>
      <c r="DV54" s="76"/>
      <c r="DW54" s="76"/>
      <c r="DX54" s="915">
        <f>IF(DV54=0,0,(DW54-DV54)/DV54*100)</f>
        <v>0</v>
      </c>
      <c r="DY54" s="76"/>
      <c r="DZ54" s="76"/>
      <c r="EA54" s="915">
        <f>IF(DY54=0,0,(DZ54-DY54)/DY54*100)</f>
        <v>0</v>
      </c>
      <c r="EB54" s="76"/>
      <c r="EC54" s="76"/>
      <c r="ED54" s="915">
        <f>IF(EB54=0,0,(EC54-EB54)/EB54*100)</f>
        <v>0</v>
      </c>
      <c r="EE54" s="76"/>
      <c r="EF54" s="76"/>
      <c r="EG54" s="915">
        <f>IF(EE54=0,0,(EF54-EE54)/EE54*100)</f>
        <v>0</v>
      </c>
      <c r="EH54" s="76"/>
      <c r="EI54" s="76"/>
      <c r="EJ54" s="915">
        <f>IF(EH54=0,0,(EI54-EH54)/EH54*100)</f>
        <v>0</v>
      </c>
      <c r="EK54" s="76"/>
      <c r="EL54" s="76"/>
      <c r="EM54" s="915">
        <f>IF(EK54=0,0,(EL54-EK54)/EK54*100)</f>
        <v>0</v>
      </c>
      <c r="EN54" s="76"/>
      <c r="EO54" s="76"/>
      <c r="EP54" s="915">
        <f>IF(EN54=0,0,(EO54-EN54)/EN54*100)</f>
        <v>0</v>
      </c>
      <c r="EQ54" s="76"/>
      <c r="ER54" s="76"/>
      <c r="ES54" s="915">
        <f>IF(EQ54=0,0,(ER54-EQ54)/EQ54*100)</f>
        <v>0</v>
      </c>
      <c r="ET54" s="76"/>
      <c r="EU54" s="76"/>
      <c r="EV54" s="915">
        <f>IF(ET54=0,0,(EU54-ET54)/ET54*100)</f>
        <v>0</v>
      </c>
      <c r="EW54" s="76"/>
      <c r="EX54" s="76"/>
      <c r="EY54" s="915">
        <f>IF(EW54=0,0,(EX54-EW54)/EW54*100)</f>
        <v>0</v>
      </c>
      <c r="EZ54" s="76"/>
      <c r="FA54" s="76"/>
      <c r="FB54" s="915">
        <f>IF(EZ54=0,0,(FA54-EZ54)/EZ54*100)</f>
        <v>0</v>
      </c>
      <c r="FC54" s="76"/>
      <c r="FD54" s="76"/>
      <c r="FE54" s="915">
        <f>IF(FC54=0,0,(FD54-FC54)/FC54*100)</f>
        <v>0</v>
      </c>
      <c r="FF54" s="76"/>
      <c r="FG54" s="76"/>
      <c r="FH54" s="915">
        <f>IF(FF54=0,0,(FG54-FF54)/FF54*100)</f>
        <v>0</v>
      </c>
      <c r="FI54" s="76"/>
      <c r="FJ54" s="76"/>
      <c r="FK54" s="915">
        <f>IF(FI54=0,0,(FJ54-FI54)/FI54*100)</f>
        <v>0</v>
      </c>
      <c r="FL54" s="76"/>
      <c r="FM54" s="76"/>
      <c r="FN54" s="915">
        <f>IF(FL54=0,0,(FM54-FL54)/FL54*100)</f>
        <v>0</v>
      </c>
      <c r="FO54" s="76"/>
      <c r="FP54" s="76"/>
      <c r="FQ54" s="915">
        <f>IF(FO54=0,0,(FP54-FO54)/FO54*100)</f>
        <v>0</v>
      </c>
      <c r="FR54" s="76"/>
      <c r="FS54" s="76"/>
      <c r="FT54" s="915">
        <f>IF(FR54=0,0,(FS54-FR54)/FR54*100)</f>
        <v>0</v>
      </c>
      <c r="FU54" s="76"/>
      <c r="FV54" s="76"/>
      <c r="FW54" s="915">
        <f>IF(FU54=0,0,(FV54-FU54)/FU54*100)</f>
        <v>0</v>
      </c>
      <c r="FZ54" s="489" t="s">
        <v>2503</v>
      </c>
      <c r="GA54" s="489"/>
      <c r="GB54" s="489"/>
      <c r="GC54" s="489"/>
      <c r="GD54" s="489"/>
      <c r="GF54" s="1501" cm="1" t="str">
        <f t="array" ref="GF54:GF54">GF53</f>
        <v>0</v>
      </c>
      <c r="GG54" s="1501" t="s">
        <v>707</v>
      </c>
      <c r="GH54" s="1501" t="s">
        <v>2452</v>
      </c>
      <c r="GI54" s="1501" t="s">
        <v>796</v>
      </c>
      <c r="GJ54" s="1501" t="s">
        <v>2084</v>
      </c>
      <c r="GK54" s="1501"/>
      <c r="GL54" s="1501" t="s">
        <v>303</v>
      </c>
      <c r="GM54" s="1501" t="s">
        <v>2504</v>
      </c>
      <c r="GN54" s="1501" t="s">
        <v>2505</v>
      </c>
    </row>
    <row customHeight="1" ht="15.600000000000001" hidden="1">
      <c r="B55" s="192" cm="1" t="str">
        <f t="array" ref="B55:B55">B54</f>
        <v>false</v>
      </c>
      <c r="E55" s="180">
        <v>16</v>
      </c>
      <c r="F55" s="175" cm="1" t="str">
        <f t="array" ref="F55:F55">OFFSET(G55,-1,-1)</f>
        <v>0</v>
      </c>
      <c r="T55" s="753" cm="1" t="str">
        <f t="array" ref="T55:T55">T54</f>
        <v>false</v>
      </c>
      <c r="AB55" s="909" t="s">
        <v>2506</v>
      </c>
      <c r="AC55" s="922"/>
      <c r="AD55" s="923"/>
      <c r="AE55" s="923"/>
      <c r="AF55" s="923"/>
      <c r="AG55" s="923"/>
      <c r="AH55" s="923"/>
      <c r="AI55" s="923"/>
      <c r="AJ55" s="923"/>
      <c r="AK55" s="923"/>
      <c r="AL55" s="923"/>
      <c r="AM55" s="923"/>
      <c r="AN55" s="923"/>
      <c r="AO55" s="923"/>
      <c r="AP55" s="923"/>
      <c r="AQ55" s="923"/>
      <c r="AR55" s="923"/>
      <c r="AS55" s="923"/>
      <c r="AT55" s="923"/>
      <c r="AU55" s="923"/>
      <c r="AV55" s="923"/>
      <c r="AW55" s="923"/>
      <c r="AX55" s="923"/>
      <c r="AY55" s="923"/>
      <c r="AZ55" s="923"/>
      <c r="BA55" s="923"/>
      <c r="BB55" s="923"/>
      <c r="BC55" s="923"/>
      <c r="BD55" s="923"/>
      <c r="BE55" s="923"/>
      <c r="BF55" s="923"/>
      <c r="BG55" s="923"/>
      <c r="BH55" s="923"/>
      <c r="BI55" s="923"/>
      <c r="BJ55" s="923"/>
      <c r="BK55" s="923"/>
      <c r="BL55" s="923"/>
      <c r="BM55" s="923"/>
      <c r="BN55" s="923"/>
      <c r="BO55" s="923"/>
      <c r="BP55" s="923"/>
      <c r="BQ55" s="923"/>
      <c r="BR55" s="923"/>
      <c r="BS55" s="923"/>
      <c r="BT55" s="923"/>
      <c r="BU55" s="923"/>
      <c r="BV55" s="923"/>
      <c r="BW55" s="923"/>
      <c r="BX55" s="923"/>
      <c r="BY55" s="923"/>
      <c r="BZ55" s="923"/>
      <c r="CA55" s="923"/>
      <c r="CB55" s="923"/>
      <c r="CC55" s="923"/>
      <c r="CD55" s="923"/>
      <c r="CE55" s="923"/>
      <c r="CF55" s="923"/>
      <c r="CG55" s="923"/>
      <c r="CH55" s="923"/>
      <c r="CI55" s="923"/>
      <c r="CJ55" s="923"/>
      <c r="CK55" s="923"/>
      <c r="CL55" s="923"/>
      <c r="CM55" s="923"/>
      <c r="CN55" s="923"/>
      <c r="CO55" s="923"/>
      <c r="CP55" s="923"/>
      <c r="CQ55" s="923"/>
      <c r="CR55" s="923"/>
      <c r="CS55" s="923"/>
      <c r="CT55" s="923"/>
      <c r="CU55" s="923"/>
      <c r="CV55" s="923"/>
      <c r="CW55" s="923"/>
      <c r="CX55" s="923"/>
      <c r="CY55" s="923"/>
      <c r="CZ55" s="923"/>
      <c r="DA55" s="923"/>
      <c r="DB55" s="923"/>
      <c r="DC55" s="923"/>
      <c r="DD55" s="923"/>
      <c r="DE55" s="923"/>
      <c r="DF55" s="923"/>
      <c r="DG55" s="923"/>
      <c r="DH55" s="923"/>
      <c r="DI55" s="923"/>
      <c r="DJ55" s="923"/>
      <c r="DK55" s="923"/>
      <c r="DL55" s="923"/>
      <c r="DM55" s="923"/>
      <c r="DN55" s="923"/>
      <c r="DO55" s="923"/>
      <c r="DP55" s="923"/>
      <c r="DQ55" s="923"/>
      <c r="DR55" s="923"/>
      <c r="DS55" s="923"/>
      <c r="DT55" s="923"/>
      <c r="DU55" s="923"/>
      <c r="DV55" s="923"/>
      <c r="DW55" s="923"/>
      <c r="DX55" s="923"/>
      <c r="DY55" s="923"/>
      <c r="DZ55" s="923"/>
      <c r="EA55" s="923"/>
      <c r="EB55" s="923"/>
      <c r="EC55" s="923"/>
      <c r="ED55" s="923"/>
      <c r="EE55" s="923"/>
      <c r="EF55" s="923"/>
      <c r="EG55" s="923"/>
      <c r="EH55" s="923"/>
      <c r="EI55" s="923"/>
      <c r="EJ55" s="923"/>
      <c r="EK55" s="923"/>
      <c r="EL55" s="923"/>
      <c r="EM55" s="923"/>
      <c r="EN55" s="923"/>
      <c r="EO55" s="923"/>
      <c r="EP55" s="923"/>
      <c r="EQ55" s="923"/>
      <c r="ER55" s="923"/>
      <c r="ES55" s="923"/>
      <c r="ET55" s="923"/>
      <c r="EU55" s="923"/>
      <c r="EV55" s="923"/>
      <c r="EW55" s="923"/>
      <c r="EX55" s="923"/>
      <c r="EY55" s="923"/>
      <c r="EZ55" s="923"/>
      <c r="FA55" s="923"/>
      <c r="FB55" s="923"/>
      <c r="FC55" s="923"/>
      <c r="FD55" s="923"/>
      <c r="FE55" s="923"/>
      <c r="FF55" s="923"/>
      <c r="FG55" s="923"/>
      <c r="FH55" s="923"/>
      <c r="FI55" s="923"/>
      <c r="FJ55" s="923"/>
      <c r="FK55" s="923"/>
      <c r="FL55" s="923"/>
      <c r="FM55" s="923"/>
      <c r="FN55" s="923"/>
      <c r="FO55" s="923"/>
      <c r="FP55" s="923"/>
      <c r="FQ55" s="923"/>
      <c r="FR55" s="923"/>
      <c r="FS55" s="923"/>
      <c r="FT55" s="923"/>
      <c r="FU55" s="923"/>
      <c r="FV55" s="923"/>
      <c r="FW55" s="924"/>
      <c r="GA55" s="489"/>
      <c r="GB55" s="489"/>
      <c r="GC55" s="489"/>
      <c r="GD55" s="489"/>
      <c r="GF55" s="1501" cm="1" t="str">
        <f t="array" ref="GF55:GF55">GF54</f>
        <v>0</v>
      </c>
      <c r="GG55" s="1501"/>
      <c r="GH55" s="1501"/>
      <c r="GI55" s="1501"/>
      <c r="GJ55" s="1501"/>
      <c r="GK55" s="1501"/>
      <c r="GL55" s="1501" t="s">
        <v>176</v>
      </c>
      <c r="GM55" s="1501"/>
      <c r="GN55" s="1501"/>
    </row>
    <row customHeight="1" ht="15.600000000000001" hidden="1">
      <c r="B56" s="192" cm="1" t="str">
        <f t="array" ref="B56:B56">B55</f>
        <v>false</v>
      </c>
      <c r="E56" s="180">
        <v>16</v>
      </c>
      <c r="F56" s="175" cm="1" t="str">
        <f t="array" ref="F56:F56">OFFSET(G56,-1,-1)</f>
        <v>0</v>
      </c>
      <c r="G56" s="193" t="s">
        <v>2091</v>
      </c>
      <c r="I56" s="193" t="s">
        <v>2455</v>
      </c>
      <c r="T56" s="753" cm="1" t="str">
        <f t="array" ref="T56:T56">T55</f>
        <v>false</v>
      </c>
      <c r="AB56" s="560" t="s">
        <v>2490</v>
      </c>
      <c r="AC56" s="380" t="s">
        <v>1005</v>
      </c>
      <c r="AD56" s="76">
        <f>IF(method_reg="Метод экономически обоснованных расходов",_xlfn.SUMIFS('Калькуляция (4.6)'!AJ$25:AJ$162,'Калькуляция (4.6)'!$F$25:$F$162,$F56,'Калькуляция (4.6)'!$G$25:$G$162,$G56),IF(method_reg="Метод сравнения аналогов",_xlfn.SUMIFS(INDEX('Калькуляция (МСА)'!$AE$25:$BW$82,,MATCH(AD$8,'Калькуляция (МСА)'!$AE$8:$BW$8,0)),'Калькуляция (МСА)'!$F$25:$F$82,$F56,'Калькуляция (МСА)'!$G$25:$G$82,$G56),_xlfn.SUMIFS(INDEX('Калькуляция (5.9)'!$AJ$25:$BW$139,,MATCH(AD$8,'Калькуляция (5.9)'!$AJ$8:$BW$8,0)),'Калькуляция (5.9)'!$F$25:$F$139,$F56,'Калькуляция (5.9)'!$G$25:$G$139,$G56)))</f>
        <v>0</v>
      </c>
      <c r="AE56" s="76">
        <f>IF(method_reg="Метод экономически обоснованных расходов",_xlfn.SUMIFS('Калькуляция (4.6)'!AK$25:AK$162,'Калькуляция (4.6)'!$F$25:$F$162,$F56,'Калькуляция (4.6)'!$G$25:$G$162,$G56),IF(method_reg="Метод сравнения аналогов",_xlfn.SUMIFS(INDEX('Калькуляция (МСА)'!$AE$25:$BW$82,,MATCH(AE$8,'Калькуляция (МСА)'!$AE$8:$BW$8,0)),'Калькуляция (МСА)'!$F$25:$F$82,$F56,'Калькуляция (МСА)'!$G$25:$G$82,$G56),_xlfn.SUMIFS(INDEX('Калькуляция (5.9)'!$AJ$25:$BW$139,,MATCH(AE$8,'Калькуляция (5.9)'!$AJ$8:$BW$8,0)),'Калькуляция (5.9)'!$F$25:$F$139,$F56,'Калькуляция (5.9)'!$G$25:$G$139,$G56)))</f>
        <v>0</v>
      </c>
      <c r="AF56" s="915">
        <f>IF(AD56=0,0,(AE56-AD56)/AD56*100)</f>
        <v>0</v>
      </c>
      <c r="AG56" s="76">
        <f>IF(method_reg="Метод сравнения аналогов",_xlfn.SUMIFS(INDEX('Калькуляция (МСА)'!$AE$25:$BW$82,,MATCH(AG$8,'Калькуляция (МСА)'!$AE$8:$BW$8,0)),'Калькуляция (МСА)'!$F$25:$F$82,$F56,'Калькуляция (МСА)'!$G$25:$G$82,$G56),_xlfn.SUMIFS(INDEX('Калькуляция (5.9)'!$AJ$25:$BW$139,,MATCH(AG$8,'Калькуляция (5.9)'!$AJ$8:$BW$8,0)),'Калькуляция (5.9)'!$F$25:$F$139,$F56,'Калькуляция (5.9)'!$G$25:$G$139,$G56))</f>
        <v>0</v>
      </c>
      <c r="AH56" s="76">
        <f>IF(method_reg="Метод сравнения аналогов",_xlfn.SUMIFS(INDEX('Калькуляция (МСА)'!$AE$25:$BW$82,,MATCH(AH$8,'Калькуляция (МСА)'!$AE$8:$BW$8,0)),'Калькуляция (МСА)'!$F$25:$F$82,$F56,'Калькуляция (МСА)'!$G$25:$G$82,$G56),_xlfn.SUMIFS(INDEX('Калькуляция (5.9)'!$AJ$25:$BW$139,,MATCH(AH$8,'Калькуляция (5.9)'!$AJ$8:$BW$8,0)),'Калькуляция (5.9)'!$F$25:$F$139,$F56,'Калькуляция (5.9)'!$G$25:$G$139,$G56))</f>
        <v>0</v>
      </c>
      <c r="AI56" s="915">
        <f>IF(AG56=0,0,(AH56-AG56)/AG56*100)</f>
        <v>0</v>
      </c>
      <c r="AJ56" s="76">
        <f>IF(method_reg="Метод сравнения аналогов",_xlfn.SUMIFS(INDEX('Калькуляция (МСА)'!$AE$25:$BW$82,,MATCH(AJ$8,'Калькуляция (МСА)'!$AE$8:$BW$8,0)),'Калькуляция (МСА)'!$F$25:$F$82,$F56,'Калькуляция (МСА)'!$G$25:$G$82,$G56),_xlfn.SUMIFS(INDEX('Калькуляция (5.9)'!$AJ$25:$BW$139,,MATCH(AJ$8,'Калькуляция (5.9)'!$AJ$8:$BW$8,0)),'Калькуляция (5.9)'!$F$25:$F$139,$F56,'Калькуляция (5.9)'!$G$25:$G$139,$G56))</f>
        <v>0</v>
      </c>
      <c r="AK56" s="76">
        <f>IF(method_reg="Метод сравнения аналогов",_xlfn.SUMIFS(INDEX('Калькуляция (МСА)'!$AE$25:$BW$82,,MATCH(AK$8,'Калькуляция (МСА)'!$AE$8:$BW$8,0)),'Калькуляция (МСА)'!$F$25:$F$82,$F56,'Калькуляция (МСА)'!$G$25:$G$82,$G56),_xlfn.SUMIFS(INDEX('Калькуляция (5.9)'!$AJ$25:$BW$139,,MATCH(AK$8,'Калькуляция (5.9)'!$AJ$8:$BW$8,0)),'Калькуляция (5.9)'!$F$25:$F$139,$F56,'Калькуляция (5.9)'!$G$25:$G$139,$G56))</f>
        <v>0</v>
      </c>
      <c r="AL56" s="915">
        <f>IF(AJ56=0,0,(AK56-AJ56)/AJ56*100)</f>
        <v>0</v>
      </c>
      <c r="AM56" s="76">
        <f>IF(method_reg="Метод сравнения аналогов",_xlfn.SUMIFS(INDEX('Калькуляция (МСА)'!$AE$25:$BW$82,,MATCH(AM$8,'Калькуляция (МСА)'!$AE$8:$BW$8,0)),'Калькуляция (МСА)'!$F$25:$F$82,$F56,'Калькуляция (МСА)'!$G$25:$G$82,$G56),_xlfn.SUMIFS(INDEX('Калькуляция (5.9)'!$AJ$25:$BW$139,,MATCH(AM$8,'Калькуляция (5.9)'!$AJ$8:$BW$8,0)),'Калькуляция (5.9)'!$F$25:$F$139,$F56,'Калькуляция (5.9)'!$G$25:$G$139,$G56))</f>
        <v>0</v>
      </c>
      <c r="AN56" s="76">
        <f>IF(method_reg="Метод сравнения аналогов",_xlfn.SUMIFS(INDEX('Калькуляция (МСА)'!$AE$25:$BW$82,,MATCH(AN$8,'Калькуляция (МСА)'!$AE$8:$BW$8,0)),'Калькуляция (МСА)'!$F$25:$F$82,$F56,'Калькуляция (МСА)'!$G$25:$G$82,$G56),_xlfn.SUMIFS(INDEX('Калькуляция (5.9)'!$AJ$25:$BW$139,,MATCH(AN$8,'Калькуляция (5.9)'!$AJ$8:$BW$8,0)),'Калькуляция (5.9)'!$F$25:$F$139,$F56,'Калькуляция (5.9)'!$G$25:$G$139,$G56))</f>
        <v>0</v>
      </c>
      <c r="AO56" s="915">
        <f>IF(AM56=0,0,(AN56-AM56)/AM56*100)</f>
        <v>0</v>
      </c>
      <c r="AP56" s="76">
        <f>IF(method_reg="Метод сравнения аналогов",_xlfn.SUMIFS(INDEX('Калькуляция (МСА)'!$AE$25:$BW$82,,MATCH(AP$8,'Калькуляция (МСА)'!$AE$8:$BW$8,0)),'Калькуляция (МСА)'!$F$25:$F$82,$F56,'Калькуляция (МСА)'!$G$25:$G$82,$G56),_xlfn.SUMIFS(INDEX('Калькуляция (5.9)'!$AJ$25:$BW$139,,MATCH(AP$8,'Калькуляция (5.9)'!$AJ$8:$BW$8,0)),'Калькуляция (5.9)'!$F$25:$F$139,$F56,'Калькуляция (5.9)'!$G$25:$G$139,$G56))</f>
        <v>0</v>
      </c>
      <c r="AQ56" s="76">
        <f>IF(method_reg="Метод сравнения аналогов",_xlfn.SUMIFS(INDEX('Калькуляция (МСА)'!$AE$25:$BW$82,,MATCH(AQ$8,'Калькуляция (МСА)'!$AE$8:$BW$8,0)),'Калькуляция (МСА)'!$F$25:$F$82,$F56,'Калькуляция (МСА)'!$G$25:$G$82,$G56),_xlfn.SUMIFS(INDEX('Калькуляция (5.9)'!$AJ$25:$BW$139,,MATCH(AQ$8,'Калькуляция (5.9)'!$AJ$8:$BW$8,0)),'Калькуляция (5.9)'!$F$25:$F$139,$F56,'Калькуляция (5.9)'!$G$25:$G$139,$G56))</f>
        <v>0</v>
      </c>
      <c r="AR56" s="915">
        <f>IF(AP56=0,0,(AQ56-AP56)/AP56*100)</f>
        <v>0</v>
      </c>
      <c r="AS56" s="76">
        <f>IF(method_reg="Метод сравнения аналогов",_xlfn.SUMIFS(INDEX('Калькуляция (МСА)'!$AE$25:$BW$82,,MATCH(AS$8,'Калькуляция (МСА)'!$AE$8:$BW$8,0)),'Калькуляция (МСА)'!$F$25:$F$82,$F56,'Калькуляция (МСА)'!$G$25:$G$82,$G56),_xlfn.SUMIFS(INDEX('Калькуляция (5.9)'!$AJ$25:$BW$139,,MATCH(AS$8,'Калькуляция (5.9)'!$AJ$8:$BW$8,0)),'Калькуляция (5.9)'!$F$25:$F$139,$F56,'Калькуляция (5.9)'!$G$25:$G$139,$G56))</f>
        <v>0</v>
      </c>
      <c r="AT56" s="76">
        <f>IF(method_reg="Метод сравнения аналогов",_xlfn.SUMIFS(INDEX('Калькуляция (МСА)'!$AE$25:$BW$82,,MATCH(AT$8,'Калькуляция (МСА)'!$AE$8:$BW$8,0)),'Калькуляция (МСА)'!$F$25:$F$82,$F56,'Калькуляция (МСА)'!$G$25:$G$82,$G56),_xlfn.SUMIFS(INDEX('Калькуляция (5.9)'!$AJ$25:$BW$139,,MATCH(AT$8,'Калькуляция (5.9)'!$AJ$8:$BW$8,0)),'Калькуляция (5.9)'!$F$25:$F$139,$F56,'Калькуляция (5.9)'!$G$25:$G$139,$G56))</f>
        <v>0</v>
      </c>
      <c r="AU56" s="915">
        <f>IF(AS56=0,0,(AT56-AS56)/AS56*100)</f>
        <v>0</v>
      </c>
      <c r="AV56" s="76">
        <f>IF(method_reg="Метод сравнения аналогов",_xlfn.SUMIFS(INDEX('Калькуляция (МСА)'!$AE$25:$BW$82,,MATCH(AV$8,'Калькуляция (МСА)'!$AE$8:$BW$8,0)),'Калькуляция (МСА)'!$F$25:$F$82,$F56,'Калькуляция (МСА)'!$G$25:$G$82,$G56),_xlfn.SUMIFS(INDEX('Калькуляция (5.9)'!$AJ$25:$BW$139,,MATCH(AV$8,'Калькуляция (5.9)'!$AJ$8:$BW$8,0)),'Калькуляция (5.9)'!$F$25:$F$139,$F56,'Калькуляция (5.9)'!$G$25:$G$139,$G56))</f>
        <v>0</v>
      </c>
      <c r="AW56" s="76">
        <f>IF(method_reg="Метод сравнения аналогов",_xlfn.SUMIFS(INDEX('Калькуляция (МСА)'!$AE$25:$BW$82,,MATCH(AW$8,'Калькуляция (МСА)'!$AE$8:$BW$8,0)),'Калькуляция (МСА)'!$F$25:$F$82,$F56,'Калькуляция (МСА)'!$G$25:$G$82,$G56),_xlfn.SUMIFS(INDEX('Калькуляция (5.9)'!$AJ$25:$BW$139,,MATCH(AW$8,'Калькуляция (5.9)'!$AJ$8:$BW$8,0)),'Калькуляция (5.9)'!$F$25:$F$139,$F56,'Калькуляция (5.9)'!$G$25:$G$139,$G56))</f>
        <v>0</v>
      </c>
      <c r="AX56" s="915">
        <f>IF(AV56=0,0,(AW56-AV56)/AV56*100)</f>
        <v>0</v>
      </c>
      <c r="AY56" s="76">
        <f>IF(method_reg="Метод сравнения аналогов",_xlfn.SUMIFS(INDEX('Калькуляция (МСА)'!$AE$25:$BW$82,,MATCH(AY$8,'Калькуляция (МСА)'!$AE$8:$BW$8,0)),'Калькуляция (МСА)'!$F$25:$F$82,$F56,'Калькуляция (МСА)'!$G$25:$G$82,$G56),_xlfn.SUMIFS(INDEX('Калькуляция (5.9)'!$AJ$25:$BW$139,,MATCH(AY$8,'Калькуляция (5.9)'!$AJ$8:$BW$8,0)),'Калькуляция (5.9)'!$F$25:$F$139,$F56,'Калькуляция (5.9)'!$G$25:$G$139,$G56))</f>
        <v>0</v>
      </c>
      <c r="AZ56" s="76">
        <f>IF(method_reg="Метод сравнения аналогов",_xlfn.SUMIFS(INDEX('Калькуляция (МСА)'!$AE$25:$BW$82,,MATCH(AZ$8,'Калькуляция (МСА)'!$AE$8:$BW$8,0)),'Калькуляция (МСА)'!$F$25:$F$82,$F56,'Калькуляция (МСА)'!$G$25:$G$82,$G56),_xlfn.SUMIFS(INDEX('Калькуляция (5.9)'!$AJ$25:$BW$139,,MATCH(AZ$8,'Калькуляция (5.9)'!$AJ$8:$BW$8,0)),'Калькуляция (5.9)'!$F$25:$F$139,$F56,'Калькуляция (5.9)'!$G$25:$G$139,$G56))</f>
        <v>0</v>
      </c>
      <c r="BA56" s="915">
        <f>IF(AY56=0,0,(AZ56-AY56)/AY56*100)</f>
        <v>0</v>
      </c>
      <c r="BB56" s="76">
        <f>IF(method_reg="Метод сравнения аналогов",_xlfn.SUMIFS(INDEX('Калькуляция (МСА)'!$AE$25:$BW$82,,MATCH(BB$8,'Калькуляция (МСА)'!$AE$8:$BW$8,0)),'Калькуляция (МСА)'!$F$25:$F$82,$F56,'Калькуляция (МСА)'!$G$25:$G$82,$G56),_xlfn.SUMIFS(INDEX('Калькуляция (5.9)'!$AJ$25:$BW$139,,MATCH(BB$8,'Калькуляция (5.9)'!$AJ$8:$BW$8,0)),'Калькуляция (5.9)'!$F$25:$F$139,$F56,'Калькуляция (5.9)'!$G$25:$G$139,$G56))</f>
        <v>0</v>
      </c>
      <c r="BC56" s="76">
        <f>IF(method_reg="Метод сравнения аналогов",_xlfn.SUMIFS(INDEX('Калькуляция (МСА)'!$AE$25:$BW$82,,MATCH(BC$8,'Калькуляция (МСА)'!$AE$8:$BW$8,0)),'Калькуляция (МСА)'!$F$25:$F$82,$F56,'Калькуляция (МСА)'!$G$25:$G$82,$G56),_xlfn.SUMIFS(INDEX('Калькуляция (5.9)'!$AJ$25:$BW$139,,MATCH(BC$8,'Калькуляция (5.9)'!$AJ$8:$BW$8,0)),'Калькуляция (5.9)'!$F$25:$F$139,$F56,'Калькуляция (5.9)'!$G$25:$G$139,$G56))</f>
        <v>0</v>
      </c>
      <c r="BD56" s="915">
        <f>IF(BB56=0,0,(BC56-BB56)/BB56*100)</f>
        <v>0</v>
      </c>
      <c r="BE56" s="76">
        <f>IF(method_reg="Метод сравнения аналогов",_xlfn.SUMIFS(INDEX('Калькуляция (МСА)'!$AE$25:$BW$82,,MATCH(BE$8,'Калькуляция (МСА)'!$AE$8:$BW$8,0)),'Калькуляция (МСА)'!$F$25:$F$82,$F56,'Калькуляция (МСА)'!$G$25:$G$82,$G56),_xlfn.SUMIFS(INDEX('Калькуляция (5.9)'!$AJ$25:$BW$139,,MATCH(BE$8,'Калькуляция (5.9)'!$AJ$8:$BW$8,0)),'Калькуляция (5.9)'!$F$25:$F$139,$F56,'Калькуляция (5.9)'!$G$25:$G$139,$G56))</f>
        <v>0</v>
      </c>
      <c r="BF56" s="76">
        <f>IF(method_reg="Метод сравнения аналогов",_xlfn.SUMIFS(INDEX('Калькуляция (МСА)'!$AE$25:$BW$82,,MATCH(BF$8,'Калькуляция (МСА)'!$AE$8:$BW$8,0)),'Калькуляция (МСА)'!$F$25:$F$82,$F56,'Калькуляция (МСА)'!$G$25:$G$82,$G56),_xlfn.SUMIFS(INDEX('Калькуляция (5.9)'!$AJ$25:$BW$139,,MATCH(BF$8,'Калькуляция (5.9)'!$AJ$8:$BW$8,0)),'Калькуляция (5.9)'!$F$25:$F$139,$F56,'Калькуляция (5.9)'!$G$25:$G$139,$G56))</f>
        <v>0</v>
      </c>
      <c r="BG56" s="915">
        <f>IF(BE56=0,0,(BF56-BE56)/BE56*100)</f>
        <v>0</v>
      </c>
      <c r="BH56" s="76">
        <f>IF(BH58=0,0,(BH57*BH58+BH59*BH60*6)/BH58)</f>
        <v>0</v>
      </c>
      <c r="BI56" s="76">
        <f>IF(BI58=0,0,(BI57*BI58+BI59*BI60*6)/BI58)</f>
        <v>0</v>
      </c>
      <c r="BJ56" s="915">
        <f>IF(BH56=0,0,(BI56-BH56)/BH56*100)</f>
        <v>0</v>
      </c>
      <c r="BK56" s="76">
        <f>IF(BK58=0,0,(BK57*BK58+BK59*BK60*6)/BK58)</f>
        <v>0</v>
      </c>
      <c r="BL56" s="76">
        <f>IF(BL58=0,0,(BL57*BL58+BL59*BL60*6)/BL58)</f>
        <v>0</v>
      </c>
      <c r="BM56" s="915">
        <f>IF(BK56=0,0,(BL56-BK56)/BK56*100)</f>
        <v>0</v>
      </c>
      <c r="BN56" s="76">
        <f>IF(BN58=0,0,(BN57*BN58+BN59*BN60*6)/BN58)</f>
        <v>0</v>
      </c>
      <c r="BO56" s="76">
        <f>IF(BO58=0,0,(BO57*BO58+BO59*BO60*6)/BO58)</f>
        <v>0</v>
      </c>
      <c r="BP56" s="915">
        <f>IF(BN56=0,0,(BO56-BN56)/BN56*100)</f>
        <v>0</v>
      </c>
      <c r="BQ56" s="76">
        <f>IF(BQ58=0,0,(BQ57*BQ58+BQ59*BQ60*6)/BQ58)</f>
        <v>0</v>
      </c>
      <c r="BR56" s="76">
        <f>IF(BR58=0,0,(BR57*BR58+BR59*BR60*6)/BR58)</f>
        <v>0</v>
      </c>
      <c r="BS56" s="915">
        <f>IF(BQ56=0,0,(BR56-BQ56)/BQ56*100)</f>
        <v>0</v>
      </c>
      <c r="BT56" s="76">
        <f>IF(BT58=0,0,(BT57*BT58+BT59*BT60*6)/BT58)</f>
        <v>0</v>
      </c>
      <c r="BU56" s="76">
        <f>IF(BU58=0,0,(BU57*BU58+BU59*BU60*6)/BU58)</f>
        <v>0</v>
      </c>
      <c r="BV56" s="915">
        <f>IF(BT56=0,0,(BU56-BT56)/BT56*100)</f>
        <v>0</v>
      </c>
      <c r="BW56" s="76">
        <f>IF(BW58=0,0,(BW57*BW58+BW59*BW60*6)/BW58)</f>
        <v>0</v>
      </c>
      <c r="BX56" s="76">
        <f>IF(BX58=0,0,(BX57*BX58+BX59*BX60*6)/BX58)</f>
        <v>0</v>
      </c>
      <c r="BY56" s="915">
        <f>IF(BW56=0,0,(BX56-BW56)/BW56*100)</f>
        <v>0</v>
      </c>
      <c r="BZ56" s="76">
        <f>IF(BZ58=0,0,(BZ57*BZ58+BZ59*BZ60*6)/BZ58)</f>
        <v>0</v>
      </c>
      <c r="CA56" s="76">
        <f>IF(CA58=0,0,(CA57*CA58+CA59*CA60*6)/CA58)</f>
        <v>0</v>
      </c>
      <c r="CB56" s="915">
        <f>IF(BZ56=0,0,(CA56-BZ56)/BZ56*100)</f>
        <v>0</v>
      </c>
      <c r="CC56" s="76">
        <f>IF(CC58=0,0,(CC57*CC58+CC59*CC60*6)/CC58)</f>
        <v>0</v>
      </c>
      <c r="CD56" s="76">
        <f>IF(CD58=0,0,(CD57*CD58+CD59*CD60*6)/CD58)</f>
        <v>0</v>
      </c>
      <c r="CE56" s="915">
        <f>IF(CC56=0,0,(CD56-CC56)/CC56*100)</f>
        <v>0</v>
      </c>
      <c r="CF56" s="76">
        <f>IF(CF58=0,0,(CF57*CF58+CF59*CF60*6)/CF58)</f>
        <v>0</v>
      </c>
      <c r="CG56" s="76">
        <f>IF(CG58=0,0,(CG57*CG58+CG59*CG60*6)/CG58)</f>
        <v>0</v>
      </c>
      <c r="CH56" s="915">
        <f>IF(CF56=0,0,(CG56-CF56)/CF56*100)</f>
        <v>0</v>
      </c>
      <c r="CI56" s="76">
        <f>IF(CI58=0,0,(CI57*CI58+CI59*CI60*6)/CI58)</f>
        <v>0</v>
      </c>
      <c r="CJ56" s="76">
        <f>IF(CJ58=0,0,(CJ57*CJ58+CJ59*CJ60*6)/CJ58)</f>
        <v>0</v>
      </c>
      <c r="CK56" s="915">
        <f>IF(CI56=0,0,(CJ56-CI56)/CI56*100)</f>
        <v>0</v>
      </c>
      <c r="CL56" s="76">
        <f>IF(CL58=0,0,(CL57*CL58+CL59*CL60*6)/CL58)</f>
        <v>0</v>
      </c>
      <c r="CM56" s="76">
        <f>IF(CM58=0,0,(CM57*CM58+CM59*CM60*6)/CM58)</f>
        <v>0</v>
      </c>
      <c r="CN56" s="915">
        <f>IF(CL56=0,0,(CM56-CL56)/CL56*100)</f>
        <v>0</v>
      </c>
      <c r="CO56" s="76">
        <f>IF(CO58=0,0,(CO57*CO58+CO59*CO60*6)/CO58)</f>
        <v>0</v>
      </c>
      <c r="CP56" s="76">
        <f>IF(CP58=0,0,(CP57*CP58+CP59*CP60*6)/CP58)</f>
        <v>0</v>
      </c>
      <c r="CQ56" s="915">
        <f>IF(CO56=0,0,(CP56-CO56)/CO56*100)</f>
        <v>0</v>
      </c>
      <c r="CR56" s="76">
        <f>IF(CR58=0,0,(CR57*CR58+CR59*CR60*6)/CR58)</f>
        <v>0</v>
      </c>
      <c r="CS56" s="76">
        <f>IF(CS58=0,0,(CS57*CS58+CS59*CS60*6)/CS58)</f>
        <v>0</v>
      </c>
      <c r="CT56" s="915">
        <f>IF(CR56=0,0,(CS56-CR56)/CR56*100)</f>
        <v>0</v>
      </c>
      <c r="CU56" s="76">
        <f>IF(CU58=0,0,(CU57*CU58+CU59*CU60*6)/CU58)</f>
        <v>0</v>
      </c>
      <c r="CV56" s="76">
        <f>IF(CV58=0,0,(CV57*CV58+CV59*CV60*6)/CV58)</f>
        <v>0</v>
      </c>
      <c r="CW56" s="915">
        <f>IF(CU56=0,0,(CV56-CU56)/CU56*100)</f>
        <v>0</v>
      </c>
      <c r="CX56" s="76">
        <f>IF(CX58=0,0,(CX57*CX58+CX59*CX60*6)/CX58)</f>
        <v>0</v>
      </c>
      <c r="CY56" s="76">
        <f>IF(CY58=0,0,(CY57*CY58+CY59*CY60*6)/CY58)</f>
        <v>0</v>
      </c>
      <c r="CZ56" s="915">
        <f>IF(CX56=0,0,(CY56-CX56)/CX56*100)</f>
        <v>0</v>
      </c>
      <c r="DA56" s="76">
        <f>IF(DA58=0,0,(DA57*DA58+DA59*DA60*6)/DA58)</f>
        <v>0</v>
      </c>
      <c r="DB56" s="76">
        <f>IF(DB58=0,0,(DB57*DB58+DB59*DB60*6)/DB58)</f>
        <v>0</v>
      </c>
      <c r="DC56" s="915">
        <f>IF(DA56=0,0,(DB56-DA56)/DA56*100)</f>
        <v>0</v>
      </c>
      <c r="DD56" s="76">
        <f>IF(DD58=0,0,(DD57*DD58+DD59*DD60*6)/DD58)</f>
        <v>0</v>
      </c>
      <c r="DE56" s="76">
        <f>IF(DE58=0,0,(DE57*DE58+DE59*DE60*6)/DE58)</f>
        <v>0</v>
      </c>
      <c r="DF56" s="915">
        <f>IF(DD56=0,0,(DE56-DD56)/DD56*100)</f>
        <v>0</v>
      </c>
      <c r="DG56" s="76">
        <f>IF(DG58=0,0,(DG57*DG58+DG59*DG60*6)/DG58)</f>
        <v>0</v>
      </c>
      <c r="DH56" s="76">
        <f>IF(DH58=0,0,(DH57*DH58+DH59*DH60*6)/DH58)</f>
        <v>0</v>
      </c>
      <c r="DI56" s="915">
        <f>IF(DG56=0,0,(DH56-DG56)/DG56*100)</f>
        <v>0</v>
      </c>
      <c r="DJ56" s="76">
        <f>IF(DJ58=0,0,(DJ57*DJ58+DJ59*DJ60*6)/DJ58)</f>
        <v>0</v>
      </c>
      <c r="DK56" s="76">
        <f>IF(DK58=0,0,(DK57*DK58+DK59*DK60*6)/DK58)</f>
        <v>0</v>
      </c>
      <c r="DL56" s="915">
        <f>IF(DJ56=0,0,(DK56-DJ56)/DJ56*100)</f>
        <v>0</v>
      </c>
      <c r="DM56" s="76">
        <f>IF(DM58=0,0,(DM57*DM58+DM59*DM60*6)/DM58)</f>
        <v>0</v>
      </c>
      <c r="DN56" s="76">
        <f>IF(DN58=0,0,(DN57*DN58+DN59*DN60*6)/DN58)</f>
        <v>0</v>
      </c>
      <c r="DO56" s="915">
        <f>IF(DM56=0,0,(DN56-DM56)/DM56*100)</f>
        <v>0</v>
      </c>
      <c r="DP56" s="76">
        <f>IF(DP58=0,0,(DP57*DP58+DP59*DP60*6)/DP58)</f>
        <v>0</v>
      </c>
      <c r="DQ56" s="76">
        <f>IF(DQ58=0,0,(DQ57*DQ58+DQ59*DQ60*6)/DQ58)</f>
        <v>0</v>
      </c>
      <c r="DR56" s="915">
        <f>IF(DP56=0,0,(DQ56-DP56)/DP56*100)</f>
        <v>0</v>
      </c>
      <c r="DS56" s="76">
        <f>IF(DS58=0,0,(DS57*DS58+DS59*DS60*6)/DS58)</f>
        <v>0</v>
      </c>
      <c r="DT56" s="76">
        <f>IF(DT58=0,0,(DT57*DT58+DT59*DT60*6)/DT58)</f>
        <v>0</v>
      </c>
      <c r="DU56" s="915">
        <f>IF(DS56=0,0,(DT56-DS56)/DS56*100)</f>
        <v>0</v>
      </c>
      <c r="DV56" s="76">
        <f>IF(DV58=0,0,(DV57*DV58+DV59*DV60*6)/DV58)</f>
        <v>0</v>
      </c>
      <c r="DW56" s="76">
        <f>IF(DW58=0,0,(DW57*DW58+DW59*DW60*6)/DW58)</f>
        <v>0</v>
      </c>
      <c r="DX56" s="915">
        <f>IF(DV56=0,0,(DW56-DV56)/DV56*100)</f>
        <v>0</v>
      </c>
      <c r="DY56" s="76">
        <f>IF(DY58=0,0,(DY57*DY58+DY59*DY60*6)/DY58)</f>
        <v>0</v>
      </c>
      <c r="DZ56" s="76">
        <f>IF(DZ58=0,0,(DZ57*DZ58+DZ59*DZ60*6)/DZ58)</f>
        <v>0</v>
      </c>
      <c r="EA56" s="915">
        <f>IF(DY56=0,0,(DZ56-DY56)/DY56*100)</f>
        <v>0</v>
      </c>
      <c r="EB56" s="76">
        <f>IF(EB58=0,0,(EB57*EB58+EB59*EB60*6)/EB58)</f>
        <v>0</v>
      </c>
      <c r="EC56" s="76">
        <f>IF(EC58=0,0,(EC57*EC58+EC59*EC60*6)/EC58)</f>
        <v>0</v>
      </c>
      <c r="ED56" s="915">
        <f>IF(EB56=0,0,(EC56-EB56)/EB56*100)</f>
        <v>0</v>
      </c>
      <c r="EE56" s="76">
        <f>IF(EE58=0,0,(EE57*EE58+EE59*EE60*6)/EE58)</f>
        <v>0</v>
      </c>
      <c r="EF56" s="76">
        <f>IF(EF58=0,0,(EF57*EF58+EF59*EF60*6)/EF58)</f>
        <v>0</v>
      </c>
      <c r="EG56" s="915">
        <f>IF(EE56=0,0,(EF56-EE56)/EE56*100)</f>
        <v>0</v>
      </c>
      <c r="EH56" s="76">
        <f>IF(EH58=0,0,(EH57*EH58+EH59*EH60*6)/EH58)</f>
        <v>0</v>
      </c>
      <c r="EI56" s="76">
        <f>IF(EI58=0,0,(EI57*EI58+EI59*EI60*6)/EI58)</f>
        <v>0</v>
      </c>
      <c r="EJ56" s="915">
        <f>IF(EH56=0,0,(EI56-EH56)/EH56*100)</f>
        <v>0</v>
      </c>
      <c r="EK56" s="76">
        <f>IF(EK58=0,0,(EK57*EK58+EK59*EK60*6)/EK58)</f>
        <v>0</v>
      </c>
      <c r="EL56" s="76">
        <f>IF(EL58=0,0,(EL57*EL58+EL59*EL60*6)/EL58)</f>
        <v>0</v>
      </c>
      <c r="EM56" s="915">
        <f>IF(EK56=0,0,(EL56-EK56)/EK56*100)</f>
        <v>0</v>
      </c>
      <c r="EN56" s="76">
        <f>IF(EN58=0,0,(EN57*EN58+EN59*EN60*6)/EN58)</f>
        <v>0</v>
      </c>
      <c r="EO56" s="76">
        <f>IF(EO58=0,0,(EO57*EO58+EO59*EO60*6)/EO58)</f>
        <v>0</v>
      </c>
      <c r="EP56" s="915">
        <f>IF(EN56=0,0,(EO56-EN56)/EN56*100)</f>
        <v>0</v>
      </c>
      <c r="EQ56" s="76">
        <f>IF(EQ58=0,0,(EQ57*EQ58+EQ59*EQ60*6)/EQ58)</f>
        <v>0</v>
      </c>
      <c r="ER56" s="76">
        <f>IF(ER58=0,0,(ER57*ER58+ER59*ER60*6)/ER58)</f>
        <v>0</v>
      </c>
      <c r="ES56" s="915">
        <f>IF(EQ56=0,0,(ER56-EQ56)/EQ56*100)</f>
        <v>0</v>
      </c>
      <c r="ET56" s="76">
        <f>IF(ET58=0,0,(ET57*ET58+ET59*ET60*6)/ET58)</f>
        <v>0</v>
      </c>
      <c r="EU56" s="76">
        <f>IF(EU58=0,0,(EU57*EU58+EU59*EU60*6)/EU58)</f>
        <v>0</v>
      </c>
      <c r="EV56" s="915">
        <f>IF(ET56=0,0,(EU56-ET56)/ET56*100)</f>
        <v>0</v>
      </c>
      <c r="EW56" s="76">
        <f>IF(EW58=0,0,(EW57*EW58+EW59*EW60*6)/EW58)</f>
        <v>0</v>
      </c>
      <c r="EX56" s="76">
        <f>IF(EX58=0,0,(EX57*EX58+EX59*EX60*6)/EX58)</f>
        <v>0</v>
      </c>
      <c r="EY56" s="915">
        <f>IF(EW56=0,0,(EX56-EW56)/EW56*100)</f>
        <v>0</v>
      </c>
      <c r="EZ56" s="76">
        <f>IF(EZ58=0,0,(EZ57*EZ58+EZ59*EZ60*6)/EZ58)</f>
        <v>0</v>
      </c>
      <c r="FA56" s="76">
        <f>IF(FA58=0,0,(FA57*FA58+FA59*FA60*6)/FA58)</f>
        <v>0</v>
      </c>
      <c r="FB56" s="915">
        <f>IF(EZ56=0,0,(FA56-EZ56)/EZ56*100)</f>
        <v>0</v>
      </c>
      <c r="FC56" s="76">
        <f>IF(FC58=0,0,(FC57*FC58+FC59*FC60*6)/FC58)</f>
        <v>0</v>
      </c>
      <c r="FD56" s="76">
        <f>IF(FD58=0,0,(FD57*FD58+FD59*FD60*6)/FD58)</f>
        <v>0</v>
      </c>
      <c r="FE56" s="915">
        <f>IF(FC56=0,0,(FD56-FC56)/FC56*100)</f>
        <v>0</v>
      </c>
      <c r="FF56" s="76">
        <f>IF(FF58=0,0,(FF57*FF58+FF59*FF60*6)/FF58)</f>
        <v>0</v>
      </c>
      <c r="FG56" s="76">
        <f>IF(FG58=0,0,(FG57*FG58+FG59*FG60*6)/FG58)</f>
        <v>0</v>
      </c>
      <c r="FH56" s="915">
        <f>IF(FF56=0,0,(FG56-FF56)/FF56*100)</f>
        <v>0</v>
      </c>
      <c r="FI56" s="76">
        <f>IF(FI58=0,0,(FI57*FI58+FI59*FI60*6)/FI58)</f>
        <v>0</v>
      </c>
      <c r="FJ56" s="76">
        <f>IF(FJ58=0,0,(FJ57*FJ58+FJ59*FJ60*6)/FJ58)</f>
        <v>0</v>
      </c>
      <c r="FK56" s="915">
        <f>IF(FI56=0,0,(FJ56-FI56)/FI56*100)</f>
        <v>0</v>
      </c>
      <c r="FL56" s="76">
        <f>IF(FL58=0,0,(FL57*FL58+FL59*FL60*6)/FL58)</f>
        <v>0</v>
      </c>
      <c r="FM56" s="76">
        <f>IF(FM58=0,0,(FM57*FM58+FM59*FM60*6)/FM58)</f>
        <v>0</v>
      </c>
      <c r="FN56" s="915">
        <f>IF(FL56=0,0,(FM56-FL56)/FL56*100)</f>
        <v>0</v>
      </c>
      <c r="FO56" s="76">
        <f>IF(FO58=0,0,(FO57*FO58+FO59*FO60*6)/FO58)</f>
        <v>0</v>
      </c>
      <c r="FP56" s="76">
        <f>IF(FP58=0,0,(FP57*FP58+FP59*FP60*6)/FP58)</f>
        <v>0</v>
      </c>
      <c r="FQ56" s="915">
        <f>IF(FO56=0,0,(FP56-FO56)/FO56*100)</f>
        <v>0</v>
      </c>
      <c r="FR56" s="76">
        <f>IF(FR58=0,0,(FR57*FR58+FR59*FR60*6)/FR58)</f>
        <v>0</v>
      </c>
      <c r="FS56" s="76">
        <f>IF(FS58=0,0,(FS57*FS58+FS59*FS60*6)/FS58)</f>
        <v>0</v>
      </c>
      <c r="FT56" s="915">
        <f>IF(FR56=0,0,(FS56-FR56)/FR56*100)</f>
        <v>0</v>
      </c>
      <c r="FU56" s="76">
        <f>IF(FU58=0,0,(FU57*FU58+FU59*FU60*6)/FU58)</f>
        <v>0</v>
      </c>
      <c r="FV56" s="76">
        <f>IF(FV58=0,0,(FV57*FV58+FV59*FV60*6)/FV58)</f>
        <v>0</v>
      </c>
      <c r="FW56" s="915">
        <f>IF(FU56=0,0,(FV56-FU56)/FU56*100)</f>
        <v>0</v>
      </c>
      <c r="FZ56" s="489" t="s">
        <v>2507</v>
      </c>
      <c r="GA56" s="489"/>
      <c r="GB56" s="489"/>
      <c r="GC56" s="489"/>
      <c r="GD56" s="489"/>
      <c r="GF56" s="1501" cm="1" t="str">
        <f t="array" ref="GF56:GF56">GF55</f>
        <v>0</v>
      </c>
      <c r="GG56" s="1501" t="s">
        <v>707</v>
      </c>
      <c r="GH56" s="1501" t="s">
        <v>2452</v>
      </c>
      <c r="GI56" s="1501" t="s">
        <v>797</v>
      </c>
      <c r="GJ56" s="1501"/>
      <c r="GK56" s="1501"/>
      <c r="GL56" s="1501" t="s">
        <v>303</v>
      </c>
      <c r="GM56" s="1501" t="s">
        <v>2492</v>
      </c>
      <c r="GN56" s="1501" t="s">
        <v>2493</v>
      </c>
    </row>
    <row customHeight="1" ht="15.600000000000001" hidden="1">
      <c r="B57" s="192" cm="1" t="str">
        <f t="array" ref="B57:B57">B56</f>
        <v>false</v>
      </c>
      <c r="E57" s="180">
        <v>16</v>
      </c>
      <c r="F57" s="175" cm="1" t="str">
        <f t="array" ref="F57:F57">OFFSET(G57,-1,-1)</f>
        <v>0</v>
      </c>
      <c r="G57" s="193" t="s">
        <v>2120</v>
      </c>
      <c r="I57" s="193" t="s">
        <v>2455</v>
      </c>
      <c r="T57" s="753" cm="1" t="str">
        <f t="array" ref="T57:T57">T56</f>
        <v>false</v>
      </c>
      <c r="AB57" s="560" t="s">
        <v>2494</v>
      </c>
      <c r="AC57" s="380" t="s">
        <v>1005</v>
      </c>
      <c r="AD57" s="76">
        <f>IF(method_reg="Метод экономически обоснованных расходов",_xlfn.SUMIFS('Калькуляция (4.6)'!AJ$25:AJ$162,'Калькуляция (4.6)'!$F$25:$F$162,$F57,'Калькуляция (4.6)'!$G$25:$G$162,$G57),IF(method_reg="Метод сравнения аналогов",_xlfn.SUMIFS(INDEX('Калькуляция (МСА)'!$AE$25:$BW$82,,MATCH(AD$8,'Калькуляция (МСА)'!$AE$8:$BW$8,0)),'Калькуляция (МСА)'!$F$25:$F$82,$F57,'Калькуляция (МСА)'!$G$25:$G$82,$G57),_xlfn.SUMIFS(INDEX('Калькуляция (5.9)'!$AJ$25:$BW$139,,MATCH(AD$8,'Калькуляция (5.9)'!$AJ$8:$BW$8,0)),'Калькуляция (5.9)'!$F$25:$F$139,$F57,'Калькуляция (5.9)'!$G$25:$G$139,$G57)))</f>
        <v>0</v>
      </c>
      <c r="AE57" s="76">
        <f>IF(method_reg="Метод экономически обоснованных расходов",_xlfn.SUMIFS('Калькуляция (4.6)'!AK$25:AK$162,'Калькуляция (4.6)'!$F$25:$F$162,$F57,'Калькуляция (4.6)'!$G$25:$G$162,$G57),IF(method_reg="Метод сравнения аналогов",_xlfn.SUMIFS(INDEX('Калькуляция (МСА)'!$AE$25:$BW$82,,MATCH(AE$8,'Калькуляция (МСА)'!$AE$8:$BW$8,0)),'Калькуляция (МСА)'!$F$25:$F$82,$F57,'Калькуляция (МСА)'!$G$25:$G$82,$G57),_xlfn.SUMIFS(INDEX('Калькуляция (5.9)'!$AJ$25:$BW$139,,MATCH(AE$8,'Калькуляция (5.9)'!$AJ$8:$BW$8,0)),'Калькуляция (5.9)'!$F$25:$F$139,$F57,'Калькуляция (5.9)'!$G$25:$G$139,$G57)))</f>
        <v>0</v>
      </c>
      <c r="AF57" s="915">
        <f>IF(AD57=0,0,(AE57-AD57)/AD57*100)</f>
        <v>0</v>
      </c>
      <c r="AG57" s="76">
        <f>IF(method_reg="Метод сравнения аналогов",_xlfn.SUMIFS(INDEX('Калькуляция (МСА)'!$AE$25:$BW$82,,MATCH(AG$8,'Калькуляция (МСА)'!$AE$8:$BW$8,0)),'Калькуляция (МСА)'!$F$25:$F$82,$F57,'Калькуляция (МСА)'!$G$25:$G$82,$G57),_xlfn.SUMIFS(INDEX('Калькуляция (5.9)'!$AJ$25:$BW$139,,MATCH(AG$8,'Калькуляция (5.9)'!$AJ$8:$BW$8,0)),'Калькуляция (5.9)'!$F$25:$F$139,$F57,'Калькуляция (5.9)'!$G$25:$G$139,$G57))</f>
        <v>0</v>
      </c>
      <c r="AH57" s="76">
        <f>IF(method_reg="Метод сравнения аналогов",_xlfn.SUMIFS(INDEX('Калькуляция (МСА)'!$AE$25:$BW$82,,MATCH(AH$8,'Калькуляция (МСА)'!$AE$8:$BW$8,0)),'Калькуляция (МСА)'!$F$25:$F$82,$F57,'Калькуляция (МСА)'!$G$25:$G$82,$G57),_xlfn.SUMIFS(INDEX('Калькуляция (5.9)'!$AJ$25:$BW$139,,MATCH(AH$8,'Калькуляция (5.9)'!$AJ$8:$BW$8,0)),'Калькуляция (5.9)'!$F$25:$F$139,$F57,'Калькуляция (5.9)'!$G$25:$G$139,$G57))</f>
        <v>0</v>
      </c>
      <c r="AI57" s="915">
        <f>IF(AG57=0,0,(AH57-AG57)/AG57*100)</f>
        <v>0</v>
      </c>
      <c r="AJ57" s="76">
        <f>IF(method_reg="Метод сравнения аналогов",_xlfn.SUMIFS(INDEX('Калькуляция (МСА)'!$AE$25:$BW$82,,MATCH(AJ$8,'Калькуляция (МСА)'!$AE$8:$BW$8,0)),'Калькуляция (МСА)'!$F$25:$F$82,$F57,'Калькуляция (МСА)'!$G$25:$G$82,$G57),_xlfn.SUMIFS(INDEX('Калькуляция (5.9)'!$AJ$25:$BW$139,,MATCH(AJ$8,'Калькуляция (5.9)'!$AJ$8:$BW$8,0)),'Калькуляция (5.9)'!$F$25:$F$139,$F57,'Калькуляция (5.9)'!$G$25:$G$139,$G57))</f>
        <v>0</v>
      </c>
      <c r="AK57" s="76">
        <f>IF(method_reg="Метод сравнения аналогов",_xlfn.SUMIFS(INDEX('Калькуляция (МСА)'!$AE$25:$BW$82,,MATCH(AK$8,'Калькуляция (МСА)'!$AE$8:$BW$8,0)),'Калькуляция (МСА)'!$F$25:$F$82,$F57,'Калькуляция (МСА)'!$G$25:$G$82,$G57),_xlfn.SUMIFS(INDEX('Калькуляция (5.9)'!$AJ$25:$BW$139,,MATCH(AK$8,'Калькуляция (5.9)'!$AJ$8:$BW$8,0)),'Калькуляция (5.9)'!$F$25:$F$139,$F57,'Калькуляция (5.9)'!$G$25:$G$139,$G57))</f>
        <v>0</v>
      </c>
      <c r="AL57" s="915">
        <f>IF(AJ57=0,0,(AK57-AJ57)/AJ57*100)</f>
        <v>0</v>
      </c>
      <c r="AM57" s="76">
        <f>IF(method_reg="Метод сравнения аналогов",_xlfn.SUMIFS(INDEX('Калькуляция (МСА)'!$AE$25:$BW$82,,MATCH(AM$8,'Калькуляция (МСА)'!$AE$8:$BW$8,0)),'Калькуляция (МСА)'!$F$25:$F$82,$F57,'Калькуляция (МСА)'!$G$25:$G$82,$G57),_xlfn.SUMIFS(INDEX('Калькуляция (5.9)'!$AJ$25:$BW$139,,MATCH(AM$8,'Калькуляция (5.9)'!$AJ$8:$BW$8,0)),'Калькуляция (5.9)'!$F$25:$F$139,$F57,'Калькуляция (5.9)'!$G$25:$G$139,$G57))</f>
        <v>0</v>
      </c>
      <c r="AN57" s="76">
        <f>IF(method_reg="Метод сравнения аналогов",_xlfn.SUMIFS(INDEX('Калькуляция (МСА)'!$AE$25:$BW$82,,MATCH(AN$8,'Калькуляция (МСА)'!$AE$8:$BW$8,0)),'Калькуляция (МСА)'!$F$25:$F$82,$F57,'Калькуляция (МСА)'!$G$25:$G$82,$G57),_xlfn.SUMIFS(INDEX('Калькуляция (5.9)'!$AJ$25:$BW$139,,MATCH(AN$8,'Калькуляция (5.9)'!$AJ$8:$BW$8,0)),'Калькуляция (5.9)'!$F$25:$F$139,$F57,'Калькуляция (5.9)'!$G$25:$G$139,$G57))</f>
        <v>0</v>
      </c>
      <c r="AO57" s="915">
        <f>IF(AM57=0,0,(AN57-AM57)/AM57*100)</f>
        <v>0</v>
      </c>
      <c r="AP57" s="76">
        <f>IF(method_reg="Метод сравнения аналогов",_xlfn.SUMIFS(INDEX('Калькуляция (МСА)'!$AE$25:$BW$82,,MATCH(AP$8,'Калькуляция (МСА)'!$AE$8:$BW$8,0)),'Калькуляция (МСА)'!$F$25:$F$82,$F57,'Калькуляция (МСА)'!$G$25:$G$82,$G57),_xlfn.SUMIFS(INDEX('Калькуляция (5.9)'!$AJ$25:$BW$139,,MATCH(AP$8,'Калькуляция (5.9)'!$AJ$8:$BW$8,0)),'Калькуляция (5.9)'!$F$25:$F$139,$F57,'Калькуляция (5.9)'!$G$25:$G$139,$G57))</f>
        <v>0</v>
      </c>
      <c r="AQ57" s="76">
        <f>IF(method_reg="Метод сравнения аналогов",_xlfn.SUMIFS(INDEX('Калькуляция (МСА)'!$AE$25:$BW$82,,MATCH(AQ$8,'Калькуляция (МСА)'!$AE$8:$BW$8,0)),'Калькуляция (МСА)'!$F$25:$F$82,$F57,'Калькуляция (МСА)'!$G$25:$G$82,$G57),_xlfn.SUMIFS(INDEX('Калькуляция (5.9)'!$AJ$25:$BW$139,,MATCH(AQ$8,'Калькуляция (5.9)'!$AJ$8:$BW$8,0)),'Калькуляция (5.9)'!$F$25:$F$139,$F57,'Калькуляция (5.9)'!$G$25:$G$139,$G57))</f>
        <v>0</v>
      </c>
      <c r="AR57" s="915">
        <f>IF(AP57=0,0,(AQ57-AP57)/AP57*100)</f>
        <v>0</v>
      </c>
      <c r="AS57" s="76">
        <f>IF(method_reg="Метод сравнения аналогов",_xlfn.SUMIFS(INDEX('Калькуляция (МСА)'!$AE$25:$BW$82,,MATCH(AS$8,'Калькуляция (МСА)'!$AE$8:$BW$8,0)),'Калькуляция (МСА)'!$F$25:$F$82,$F57,'Калькуляция (МСА)'!$G$25:$G$82,$G57),_xlfn.SUMIFS(INDEX('Калькуляция (5.9)'!$AJ$25:$BW$139,,MATCH(AS$8,'Калькуляция (5.9)'!$AJ$8:$BW$8,0)),'Калькуляция (5.9)'!$F$25:$F$139,$F57,'Калькуляция (5.9)'!$G$25:$G$139,$G57))</f>
        <v>0</v>
      </c>
      <c r="AT57" s="76">
        <f>IF(method_reg="Метод сравнения аналогов",_xlfn.SUMIFS(INDEX('Калькуляция (МСА)'!$AE$25:$BW$82,,MATCH(AT$8,'Калькуляция (МСА)'!$AE$8:$BW$8,0)),'Калькуляция (МСА)'!$F$25:$F$82,$F57,'Калькуляция (МСА)'!$G$25:$G$82,$G57),_xlfn.SUMIFS(INDEX('Калькуляция (5.9)'!$AJ$25:$BW$139,,MATCH(AT$8,'Калькуляция (5.9)'!$AJ$8:$BW$8,0)),'Калькуляция (5.9)'!$F$25:$F$139,$F57,'Калькуляция (5.9)'!$G$25:$G$139,$G57))</f>
        <v>0</v>
      </c>
      <c r="AU57" s="915">
        <f>IF(AS57=0,0,(AT57-AS57)/AS57*100)</f>
        <v>0</v>
      </c>
      <c r="AV57" s="76">
        <f>IF(method_reg="Метод сравнения аналогов",_xlfn.SUMIFS(INDEX('Калькуляция (МСА)'!$AE$25:$BW$82,,MATCH(AV$8,'Калькуляция (МСА)'!$AE$8:$BW$8,0)),'Калькуляция (МСА)'!$F$25:$F$82,$F57,'Калькуляция (МСА)'!$G$25:$G$82,$G57),_xlfn.SUMIFS(INDEX('Калькуляция (5.9)'!$AJ$25:$BW$139,,MATCH(AV$8,'Калькуляция (5.9)'!$AJ$8:$BW$8,0)),'Калькуляция (5.9)'!$F$25:$F$139,$F57,'Калькуляция (5.9)'!$G$25:$G$139,$G57))</f>
        <v>0</v>
      </c>
      <c r="AW57" s="76">
        <f>IF(method_reg="Метод сравнения аналогов",_xlfn.SUMIFS(INDEX('Калькуляция (МСА)'!$AE$25:$BW$82,,MATCH(AW$8,'Калькуляция (МСА)'!$AE$8:$BW$8,0)),'Калькуляция (МСА)'!$F$25:$F$82,$F57,'Калькуляция (МСА)'!$G$25:$G$82,$G57),_xlfn.SUMIFS(INDEX('Калькуляция (5.9)'!$AJ$25:$BW$139,,MATCH(AW$8,'Калькуляция (5.9)'!$AJ$8:$BW$8,0)),'Калькуляция (5.9)'!$F$25:$F$139,$F57,'Калькуляция (5.9)'!$G$25:$G$139,$G57))</f>
        <v>0</v>
      </c>
      <c r="AX57" s="915">
        <f>IF(AV57=0,0,(AW57-AV57)/AV57*100)</f>
        <v>0</v>
      </c>
      <c r="AY57" s="76">
        <f>IF(method_reg="Метод сравнения аналогов",_xlfn.SUMIFS(INDEX('Калькуляция (МСА)'!$AE$25:$BW$82,,MATCH(AY$8,'Калькуляция (МСА)'!$AE$8:$BW$8,0)),'Калькуляция (МСА)'!$F$25:$F$82,$F57,'Калькуляция (МСА)'!$G$25:$G$82,$G57),_xlfn.SUMIFS(INDEX('Калькуляция (5.9)'!$AJ$25:$BW$139,,MATCH(AY$8,'Калькуляция (5.9)'!$AJ$8:$BW$8,0)),'Калькуляция (5.9)'!$F$25:$F$139,$F57,'Калькуляция (5.9)'!$G$25:$G$139,$G57))</f>
        <v>0</v>
      </c>
      <c r="AZ57" s="76">
        <f>IF(method_reg="Метод сравнения аналогов",_xlfn.SUMIFS(INDEX('Калькуляция (МСА)'!$AE$25:$BW$82,,MATCH(AZ$8,'Калькуляция (МСА)'!$AE$8:$BW$8,0)),'Калькуляция (МСА)'!$F$25:$F$82,$F57,'Калькуляция (МСА)'!$G$25:$G$82,$G57),_xlfn.SUMIFS(INDEX('Калькуляция (5.9)'!$AJ$25:$BW$139,,MATCH(AZ$8,'Калькуляция (5.9)'!$AJ$8:$BW$8,0)),'Калькуляция (5.9)'!$F$25:$F$139,$F57,'Калькуляция (5.9)'!$G$25:$G$139,$G57))</f>
        <v>0</v>
      </c>
      <c r="BA57" s="915">
        <f>IF(AY57=0,0,(AZ57-AY57)/AY57*100)</f>
        <v>0</v>
      </c>
      <c r="BB57" s="76">
        <f>IF(method_reg="Метод сравнения аналогов",_xlfn.SUMIFS(INDEX('Калькуляция (МСА)'!$AE$25:$BW$82,,MATCH(BB$8,'Калькуляция (МСА)'!$AE$8:$BW$8,0)),'Калькуляция (МСА)'!$F$25:$F$82,$F57,'Калькуляция (МСА)'!$G$25:$G$82,$G57),_xlfn.SUMIFS(INDEX('Калькуляция (5.9)'!$AJ$25:$BW$139,,MATCH(BB$8,'Калькуляция (5.9)'!$AJ$8:$BW$8,0)),'Калькуляция (5.9)'!$F$25:$F$139,$F57,'Калькуляция (5.9)'!$G$25:$G$139,$G57))</f>
        <v>0</v>
      </c>
      <c r="BC57" s="76">
        <f>IF(method_reg="Метод сравнения аналогов",_xlfn.SUMIFS(INDEX('Калькуляция (МСА)'!$AE$25:$BW$82,,MATCH(BC$8,'Калькуляция (МСА)'!$AE$8:$BW$8,0)),'Калькуляция (МСА)'!$F$25:$F$82,$F57,'Калькуляция (МСА)'!$G$25:$G$82,$G57),_xlfn.SUMIFS(INDEX('Калькуляция (5.9)'!$AJ$25:$BW$139,,MATCH(BC$8,'Калькуляция (5.9)'!$AJ$8:$BW$8,0)),'Калькуляция (5.9)'!$F$25:$F$139,$F57,'Калькуляция (5.9)'!$G$25:$G$139,$G57))</f>
        <v>0</v>
      </c>
      <c r="BD57" s="915">
        <f>IF(BB57=0,0,(BC57-BB57)/BB57*100)</f>
        <v>0</v>
      </c>
      <c r="BE57" s="76">
        <f>IF(method_reg="Метод сравнения аналогов",_xlfn.SUMIFS(INDEX('Калькуляция (МСА)'!$AE$25:$BW$82,,MATCH(BE$8,'Калькуляция (МСА)'!$AE$8:$BW$8,0)),'Калькуляция (МСА)'!$F$25:$F$82,$F57,'Калькуляция (МСА)'!$G$25:$G$82,$G57),_xlfn.SUMIFS(INDEX('Калькуляция (5.9)'!$AJ$25:$BW$139,,MATCH(BE$8,'Калькуляция (5.9)'!$AJ$8:$BW$8,0)),'Калькуляция (5.9)'!$F$25:$F$139,$F57,'Калькуляция (5.9)'!$G$25:$G$139,$G57))</f>
        <v>0</v>
      </c>
      <c r="BF57" s="76">
        <f>IF(method_reg="Метод сравнения аналогов",_xlfn.SUMIFS(INDEX('Калькуляция (МСА)'!$AE$25:$BW$82,,MATCH(BF$8,'Калькуляция (МСА)'!$AE$8:$BW$8,0)),'Калькуляция (МСА)'!$F$25:$F$82,$F57,'Калькуляция (МСА)'!$G$25:$G$82,$G57),_xlfn.SUMIFS(INDEX('Калькуляция (5.9)'!$AJ$25:$BW$139,,MATCH(BF$8,'Калькуляция (5.9)'!$AJ$8:$BW$8,0)),'Калькуляция (5.9)'!$F$25:$F$139,$F57,'Калькуляция (5.9)'!$G$25:$G$139,$G57))</f>
        <v>0</v>
      </c>
      <c r="BG57" s="915">
        <f>IF(BE57=0,0,(BF57-BE57)/BE57*100)</f>
        <v>0</v>
      </c>
      <c r="BH57" s="76"/>
      <c r="BI57" s="76"/>
      <c r="BJ57" s="915">
        <f>IF(BH57=0,0,(BI57-BH57)/BH57*100)</f>
        <v>0</v>
      </c>
      <c r="BK57" s="76"/>
      <c r="BL57" s="76"/>
      <c r="BM57" s="915">
        <f>IF(BK57=0,0,(BL57-BK57)/BK57*100)</f>
        <v>0</v>
      </c>
      <c r="BN57" s="76"/>
      <c r="BO57" s="76"/>
      <c r="BP57" s="915">
        <f>IF(BN57=0,0,(BO57-BN57)/BN57*100)</f>
        <v>0</v>
      </c>
      <c r="BQ57" s="76"/>
      <c r="BR57" s="76"/>
      <c r="BS57" s="915">
        <f>IF(BQ57=0,0,(BR57-BQ57)/BQ57*100)</f>
        <v>0</v>
      </c>
      <c r="BT57" s="76"/>
      <c r="BU57" s="76"/>
      <c r="BV57" s="915">
        <f>IF(BT57=0,0,(BU57-BT57)/BT57*100)</f>
        <v>0</v>
      </c>
      <c r="BW57" s="76"/>
      <c r="BX57" s="76"/>
      <c r="BY57" s="915">
        <f>IF(BW57=0,0,(BX57-BW57)/BW57*100)</f>
        <v>0</v>
      </c>
      <c r="BZ57" s="76"/>
      <c r="CA57" s="76"/>
      <c r="CB57" s="915">
        <f>IF(BZ57=0,0,(CA57-BZ57)/BZ57*100)</f>
        <v>0</v>
      </c>
      <c r="CC57" s="76"/>
      <c r="CD57" s="76"/>
      <c r="CE57" s="915">
        <f>IF(CC57=0,0,(CD57-CC57)/CC57*100)</f>
        <v>0</v>
      </c>
      <c r="CF57" s="76"/>
      <c r="CG57" s="76"/>
      <c r="CH57" s="915">
        <f>IF(CF57=0,0,(CG57-CF57)/CF57*100)</f>
        <v>0</v>
      </c>
      <c r="CI57" s="76"/>
      <c r="CJ57" s="76"/>
      <c r="CK57" s="915">
        <f>IF(CI57=0,0,(CJ57-CI57)/CI57*100)</f>
        <v>0</v>
      </c>
      <c r="CL57" s="76"/>
      <c r="CM57" s="76"/>
      <c r="CN57" s="915">
        <f>IF(CL57=0,0,(CM57-CL57)/CL57*100)</f>
        <v>0</v>
      </c>
      <c r="CO57" s="76"/>
      <c r="CP57" s="76"/>
      <c r="CQ57" s="915">
        <f>IF(CO57=0,0,(CP57-CO57)/CO57*100)</f>
        <v>0</v>
      </c>
      <c r="CR57" s="76"/>
      <c r="CS57" s="76"/>
      <c r="CT57" s="915">
        <f>IF(CR57=0,0,(CS57-CR57)/CR57*100)</f>
        <v>0</v>
      </c>
      <c r="CU57" s="76"/>
      <c r="CV57" s="76"/>
      <c r="CW57" s="915">
        <f>IF(CU57=0,0,(CV57-CU57)/CU57*100)</f>
        <v>0</v>
      </c>
      <c r="CX57" s="76"/>
      <c r="CY57" s="76"/>
      <c r="CZ57" s="915">
        <f>IF(CX57=0,0,(CY57-CX57)/CX57*100)</f>
        <v>0</v>
      </c>
      <c r="DA57" s="76"/>
      <c r="DB57" s="76"/>
      <c r="DC57" s="915">
        <f>IF(DA57=0,0,(DB57-DA57)/DA57*100)</f>
        <v>0</v>
      </c>
      <c r="DD57" s="76"/>
      <c r="DE57" s="76"/>
      <c r="DF57" s="915">
        <f>IF(DD57=0,0,(DE57-DD57)/DD57*100)</f>
        <v>0</v>
      </c>
      <c r="DG57" s="76"/>
      <c r="DH57" s="76"/>
      <c r="DI57" s="915">
        <f>IF(DG57=0,0,(DH57-DG57)/DG57*100)</f>
        <v>0</v>
      </c>
      <c r="DJ57" s="76"/>
      <c r="DK57" s="76"/>
      <c r="DL57" s="915">
        <f>IF(DJ57=0,0,(DK57-DJ57)/DJ57*100)</f>
        <v>0</v>
      </c>
      <c r="DM57" s="76"/>
      <c r="DN57" s="76"/>
      <c r="DO57" s="915">
        <f>IF(DM57=0,0,(DN57-DM57)/DM57*100)</f>
        <v>0</v>
      </c>
      <c r="DP57" s="76"/>
      <c r="DQ57" s="76"/>
      <c r="DR57" s="915">
        <f>IF(DP57=0,0,(DQ57-DP57)/DP57*100)</f>
        <v>0</v>
      </c>
      <c r="DS57" s="76"/>
      <c r="DT57" s="76"/>
      <c r="DU57" s="915">
        <f>IF(DS57=0,0,(DT57-DS57)/DS57*100)</f>
        <v>0</v>
      </c>
      <c r="DV57" s="76"/>
      <c r="DW57" s="76"/>
      <c r="DX57" s="915">
        <f>IF(DV57=0,0,(DW57-DV57)/DV57*100)</f>
        <v>0</v>
      </c>
      <c r="DY57" s="76"/>
      <c r="DZ57" s="76"/>
      <c r="EA57" s="915">
        <f>IF(DY57=0,0,(DZ57-DY57)/DY57*100)</f>
        <v>0</v>
      </c>
      <c r="EB57" s="76"/>
      <c r="EC57" s="76"/>
      <c r="ED57" s="915">
        <f>IF(EB57=0,0,(EC57-EB57)/EB57*100)</f>
        <v>0</v>
      </c>
      <c r="EE57" s="76"/>
      <c r="EF57" s="76"/>
      <c r="EG57" s="915">
        <f>IF(EE57=0,0,(EF57-EE57)/EE57*100)</f>
        <v>0</v>
      </c>
      <c r="EH57" s="76"/>
      <c r="EI57" s="76"/>
      <c r="EJ57" s="915">
        <f>IF(EH57=0,0,(EI57-EH57)/EH57*100)</f>
        <v>0</v>
      </c>
      <c r="EK57" s="76"/>
      <c r="EL57" s="76"/>
      <c r="EM57" s="915">
        <f>IF(EK57=0,0,(EL57-EK57)/EK57*100)</f>
        <v>0</v>
      </c>
      <c r="EN57" s="76"/>
      <c r="EO57" s="76"/>
      <c r="EP57" s="915">
        <f>IF(EN57=0,0,(EO57-EN57)/EN57*100)</f>
        <v>0</v>
      </c>
      <c r="EQ57" s="76"/>
      <c r="ER57" s="76"/>
      <c r="ES57" s="915">
        <f>IF(EQ57=0,0,(ER57-EQ57)/EQ57*100)</f>
        <v>0</v>
      </c>
      <c r="ET57" s="76"/>
      <c r="EU57" s="76"/>
      <c r="EV57" s="915">
        <f>IF(ET57=0,0,(EU57-ET57)/ET57*100)</f>
        <v>0</v>
      </c>
      <c r="EW57" s="76"/>
      <c r="EX57" s="76"/>
      <c r="EY57" s="915">
        <f>IF(EW57=0,0,(EX57-EW57)/EW57*100)</f>
        <v>0</v>
      </c>
      <c r="EZ57" s="76"/>
      <c r="FA57" s="76"/>
      <c r="FB57" s="915">
        <f>IF(EZ57=0,0,(FA57-EZ57)/EZ57*100)</f>
        <v>0</v>
      </c>
      <c r="FC57" s="76"/>
      <c r="FD57" s="76"/>
      <c r="FE57" s="915">
        <f>IF(FC57=0,0,(FD57-FC57)/FC57*100)</f>
        <v>0</v>
      </c>
      <c r="FF57" s="76"/>
      <c r="FG57" s="76"/>
      <c r="FH57" s="915">
        <f>IF(FF57=0,0,(FG57-FF57)/FF57*100)</f>
        <v>0</v>
      </c>
      <c r="FI57" s="76"/>
      <c r="FJ57" s="76"/>
      <c r="FK57" s="915">
        <f>IF(FI57=0,0,(FJ57-FI57)/FI57*100)</f>
        <v>0</v>
      </c>
      <c r="FL57" s="76"/>
      <c r="FM57" s="76"/>
      <c r="FN57" s="915">
        <f>IF(FL57=0,0,(FM57-FL57)/FL57*100)</f>
        <v>0</v>
      </c>
      <c r="FO57" s="76"/>
      <c r="FP57" s="76"/>
      <c r="FQ57" s="915">
        <f>IF(FO57=0,0,(FP57-FO57)/FO57*100)</f>
        <v>0</v>
      </c>
      <c r="FR57" s="76"/>
      <c r="FS57" s="76"/>
      <c r="FT57" s="915">
        <f>IF(FR57=0,0,(FS57-FR57)/FR57*100)</f>
        <v>0</v>
      </c>
      <c r="FU57" s="76"/>
      <c r="FV57" s="76"/>
      <c r="FW57" s="915">
        <f>IF(FU57=0,0,(FV57-FU57)/FU57*100)</f>
        <v>0</v>
      </c>
      <c r="FZ57" s="489" t="s">
        <v>2508</v>
      </c>
      <c r="GA57" s="489"/>
      <c r="GB57" s="489"/>
      <c r="GC57" s="489"/>
      <c r="GD57" s="489"/>
      <c r="GF57" s="1501" cm="1" t="str">
        <f t="array" ref="GF57:GF57">GF56</f>
        <v>0</v>
      </c>
      <c r="GG57" s="1501" t="s">
        <v>707</v>
      </c>
      <c r="GH57" s="1501" t="s">
        <v>2452</v>
      </c>
      <c r="GI57" s="1501" t="s">
        <v>797</v>
      </c>
      <c r="GJ57" s="1501"/>
      <c r="GK57" s="1501"/>
      <c r="GL57" s="1501" t="s">
        <v>303</v>
      </c>
      <c r="GM57" s="1501" t="s">
        <v>2118</v>
      </c>
      <c r="GN57" s="1501" t="s">
        <v>2119</v>
      </c>
    </row>
    <row customHeight="1" ht="15.600000000000001" hidden="1">
      <c r="B58" s="192" cm="1" t="str">
        <f t="array" ref="B58:B58">B57</f>
        <v>false</v>
      </c>
      <c r="E58" s="180">
        <v>16</v>
      </c>
      <c r="F58" s="175" cm="1" t="str">
        <f t="array" ref="F58:F58">OFFSET(G58,-1,-1)</f>
        <v>0</v>
      </c>
      <c r="G58" s="193" t="s">
        <v>2088</v>
      </c>
      <c r="I58" s="193" t="s">
        <v>2455</v>
      </c>
      <c r="T58" s="753" cm="1" t="str">
        <f t="array" ref="T58:T58">T57</f>
        <v>false</v>
      </c>
      <c r="AB58" s="560" t="s">
        <v>2496</v>
      </c>
      <c r="AC58" s="380" t="s">
        <v>629</v>
      </c>
      <c r="AD58" s="166">
        <f>IF(method_reg="Метод экономически обоснованных расходов",_xlfn.SUMIFS('Калькуляция (4.6)'!AJ$25:AJ$162,'Калькуляция (4.6)'!$F$25:$F$162,$F58,'Калькуляция (4.6)'!$G$25:$G$162,$G58),IF(method_reg="Метод сравнения аналогов",_xlfn.SUMIFS(INDEX('Калькуляция (МСА)'!$AE$25:$BW$82,,MATCH(AD$8,'Калькуляция (МСА)'!$AE$8:$BW$8,0)),'Калькуляция (МСА)'!$F$25:$F$82,$F58,'Калькуляция (МСА)'!$G$25:$G$82,$G58),_xlfn.SUMIFS(INDEX('Калькуляция (5.9)'!$AJ$25:$BW$139,,MATCH(AD$8,'Калькуляция (5.9)'!$AJ$8:$BW$8,0)),'Калькуляция (5.9)'!$F$25:$F$139,$F58,'Калькуляция (5.9)'!$G$25:$G$139,$G58)))</f>
        <v>0</v>
      </c>
      <c r="AE58" s="166">
        <f>IF(method_reg="Метод экономически обоснованных расходов",_xlfn.SUMIFS('Калькуляция (4.6)'!AK$25:AK$162,'Калькуляция (4.6)'!$F$25:$F$162,$F58,'Калькуляция (4.6)'!$G$25:$G$162,$G58),IF(method_reg="Метод сравнения аналогов",_xlfn.SUMIFS(INDEX('Калькуляция (МСА)'!$AE$25:$BW$82,,MATCH(AE$8,'Калькуляция (МСА)'!$AE$8:$BW$8,0)),'Калькуляция (МСА)'!$F$25:$F$82,$F58,'Калькуляция (МСА)'!$G$25:$G$82,$G58),_xlfn.SUMIFS(INDEX('Калькуляция (5.9)'!$AJ$25:$BW$139,,MATCH(AE$8,'Калькуляция (5.9)'!$AJ$8:$BW$8,0)),'Калькуляция (5.9)'!$F$25:$F$139,$F58,'Калькуляция (5.9)'!$G$25:$G$139,$G58)))</f>
        <v>0</v>
      </c>
      <c r="AF58" s="917">
        <f>IF(AD58=0,0,(AE58-AD58)/AD58*100)</f>
        <v>0</v>
      </c>
      <c r="AG58" s="166">
        <f>IF(method_reg="Метод сравнения аналогов",_xlfn.SUMIFS(INDEX('Калькуляция (МСА)'!$AE$25:$BW$82,,MATCH(AG$8,'Калькуляция (МСА)'!$AE$8:$BW$8,0)),'Калькуляция (МСА)'!$F$25:$F$82,$F58,'Калькуляция (МСА)'!$G$25:$G$82,$G58),_xlfn.SUMIFS(INDEX('Калькуляция (5.9)'!$AJ$25:$BW$139,,MATCH(AG$8,'Калькуляция (5.9)'!$AJ$8:$BW$8,0)),'Калькуляция (5.9)'!$F$25:$F$139,$F58,'Калькуляция (5.9)'!$G$25:$G$139,$G58))</f>
        <v>0</v>
      </c>
      <c r="AH58" s="166">
        <f>IF(method_reg="Метод сравнения аналогов",_xlfn.SUMIFS(INDEX('Калькуляция (МСА)'!$AE$25:$BW$82,,MATCH(AH$8,'Калькуляция (МСА)'!$AE$8:$BW$8,0)),'Калькуляция (МСА)'!$F$25:$F$82,$F58,'Калькуляция (МСА)'!$G$25:$G$82,$G58),_xlfn.SUMIFS(INDEX('Калькуляция (5.9)'!$AJ$25:$BW$139,,MATCH(AH$8,'Калькуляция (5.9)'!$AJ$8:$BW$8,0)),'Калькуляция (5.9)'!$F$25:$F$139,$F58,'Калькуляция (5.9)'!$G$25:$G$139,$G58))</f>
        <v>0</v>
      </c>
      <c r="AI58" s="917">
        <f>IF(AG58=0,0,(AH58-AG58)/AG58*100)</f>
        <v>0</v>
      </c>
      <c r="AJ58" s="166">
        <f>IF(method_reg="Метод сравнения аналогов",_xlfn.SUMIFS(INDEX('Калькуляция (МСА)'!$AE$25:$BW$82,,MATCH(AJ$8,'Калькуляция (МСА)'!$AE$8:$BW$8,0)),'Калькуляция (МСА)'!$F$25:$F$82,$F58,'Калькуляция (МСА)'!$G$25:$G$82,$G58),_xlfn.SUMIFS(INDEX('Калькуляция (5.9)'!$AJ$25:$BW$139,,MATCH(AJ$8,'Калькуляция (5.9)'!$AJ$8:$BW$8,0)),'Калькуляция (5.9)'!$F$25:$F$139,$F58,'Калькуляция (5.9)'!$G$25:$G$139,$G58))</f>
        <v>0</v>
      </c>
      <c r="AK58" s="166">
        <f>IF(method_reg="Метод сравнения аналогов",_xlfn.SUMIFS(INDEX('Калькуляция (МСА)'!$AE$25:$BW$82,,MATCH(AK$8,'Калькуляция (МСА)'!$AE$8:$BW$8,0)),'Калькуляция (МСА)'!$F$25:$F$82,$F58,'Калькуляция (МСА)'!$G$25:$G$82,$G58),_xlfn.SUMIFS(INDEX('Калькуляция (5.9)'!$AJ$25:$BW$139,,MATCH(AK$8,'Калькуляция (5.9)'!$AJ$8:$BW$8,0)),'Калькуляция (5.9)'!$F$25:$F$139,$F58,'Калькуляция (5.9)'!$G$25:$G$139,$G58))</f>
        <v>0</v>
      </c>
      <c r="AL58" s="917">
        <f>IF(AJ58=0,0,(AK58-AJ58)/AJ58*100)</f>
        <v>0</v>
      </c>
      <c r="AM58" s="166">
        <f>IF(method_reg="Метод сравнения аналогов",_xlfn.SUMIFS(INDEX('Калькуляция (МСА)'!$AE$25:$BW$82,,MATCH(AM$8,'Калькуляция (МСА)'!$AE$8:$BW$8,0)),'Калькуляция (МСА)'!$F$25:$F$82,$F58,'Калькуляция (МСА)'!$G$25:$G$82,$G58),_xlfn.SUMIFS(INDEX('Калькуляция (5.9)'!$AJ$25:$BW$139,,MATCH(AM$8,'Калькуляция (5.9)'!$AJ$8:$BW$8,0)),'Калькуляция (5.9)'!$F$25:$F$139,$F58,'Калькуляция (5.9)'!$G$25:$G$139,$G58))</f>
        <v>0</v>
      </c>
      <c r="AN58" s="166">
        <f>IF(method_reg="Метод сравнения аналогов",_xlfn.SUMIFS(INDEX('Калькуляция (МСА)'!$AE$25:$BW$82,,MATCH(AN$8,'Калькуляция (МСА)'!$AE$8:$BW$8,0)),'Калькуляция (МСА)'!$F$25:$F$82,$F58,'Калькуляция (МСА)'!$G$25:$G$82,$G58),_xlfn.SUMIFS(INDEX('Калькуляция (5.9)'!$AJ$25:$BW$139,,MATCH(AN$8,'Калькуляция (5.9)'!$AJ$8:$BW$8,0)),'Калькуляция (5.9)'!$F$25:$F$139,$F58,'Калькуляция (5.9)'!$G$25:$G$139,$G58))</f>
        <v>0</v>
      </c>
      <c r="AO58" s="917">
        <f>IF(AM58=0,0,(AN58-AM58)/AM58*100)</f>
        <v>0</v>
      </c>
      <c r="AP58" s="166">
        <f>IF(method_reg="Метод сравнения аналогов",_xlfn.SUMIFS(INDEX('Калькуляция (МСА)'!$AE$25:$BW$82,,MATCH(AP$8,'Калькуляция (МСА)'!$AE$8:$BW$8,0)),'Калькуляция (МСА)'!$F$25:$F$82,$F58,'Калькуляция (МСА)'!$G$25:$G$82,$G58),_xlfn.SUMIFS(INDEX('Калькуляция (5.9)'!$AJ$25:$BW$139,,MATCH(AP$8,'Калькуляция (5.9)'!$AJ$8:$BW$8,0)),'Калькуляция (5.9)'!$F$25:$F$139,$F58,'Калькуляция (5.9)'!$G$25:$G$139,$G58))</f>
        <v>0</v>
      </c>
      <c r="AQ58" s="166">
        <f>IF(method_reg="Метод сравнения аналогов",_xlfn.SUMIFS(INDEX('Калькуляция (МСА)'!$AE$25:$BW$82,,MATCH(AQ$8,'Калькуляция (МСА)'!$AE$8:$BW$8,0)),'Калькуляция (МСА)'!$F$25:$F$82,$F58,'Калькуляция (МСА)'!$G$25:$G$82,$G58),_xlfn.SUMIFS(INDEX('Калькуляция (5.9)'!$AJ$25:$BW$139,,MATCH(AQ$8,'Калькуляция (5.9)'!$AJ$8:$BW$8,0)),'Калькуляция (5.9)'!$F$25:$F$139,$F58,'Калькуляция (5.9)'!$G$25:$G$139,$G58))</f>
        <v>0</v>
      </c>
      <c r="AR58" s="917">
        <f>IF(AP58=0,0,(AQ58-AP58)/AP58*100)</f>
        <v>0</v>
      </c>
      <c r="AS58" s="166">
        <f>IF(method_reg="Метод сравнения аналогов",_xlfn.SUMIFS(INDEX('Калькуляция (МСА)'!$AE$25:$BW$82,,MATCH(AS$8,'Калькуляция (МСА)'!$AE$8:$BW$8,0)),'Калькуляция (МСА)'!$F$25:$F$82,$F58,'Калькуляция (МСА)'!$G$25:$G$82,$G58),_xlfn.SUMIFS(INDEX('Калькуляция (5.9)'!$AJ$25:$BW$139,,MATCH(AS$8,'Калькуляция (5.9)'!$AJ$8:$BW$8,0)),'Калькуляция (5.9)'!$F$25:$F$139,$F58,'Калькуляция (5.9)'!$G$25:$G$139,$G58))</f>
        <v>0</v>
      </c>
      <c r="AT58" s="166">
        <f>IF(method_reg="Метод сравнения аналогов",_xlfn.SUMIFS(INDEX('Калькуляция (МСА)'!$AE$25:$BW$82,,MATCH(AT$8,'Калькуляция (МСА)'!$AE$8:$BW$8,0)),'Калькуляция (МСА)'!$F$25:$F$82,$F58,'Калькуляция (МСА)'!$G$25:$G$82,$G58),_xlfn.SUMIFS(INDEX('Калькуляция (5.9)'!$AJ$25:$BW$139,,MATCH(AT$8,'Калькуляция (5.9)'!$AJ$8:$BW$8,0)),'Калькуляция (5.9)'!$F$25:$F$139,$F58,'Калькуляция (5.9)'!$G$25:$G$139,$G58))</f>
        <v>0</v>
      </c>
      <c r="AU58" s="917">
        <f>IF(AS58=0,0,(AT58-AS58)/AS58*100)</f>
        <v>0</v>
      </c>
      <c r="AV58" s="166">
        <f>IF(method_reg="Метод сравнения аналогов",_xlfn.SUMIFS(INDEX('Калькуляция (МСА)'!$AE$25:$BW$82,,MATCH(AV$8,'Калькуляция (МСА)'!$AE$8:$BW$8,0)),'Калькуляция (МСА)'!$F$25:$F$82,$F58,'Калькуляция (МСА)'!$G$25:$G$82,$G58),_xlfn.SUMIFS(INDEX('Калькуляция (5.9)'!$AJ$25:$BW$139,,MATCH(AV$8,'Калькуляция (5.9)'!$AJ$8:$BW$8,0)),'Калькуляция (5.9)'!$F$25:$F$139,$F58,'Калькуляция (5.9)'!$G$25:$G$139,$G58))</f>
        <v>0</v>
      </c>
      <c r="AW58" s="166">
        <f>IF(method_reg="Метод сравнения аналогов",_xlfn.SUMIFS(INDEX('Калькуляция (МСА)'!$AE$25:$BW$82,,MATCH(AW$8,'Калькуляция (МСА)'!$AE$8:$BW$8,0)),'Калькуляция (МСА)'!$F$25:$F$82,$F58,'Калькуляция (МСА)'!$G$25:$G$82,$G58),_xlfn.SUMIFS(INDEX('Калькуляция (5.9)'!$AJ$25:$BW$139,,MATCH(AW$8,'Калькуляция (5.9)'!$AJ$8:$BW$8,0)),'Калькуляция (5.9)'!$F$25:$F$139,$F58,'Калькуляция (5.9)'!$G$25:$G$139,$G58))</f>
        <v>0</v>
      </c>
      <c r="AX58" s="917">
        <f>IF(AV58=0,0,(AW58-AV58)/AV58*100)</f>
        <v>0</v>
      </c>
      <c r="AY58" s="166">
        <f>IF(method_reg="Метод сравнения аналогов",_xlfn.SUMIFS(INDEX('Калькуляция (МСА)'!$AE$25:$BW$82,,MATCH(AY$8,'Калькуляция (МСА)'!$AE$8:$BW$8,0)),'Калькуляция (МСА)'!$F$25:$F$82,$F58,'Калькуляция (МСА)'!$G$25:$G$82,$G58),_xlfn.SUMIFS(INDEX('Калькуляция (5.9)'!$AJ$25:$BW$139,,MATCH(AY$8,'Калькуляция (5.9)'!$AJ$8:$BW$8,0)),'Калькуляция (5.9)'!$F$25:$F$139,$F58,'Калькуляция (5.9)'!$G$25:$G$139,$G58))</f>
        <v>0</v>
      </c>
      <c r="AZ58" s="166">
        <f>IF(method_reg="Метод сравнения аналогов",_xlfn.SUMIFS(INDEX('Калькуляция (МСА)'!$AE$25:$BW$82,,MATCH(AZ$8,'Калькуляция (МСА)'!$AE$8:$BW$8,0)),'Калькуляция (МСА)'!$F$25:$F$82,$F58,'Калькуляция (МСА)'!$G$25:$G$82,$G58),_xlfn.SUMIFS(INDEX('Калькуляция (5.9)'!$AJ$25:$BW$139,,MATCH(AZ$8,'Калькуляция (5.9)'!$AJ$8:$BW$8,0)),'Калькуляция (5.9)'!$F$25:$F$139,$F58,'Калькуляция (5.9)'!$G$25:$G$139,$G58))</f>
        <v>0</v>
      </c>
      <c r="BA58" s="917">
        <f>IF(AY58=0,0,(AZ58-AY58)/AY58*100)</f>
        <v>0</v>
      </c>
      <c r="BB58" s="166">
        <f>IF(method_reg="Метод сравнения аналогов",_xlfn.SUMIFS(INDEX('Калькуляция (МСА)'!$AE$25:$BW$82,,MATCH(BB$8,'Калькуляция (МСА)'!$AE$8:$BW$8,0)),'Калькуляция (МСА)'!$F$25:$F$82,$F58,'Калькуляция (МСА)'!$G$25:$G$82,$G58),_xlfn.SUMIFS(INDEX('Калькуляция (5.9)'!$AJ$25:$BW$139,,MATCH(BB$8,'Калькуляция (5.9)'!$AJ$8:$BW$8,0)),'Калькуляция (5.9)'!$F$25:$F$139,$F58,'Калькуляция (5.9)'!$G$25:$G$139,$G58))</f>
        <v>0</v>
      </c>
      <c r="BC58" s="166">
        <f>IF(method_reg="Метод сравнения аналогов",_xlfn.SUMIFS(INDEX('Калькуляция (МСА)'!$AE$25:$BW$82,,MATCH(BC$8,'Калькуляция (МСА)'!$AE$8:$BW$8,0)),'Калькуляция (МСА)'!$F$25:$F$82,$F58,'Калькуляция (МСА)'!$G$25:$G$82,$G58),_xlfn.SUMIFS(INDEX('Калькуляция (5.9)'!$AJ$25:$BW$139,,MATCH(BC$8,'Калькуляция (5.9)'!$AJ$8:$BW$8,0)),'Калькуляция (5.9)'!$F$25:$F$139,$F58,'Калькуляция (5.9)'!$G$25:$G$139,$G58))</f>
        <v>0</v>
      </c>
      <c r="BD58" s="917">
        <f>IF(BB58=0,0,(BC58-BB58)/BB58*100)</f>
        <v>0</v>
      </c>
      <c r="BE58" s="166">
        <f>IF(method_reg="Метод сравнения аналогов",_xlfn.SUMIFS(INDEX('Калькуляция (МСА)'!$AE$25:$BW$82,,MATCH(BE$8,'Калькуляция (МСА)'!$AE$8:$BW$8,0)),'Калькуляция (МСА)'!$F$25:$F$82,$F58,'Калькуляция (МСА)'!$G$25:$G$82,$G58),_xlfn.SUMIFS(INDEX('Калькуляция (5.9)'!$AJ$25:$BW$139,,MATCH(BE$8,'Калькуляция (5.9)'!$AJ$8:$BW$8,0)),'Калькуляция (5.9)'!$F$25:$F$139,$F58,'Калькуляция (5.9)'!$G$25:$G$139,$G58))</f>
        <v>0</v>
      </c>
      <c r="BF58" s="166">
        <f>IF(method_reg="Метод сравнения аналогов",_xlfn.SUMIFS(INDEX('Калькуляция (МСА)'!$AE$25:$BW$82,,MATCH(BF$8,'Калькуляция (МСА)'!$AE$8:$BW$8,0)),'Калькуляция (МСА)'!$F$25:$F$82,$F58,'Калькуляция (МСА)'!$G$25:$G$82,$G58),_xlfn.SUMIFS(INDEX('Калькуляция (5.9)'!$AJ$25:$BW$139,,MATCH(BF$8,'Калькуляция (5.9)'!$AJ$8:$BW$8,0)),'Калькуляция (5.9)'!$F$25:$F$139,$F58,'Калькуляция (5.9)'!$G$25:$G$139,$G58))</f>
        <v>0</v>
      </c>
      <c r="BG58" s="917">
        <f>IF(BE58=0,0,(BF58-BE58)/BE58*100)</f>
        <v>0</v>
      </c>
      <c r="BH58" s="166"/>
      <c r="BI58" s="166"/>
      <c r="BJ58" s="917">
        <f>IF(BH58=0,0,(BI58-BH58)/BH58*100)</f>
        <v>0</v>
      </c>
      <c r="BK58" s="166"/>
      <c r="BL58" s="166"/>
      <c r="BM58" s="917">
        <f>IF(BK58=0,0,(BL58-BK58)/BK58*100)</f>
        <v>0</v>
      </c>
      <c r="BN58" s="166"/>
      <c r="BO58" s="166"/>
      <c r="BP58" s="917">
        <f>IF(BN58=0,0,(BO58-BN58)/BN58*100)</f>
        <v>0</v>
      </c>
      <c r="BQ58" s="166"/>
      <c r="BR58" s="166"/>
      <c r="BS58" s="917">
        <f>IF(BQ58=0,0,(BR58-BQ58)/BQ58*100)</f>
        <v>0</v>
      </c>
      <c r="BT58" s="166"/>
      <c r="BU58" s="166"/>
      <c r="BV58" s="917">
        <f>IF(BT58=0,0,(BU58-BT58)/BT58*100)</f>
        <v>0</v>
      </c>
      <c r="BW58" s="166"/>
      <c r="BX58" s="166"/>
      <c r="BY58" s="917">
        <f>IF(BW58=0,0,(BX58-BW58)/BW58*100)</f>
        <v>0</v>
      </c>
      <c r="BZ58" s="166"/>
      <c r="CA58" s="166"/>
      <c r="CB58" s="917">
        <f>IF(BZ58=0,0,(CA58-BZ58)/BZ58*100)</f>
        <v>0</v>
      </c>
      <c r="CC58" s="166"/>
      <c r="CD58" s="166"/>
      <c r="CE58" s="917">
        <f>IF(CC58=0,0,(CD58-CC58)/CC58*100)</f>
        <v>0</v>
      </c>
      <c r="CF58" s="166"/>
      <c r="CG58" s="166"/>
      <c r="CH58" s="917">
        <f>IF(CF58=0,0,(CG58-CF58)/CF58*100)</f>
        <v>0</v>
      </c>
      <c r="CI58" s="166"/>
      <c r="CJ58" s="166"/>
      <c r="CK58" s="917">
        <f>IF(CI58=0,0,(CJ58-CI58)/CI58*100)</f>
        <v>0</v>
      </c>
      <c r="CL58" s="166"/>
      <c r="CM58" s="166"/>
      <c r="CN58" s="917">
        <f>IF(CL58=0,0,(CM58-CL58)/CL58*100)</f>
        <v>0</v>
      </c>
      <c r="CO58" s="166"/>
      <c r="CP58" s="166"/>
      <c r="CQ58" s="917">
        <f>IF(CO58=0,0,(CP58-CO58)/CO58*100)</f>
        <v>0</v>
      </c>
      <c r="CR58" s="166"/>
      <c r="CS58" s="166"/>
      <c r="CT58" s="917">
        <f>IF(CR58=0,0,(CS58-CR58)/CR58*100)</f>
        <v>0</v>
      </c>
      <c r="CU58" s="166"/>
      <c r="CV58" s="166"/>
      <c r="CW58" s="917">
        <f>IF(CU58=0,0,(CV58-CU58)/CU58*100)</f>
        <v>0</v>
      </c>
      <c r="CX58" s="166"/>
      <c r="CY58" s="166"/>
      <c r="CZ58" s="917">
        <f>IF(CX58=0,0,(CY58-CX58)/CX58*100)</f>
        <v>0</v>
      </c>
      <c r="DA58" s="166"/>
      <c r="DB58" s="166"/>
      <c r="DC58" s="917">
        <f>IF(DA58=0,0,(DB58-DA58)/DA58*100)</f>
        <v>0</v>
      </c>
      <c r="DD58" s="166"/>
      <c r="DE58" s="166"/>
      <c r="DF58" s="917">
        <f>IF(DD58=0,0,(DE58-DD58)/DD58*100)</f>
        <v>0</v>
      </c>
      <c r="DG58" s="166"/>
      <c r="DH58" s="166"/>
      <c r="DI58" s="917">
        <f>IF(DG58=0,0,(DH58-DG58)/DG58*100)</f>
        <v>0</v>
      </c>
      <c r="DJ58" s="166"/>
      <c r="DK58" s="166"/>
      <c r="DL58" s="917">
        <f>IF(DJ58=0,0,(DK58-DJ58)/DJ58*100)</f>
        <v>0</v>
      </c>
      <c r="DM58" s="166"/>
      <c r="DN58" s="166"/>
      <c r="DO58" s="917">
        <f>IF(DM58=0,0,(DN58-DM58)/DM58*100)</f>
        <v>0</v>
      </c>
      <c r="DP58" s="166"/>
      <c r="DQ58" s="166"/>
      <c r="DR58" s="917">
        <f>IF(DP58=0,0,(DQ58-DP58)/DP58*100)</f>
        <v>0</v>
      </c>
      <c r="DS58" s="166"/>
      <c r="DT58" s="166"/>
      <c r="DU58" s="917">
        <f>IF(DS58=0,0,(DT58-DS58)/DS58*100)</f>
        <v>0</v>
      </c>
      <c r="DV58" s="166"/>
      <c r="DW58" s="166"/>
      <c r="DX58" s="917">
        <f>IF(DV58=0,0,(DW58-DV58)/DV58*100)</f>
        <v>0</v>
      </c>
      <c r="DY58" s="166"/>
      <c r="DZ58" s="166"/>
      <c r="EA58" s="917">
        <f>IF(DY58=0,0,(DZ58-DY58)/DY58*100)</f>
        <v>0</v>
      </c>
      <c r="EB58" s="166"/>
      <c r="EC58" s="166"/>
      <c r="ED58" s="917">
        <f>IF(EB58=0,0,(EC58-EB58)/EB58*100)</f>
        <v>0</v>
      </c>
      <c r="EE58" s="166"/>
      <c r="EF58" s="166"/>
      <c r="EG58" s="917">
        <f>IF(EE58=0,0,(EF58-EE58)/EE58*100)</f>
        <v>0</v>
      </c>
      <c r="EH58" s="166"/>
      <c r="EI58" s="166"/>
      <c r="EJ58" s="917">
        <f>IF(EH58=0,0,(EI58-EH58)/EH58*100)</f>
        <v>0</v>
      </c>
      <c r="EK58" s="166"/>
      <c r="EL58" s="166"/>
      <c r="EM58" s="917">
        <f>IF(EK58=0,0,(EL58-EK58)/EK58*100)</f>
        <v>0</v>
      </c>
      <c r="EN58" s="166"/>
      <c r="EO58" s="166"/>
      <c r="EP58" s="917">
        <f>IF(EN58=0,0,(EO58-EN58)/EN58*100)</f>
        <v>0</v>
      </c>
      <c r="EQ58" s="166"/>
      <c r="ER58" s="166"/>
      <c r="ES58" s="917">
        <f>IF(EQ58=0,0,(ER58-EQ58)/EQ58*100)</f>
        <v>0</v>
      </c>
      <c r="ET58" s="166"/>
      <c r="EU58" s="166"/>
      <c r="EV58" s="917">
        <f>IF(ET58=0,0,(EU58-ET58)/ET58*100)</f>
        <v>0</v>
      </c>
      <c r="EW58" s="166"/>
      <c r="EX58" s="166"/>
      <c r="EY58" s="917">
        <f>IF(EW58=0,0,(EX58-EW58)/EW58*100)</f>
        <v>0</v>
      </c>
      <c r="EZ58" s="166"/>
      <c r="FA58" s="166"/>
      <c r="FB58" s="917">
        <f>IF(EZ58=0,0,(FA58-EZ58)/EZ58*100)</f>
        <v>0</v>
      </c>
      <c r="FC58" s="166"/>
      <c r="FD58" s="166"/>
      <c r="FE58" s="917">
        <f>IF(FC58=0,0,(FD58-FC58)/FC58*100)</f>
        <v>0</v>
      </c>
      <c r="FF58" s="166"/>
      <c r="FG58" s="166"/>
      <c r="FH58" s="917">
        <f>IF(FF58=0,0,(FG58-FF58)/FF58*100)</f>
        <v>0</v>
      </c>
      <c r="FI58" s="166"/>
      <c r="FJ58" s="166"/>
      <c r="FK58" s="917">
        <f>IF(FI58=0,0,(FJ58-FI58)/FI58*100)</f>
        <v>0</v>
      </c>
      <c r="FL58" s="166"/>
      <c r="FM58" s="166"/>
      <c r="FN58" s="917">
        <f>IF(FL58=0,0,(FM58-FL58)/FL58*100)</f>
        <v>0</v>
      </c>
      <c r="FO58" s="166"/>
      <c r="FP58" s="166"/>
      <c r="FQ58" s="917">
        <f>IF(FO58=0,0,(FP58-FO58)/FO58*100)</f>
        <v>0</v>
      </c>
      <c r="FR58" s="166"/>
      <c r="FS58" s="166"/>
      <c r="FT58" s="917">
        <f>IF(FR58=0,0,(FS58-FR58)/FR58*100)</f>
        <v>0</v>
      </c>
      <c r="FU58" s="166"/>
      <c r="FV58" s="166"/>
      <c r="FW58" s="917">
        <f>IF(FU58=0,0,(FV58-FU58)/FU58*100)</f>
        <v>0</v>
      </c>
      <c r="FZ58" s="489" t="s">
        <v>2509</v>
      </c>
      <c r="GA58" s="489"/>
      <c r="GB58" s="489"/>
      <c r="GC58" s="489"/>
      <c r="GD58" s="489"/>
      <c r="GF58" s="1501" cm="1" t="str">
        <f t="array" ref="GF58:GF58">GF57</f>
        <v>0</v>
      </c>
      <c r="GG58" s="1501" t="s">
        <v>707</v>
      </c>
      <c r="GH58" s="1501" t="s">
        <v>2452</v>
      </c>
      <c r="GI58" s="1501" t="s">
        <v>797</v>
      </c>
      <c r="GJ58" s="1501"/>
      <c r="GK58" s="1501"/>
      <c r="GL58" s="1501" t="s">
        <v>303</v>
      </c>
      <c r="GM58" s="1501" t="s">
        <v>2079</v>
      </c>
      <c r="GN58" s="1501" t="s">
        <v>2080</v>
      </c>
    </row>
    <row customHeight="1" ht="31.200000000000003" hidden="1">
      <c r="B59" s="192" cm="1" t="str">
        <f t="array" ref="B59:B59">B58</f>
        <v>false</v>
      </c>
      <c r="E59" s="180">
        <v>32</v>
      </c>
      <c r="F59" s="175" cm="1" t="str">
        <f t="array" ref="F59:F59">OFFSET(G59,-1,-1)</f>
        <v>0</v>
      </c>
      <c r="G59" s="193" t="s">
        <v>2135</v>
      </c>
      <c r="I59" s="193" t="s">
        <v>2455</v>
      </c>
      <c r="T59" s="753" cm="1" t="str">
        <f t="array" ref="T59:T59">T58</f>
        <v>false</v>
      </c>
      <c r="AB59" s="560" t="s">
        <v>2498</v>
      </c>
      <c r="AC59" s="333" t="s">
        <v>2131</v>
      </c>
      <c r="AD59" s="76">
        <f>IF(method_reg="Метод экономически обоснованных расходов",_xlfn.SUMIFS('Калькуляция (4.6)'!AJ$25:AJ$162,'Калькуляция (4.6)'!$F$25:$F$162,$F59,'Калькуляция (4.6)'!$G$25:$G$162,$G59),IF(method_reg="Метод сравнения аналогов",_xlfn.SUMIFS(INDEX('Калькуляция (МСА)'!$AE$25:$BW$82,,MATCH(AD$8,'Калькуляция (МСА)'!$AE$8:$BW$8,0)),'Калькуляция (МСА)'!$F$25:$F$82,$F59,'Калькуляция (МСА)'!$G$25:$G$82,$G59),_xlfn.SUMIFS(INDEX('Калькуляция (5.9)'!$AJ$25:$BW$139,,MATCH(AD$8,'Калькуляция (5.9)'!$AJ$8:$BW$8,0)),'Калькуляция (5.9)'!$F$25:$F$139,$F59,'Калькуляция (5.9)'!$G$25:$G$139,$G59)))</f>
        <v>0</v>
      </c>
      <c r="AE59" s="76">
        <f>IF(method_reg="Метод экономически обоснованных расходов",_xlfn.SUMIFS('Калькуляция (4.6)'!AK$25:AK$162,'Калькуляция (4.6)'!$F$25:$F$162,$F59,'Калькуляция (4.6)'!$G$25:$G$162,$G59),IF(method_reg="Метод сравнения аналогов",_xlfn.SUMIFS(INDEX('Калькуляция (МСА)'!$AE$25:$BW$82,,MATCH(AE$8,'Калькуляция (МСА)'!$AE$8:$BW$8,0)),'Калькуляция (МСА)'!$F$25:$F$82,$F59,'Калькуляция (МСА)'!$G$25:$G$82,$G59),_xlfn.SUMIFS(INDEX('Калькуляция (5.9)'!$AJ$25:$BW$139,,MATCH(AE$8,'Калькуляция (5.9)'!$AJ$8:$BW$8,0)),'Калькуляция (5.9)'!$F$25:$F$139,$F59,'Калькуляция (5.9)'!$G$25:$G$139,$G59)))</f>
        <v>0</v>
      </c>
      <c r="AF59" s="915">
        <f>IF(AD59=0,0,(AE59-AD59)/AD59*100)</f>
        <v>0</v>
      </c>
      <c r="AG59" s="76">
        <f>IF(method_reg="Метод сравнения аналогов",_xlfn.SUMIFS(INDEX('Калькуляция (МСА)'!$AE$25:$BW$82,,MATCH(AG$8,'Калькуляция (МСА)'!$AE$8:$BW$8,0)),'Калькуляция (МСА)'!$F$25:$F$82,$F59,'Калькуляция (МСА)'!$G$25:$G$82,$G59),_xlfn.SUMIFS(INDEX('Калькуляция (5.9)'!$AJ$25:$BW$139,,MATCH(AG$8,'Калькуляция (5.9)'!$AJ$8:$BW$8,0)),'Калькуляция (5.9)'!$F$25:$F$139,$F59,'Калькуляция (5.9)'!$G$25:$G$139,$G59))</f>
        <v>0</v>
      </c>
      <c r="AH59" s="76">
        <f>IF(method_reg="Метод сравнения аналогов",_xlfn.SUMIFS(INDEX('Калькуляция (МСА)'!$AE$25:$BW$82,,MATCH(AH$8,'Калькуляция (МСА)'!$AE$8:$BW$8,0)),'Калькуляция (МСА)'!$F$25:$F$82,$F59,'Калькуляция (МСА)'!$G$25:$G$82,$G59),_xlfn.SUMIFS(INDEX('Калькуляция (5.9)'!$AJ$25:$BW$139,,MATCH(AH$8,'Калькуляция (5.9)'!$AJ$8:$BW$8,0)),'Калькуляция (5.9)'!$F$25:$F$139,$F59,'Калькуляция (5.9)'!$G$25:$G$139,$G59))</f>
        <v>0</v>
      </c>
      <c r="AI59" s="915">
        <f>IF(AG59=0,0,(AH59-AG59)/AG59*100)</f>
        <v>0</v>
      </c>
      <c r="AJ59" s="76">
        <f>IF(method_reg="Метод сравнения аналогов",_xlfn.SUMIFS(INDEX('Калькуляция (МСА)'!$AE$25:$BW$82,,MATCH(AJ$8,'Калькуляция (МСА)'!$AE$8:$BW$8,0)),'Калькуляция (МСА)'!$F$25:$F$82,$F59,'Калькуляция (МСА)'!$G$25:$G$82,$G59),_xlfn.SUMIFS(INDEX('Калькуляция (5.9)'!$AJ$25:$BW$139,,MATCH(AJ$8,'Калькуляция (5.9)'!$AJ$8:$BW$8,0)),'Калькуляция (5.9)'!$F$25:$F$139,$F59,'Калькуляция (5.9)'!$G$25:$G$139,$G59))</f>
        <v>0</v>
      </c>
      <c r="AK59" s="76">
        <f>IF(method_reg="Метод сравнения аналогов",_xlfn.SUMIFS(INDEX('Калькуляция (МСА)'!$AE$25:$BW$82,,MATCH(AK$8,'Калькуляция (МСА)'!$AE$8:$BW$8,0)),'Калькуляция (МСА)'!$F$25:$F$82,$F59,'Калькуляция (МСА)'!$G$25:$G$82,$G59),_xlfn.SUMIFS(INDEX('Калькуляция (5.9)'!$AJ$25:$BW$139,,MATCH(AK$8,'Калькуляция (5.9)'!$AJ$8:$BW$8,0)),'Калькуляция (5.9)'!$F$25:$F$139,$F59,'Калькуляция (5.9)'!$G$25:$G$139,$G59))</f>
        <v>0</v>
      </c>
      <c r="AL59" s="915">
        <f>IF(AJ59=0,0,(AK59-AJ59)/AJ59*100)</f>
        <v>0</v>
      </c>
      <c r="AM59" s="76">
        <f>IF(method_reg="Метод сравнения аналогов",_xlfn.SUMIFS(INDEX('Калькуляция (МСА)'!$AE$25:$BW$82,,MATCH(AM$8,'Калькуляция (МСА)'!$AE$8:$BW$8,0)),'Калькуляция (МСА)'!$F$25:$F$82,$F59,'Калькуляция (МСА)'!$G$25:$G$82,$G59),_xlfn.SUMIFS(INDEX('Калькуляция (5.9)'!$AJ$25:$BW$139,,MATCH(AM$8,'Калькуляция (5.9)'!$AJ$8:$BW$8,0)),'Калькуляция (5.9)'!$F$25:$F$139,$F59,'Калькуляция (5.9)'!$G$25:$G$139,$G59))</f>
        <v>0</v>
      </c>
      <c r="AN59" s="76">
        <f>IF(method_reg="Метод сравнения аналогов",_xlfn.SUMIFS(INDEX('Калькуляция (МСА)'!$AE$25:$BW$82,,MATCH(AN$8,'Калькуляция (МСА)'!$AE$8:$BW$8,0)),'Калькуляция (МСА)'!$F$25:$F$82,$F59,'Калькуляция (МСА)'!$G$25:$G$82,$G59),_xlfn.SUMIFS(INDEX('Калькуляция (5.9)'!$AJ$25:$BW$139,,MATCH(AN$8,'Калькуляция (5.9)'!$AJ$8:$BW$8,0)),'Калькуляция (5.9)'!$F$25:$F$139,$F59,'Калькуляция (5.9)'!$G$25:$G$139,$G59))</f>
        <v>0</v>
      </c>
      <c r="AO59" s="915">
        <f>IF(AM59=0,0,(AN59-AM59)/AM59*100)</f>
        <v>0</v>
      </c>
      <c r="AP59" s="76">
        <f>IF(method_reg="Метод сравнения аналогов",_xlfn.SUMIFS(INDEX('Калькуляция (МСА)'!$AE$25:$BW$82,,MATCH(AP$8,'Калькуляция (МСА)'!$AE$8:$BW$8,0)),'Калькуляция (МСА)'!$F$25:$F$82,$F59,'Калькуляция (МСА)'!$G$25:$G$82,$G59),_xlfn.SUMIFS(INDEX('Калькуляция (5.9)'!$AJ$25:$BW$139,,MATCH(AP$8,'Калькуляция (5.9)'!$AJ$8:$BW$8,0)),'Калькуляция (5.9)'!$F$25:$F$139,$F59,'Калькуляция (5.9)'!$G$25:$G$139,$G59))</f>
        <v>0</v>
      </c>
      <c r="AQ59" s="76">
        <f>IF(method_reg="Метод сравнения аналогов",_xlfn.SUMIFS(INDEX('Калькуляция (МСА)'!$AE$25:$BW$82,,MATCH(AQ$8,'Калькуляция (МСА)'!$AE$8:$BW$8,0)),'Калькуляция (МСА)'!$F$25:$F$82,$F59,'Калькуляция (МСА)'!$G$25:$G$82,$G59),_xlfn.SUMIFS(INDEX('Калькуляция (5.9)'!$AJ$25:$BW$139,,MATCH(AQ$8,'Калькуляция (5.9)'!$AJ$8:$BW$8,0)),'Калькуляция (5.9)'!$F$25:$F$139,$F59,'Калькуляция (5.9)'!$G$25:$G$139,$G59))</f>
        <v>0</v>
      </c>
      <c r="AR59" s="915">
        <f>IF(AP59=0,0,(AQ59-AP59)/AP59*100)</f>
        <v>0</v>
      </c>
      <c r="AS59" s="76">
        <f>IF(method_reg="Метод сравнения аналогов",_xlfn.SUMIFS(INDEX('Калькуляция (МСА)'!$AE$25:$BW$82,,MATCH(AS$8,'Калькуляция (МСА)'!$AE$8:$BW$8,0)),'Калькуляция (МСА)'!$F$25:$F$82,$F59,'Калькуляция (МСА)'!$G$25:$G$82,$G59),_xlfn.SUMIFS(INDEX('Калькуляция (5.9)'!$AJ$25:$BW$139,,MATCH(AS$8,'Калькуляция (5.9)'!$AJ$8:$BW$8,0)),'Калькуляция (5.9)'!$F$25:$F$139,$F59,'Калькуляция (5.9)'!$G$25:$G$139,$G59))</f>
        <v>0</v>
      </c>
      <c r="AT59" s="76">
        <f>IF(method_reg="Метод сравнения аналогов",_xlfn.SUMIFS(INDEX('Калькуляция (МСА)'!$AE$25:$BW$82,,MATCH(AT$8,'Калькуляция (МСА)'!$AE$8:$BW$8,0)),'Калькуляция (МСА)'!$F$25:$F$82,$F59,'Калькуляция (МСА)'!$G$25:$G$82,$G59),_xlfn.SUMIFS(INDEX('Калькуляция (5.9)'!$AJ$25:$BW$139,,MATCH(AT$8,'Калькуляция (5.9)'!$AJ$8:$BW$8,0)),'Калькуляция (5.9)'!$F$25:$F$139,$F59,'Калькуляция (5.9)'!$G$25:$G$139,$G59))</f>
        <v>0</v>
      </c>
      <c r="AU59" s="915">
        <f>IF(AS59=0,0,(AT59-AS59)/AS59*100)</f>
        <v>0</v>
      </c>
      <c r="AV59" s="76">
        <f>IF(method_reg="Метод сравнения аналогов",_xlfn.SUMIFS(INDEX('Калькуляция (МСА)'!$AE$25:$BW$82,,MATCH(AV$8,'Калькуляция (МСА)'!$AE$8:$BW$8,0)),'Калькуляция (МСА)'!$F$25:$F$82,$F59,'Калькуляция (МСА)'!$G$25:$G$82,$G59),_xlfn.SUMIFS(INDEX('Калькуляция (5.9)'!$AJ$25:$BW$139,,MATCH(AV$8,'Калькуляция (5.9)'!$AJ$8:$BW$8,0)),'Калькуляция (5.9)'!$F$25:$F$139,$F59,'Калькуляция (5.9)'!$G$25:$G$139,$G59))</f>
        <v>0</v>
      </c>
      <c r="AW59" s="76">
        <f>IF(method_reg="Метод сравнения аналогов",_xlfn.SUMIFS(INDEX('Калькуляция (МСА)'!$AE$25:$BW$82,,MATCH(AW$8,'Калькуляция (МСА)'!$AE$8:$BW$8,0)),'Калькуляция (МСА)'!$F$25:$F$82,$F59,'Калькуляция (МСА)'!$G$25:$G$82,$G59),_xlfn.SUMIFS(INDEX('Калькуляция (5.9)'!$AJ$25:$BW$139,,MATCH(AW$8,'Калькуляция (5.9)'!$AJ$8:$BW$8,0)),'Калькуляция (5.9)'!$F$25:$F$139,$F59,'Калькуляция (5.9)'!$G$25:$G$139,$G59))</f>
        <v>0</v>
      </c>
      <c r="AX59" s="915">
        <f>IF(AV59=0,0,(AW59-AV59)/AV59*100)</f>
        <v>0</v>
      </c>
      <c r="AY59" s="76">
        <f>IF(method_reg="Метод сравнения аналогов",_xlfn.SUMIFS(INDEX('Калькуляция (МСА)'!$AE$25:$BW$82,,MATCH(AY$8,'Калькуляция (МСА)'!$AE$8:$BW$8,0)),'Калькуляция (МСА)'!$F$25:$F$82,$F59,'Калькуляция (МСА)'!$G$25:$G$82,$G59),_xlfn.SUMIFS(INDEX('Калькуляция (5.9)'!$AJ$25:$BW$139,,MATCH(AY$8,'Калькуляция (5.9)'!$AJ$8:$BW$8,0)),'Калькуляция (5.9)'!$F$25:$F$139,$F59,'Калькуляция (5.9)'!$G$25:$G$139,$G59))</f>
        <v>0</v>
      </c>
      <c r="AZ59" s="76">
        <f>IF(method_reg="Метод сравнения аналогов",_xlfn.SUMIFS(INDEX('Калькуляция (МСА)'!$AE$25:$BW$82,,MATCH(AZ$8,'Калькуляция (МСА)'!$AE$8:$BW$8,0)),'Калькуляция (МСА)'!$F$25:$F$82,$F59,'Калькуляция (МСА)'!$G$25:$G$82,$G59),_xlfn.SUMIFS(INDEX('Калькуляция (5.9)'!$AJ$25:$BW$139,,MATCH(AZ$8,'Калькуляция (5.9)'!$AJ$8:$BW$8,0)),'Калькуляция (5.9)'!$F$25:$F$139,$F59,'Калькуляция (5.9)'!$G$25:$G$139,$G59))</f>
        <v>0</v>
      </c>
      <c r="BA59" s="915">
        <f>IF(AY59=0,0,(AZ59-AY59)/AY59*100)</f>
        <v>0</v>
      </c>
      <c r="BB59" s="76">
        <f>IF(method_reg="Метод сравнения аналогов",_xlfn.SUMIFS(INDEX('Калькуляция (МСА)'!$AE$25:$BW$82,,MATCH(BB$8,'Калькуляция (МСА)'!$AE$8:$BW$8,0)),'Калькуляция (МСА)'!$F$25:$F$82,$F59,'Калькуляция (МСА)'!$G$25:$G$82,$G59),_xlfn.SUMIFS(INDEX('Калькуляция (5.9)'!$AJ$25:$BW$139,,MATCH(BB$8,'Калькуляция (5.9)'!$AJ$8:$BW$8,0)),'Калькуляция (5.9)'!$F$25:$F$139,$F59,'Калькуляция (5.9)'!$G$25:$G$139,$G59))</f>
        <v>0</v>
      </c>
      <c r="BC59" s="76">
        <f>IF(method_reg="Метод сравнения аналогов",_xlfn.SUMIFS(INDEX('Калькуляция (МСА)'!$AE$25:$BW$82,,MATCH(BC$8,'Калькуляция (МСА)'!$AE$8:$BW$8,0)),'Калькуляция (МСА)'!$F$25:$F$82,$F59,'Калькуляция (МСА)'!$G$25:$G$82,$G59),_xlfn.SUMIFS(INDEX('Калькуляция (5.9)'!$AJ$25:$BW$139,,MATCH(BC$8,'Калькуляция (5.9)'!$AJ$8:$BW$8,0)),'Калькуляция (5.9)'!$F$25:$F$139,$F59,'Калькуляция (5.9)'!$G$25:$G$139,$G59))</f>
        <v>0</v>
      </c>
      <c r="BD59" s="915">
        <f>IF(BB59=0,0,(BC59-BB59)/BB59*100)</f>
        <v>0</v>
      </c>
      <c r="BE59" s="76">
        <f>IF(method_reg="Метод сравнения аналогов",_xlfn.SUMIFS(INDEX('Калькуляция (МСА)'!$AE$25:$BW$82,,MATCH(BE$8,'Калькуляция (МСА)'!$AE$8:$BW$8,0)),'Калькуляция (МСА)'!$F$25:$F$82,$F59,'Калькуляция (МСА)'!$G$25:$G$82,$G59),_xlfn.SUMIFS(INDEX('Калькуляция (5.9)'!$AJ$25:$BW$139,,MATCH(BE$8,'Калькуляция (5.9)'!$AJ$8:$BW$8,0)),'Калькуляция (5.9)'!$F$25:$F$139,$F59,'Калькуляция (5.9)'!$G$25:$G$139,$G59))</f>
        <v>0</v>
      </c>
      <c r="BF59" s="76">
        <f>IF(method_reg="Метод сравнения аналогов",_xlfn.SUMIFS(INDEX('Калькуляция (МСА)'!$AE$25:$BW$82,,MATCH(BF$8,'Калькуляция (МСА)'!$AE$8:$BW$8,0)),'Калькуляция (МСА)'!$F$25:$F$82,$F59,'Калькуляция (МСА)'!$G$25:$G$82,$G59),_xlfn.SUMIFS(INDEX('Калькуляция (5.9)'!$AJ$25:$BW$139,,MATCH(BF$8,'Калькуляция (5.9)'!$AJ$8:$BW$8,0)),'Калькуляция (5.9)'!$F$25:$F$139,$F59,'Калькуляция (5.9)'!$G$25:$G$139,$G59))</f>
        <v>0</v>
      </c>
      <c r="BG59" s="915">
        <f>IF(BE59=0,0,(BF59-BE59)/BE59*100)</f>
        <v>0</v>
      </c>
      <c r="BH59" s="76"/>
      <c r="BI59" s="76"/>
      <c r="BJ59" s="915">
        <f>IF(BH59=0,0,(BI59-BH59)/BH59*100)</f>
        <v>0</v>
      </c>
      <c r="BK59" s="76"/>
      <c r="BL59" s="76"/>
      <c r="BM59" s="915">
        <f>IF(BK59=0,0,(BL59-BK59)/BK59*100)</f>
        <v>0</v>
      </c>
      <c r="BN59" s="76"/>
      <c r="BO59" s="76"/>
      <c r="BP59" s="915">
        <f>IF(BN59=0,0,(BO59-BN59)/BN59*100)</f>
        <v>0</v>
      </c>
      <c r="BQ59" s="76"/>
      <c r="BR59" s="76"/>
      <c r="BS59" s="915">
        <f>IF(BQ59=0,0,(BR59-BQ59)/BQ59*100)</f>
        <v>0</v>
      </c>
      <c r="BT59" s="76"/>
      <c r="BU59" s="76"/>
      <c r="BV59" s="915">
        <f>IF(BT59=0,0,(BU59-BT59)/BT59*100)</f>
        <v>0</v>
      </c>
      <c r="BW59" s="76"/>
      <c r="BX59" s="76"/>
      <c r="BY59" s="915">
        <f>IF(BW59=0,0,(BX59-BW59)/BW59*100)</f>
        <v>0</v>
      </c>
      <c r="BZ59" s="76"/>
      <c r="CA59" s="76"/>
      <c r="CB59" s="915">
        <f>IF(BZ59=0,0,(CA59-BZ59)/BZ59*100)</f>
        <v>0</v>
      </c>
      <c r="CC59" s="76"/>
      <c r="CD59" s="76"/>
      <c r="CE59" s="915">
        <f>IF(CC59=0,0,(CD59-CC59)/CC59*100)</f>
        <v>0</v>
      </c>
      <c r="CF59" s="76"/>
      <c r="CG59" s="76"/>
      <c r="CH59" s="915">
        <f>IF(CF59=0,0,(CG59-CF59)/CF59*100)</f>
        <v>0</v>
      </c>
      <c r="CI59" s="76"/>
      <c r="CJ59" s="76"/>
      <c r="CK59" s="915">
        <f>IF(CI59=0,0,(CJ59-CI59)/CI59*100)</f>
        <v>0</v>
      </c>
      <c r="CL59" s="76"/>
      <c r="CM59" s="76"/>
      <c r="CN59" s="915">
        <f>IF(CL59=0,0,(CM59-CL59)/CL59*100)</f>
        <v>0</v>
      </c>
      <c r="CO59" s="76"/>
      <c r="CP59" s="76"/>
      <c r="CQ59" s="915">
        <f>IF(CO59=0,0,(CP59-CO59)/CO59*100)</f>
        <v>0</v>
      </c>
      <c r="CR59" s="76"/>
      <c r="CS59" s="76"/>
      <c r="CT59" s="915">
        <f>IF(CR59=0,0,(CS59-CR59)/CR59*100)</f>
        <v>0</v>
      </c>
      <c r="CU59" s="76"/>
      <c r="CV59" s="76"/>
      <c r="CW59" s="915">
        <f>IF(CU59=0,0,(CV59-CU59)/CU59*100)</f>
        <v>0</v>
      </c>
      <c r="CX59" s="76"/>
      <c r="CY59" s="76"/>
      <c r="CZ59" s="915">
        <f>IF(CX59=0,0,(CY59-CX59)/CX59*100)</f>
        <v>0</v>
      </c>
      <c r="DA59" s="76"/>
      <c r="DB59" s="76"/>
      <c r="DC59" s="915">
        <f>IF(DA59=0,0,(DB59-DA59)/DA59*100)</f>
        <v>0</v>
      </c>
      <c r="DD59" s="76"/>
      <c r="DE59" s="76"/>
      <c r="DF59" s="915">
        <f>IF(DD59=0,0,(DE59-DD59)/DD59*100)</f>
        <v>0</v>
      </c>
      <c r="DG59" s="76"/>
      <c r="DH59" s="76"/>
      <c r="DI59" s="915">
        <f>IF(DG59=0,0,(DH59-DG59)/DG59*100)</f>
        <v>0</v>
      </c>
      <c r="DJ59" s="76"/>
      <c r="DK59" s="76"/>
      <c r="DL59" s="915">
        <f>IF(DJ59=0,0,(DK59-DJ59)/DJ59*100)</f>
        <v>0</v>
      </c>
      <c r="DM59" s="76"/>
      <c r="DN59" s="76"/>
      <c r="DO59" s="915">
        <f>IF(DM59=0,0,(DN59-DM59)/DM59*100)</f>
        <v>0</v>
      </c>
      <c r="DP59" s="76"/>
      <c r="DQ59" s="76"/>
      <c r="DR59" s="915">
        <f>IF(DP59=0,0,(DQ59-DP59)/DP59*100)</f>
        <v>0</v>
      </c>
      <c r="DS59" s="76"/>
      <c r="DT59" s="76"/>
      <c r="DU59" s="915">
        <f>IF(DS59=0,0,(DT59-DS59)/DS59*100)</f>
        <v>0</v>
      </c>
      <c r="DV59" s="76"/>
      <c r="DW59" s="76"/>
      <c r="DX59" s="915">
        <f>IF(DV59=0,0,(DW59-DV59)/DV59*100)</f>
        <v>0</v>
      </c>
      <c r="DY59" s="76"/>
      <c r="DZ59" s="76"/>
      <c r="EA59" s="915">
        <f>IF(DY59=0,0,(DZ59-DY59)/DY59*100)</f>
        <v>0</v>
      </c>
      <c r="EB59" s="76"/>
      <c r="EC59" s="76"/>
      <c r="ED59" s="915">
        <f>IF(EB59=0,0,(EC59-EB59)/EB59*100)</f>
        <v>0</v>
      </c>
      <c r="EE59" s="76"/>
      <c r="EF59" s="76"/>
      <c r="EG59" s="915">
        <f>IF(EE59=0,0,(EF59-EE59)/EE59*100)</f>
        <v>0</v>
      </c>
      <c r="EH59" s="76"/>
      <c r="EI59" s="76"/>
      <c r="EJ59" s="915">
        <f>IF(EH59=0,0,(EI59-EH59)/EH59*100)</f>
        <v>0</v>
      </c>
      <c r="EK59" s="76"/>
      <c r="EL59" s="76"/>
      <c r="EM59" s="915">
        <f>IF(EK59=0,0,(EL59-EK59)/EK59*100)</f>
        <v>0</v>
      </c>
      <c r="EN59" s="76"/>
      <c r="EO59" s="76"/>
      <c r="EP59" s="915">
        <f>IF(EN59=0,0,(EO59-EN59)/EN59*100)</f>
        <v>0</v>
      </c>
      <c r="EQ59" s="76"/>
      <c r="ER59" s="76"/>
      <c r="ES59" s="915">
        <f>IF(EQ59=0,0,(ER59-EQ59)/EQ59*100)</f>
        <v>0</v>
      </c>
      <c r="ET59" s="76"/>
      <c r="EU59" s="76"/>
      <c r="EV59" s="915">
        <f>IF(ET59=0,0,(EU59-ET59)/ET59*100)</f>
        <v>0</v>
      </c>
      <c r="EW59" s="76"/>
      <c r="EX59" s="76"/>
      <c r="EY59" s="915">
        <f>IF(EW59=0,0,(EX59-EW59)/EW59*100)</f>
        <v>0</v>
      </c>
      <c r="EZ59" s="76"/>
      <c r="FA59" s="76"/>
      <c r="FB59" s="915">
        <f>IF(EZ59=0,0,(FA59-EZ59)/EZ59*100)</f>
        <v>0</v>
      </c>
      <c r="FC59" s="76"/>
      <c r="FD59" s="76"/>
      <c r="FE59" s="915">
        <f>IF(FC59=0,0,(FD59-FC59)/FC59*100)</f>
        <v>0</v>
      </c>
      <c r="FF59" s="76"/>
      <c r="FG59" s="76"/>
      <c r="FH59" s="915">
        <f>IF(FF59=0,0,(FG59-FF59)/FF59*100)</f>
        <v>0</v>
      </c>
      <c r="FI59" s="76"/>
      <c r="FJ59" s="76"/>
      <c r="FK59" s="915">
        <f>IF(FI59=0,0,(FJ59-FI59)/FI59*100)</f>
        <v>0</v>
      </c>
      <c r="FL59" s="76"/>
      <c r="FM59" s="76"/>
      <c r="FN59" s="915">
        <f>IF(FL59=0,0,(FM59-FL59)/FL59*100)</f>
        <v>0</v>
      </c>
      <c r="FO59" s="76"/>
      <c r="FP59" s="76"/>
      <c r="FQ59" s="915">
        <f>IF(FO59=0,0,(FP59-FO59)/FO59*100)</f>
        <v>0</v>
      </c>
      <c r="FR59" s="76"/>
      <c r="FS59" s="76"/>
      <c r="FT59" s="915">
        <f>IF(FR59=0,0,(FS59-FR59)/FR59*100)</f>
        <v>0</v>
      </c>
      <c r="FU59" s="76"/>
      <c r="FV59" s="76"/>
      <c r="FW59" s="915">
        <f>IF(FU59=0,0,(FV59-FU59)/FU59*100)</f>
        <v>0</v>
      </c>
      <c r="FZ59" s="489" t="s">
        <v>2510</v>
      </c>
      <c r="GA59" s="489"/>
      <c r="GB59" s="489"/>
      <c r="GC59" s="489"/>
      <c r="GD59" s="489"/>
      <c r="GF59" s="1501" cm="1" t="str">
        <f t="array" ref="GF59:GF59">GF58</f>
        <v>0</v>
      </c>
      <c r="GG59" s="1501" t="s">
        <v>707</v>
      </c>
      <c r="GH59" s="1501" t="s">
        <v>2452</v>
      </c>
      <c r="GI59" s="1501" t="s">
        <v>797</v>
      </c>
      <c r="GJ59" s="1501"/>
      <c r="GK59" s="1501"/>
      <c r="GL59" s="1501" t="s">
        <v>303</v>
      </c>
      <c r="GM59" s="1501" t="s">
        <v>2500</v>
      </c>
      <c r="GN59" s="1501" t="s">
        <v>2501</v>
      </c>
    </row>
    <row customHeight="1" ht="15.600000000000001" hidden="1">
      <c r="B60" s="192" cm="1" t="str">
        <f t="array" ref="B60:B60">B59</f>
        <v>false</v>
      </c>
      <c r="E60" s="180">
        <v>16</v>
      </c>
      <c r="F60" s="175" cm="1" t="str">
        <f t="array" ref="F60:F60">OFFSET(G60,-1,-1)</f>
        <v>0</v>
      </c>
      <c r="G60" s="193" t="s">
        <v>2109</v>
      </c>
      <c r="I60" s="193" t="s">
        <v>2455</v>
      </c>
      <c r="T60" s="753" cm="1" t="str">
        <f t="array" ref="T60:T60">T59</f>
        <v>false</v>
      </c>
      <c r="AB60" s="560" t="s">
        <v>2502</v>
      </c>
      <c r="AC60" s="845" t="s">
        <v>752</v>
      </c>
      <c r="AD60" s="76">
        <f>IF(method_reg="Метод экономически обоснованных расходов",_xlfn.SUMIFS('Калькуляция (4.6)'!AJ$25:AJ$162,'Калькуляция (4.6)'!$F$25:$F$162,$F60,'Калькуляция (4.6)'!$G$25:$G$162,$G60),IF(method_reg="Метод сравнения аналогов",_xlfn.SUMIFS(INDEX('Калькуляция (МСА)'!$AE$25:$BW$82,,MATCH(AD$8,'Калькуляция (МСА)'!$AE$8:$BW$8,0)),'Калькуляция (МСА)'!$F$25:$F$82,$F60,'Калькуляция (МСА)'!$G$25:$G$82,$G60),_xlfn.SUMIFS(INDEX('Калькуляция (5.9)'!$AJ$25:$BW$139,,MATCH(AD$8,'Калькуляция (5.9)'!$AJ$8:$BW$8,0)),'Калькуляция (5.9)'!$F$25:$F$139,$F60,'Калькуляция (5.9)'!$G$25:$G$139,$G60)))</f>
        <v>0</v>
      </c>
      <c r="AE60" s="76">
        <f>IF(method_reg="Метод экономически обоснованных расходов",_xlfn.SUMIFS('Калькуляция (4.6)'!AK$25:AK$162,'Калькуляция (4.6)'!$F$25:$F$162,$F60,'Калькуляция (4.6)'!$G$25:$G$162,$G60),IF(method_reg="Метод сравнения аналогов",_xlfn.SUMIFS(INDEX('Калькуляция (МСА)'!$AE$25:$BW$82,,MATCH(AE$8,'Калькуляция (МСА)'!$AE$8:$BW$8,0)),'Калькуляция (МСА)'!$F$25:$F$82,$F60,'Калькуляция (МСА)'!$G$25:$G$82,$G60),_xlfn.SUMIFS(INDEX('Калькуляция (5.9)'!$AJ$25:$BW$139,,MATCH(AE$8,'Калькуляция (5.9)'!$AJ$8:$BW$8,0)),'Калькуляция (5.9)'!$F$25:$F$139,$F60,'Калькуляция (5.9)'!$G$25:$G$139,$G60)))</f>
        <v>0</v>
      </c>
      <c r="AF60" s="915">
        <f>IF(AD60=0,0,(AE60-AD60)/AD60*100)</f>
        <v>0</v>
      </c>
      <c r="AG60" s="76">
        <f>IF(method_reg="Метод сравнения аналогов",_xlfn.SUMIFS(INDEX('Калькуляция (МСА)'!$AE$25:$BW$82,,MATCH(AG$8,'Калькуляция (МСА)'!$AE$8:$BW$8,0)),'Калькуляция (МСА)'!$F$25:$F$82,$F60,'Калькуляция (МСА)'!$G$25:$G$82,$G60),_xlfn.SUMIFS(INDEX('Калькуляция (5.9)'!$AJ$25:$BW$139,,MATCH(AG$8,'Калькуляция (5.9)'!$AJ$8:$BW$8,0)),'Калькуляция (5.9)'!$F$25:$F$139,$F60,'Калькуляция (5.9)'!$G$25:$G$139,$G60))</f>
        <v>0</v>
      </c>
      <c r="AH60" s="76">
        <f>IF(method_reg="Метод сравнения аналогов",_xlfn.SUMIFS(INDEX('Калькуляция (МСА)'!$AE$25:$BW$82,,MATCH(AH$8,'Калькуляция (МСА)'!$AE$8:$BW$8,0)),'Калькуляция (МСА)'!$F$25:$F$82,$F60,'Калькуляция (МСА)'!$G$25:$G$82,$G60),_xlfn.SUMIFS(INDEX('Калькуляция (5.9)'!$AJ$25:$BW$139,,MATCH(AH$8,'Калькуляция (5.9)'!$AJ$8:$BW$8,0)),'Калькуляция (5.9)'!$F$25:$F$139,$F60,'Калькуляция (5.9)'!$G$25:$G$139,$G60))</f>
        <v>0</v>
      </c>
      <c r="AI60" s="915">
        <f>IF(AG60=0,0,(AH60-AG60)/AG60*100)</f>
        <v>0</v>
      </c>
      <c r="AJ60" s="76">
        <f>IF(method_reg="Метод сравнения аналогов",_xlfn.SUMIFS(INDEX('Калькуляция (МСА)'!$AE$25:$BW$82,,MATCH(AJ$8,'Калькуляция (МСА)'!$AE$8:$BW$8,0)),'Калькуляция (МСА)'!$F$25:$F$82,$F60,'Калькуляция (МСА)'!$G$25:$G$82,$G60),_xlfn.SUMIFS(INDEX('Калькуляция (5.9)'!$AJ$25:$BW$139,,MATCH(AJ$8,'Калькуляция (5.9)'!$AJ$8:$BW$8,0)),'Калькуляция (5.9)'!$F$25:$F$139,$F60,'Калькуляция (5.9)'!$G$25:$G$139,$G60))</f>
        <v>0</v>
      </c>
      <c r="AK60" s="76">
        <f>IF(method_reg="Метод сравнения аналогов",_xlfn.SUMIFS(INDEX('Калькуляция (МСА)'!$AE$25:$BW$82,,MATCH(AK$8,'Калькуляция (МСА)'!$AE$8:$BW$8,0)),'Калькуляция (МСА)'!$F$25:$F$82,$F60,'Калькуляция (МСА)'!$G$25:$G$82,$G60),_xlfn.SUMIFS(INDEX('Калькуляция (5.9)'!$AJ$25:$BW$139,,MATCH(AK$8,'Калькуляция (5.9)'!$AJ$8:$BW$8,0)),'Калькуляция (5.9)'!$F$25:$F$139,$F60,'Калькуляция (5.9)'!$G$25:$G$139,$G60))</f>
        <v>0</v>
      </c>
      <c r="AL60" s="915">
        <f>IF(AJ60=0,0,(AK60-AJ60)/AJ60*100)</f>
        <v>0</v>
      </c>
      <c r="AM60" s="76">
        <f>IF(method_reg="Метод сравнения аналогов",_xlfn.SUMIFS(INDEX('Калькуляция (МСА)'!$AE$25:$BW$82,,MATCH(AM$8,'Калькуляция (МСА)'!$AE$8:$BW$8,0)),'Калькуляция (МСА)'!$F$25:$F$82,$F60,'Калькуляция (МСА)'!$G$25:$G$82,$G60),_xlfn.SUMIFS(INDEX('Калькуляция (5.9)'!$AJ$25:$BW$139,,MATCH(AM$8,'Калькуляция (5.9)'!$AJ$8:$BW$8,0)),'Калькуляция (5.9)'!$F$25:$F$139,$F60,'Калькуляция (5.9)'!$G$25:$G$139,$G60))</f>
        <v>0</v>
      </c>
      <c r="AN60" s="76">
        <f>IF(method_reg="Метод сравнения аналогов",_xlfn.SUMIFS(INDEX('Калькуляция (МСА)'!$AE$25:$BW$82,,MATCH(AN$8,'Калькуляция (МСА)'!$AE$8:$BW$8,0)),'Калькуляция (МСА)'!$F$25:$F$82,$F60,'Калькуляция (МСА)'!$G$25:$G$82,$G60),_xlfn.SUMIFS(INDEX('Калькуляция (5.9)'!$AJ$25:$BW$139,,MATCH(AN$8,'Калькуляция (5.9)'!$AJ$8:$BW$8,0)),'Калькуляция (5.9)'!$F$25:$F$139,$F60,'Калькуляция (5.9)'!$G$25:$G$139,$G60))</f>
        <v>0</v>
      </c>
      <c r="AO60" s="915">
        <f>IF(AM60=0,0,(AN60-AM60)/AM60*100)</f>
        <v>0</v>
      </c>
      <c r="AP60" s="76">
        <f>IF(method_reg="Метод сравнения аналогов",_xlfn.SUMIFS(INDEX('Калькуляция (МСА)'!$AE$25:$BW$82,,MATCH(AP$8,'Калькуляция (МСА)'!$AE$8:$BW$8,0)),'Калькуляция (МСА)'!$F$25:$F$82,$F60,'Калькуляция (МСА)'!$G$25:$G$82,$G60),_xlfn.SUMIFS(INDEX('Калькуляция (5.9)'!$AJ$25:$BW$139,,MATCH(AP$8,'Калькуляция (5.9)'!$AJ$8:$BW$8,0)),'Калькуляция (5.9)'!$F$25:$F$139,$F60,'Калькуляция (5.9)'!$G$25:$G$139,$G60))</f>
        <v>0</v>
      </c>
      <c r="AQ60" s="76">
        <f>IF(method_reg="Метод сравнения аналогов",_xlfn.SUMIFS(INDEX('Калькуляция (МСА)'!$AE$25:$BW$82,,MATCH(AQ$8,'Калькуляция (МСА)'!$AE$8:$BW$8,0)),'Калькуляция (МСА)'!$F$25:$F$82,$F60,'Калькуляция (МСА)'!$G$25:$G$82,$G60),_xlfn.SUMIFS(INDEX('Калькуляция (5.9)'!$AJ$25:$BW$139,,MATCH(AQ$8,'Калькуляция (5.9)'!$AJ$8:$BW$8,0)),'Калькуляция (5.9)'!$F$25:$F$139,$F60,'Калькуляция (5.9)'!$G$25:$G$139,$G60))</f>
        <v>0</v>
      </c>
      <c r="AR60" s="915">
        <f>IF(AP60=0,0,(AQ60-AP60)/AP60*100)</f>
        <v>0</v>
      </c>
      <c r="AS60" s="76">
        <f>IF(method_reg="Метод сравнения аналогов",_xlfn.SUMIFS(INDEX('Калькуляция (МСА)'!$AE$25:$BW$82,,MATCH(AS$8,'Калькуляция (МСА)'!$AE$8:$BW$8,0)),'Калькуляция (МСА)'!$F$25:$F$82,$F60,'Калькуляция (МСА)'!$G$25:$G$82,$G60),_xlfn.SUMIFS(INDEX('Калькуляция (5.9)'!$AJ$25:$BW$139,,MATCH(AS$8,'Калькуляция (5.9)'!$AJ$8:$BW$8,0)),'Калькуляция (5.9)'!$F$25:$F$139,$F60,'Калькуляция (5.9)'!$G$25:$G$139,$G60))</f>
        <v>0</v>
      </c>
      <c r="AT60" s="76">
        <f>IF(method_reg="Метод сравнения аналогов",_xlfn.SUMIFS(INDEX('Калькуляция (МСА)'!$AE$25:$BW$82,,MATCH(AT$8,'Калькуляция (МСА)'!$AE$8:$BW$8,0)),'Калькуляция (МСА)'!$F$25:$F$82,$F60,'Калькуляция (МСА)'!$G$25:$G$82,$G60),_xlfn.SUMIFS(INDEX('Калькуляция (5.9)'!$AJ$25:$BW$139,,MATCH(AT$8,'Калькуляция (5.9)'!$AJ$8:$BW$8,0)),'Калькуляция (5.9)'!$F$25:$F$139,$F60,'Калькуляция (5.9)'!$G$25:$G$139,$G60))</f>
        <v>0</v>
      </c>
      <c r="AU60" s="915">
        <f>IF(AS60=0,0,(AT60-AS60)/AS60*100)</f>
        <v>0</v>
      </c>
      <c r="AV60" s="76">
        <f>IF(method_reg="Метод сравнения аналогов",_xlfn.SUMIFS(INDEX('Калькуляция (МСА)'!$AE$25:$BW$82,,MATCH(AV$8,'Калькуляция (МСА)'!$AE$8:$BW$8,0)),'Калькуляция (МСА)'!$F$25:$F$82,$F60,'Калькуляция (МСА)'!$G$25:$G$82,$G60),_xlfn.SUMIFS(INDEX('Калькуляция (5.9)'!$AJ$25:$BW$139,,MATCH(AV$8,'Калькуляция (5.9)'!$AJ$8:$BW$8,0)),'Калькуляция (5.9)'!$F$25:$F$139,$F60,'Калькуляция (5.9)'!$G$25:$G$139,$G60))</f>
        <v>0</v>
      </c>
      <c r="AW60" s="76">
        <f>IF(method_reg="Метод сравнения аналогов",_xlfn.SUMIFS(INDEX('Калькуляция (МСА)'!$AE$25:$BW$82,,MATCH(AW$8,'Калькуляция (МСА)'!$AE$8:$BW$8,0)),'Калькуляция (МСА)'!$F$25:$F$82,$F60,'Калькуляция (МСА)'!$G$25:$G$82,$G60),_xlfn.SUMIFS(INDEX('Калькуляция (5.9)'!$AJ$25:$BW$139,,MATCH(AW$8,'Калькуляция (5.9)'!$AJ$8:$BW$8,0)),'Калькуляция (5.9)'!$F$25:$F$139,$F60,'Калькуляция (5.9)'!$G$25:$G$139,$G60))</f>
        <v>0</v>
      </c>
      <c r="AX60" s="915">
        <f>IF(AV60=0,0,(AW60-AV60)/AV60*100)</f>
        <v>0</v>
      </c>
      <c r="AY60" s="76">
        <f>IF(method_reg="Метод сравнения аналогов",_xlfn.SUMIFS(INDEX('Калькуляция (МСА)'!$AE$25:$BW$82,,MATCH(AY$8,'Калькуляция (МСА)'!$AE$8:$BW$8,0)),'Калькуляция (МСА)'!$F$25:$F$82,$F60,'Калькуляция (МСА)'!$G$25:$G$82,$G60),_xlfn.SUMIFS(INDEX('Калькуляция (5.9)'!$AJ$25:$BW$139,,MATCH(AY$8,'Калькуляция (5.9)'!$AJ$8:$BW$8,0)),'Калькуляция (5.9)'!$F$25:$F$139,$F60,'Калькуляция (5.9)'!$G$25:$G$139,$G60))</f>
        <v>0</v>
      </c>
      <c r="AZ60" s="76">
        <f>IF(method_reg="Метод сравнения аналогов",_xlfn.SUMIFS(INDEX('Калькуляция (МСА)'!$AE$25:$BW$82,,MATCH(AZ$8,'Калькуляция (МСА)'!$AE$8:$BW$8,0)),'Калькуляция (МСА)'!$F$25:$F$82,$F60,'Калькуляция (МСА)'!$G$25:$G$82,$G60),_xlfn.SUMIFS(INDEX('Калькуляция (5.9)'!$AJ$25:$BW$139,,MATCH(AZ$8,'Калькуляция (5.9)'!$AJ$8:$BW$8,0)),'Калькуляция (5.9)'!$F$25:$F$139,$F60,'Калькуляция (5.9)'!$G$25:$G$139,$G60))</f>
        <v>0</v>
      </c>
      <c r="BA60" s="915">
        <f>IF(AY60=0,0,(AZ60-AY60)/AY60*100)</f>
        <v>0</v>
      </c>
      <c r="BB60" s="76">
        <f>IF(method_reg="Метод сравнения аналогов",_xlfn.SUMIFS(INDEX('Калькуляция (МСА)'!$AE$25:$BW$82,,MATCH(BB$8,'Калькуляция (МСА)'!$AE$8:$BW$8,0)),'Калькуляция (МСА)'!$F$25:$F$82,$F60,'Калькуляция (МСА)'!$G$25:$G$82,$G60),_xlfn.SUMIFS(INDEX('Калькуляция (5.9)'!$AJ$25:$BW$139,,MATCH(BB$8,'Калькуляция (5.9)'!$AJ$8:$BW$8,0)),'Калькуляция (5.9)'!$F$25:$F$139,$F60,'Калькуляция (5.9)'!$G$25:$G$139,$G60))</f>
        <v>0</v>
      </c>
      <c r="BC60" s="76">
        <f>IF(method_reg="Метод сравнения аналогов",_xlfn.SUMIFS(INDEX('Калькуляция (МСА)'!$AE$25:$BW$82,,MATCH(BC$8,'Калькуляция (МСА)'!$AE$8:$BW$8,0)),'Калькуляция (МСА)'!$F$25:$F$82,$F60,'Калькуляция (МСА)'!$G$25:$G$82,$G60),_xlfn.SUMIFS(INDEX('Калькуляция (5.9)'!$AJ$25:$BW$139,,MATCH(BC$8,'Калькуляция (5.9)'!$AJ$8:$BW$8,0)),'Калькуляция (5.9)'!$F$25:$F$139,$F60,'Калькуляция (5.9)'!$G$25:$G$139,$G60))</f>
        <v>0</v>
      </c>
      <c r="BD60" s="915">
        <f>IF(BB60=0,0,(BC60-BB60)/BB60*100)</f>
        <v>0</v>
      </c>
      <c r="BE60" s="76">
        <f>IF(method_reg="Метод сравнения аналогов",_xlfn.SUMIFS(INDEX('Калькуляция (МСА)'!$AE$25:$BW$82,,MATCH(BE$8,'Калькуляция (МСА)'!$AE$8:$BW$8,0)),'Калькуляция (МСА)'!$F$25:$F$82,$F60,'Калькуляция (МСА)'!$G$25:$G$82,$G60),_xlfn.SUMIFS(INDEX('Калькуляция (5.9)'!$AJ$25:$BW$139,,MATCH(BE$8,'Калькуляция (5.9)'!$AJ$8:$BW$8,0)),'Калькуляция (5.9)'!$F$25:$F$139,$F60,'Калькуляция (5.9)'!$G$25:$G$139,$G60))</f>
        <v>0</v>
      </c>
      <c r="BF60" s="76">
        <f>IF(method_reg="Метод сравнения аналогов",_xlfn.SUMIFS(INDEX('Калькуляция (МСА)'!$AE$25:$BW$82,,MATCH(BF$8,'Калькуляция (МСА)'!$AE$8:$BW$8,0)),'Калькуляция (МСА)'!$F$25:$F$82,$F60,'Калькуляция (МСА)'!$G$25:$G$82,$G60),_xlfn.SUMIFS(INDEX('Калькуляция (5.9)'!$AJ$25:$BW$139,,MATCH(BF$8,'Калькуляция (5.9)'!$AJ$8:$BW$8,0)),'Калькуляция (5.9)'!$F$25:$F$139,$F60,'Калькуляция (5.9)'!$G$25:$G$139,$G60))</f>
        <v>0</v>
      </c>
      <c r="BG60" s="915">
        <f>IF(BE60=0,0,(BF60-BE60)/BE60*100)</f>
        <v>0</v>
      </c>
      <c r="BH60" s="76"/>
      <c r="BI60" s="76"/>
      <c r="BJ60" s="915">
        <f>IF(BH60=0,0,(BI60-BH60)/BH60*100)</f>
        <v>0</v>
      </c>
      <c r="BK60" s="76"/>
      <c r="BL60" s="76"/>
      <c r="BM60" s="915">
        <f>IF(BK60=0,0,(BL60-BK60)/BK60*100)</f>
        <v>0</v>
      </c>
      <c r="BN60" s="76"/>
      <c r="BO60" s="76"/>
      <c r="BP60" s="915">
        <f>IF(BN60=0,0,(BO60-BN60)/BN60*100)</f>
        <v>0</v>
      </c>
      <c r="BQ60" s="76"/>
      <c r="BR60" s="76"/>
      <c r="BS60" s="915">
        <f>IF(BQ60=0,0,(BR60-BQ60)/BQ60*100)</f>
        <v>0</v>
      </c>
      <c r="BT60" s="76"/>
      <c r="BU60" s="76"/>
      <c r="BV60" s="915">
        <f>IF(BT60=0,0,(BU60-BT60)/BT60*100)</f>
        <v>0</v>
      </c>
      <c r="BW60" s="76"/>
      <c r="BX60" s="76"/>
      <c r="BY60" s="915">
        <f>IF(BW60=0,0,(BX60-BW60)/BW60*100)</f>
        <v>0</v>
      </c>
      <c r="BZ60" s="76"/>
      <c r="CA60" s="76"/>
      <c r="CB60" s="915">
        <f>IF(BZ60=0,0,(CA60-BZ60)/BZ60*100)</f>
        <v>0</v>
      </c>
      <c r="CC60" s="76"/>
      <c r="CD60" s="76"/>
      <c r="CE60" s="915">
        <f>IF(CC60=0,0,(CD60-CC60)/CC60*100)</f>
        <v>0</v>
      </c>
      <c r="CF60" s="76"/>
      <c r="CG60" s="76"/>
      <c r="CH60" s="915">
        <f>IF(CF60=0,0,(CG60-CF60)/CF60*100)</f>
        <v>0</v>
      </c>
      <c r="CI60" s="76"/>
      <c r="CJ60" s="76"/>
      <c r="CK60" s="915">
        <f>IF(CI60=0,0,(CJ60-CI60)/CI60*100)</f>
        <v>0</v>
      </c>
      <c r="CL60" s="76"/>
      <c r="CM60" s="76"/>
      <c r="CN60" s="915">
        <f>IF(CL60=0,0,(CM60-CL60)/CL60*100)</f>
        <v>0</v>
      </c>
      <c r="CO60" s="76"/>
      <c r="CP60" s="76"/>
      <c r="CQ60" s="915">
        <f>IF(CO60=0,0,(CP60-CO60)/CO60*100)</f>
        <v>0</v>
      </c>
      <c r="CR60" s="76"/>
      <c r="CS60" s="76"/>
      <c r="CT60" s="915">
        <f>IF(CR60=0,0,(CS60-CR60)/CR60*100)</f>
        <v>0</v>
      </c>
      <c r="CU60" s="76"/>
      <c r="CV60" s="76"/>
      <c r="CW60" s="915">
        <f>IF(CU60=0,0,(CV60-CU60)/CU60*100)</f>
        <v>0</v>
      </c>
      <c r="CX60" s="76"/>
      <c r="CY60" s="76"/>
      <c r="CZ60" s="915">
        <f>IF(CX60=0,0,(CY60-CX60)/CX60*100)</f>
        <v>0</v>
      </c>
      <c r="DA60" s="76"/>
      <c r="DB60" s="76"/>
      <c r="DC60" s="915">
        <f>IF(DA60=0,0,(DB60-DA60)/DA60*100)</f>
        <v>0</v>
      </c>
      <c r="DD60" s="76"/>
      <c r="DE60" s="76"/>
      <c r="DF60" s="915">
        <f>IF(DD60=0,0,(DE60-DD60)/DD60*100)</f>
        <v>0</v>
      </c>
      <c r="DG60" s="76"/>
      <c r="DH60" s="76"/>
      <c r="DI60" s="915">
        <f>IF(DG60=0,0,(DH60-DG60)/DG60*100)</f>
        <v>0</v>
      </c>
      <c r="DJ60" s="76"/>
      <c r="DK60" s="76"/>
      <c r="DL60" s="915">
        <f>IF(DJ60=0,0,(DK60-DJ60)/DJ60*100)</f>
        <v>0</v>
      </c>
      <c r="DM60" s="76"/>
      <c r="DN60" s="76"/>
      <c r="DO60" s="915">
        <f>IF(DM60=0,0,(DN60-DM60)/DM60*100)</f>
        <v>0</v>
      </c>
      <c r="DP60" s="76"/>
      <c r="DQ60" s="76"/>
      <c r="DR60" s="915">
        <f>IF(DP60=0,0,(DQ60-DP60)/DP60*100)</f>
        <v>0</v>
      </c>
      <c r="DS60" s="76"/>
      <c r="DT60" s="76"/>
      <c r="DU60" s="915">
        <f>IF(DS60=0,0,(DT60-DS60)/DS60*100)</f>
        <v>0</v>
      </c>
      <c r="DV60" s="76"/>
      <c r="DW60" s="76"/>
      <c r="DX60" s="915">
        <f>IF(DV60=0,0,(DW60-DV60)/DV60*100)</f>
        <v>0</v>
      </c>
      <c r="DY60" s="76"/>
      <c r="DZ60" s="76"/>
      <c r="EA60" s="915">
        <f>IF(DY60=0,0,(DZ60-DY60)/DY60*100)</f>
        <v>0</v>
      </c>
      <c r="EB60" s="76"/>
      <c r="EC60" s="76"/>
      <c r="ED60" s="915">
        <f>IF(EB60=0,0,(EC60-EB60)/EB60*100)</f>
        <v>0</v>
      </c>
      <c r="EE60" s="76"/>
      <c r="EF60" s="76"/>
      <c r="EG60" s="915">
        <f>IF(EE60=0,0,(EF60-EE60)/EE60*100)</f>
        <v>0</v>
      </c>
      <c r="EH60" s="76"/>
      <c r="EI60" s="76"/>
      <c r="EJ60" s="915">
        <f>IF(EH60=0,0,(EI60-EH60)/EH60*100)</f>
        <v>0</v>
      </c>
      <c r="EK60" s="76"/>
      <c r="EL60" s="76"/>
      <c r="EM60" s="915">
        <f>IF(EK60=0,0,(EL60-EK60)/EK60*100)</f>
        <v>0</v>
      </c>
      <c r="EN60" s="76"/>
      <c r="EO60" s="76"/>
      <c r="EP60" s="915">
        <f>IF(EN60=0,0,(EO60-EN60)/EN60*100)</f>
        <v>0</v>
      </c>
      <c r="EQ60" s="76"/>
      <c r="ER60" s="76"/>
      <c r="ES60" s="915">
        <f>IF(EQ60=0,0,(ER60-EQ60)/EQ60*100)</f>
        <v>0</v>
      </c>
      <c r="ET60" s="76"/>
      <c r="EU60" s="76"/>
      <c r="EV60" s="915">
        <f>IF(ET60=0,0,(EU60-ET60)/ET60*100)</f>
        <v>0</v>
      </c>
      <c r="EW60" s="76"/>
      <c r="EX60" s="76"/>
      <c r="EY60" s="915">
        <f>IF(EW60=0,0,(EX60-EW60)/EW60*100)</f>
        <v>0</v>
      </c>
      <c r="EZ60" s="76"/>
      <c r="FA60" s="76"/>
      <c r="FB60" s="915">
        <f>IF(EZ60=0,0,(FA60-EZ60)/EZ60*100)</f>
        <v>0</v>
      </c>
      <c r="FC60" s="76"/>
      <c r="FD60" s="76"/>
      <c r="FE60" s="915">
        <f>IF(FC60=0,0,(FD60-FC60)/FC60*100)</f>
        <v>0</v>
      </c>
      <c r="FF60" s="76"/>
      <c r="FG60" s="76"/>
      <c r="FH60" s="915">
        <f>IF(FF60=0,0,(FG60-FF60)/FF60*100)</f>
        <v>0</v>
      </c>
      <c r="FI60" s="76"/>
      <c r="FJ60" s="76"/>
      <c r="FK60" s="915">
        <f>IF(FI60=0,0,(FJ60-FI60)/FI60*100)</f>
        <v>0</v>
      </c>
      <c r="FL60" s="76"/>
      <c r="FM60" s="76"/>
      <c r="FN60" s="915">
        <f>IF(FL60=0,0,(FM60-FL60)/FL60*100)</f>
        <v>0</v>
      </c>
      <c r="FO60" s="76"/>
      <c r="FP60" s="76"/>
      <c r="FQ60" s="915">
        <f>IF(FO60=0,0,(FP60-FO60)/FO60*100)</f>
        <v>0</v>
      </c>
      <c r="FR60" s="76"/>
      <c r="FS60" s="76"/>
      <c r="FT60" s="915">
        <f>IF(FR60=0,0,(FS60-FR60)/FR60*100)</f>
        <v>0</v>
      </c>
      <c r="FU60" s="76"/>
      <c r="FV60" s="76"/>
      <c r="FW60" s="915">
        <f>IF(FU60=0,0,(FV60-FU60)/FU60*100)</f>
        <v>0</v>
      </c>
      <c r="FZ60" s="489" t="s">
        <v>2511</v>
      </c>
      <c r="GA60" s="489"/>
      <c r="GB60" s="489"/>
      <c r="GC60" s="489"/>
      <c r="GD60" s="489"/>
      <c r="GF60" s="1501" cm="1" t="str">
        <f t="array" ref="GF60:GF60">GF59</f>
        <v>0</v>
      </c>
      <c r="GG60" s="1501" t="s">
        <v>707</v>
      </c>
      <c r="GH60" s="1501" t="s">
        <v>2452</v>
      </c>
      <c r="GI60" s="1501" t="s">
        <v>797</v>
      </c>
      <c r="GJ60" s="1501"/>
      <c r="GK60" s="1501"/>
      <c r="GL60" s="1501" t="s">
        <v>303</v>
      </c>
      <c r="GM60" s="1501" t="s">
        <v>2504</v>
      </c>
      <c r="GN60" s="1501" t="s">
        <v>2505</v>
      </c>
    </row>
    <row customHeight="1" ht="15.600000000000001" hidden="1">
      <c r="B61" s="192" cm="1" t="str">
        <f t="array" ref="B61:B61">B60</f>
        <v>false</v>
      </c>
      <c r="E61" s="180">
        <v>16</v>
      </c>
      <c r="F61" s="175" cm="1" t="str">
        <f t="array" ref="F61:F61">OFFSET(G61,-1,-1)</f>
        <v>0</v>
      </c>
      <c r="T61" s="753" cm="1" t="str">
        <f t="array" ref="T61:T61">T60</f>
        <v>false</v>
      </c>
      <c r="AB61" s="909" t="s">
        <v>2467</v>
      </c>
      <c r="AC61" s="922"/>
      <c r="AD61" s="923"/>
      <c r="AE61" s="923"/>
      <c r="AF61" s="923"/>
      <c r="AG61" s="923"/>
      <c r="AH61" s="923"/>
      <c r="AI61" s="923"/>
      <c r="AJ61" s="923"/>
      <c r="AK61" s="923"/>
      <c r="AL61" s="923"/>
      <c r="AM61" s="923"/>
      <c r="AN61" s="923"/>
      <c r="AO61" s="923"/>
      <c r="AP61" s="923"/>
      <c r="AQ61" s="923"/>
      <c r="AR61" s="923"/>
      <c r="AS61" s="923"/>
      <c r="AT61" s="923"/>
      <c r="AU61" s="923"/>
      <c r="AV61" s="923"/>
      <c r="AW61" s="923"/>
      <c r="AX61" s="923"/>
      <c r="AY61" s="923"/>
      <c r="AZ61" s="923"/>
      <c r="BA61" s="923"/>
      <c r="BB61" s="923"/>
      <c r="BC61" s="923"/>
      <c r="BD61" s="923"/>
      <c r="BE61" s="923"/>
      <c r="BF61" s="923"/>
      <c r="BG61" s="923"/>
      <c r="BH61" s="923"/>
      <c r="BI61" s="923"/>
      <c r="BJ61" s="923"/>
      <c r="BK61" s="923"/>
      <c r="BL61" s="923"/>
      <c r="BM61" s="923"/>
      <c r="BN61" s="923"/>
      <c r="BO61" s="923"/>
      <c r="BP61" s="923"/>
      <c r="BQ61" s="923"/>
      <c r="BR61" s="923"/>
      <c r="BS61" s="923"/>
      <c r="BT61" s="923"/>
      <c r="BU61" s="923"/>
      <c r="BV61" s="923"/>
      <c r="BW61" s="923"/>
      <c r="BX61" s="923"/>
      <c r="BY61" s="923"/>
      <c r="BZ61" s="923"/>
      <c r="CA61" s="923"/>
      <c r="CB61" s="923"/>
      <c r="CC61" s="923"/>
      <c r="CD61" s="923"/>
      <c r="CE61" s="923"/>
      <c r="CF61" s="923"/>
      <c r="CG61" s="923"/>
      <c r="CH61" s="923"/>
      <c r="CI61" s="923"/>
      <c r="CJ61" s="923"/>
      <c r="CK61" s="923"/>
      <c r="CL61" s="923"/>
      <c r="CM61" s="923"/>
      <c r="CN61" s="923"/>
      <c r="CO61" s="923"/>
      <c r="CP61" s="923"/>
      <c r="CQ61" s="923"/>
      <c r="CR61" s="923"/>
      <c r="CS61" s="923"/>
      <c r="CT61" s="923"/>
      <c r="CU61" s="923"/>
      <c r="CV61" s="923"/>
      <c r="CW61" s="923"/>
      <c r="CX61" s="923"/>
      <c r="CY61" s="923"/>
      <c r="CZ61" s="923"/>
      <c r="DA61" s="923"/>
      <c r="DB61" s="923"/>
      <c r="DC61" s="923"/>
      <c r="DD61" s="923"/>
      <c r="DE61" s="923"/>
      <c r="DF61" s="923"/>
      <c r="DG61" s="923"/>
      <c r="DH61" s="923"/>
      <c r="DI61" s="923"/>
      <c r="DJ61" s="923"/>
      <c r="DK61" s="923"/>
      <c r="DL61" s="923"/>
      <c r="DM61" s="923"/>
      <c r="DN61" s="923"/>
      <c r="DO61" s="923"/>
      <c r="DP61" s="923"/>
      <c r="DQ61" s="923"/>
      <c r="DR61" s="923"/>
      <c r="DS61" s="923"/>
      <c r="DT61" s="923"/>
      <c r="DU61" s="923"/>
      <c r="DV61" s="923"/>
      <c r="DW61" s="923"/>
      <c r="DX61" s="923"/>
      <c r="DY61" s="923"/>
      <c r="DZ61" s="923"/>
      <c r="EA61" s="923"/>
      <c r="EB61" s="923"/>
      <c r="EC61" s="923"/>
      <c r="ED61" s="923"/>
      <c r="EE61" s="923"/>
      <c r="EF61" s="923"/>
      <c r="EG61" s="923"/>
      <c r="EH61" s="923"/>
      <c r="EI61" s="923"/>
      <c r="EJ61" s="923"/>
      <c r="EK61" s="923"/>
      <c r="EL61" s="923"/>
      <c r="EM61" s="923"/>
      <c r="EN61" s="923"/>
      <c r="EO61" s="923"/>
      <c r="EP61" s="923"/>
      <c r="EQ61" s="923"/>
      <c r="ER61" s="923"/>
      <c r="ES61" s="923"/>
      <c r="ET61" s="923"/>
      <c r="EU61" s="923"/>
      <c r="EV61" s="923"/>
      <c r="EW61" s="923"/>
      <c r="EX61" s="923"/>
      <c r="EY61" s="923"/>
      <c r="EZ61" s="923"/>
      <c r="FA61" s="923"/>
      <c r="FB61" s="923"/>
      <c r="FC61" s="923"/>
      <c r="FD61" s="923"/>
      <c r="FE61" s="923"/>
      <c r="FF61" s="923"/>
      <c r="FG61" s="923"/>
      <c r="FH61" s="923"/>
      <c r="FI61" s="923"/>
      <c r="FJ61" s="923"/>
      <c r="FK61" s="923"/>
      <c r="FL61" s="923"/>
      <c r="FM61" s="923"/>
      <c r="FN61" s="923"/>
      <c r="FO61" s="923"/>
      <c r="FP61" s="923"/>
      <c r="FQ61" s="923"/>
      <c r="FR61" s="923"/>
      <c r="FS61" s="923"/>
      <c r="FT61" s="923"/>
      <c r="FU61" s="923"/>
      <c r="FV61" s="923"/>
      <c r="FW61" s="924"/>
      <c r="GA61" s="489"/>
      <c r="GB61" s="489"/>
      <c r="GC61" s="489"/>
      <c r="GD61" s="489"/>
      <c r="GF61" s="1501" cm="1" t="str">
        <f t="array" ref="GF61:GF61">GF60</f>
        <v>0</v>
      </c>
      <c r="GG61" s="1501"/>
      <c r="GH61" s="1501"/>
      <c r="GI61" s="1501"/>
      <c r="GJ61" s="1501"/>
      <c r="GK61" s="1501"/>
      <c r="GL61" s="1501" t="s">
        <v>176</v>
      </c>
      <c r="GM61" s="1501"/>
      <c r="GN61" s="1501"/>
    </row>
    <row customHeight="1" ht="15.600000000000001" hidden="1">
      <c r="B62" s="192" cm="1" t="str">
        <f t="array" ref="B62:B62">B61</f>
        <v>false</v>
      </c>
      <c r="E62" s="180">
        <v>16</v>
      </c>
      <c r="F62" s="175" cm="1" t="str">
        <f t="array" ref="F62:F62">OFFSET(G62,-1,-1)</f>
        <v>0</v>
      </c>
      <c r="I62" s="193" t="s">
        <v>2466</v>
      </c>
      <c r="T62" s="753" cm="1" t="str">
        <f t="array" ref="T62:T62">T61</f>
        <v>false</v>
      </c>
      <c r="AB62" s="560" t="s">
        <v>2490</v>
      </c>
      <c r="AC62" s="380" t="s">
        <v>1005</v>
      </c>
      <c r="AD62" s="76">
        <f>IF(AD64=0,0,(AD63*AD64+AD65*AD66*IF(god=2026,9,6))/AD64)</f>
        <v>0</v>
      </c>
      <c r="AE62" s="76">
        <f>IF(AE64=0,0,(AE63*AE64+AE65*AE66*IF(god=2026,9,6))/AE64)</f>
        <v>0</v>
      </c>
      <c r="AF62" s="915">
        <f>IF(AD62=0,0,(AE62-AD62)/AD62*100)</f>
        <v>0</v>
      </c>
      <c r="AG62" s="76">
        <f>IF(AG64=0,0,(AG63*AG64+AG65*AG66*IF(god=2025,9,6))/AG64)</f>
        <v>0</v>
      </c>
      <c r="AH62" s="76">
        <f>IF(AH64=0,0,(AH63*AH64+AH65*AH66*IF(god=2025,9,6))/AH64)</f>
        <v>0</v>
      </c>
      <c r="AI62" s="915">
        <f>IF(AG62=0,0,(AH62-AG62)/AG62*100)</f>
        <v>0</v>
      </c>
      <c r="AJ62" s="76">
        <f>IF(AJ64=0,0,(AJ63*AJ64+AJ65*AJ66*6)/AJ64)</f>
        <v>0</v>
      </c>
      <c r="AK62" s="76">
        <f>IF(AK64=0,0,(AK63*AK64+AK65*AK66*6)/AK64)</f>
        <v>0</v>
      </c>
      <c r="AL62" s="915">
        <f>IF(AJ62=0,0,(AK62-AJ62)/AJ62*100)</f>
        <v>0</v>
      </c>
      <c r="AM62" s="76">
        <f>IF(AM64=0,0,(AM63*AM64+AM65*AM66*6)/AM64)</f>
        <v>0</v>
      </c>
      <c r="AN62" s="76">
        <f>IF(AN64=0,0,(AN63*AN64+AN65*AN66*6)/AN64)</f>
        <v>0</v>
      </c>
      <c r="AO62" s="915">
        <f>IF(AM62=0,0,(AN62-AM62)/AM62*100)</f>
        <v>0</v>
      </c>
      <c r="AP62" s="76">
        <f>IF(AP64=0,0,(AP63*AP64+AP65*AP66*6)/AP64)</f>
        <v>0</v>
      </c>
      <c r="AQ62" s="76">
        <f>IF(AQ64=0,0,(AQ63*AQ64+AQ65*AQ66*6)/AQ64)</f>
        <v>0</v>
      </c>
      <c r="AR62" s="915">
        <f>IF(AP62=0,0,(AQ62-AP62)/AP62*100)</f>
        <v>0</v>
      </c>
      <c r="AS62" s="76">
        <f>IF(AS64=0,0,(AS63*AS64+AS65*AS66*6)/AS64)</f>
        <v>0</v>
      </c>
      <c r="AT62" s="76">
        <f>IF(AT64=0,0,(AT63*AT64+AT65*AT66*6)/AT64)</f>
        <v>0</v>
      </c>
      <c r="AU62" s="915">
        <f>IF(AS62=0,0,(AT62-AS62)/AS62*100)</f>
        <v>0</v>
      </c>
      <c r="AV62" s="76">
        <f>IF(AV64=0,0,(AV63*AV64+AV65*AV66*6)/AV64)</f>
        <v>0</v>
      </c>
      <c r="AW62" s="76">
        <f>IF(AW64=0,0,(AW63*AW64+AW65*AW66*6)/AW64)</f>
        <v>0</v>
      </c>
      <c r="AX62" s="915">
        <f>IF(AV62=0,0,(AW62-AV62)/AV62*100)</f>
        <v>0</v>
      </c>
      <c r="AY62" s="76">
        <f>IF(AY64=0,0,(AY63*AY64+AY65*AY66*6)/AY64)</f>
        <v>0</v>
      </c>
      <c r="AZ62" s="76">
        <f>IF(AZ64=0,0,(AZ63*AZ64+AZ65*AZ66*6)/AZ64)</f>
        <v>0</v>
      </c>
      <c r="BA62" s="915">
        <f>IF(AY62=0,0,(AZ62-AY62)/AY62*100)</f>
        <v>0</v>
      </c>
      <c r="BB62" s="76">
        <f>IF(BB64=0,0,(BB63*BB64+BB65*BB66*6)/BB64)</f>
        <v>0</v>
      </c>
      <c r="BC62" s="76">
        <f>IF(BC64=0,0,(BC63*BC64+BC65*BC66*6)/BC64)</f>
        <v>0</v>
      </c>
      <c r="BD62" s="915">
        <f>IF(BB62=0,0,(BC62-BB62)/BB62*100)</f>
        <v>0</v>
      </c>
      <c r="BE62" s="76">
        <f>IF(BE64=0,0,(BE63*BE64+BE65*BE66*6)/BE64)</f>
        <v>0</v>
      </c>
      <c r="BF62" s="76">
        <f>IF(BF64=0,0,(BF63*BF64+BF65*BF66*6)/BF64)</f>
        <v>0</v>
      </c>
      <c r="BG62" s="915">
        <f>IF(BE62=0,0,(BF62-BE62)/BE62*100)</f>
        <v>0</v>
      </c>
      <c r="BH62" s="76">
        <f>IF(BH64=0,0,(BH63*BH64+BH65*BH66*6)/BH64)</f>
        <v>0</v>
      </c>
      <c r="BI62" s="76">
        <f>IF(BI64=0,0,(BI63*BI64+BI65*BI66*6)/BI64)</f>
        <v>0</v>
      </c>
      <c r="BJ62" s="915">
        <f>IF(BH62=0,0,(BI62-BH62)/BH62*100)</f>
        <v>0</v>
      </c>
      <c r="BK62" s="76">
        <f>IF(BK64=0,0,(BK63*BK64+BK65*BK66*6)/BK64)</f>
        <v>0</v>
      </c>
      <c r="BL62" s="76">
        <f>IF(BL64=0,0,(BL63*BL64+BL65*BL66*6)/BL64)</f>
        <v>0</v>
      </c>
      <c r="BM62" s="915">
        <f>IF(BK62=0,0,(BL62-BK62)/BK62*100)</f>
        <v>0</v>
      </c>
      <c r="BN62" s="76">
        <f>IF(BN64=0,0,(BN63*BN64+BN65*BN66*6)/BN64)</f>
        <v>0</v>
      </c>
      <c r="BO62" s="76">
        <f>IF(BO64=0,0,(BO63*BO64+BO65*BO66*6)/BO64)</f>
        <v>0</v>
      </c>
      <c r="BP62" s="915">
        <f>IF(BN62=0,0,(BO62-BN62)/BN62*100)</f>
        <v>0</v>
      </c>
      <c r="BQ62" s="76">
        <f>IF(BQ64=0,0,(BQ63*BQ64+BQ65*BQ66*6)/BQ64)</f>
        <v>0</v>
      </c>
      <c r="BR62" s="76">
        <f>IF(BR64=0,0,(BR63*BR64+BR65*BR66*6)/BR64)</f>
        <v>0</v>
      </c>
      <c r="BS62" s="915">
        <f>IF(BQ62=0,0,(BR62-BQ62)/BQ62*100)</f>
        <v>0</v>
      </c>
      <c r="BT62" s="76">
        <f>IF(BT64=0,0,(BT63*BT64+BT65*BT66*6)/BT64)</f>
        <v>0</v>
      </c>
      <c r="BU62" s="76">
        <f>IF(BU64=0,0,(BU63*BU64+BU65*BU66*6)/BU64)</f>
        <v>0</v>
      </c>
      <c r="BV62" s="915">
        <f>IF(BT62=0,0,(BU62-BT62)/BT62*100)</f>
        <v>0</v>
      </c>
      <c r="BW62" s="76">
        <f>IF(BW64=0,0,(BW63*BW64+BW65*BW66*6)/BW64)</f>
        <v>0</v>
      </c>
      <c r="BX62" s="76">
        <f>IF(BX64=0,0,(BX63*BX64+BX65*BX66*6)/BX64)</f>
        <v>0</v>
      </c>
      <c r="BY62" s="915">
        <f>IF(BW62=0,0,(BX62-BW62)/BW62*100)</f>
        <v>0</v>
      </c>
      <c r="BZ62" s="76">
        <f>IF(BZ64=0,0,(BZ63*BZ64+BZ65*BZ66*6)/BZ64)</f>
        <v>0</v>
      </c>
      <c r="CA62" s="76">
        <f>IF(CA64=0,0,(CA63*CA64+CA65*CA66*6)/CA64)</f>
        <v>0</v>
      </c>
      <c r="CB62" s="915">
        <f>IF(BZ62=0,0,(CA62-BZ62)/BZ62*100)</f>
        <v>0</v>
      </c>
      <c r="CC62" s="76">
        <f>IF(CC64=0,0,(CC63*CC64+CC65*CC66*6)/CC64)</f>
        <v>0</v>
      </c>
      <c r="CD62" s="76">
        <f>IF(CD64=0,0,(CD63*CD64+CD65*CD66*6)/CD64)</f>
        <v>0</v>
      </c>
      <c r="CE62" s="915">
        <f>IF(CC62=0,0,(CD62-CC62)/CC62*100)</f>
        <v>0</v>
      </c>
      <c r="CF62" s="76">
        <f>IF(CF64=0,0,(CF63*CF64+CF65*CF66*6)/CF64)</f>
        <v>0</v>
      </c>
      <c r="CG62" s="76">
        <f>IF(CG64=0,0,(CG63*CG64+CG65*CG66*6)/CG64)</f>
        <v>0</v>
      </c>
      <c r="CH62" s="915">
        <f>IF(CF62=0,0,(CG62-CF62)/CF62*100)</f>
        <v>0</v>
      </c>
      <c r="CI62" s="76">
        <f>IF(CI64=0,0,(CI63*CI64+CI65*CI66*6)/CI64)</f>
        <v>0</v>
      </c>
      <c r="CJ62" s="76">
        <f>IF(CJ64=0,0,(CJ63*CJ64+CJ65*CJ66*6)/CJ64)</f>
        <v>0</v>
      </c>
      <c r="CK62" s="915">
        <f>IF(CI62=0,0,(CJ62-CI62)/CI62*100)</f>
        <v>0</v>
      </c>
      <c r="CL62" s="76">
        <f>IF(CL64=0,0,(CL63*CL64+CL65*CL66*6)/CL64)</f>
        <v>0</v>
      </c>
      <c r="CM62" s="76">
        <f>IF(CM64=0,0,(CM63*CM64+CM65*CM66*6)/CM64)</f>
        <v>0</v>
      </c>
      <c r="CN62" s="915">
        <f>IF(CL62=0,0,(CM62-CL62)/CL62*100)</f>
        <v>0</v>
      </c>
      <c r="CO62" s="76">
        <f>IF(CO64=0,0,(CO63*CO64+CO65*CO66*6)/CO64)</f>
        <v>0</v>
      </c>
      <c r="CP62" s="76">
        <f>IF(CP64=0,0,(CP63*CP64+CP65*CP66*6)/CP64)</f>
        <v>0</v>
      </c>
      <c r="CQ62" s="915">
        <f>IF(CO62=0,0,(CP62-CO62)/CO62*100)</f>
        <v>0</v>
      </c>
      <c r="CR62" s="76">
        <f>IF(CR64=0,0,(CR63*CR64+CR65*CR66*6)/CR64)</f>
        <v>0</v>
      </c>
      <c r="CS62" s="76">
        <f>IF(CS64=0,0,(CS63*CS64+CS65*CS66*6)/CS64)</f>
        <v>0</v>
      </c>
      <c r="CT62" s="915">
        <f>IF(CR62=0,0,(CS62-CR62)/CR62*100)</f>
        <v>0</v>
      </c>
      <c r="CU62" s="76">
        <f>IF(CU64=0,0,(CU63*CU64+CU65*CU66*6)/CU64)</f>
        <v>0</v>
      </c>
      <c r="CV62" s="76">
        <f>IF(CV64=0,0,(CV63*CV64+CV65*CV66*6)/CV64)</f>
        <v>0</v>
      </c>
      <c r="CW62" s="915">
        <f>IF(CU62=0,0,(CV62-CU62)/CU62*100)</f>
        <v>0</v>
      </c>
      <c r="CX62" s="76">
        <f>IF(CX64=0,0,(CX63*CX64+CX65*CX66*6)/CX64)</f>
        <v>0</v>
      </c>
      <c r="CY62" s="76">
        <f>IF(CY64=0,0,(CY63*CY64+CY65*CY66*6)/CY64)</f>
        <v>0</v>
      </c>
      <c r="CZ62" s="915">
        <f>IF(CX62=0,0,(CY62-CX62)/CX62*100)</f>
        <v>0</v>
      </c>
      <c r="DA62" s="76">
        <f>IF(DA64=0,0,(DA63*DA64+DA65*DA66*6)/DA64)</f>
        <v>0</v>
      </c>
      <c r="DB62" s="76">
        <f>IF(DB64=0,0,(DB63*DB64+DB65*DB66*6)/DB64)</f>
        <v>0</v>
      </c>
      <c r="DC62" s="915">
        <f>IF(DA62=0,0,(DB62-DA62)/DA62*100)</f>
        <v>0</v>
      </c>
      <c r="DD62" s="76">
        <f>IF(DD64=0,0,(DD63*DD64+DD65*DD66*6)/DD64)</f>
        <v>0</v>
      </c>
      <c r="DE62" s="76">
        <f>IF(DE64=0,0,(DE63*DE64+DE65*DE66*6)/DE64)</f>
        <v>0</v>
      </c>
      <c r="DF62" s="915">
        <f>IF(DD62=0,0,(DE62-DD62)/DD62*100)</f>
        <v>0</v>
      </c>
      <c r="DG62" s="76">
        <f>IF(DG64=0,0,(DG63*DG64+DG65*DG66*6)/DG64)</f>
        <v>0</v>
      </c>
      <c r="DH62" s="76">
        <f>IF(DH64=0,0,(DH63*DH64+DH65*DH66*6)/DH64)</f>
        <v>0</v>
      </c>
      <c r="DI62" s="915">
        <f>IF(DG62=0,0,(DH62-DG62)/DG62*100)</f>
        <v>0</v>
      </c>
      <c r="DJ62" s="76">
        <f>IF(DJ64=0,0,(DJ63*DJ64+DJ65*DJ66*6)/DJ64)</f>
        <v>0</v>
      </c>
      <c r="DK62" s="76">
        <f>IF(DK64=0,0,(DK63*DK64+DK65*DK66*6)/DK64)</f>
        <v>0</v>
      </c>
      <c r="DL62" s="915">
        <f>IF(DJ62=0,0,(DK62-DJ62)/DJ62*100)</f>
        <v>0</v>
      </c>
      <c r="DM62" s="76">
        <f>IF(DM64=0,0,(DM63*DM64+DM65*DM66*6)/DM64)</f>
        <v>0</v>
      </c>
      <c r="DN62" s="76">
        <f>IF(DN64=0,0,(DN63*DN64+DN65*DN66*6)/DN64)</f>
        <v>0</v>
      </c>
      <c r="DO62" s="915">
        <f>IF(DM62=0,0,(DN62-DM62)/DM62*100)</f>
        <v>0</v>
      </c>
      <c r="DP62" s="76">
        <f>IF(DP64=0,0,(DP63*DP64+DP65*DP66*6)/DP64)</f>
        <v>0</v>
      </c>
      <c r="DQ62" s="76">
        <f>IF(DQ64=0,0,(DQ63*DQ64+DQ65*DQ66*6)/DQ64)</f>
        <v>0</v>
      </c>
      <c r="DR62" s="915">
        <f>IF(DP62=0,0,(DQ62-DP62)/DP62*100)</f>
        <v>0</v>
      </c>
      <c r="DS62" s="76">
        <f>IF(DS64=0,0,(DS63*DS64+DS65*DS66*6)/DS64)</f>
        <v>0</v>
      </c>
      <c r="DT62" s="76">
        <f>IF(DT64=0,0,(DT63*DT64+DT65*DT66*6)/DT64)</f>
        <v>0</v>
      </c>
      <c r="DU62" s="915">
        <f>IF(DS62=0,0,(DT62-DS62)/DS62*100)</f>
        <v>0</v>
      </c>
      <c r="DV62" s="76">
        <f>IF(DV64=0,0,(DV63*DV64+DV65*DV66*6)/DV64)</f>
        <v>0</v>
      </c>
      <c r="DW62" s="76">
        <f>IF(DW64=0,0,(DW63*DW64+DW65*DW66*6)/DW64)</f>
        <v>0</v>
      </c>
      <c r="DX62" s="915">
        <f>IF(DV62=0,0,(DW62-DV62)/DV62*100)</f>
        <v>0</v>
      </c>
      <c r="DY62" s="76">
        <f>IF(DY64=0,0,(DY63*DY64+DY65*DY66*6)/DY64)</f>
        <v>0</v>
      </c>
      <c r="DZ62" s="76">
        <f>IF(DZ64=0,0,(DZ63*DZ64+DZ65*DZ66*6)/DZ64)</f>
        <v>0</v>
      </c>
      <c r="EA62" s="915">
        <f>IF(DY62=0,0,(DZ62-DY62)/DY62*100)</f>
        <v>0</v>
      </c>
      <c r="EB62" s="76">
        <f>IF(EB64=0,0,(EB63*EB64+EB65*EB66*6)/EB64)</f>
        <v>0</v>
      </c>
      <c r="EC62" s="76">
        <f>IF(EC64=0,0,(EC63*EC64+EC65*EC66*6)/EC64)</f>
        <v>0</v>
      </c>
      <c r="ED62" s="915">
        <f>IF(EB62=0,0,(EC62-EB62)/EB62*100)</f>
        <v>0</v>
      </c>
      <c r="EE62" s="76">
        <f>IF(EE64=0,0,(EE63*EE64+EE65*EE66*6)/EE64)</f>
        <v>0</v>
      </c>
      <c r="EF62" s="76">
        <f>IF(EF64=0,0,(EF63*EF64+EF65*EF66*6)/EF64)</f>
        <v>0</v>
      </c>
      <c r="EG62" s="915">
        <f>IF(EE62=0,0,(EF62-EE62)/EE62*100)</f>
        <v>0</v>
      </c>
      <c r="EH62" s="76">
        <f>IF(EH64=0,0,(EH63*EH64+EH65*EH66*6)/EH64)</f>
        <v>0</v>
      </c>
      <c r="EI62" s="76">
        <f>IF(EI64=0,0,(EI63*EI64+EI65*EI66*6)/EI64)</f>
        <v>0</v>
      </c>
      <c r="EJ62" s="915">
        <f>IF(EH62=0,0,(EI62-EH62)/EH62*100)</f>
        <v>0</v>
      </c>
      <c r="EK62" s="76">
        <f>IF(EK64=0,0,(EK63*EK64+EK65*EK66*6)/EK64)</f>
        <v>0</v>
      </c>
      <c r="EL62" s="76">
        <f>IF(EL64=0,0,(EL63*EL64+EL65*EL66*6)/EL64)</f>
        <v>0</v>
      </c>
      <c r="EM62" s="915">
        <f>IF(EK62=0,0,(EL62-EK62)/EK62*100)</f>
        <v>0</v>
      </c>
      <c r="EN62" s="76">
        <f>IF(EN64=0,0,(EN63*EN64+EN65*EN66*6)/EN64)</f>
        <v>0</v>
      </c>
      <c r="EO62" s="76">
        <f>IF(EO64=0,0,(EO63*EO64+EO65*EO66*6)/EO64)</f>
        <v>0</v>
      </c>
      <c r="EP62" s="915">
        <f>IF(EN62=0,0,(EO62-EN62)/EN62*100)</f>
        <v>0</v>
      </c>
      <c r="EQ62" s="76">
        <f>IF(EQ64=0,0,(EQ63*EQ64+EQ65*EQ66*6)/EQ64)</f>
        <v>0</v>
      </c>
      <c r="ER62" s="76">
        <f>IF(ER64=0,0,(ER63*ER64+ER65*ER66*6)/ER64)</f>
        <v>0</v>
      </c>
      <c r="ES62" s="915">
        <f>IF(EQ62=0,0,(ER62-EQ62)/EQ62*100)</f>
        <v>0</v>
      </c>
      <c r="ET62" s="76">
        <f>IF(ET64=0,0,(ET63*ET64+ET65*ET66*6)/ET64)</f>
        <v>0</v>
      </c>
      <c r="EU62" s="76">
        <f>IF(EU64=0,0,(EU63*EU64+EU65*EU66*6)/EU64)</f>
        <v>0</v>
      </c>
      <c r="EV62" s="915">
        <f>IF(ET62=0,0,(EU62-ET62)/ET62*100)</f>
        <v>0</v>
      </c>
      <c r="EW62" s="76">
        <f>IF(EW64=0,0,(EW63*EW64+EW65*EW66*6)/EW64)</f>
        <v>0</v>
      </c>
      <c r="EX62" s="76">
        <f>IF(EX64=0,0,(EX63*EX64+EX65*EX66*6)/EX64)</f>
        <v>0</v>
      </c>
      <c r="EY62" s="915">
        <f>IF(EW62=0,0,(EX62-EW62)/EW62*100)</f>
        <v>0</v>
      </c>
      <c r="EZ62" s="76">
        <f>IF(EZ64=0,0,(EZ63*EZ64+EZ65*EZ66*6)/EZ64)</f>
        <v>0</v>
      </c>
      <c r="FA62" s="76">
        <f>IF(FA64=0,0,(FA63*FA64+FA65*FA66*6)/FA64)</f>
        <v>0</v>
      </c>
      <c r="FB62" s="915">
        <f>IF(EZ62=0,0,(FA62-EZ62)/EZ62*100)</f>
        <v>0</v>
      </c>
      <c r="FC62" s="76">
        <f>IF(FC64=0,0,(FC63*FC64+FC65*FC66*6)/FC64)</f>
        <v>0</v>
      </c>
      <c r="FD62" s="76">
        <f>IF(FD64=0,0,(FD63*FD64+FD65*FD66*6)/FD64)</f>
        <v>0</v>
      </c>
      <c r="FE62" s="915">
        <f>IF(FC62=0,0,(FD62-FC62)/FC62*100)</f>
        <v>0</v>
      </c>
      <c r="FF62" s="76">
        <f>IF(FF64=0,0,(FF63*FF64+FF65*FF66*6)/FF64)</f>
        <v>0</v>
      </c>
      <c r="FG62" s="76">
        <f>IF(FG64=0,0,(FG63*FG64+FG65*FG66*6)/FG64)</f>
        <v>0</v>
      </c>
      <c r="FH62" s="915">
        <f>IF(FF62=0,0,(FG62-FF62)/FF62*100)</f>
        <v>0</v>
      </c>
      <c r="FI62" s="76">
        <f>IF(FI64=0,0,(FI63*FI64+FI65*FI66*6)/FI64)</f>
        <v>0</v>
      </c>
      <c r="FJ62" s="76">
        <f>IF(FJ64=0,0,(FJ63*FJ64+FJ65*FJ66*6)/FJ64)</f>
        <v>0</v>
      </c>
      <c r="FK62" s="915">
        <f>IF(FI62=0,0,(FJ62-FI62)/FI62*100)</f>
        <v>0</v>
      </c>
      <c r="FL62" s="76">
        <f>IF(FL64=0,0,(FL63*FL64+FL65*FL66*6)/FL64)</f>
        <v>0</v>
      </c>
      <c r="FM62" s="76">
        <f>IF(FM64=0,0,(FM63*FM64+FM65*FM66*6)/FM64)</f>
        <v>0</v>
      </c>
      <c r="FN62" s="915">
        <f>IF(FL62=0,0,(FM62-FL62)/FL62*100)</f>
        <v>0</v>
      </c>
      <c r="FO62" s="76">
        <f>IF(FO64=0,0,(FO63*FO64+FO65*FO66*6)/FO64)</f>
        <v>0</v>
      </c>
      <c r="FP62" s="76">
        <f>IF(FP64=0,0,(FP63*FP64+FP65*FP66*6)/FP64)</f>
        <v>0</v>
      </c>
      <c r="FQ62" s="915">
        <f>IF(FO62=0,0,(FP62-FO62)/FO62*100)</f>
        <v>0</v>
      </c>
      <c r="FR62" s="76">
        <f>IF(FR64=0,0,(FR63*FR64+FR65*FR66*6)/FR64)</f>
        <v>0</v>
      </c>
      <c r="FS62" s="76">
        <f>IF(FS64=0,0,(FS63*FS64+FS65*FS66*6)/FS64)</f>
        <v>0</v>
      </c>
      <c r="FT62" s="915">
        <f>IF(FR62=0,0,(FS62-FR62)/FR62*100)</f>
        <v>0</v>
      </c>
      <c r="FU62" s="76">
        <f>IF(FU64=0,0,(FU63*FU64+FU65*FU66*6)/FU64)</f>
        <v>0</v>
      </c>
      <c r="FV62" s="76">
        <f>IF(FV64=0,0,(FV63*FV64+FV65*FV66*6)/FV64)</f>
        <v>0</v>
      </c>
      <c r="FW62" s="915">
        <f>IF(FU62=0,0,(FV62-FU62)/FU62*100)</f>
        <v>0</v>
      </c>
      <c r="FZ62" s="489" t="s">
        <v>2512</v>
      </c>
      <c r="GA62" s="489"/>
      <c r="GB62" s="489"/>
      <c r="GC62" s="489"/>
      <c r="GD62" s="489"/>
      <c r="GF62" s="1501" cm="1" t="str">
        <f t="array" ref="GF62:GF62">GF61</f>
        <v>0</v>
      </c>
      <c r="GG62" s="1501" t="s">
        <v>704</v>
      </c>
      <c r="GH62" s="1501" t="s">
        <v>2469</v>
      </c>
      <c r="GI62" s="1501" t="s">
        <v>796</v>
      </c>
      <c r="GJ62" s="1501" t="s">
        <v>2084</v>
      </c>
      <c r="GK62" s="1501"/>
      <c r="GL62" s="1501" t="s">
        <v>303</v>
      </c>
      <c r="GM62" s="1501" t="s">
        <v>2492</v>
      </c>
      <c r="GN62" s="1501" t="s">
        <v>2493</v>
      </c>
    </row>
    <row customHeight="1" ht="15.600000000000001" hidden="1">
      <c r="B63" s="192" cm="1" t="str">
        <f t="array" ref="B63:B63">B62</f>
        <v>false</v>
      </c>
      <c r="E63" s="180">
        <v>16</v>
      </c>
      <c r="F63" s="175" cm="1" t="str">
        <f t="array" ref="F63:F63">OFFSET(G63,-1,-1)</f>
        <v>0</v>
      </c>
      <c r="I63" s="193" t="s">
        <v>2466</v>
      </c>
      <c r="T63" s="753" cm="1" t="str">
        <f t="array" ref="T63:T63">T62</f>
        <v>false</v>
      </c>
      <c r="AB63" s="560" t="s">
        <v>2494</v>
      </c>
      <c r="AC63" s="380" t="s">
        <v>1005</v>
      </c>
      <c r="AD63" s="76"/>
      <c r="AE63" s="76"/>
      <c r="AF63" s="915">
        <f>IF(AD63=0,0,(AE63-AD63)/AD63*100)</f>
        <v>0</v>
      </c>
      <c r="AG63" s="76"/>
      <c r="AH63" s="76"/>
      <c r="AI63" s="915">
        <f>IF(AG63=0,0,(AH63-AG63)/AG63*100)</f>
        <v>0</v>
      </c>
      <c r="AJ63" s="76"/>
      <c r="AK63" s="76"/>
      <c r="AL63" s="915">
        <f>IF(AJ63=0,0,(AK63-AJ63)/AJ63*100)</f>
        <v>0</v>
      </c>
      <c r="AM63" s="76"/>
      <c r="AN63" s="76"/>
      <c r="AO63" s="915">
        <f>IF(AM63=0,0,(AN63-AM63)/AM63*100)</f>
        <v>0</v>
      </c>
      <c r="AP63" s="76"/>
      <c r="AQ63" s="76"/>
      <c r="AR63" s="915">
        <f>IF(AP63=0,0,(AQ63-AP63)/AP63*100)</f>
        <v>0</v>
      </c>
      <c r="AS63" s="76"/>
      <c r="AT63" s="76"/>
      <c r="AU63" s="915">
        <f>IF(AS63=0,0,(AT63-AS63)/AS63*100)</f>
        <v>0</v>
      </c>
      <c r="AV63" s="76"/>
      <c r="AW63" s="76"/>
      <c r="AX63" s="915">
        <f>IF(AV63=0,0,(AW63-AV63)/AV63*100)</f>
        <v>0</v>
      </c>
      <c r="AY63" s="76"/>
      <c r="AZ63" s="76"/>
      <c r="BA63" s="915">
        <f>IF(AY63=0,0,(AZ63-AY63)/AY63*100)</f>
        <v>0</v>
      </c>
      <c r="BB63" s="76"/>
      <c r="BC63" s="76"/>
      <c r="BD63" s="915">
        <f>IF(BB63=0,0,(BC63-BB63)/BB63*100)</f>
        <v>0</v>
      </c>
      <c r="BE63" s="76"/>
      <c r="BF63" s="76"/>
      <c r="BG63" s="915">
        <f>IF(BE63=0,0,(BF63-BE63)/BE63*100)</f>
        <v>0</v>
      </c>
      <c r="BH63" s="76"/>
      <c r="BI63" s="76"/>
      <c r="BJ63" s="915">
        <f>IF(BH63=0,0,(BI63-BH63)/BH63*100)</f>
        <v>0</v>
      </c>
      <c r="BK63" s="76"/>
      <c r="BL63" s="76"/>
      <c r="BM63" s="915">
        <f>IF(BK63=0,0,(BL63-BK63)/BK63*100)</f>
        <v>0</v>
      </c>
      <c r="BN63" s="76"/>
      <c r="BO63" s="76"/>
      <c r="BP63" s="915">
        <f>IF(BN63=0,0,(BO63-BN63)/BN63*100)</f>
        <v>0</v>
      </c>
      <c r="BQ63" s="76"/>
      <c r="BR63" s="76"/>
      <c r="BS63" s="915">
        <f>IF(BQ63=0,0,(BR63-BQ63)/BQ63*100)</f>
        <v>0</v>
      </c>
      <c r="BT63" s="76"/>
      <c r="BU63" s="76"/>
      <c r="BV63" s="915">
        <f>IF(BT63=0,0,(BU63-BT63)/BT63*100)</f>
        <v>0</v>
      </c>
      <c r="BW63" s="76"/>
      <c r="BX63" s="76"/>
      <c r="BY63" s="915">
        <f>IF(BW63=0,0,(BX63-BW63)/BW63*100)</f>
        <v>0</v>
      </c>
      <c r="BZ63" s="76"/>
      <c r="CA63" s="76"/>
      <c r="CB63" s="915">
        <f>IF(BZ63=0,0,(CA63-BZ63)/BZ63*100)</f>
        <v>0</v>
      </c>
      <c r="CC63" s="76"/>
      <c r="CD63" s="76"/>
      <c r="CE63" s="915">
        <f>IF(CC63=0,0,(CD63-CC63)/CC63*100)</f>
        <v>0</v>
      </c>
      <c r="CF63" s="76"/>
      <c r="CG63" s="76"/>
      <c r="CH63" s="915">
        <f>IF(CF63=0,0,(CG63-CF63)/CF63*100)</f>
        <v>0</v>
      </c>
      <c r="CI63" s="76"/>
      <c r="CJ63" s="76"/>
      <c r="CK63" s="915">
        <f>IF(CI63=0,0,(CJ63-CI63)/CI63*100)</f>
        <v>0</v>
      </c>
      <c r="CL63" s="76"/>
      <c r="CM63" s="76"/>
      <c r="CN63" s="915">
        <f>IF(CL63=0,0,(CM63-CL63)/CL63*100)</f>
        <v>0</v>
      </c>
      <c r="CO63" s="76"/>
      <c r="CP63" s="76"/>
      <c r="CQ63" s="915">
        <f>IF(CO63=0,0,(CP63-CO63)/CO63*100)</f>
        <v>0</v>
      </c>
      <c r="CR63" s="76"/>
      <c r="CS63" s="76"/>
      <c r="CT63" s="915">
        <f>IF(CR63=0,0,(CS63-CR63)/CR63*100)</f>
        <v>0</v>
      </c>
      <c r="CU63" s="76"/>
      <c r="CV63" s="76"/>
      <c r="CW63" s="915">
        <f>IF(CU63=0,0,(CV63-CU63)/CU63*100)</f>
        <v>0</v>
      </c>
      <c r="CX63" s="76"/>
      <c r="CY63" s="76"/>
      <c r="CZ63" s="915">
        <f>IF(CX63=0,0,(CY63-CX63)/CX63*100)</f>
        <v>0</v>
      </c>
      <c r="DA63" s="76"/>
      <c r="DB63" s="76"/>
      <c r="DC63" s="915">
        <f>IF(DA63=0,0,(DB63-DA63)/DA63*100)</f>
        <v>0</v>
      </c>
      <c r="DD63" s="76"/>
      <c r="DE63" s="76"/>
      <c r="DF63" s="915">
        <f>IF(DD63=0,0,(DE63-DD63)/DD63*100)</f>
        <v>0</v>
      </c>
      <c r="DG63" s="76"/>
      <c r="DH63" s="76"/>
      <c r="DI63" s="915">
        <f>IF(DG63=0,0,(DH63-DG63)/DG63*100)</f>
        <v>0</v>
      </c>
      <c r="DJ63" s="76"/>
      <c r="DK63" s="76"/>
      <c r="DL63" s="915">
        <f>IF(DJ63=0,0,(DK63-DJ63)/DJ63*100)</f>
        <v>0</v>
      </c>
      <c r="DM63" s="76"/>
      <c r="DN63" s="76"/>
      <c r="DO63" s="915">
        <f>IF(DM63=0,0,(DN63-DM63)/DM63*100)</f>
        <v>0</v>
      </c>
      <c r="DP63" s="76"/>
      <c r="DQ63" s="76"/>
      <c r="DR63" s="915">
        <f>IF(DP63=0,0,(DQ63-DP63)/DP63*100)</f>
        <v>0</v>
      </c>
      <c r="DS63" s="76"/>
      <c r="DT63" s="76"/>
      <c r="DU63" s="915">
        <f>IF(DS63=0,0,(DT63-DS63)/DS63*100)</f>
        <v>0</v>
      </c>
      <c r="DV63" s="76"/>
      <c r="DW63" s="76"/>
      <c r="DX63" s="915">
        <f>IF(DV63=0,0,(DW63-DV63)/DV63*100)</f>
        <v>0</v>
      </c>
      <c r="DY63" s="76"/>
      <c r="DZ63" s="76"/>
      <c r="EA63" s="915">
        <f>IF(DY63=0,0,(DZ63-DY63)/DY63*100)</f>
        <v>0</v>
      </c>
      <c r="EB63" s="76"/>
      <c r="EC63" s="76"/>
      <c r="ED63" s="915">
        <f>IF(EB63=0,0,(EC63-EB63)/EB63*100)</f>
        <v>0</v>
      </c>
      <c r="EE63" s="76"/>
      <c r="EF63" s="76"/>
      <c r="EG63" s="915">
        <f>IF(EE63=0,0,(EF63-EE63)/EE63*100)</f>
        <v>0</v>
      </c>
      <c r="EH63" s="76"/>
      <c r="EI63" s="76"/>
      <c r="EJ63" s="915">
        <f>IF(EH63=0,0,(EI63-EH63)/EH63*100)</f>
        <v>0</v>
      </c>
      <c r="EK63" s="76"/>
      <c r="EL63" s="76"/>
      <c r="EM63" s="915">
        <f>IF(EK63=0,0,(EL63-EK63)/EK63*100)</f>
        <v>0</v>
      </c>
      <c r="EN63" s="76"/>
      <c r="EO63" s="76"/>
      <c r="EP63" s="915">
        <f>IF(EN63=0,0,(EO63-EN63)/EN63*100)</f>
        <v>0</v>
      </c>
      <c r="EQ63" s="76"/>
      <c r="ER63" s="76"/>
      <c r="ES63" s="915">
        <f>IF(EQ63=0,0,(ER63-EQ63)/EQ63*100)</f>
        <v>0</v>
      </c>
      <c r="ET63" s="76"/>
      <c r="EU63" s="76"/>
      <c r="EV63" s="915">
        <f>IF(ET63=0,0,(EU63-ET63)/ET63*100)</f>
        <v>0</v>
      </c>
      <c r="EW63" s="76"/>
      <c r="EX63" s="76"/>
      <c r="EY63" s="915">
        <f>IF(EW63=0,0,(EX63-EW63)/EW63*100)</f>
        <v>0</v>
      </c>
      <c r="EZ63" s="76"/>
      <c r="FA63" s="76"/>
      <c r="FB63" s="915">
        <f>IF(EZ63=0,0,(FA63-EZ63)/EZ63*100)</f>
        <v>0</v>
      </c>
      <c r="FC63" s="76"/>
      <c r="FD63" s="76"/>
      <c r="FE63" s="915">
        <f>IF(FC63=0,0,(FD63-FC63)/FC63*100)</f>
        <v>0</v>
      </c>
      <c r="FF63" s="76"/>
      <c r="FG63" s="76"/>
      <c r="FH63" s="915">
        <f>IF(FF63=0,0,(FG63-FF63)/FF63*100)</f>
        <v>0</v>
      </c>
      <c r="FI63" s="76"/>
      <c r="FJ63" s="76"/>
      <c r="FK63" s="915">
        <f>IF(FI63=0,0,(FJ63-FI63)/FI63*100)</f>
        <v>0</v>
      </c>
      <c r="FL63" s="76"/>
      <c r="FM63" s="76"/>
      <c r="FN63" s="915">
        <f>IF(FL63=0,0,(FM63-FL63)/FL63*100)</f>
        <v>0</v>
      </c>
      <c r="FO63" s="76"/>
      <c r="FP63" s="76"/>
      <c r="FQ63" s="915">
        <f>IF(FO63=0,0,(FP63-FO63)/FO63*100)</f>
        <v>0</v>
      </c>
      <c r="FR63" s="76"/>
      <c r="FS63" s="76"/>
      <c r="FT63" s="915">
        <f>IF(FR63=0,0,(FS63-FR63)/FR63*100)</f>
        <v>0</v>
      </c>
      <c r="FU63" s="76"/>
      <c r="FV63" s="76"/>
      <c r="FW63" s="915">
        <f>IF(FU63=0,0,(FV63-FU63)/FU63*100)</f>
        <v>0</v>
      </c>
      <c r="FZ63" s="489" t="s">
        <v>2513</v>
      </c>
      <c r="GA63" s="489"/>
      <c r="GB63" s="489"/>
      <c r="GC63" s="489"/>
      <c r="GD63" s="489"/>
      <c r="GF63" s="1501" cm="1" t="str">
        <f t="array" ref="GF63:GF63">GF62</f>
        <v>0</v>
      </c>
      <c r="GG63" s="1501" t="s">
        <v>704</v>
      </c>
      <c r="GH63" s="1501" t="s">
        <v>2469</v>
      </c>
      <c r="GI63" s="1501" t="s">
        <v>796</v>
      </c>
      <c r="GJ63" s="1501" t="s">
        <v>2084</v>
      </c>
      <c r="GK63" s="1501"/>
      <c r="GL63" s="1501" t="s">
        <v>303</v>
      </c>
      <c r="GM63" s="1501" t="s">
        <v>2118</v>
      </c>
      <c r="GN63" s="1501" t="s">
        <v>2119</v>
      </c>
    </row>
    <row customHeight="1" ht="15.600000000000001" hidden="1">
      <c r="B64" s="192" cm="1" t="str">
        <f t="array" ref="B64:B64">B63</f>
        <v>false</v>
      </c>
      <c r="E64" s="180">
        <v>16</v>
      </c>
      <c r="F64" s="175" cm="1" t="str">
        <f t="array" ref="F64:F64">OFFSET(G64,-1,-1)</f>
        <v>0</v>
      </c>
      <c r="I64" s="193" t="s">
        <v>2466</v>
      </c>
      <c r="T64" s="753" cm="1" t="str">
        <f t="array" ref="T64:T64">T63</f>
        <v>false</v>
      </c>
      <c r="AB64" s="560" t="s">
        <v>2496</v>
      </c>
      <c r="AC64" s="380" t="s">
        <v>629</v>
      </c>
      <c r="AD64" s="166"/>
      <c r="AE64" s="166"/>
      <c r="AF64" s="917">
        <f>IF(AD64=0,0,(AE64-AD64)/AD64*100)</f>
        <v>0</v>
      </c>
      <c r="AG64" s="166"/>
      <c r="AH64" s="166"/>
      <c r="AI64" s="917">
        <f>IF(AG64=0,0,(AH64-AG64)/AG64*100)</f>
        <v>0</v>
      </c>
      <c r="AJ64" s="166"/>
      <c r="AK64" s="166"/>
      <c r="AL64" s="917">
        <f>IF(AJ64=0,0,(AK64-AJ64)/AJ64*100)</f>
        <v>0</v>
      </c>
      <c r="AM64" s="166"/>
      <c r="AN64" s="166"/>
      <c r="AO64" s="917">
        <f>IF(AM64=0,0,(AN64-AM64)/AM64*100)</f>
        <v>0</v>
      </c>
      <c r="AP64" s="166"/>
      <c r="AQ64" s="166"/>
      <c r="AR64" s="917">
        <f>IF(AP64=0,0,(AQ64-AP64)/AP64*100)</f>
        <v>0</v>
      </c>
      <c r="AS64" s="166"/>
      <c r="AT64" s="166"/>
      <c r="AU64" s="917">
        <f>IF(AS64=0,0,(AT64-AS64)/AS64*100)</f>
        <v>0</v>
      </c>
      <c r="AV64" s="166"/>
      <c r="AW64" s="166"/>
      <c r="AX64" s="917">
        <f>IF(AV64=0,0,(AW64-AV64)/AV64*100)</f>
        <v>0</v>
      </c>
      <c r="AY64" s="166"/>
      <c r="AZ64" s="166"/>
      <c r="BA64" s="917">
        <f>IF(AY64=0,0,(AZ64-AY64)/AY64*100)</f>
        <v>0</v>
      </c>
      <c r="BB64" s="166"/>
      <c r="BC64" s="166"/>
      <c r="BD64" s="917">
        <f>IF(BB64=0,0,(BC64-BB64)/BB64*100)</f>
        <v>0</v>
      </c>
      <c r="BE64" s="166"/>
      <c r="BF64" s="166"/>
      <c r="BG64" s="917">
        <f>IF(BE64=0,0,(BF64-BE64)/BE64*100)</f>
        <v>0</v>
      </c>
      <c r="BH64" s="166"/>
      <c r="BI64" s="166"/>
      <c r="BJ64" s="917">
        <f>IF(BH64=0,0,(BI64-BH64)/BH64*100)</f>
        <v>0</v>
      </c>
      <c r="BK64" s="166"/>
      <c r="BL64" s="166"/>
      <c r="BM64" s="917">
        <f>IF(BK64=0,0,(BL64-BK64)/BK64*100)</f>
        <v>0</v>
      </c>
      <c r="BN64" s="166"/>
      <c r="BO64" s="166"/>
      <c r="BP64" s="917">
        <f>IF(BN64=0,0,(BO64-BN64)/BN64*100)</f>
        <v>0</v>
      </c>
      <c r="BQ64" s="166"/>
      <c r="BR64" s="166"/>
      <c r="BS64" s="917">
        <f>IF(BQ64=0,0,(BR64-BQ64)/BQ64*100)</f>
        <v>0</v>
      </c>
      <c r="BT64" s="166"/>
      <c r="BU64" s="166"/>
      <c r="BV64" s="917">
        <f>IF(BT64=0,0,(BU64-BT64)/BT64*100)</f>
        <v>0</v>
      </c>
      <c r="BW64" s="166"/>
      <c r="BX64" s="166"/>
      <c r="BY64" s="917">
        <f>IF(BW64=0,0,(BX64-BW64)/BW64*100)</f>
        <v>0</v>
      </c>
      <c r="BZ64" s="166"/>
      <c r="CA64" s="166"/>
      <c r="CB64" s="917">
        <f>IF(BZ64=0,0,(CA64-BZ64)/BZ64*100)</f>
        <v>0</v>
      </c>
      <c r="CC64" s="166"/>
      <c r="CD64" s="166"/>
      <c r="CE64" s="917">
        <f>IF(CC64=0,0,(CD64-CC64)/CC64*100)</f>
        <v>0</v>
      </c>
      <c r="CF64" s="166"/>
      <c r="CG64" s="166"/>
      <c r="CH64" s="917">
        <f>IF(CF64=0,0,(CG64-CF64)/CF64*100)</f>
        <v>0</v>
      </c>
      <c r="CI64" s="166"/>
      <c r="CJ64" s="166"/>
      <c r="CK64" s="917">
        <f>IF(CI64=0,0,(CJ64-CI64)/CI64*100)</f>
        <v>0</v>
      </c>
      <c r="CL64" s="166"/>
      <c r="CM64" s="166"/>
      <c r="CN64" s="917">
        <f>IF(CL64=0,0,(CM64-CL64)/CL64*100)</f>
        <v>0</v>
      </c>
      <c r="CO64" s="166"/>
      <c r="CP64" s="166"/>
      <c r="CQ64" s="917">
        <f>IF(CO64=0,0,(CP64-CO64)/CO64*100)</f>
        <v>0</v>
      </c>
      <c r="CR64" s="166"/>
      <c r="CS64" s="166"/>
      <c r="CT64" s="917">
        <f>IF(CR64=0,0,(CS64-CR64)/CR64*100)</f>
        <v>0</v>
      </c>
      <c r="CU64" s="166"/>
      <c r="CV64" s="166"/>
      <c r="CW64" s="917">
        <f>IF(CU64=0,0,(CV64-CU64)/CU64*100)</f>
        <v>0</v>
      </c>
      <c r="CX64" s="166"/>
      <c r="CY64" s="166"/>
      <c r="CZ64" s="917">
        <f>IF(CX64=0,0,(CY64-CX64)/CX64*100)</f>
        <v>0</v>
      </c>
      <c r="DA64" s="166"/>
      <c r="DB64" s="166"/>
      <c r="DC64" s="917">
        <f>IF(DA64=0,0,(DB64-DA64)/DA64*100)</f>
        <v>0</v>
      </c>
      <c r="DD64" s="166"/>
      <c r="DE64" s="166"/>
      <c r="DF64" s="917">
        <f>IF(DD64=0,0,(DE64-DD64)/DD64*100)</f>
        <v>0</v>
      </c>
      <c r="DG64" s="166"/>
      <c r="DH64" s="166"/>
      <c r="DI64" s="917">
        <f>IF(DG64=0,0,(DH64-DG64)/DG64*100)</f>
        <v>0</v>
      </c>
      <c r="DJ64" s="166"/>
      <c r="DK64" s="166"/>
      <c r="DL64" s="917">
        <f>IF(DJ64=0,0,(DK64-DJ64)/DJ64*100)</f>
        <v>0</v>
      </c>
      <c r="DM64" s="166"/>
      <c r="DN64" s="166"/>
      <c r="DO64" s="917">
        <f>IF(DM64=0,0,(DN64-DM64)/DM64*100)</f>
        <v>0</v>
      </c>
      <c r="DP64" s="166"/>
      <c r="DQ64" s="166"/>
      <c r="DR64" s="917">
        <f>IF(DP64=0,0,(DQ64-DP64)/DP64*100)</f>
        <v>0</v>
      </c>
      <c r="DS64" s="166"/>
      <c r="DT64" s="166"/>
      <c r="DU64" s="917">
        <f>IF(DS64=0,0,(DT64-DS64)/DS64*100)</f>
        <v>0</v>
      </c>
      <c r="DV64" s="166"/>
      <c r="DW64" s="166"/>
      <c r="DX64" s="917">
        <f>IF(DV64=0,0,(DW64-DV64)/DV64*100)</f>
        <v>0</v>
      </c>
      <c r="DY64" s="166"/>
      <c r="DZ64" s="166"/>
      <c r="EA64" s="917">
        <f>IF(DY64=0,0,(DZ64-DY64)/DY64*100)</f>
        <v>0</v>
      </c>
      <c r="EB64" s="166"/>
      <c r="EC64" s="166"/>
      <c r="ED64" s="917">
        <f>IF(EB64=0,0,(EC64-EB64)/EB64*100)</f>
        <v>0</v>
      </c>
      <c r="EE64" s="166"/>
      <c r="EF64" s="166"/>
      <c r="EG64" s="917">
        <f>IF(EE64=0,0,(EF64-EE64)/EE64*100)</f>
        <v>0</v>
      </c>
      <c r="EH64" s="166"/>
      <c r="EI64" s="166"/>
      <c r="EJ64" s="917">
        <f>IF(EH64=0,0,(EI64-EH64)/EH64*100)</f>
        <v>0</v>
      </c>
      <c r="EK64" s="166"/>
      <c r="EL64" s="166"/>
      <c r="EM64" s="917">
        <f>IF(EK64=0,0,(EL64-EK64)/EK64*100)</f>
        <v>0</v>
      </c>
      <c r="EN64" s="166"/>
      <c r="EO64" s="166"/>
      <c r="EP64" s="917">
        <f>IF(EN64=0,0,(EO64-EN64)/EN64*100)</f>
        <v>0</v>
      </c>
      <c r="EQ64" s="166"/>
      <c r="ER64" s="166"/>
      <c r="ES64" s="917">
        <f>IF(EQ64=0,0,(ER64-EQ64)/EQ64*100)</f>
        <v>0</v>
      </c>
      <c r="ET64" s="166"/>
      <c r="EU64" s="166"/>
      <c r="EV64" s="917">
        <f>IF(ET64=0,0,(EU64-ET64)/ET64*100)</f>
        <v>0</v>
      </c>
      <c r="EW64" s="166"/>
      <c r="EX64" s="166"/>
      <c r="EY64" s="917">
        <f>IF(EW64=0,0,(EX64-EW64)/EW64*100)</f>
        <v>0</v>
      </c>
      <c r="EZ64" s="166"/>
      <c r="FA64" s="166"/>
      <c r="FB64" s="917">
        <f>IF(EZ64=0,0,(FA64-EZ64)/EZ64*100)</f>
        <v>0</v>
      </c>
      <c r="FC64" s="166"/>
      <c r="FD64" s="166"/>
      <c r="FE64" s="917">
        <f>IF(FC64=0,0,(FD64-FC64)/FC64*100)</f>
        <v>0</v>
      </c>
      <c r="FF64" s="166"/>
      <c r="FG64" s="166"/>
      <c r="FH64" s="917">
        <f>IF(FF64=0,0,(FG64-FF64)/FF64*100)</f>
        <v>0</v>
      </c>
      <c r="FI64" s="166"/>
      <c r="FJ64" s="166"/>
      <c r="FK64" s="917">
        <f>IF(FI64=0,0,(FJ64-FI64)/FI64*100)</f>
        <v>0</v>
      </c>
      <c r="FL64" s="166"/>
      <c r="FM64" s="166"/>
      <c r="FN64" s="917">
        <f>IF(FL64=0,0,(FM64-FL64)/FL64*100)</f>
        <v>0</v>
      </c>
      <c r="FO64" s="166"/>
      <c r="FP64" s="166"/>
      <c r="FQ64" s="917">
        <f>IF(FO64=0,0,(FP64-FO64)/FO64*100)</f>
        <v>0</v>
      </c>
      <c r="FR64" s="166"/>
      <c r="FS64" s="166"/>
      <c r="FT64" s="917">
        <f>IF(FR64=0,0,(FS64-FR64)/FR64*100)</f>
        <v>0</v>
      </c>
      <c r="FU64" s="166"/>
      <c r="FV64" s="166"/>
      <c r="FW64" s="917">
        <f>IF(FU64=0,0,(FV64-FU64)/FU64*100)</f>
        <v>0</v>
      </c>
      <c r="FZ64" s="489" t="s">
        <v>2514</v>
      </c>
      <c r="GA64" s="489"/>
      <c r="GB64" s="489"/>
      <c r="GC64" s="489"/>
      <c r="GD64" s="489"/>
      <c r="GF64" s="1501" cm="1" t="str">
        <f t="array" ref="GF64:GF64">GF63</f>
        <v>0</v>
      </c>
      <c r="GG64" s="1501" t="s">
        <v>704</v>
      </c>
      <c r="GH64" s="1501" t="s">
        <v>2469</v>
      </c>
      <c r="GI64" s="1501" t="s">
        <v>796</v>
      </c>
      <c r="GJ64" s="1501" t="s">
        <v>2084</v>
      </c>
      <c r="GK64" s="1501"/>
      <c r="GL64" s="1501" t="s">
        <v>303</v>
      </c>
      <c r="GM64" s="1501" t="s">
        <v>2079</v>
      </c>
      <c r="GN64" s="1501" t="s">
        <v>2080</v>
      </c>
    </row>
    <row customHeight="1" ht="31.200000000000003" hidden="1">
      <c r="B65" s="192" cm="1" t="str">
        <f t="array" ref="B65:B65">B64</f>
        <v>false</v>
      </c>
      <c r="E65" s="180">
        <v>32</v>
      </c>
      <c r="F65" s="175" cm="1" t="str">
        <f t="array" ref="F65:F65">OFFSET(G65,-1,-1)</f>
        <v>0</v>
      </c>
      <c r="I65" s="193" t="s">
        <v>2466</v>
      </c>
      <c r="T65" s="753" cm="1" t="str">
        <f t="array" ref="T65:T65">T64</f>
        <v>false</v>
      </c>
      <c r="AB65" s="560" t="s">
        <v>2498</v>
      </c>
      <c r="AC65" s="333" t="s">
        <v>2131</v>
      </c>
      <c r="AD65" s="76"/>
      <c r="AE65" s="76"/>
      <c r="AF65" s="915">
        <f>IF(AD65=0,0,(AE65-AD65)/AD65*100)</f>
        <v>0</v>
      </c>
      <c r="AG65" s="76"/>
      <c r="AH65" s="76"/>
      <c r="AI65" s="915">
        <f>IF(AG65=0,0,(AH65-AG65)/AG65*100)</f>
        <v>0</v>
      </c>
      <c r="AJ65" s="76"/>
      <c r="AK65" s="76"/>
      <c r="AL65" s="915">
        <f>IF(AJ65=0,0,(AK65-AJ65)/AJ65*100)</f>
        <v>0</v>
      </c>
      <c r="AM65" s="76"/>
      <c r="AN65" s="76"/>
      <c r="AO65" s="915">
        <f>IF(AM65=0,0,(AN65-AM65)/AM65*100)</f>
        <v>0</v>
      </c>
      <c r="AP65" s="76"/>
      <c r="AQ65" s="76"/>
      <c r="AR65" s="915">
        <f>IF(AP65=0,0,(AQ65-AP65)/AP65*100)</f>
        <v>0</v>
      </c>
      <c r="AS65" s="76"/>
      <c r="AT65" s="76"/>
      <c r="AU65" s="915">
        <f>IF(AS65=0,0,(AT65-AS65)/AS65*100)</f>
        <v>0</v>
      </c>
      <c r="AV65" s="76"/>
      <c r="AW65" s="76"/>
      <c r="AX65" s="915">
        <f>IF(AV65=0,0,(AW65-AV65)/AV65*100)</f>
        <v>0</v>
      </c>
      <c r="AY65" s="76"/>
      <c r="AZ65" s="76"/>
      <c r="BA65" s="915">
        <f>IF(AY65=0,0,(AZ65-AY65)/AY65*100)</f>
        <v>0</v>
      </c>
      <c r="BB65" s="76"/>
      <c r="BC65" s="76"/>
      <c r="BD65" s="915">
        <f>IF(BB65=0,0,(BC65-BB65)/BB65*100)</f>
        <v>0</v>
      </c>
      <c r="BE65" s="76"/>
      <c r="BF65" s="76"/>
      <c r="BG65" s="915">
        <f>IF(BE65=0,0,(BF65-BE65)/BE65*100)</f>
        <v>0</v>
      </c>
      <c r="BH65" s="76"/>
      <c r="BI65" s="76"/>
      <c r="BJ65" s="915">
        <f>IF(BH65=0,0,(BI65-BH65)/BH65*100)</f>
        <v>0</v>
      </c>
      <c r="BK65" s="76"/>
      <c r="BL65" s="76"/>
      <c r="BM65" s="915">
        <f>IF(BK65=0,0,(BL65-BK65)/BK65*100)</f>
        <v>0</v>
      </c>
      <c r="BN65" s="76"/>
      <c r="BO65" s="76"/>
      <c r="BP65" s="915">
        <f>IF(BN65=0,0,(BO65-BN65)/BN65*100)</f>
        <v>0</v>
      </c>
      <c r="BQ65" s="76"/>
      <c r="BR65" s="76"/>
      <c r="BS65" s="915">
        <f>IF(BQ65=0,0,(BR65-BQ65)/BQ65*100)</f>
        <v>0</v>
      </c>
      <c r="BT65" s="76"/>
      <c r="BU65" s="76"/>
      <c r="BV65" s="915">
        <f>IF(BT65=0,0,(BU65-BT65)/BT65*100)</f>
        <v>0</v>
      </c>
      <c r="BW65" s="76"/>
      <c r="BX65" s="76"/>
      <c r="BY65" s="915">
        <f>IF(BW65=0,0,(BX65-BW65)/BW65*100)</f>
        <v>0</v>
      </c>
      <c r="BZ65" s="76"/>
      <c r="CA65" s="76"/>
      <c r="CB65" s="915">
        <f>IF(BZ65=0,0,(CA65-BZ65)/BZ65*100)</f>
        <v>0</v>
      </c>
      <c r="CC65" s="76"/>
      <c r="CD65" s="76"/>
      <c r="CE65" s="915">
        <f>IF(CC65=0,0,(CD65-CC65)/CC65*100)</f>
        <v>0</v>
      </c>
      <c r="CF65" s="76"/>
      <c r="CG65" s="76"/>
      <c r="CH65" s="915">
        <f>IF(CF65=0,0,(CG65-CF65)/CF65*100)</f>
        <v>0</v>
      </c>
      <c r="CI65" s="76"/>
      <c r="CJ65" s="76"/>
      <c r="CK65" s="915">
        <f>IF(CI65=0,0,(CJ65-CI65)/CI65*100)</f>
        <v>0</v>
      </c>
      <c r="CL65" s="76"/>
      <c r="CM65" s="76"/>
      <c r="CN65" s="915">
        <f>IF(CL65=0,0,(CM65-CL65)/CL65*100)</f>
        <v>0</v>
      </c>
      <c r="CO65" s="76"/>
      <c r="CP65" s="76"/>
      <c r="CQ65" s="915">
        <f>IF(CO65=0,0,(CP65-CO65)/CO65*100)</f>
        <v>0</v>
      </c>
      <c r="CR65" s="76"/>
      <c r="CS65" s="76"/>
      <c r="CT65" s="915">
        <f>IF(CR65=0,0,(CS65-CR65)/CR65*100)</f>
        <v>0</v>
      </c>
      <c r="CU65" s="76"/>
      <c r="CV65" s="76"/>
      <c r="CW65" s="915">
        <f>IF(CU65=0,0,(CV65-CU65)/CU65*100)</f>
        <v>0</v>
      </c>
      <c r="CX65" s="76"/>
      <c r="CY65" s="76"/>
      <c r="CZ65" s="915">
        <f>IF(CX65=0,0,(CY65-CX65)/CX65*100)</f>
        <v>0</v>
      </c>
      <c r="DA65" s="76"/>
      <c r="DB65" s="76"/>
      <c r="DC65" s="915">
        <f>IF(DA65=0,0,(DB65-DA65)/DA65*100)</f>
        <v>0</v>
      </c>
      <c r="DD65" s="76"/>
      <c r="DE65" s="76"/>
      <c r="DF65" s="915">
        <f>IF(DD65=0,0,(DE65-DD65)/DD65*100)</f>
        <v>0</v>
      </c>
      <c r="DG65" s="76"/>
      <c r="DH65" s="76"/>
      <c r="DI65" s="915">
        <f>IF(DG65=0,0,(DH65-DG65)/DG65*100)</f>
        <v>0</v>
      </c>
      <c r="DJ65" s="76"/>
      <c r="DK65" s="76"/>
      <c r="DL65" s="915">
        <f>IF(DJ65=0,0,(DK65-DJ65)/DJ65*100)</f>
        <v>0</v>
      </c>
      <c r="DM65" s="76"/>
      <c r="DN65" s="76"/>
      <c r="DO65" s="915">
        <f>IF(DM65=0,0,(DN65-DM65)/DM65*100)</f>
        <v>0</v>
      </c>
      <c r="DP65" s="76"/>
      <c r="DQ65" s="76"/>
      <c r="DR65" s="915">
        <f>IF(DP65=0,0,(DQ65-DP65)/DP65*100)</f>
        <v>0</v>
      </c>
      <c r="DS65" s="76"/>
      <c r="DT65" s="76"/>
      <c r="DU65" s="915">
        <f>IF(DS65=0,0,(DT65-DS65)/DS65*100)</f>
        <v>0</v>
      </c>
      <c r="DV65" s="76"/>
      <c r="DW65" s="76"/>
      <c r="DX65" s="915">
        <f>IF(DV65=0,0,(DW65-DV65)/DV65*100)</f>
        <v>0</v>
      </c>
      <c r="DY65" s="76"/>
      <c r="DZ65" s="76"/>
      <c r="EA65" s="915">
        <f>IF(DY65=0,0,(DZ65-DY65)/DY65*100)</f>
        <v>0</v>
      </c>
      <c r="EB65" s="76"/>
      <c r="EC65" s="76"/>
      <c r="ED65" s="915">
        <f>IF(EB65=0,0,(EC65-EB65)/EB65*100)</f>
        <v>0</v>
      </c>
      <c r="EE65" s="76"/>
      <c r="EF65" s="76"/>
      <c r="EG65" s="915">
        <f>IF(EE65=0,0,(EF65-EE65)/EE65*100)</f>
        <v>0</v>
      </c>
      <c r="EH65" s="76"/>
      <c r="EI65" s="76"/>
      <c r="EJ65" s="915">
        <f>IF(EH65=0,0,(EI65-EH65)/EH65*100)</f>
        <v>0</v>
      </c>
      <c r="EK65" s="76"/>
      <c r="EL65" s="76"/>
      <c r="EM65" s="915">
        <f>IF(EK65=0,0,(EL65-EK65)/EK65*100)</f>
        <v>0</v>
      </c>
      <c r="EN65" s="76"/>
      <c r="EO65" s="76"/>
      <c r="EP65" s="915">
        <f>IF(EN65=0,0,(EO65-EN65)/EN65*100)</f>
        <v>0</v>
      </c>
      <c r="EQ65" s="76"/>
      <c r="ER65" s="76"/>
      <c r="ES65" s="915">
        <f>IF(EQ65=0,0,(ER65-EQ65)/EQ65*100)</f>
        <v>0</v>
      </c>
      <c r="ET65" s="76"/>
      <c r="EU65" s="76"/>
      <c r="EV65" s="915">
        <f>IF(ET65=0,0,(EU65-ET65)/ET65*100)</f>
        <v>0</v>
      </c>
      <c r="EW65" s="76"/>
      <c r="EX65" s="76"/>
      <c r="EY65" s="915">
        <f>IF(EW65=0,0,(EX65-EW65)/EW65*100)</f>
        <v>0</v>
      </c>
      <c r="EZ65" s="76"/>
      <c r="FA65" s="76"/>
      <c r="FB65" s="915">
        <f>IF(EZ65=0,0,(FA65-EZ65)/EZ65*100)</f>
        <v>0</v>
      </c>
      <c r="FC65" s="76"/>
      <c r="FD65" s="76"/>
      <c r="FE65" s="915">
        <f>IF(FC65=0,0,(FD65-FC65)/FC65*100)</f>
        <v>0</v>
      </c>
      <c r="FF65" s="76"/>
      <c r="FG65" s="76"/>
      <c r="FH65" s="915">
        <f>IF(FF65=0,0,(FG65-FF65)/FF65*100)</f>
        <v>0</v>
      </c>
      <c r="FI65" s="76"/>
      <c r="FJ65" s="76"/>
      <c r="FK65" s="915">
        <f>IF(FI65=0,0,(FJ65-FI65)/FI65*100)</f>
        <v>0</v>
      </c>
      <c r="FL65" s="76"/>
      <c r="FM65" s="76"/>
      <c r="FN65" s="915">
        <f>IF(FL65=0,0,(FM65-FL65)/FL65*100)</f>
        <v>0</v>
      </c>
      <c r="FO65" s="76"/>
      <c r="FP65" s="76"/>
      <c r="FQ65" s="915">
        <f>IF(FO65=0,0,(FP65-FO65)/FO65*100)</f>
        <v>0</v>
      </c>
      <c r="FR65" s="76"/>
      <c r="FS65" s="76"/>
      <c r="FT65" s="915">
        <f>IF(FR65=0,0,(FS65-FR65)/FR65*100)</f>
        <v>0</v>
      </c>
      <c r="FU65" s="76"/>
      <c r="FV65" s="76"/>
      <c r="FW65" s="915">
        <f>IF(FU65=0,0,(FV65-FU65)/FU65*100)</f>
        <v>0</v>
      </c>
      <c r="FZ65" s="489" t="s">
        <v>2515</v>
      </c>
      <c r="GA65" s="489"/>
      <c r="GB65" s="489"/>
      <c r="GC65" s="489"/>
      <c r="GD65" s="489"/>
      <c r="GF65" s="1501" cm="1" t="str">
        <f t="array" ref="GF65:GF65">GF64</f>
        <v>0</v>
      </c>
      <c r="GG65" s="1501" t="s">
        <v>704</v>
      </c>
      <c r="GH65" s="1501" t="s">
        <v>2469</v>
      </c>
      <c r="GI65" s="1501" t="s">
        <v>796</v>
      </c>
      <c r="GJ65" s="1501" t="s">
        <v>2084</v>
      </c>
      <c r="GK65" s="1501"/>
      <c r="GL65" s="1501" t="s">
        <v>303</v>
      </c>
      <c r="GM65" s="1501" t="s">
        <v>2500</v>
      </c>
      <c r="GN65" s="1501" t="s">
        <v>2501</v>
      </c>
    </row>
    <row customHeight="1" ht="15.600000000000001" hidden="1">
      <c r="B66" s="192" cm="1" t="str">
        <f t="array" ref="B66:B66">B65</f>
        <v>false</v>
      </c>
      <c r="E66" s="180">
        <v>16</v>
      </c>
      <c r="F66" s="175" cm="1" t="str">
        <f t="array" ref="F66:F66">OFFSET(G66,-1,-1)</f>
        <v>0</v>
      </c>
      <c r="I66" s="193" t="s">
        <v>2466</v>
      </c>
      <c r="T66" s="753" cm="1" t="str">
        <f t="array" ref="T66:T66">T65</f>
        <v>false</v>
      </c>
      <c r="AB66" s="560" t="s">
        <v>2502</v>
      </c>
      <c r="AC66" s="845" t="s">
        <v>752</v>
      </c>
      <c r="AD66" s="76"/>
      <c r="AE66" s="76"/>
      <c r="AF66" s="915">
        <f>IF(AD66=0,0,(AE66-AD66)/AD66*100)</f>
        <v>0</v>
      </c>
      <c r="AG66" s="76"/>
      <c r="AH66" s="76"/>
      <c r="AI66" s="915">
        <f>IF(AG66=0,0,(AH66-AG66)/AG66*100)</f>
        <v>0</v>
      </c>
      <c r="AJ66" s="76"/>
      <c r="AK66" s="76"/>
      <c r="AL66" s="915">
        <f>IF(AJ66=0,0,(AK66-AJ66)/AJ66*100)</f>
        <v>0</v>
      </c>
      <c r="AM66" s="76"/>
      <c r="AN66" s="76"/>
      <c r="AO66" s="915">
        <f>IF(AM66=0,0,(AN66-AM66)/AM66*100)</f>
        <v>0</v>
      </c>
      <c r="AP66" s="76"/>
      <c r="AQ66" s="76"/>
      <c r="AR66" s="915">
        <f>IF(AP66=0,0,(AQ66-AP66)/AP66*100)</f>
        <v>0</v>
      </c>
      <c r="AS66" s="76"/>
      <c r="AT66" s="76"/>
      <c r="AU66" s="915">
        <f>IF(AS66=0,0,(AT66-AS66)/AS66*100)</f>
        <v>0</v>
      </c>
      <c r="AV66" s="76"/>
      <c r="AW66" s="76"/>
      <c r="AX66" s="915">
        <f>IF(AV66=0,0,(AW66-AV66)/AV66*100)</f>
        <v>0</v>
      </c>
      <c r="AY66" s="76"/>
      <c r="AZ66" s="76"/>
      <c r="BA66" s="915">
        <f>IF(AY66=0,0,(AZ66-AY66)/AY66*100)</f>
        <v>0</v>
      </c>
      <c r="BB66" s="76"/>
      <c r="BC66" s="76"/>
      <c r="BD66" s="915">
        <f>IF(BB66=0,0,(BC66-BB66)/BB66*100)</f>
        <v>0</v>
      </c>
      <c r="BE66" s="76"/>
      <c r="BF66" s="76"/>
      <c r="BG66" s="915">
        <f>IF(BE66=0,0,(BF66-BE66)/BE66*100)</f>
        <v>0</v>
      </c>
      <c r="BH66" s="76"/>
      <c r="BI66" s="76"/>
      <c r="BJ66" s="915">
        <f>IF(BH66=0,0,(BI66-BH66)/BH66*100)</f>
        <v>0</v>
      </c>
      <c r="BK66" s="76"/>
      <c r="BL66" s="76"/>
      <c r="BM66" s="915">
        <f>IF(BK66=0,0,(BL66-BK66)/BK66*100)</f>
        <v>0</v>
      </c>
      <c r="BN66" s="76"/>
      <c r="BO66" s="76"/>
      <c r="BP66" s="915">
        <f>IF(BN66=0,0,(BO66-BN66)/BN66*100)</f>
        <v>0</v>
      </c>
      <c r="BQ66" s="76"/>
      <c r="BR66" s="76"/>
      <c r="BS66" s="915">
        <f>IF(BQ66=0,0,(BR66-BQ66)/BQ66*100)</f>
        <v>0</v>
      </c>
      <c r="BT66" s="76"/>
      <c r="BU66" s="76"/>
      <c r="BV66" s="915">
        <f>IF(BT66=0,0,(BU66-BT66)/BT66*100)</f>
        <v>0</v>
      </c>
      <c r="BW66" s="76"/>
      <c r="BX66" s="76"/>
      <c r="BY66" s="915">
        <f>IF(BW66=0,0,(BX66-BW66)/BW66*100)</f>
        <v>0</v>
      </c>
      <c r="BZ66" s="76"/>
      <c r="CA66" s="76"/>
      <c r="CB66" s="915">
        <f>IF(BZ66=0,0,(CA66-BZ66)/BZ66*100)</f>
        <v>0</v>
      </c>
      <c r="CC66" s="76"/>
      <c r="CD66" s="76"/>
      <c r="CE66" s="915">
        <f>IF(CC66=0,0,(CD66-CC66)/CC66*100)</f>
        <v>0</v>
      </c>
      <c r="CF66" s="76"/>
      <c r="CG66" s="76"/>
      <c r="CH66" s="915">
        <f>IF(CF66=0,0,(CG66-CF66)/CF66*100)</f>
        <v>0</v>
      </c>
      <c r="CI66" s="76"/>
      <c r="CJ66" s="76"/>
      <c r="CK66" s="915">
        <f>IF(CI66=0,0,(CJ66-CI66)/CI66*100)</f>
        <v>0</v>
      </c>
      <c r="CL66" s="76"/>
      <c r="CM66" s="76"/>
      <c r="CN66" s="915">
        <f>IF(CL66=0,0,(CM66-CL66)/CL66*100)</f>
        <v>0</v>
      </c>
      <c r="CO66" s="76"/>
      <c r="CP66" s="76"/>
      <c r="CQ66" s="915">
        <f>IF(CO66=0,0,(CP66-CO66)/CO66*100)</f>
        <v>0</v>
      </c>
      <c r="CR66" s="76"/>
      <c r="CS66" s="76"/>
      <c r="CT66" s="915">
        <f>IF(CR66=0,0,(CS66-CR66)/CR66*100)</f>
        <v>0</v>
      </c>
      <c r="CU66" s="76"/>
      <c r="CV66" s="76"/>
      <c r="CW66" s="915">
        <f>IF(CU66=0,0,(CV66-CU66)/CU66*100)</f>
        <v>0</v>
      </c>
      <c r="CX66" s="76"/>
      <c r="CY66" s="76"/>
      <c r="CZ66" s="915">
        <f>IF(CX66=0,0,(CY66-CX66)/CX66*100)</f>
        <v>0</v>
      </c>
      <c r="DA66" s="76"/>
      <c r="DB66" s="76"/>
      <c r="DC66" s="915">
        <f>IF(DA66=0,0,(DB66-DA66)/DA66*100)</f>
        <v>0</v>
      </c>
      <c r="DD66" s="76"/>
      <c r="DE66" s="76"/>
      <c r="DF66" s="915">
        <f>IF(DD66=0,0,(DE66-DD66)/DD66*100)</f>
        <v>0</v>
      </c>
      <c r="DG66" s="76"/>
      <c r="DH66" s="76"/>
      <c r="DI66" s="915">
        <f>IF(DG66=0,0,(DH66-DG66)/DG66*100)</f>
        <v>0</v>
      </c>
      <c r="DJ66" s="76"/>
      <c r="DK66" s="76"/>
      <c r="DL66" s="915">
        <f>IF(DJ66=0,0,(DK66-DJ66)/DJ66*100)</f>
        <v>0</v>
      </c>
      <c r="DM66" s="76"/>
      <c r="DN66" s="76"/>
      <c r="DO66" s="915">
        <f>IF(DM66=0,0,(DN66-DM66)/DM66*100)</f>
        <v>0</v>
      </c>
      <c r="DP66" s="76"/>
      <c r="DQ66" s="76"/>
      <c r="DR66" s="915">
        <f>IF(DP66=0,0,(DQ66-DP66)/DP66*100)</f>
        <v>0</v>
      </c>
      <c r="DS66" s="76"/>
      <c r="DT66" s="76"/>
      <c r="DU66" s="915">
        <f>IF(DS66=0,0,(DT66-DS66)/DS66*100)</f>
        <v>0</v>
      </c>
      <c r="DV66" s="76"/>
      <c r="DW66" s="76"/>
      <c r="DX66" s="915">
        <f>IF(DV66=0,0,(DW66-DV66)/DV66*100)</f>
        <v>0</v>
      </c>
      <c r="DY66" s="76"/>
      <c r="DZ66" s="76"/>
      <c r="EA66" s="915">
        <f>IF(DY66=0,0,(DZ66-DY66)/DY66*100)</f>
        <v>0</v>
      </c>
      <c r="EB66" s="76"/>
      <c r="EC66" s="76"/>
      <c r="ED66" s="915">
        <f>IF(EB66=0,0,(EC66-EB66)/EB66*100)</f>
        <v>0</v>
      </c>
      <c r="EE66" s="76"/>
      <c r="EF66" s="76"/>
      <c r="EG66" s="915">
        <f>IF(EE66=0,0,(EF66-EE66)/EE66*100)</f>
        <v>0</v>
      </c>
      <c r="EH66" s="76"/>
      <c r="EI66" s="76"/>
      <c r="EJ66" s="915">
        <f>IF(EH66=0,0,(EI66-EH66)/EH66*100)</f>
        <v>0</v>
      </c>
      <c r="EK66" s="76"/>
      <c r="EL66" s="76"/>
      <c r="EM66" s="915">
        <f>IF(EK66=0,0,(EL66-EK66)/EK66*100)</f>
        <v>0</v>
      </c>
      <c r="EN66" s="76"/>
      <c r="EO66" s="76"/>
      <c r="EP66" s="915">
        <f>IF(EN66=0,0,(EO66-EN66)/EN66*100)</f>
        <v>0</v>
      </c>
      <c r="EQ66" s="76"/>
      <c r="ER66" s="76"/>
      <c r="ES66" s="915">
        <f>IF(EQ66=0,0,(ER66-EQ66)/EQ66*100)</f>
        <v>0</v>
      </c>
      <c r="ET66" s="76"/>
      <c r="EU66" s="76"/>
      <c r="EV66" s="915">
        <f>IF(ET66=0,0,(EU66-ET66)/ET66*100)</f>
        <v>0</v>
      </c>
      <c r="EW66" s="76"/>
      <c r="EX66" s="76"/>
      <c r="EY66" s="915">
        <f>IF(EW66=0,0,(EX66-EW66)/EW66*100)</f>
        <v>0</v>
      </c>
      <c r="EZ66" s="76"/>
      <c r="FA66" s="76"/>
      <c r="FB66" s="915">
        <f>IF(EZ66=0,0,(FA66-EZ66)/EZ66*100)</f>
        <v>0</v>
      </c>
      <c r="FC66" s="76"/>
      <c r="FD66" s="76"/>
      <c r="FE66" s="915">
        <f>IF(FC66=0,0,(FD66-FC66)/FC66*100)</f>
        <v>0</v>
      </c>
      <c r="FF66" s="76"/>
      <c r="FG66" s="76"/>
      <c r="FH66" s="915">
        <f>IF(FF66=0,0,(FG66-FF66)/FF66*100)</f>
        <v>0</v>
      </c>
      <c r="FI66" s="76"/>
      <c r="FJ66" s="76"/>
      <c r="FK66" s="915">
        <f>IF(FI66=0,0,(FJ66-FI66)/FI66*100)</f>
        <v>0</v>
      </c>
      <c r="FL66" s="76"/>
      <c r="FM66" s="76"/>
      <c r="FN66" s="915">
        <f>IF(FL66=0,0,(FM66-FL66)/FL66*100)</f>
        <v>0</v>
      </c>
      <c r="FO66" s="76"/>
      <c r="FP66" s="76"/>
      <c r="FQ66" s="915">
        <f>IF(FO66=0,0,(FP66-FO66)/FO66*100)</f>
        <v>0</v>
      </c>
      <c r="FR66" s="76"/>
      <c r="FS66" s="76"/>
      <c r="FT66" s="915">
        <f>IF(FR66=0,0,(FS66-FR66)/FR66*100)</f>
        <v>0</v>
      </c>
      <c r="FU66" s="76"/>
      <c r="FV66" s="76"/>
      <c r="FW66" s="915">
        <f>IF(FU66=0,0,(FV66-FU66)/FU66*100)</f>
        <v>0</v>
      </c>
      <c r="FZ66" s="489" t="s">
        <v>2516</v>
      </c>
      <c r="GA66" s="489"/>
      <c r="GB66" s="489"/>
      <c r="GC66" s="489"/>
      <c r="GD66" s="489"/>
      <c r="GF66" s="1501" cm="1" t="str">
        <f t="array" ref="GF66:GF66">GF65</f>
        <v>0</v>
      </c>
      <c r="GG66" s="1501" t="s">
        <v>704</v>
      </c>
      <c r="GH66" s="1501" t="s">
        <v>2469</v>
      </c>
      <c r="GI66" s="1501" t="s">
        <v>796</v>
      </c>
      <c r="GJ66" s="1501" t="s">
        <v>2084</v>
      </c>
      <c r="GK66" s="1501"/>
      <c r="GL66" s="1501" t="s">
        <v>303</v>
      </c>
      <c r="GM66" s="1501" t="s">
        <v>2504</v>
      </c>
      <c r="GN66" s="1501" t="s">
        <v>2505</v>
      </c>
    </row>
    <row customHeight="1" ht="15.600000000000001" hidden="1">
      <c r="B67" s="192" cm="1" t="str">
        <f t="array" ref="B67:B67">B66</f>
        <v>false</v>
      </c>
      <c r="E67" s="180">
        <v>16</v>
      </c>
      <c r="F67" s="175" cm="1" t="str">
        <f t="array" ref="F67:F67">OFFSET(G67,-1,-1)</f>
        <v>0</v>
      </c>
      <c r="T67" s="753" cm="1" t="str">
        <f t="array" ref="T67:T67">T66</f>
        <v>false</v>
      </c>
      <c r="AB67" s="909" t="s">
        <v>2473</v>
      </c>
      <c r="AC67" s="922"/>
      <c r="AD67" s="923"/>
      <c r="AE67" s="923"/>
      <c r="AF67" s="923"/>
      <c r="AG67" s="923"/>
      <c r="AH67" s="923"/>
      <c r="AI67" s="923"/>
      <c r="AJ67" s="923"/>
      <c r="AK67" s="923"/>
      <c r="AL67" s="923"/>
      <c r="AM67" s="923"/>
      <c r="AN67" s="923"/>
      <c r="AO67" s="923"/>
      <c r="AP67" s="923"/>
      <c r="AQ67" s="923"/>
      <c r="AR67" s="923"/>
      <c r="AS67" s="923"/>
      <c r="AT67" s="923"/>
      <c r="AU67" s="923"/>
      <c r="AV67" s="923"/>
      <c r="AW67" s="923"/>
      <c r="AX67" s="923"/>
      <c r="AY67" s="923"/>
      <c r="AZ67" s="923"/>
      <c r="BA67" s="923"/>
      <c r="BB67" s="923"/>
      <c r="BC67" s="923"/>
      <c r="BD67" s="923"/>
      <c r="BE67" s="923"/>
      <c r="BF67" s="923"/>
      <c r="BG67" s="923"/>
      <c r="BH67" s="923"/>
      <c r="BI67" s="923"/>
      <c r="BJ67" s="923"/>
      <c r="BK67" s="923"/>
      <c r="BL67" s="923"/>
      <c r="BM67" s="923"/>
      <c r="BN67" s="923"/>
      <c r="BO67" s="923"/>
      <c r="BP67" s="923"/>
      <c r="BQ67" s="923"/>
      <c r="BR67" s="923"/>
      <c r="BS67" s="923"/>
      <c r="BT67" s="923"/>
      <c r="BU67" s="923"/>
      <c r="BV67" s="923"/>
      <c r="BW67" s="923"/>
      <c r="BX67" s="923"/>
      <c r="BY67" s="923"/>
      <c r="BZ67" s="923"/>
      <c r="CA67" s="923"/>
      <c r="CB67" s="923"/>
      <c r="CC67" s="923"/>
      <c r="CD67" s="923"/>
      <c r="CE67" s="923"/>
      <c r="CF67" s="923"/>
      <c r="CG67" s="923"/>
      <c r="CH67" s="923"/>
      <c r="CI67" s="923"/>
      <c r="CJ67" s="923"/>
      <c r="CK67" s="923"/>
      <c r="CL67" s="923"/>
      <c r="CM67" s="923"/>
      <c r="CN67" s="923"/>
      <c r="CO67" s="923"/>
      <c r="CP67" s="923"/>
      <c r="CQ67" s="923"/>
      <c r="CR67" s="923"/>
      <c r="CS67" s="923"/>
      <c r="CT67" s="923"/>
      <c r="CU67" s="923"/>
      <c r="CV67" s="923"/>
      <c r="CW67" s="923"/>
      <c r="CX67" s="923"/>
      <c r="CY67" s="923"/>
      <c r="CZ67" s="923"/>
      <c r="DA67" s="923"/>
      <c r="DB67" s="923"/>
      <c r="DC67" s="923"/>
      <c r="DD67" s="923"/>
      <c r="DE67" s="923"/>
      <c r="DF67" s="923"/>
      <c r="DG67" s="923"/>
      <c r="DH67" s="923"/>
      <c r="DI67" s="923"/>
      <c r="DJ67" s="923"/>
      <c r="DK67" s="923"/>
      <c r="DL67" s="923"/>
      <c r="DM67" s="923"/>
      <c r="DN67" s="923"/>
      <c r="DO67" s="923"/>
      <c r="DP67" s="923"/>
      <c r="DQ67" s="923"/>
      <c r="DR67" s="923"/>
      <c r="DS67" s="923"/>
      <c r="DT67" s="923"/>
      <c r="DU67" s="923"/>
      <c r="DV67" s="923"/>
      <c r="DW67" s="923"/>
      <c r="DX67" s="923"/>
      <c r="DY67" s="923"/>
      <c r="DZ67" s="923"/>
      <c r="EA67" s="923"/>
      <c r="EB67" s="923"/>
      <c r="EC67" s="923"/>
      <c r="ED67" s="923"/>
      <c r="EE67" s="923"/>
      <c r="EF67" s="923"/>
      <c r="EG67" s="923"/>
      <c r="EH67" s="923"/>
      <c r="EI67" s="923"/>
      <c r="EJ67" s="923"/>
      <c r="EK67" s="923"/>
      <c r="EL67" s="923"/>
      <c r="EM67" s="923"/>
      <c r="EN67" s="923"/>
      <c r="EO67" s="923"/>
      <c r="EP67" s="923"/>
      <c r="EQ67" s="923"/>
      <c r="ER67" s="923"/>
      <c r="ES67" s="923"/>
      <c r="ET67" s="923"/>
      <c r="EU67" s="923"/>
      <c r="EV67" s="923"/>
      <c r="EW67" s="923"/>
      <c r="EX67" s="923"/>
      <c r="EY67" s="923"/>
      <c r="EZ67" s="923"/>
      <c r="FA67" s="923"/>
      <c r="FB67" s="923"/>
      <c r="FC67" s="923"/>
      <c r="FD67" s="923"/>
      <c r="FE67" s="923"/>
      <c r="FF67" s="923"/>
      <c r="FG67" s="923"/>
      <c r="FH67" s="923"/>
      <c r="FI67" s="923"/>
      <c r="FJ67" s="923"/>
      <c r="FK67" s="923"/>
      <c r="FL67" s="923"/>
      <c r="FM67" s="923"/>
      <c r="FN67" s="923"/>
      <c r="FO67" s="923"/>
      <c r="FP67" s="923"/>
      <c r="FQ67" s="923"/>
      <c r="FR67" s="923"/>
      <c r="FS67" s="923"/>
      <c r="FT67" s="923"/>
      <c r="FU67" s="923"/>
      <c r="FV67" s="923"/>
      <c r="FW67" s="924"/>
      <c r="GA67" s="489"/>
      <c r="GB67" s="489"/>
      <c r="GC67" s="489"/>
      <c r="GD67" s="489"/>
      <c r="GF67" s="1501" cm="1" t="str">
        <f t="array" ref="GF67:GF67">GF66</f>
        <v>0</v>
      </c>
      <c r="GG67" s="1501"/>
      <c r="GH67" s="1501"/>
      <c r="GI67" s="1501"/>
      <c r="GJ67" s="1501"/>
      <c r="GK67" s="1501"/>
      <c r="GL67" s="1501" t="s">
        <v>176</v>
      </c>
      <c r="GM67" s="1501"/>
      <c r="GN67" s="1501"/>
    </row>
    <row customHeight="1" ht="15.600000000000001" hidden="1">
      <c r="B68" s="192" cm="1" t="str">
        <f t="array" ref="B68:B68">B67</f>
        <v>false</v>
      </c>
      <c r="E68" s="180">
        <v>16</v>
      </c>
      <c r="F68" s="175" cm="1" t="str">
        <f t="array" ref="F68:F68">OFFSET(G68,-1,-1)</f>
        <v>0</v>
      </c>
      <c r="I68" s="193" t="s">
        <v>2472</v>
      </c>
      <c r="T68" s="753" cm="1" t="str">
        <f t="array" ref="T68:T68">T67</f>
        <v>false</v>
      </c>
      <c r="AB68" s="560" t="s">
        <v>2490</v>
      </c>
      <c r="AC68" s="380" t="s">
        <v>1005</v>
      </c>
      <c r="AD68" s="76">
        <f>IF(AD70=0,0,(AD69*AD70+AD71*AD72*IF(god=2026,3,6))/AD70)</f>
        <v>0</v>
      </c>
      <c r="AE68" s="76">
        <f>IF(AE70=0,0,(AE69*AE70+AE71*AE72*IF(god=2026,3,6))/AE70)</f>
        <v>0</v>
      </c>
      <c r="AF68" s="915">
        <f>IF(AD68=0,0,(AE68-AD68)/AD68*100)</f>
        <v>0</v>
      </c>
      <c r="AG68" s="76">
        <f>IF(AG70=0,0,(AG69*AG70+AG71*AG72*IF(god=2025,3,6))/AG70)</f>
        <v>0</v>
      </c>
      <c r="AH68" s="76">
        <f>IF(AH70=0,0,(AH69*AH70+AH71*AH72*IF(god=2025,3,6))/AH70)</f>
        <v>0</v>
      </c>
      <c r="AI68" s="915">
        <f>IF(AG68=0,0,(AH68-AG68)/AG68*100)</f>
        <v>0</v>
      </c>
      <c r="AJ68" s="76">
        <f>IF(AJ70=0,0,(AJ69*AJ70+AJ71*AJ72*6)/AJ70)</f>
        <v>0</v>
      </c>
      <c r="AK68" s="76">
        <f>IF(AK70=0,0,(AK69*AK70+AK71*AK72*6)/AK70)</f>
        <v>0</v>
      </c>
      <c r="AL68" s="915">
        <f>IF(AJ68=0,0,(AK68-AJ68)/AJ68*100)</f>
        <v>0</v>
      </c>
      <c r="AM68" s="76">
        <f>IF(AM70=0,0,(AM69*AM70+AM71*AM72*6)/AM70)</f>
        <v>0</v>
      </c>
      <c r="AN68" s="76">
        <f>IF(AN70=0,0,(AN69*AN70+AN71*AN72*6)/AN70)</f>
        <v>0</v>
      </c>
      <c r="AO68" s="915">
        <f>IF(AM68=0,0,(AN68-AM68)/AM68*100)</f>
        <v>0</v>
      </c>
      <c r="AP68" s="76">
        <f>IF(AP70=0,0,(AP69*AP70+AP71*AP72*6)/AP70)</f>
        <v>0</v>
      </c>
      <c r="AQ68" s="76">
        <f>IF(AQ70=0,0,(AQ69*AQ70+AQ71*AQ72*6)/AQ70)</f>
        <v>0</v>
      </c>
      <c r="AR68" s="915">
        <f>IF(AP68=0,0,(AQ68-AP68)/AP68*100)</f>
        <v>0</v>
      </c>
      <c r="AS68" s="76">
        <f>IF(AS70=0,0,(AS69*AS70+AS71*AS72*6)/AS70)</f>
        <v>0</v>
      </c>
      <c r="AT68" s="76">
        <f>IF(AT70=0,0,(AT69*AT70+AT71*AT72*6)/AT70)</f>
        <v>0</v>
      </c>
      <c r="AU68" s="915">
        <f>IF(AS68=0,0,(AT68-AS68)/AS68*100)</f>
        <v>0</v>
      </c>
      <c r="AV68" s="76">
        <f>IF(AV70=0,0,(AV69*AV70+AV71*AV72*6)/AV70)</f>
        <v>0</v>
      </c>
      <c r="AW68" s="76">
        <f>IF(AW70=0,0,(AW69*AW70+AW71*AW72*6)/AW70)</f>
        <v>0</v>
      </c>
      <c r="AX68" s="915">
        <f>IF(AV68=0,0,(AW68-AV68)/AV68*100)</f>
        <v>0</v>
      </c>
      <c r="AY68" s="76">
        <f>IF(AY70=0,0,(AY69*AY70+AY71*AY72*6)/AY70)</f>
        <v>0</v>
      </c>
      <c r="AZ68" s="76">
        <f>IF(AZ70=0,0,(AZ69*AZ70+AZ71*AZ72*6)/AZ70)</f>
        <v>0</v>
      </c>
      <c r="BA68" s="915">
        <f>IF(AY68=0,0,(AZ68-AY68)/AY68*100)</f>
        <v>0</v>
      </c>
      <c r="BB68" s="76">
        <f>IF(BB70=0,0,(BB69*BB70+BB71*BB72*6)/BB70)</f>
        <v>0</v>
      </c>
      <c r="BC68" s="76">
        <f>IF(BC70=0,0,(BC69*BC70+BC71*BC72*6)/BC70)</f>
        <v>0</v>
      </c>
      <c r="BD68" s="915">
        <f>IF(BB68=0,0,(BC68-BB68)/BB68*100)</f>
        <v>0</v>
      </c>
      <c r="BE68" s="76">
        <f>IF(BE70=0,0,(BE69*BE70+BE71*BE72*6)/BE70)</f>
        <v>0</v>
      </c>
      <c r="BF68" s="76">
        <f>IF(BF70=0,0,(BF69*BF70+BF71*BF72*6)/BF70)</f>
        <v>0</v>
      </c>
      <c r="BG68" s="915">
        <f>IF(BE68=0,0,(BF68-BE68)/BE68*100)</f>
        <v>0</v>
      </c>
      <c r="BH68" s="76">
        <f>IF(BH70=0,0,(BH69*BH70+BH71*BH72*6)/BH70)</f>
        <v>0</v>
      </c>
      <c r="BI68" s="76">
        <f>IF(BI70=0,0,(BI69*BI70+BI71*BI72*6)/BI70)</f>
        <v>0</v>
      </c>
      <c r="BJ68" s="915">
        <f>IF(BH68=0,0,(BI68-BH68)/BH68*100)</f>
        <v>0</v>
      </c>
      <c r="BK68" s="76">
        <f>IF(BK70=0,0,(BK69*BK70+BK71*BK72*6)/BK70)</f>
        <v>0</v>
      </c>
      <c r="BL68" s="76">
        <f>IF(BL70=0,0,(BL69*BL70+BL71*BL72*6)/BL70)</f>
        <v>0</v>
      </c>
      <c r="BM68" s="915">
        <f>IF(BK68=0,0,(BL68-BK68)/BK68*100)</f>
        <v>0</v>
      </c>
      <c r="BN68" s="76">
        <f>IF(BN70=0,0,(BN69*BN70+BN71*BN72*6)/BN70)</f>
        <v>0</v>
      </c>
      <c r="BO68" s="76">
        <f>IF(BO70=0,0,(BO69*BO70+BO71*BO72*6)/BO70)</f>
        <v>0</v>
      </c>
      <c r="BP68" s="915">
        <f>IF(BN68=0,0,(BO68-BN68)/BN68*100)</f>
        <v>0</v>
      </c>
      <c r="BQ68" s="76">
        <f>IF(BQ70=0,0,(BQ69*BQ70+BQ71*BQ72*6)/BQ70)</f>
        <v>0</v>
      </c>
      <c r="BR68" s="76">
        <f>IF(BR70=0,0,(BR69*BR70+BR71*BR72*6)/BR70)</f>
        <v>0</v>
      </c>
      <c r="BS68" s="915">
        <f>IF(BQ68=0,0,(BR68-BQ68)/BQ68*100)</f>
        <v>0</v>
      </c>
      <c r="BT68" s="76">
        <f>IF(BT70=0,0,(BT69*BT70+BT71*BT72*6)/BT70)</f>
        <v>0</v>
      </c>
      <c r="BU68" s="76">
        <f>IF(BU70=0,0,(BU69*BU70+BU71*BU72*6)/BU70)</f>
        <v>0</v>
      </c>
      <c r="BV68" s="915">
        <f>IF(BT68=0,0,(BU68-BT68)/BT68*100)</f>
        <v>0</v>
      </c>
      <c r="BW68" s="76">
        <f>IF(BW70=0,0,(BW69*BW70+BW71*BW72*6)/BW70)</f>
        <v>0</v>
      </c>
      <c r="BX68" s="76">
        <f>IF(BX70=0,0,(BX69*BX70+BX71*BX72*6)/BX70)</f>
        <v>0</v>
      </c>
      <c r="BY68" s="915">
        <f>IF(BW68=0,0,(BX68-BW68)/BW68*100)</f>
        <v>0</v>
      </c>
      <c r="BZ68" s="76">
        <f>IF(BZ70=0,0,(BZ69*BZ70+BZ71*BZ72*6)/BZ70)</f>
        <v>0</v>
      </c>
      <c r="CA68" s="76">
        <f>IF(CA70=0,0,(CA69*CA70+CA71*CA72*6)/CA70)</f>
        <v>0</v>
      </c>
      <c r="CB68" s="915">
        <f>IF(BZ68=0,0,(CA68-BZ68)/BZ68*100)</f>
        <v>0</v>
      </c>
      <c r="CC68" s="76">
        <f>IF(CC70=0,0,(CC69*CC70+CC71*CC72*6)/CC70)</f>
        <v>0</v>
      </c>
      <c r="CD68" s="76">
        <f>IF(CD70=0,0,(CD69*CD70+CD71*CD72*6)/CD70)</f>
        <v>0</v>
      </c>
      <c r="CE68" s="915">
        <f>IF(CC68=0,0,(CD68-CC68)/CC68*100)</f>
        <v>0</v>
      </c>
      <c r="CF68" s="76">
        <f>IF(CF70=0,0,(CF69*CF70+CF71*CF72*6)/CF70)</f>
        <v>0</v>
      </c>
      <c r="CG68" s="76">
        <f>IF(CG70=0,0,(CG69*CG70+CG71*CG72*6)/CG70)</f>
        <v>0</v>
      </c>
      <c r="CH68" s="915">
        <f>IF(CF68=0,0,(CG68-CF68)/CF68*100)</f>
        <v>0</v>
      </c>
      <c r="CI68" s="76">
        <f>IF(CI70=0,0,(CI69*CI70+CI71*CI72*6)/CI70)</f>
        <v>0</v>
      </c>
      <c r="CJ68" s="76">
        <f>IF(CJ70=0,0,(CJ69*CJ70+CJ71*CJ72*6)/CJ70)</f>
        <v>0</v>
      </c>
      <c r="CK68" s="915">
        <f>IF(CI68=0,0,(CJ68-CI68)/CI68*100)</f>
        <v>0</v>
      </c>
      <c r="CL68" s="76">
        <f>IF(CL70=0,0,(CL69*CL70+CL71*CL72*6)/CL70)</f>
        <v>0</v>
      </c>
      <c r="CM68" s="76">
        <f>IF(CM70=0,0,(CM69*CM70+CM71*CM72*6)/CM70)</f>
        <v>0</v>
      </c>
      <c r="CN68" s="915">
        <f>IF(CL68=0,0,(CM68-CL68)/CL68*100)</f>
        <v>0</v>
      </c>
      <c r="CO68" s="76">
        <f>IF(CO70=0,0,(CO69*CO70+CO71*CO72*6)/CO70)</f>
        <v>0</v>
      </c>
      <c r="CP68" s="76">
        <f>IF(CP70=0,0,(CP69*CP70+CP71*CP72*6)/CP70)</f>
        <v>0</v>
      </c>
      <c r="CQ68" s="915">
        <f>IF(CO68=0,0,(CP68-CO68)/CO68*100)</f>
        <v>0</v>
      </c>
      <c r="CR68" s="76">
        <f>IF(CR70=0,0,(CR69*CR70+CR71*CR72*6)/CR70)</f>
        <v>0</v>
      </c>
      <c r="CS68" s="76">
        <f>IF(CS70=0,0,(CS69*CS70+CS71*CS72*6)/CS70)</f>
        <v>0</v>
      </c>
      <c r="CT68" s="915">
        <f>IF(CR68=0,0,(CS68-CR68)/CR68*100)</f>
        <v>0</v>
      </c>
      <c r="CU68" s="76">
        <f>IF(CU70=0,0,(CU69*CU70+CU71*CU72*6)/CU70)</f>
        <v>0</v>
      </c>
      <c r="CV68" s="76">
        <f>IF(CV70=0,0,(CV69*CV70+CV71*CV72*6)/CV70)</f>
        <v>0</v>
      </c>
      <c r="CW68" s="915">
        <f>IF(CU68=0,0,(CV68-CU68)/CU68*100)</f>
        <v>0</v>
      </c>
      <c r="CX68" s="76">
        <f>IF(CX70=0,0,(CX69*CX70+CX71*CX72*6)/CX70)</f>
        <v>0</v>
      </c>
      <c r="CY68" s="76">
        <f>IF(CY70=0,0,(CY69*CY70+CY71*CY72*6)/CY70)</f>
        <v>0</v>
      </c>
      <c r="CZ68" s="915">
        <f>IF(CX68=0,0,(CY68-CX68)/CX68*100)</f>
        <v>0</v>
      </c>
      <c r="DA68" s="76">
        <f>IF(DA70=0,0,(DA69*DA70+DA71*DA72*6)/DA70)</f>
        <v>0</v>
      </c>
      <c r="DB68" s="76">
        <f>IF(DB70=0,0,(DB69*DB70+DB71*DB72*6)/DB70)</f>
        <v>0</v>
      </c>
      <c r="DC68" s="915">
        <f>IF(DA68=0,0,(DB68-DA68)/DA68*100)</f>
        <v>0</v>
      </c>
      <c r="DD68" s="76">
        <f>IF(DD70=0,0,(DD69*DD70+DD71*DD72*6)/DD70)</f>
        <v>0</v>
      </c>
      <c r="DE68" s="76">
        <f>IF(DE70=0,0,(DE69*DE70+DE71*DE72*6)/DE70)</f>
        <v>0</v>
      </c>
      <c r="DF68" s="915">
        <f>IF(DD68=0,0,(DE68-DD68)/DD68*100)</f>
        <v>0</v>
      </c>
      <c r="DG68" s="76">
        <f>IF(DG70=0,0,(DG69*DG70+DG71*DG72*6)/DG70)</f>
        <v>0</v>
      </c>
      <c r="DH68" s="76">
        <f>IF(DH70=0,0,(DH69*DH70+DH71*DH72*6)/DH70)</f>
        <v>0</v>
      </c>
      <c r="DI68" s="915">
        <f>IF(DG68=0,0,(DH68-DG68)/DG68*100)</f>
        <v>0</v>
      </c>
      <c r="DJ68" s="76">
        <f>IF(DJ70=0,0,(DJ69*DJ70+DJ71*DJ72*6)/DJ70)</f>
        <v>0</v>
      </c>
      <c r="DK68" s="76">
        <f>IF(DK70=0,0,(DK69*DK70+DK71*DK72*6)/DK70)</f>
        <v>0</v>
      </c>
      <c r="DL68" s="915">
        <f>IF(DJ68=0,0,(DK68-DJ68)/DJ68*100)</f>
        <v>0</v>
      </c>
      <c r="DM68" s="76">
        <f>IF(DM70=0,0,(DM69*DM70+DM71*DM72*6)/DM70)</f>
        <v>0</v>
      </c>
      <c r="DN68" s="76">
        <f>IF(DN70=0,0,(DN69*DN70+DN71*DN72*6)/DN70)</f>
        <v>0</v>
      </c>
      <c r="DO68" s="915">
        <f>IF(DM68=0,0,(DN68-DM68)/DM68*100)</f>
        <v>0</v>
      </c>
      <c r="DP68" s="76">
        <f>IF(DP70=0,0,(DP69*DP70+DP71*DP72*6)/DP70)</f>
        <v>0</v>
      </c>
      <c r="DQ68" s="76">
        <f>IF(DQ70=0,0,(DQ69*DQ70+DQ71*DQ72*6)/DQ70)</f>
        <v>0</v>
      </c>
      <c r="DR68" s="915">
        <f>IF(DP68=0,0,(DQ68-DP68)/DP68*100)</f>
        <v>0</v>
      </c>
      <c r="DS68" s="76">
        <f>IF(DS70=0,0,(DS69*DS70+DS71*DS72*6)/DS70)</f>
        <v>0</v>
      </c>
      <c r="DT68" s="76">
        <f>IF(DT70=0,0,(DT69*DT70+DT71*DT72*6)/DT70)</f>
        <v>0</v>
      </c>
      <c r="DU68" s="915">
        <f>IF(DS68=0,0,(DT68-DS68)/DS68*100)</f>
        <v>0</v>
      </c>
      <c r="DV68" s="76">
        <f>IF(DV70=0,0,(DV69*DV70+DV71*DV72*6)/DV70)</f>
        <v>0</v>
      </c>
      <c r="DW68" s="76">
        <f>IF(DW70=0,0,(DW69*DW70+DW71*DW72*6)/DW70)</f>
        <v>0</v>
      </c>
      <c r="DX68" s="915">
        <f>IF(DV68=0,0,(DW68-DV68)/DV68*100)</f>
        <v>0</v>
      </c>
      <c r="DY68" s="76">
        <f>IF(DY70=0,0,(DY69*DY70+DY71*DY72*6)/DY70)</f>
        <v>0</v>
      </c>
      <c r="DZ68" s="76">
        <f>IF(DZ70=0,0,(DZ69*DZ70+DZ71*DZ72*6)/DZ70)</f>
        <v>0</v>
      </c>
      <c r="EA68" s="915">
        <f>IF(DY68=0,0,(DZ68-DY68)/DY68*100)</f>
        <v>0</v>
      </c>
      <c r="EB68" s="76">
        <f>IF(EB70=0,0,(EB69*EB70+EB71*EB72*6)/EB70)</f>
        <v>0</v>
      </c>
      <c r="EC68" s="76">
        <f>IF(EC70=0,0,(EC69*EC70+EC71*EC72*6)/EC70)</f>
        <v>0</v>
      </c>
      <c r="ED68" s="915">
        <f>IF(EB68=0,0,(EC68-EB68)/EB68*100)</f>
        <v>0</v>
      </c>
      <c r="EE68" s="76">
        <f>IF(EE70=0,0,(EE69*EE70+EE71*EE72*6)/EE70)</f>
        <v>0</v>
      </c>
      <c r="EF68" s="76">
        <f>IF(EF70=0,0,(EF69*EF70+EF71*EF72*6)/EF70)</f>
        <v>0</v>
      </c>
      <c r="EG68" s="915">
        <f>IF(EE68=0,0,(EF68-EE68)/EE68*100)</f>
        <v>0</v>
      </c>
      <c r="EH68" s="76">
        <f>IF(EH70=0,0,(EH69*EH70+EH71*EH72*6)/EH70)</f>
        <v>0</v>
      </c>
      <c r="EI68" s="76">
        <f>IF(EI70=0,0,(EI69*EI70+EI71*EI72*6)/EI70)</f>
        <v>0</v>
      </c>
      <c r="EJ68" s="915">
        <f>IF(EH68=0,0,(EI68-EH68)/EH68*100)</f>
        <v>0</v>
      </c>
      <c r="EK68" s="76">
        <f>IF(EK70=0,0,(EK69*EK70+EK71*EK72*6)/EK70)</f>
        <v>0</v>
      </c>
      <c r="EL68" s="76">
        <f>IF(EL70=0,0,(EL69*EL70+EL71*EL72*6)/EL70)</f>
        <v>0</v>
      </c>
      <c r="EM68" s="915">
        <f>IF(EK68=0,0,(EL68-EK68)/EK68*100)</f>
        <v>0</v>
      </c>
      <c r="EN68" s="76">
        <f>IF(EN70=0,0,(EN69*EN70+EN71*EN72*6)/EN70)</f>
        <v>0</v>
      </c>
      <c r="EO68" s="76">
        <f>IF(EO70=0,0,(EO69*EO70+EO71*EO72*6)/EO70)</f>
        <v>0</v>
      </c>
      <c r="EP68" s="915">
        <f>IF(EN68=0,0,(EO68-EN68)/EN68*100)</f>
        <v>0</v>
      </c>
      <c r="EQ68" s="76">
        <f>IF(EQ70=0,0,(EQ69*EQ70+EQ71*EQ72*6)/EQ70)</f>
        <v>0</v>
      </c>
      <c r="ER68" s="76">
        <f>IF(ER70=0,0,(ER69*ER70+ER71*ER72*6)/ER70)</f>
        <v>0</v>
      </c>
      <c r="ES68" s="915">
        <f>IF(EQ68=0,0,(ER68-EQ68)/EQ68*100)</f>
        <v>0</v>
      </c>
      <c r="ET68" s="76">
        <f>IF(ET70=0,0,(ET69*ET70+ET71*ET72*6)/ET70)</f>
        <v>0</v>
      </c>
      <c r="EU68" s="76">
        <f>IF(EU70=0,0,(EU69*EU70+EU71*EU72*6)/EU70)</f>
        <v>0</v>
      </c>
      <c r="EV68" s="915">
        <f>IF(ET68=0,0,(EU68-ET68)/ET68*100)</f>
        <v>0</v>
      </c>
      <c r="EW68" s="76">
        <f>IF(EW70=0,0,(EW69*EW70+EW71*EW72*6)/EW70)</f>
        <v>0</v>
      </c>
      <c r="EX68" s="76">
        <f>IF(EX70=0,0,(EX69*EX70+EX71*EX72*6)/EX70)</f>
        <v>0</v>
      </c>
      <c r="EY68" s="915">
        <f>IF(EW68=0,0,(EX68-EW68)/EW68*100)</f>
        <v>0</v>
      </c>
      <c r="EZ68" s="76">
        <f>IF(EZ70=0,0,(EZ69*EZ70+EZ71*EZ72*6)/EZ70)</f>
        <v>0</v>
      </c>
      <c r="FA68" s="76">
        <f>IF(FA70=0,0,(FA69*FA70+FA71*FA72*6)/FA70)</f>
        <v>0</v>
      </c>
      <c r="FB68" s="915">
        <f>IF(EZ68=0,0,(FA68-EZ68)/EZ68*100)</f>
        <v>0</v>
      </c>
      <c r="FC68" s="76">
        <f>IF(FC70=0,0,(FC69*FC70+FC71*FC72*6)/FC70)</f>
        <v>0</v>
      </c>
      <c r="FD68" s="76">
        <f>IF(FD70=0,0,(FD69*FD70+FD71*FD72*6)/FD70)</f>
        <v>0</v>
      </c>
      <c r="FE68" s="915">
        <f>IF(FC68=0,0,(FD68-FC68)/FC68*100)</f>
        <v>0</v>
      </c>
      <c r="FF68" s="76">
        <f>IF(FF70=0,0,(FF69*FF70+FF71*FF72*6)/FF70)</f>
        <v>0</v>
      </c>
      <c r="FG68" s="76">
        <f>IF(FG70=0,0,(FG69*FG70+FG71*FG72*6)/FG70)</f>
        <v>0</v>
      </c>
      <c r="FH68" s="915">
        <f>IF(FF68=0,0,(FG68-FF68)/FF68*100)</f>
        <v>0</v>
      </c>
      <c r="FI68" s="76">
        <f>IF(FI70=0,0,(FI69*FI70+FI71*FI72*6)/FI70)</f>
        <v>0</v>
      </c>
      <c r="FJ68" s="76">
        <f>IF(FJ70=0,0,(FJ69*FJ70+FJ71*FJ72*6)/FJ70)</f>
        <v>0</v>
      </c>
      <c r="FK68" s="915">
        <f>IF(FI68=0,0,(FJ68-FI68)/FI68*100)</f>
        <v>0</v>
      </c>
      <c r="FL68" s="76">
        <f>IF(FL70=0,0,(FL69*FL70+FL71*FL72*6)/FL70)</f>
        <v>0</v>
      </c>
      <c r="FM68" s="76">
        <f>IF(FM70=0,0,(FM69*FM70+FM71*FM72*6)/FM70)</f>
        <v>0</v>
      </c>
      <c r="FN68" s="915">
        <f>IF(FL68=0,0,(FM68-FL68)/FL68*100)</f>
        <v>0</v>
      </c>
      <c r="FO68" s="76">
        <f>IF(FO70=0,0,(FO69*FO70+FO71*FO72*6)/FO70)</f>
        <v>0</v>
      </c>
      <c r="FP68" s="76">
        <f>IF(FP70=0,0,(FP69*FP70+FP71*FP72*6)/FP70)</f>
        <v>0</v>
      </c>
      <c r="FQ68" s="915">
        <f>IF(FO68=0,0,(FP68-FO68)/FO68*100)</f>
        <v>0</v>
      </c>
      <c r="FR68" s="76">
        <f>IF(FR70=0,0,(FR69*FR70+FR71*FR72*6)/FR70)</f>
        <v>0</v>
      </c>
      <c r="FS68" s="76">
        <f>IF(FS70=0,0,(FS69*FS70+FS71*FS72*6)/FS70)</f>
        <v>0</v>
      </c>
      <c r="FT68" s="915">
        <f>IF(FR68=0,0,(FS68-FR68)/FR68*100)</f>
        <v>0</v>
      </c>
      <c r="FU68" s="76">
        <f>IF(FU70=0,0,(FU69*FU70+FU71*FU72*6)/FU70)</f>
        <v>0</v>
      </c>
      <c r="FV68" s="76">
        <f>IF(FV70=0,0,(FV69*FV70+FV71*FV72*6)/FV70)</f>
        <v>0</v>
      </c>
      <c r="FW68" s="915">
        <f>IF(FU68=0,0,(FV68-FU68)/FU68*100)</f>
        <v>0</v>
      </c>
      <c r="FZ68" s="489" t="s">
        <v>2517</v>
      </c>
      <c r="GA68" s="489"/>
      <c r="GB68" s="489"/>
      <c r="GC68" s="489"/>
      <c r="GD68" s="489"/>
      <c r="GF68" s="1501" cm="1" t="str">
        <f t="array" ref="GF68:GF68">GF67</f>
        <v>0</v>
      </c>
      <c r="GG68" s="1501" t="s">
        <v>704</v>
      </c>
      <c r="GH68" s="1501" t="s">
        <v>2469</v>
      </c>
      <c r="GI68" s="1501" t="s">
        <v>797</v>
      </c>
      <c r="GJ68" s="1501"/>
      <c r="GK68" s="1501"/>
      <c r="GL68" s="1501" t="s">
        <v>303</v>
      </c>
      <c r="GM68" s="1501" t="s">
        <v>2492</v>
      </c>
      <c r="GN68" s="1501" t="s">
        <v>2493</v>
      </c>
    </row>
    <row customHeight="1" ht="15.600000000000001" hidden="1">
      <c r="B69" s="192" cm="1" t="str">
        <f t="array" ref="B69:B69">B68</f>
        <v>false</v>
      </c>
      <c r="E69" s="180">
        <v>16</v>
      </c>
      <c r="F69" s="175" cm="1" t="str">
        <f t="array" ref="F69:F69">OFFSET(G69,-1,-1)</f>
        <v>0</v>
      </c>
      <c r="I69" s="193" t="s">
        <v>2472</v>
      </c>
      <c r="T69" s="753" cm="1" t="str">
        <f t="array" ref="T69:T69">T68</f>
        <v>false</v>
      </c>
      <c r="AB69" s="560" t="s">
        <v>2494</v>
      </c>
      <c r="AC69" s="380" t="s">
        <v>1005</v>
      </c>
      <c r="AD69" s="76"/>
      <c r="AE69" s="76"/>
      <c r="AF69" s="915">
        <f>IF(AD69=0,0,(AE69-AD69)/AD69*100)</f>
        <v>0</v>
      </c>
      <c r="AG69" s="76"/>
      <c r="AH69" s="76"/>
      <c r="AI69" s="915">
        <f>IF(AG69=0,0,(AH69-AG69)/AG69*100)</f>
        <v>0</v>
      </c>
      <c r="AJ69" s="76"/>
      <c r="AK69" s="76"/>
      <c r="AL69" s="915">
        <f>IF(AJ69=0,0,(AK69-AJ69)/AJ69*100)</f>
        <v>0</v>
      </c>
      <c r="AM69" s="76"/>
      <c r="AN69" s="76"/>
      <c r="AO69" s="915">
        <f>IF(AM69=0,0,(AN69-AM69)/AM69*100)</f>
        <v>0</v>
      </c>
      <c r="AP69" s="76"/>
      <c r="AQ69" s="76"/>
      <c r="AR69" s="915">
        <f>IF(AP69=0,0,(AQ69-AP69)/AP69*100)</f>
        <v>0</v>
      </c>
      <c r="AS69" s="76"/>
      <c r="AT69" s="76"/>
      <c r="AU69" s="915">
        <f>IF(AS69=0,0,(AT69-AS69)/AS69*100)</f>
        <v>0</v>
      </c>
      <c r="AV69" s="76"/>
      <c r="AW69" s="76"/>
      <c r="AX69" s="915">
        <f>IF(AV69=0,0,(AW69-AV69)/AV69*100)</f>
        <v>0</v>
      </c>
      <c r="AY69" s="76"/>
      <c r="AZ69" s="76"/>
      <c r="BA69" s="915">
        <f>IF(AY69=0,0,(AZ69-AY69)/AY69*100)</f>
        <v>0</v>
      </c>
      <c r="BB69" s="76"/>
      <c r="BC69" s="76"/>
      <c r="BD69" s="915">
        <f>IF(BB69=0,0,(BC69-BB69)/BB69*100)</f>
        <v>0</v>
      </c>
      <c r="BE69" s="76"/>
      <c r="BF69" s="76"/>
      <c r="BG69" s="915">
        <f>IF(BE69=0,0,(BF69-BE69)/BE69*100)</f>
        <v>0</v>
      </c>
      <c r="BH69" s="76"/>
      <c r="BI69" s="76"/>
      <c r="BJ69" s="915">
        <f>IF(BH69=0,0,(BI69-BH69)/BH69*100)</f>
        <v>0</v>
      </c>
      <c r="BK69" s="76"/>
      <c r="BL69" s="76"/>
      <c r="BM69" s="915">
        <f>IF(BK69=0,0,(BL69-BK69)/BK69*100)</f>
        <v>0</v>
      </c>
      <c r="BN69" s="76"/>
      <c r="BO69" s="76"/>
      <c r="BP69" s="915">
        <f>IF(BN69=0,0,(BO69-BN69)/BN69*100)</f>
        <v>0</v>
      </c>
      <c r="BQ69" s="76"/>
      <c r="BR69" s="76"/>
      <c r="BS69" s="915">
        <f>IF(BQ69=0,0,(BR69-BQ69)/BQ69*100)</f>
        <v>0</v>
      </c>
      <c r="BT69" s="76"/>
      <c r="BU69" s="76"/>
      <c r="BV69" s="915">
        <f>IF(BT69=0,0,(BU69-BT69)/BT69*100)</f>
        <v>0</v>
      </c>
      <c r="BW69" s="76"/>
      <c r="BX69" s="76"/>
      <c r="BY69" s="915">
        <f>IF(BW69=0,0,(BX69-BW69)/BW69*100)</f>
        <v>0</v>
      </c>
      <c r="BZ69" s="76"/>
      <c r="CA69" s="76"/>
      <c r="CB69" s="915">
        <f>IF(BZ69=0,0,(CA69-BZ69)/BZ69*100)</f>
        <v>0</v>
      </c>
      <c r="CC69" s="76"/>
      <c r="CD69" s="76"/>
      <c r="CE69" s="915">
        <f>IF(CC69=0,0,(CD69-CC69)/CC69*100)</f>
        <v>0</v>
      </c>
      <c r="CF69" s="76"/>
      <c r="CG69" s="76"/>
      <c r="CH69" s="915">
        <f>IF(CF69=0,0,(CG69-CF69)/CF69*100)</f>
        <v>0</v>
      </c>
      <c r="CI69" s="76"/>
      <c r="CJ69" s="76"/>
      <c r="CK69" s="915">
        <f>IF(CI69=0,0,(CJ69-CI69)/CI69*100)</f>
        <v>0</v>
      </c>
      <c r="CL69" s="76"/>
      <c r="CM69" s="76"/>
      <c r="CN69" s="915">
        <f>IF(CL69=0,0,(CM69-CL69)/CL69*100)</f>
        <v>0</v>
      </c>
      <c r="CO69" s="76"/>
      <c r="CP69" s="76"/>
      <c r="CQ69" s="915">
        <f>IF(CO69=0,0,(CP69-CO69)/CO69*100)</f>
        <v>0</v>
      </c>
      <c r="CR69" s="76"/>
      <c r="CS69" s="76"/>
      <c r="CT69" s="915">
        <f>IF(CR69=0,0,(CS69-CR69)/CR69*100)</f>
        <v>0</v>
      </c>
      <c r="CU69" s="76"/>
      <c r="CV69" s="76"/>
      <c r="CW69" s="915">
        <f>IF(CU69=0,0,(CV69-CU69)/CU69*100)</f>
        <v>0</v>
      </c>
      <c r="CX69" s="76"/>
      <c r="CY69" s="76"/>
      <c r="CZ69" s="915">
        <f>IF(CX69=0,0,(CY69-CX69)/CX69*100)</f>
        <v>0</v>
      </c>
      <c r="DA69" s="76"/>
      <c r="DB69" s="76"/>
      <c r="DC69" s="915">
        <f>IF(DA69=0,0,(DB69-DA69)/DA69*100)</f>
        <v>0</v>
      </c>
      <c r="DD69" s="76"/>
      <c r="DE69" s="76"/>
      <c r="DF69" s="915">
        <f>IF(DD69=0,0,(DE69-DD69)/DD69*100)</f>
        <v>0</v>
      </c>
      <c r="DG69" s="76"/>
      <c r="DH69" s="76"/>
      <c r="DI69" s="915">
        <f>IF(DG69=0,0,(DH69-DG69)/DG69*100)</f>
        <v>0</v>
      </c>
      <c r="DJ69" s="76"/>
      <c r="DK69" s="76"/>
      <c r="DL69" s="915">
        <f>IF(DJ69=0,0,(DK69-DJ69)/DJ69*100)</f>
        <v>0</v>
      </c>
      <c r="DM69" s="76"/>
      <c r="DN69" s="76"/>
      <c r="DO69" s="915">
        <f>IF(DM69=0,0,(DN69-DM69)/DM69*100)</f>
        <v>0</v>
      </c>
      <c r="DP69" s="76"/>
      <c r="DQ69" s="76"/>
      <c r="DR69" s="915">
        <f>IF(DP69=0,0,(DQ69-DP69)/DP69*100)</f>
        <v>0</v>
      </c>
      <c r="DS69" s="76"/>
      <c r="DT69" s="76"/>
      <c r="DU69" s="915">
        <f>IF(DS69=0,0,(DT69-DS69)/DS69*100)</f>
        <v>0</v>
      </c>
      <c r="DV69" s="76"/>
      <c r="DW69" s="76"/>
      <c r="DX69" s="915">
        <f>IF(DV69=0,0,(DW69-DV69)/DV69*100)</f>
        <v>0</v>
      </c>
      <c r="DY69" s="76"/>
      <c r="DZ69" s="76"/>
      <c r="EA69" s="915">
        <f>IF(DY69=0,0,(DZ69-DY69)/DY69*100)</f>
        <v>0</v>
      </c>
      <c r="EB69" s="76"/>
      <c r="EC69" s="76"/>
      <c r="ED69" s="915">
        <f>IF(EB69=0,0,(EC69-EB69)/EB69*100)</f>
        <v>0</v>
      </c>
      <c r="EE69" s="76"/>
      <c r="EF69" s="76"/>
      <c r="EG69" s="915">
        <f>IF(EE69=0,0,(EF69-EE69)/EE69*100)</f>
        <v>0</v>
      </c>
      <c r="EH69" s="76"/>
      <c r="EI69" s="76"/>
      <c r="EJ69" s="915">
        <f>IF(EH69=0,0,(EI69-EH69)/EH69*100)</f>
        <v>0</v>
      </c>
      <c r="EK69" s="76"/>
      <c r="EL69" s="76"/>
      <c r="EM69" s="915">
        <f>IF(EK69=0,0,(EL69-EK69)/EK69*100)</f>
        <v>0</v>
      </c>
      <c r="EN69" s="76"/>
      <c r="EO69" s="76"/>
      <c r="EP69" s="915">
        <f>IF(EN69=0,0,(EO69-EN69)/EN69*100)</f>
        <v>0</v>
      </c>
      <c r="EQ69" s="76"/>
      <c r="ER69" s="76"/>
      <c r="ES69" s="915">
        <f>IF(EQ69=0,0,(ER69-EQ69)/EQ69*100)</f>
        <v>0</v>
      </c>
      <c r="ET69" s="76"/>
      <c r="EU69" s="76"/>
      <c r="EV69" s="915">
        <f>IF(ET69=0,0,(EU69-ET69)/ET69*100)</f>
        <v>0</v>
      </c>
      <c r="EW69" s="76"/>
      <c r="EX69" s="76"/>
      <c r="EY69" s="915">
        <f>IF(EW69=0,0,(EX69-EW69)/EW69*100)</f>
        <v>0</v>
      </c>
      <c r="EZ69" s="76"/>
      <c r="FA69" s="76"/>
      <c r="FB69" s="915">
        <f>IF(EZ69=0,0,(FA69-EZ69)/EZ69*100)</f>
        <v>0</v>
      </c>
      <c r="FC69" s="76"/>
      <c r="FD69" s="76"/>
      <c r="FE69" s="915">
        <f>IF(FC69=0,0,(FD69-FC69)/FC69*100)</f>
        <v>0</v>
      </c>
      <c r="FF69" s="76"/>
      <c r="FG69" s="76"/>
      <c r="FH69" s="915">
        <f>IF(FF69=0,0,(FG69-FF69)/FF69*100)</f>
        <v>0</v>
      </c>
      <c r="FI69" s="76"/>
      <c r="FJ69" s="76"/>
      <c r="FK69" s="915">
        <f>IF(FI69=0,0,(FJ69-FI69)/FI69*100)</f>
        <v>0</v>
      </c>
      <c r="FL69" s="76"/>
      <c r="FM69" s="76"/>
      <c r="FN69" s="915">
        <f>IF(FL69=0,0,(FM69-FL69)/FL69*100)</f>
        <v>0</v>
      </c>
      <c r="FO69" s="76"/>
      <c r="FP69" s="76"/>
      <c r="FQ69" s="915">
        <f>IF(FO69=0,0,(FP69-FO69)/FO69*100)</f>
        <v>0</v>
      </c>
      <c r="FR69" s="76"/>
      <c r="FS69" s="76"/>
      <c r="FT69" s="915">
        <f>IF(FR69=0,0,(FS69-FR69)/FR69*100)</f>
        <v>0</v>
      </c>
      <c r="FU69" s="76"/>
      <c r="FV69" s="76"/>
      <c r="FW69" s="915">
        <f>IF(FU69=0,0,(FV69-FU69)/FU69*100)</f>
        <v>0</v>
      </c>
      <c r="FZ69" s="489" t="s">
        <v>2518</v>
      </c>
      <c r="GA69" s="489"/>
      <c r="GB69" s="489"/>
      <c r="GC69" s="489"/>
      <c r="GD69" s="489"/>
      <c r="GF69" s="1501" cm="1" t="str">
        <f t="array" ref="GF69:GF69">GF68</f>
        <v>0</v>
      </c>
      <c r="GG69" s="1501" t="s">
        <v>704</v>
      </c>
      <c r="GH69" s="1501" t="s">
        <v>2469</v>
      </c>
      <c r="GI69" s="1501" t="s">
        <v>797</v>
      </c>
      <c r="GJ69" s="1501"/>
      <c r="GK69" s="1501"/>
      <c r="GL69" s="1501" t="s">
        <v>303</v>
      </c>
      <c r="GM69" s="1501" t="s">
        <v>2118</v>
      </c>
      <c r="GN69" s="1501" t="s">
        <v>2119</v>
      </c>
    </row>
    <row customHeight="1" ht="15.600000000000001" hidden="1">
      <c r="B70" s="192" cm="1" t="str">
        <f t="array" ref="B70:B70">B69</f>
        <v>false</v>
      </c>
      <c r="E70" s="180">
        <v>16</v>
      </c>
      <c r="F70" s="175" cm="1" t="str">
        <f t="array" ref="F70:F70">OFFSET(G70,-1,-1)</f>
        <v>0</v>
      </c>
      <c r="I70" s="193" t="s">
        <v>2472</v>
      </c>
      <c r="T70" s="753" cm="1" t="str">
        <f t="array" ref="T70:T70">T69</f>
        <v>false</v>
      </c>
      <c r="AB70" s="560" t="s">
        <v>2496</v>
      </c>
      <c r="AC70" s="380" t="s">
        <v>629</v>
      </c>
      <c r="AD70" s="166"/>
      <c r="AE70" s="166"/>
      <c r="AF70" s="917">
        <f>IF(AD70=0,0,(AE70-AD70)/AD70*100)</f>
        <v>0</v>
      </c>
      <c r="AG70" s="166"/>
      <c r="AH70" s="166"/>
      <c r="AI70" s="917">
        <f>IF(AG70=0,0,(AH70-AG70)/AG70*100)</f>
        <v>0</v>
      </c>
      <c r="AJ70" s="166"/>
      <c r="AK70" s="166"/>
      <c r="AL70" s="917">
        <f>IF(AJ70=0,0,(AK70-AJ70)/AJ70*100)</f>
        <v>0</v>
      </c>
      <c r="AM70" s="166"/>
      <c r="AN70" s="166"/>
      <c r="AO70" s="917">
        <f>IF(AM70=0,0,(AN70-AM70)/AM70*100)</f>
        <v>0</v>
      </c>
      <c r="AP70" s="166"/>
      <c r="AQ70" s="166"/>
      <c r="AR70" s="917">
        <f>IF(AP70=0,0,(AQ70-AP70)/AP70*100)</f>
        <v>0</v>
      </c>
      <c r="AS70" s="166"/>
      <c r="AT70" s="166"/>
      <c r="AU70" s="917">
        <f>IF(AS70=0,0,(AT70-AS70)/AS70*100)</f>
        <v>0</v>
      </c>
      <c r="AV70" s="166"/>
      <c r="AW70" s="166"/>
      <c r="AX70" s="917">
        <f>IF(AV70=0,0,(AW70-AV70)/AV70*100)</f>
        <v>0</v>
      </c>
      <c r="AY70" s="166"/>
      <c r="AZ70" s="166"/>
      <c r="BA70" s="917">
        <f>IF(AY70=0,0,(AZ70-AY70)/AY70*100)</f>
        <v>0</v>
      </c>
      <c r="BB70" s="166"/>
      <c r="BC70" s="166"/>
      <c r="BD70" s="917">
        <f>IF(BB70=0,0,(BC70-BB70)/BB70*100)</f>
        <v>0</v>
      </c>
      <c r="BE70" s="166"/>
      <c r="BF70" s="166"/>
      <c r="BG70" s="917">
        <f>IF(BE70=0,0,(BF70-BE70)/BE70*100)</f>
        <v>0</v>
      </c>
      <c r="BH70" s="166"/>
      <c r="BI70" s="166"/>
      <c r="BJ70" s="917">
        <f>IF(BH70=0,0,(BI70-BH70)/BH70*100)</f>
        <v>0</v>
      </c>
      <c r="BK70" s="166"/>
      <c r="BL70" s="166"/>
      <c r="BM70" s="917">
        <f>IF(BK70=0,0,(BL70-BK70)/BK70*100)</f>
        <v>0</v>
      </c>
      <c r="BN70" s="166"/>
      <c r="BO70" s="166"/>
      <c r="BP70" s="917">
        <f>IF(BN70=0,0,(BO70-BN70)/BN70*100)</f>
        <v>0</v>
      </c>
      <c r="BQ70" s="166"/>
      <c r="BR70" s="166"/>
      <c r="BS70" s="917">
        <f>IF(BQ70=0,0,(BR70-BQ70)/BQ70*100)</f>
        <v>0</v>
      </c>
      <c r="BT70" s="166"/>
      <c r="BU70" s="166"/>
      <c r="BV70" s="917">
        <f>IF(BT70=0,0,(BU70-BT70)/BT70*100)</f>
        <v>0</v>
      </c>
      <c r="BW70" s="166"/>
      <c r="BX70" s="166"/>
      <c r="BY70" s="917">
        <f>IF(BW70=0,0,(BX70-BW70)/BW70*100)</f>
        <v>0</v>
      </c>
      <c r="BZ70" s="166"/>
      <c r="CA70" s="166"/>
      <c r="CB70" s="917">
        <f>IF(BZ70=0,0,(CA70-BZ70)/BZ70*100)</f>
        <v>0</v>
      </c>
      <c r="CC70" s="166"/>
      <c r="CD70" s="166"/>
      <c r="CE70" s="917">
        <f>IF(CC70=0,0,(CD70-CC70)/CC70*100)</f>
        <v>0</v>
      </c>
      <c r="CF70" s="166"/>
      <c r="CG70" s="166"/>
      <c r="CH70" s="917">
        <f>IF(CF70=0,0,(CG70-CF70)/CF70*100)</f>
        <v>0</v>
      </c>
      <c r="CI70" s="166"/>
      <c r="CJ70" s="166"/>
      <c r="CK70" s="917">
        <f>IF(CI70=0,0,(CJ70-CI70)/CI70*100)</f>
        <v>0</v>
      </c>
      <c r="CL70" s="166"/>
      <c r="CM70" s="166"/>
      <c r="CN70" s="917">
        <f>IF(CL70=0,0,(CM70-CL70)/CL70*100)</f>
        <v>0</v>
      </c>
      <c r="CO70" s="166"/>
      <c r="CP70" s="166"/>
      <c r="CQ70" s="917">
        <f>IF(CO70=0,0,(CP70-CO70)/CO70*100)</f>
        <v>0</v>
      </c>
      <c r="CR70" s="166"/>
      <c r="CS70" s="166"/>
      <c r="CT70" s="917">
        <f>IF(CR70=0,0,(CS70-CR70)/CR70*100)</f>
        <v>0</v>
      </c>
      <c r="CU70" s="166"/>
      <c r="CV70" s="166"/>
      <c r="CW70" s="917">
        <f>IF(CU70=0,0,(CV70-CU70)/CU70*100)</f>
        <v>0</v>
      </c>
      <c r="CX70" s="166"/>
      <c r="CY70" s="166"/>
      <c r="CZ70" s="917">
        <f>IF(CX70=0,0,(CY70-CX70)/CX70*100)</f>
        <v>0</v>
      </c>
      <c r="DA70" s="166"/>
      <c r="DB70" s="166"/>
      <c r="DC70" s="917">
        <f>IF(DA70=0,0,(DB70-DA70)/DA70*100)</f>
        <v>0</v>
      </c>
      <c r="DD70" s="166"/>
      <c r="DE70" s="166"/>
      <c r="DF70" s="917">
        <f>IF(DD70=0,0,(DE70-DD70)/DD70*100)</f>
        <v>0</v>
      </c>
      <c r="DG70" s="166"/>
      <c r="DH70" s="166"/>
      <c r="DI70" s="917">
        <f>IF(DG70=0,0,(DH70-DG70)/DG70*100)</f>
        <v>0</v>
      </c>
      <c r="DJ70" s="166"/>
      <c r="DK70" s="166"/>
      <c r="DL70" s="917">
        <f>IF(DJ70=0,0,(DK70-DJ70)/DJ70*100)</f>
        <v>0</v>
      </c>
      <c r="DM70" s="166"/>
      <c r="DN70" s="166"/>
      <c r="DO70" s="917">
        <f>IF(DM70=0,0,(DN70-DM70)/DM70*100)</f>
        <v>0</v>
      </c>
      <c r="DP70" s="166"/>
      <c r="DQ70" s="166"/>
      <c r="DR70" s="917">
        <f>IF(DP70=0,0,(DQ70-DP70)/DP70*100)</f>
        <v>0</v>
      </c>
      <c r="DS70" s="166"/>
      <c r="DT70" s="166"/>
      <c r="DU70" s="917">
        <f>IF(DS70=0,0,(DT70-DS70)/DS70*100)</f>
        <v>0</v>
      </c>
      <c r="DV70" s="166"/>
      <c r="DW70" s="166"/>
      <c r="DX70" s="917">
        <f>IF(DV70=0,0,(DW70-DV70)/DV70*100)</f>
        <v>0</v>
      </c>
      <c r="DY70" s="166"/>
      <c r="DZ70" s="166"/>
      <c r="EA70" s="917">
        <f>IF(DY70=0,0,(DZ70-DY70)/DY70*100)</f>
        <v>0</v>
      </c>
      <c r="EB70" s="166"/>
      <c r="EC70" s="166"/>
      <c r="ED70" s="917">
        <f>IF(EB70=0,0,(EC70-EB70)/EB70*100)</f>
        <v>0</v>
      </c>
      <c r="EE70" s="166"/>
      <c r="EF70" s="166"/>
      <c r="EG70" s="917">
        <f>IF(EE70=0,0,(EF70-EE70)/EE70*100)</f>
        <v>0</v>
      </c>
      <c r="EH70" s="166"/>
      <c r="EI70" s="166"/>
      <c r="EJ70" s="917">
        <f>IF(EH70=0,0,(EI70-EH70)/EH70*100)</f>
        <v>0</v>
      </c>
      <c r="EK70" s="166"/>
      <c r="EL70" s="166"/>
      <c r="EM70" s="917">
        <f>IF(EK70=0,0,(EL70-EK70)/EK70*100)</f>
        <v>0</v>
      </c>
      <c r="EN70" s="166"/>
      <c r="EO70" s="166"/>
      <c r="EP70" s="917">
        <f>IF(EN70=0,0,(EO70-EN70)/EN70*100)</f>
        <v>0</v>
      </c>
      <c r="EQ70" s="166"/>
      <c r="ER70" s="166"/>
      <c r="ES70" s="917">
        <f>IF(EQ70=0,0,(ER70-EQ70)/EQ70*100)</f>
        <v>0</v>
      </c>
      <c r="ET70" s="166"/>
      <c r="EU70" s="166"/>
      <c r="EV70" s="917">
        <f>IF(ET70=0,0,(EU70-ET70)/ET70*100)</f>
        <v>0</v>
      </c>
      <c r="EW70" s="166"/>
      <c r="EX70" s="166"/>
      <c r="EY70" s="917">
        <f>IF(EW70=0,0,(EX70-EW70)/EW70*100)</f>
        <v>0</v>
      </c>
      <c r="EZ70" s="166"/>
      <c r="FA70" s="166"/>
      <c r="FB70" s="917">
        <f>IF(EZ70=0,0,(FA70-EZ70)/EZ70*100)</f>
        <v>0</v>
      </c>
      <c r="FC70" s="166"/>
      <c r="FD70" s="166"/>
      <c r="FE70" s="917">
        <f>IF(FC70=0,0,(FD70-FC70)/FC70*100)</f>
        <v>0</v>
      </c>
      <c r="FF70" s="166"/>
      <c r="FG70" s="166"/>
      <c r="FH70" s="917">
        <f>IF(FF70=0,0,(FG70-FF70)/FF70*100)</f>
        <v>0</v>
      </c>
      <c r="FI70" s="166"/>
      <c r="FJ70" s="166"/>
      <c r="FK70" s="917">
        <f>IF(FI70=0,0,(FJ70-FI70)/FI70*100)</f>
        <v>0</v>
      </c>
      <c r="FL70" s="166"/>
      <c r="FM70" s="166"/>
      <c r="FN70" s="917">
        <f>IF(FL70=0,0,(FM70-FL70)/FL70*100)</f>
        <v>0</v>
      </c>
      <c r="FO70" s="166"/>
      <c r="FP70" s="166"/>
      <c r="FQ70" s="917">
        <f>IF(FO70=0,0,(FP70-FO70)/FO70*100)</f>
        <v>0</v>
      </c>
      <c r="FR70" s="166"/>
      <c r="FS70" s="166"/>
      <c r="FT70" s="917">
        <f>IF(FR70=0,0,(FS70-FR70)/FR70*100)</f>
        <v>0</v>
      </c>
      <c r="FU70" s="166"/>
      <c r="FV70" s="166"/>
      <c r="FW70" s="917">
        <f>IF(FU70=0,0,(FV70-FU70)/FU70*100)</f>
        <v>0</v>
      </c>
      <c r="FZ70" s="489" t="s">
        <v>2519</v>
      </c>
      <c r="GA70" s="489"/>
      <c r="GB70" s="489"/>
      <c r="GC70" s="489"/>
      <c r="GD70" s="489"/>
      <c r="GF70" s="1501" cm="1" t="str">
        <f t="array" ref="GF70:GF70">GF69</f>
        <v>0</v>
      </c>
      <c r="GG70" s="1501" t="s">
        <v>704</v>
      </c>
      <c r="GH70" s="1501" t="s">
        <v>2469</v>
      </c>
      <c r="GI70" s="1501" t="s">
        <v>797</v>
      </c>
      <c r="GJ70" s="1501"/>
      <c r="GK70" s="1501"/>
      <c r="GL70" s="1501" t="s">
        <v>303</v>
      </c>
      <c r="GM70" s="1501" t="s">
        <v>2079</v>
      </c>
      <c r="GN70" s="1501" t="s">
        <v>2080</v>
      </c>
    </row>
    <row customHeight="1" ht="31.200000000000003" hidden="1">
      <c r="B71" s="192" cm="1" t="str">
        <f t="array" ref="B71:B71">B70</f>
        <v>false</v>
      </c>
      <c r="E71" s="180">
        <v>32</v>
      </c>
      <c r="F71" s="175" cm="1" t="str">
        <f t="array" ref="F71:F71">OFFSET(G71,-1,-1)</f>
        <v>0</v>
      </c>
      <c r="I71" s="193" t="s">
        <v>2472</v>
      </c>
      <c r="T71" s="753" cm="1" t="str">
        <f t="array" ref="T71:T71">T70</f>
        <v>false</v>
      </c>
      <c r="AB71" s="560" t="s">
        <v>2498</v>
      </c>
      <c r="AC71" s="333" t="s">
        <v>2131</v>
      </c>
      <c r="AD71" s="76"/>
      <c r="AE71" s="76"/>
      <c r="AF71" s="915">
        <f>IF(AD71=0,0,(AE71-AD71)/AD71*100)</f>
        <v>0</v>
      </c>
      <c r="AG71" s="76"/>
      <c r="AH71" s="76"/>
      <c r="AI71" s="915">
        <f>IF(AG71=0,0,(AH71-AG71)/AG71*100)</f>
        <v>0</v>
      </c>
      <c r="AJ71" s="76"/>
      <c r="AK71" s="76"/>
      <c r="AL71" s="915">
        <f>IF(AJ71=0,0,(AK71-AJ71)/AJ71*100)</f>
        <v>0</v>
      </c>
      <c r="AM71" s="76"/>
      <c r="AN71" s="76"/>
      <c r="AO71" s="915">
        <f>IF(AM71=0,0,(AN71-AM71)/AM71*100)</f>
        <v>0</v>
      </c>
      <c r="AP71" s="76"/>
      <c r="AQ71" s="76"/>
      <c r="AR71" s="915">
        <f>IF(AP71=0,0,(AQ71-AP71)/AP71*100)</f>
        <v>0</v>
      </c>
      <c r="AS71" s="76"/>
      <c r="AT71" s="76"/>
      <c r="AU71" s="915">
        <f>IF(AS71=0,0,(AT71-AS71)/AS71*100)</f>
        <v>0</v>
      </c>
      <c r="AV71" s="76"/>
      <c r="AW71" s="76"/>
      <c r="AX71" s="915">
        <f>IF(AV71=0,0,(AW71-AV71)/AV71*100)</f>
        <v>0</v>
      </c>
      <c r="AY71" s="76"/>
      <c r="AZ71" s="76"/>
      <c r="BA71" s="915">
        <f>IF(AY71=0,0,(AZ71-AY71)/AY71*100)</f>
        <v>0</v>
      </c>
      <c r="BB71" s="76"/>
      <c r="BC71" s="76"/>
      <c r="BD71" s="915">
        <f>IF(BB71=0,0,(BC71-BB71)/BB71*100)</f>
        <v>0</v>
      </c>
      <c r="BE71" s="76"/>
      <c r="BF71" s="76"/>
      <c r="BG71" s="915">
        <f>IF(BE71=0,0,(BF71-BE71)/BE71*100)</f>
        <v>0</v>
      </c>
      <c r="BH71" s="76"/>
      <c r="BI71" s="76"/>
      <c r="BJ71" s="915">
        <f>IF(BH71=0,0,(BI71-BH71)/BH71*100)</f>
        <v>0</v>
      </c>
      <c r="BK71" s="76"/>
      <c r="BL71" s="76"/>
      <c r="BM71" s="915">
        <f>IF(BK71=0,0,(BL71-BK71)/BK71*100)</f>
        <v>0</v>
      </c>
      <c r="BN71" s="76"/>
      <c r="BO71" s="76"/>
      <c r="BP71" s="915">
        <f>IF(BN71=0,0,(BO71-BN71)/BN71*100)</f>
        <v>0</v>
      </c>
      <c r="BQ71" s="76"/>
      <c r="BR71" s="76"/>
      <c r="BS71" s="915">
        <f>IF(BQ71=0,0,(BR71-BQ71)/BQ71*100)</f>
        <v>0</v>
      </c>
      <c r="BT71" s="76"/>
      <c r="BU71" s="76"/>
      <c r="BV71" s="915">
        <f>IF(BT71=0,0,(BU71-BT71)/BT71*100)</f>
        <v>0</v>
      </c>
      <c r="BW71" s="76"/>
      <c r="BX71" s="76"/>
      <c r="BY71" s="915">
        <f>IF(BW71=0,0,(BX71-BW71)/BW71*100)</f>
        <v>0</v>
      </c>
      <c r="BZ71" s="76"/>
      <c r="CA71" s="76"/>
      <c r="CB71" s="915">
        <f>IF(BZ71=0,0,(CA71-BZ71)/BZ71*100)</f>
        <v>0</v>
      </c>
      <c r="CC71" s="76"/>
      <c r="CD71" s="76"/>
      <c r="CE71" s="915">
        <f>IF(CC71=0,0,(CD71-CC71)/CC71*100)</f>
        <v>0</v>
      </c>
      <c r="CF71" s="76"/>
      <c r="CG71" s="76"/>
      <c r="CH71" s="915">
        <f>IF(CF71=0,0,(CG71-CF71)/CF71*100)</f>
        <v>0</v>
      </c>
      <c r="CI71" s="76"/>
      <c r="CJ71" s="76"/>
      <c r="CK71" s="915">
        <f>IF(CI71=0,0,(CJ71-CI71)/CI71*100)</f>
        <v>0</v>
      </c>
      <c r="CL71" s="76"/>
      <c r="CM71" s="76"/>
      <c r="CN71" s="915">
        <f>IF(CL71=0,0,(CM71-CL71)/CL71*100)</f>
        <v>0</v>
      </c>
      <c r="CO71" s="76"/>
      <c r="CP71" s="76"/>
      <c r="CQ71" s="915">
        <f>IF(CO71=0,0,(CP71-CO71)/CO71*100)</f>
        <v>0</v>
      </c>
      <c r="CR71" s="76"/>
      <c r="CS71" s="76"/>
      <c r="CT71" s="915">
        <f>IF(CR71=0,0,(CS71-CR71)/CR71*100)</f>
        <v>0</v>
      </c>
      <c r="CU71" s="76"/>
      <c r="CV71" s="76"/>
      <c r="CW71" s="915">
        <f>IF(CU71=0,0,(CV71-CU71)/CU71*100)</f>
        <v>0</v>
      </c>
      <c r="CX71" s="76"/>
      <c r="CY71" s="76"/>
      <c r="CZ71" s="915">
        <f>IF(CX71=0,0,(CY71-CX71)/CX71*100)</f>
        <v>0</v>
      </c>
      <c r="DA71" s="76"/>
      <c r="DB71" s="76"/>
      <c r="DC71" s="915">
        <f>IF(DA71=0,0,(DB71-DA71)/DA71*100)</f>
        <v>0</v>
      </c>
      <c r="DD71" s="76"/>
      <c r="DE71" s="76"/>
      <c r="DF71" s="915">
        <f>IF(DD71=0,0,(DE71-DD71)/DD71*100)</f>
        <v>0</v>
      </c>
      <c r="DG71" s="76"/>
      <c r="DH71" s="76"/>
      <c r="DI71" s="915">
        <f>IF(DG71=0,0,(DH71-DG71)/DG71*100)</f>
        <v>0</v>
      </c>
      <c r="DJ71" s="76"/>
      <c r="DK71" s="76"/>
      <c r="DL71" s="915">
        <f>IF(DJ71=0,0,(DK71-DJ71)/DJ71*100)</f>
        <v>0</v>
      </c>
      <c r="DM71" s="76"/>
      <c r="DN71" s="76"/>
      <c r="DO71" s="915">
        <f>IF(DM71=0,0,(DN71-DM71)/DM71*100)</f>
        <v>0</v>
      </c>
      <c r="DP71" s="76"/>
      <c r="DQ71" s="76"/>
      <c r="DR71" s="915">
        <f>IF(DP71=0,0,(DQ71-DP71)/DP71*100)</f>
        <v>0</v>
      </c>
      <c r="DS71" s="76"/>
      <c r="DT71" s="76"/>
      <c r="DU71" s="915">
        <f>IF(DS71=0,0,(DT71-DS71)/DS71*100)</f>
        <v>0</v>
      </c>
      <c r="DV71" s="76"/>
      <c r="DW71" s="76"/>
      <c r="DX71" s="915">
        <f>IF(DV71=0,0,(DW71-DV71)/DV71*100)</f>
        <v>0</v>
      </c>
      <c r="DY71" s="76"/>
      <c r="DZ71" s="76"/>
      <c r="EA71" s="915">
        <f>IF(DY71=0,0,(DZ71-DY71)/DY71*100)</f>
        <v>0</v>
      </c>
      <c r="EB71" s="76"/>
      <c r="EC71" s="76"/>
      <c r="ED71" s="915">
        <f>IF(EB71=0,0,(EC71-EB71)/EB71*100)</f>
        <v>0</v>
      </c>
      <c r="EE71" s="76"/>
      <c r="EF71" s="76"/>
      <c r="EG71" s="915">
        <f>IF(EE71=0,0,(EF71-EE71)/EE71*100)</f>
        <v>0</v>
      </c>
      <c r="EH71" s="76"/>
      <c r="EI71" s="76"/>
      <c r="EJ71" s="915">
        <f>IF(EH71=0,0,(EI71-EH71)/EH71*100)</f>
        <v>0</v>
      </c>
      <c r="EK71" s="76"/>
      <c r="EL71" s="76"/>
      <c r="EM71" s="915">
        <f>IF(EK71=0,0,(EL71-EK71)/EK71*100)</f>
        <v>0</v>
      </c>
      <c r="EN71" s="76"/>
      <c r="EO71" s="76"/>
      <c r="EP71" s="915">
        <f>IF(EN71=0,0,(EO71-EN71)/EN71*100)</f>
        <v>0</v>
      </c>
      <c r="EQ71" s="76"/>
      <c r="ER71" s="76"/>
      <c r="ES71" s="915">
        <f>IF(EQ71=0,0,(ER71-EQ71)/EQ71*100)</f>
        <v>0</v>
      </c>
      <c r="ET71" s="76"/>
      <c r="EU71" s="76"/>
      <c r="EV71" s="915">
        <f>IF(ET71=0,0,(EU71-ET71)/ET71*100)</f>
        <v>0</v>
      </c>
      <c r="EW71" s="76"/>
      <c r="EX71" s="76"/>
      <c r="EY71" s="915">
        <f>IF(EW71=0,0,(EX71-EW71)/EW71*100)</f>
        <v>0</v>
      </c>
      <c r="EZ71" s="76"/>
      <c r="FA71" s="76"/>
      <c r="FB71" s="915">
        <f>IF(EZ71=0,0,(FA71-EZ71)/EZ71*100)</f>
        <v>0</v>
      </c>
      <c r="FC71" s="76"/>
      <c r="FD71" s="76"/>
      <c r="FE71" s="915">
        <f>IF(FC71=0,0,(FD71-FC71)/FC71*100)</f>
        <v>0</v>
      </c>
      <c r="FF71" s="76"/>
      <c r="FG71" s="76"/>
      <c r="FH71" s="915">
        <f>IF(FF71=0,0,(FG71-FF71)/FF71*100)</f>
        <v>0</v>
      </c>
      <c r="FI71" s="76"/>
      <c r="FJ71" s="76"/>
      <c r="FK71" s="915">
        <f>IF(FI71=0,0,(FJ71-FI71)/FI71*100)</f>
        <v>0</v>
      </c>
      <c r="FL71" s="76"/>
      <c r="FM71" s="76"/>
      <c r="FN71" s="915">
        <f>IF(FL71=0,0,(FM71-FL71)/FL71*100)</f>
        <v>0</v>
      </c>
      <c r="FO71" s="76"/>
      <c r="FP71" s="76"/>
      <c r="FQ71" s="915">
        <f>IF(FO71=0,0,(FP71-FO71)/FO71*100)</f>
        <v>0</v>
      </c>
      <c r="FR71" s="76"/>
      <c r="FS71" s="76"/>
      <c r="FT71" s="915">
        <f>IF(FR71=0,0,(FS71-FR71)/FR71*100)</f>
        <v>0</v>
      </c>
      <c r="FU71" s="76"/>
      <c r="FV71" s="76"/>
      <c r="FW71" s="915">
        <f>IF(FU71=0,0,(FV71-FU71)/FU71*100)</f>
        <v>0</v>
      </c>
      <c r="FZ71" s="489" t="s">
        <v>2520</v>
      </c>
      <c r="GA71" s="489"/>
      <c r="GB71" s="489"/>
      <c r="GC71" s="489"/>
      <c r="GD71" s="489"/>
      <c r="GF71" s="1501" cm="1" t="str">
        <f t="array" ref="GF71:GF71">GF70</f>
        <v>0</v>
      </c>
      <c r="GG71" s="1501" t="s">
        <v>704</v>
      </c>
      <c r="GH71" s="1501" t="s">
        <v>2469</v>
      </c>
      <c r="GI71" s="1501" t="s">
        <v>797</v>
      </c>
      <c r="GJ71" s="1501"/>
      <c r="GK71" s="1501"/>
      <c r="GL71" s="1501" t="s">
        <v>303</v>
      </c>
      <c r="GM71" s="1501" t="s">
        <v>2500</v>
      </c>
      <c r="GN71" s="1501" t="s">
        <v>2501</v>
      </c>
    </row>
    <row customHeight="1" ht="15.600000000000001" hidden="1">
      <c r="B72" s="192" cm="1" t="str">
        <f t="array" ref="B72:B72">B71</f>
        <v>false</v>
      </c>
      <c r="E72" s="180">
        <v>16</v>
      </c>
      <c r="F72" s="175" cm="1" t="str">
        <f t="array" ref="F72:F72">OFFSET(G72,-1,-1)</f>
        <v>0</v>
      </c>
      <c r="I72" s="193" t="s">
        <v>2472</v>
      </c>
      <c r="T72" s="753" cm="1" t="str">
        <f t="array" ref="T72:T72">T71</f>
        <v>false</v>
      </c>
      <c r="AB72" s="560" t="s">
        <v>2502</v>
      </c>
      <c r="AC72" s="845" t="s">
        <v>752</v>
      </c>
      <c r="AD72" s="76"/>
      <c r="AE72" s="76"/>
      <c r="AF72" s="915">
        <f>IF(AD72=0,0,(AE72-AD72)/AD72*100)</f>
        <v>0</v>
      </c>
      <c r="AG72" s="76"/>
      <c r="AH72" s="76"/>
      <c r="AI72" s="915">
        <f>IF(AG72=0,0,(AH72-AG72)/AG72*100)</f>
        <v>0</v>
      </c>
      <c r="AJ72" s="76"/>
      <c r="AK72" s="76"/>
      <c r="AL72" s="915">
        <f>IF(AJ72=0,0,(AK72-AJ72)/AJ72*100)</f>
        <v>0</v>
      </c>
      <c r="AM72" s="76"/>
      <c r="AN72" s="76"/>
      <c r="AO72" s="915">
        <f>IF(AM72=0,0,(AN72-AM72)/AM72*100)</f>
        <v>0</v>
      </c>
      <c r="AP72" s="76"/>
      <c r="AQ72" s="76"/>
      <c r="AR72" s="915">
        <f>IF(AP72=0,0,(AQ72-AP72)/AP72*100)</f>
        <v>0</v>
      </c>
      <c r="AS72" s="76"/>
      <c r="AT72" s="76"/>
      <c r="AU72" s="915">
        <f>IF(AS72=0,0,(AT72-AS72)/AS72*100)</f>
        <v>0</v>
      </c>
      <c r="AV72" s="76"/>
      <c r="AW72" s="76"/>
      <c r="AX72" s="915">
        <f>IF(AV72=0,0,(AW72-AV72)/AV72*100)</f>
        <v>0</v>
      </c>
      <c r="AY72" s="76"/>
      <c r="AZ72" s="76"/>
      <c r="BA72" s="915">
        <f>IF(AY72=0,0,(AZ72-AY72)/AY72*100)</f>
        <v>0</v>
      </c>
      <c r="BB72" s="76"/>
      <c r="BC72" s="76"/>
      <c r="BD72" s="915">
        <f>IF(BB72=0,0,(BC72-BB72)/BB72*100)</f>
        <v>0</v>
      </c>
      <c r="BE72" s="76"/>
      <c r="BF72" s="76"/>
      <c r="BG72" s="915">
        <f>IF(BE72=0,0,(BF72-BE72)/BE72*100)</f>
        <v>0</v>
      </c>
      <c r="BH72" s="76"/>
      <c r="BI72" s="76"/>
      <c r="BJ72" s="915">
        <f>IF(BH72=0,0,(BI72-BH72)/BH72*100)</f>
        <v>0</v>
      </c>
      <c r="BK72" s="76"/>
      <c r="BL72" s="76"/>
      <c r="BM72" s="915">
        <f>IF(BK72=0,0,(BL72-BK72)/BK72*100)</f>
        <v>0</v>
      </c>
      <c r="BN72" s="76"/>
      <c r="BO72" s="76"/>
      <c r="BP72" s="915">
        <f>IF(BN72=0,0,(BO72-BN72)/BN72*100)</f>
        <v>0</v>
      </c>
      <c r="BQ72" s="76"/>
      <c r="BR72" s="76"/>
      <c r="BS72" s="915">
        <f>IF(BQ72=0,0,(BR72-BQ72)/BQ72*100)</f>
        <v>0</v>
      </c>
      <c r="BT72" s="76"/>
      <c r="BU72" s="76"/>
      <c r="BV72" s="915">
        <f>IF(BT72=0,0,(BU72-BT72)/BT72*100)</f>
        <v>0</v>
      </c>
      <c r="BW72" s="76"/>
      <c r="BX72" s="76"/>
      <c r="BY72" s="915">
        <f>IF(BW72=0,0,(BX72-BW72)/BW72*100)</f>
        <v>0</v>
      </c>
      <c r="BZ72" s="76"/>
      <c r="CA72" s="76"/>
      <c r="CB72" s="915">
        <f>IF(BZ72=0,0,(CA72-BZ72)/BZ72*100)</f>
        <v>0</v>
      </c>
      <c r="CC72" s="76"/>
      <c r="CD72" s="76"/>
      <c r="CE72" s="915">
        <f>IF(CC72=0,0,(CD72-CC72)/CC72*100)</f>
        <v>0</v>
      </c>
      <c r="CF72" s="76"/>
      <c r="CG72" s="76"/>
      <c r="CH72" s="915">
        <f>IF(CF72=0,0,(CG72-CF72)/CF72*100)</f>
        <v>0</v>
      </c>
      <c r="CI72" s="76"/>
      <c r="CJ72" s="76"/>
      <c r="CK72" s="915">
        <f>IF(CI72=0,0,(CJ72-CI72)/CI72*100)</f>
        <v>0</v>
      </c>
      <c r="CL72" s="76"/>
      <c r="CM72" s="76"/>
      <c r="CN72" s="915">
        <f>IF(CL72=0,0,(CM72-CL72)/CL72*100)</f>
        <v>0</v>
      </c>
      <c r="CO72" s="76"/>
      <c r="CP72" s="76"/>
      <c r="CQ72" s="915">
        <f>IF(CO72=0,0,(CP72-CO72)/CO72*100)</f>
        <v>0</v>
      </c>
      <c r="CR72" s="76"/>
      <c r="CS72" s="76"/>
      <c r="CT72" s="915">
        <f>IF(CR72=0,0,(CS72-CR72)/CR72*100)</f>
        <v>0</v>
      </c>
      <c r="CU72" s="76"/>
      <c r="CV72" s="76"/>
      <c r="CW72" s="915">
        <f>IF(CU72=0,0,(CV72-CU72)/CU72*100)</f>
        <v>0</v>
      </c>
      <c r="CX72" s="76"/>
      <c r="CY72" s="76"/>
      <c r="CZ72" s="915">
        <f>IF(CX72=0,0,(CY72-CX72)/CX72*100)</f>
        <v>0</v>
      </c>
      <c r="DA72" s="76"/>
      <c r="DB72" s="76"/>
      <c r="DC72" s="915">
        <f>IF(DA72=0,0,(DB72-DA72)/DA72*100)</f>
        <v>0</v>
      </c>
      <c r="DD72" s="76"/>
      <c r="DE72" s="76"/>
      <c r="DF72" s="915">
        <f>IF(DD72=0,0,(DE72-DD72)/DD72*100)</f>
        <v>0</v>
      </c>
      <c r="DG72" s="76"/>
      <c r="DH72" s="76"/>
      <c r="DI72" s="915">
        <f>IF(DG72=0,0,(DH72-DG72)/DG72*100)</f>
        <v>0</v>
      </c>
      <c r="DJ72" s="76"/>
      <c r="DK72" s="76"/>
      <c r="DL72" s="915">
        <f>IF(DJ72=0,0,(DK72-DJ72)/DJ72*100)</f>
        <v>0</v>
      </c>
      <c r="DM72" s="76"/>
      <c r="DN72" s="76"/>
      <c r="DO72" s="915">
        <f>IF(DM72=0,0,(DN72-DM72)/DM72*100)</f>
        <v>0</v>
      </c>
      <c r="DP72" s="76"/>
      <c r="DQ72" s="76"/>
      <c r="DR72" s="915">
        <f>IF(DP72=0,0,(DQ72-DP72)/DP72*100)</f>
        <v>0</v>
      </c>
      <c r="DS72" s="76"/>
      <c r="DT72" s="76"/>
      <c r="DU72" s="915">
        <f>IF(DS72=0,0,(DT72-DS72)/DS72*100)</f>
        <v>0</v>
      </c>
      <c r="DV72" s="76"/>
      <c r="DW72" s="76"/>
      <c r="DX72" s="915">
        <f>IF(DV72=0,0,(DW72-DV72)/DV72*100)</f>
        <v>0</v>
      </c>
      <c r="DY72" s="76"/>
      <c r="DZ72" s="76"/>
      <c r="EA72" s="915">
        <f>IF(DY72=0,0,(DZ72-DY72)/DY72*100)</f>
        <v>0</v>
      </c>
      <c r="EB72" s="76"/>
      <c r="EC72" s="76"/>
      <c r="ED72" s="915">
        <f>IF(EB72=0,0,(EC72-EB72)/EB72*100)</f>
        <v>0</v>
      </c>
      <c r="EE72" s="76"/>
      <c r="EF72" s="76"/>
      <c r="EG72" s="915">
        <f>IF(EE72=0,0,(EF72-EE72)/EE72*100)</f>
        <v>0</v>
      </c>
      <c r="EH72" s="76"/>
      <c r="EI72" s="76"/>
      <c r="EJ72" s="915">
        <f>IF(EH72=0,0,(EI72-EH72)/EH72*100)</f>
        <v>0</v>
      </c>
      <c r="EK72" s="76"/>
      <c r="EL72" s="76"/>
      <c r="EM72" s="915">
        <f>IF(EK72=0,0,(EL72-EK72)/EK72*100)</f>
        <v>0</v>
      </c>
      <c r="EN72" s="76"/>
      <c r="EO72" s="76"/>
      <c r="EP72" s="915">
        <f>IF(EN72=0,0,(EO72-EN72)/EN72*100)</f>
        <v>0</v>
      </c>
      <c r="EQ72" s="76"/>
      <c r="ER72" s="76"/>
      <c r="ES72" s="915">
        <f>IF(EQ72=0,0,(ER72-EQ72)/EQ72*100)</f>
        <v>0</v>
      </c>
      <c r="ET72" s="76"/>
      <c r="EU72" s="76"/>
      <c r="EV72" s="915">
        <f>IF(ET72=0,0,(EU72-ET72)/ET72*100)</f>
        <v>0</v>
      </c>
      <c r="EW72" s="76"/>
      <c r="EX72" s="76"/>
      <c r="EY72" s="915">
        <f>IF(EW72=0,0,(EX72-EW72)/EW72*100)</f>
        <v>0</v>
      </c>
      <c r="EZ72" s="76"/>
      <c r="FA72" s="76"/>
      <c r="FB72" s="915">
        <f>IF(EZ72=0,0,(FA72-EZ72)/EZ72*100)</f>
        <v>0</v>
      </c>
      <c r="FC72" s="76"/>
      <c r="FD72" s="76"/>
      <c r="FE72" s="915">
        <f>IF(FC72=0,0,(FD72-FC72)/FC72*100)</f>
        <v>0</v>
      </c>
      <c r="FF72" s="76"/>
      <c r="FG72" s="76"/>
      <c r="FH72" s="915">
        <f>IF(FF72=0,0,(FG72-FF72)/FF72*100)</f>
        <v>0</v>
      </c>
      <c r="FI72" s="76"/>
      <c r="FJ72" s="76"/>
      <c r="FK72" s="915">
        <f>IF(FI72=0,0,(FJ72-FI72)/FI72*100)</f>
        <v>0</v>
      </c>
      <c r="FL72" s="76"/>
      <c r="FM72" s="76"/>
      <c r="FN72" s="915">
        <f>IF(FL72=0,0,(FM72-FL72)/FL72*100)</f>
        <v>0</v>
      </c>
      <c r="FO72" s="76"/>
      <c r="FP72" s="76"/>
      <c r="FQ72" s="915">
        <f>IF(FO72=0,0,(FP72-FO72)/FO72*100)</f>
        <v>0</v>
      </c>
      <c r="FR72" s="76"/>
      <c r="FS72" s="76"/>
      <c r="FT72" s="915">
        <f>IF(FR72=0,0,(FS72-FR72)/FR72*100)</f>
        <v>0</v>
      </c>
      <c r="FU72" s="76"/>
      <c r="FV72" s="76"/>
      <c r="FW72" s="915">
        <f>IF(FU72=0,0,(FV72-FU72)/FU72*100)</f>
        <v>0</v>
      </c>
      <c r="FZ72" s="489" t="s">
        <v>2521</v>
      </c>
      <c r="GA72" s="489"/>
      <c r="GB72" s="489"/>
      <c r="GC72" s="489"/>
      <c r="GD72" s="489"/>
      <c r="GF72" s="1501" cm="1" t="str">
        <f t="array" ref="GF72:GF72">GF71</f>
        <v>0</v>
      </c>
      <c r="GG72" s="1501" t="s">
        <v>704</v>
      </c>
      <c r="GH72" s="1501" t="s">
        <v>2469</v>
      </c>
      <c r="GI72" s="1501" t="s">
        <v>797</v>
      </c>
      <c r="GJ72" s="1501"/>
      <c r="GK72" s="1501"/>
      <c r="GL72" s="1501" t="s">
        <v>303</v>
      </c>
      <c r="GM72" s="1501" t="s">
        <v>2504</v>
      </c>
      <c r="GN72" s="1501" t="s">
        <v>2505</v>
      </c>
    </row>
    <row customHeight="1" ht="15.75" hidden="1">
      <c r="E73" s="965">
        <v>0</v>
      </c>
      <c r="F73" s="175" cm="1" t="str">
        <f t="array" ref="F73:F73">OFFSET(G73,-1,-1)</f>
        <v>0</v>
      </c>
      <c r="T73" s="753" t="b">
        <v>0</v>
      </c>
      <c r="AB73" s="919" t="s">
        <v>191</v>
      </c>
      <c r="AC73" s="241"/>
      <c r="AD73" s="920"/>
      <c r="AE73" s="920"/>
      <c r="AF73" s="920"/>
      <c r="AG73" s="920"/>
      <c r="AH73" s="920"/>
      <c r="AI73" s="920"/>
      <c r="AJ73" s="920"/>
      <c r="AK73" s="920"/>
      <c r="AL73" s="920"/>
      <c r="AM73" s="920"/>
      <c r="AN73" s="920"/>
      <c r="AO73" s="920"/>
      <c r="AP73" s="920"/>
      <c r="AQ73" s="920"/>
      <c r="AR73" s="920"/>
      <c r="AS73" s="920"/>
      <c r="AT73" s="920"/>
      <c r="AU73" s="920"/>
      <c r="AV73" s="920"/>
      <c r="AW73" s="920"/>
      <c r="AX73" s="920"/>
      <c r="AY73" s="920"/>
      <c r="AZ73" s="920"/>
      <c r="BA73" s="920"/>
      <c r="BB73" s="920"/>
      <c r="BC73" s="920"/>
      <c r="BD73" s="920"/>
      <c r="BE73" s="920"/>
      <c r="BF73" s="920"/>
      <c r="BG73" s="920"/>
      <c r="BH73" s="920"/>
      <c r="BI73" s="920"/>
      <c r="BJ73" s="920"/>
      <c r="BK73" s="920"/>
      <c r="BL73" s="920"/>
      <c r="BM73" s="920"/>
      <c r="BN73" s="920"/>
      <c r="BO73" s="920"/>
      <c r="BP73" s="920"/>
      <c r="BQ73" s="920"/>
      <c r="BR73" s="920"/>
      <c r="BS73" s="920"/>
      <c r="BT73" s="920"/>
      <c r="BU73" s="920"/>
      <c r="BV73" s="920"/>
      <c r="BW73" s="920"/>
      <c r="BX73" s="920"/>
      <c r="BY73" s="920"/>
      <c r="BZ73" s="920"/>
      <c r="CA73" s="920"/>
      <c r="CB73" s="920"/>
      <c r="CC73" s="920"/>
      <c r="CD73" s="920"/>
      <c r="CE73" s="920"/>
      <c r="CF73" s="920"/>
      <c r="CG73" s="920"/>
      <c r="CH73" s="920"/>
      <c r="CI73" s="920"/>
      <c r="CJ73" s="920"/>
      <c r="CK73" s="920"/>
      <c r="CL73" s="920"/>
      <c r="CM73" s="920"/>
      <c r="CN73" s="920"/>
      <c r="CO73" s="920"/>
      <c r="CP73" s="920"/>
      <c r="CQ73" s="920"/>
      <c r="CR73" s="920"/>
      <c r="CS73" s="920"/>
      <c r="CT73" s="920"/>
      <c r="CU73" s="920"/>
      <c r="CV73" s="920"/>
      <c r="CW73" s="920"/>
      <c r="CX73" s="920"/>
      <c r="CY73" s="920"/>
      <c r="CZ73" s="920"/>
      <c r="DA73" s="920"/>
      <c r="DB73" s="920"/>
      <c r="DC73" s="920"/>
      <c r="DD73" s="920"/>
      <c r="DE73" s="920"/>
      <c r="DF73" s="920"/>
      <c r="DG73" s="920"/>
      <c r="DH73" s="920"/>
      <c r="DI73" s="920"/>
      <c r="DJ73" s="920"/>
      <c r="DK73" s="920"/>
      <c r="DL73" s="920"/>
      <c r="DM73" s="920"/>
      <c r="DN73" s="920"/>
      <c r="DO73" s="920"/>
      <c r="DP73" s="920"/>
      <c r="DQ73" s="920"/>
      <c r="DR73" s="920"/>
      <c r="DS73" s="920"/>
      <c r="DT73" s="920"/>
      <c r="DU73" s="920"/>
      <c r="DV73" s="920"/>
      <c r="DW73" s="920"/>
      <c r="DX73" s="920"/>
      <c r="DY73" s="920"/>
      <c r="DZ73" s="920"/>
      <c r="EA73" s="920"/>
      <c r="EB73" s="920"/>
      <c r="EC73" s="920"/>
      <c r="ED73" s="920"/>
      <c r="EE73" s="920"/>
      <c r="EF73" s="920"/>
      <c r="EG73" s="920"/>
      <c r="EH73" s="920"/>
      <c r="EI73" s="920"/>
      <c r="EJ73" s="920"/>
      <c r="EK73" s="920"/>
      <c r="EL73" s="920"/>
      <c r="EM73" s="920"/>
      <c r="EN73" s="920"/>
      <c r="EO73" s="920"/>
      <c r="EP73" s="920"/>
      <c r="EQ73" s="920"/>
      <c r="ER73" s="920"/>
      <c r="ES73" s="920"/>
      <c r="ET73" s="920"/>
      <c r="EU73" s="920"/>
      <c r="EV73" s="920"/>
      <c r="EW73" s="920"/>
      <c r="EX73" s="920"/>
      <c r="EY73" s="920"/>
      <c r="EZ73" s="920"/>
      <c r="FA73" s="920"/>
      <c r="FB73" s="920"/>
      <c r="FC73" s="920"/>
      <c r="FD73" s="920"/>
      <c r="FE73" s="920"/>
      <c r="FF73" s="920"/>
      <c r="FG73" s="920"/>
      <c r="FH73" s="920"/>
      <c r="FI73" s="920"/>
      <c r="FJ73" s="920"/>
      <c r="FK73" s="920"/>
      <c r="FL73" s="920"/>
      <c r="FM73" s="920"/>
      <c r="FN73" s="920"/>
      <c r="FO73" s="920"/>
      <c r="FP73" s="920"/>
      <c r="FQ73" s="920"/>
      <c r="FR73" s="920"/>
      <c r="FS73" s="920"/>
      <c r="FT73" s="920"/>
      <c r="FU73" s="920"/>
      <c r="FV73" s="920"/>
      <c r="FW73" s="242"/>
      <c r="GA73" s="489"/>
      <c r="GB73" s="489"/>
      <c r="GC73" s="489"/>
      <c r="GD73" s="489"/>
    </row>
    <row s="1751" customFormat="1" customHeight="1" ht="21">
      <c r="A74" s="371"/>
      <c r="B74" s="1548"/>
      <c r="C74" s="1659"/>
      <c r="D74" s="1659"/>
      <c r="E74" s="180">
        <v>22</v>
      </c>
      <c r="F74" s="175" cm="1" t="str">
        <f t="array" ref="F74:F74">X74</f>
        <v>1</v>
      </c>
      <c r="G74" s="193" cm="1" t="str">
        <f t="array" ref="G74:G74">INDEX('Общие сведения'!$AK$169:$AK$202,MATCH($F74,'Общие сведения'!$Y$169:$Y$202,0))</f>
        <v>одноставочный</v>
      </c>
      <c r="H74" s="1659"/>
      <c r="I74" s="1659"/>
      <c r="J74" s="1659"/>
      <c r="K74" s="1659"/>
      <c r="L74" s="1659"/>
      <c r="M74" s="1659"/>
      <c r="N74" s="1659"/>
      <c r="O74" s="1659"/>
      <c r="P74" s="1659"/>
      <c r="Q74" s="1659"/>
      <c r="R74" s="193" cm="1" t="str">
        <f t="array" ref="R74:R74">INDEX('Общие сведения'!$AK$169:$AK$202,MATCH($F74,'Общие сведения'!$Y$169:$Y$202,0))</f>
        <v>одноставочный</v>
      </c>
      <c r="S74" s="1659"/>
      <c r="T74" s="753">
        <f>X74&gt;0</f>
        <v>1</v>
      </c>
      <c r="U74" s="1548"/>
      <c r="V74" s="175" cm="1" t="str">
        <f t="array" ref="V74:V74">'ИП источники'!$AB$70</f>
        <v>Тариф 1 (Теплоснабжение) - Тариф на тепловую энергию (мощность), поставляемую потребителям (Доп. признак не требуется)</v>
      </c>
      <c r="W74" s="1548"/>
      <c r="X74" s="175" t="s">
        <v>308</v>
      </c>
      <c r="Y74" s="1548"/>
      <c r="Z74" s="1548"/>
      <c r="AA74" s="286"/>
      <c r="AB74" s="1709" cm="1" t="str">
        <f t="array" ref="AB74:AB74">IF(ISBLANK('ИП источники'!$AB$70),"",'ИП источники'!$AB$70)</f>
        <v>Тариф 1 (Теплоснабжение) - Тариф на тепловую энергию (мощность), поставляемую потребителям (Доп. признак не требуется)</v>
      </c>
      <c r="AC74" s="1710"/>
      <c r="AD74" s="1701" t="str">
        <f>"Тариф "&amp;F74</f>
        <v>Тариф 1</v>
      </c>
      <c r="AE74" s="1702"/>
      <c r="AF74" s="1702"/>
      <c r="AG74" s="1702"/>
      <c r="AH74" s="1702"/>
      <c r="AI74" s="1702"/>
      <c r="AJ74" s="1702"/>
      <c r="AK74" s="1702"/>
      <c r="AL74" s="1702"/>
      <c r="AM74" s="1702"/>
      <c r="AN74" s="1702"/>
      <c r="AO74" s="1702"/>
      <c r="AP74" s="1702"/>
      <c r="AQ74" s="1702"/>
      <c r="AR74" s="1702"/>
      <c r="AS74" s="1702"/>
      <c r="AT74" s="1702"/>
      <c r="AU74" s="1702"/>
      <c r="AV74" s="1702"/>
      <c r="AW74" s="1702"/>
      <c r="AX74" s="1702"/>
      <c r="AY74" s="1702"/>
      <c r="AZ74" s="1702"/>
      <c r="BA74" s="1702"/>
      <c r="BB74" s="1702"/>
      <c r="BC74" s="1702"/>
      <c r="BD74" s="1702"/>
      <c r="BE74" s="1702"/>
      <c r="BF74" s="1702"/>
      <c r="BG74" s="1702"/>
      <c r="BH74" s="1702"/>
      <c r="BI74" s="1702"/>
      <c r="BJ74" s="1702"/>
      <c r="BK74" s="1702"/>
      <c r="BL74" s="1702"/>
      <c r="BM74" s="1702"/>
      <c r="BN74" s="1702"/>
      <c r="BO74" s="1702"/>
      <c r="BP74" s="1702"/>
      <c r="BQ74" s="1702"/>
      <c r="BR74" s="1702"/>
      <c r="BS74" s="1702"/>
      <c r="BT74" s="1702"/>
      <c r="BU74" s="1702"/>
      <c r="BV74" s="1702"/>
      <c r="BW74" s="1702"/>
      <c r="BX74" s="1702"/>
      <c r="BY74" s="1702"/>
      <c r="BZ74" s="1702"/>
      <c r="CA74" s="1702"/>
      <c r="CB74" s="1702"/>
      <c r="CC74" s="1702"/>
      <c r="CD74" s="1702"/>
      <c r="CE74" s="1702"/>
      <c r="CF74" s="1702"/>
      <c r="CG74" s="1702"/>
      <c r="CH74" s="1702"/>
      <c r="CI74" s="1702"/>
      <c r="CJ74" s="1702"/>
      <c r="CK74" s="1702"/>
      <c r="CL74" s="1702"/>
      <c r="CM74" s="1702"/>
      <c r="CN74" s="1702"/>
      <c r="CO74" s="1702"/>
      <c r="CP74" s="1702"/>
      <c r="CQ74" s="1702"/>
      <c r="CR74" s="1702"/>
      <c r="CS74" s="1702"/>
      <c r="CT74" s="1702"/>
      <c r="CU74" s="1702"/>
      <c r="CV74" s="1702"/>
      <c r="CW74" s="1702"/>
      <c r="CX74" s="1702"/>
      <c r="CY74" s="1702"/>
      <c r="CZ74" s="1702"/>
      <c r="DA74" s="1702"/>
      <c r="DB74" s="1702"/>
      <c r="DC74" s="1702"/>
      <c r="DD74" s="1702"/>
      <c r="DE74" s="1702"/>
      <c r="DF74" s="1702"/>
      <c r="DG74" s="1702"/>
      <c r="DH74" s="1702"/>
      <c r="DI74" s="1702"/>
      <c r="DJ74" s="1702"/>
      <c r="DK74" s="1702"/>
      <c r="DL74" s="1702"/>
      <c r="DM74" s="1702"/>
      <c r="DN74" s="1702"/>
      <c r="DO74" s="1702"/>
      <c r="DP74" s="1702"/>
      <c r="DQ74" s="1702"/>
      <c r="DR74" s="1702"/>
      <c r="DS74" s="1702"/>
      <c r="DT74" s="1702"/>
      <c r="DU74" s="1702"/>
      <c r="DV74" s="1702"/>
      <c r="DW74" s="1702"/>
      <c r="DX74" s="1702"/>
      <c r="DY74" s="1702"/>
      <c r="DZ74" s="1702"/>
      <c r="EA74" s="1702"/>
      <c r="EB74" s="1702"/>
      <c r="EC74" s="1702"/>
      <c r="ED74" s="1702"/>
      <c r="EE74" s="1702"/>
      <c r="EF74" s="1702"/>
      <c r="EG74" s="1702"/>
      <c r="EH74" s="1702"/>
      <c r="EI74" s="1702"/>
      <c r="EJ74" s="1702"/>
      <c r="EK74" s="1702"/>
      <c r="EL74" s="1702"/>
      <c r="EM74" s="1702"/>
      <c r="EN74" s="1702"/>
      <c r="EO74" s="1702"/>
      <c r="EP74" s="1702"/>
      <c r="EQ74" s="1702"/>
      <c r="ER74" s="1702"/>
      <c r="ES74" s="1702"/>
      <c r="ET74" s="1702"/>
      <c r="EU74" s="1702"/>
      <c r="EV74" s="1702"/>
      <c r="EW74" s="1702"/>
      <c r="EX74" s="1702"/>
      <c r="EY74" s="1702"/>
      <c r="EZ74" s="1702"/>
      <c r="FA74" s="1702"/>
      <c r="FB74" s="1702"/>
      <c r="FC74" s="1702"/>
      <c r="FD74" s="1702"/>
      <c r="FE74" s="1702"/>
      <c r="FF74" s="1702"/>
      <c r="FG74" s="1702"/>
      <c r="FH74" s="1702"/>
      <c r="FI74" s="1702"/>
      <c r="FJ74" s="1702"/>
      <c r="FK74" s="1702"/>
      <c r="FL74" s="1702"/>
      <c r="FM74" s="1702"/>
      <c r="FN74" s="1702"/>
      <c r="FO74" s="1702"/>
      <c r="FP74" s="1702"/>
      <c r="FQ74" s="1702"/>
      <c r="FR74" s="1702"/>
      <c r="FS74" s="1702"/>
      <c r="FT74" s="1702"/>
      <c r="FU74" s="1702"/>
      <c r="FV74" s="1702"/>
      <c r="FW74" s="1703"/>
      <c r="FX74" s="286"/>
      <c r="FY74" s="1659"/>
      <c r="FZ74" s="1125"/>
      <c r="GA74" s="489"/>
      <c r="GB74" s="489"/>
      <c r="GC74" s="489"/>
      <c r="GD74" s="489"/>
      <c r="GE74" s="1506"/>
      <c r="GF74" s="1751"/>
      <c r="GG74" s="1751"/>
      <c r="GH74" s="1751"/>
      <c r="GI74" s="1751"/>
      <c r="GJ74" s="1751"/>
      <c r="GK74" s="1751"/>
      <c r="GL74" s="1751"/>
      <c r="GM74" s="1751"/>
      <c r="GN74" s="1751"/>
    </row>
    <row s="1751" customFormat="1" customHeight="1" ht="15" hidden="1">
      <c r="A75" s="371"/>
      <c r="B75" s="1548"/>
      <c r="C75" s="1659"/>
      <c r="D75" s="1659"/>
      <c r="E75" s="965">
        <v>0</v>
      </c>
      <c r="F75" s="175" cm="1" t="str">
        <f t="array" ref="F75:F75">OFFSET(G75,-1,-1)</f>
        <v>1</v>
      </c>
      <c r="G75" s="1659"/>
      <c r="H75" s="1659"/>
      <c r="I75" s="1659"/>
      <c r="J75" s="1659"/>
      <c r="K75" s="1659"/>
      <c r="L75" s="1659"/>
      <c r="M75" s="1659"/>
      <c r="N75" s="1659"/>
      <c r="O75" s="1659"/>
      <c r="P75" s="1659"/>
      <c r="Q75" s="1659"/>
      <c r="R75" s="1659"/>
      <c r="S75" s="1659"/>
      <c r="T75" s="753" t="b">
        <v>0</v>
      </c>
      <c r="U75" s="1548"/>
      <c r="V75" s="1548"/>
      <c r="W75" s="1548"/>
      <c r="X75" s="1548"/>
      <c r="Y75" s="1548"/>
      <c r="Z75" s="1548"/>
      <c r="AA75" s="286"/>
      <c r="AB75" s="1564"/>
      <c r="AC75" s="1566"/>
      <c r="AD75" s="1701"/>
      <c r="AE75" s="1704"/>
      <c r="AF75" s="1704"/>
      <c r="AG75" s="1704"/>
      <c r="AH75" s="1704"/>
      <c r="AI75" s="1704"/>
      <c r="AJ75" s="1704"/>
      <c r="AK75" s="1704"/>
      <c r="AL75" s="1704"/>
      <c r="AM75" s="1704"/>
      <c r="AN75" s="1704"/>
      <c r="AO75" s="1704"/>
      <c r="AP75" s="1704"/>
      <c r="AQ75" s="1704"/>
      <c r="AR75" s="1704"/>
      <c r="AS75" s="1704"/>
      <c r="AT75" s="1704"/>
      <c r="AU75" s="1704"/>
      <c r="AV75" s="1704"/>
      <c r="AW75" s="1704"/>
      <c r="AX75" s="1704"/>
      <c r="AY75" s="1704"/>
      <c r="AZ75" s="1704"/>
      <c r="BA75" s="1704"/>
      <c r="BB75" s="1704"/>
      <c r="BC75" s="1704"/>
      <c r="BD75" s="1704"/>
      <c r="BE75" s="1704"/>
      <c r="BF75" s="1704"/>
      <c r="BG75" s="1704"/>
      <c r="BH75" s="1704"/>
      <c r="BI75" s="1704"/>
      <c r="BJ75" s="1704"/>
      <c r="BK75" s="1704"/>
      <c r="BL75" s="1704"/>
      <c r="BM75" s="1704"/>
      <c r="BN75" s="1704"/>
      <c r="BO75" s="1704"/>
      <c r="BP75" s="1704"/>
      <c r="BQ75" s="1704"/>
      <c r="BR75" s="1704"/>
      <c r="BS75" s="1704"/>
      <c r="BT75" s="1704"/>
      <c r="BU75" s="1704"/>
      <c r="BV75" s="1704"/>
      <c r="BW75" s="1704"/>
      <c r="BX75" s="1704"/>
      <c r="BY75" s="1704"/>
      <c r="BZ75" s="1704"/>
      <c r="CA75" s="1704"/>
      <c r="CB75" s="1704"/>
      <c r="CC75" s="1704"/>
      <c r="CD75" s="1704"/>
      <c r="CE75" s="1704"/>
      <c r="CF75" s="1704"/>
      <c r="CG75" s="1704"/>
      <c r="CH75" s="1704"/>
      <c r="CI75" s="1704"/>
      <c r="CJ75" s="1704"/>
      <c r="CK75" s="1704"/>
      <c r="CL75" s="1704"/>
      <c r="CM75" s="1704"/>
      <c r="CN75" s="1704"/>
      <c r="CO75" s="1704"/>
      <c r="CP75" s="1704"/>
      <c r="CQ75" s="1704"/>
      <c r="CR75" s="1704"/>
      <c r="CS75" s="1704"/>
      <c r="CT75" s="1704"/>
      <c r="CU75" s="1704"/>
      <c r="CV75" s="1704"/>
      <c r="CW75" s="1704"/>
      <c r="CX75" s="1704"/>
      <c r="CY75" s="1704"/>
      <c r="CZ75" s="1704"/>
      <c r="DA75" s="1704"/>
      <c r="DB75" s="1704"/>
      <c r="DC75" s="1704"/>
      <c r="DD75" s="1704"/>
      <c r="DE75" s="1704"/>
      <c r="DF75" s="1704"/>
      <c r="DG75" s="1704"/>
      <c r="DH75" s="1704"/>
      <c r="DI75" s="1704"/>
      <c r="DJ75" s="1704"/>
      <c r="DK75" s="1704"/>
      <c r="DL75" s="1704"/>
      <c r="DM75" s="1704"/>
      <c r="DN75" s="1704"/>
      <c r="DO75" s="1704"/>
      <c r="DP75" s="1704"/>
      <c r="DQ75" s="1704"/>
      <c r="DR75" s="1704"/>
      <c r="DS75" s="1704"/>
      <c r="DT75" s="1704"/>
      <c r="DU75" s="1704"/>
      <c r="DV75" s="1704"/>
      <c r="DW75" s="1704"/>
      <c r="DX75" s="1704"/>
      <c r="DY75" s="1704"/>
      <c r="DZ75" s="1704"/>
      <c r="EA75" s="1704"/>
      <c r="EB75" s="1704"/>
      <c r="EC75" s="1704"/>
      <c r="ED75" s="1704"/>
      <c r="EE75" s="1704"/>
      <c r="EF75" s="1704"/>
      <c r="EG75" s="1704"/>
      <c r="EH75" s="1704"/>
      <c r="EI75" s="1704"/>
      <c r="EJ75" s="1704"/>
      <c r="EK75" s="1704"/>
      <c r="EL75" s="1704"/>
      <c r="EM75" s="1704"/>
      <c r="EN75" s="1704"/>
      <c r="EO75" s="1704"/>
      <c r="EP75" s="1704"/>
      <c r="EQ75" s="1704"/>
      <c r="ER75" s="1704"/>
      <c r="ES75" s="1704"/>
      <c r="ET75" s="1704"/>
      <c r="EU75" s="1704"/>
      <c r="EV75" s="1704"/>
      <c r="EW75" s="1704"/>
      <c r="EX75" s="1704"/>
      <c r="EY75" s="1704"/>
      <c r="EZ75" s="1704"/>
      <c r="FA75" s="1704"/>
      <c r="FB75" s="1704"/>
      <c r="FC75" s="1704"/>
      <c r="FD75" s="1704"/>
      <c r="FE75" s="1704"/>
      <c r="FF75" s="1704"/>
      <c r="FG75" s="1704"/>
      <c r="FH75" s="1704"/>
      <c r="FI75" s="1704"/>
      <c r="FJ75" s="1704"/>
      <c r="FK75" s="1704"/>
      <c r="FL75" s="1704"/>
      <c r="FM75" s="1704"/>
      <c r="FN75" s="1704"/>
      <c r="FO75" s="1704"/>
      <c r="FP75" s="1704"/>
      <c r="FQ75" s="1704"/>
      <c r="FR75" s="1704"/>
      <c r="FS75" s="1704"/>
      <c r="FT75" s="1704"/>
      <c r="FU75" s="1704"/>
      <c r="FV75" s="1704"/>
      <c r="FW75" s="1705"/>
      <c r="FX75" s="286"/>
      <c r="FY75" s="1659"/>
      <c r="FZ75" s="1125"/>
      <c r="GA75" s="489"/>
      <c r="GB75" s="489"/>
      <c r="GC75" s="489"/>
      <c r="GD75" s="489"/>
      <c r="GE75" s="1506"/>
      <c r="GF75" s="1751"/>
      <c r="GG75" s="1751"/>
      <c r="GH75" s="1751"/>
      <c r="GI75" s="1751"/>
      <c r="GJ75" s="1751"/>
      <c r="GK75" s="1751"/>
      <c r="GL75" s="1751"/>
      <c r="GM75" s="1751"/>
      <c r="GN75" s="1751"/>
    </row>
    <row s="1751" customFormat="1" customHeight="1" ht="16.5">
      <c r="A76" s="371"/>
      <c r="B76" s="1548"/>
      <c r="C76" s="1659"/>
      <c r="D76" s="1659"/>
      <c r="E76" s="180">
        <v>17</v>
      </c>
      <c r="F76" s="175" cm="1" t="str">
        <f t="array" ref="F76:F76">OFFSET(G76,-1,-1)</f>
        <v>1</v>
      </c>
      <c r="G76" s="1659"/>
      <c r="H76" s="1659"/>
      <c r="I76" s="1659"/>
      <c r="J76" s="1659"/>
      <c r="K76" s="1659"/>
      <c r="L76" s="1659"/>
      <c r="M76" s="1659"/>
      <c r="N76" s="1659"/>
      <c r="O76" s="1659"/>
      <c r="P76" s="1659"/>
      <c r="Q76" s="1659"/>
      <c r="R76" s="1659"/>
      <c r="S76" s="1659"/>
      <c r="T76" s="753" cm="1" t="str">
        <f t="array" ref="T76:T76">T74</f>
        <v>true</v>
      </c>
      <c r="U76" s="1548"/>
      <c r="V76" s="1548"/>
      <c r="W76" s="1548"/>
      <c r="X76" s="1548"/>
      <c r="Y76" s="1548"/>
      <c r="Z76" s="1548"/>
      <c r="AA76" s="286"/>
      <c r="AB76" s="1564" t="s">
        <v>2446</v>
      </c>
      <c r="AC76" s="1566"/>
      <c r="AD76" s="1701" cm="1" t="str">
        <f t="array" ref="AD76:AD76">INDEX('Общие сведения'!$AM$169:$AM$202,MATCH($F76,'Общие сведения'!$Y$169:$Y$202,0))</f>
        <v>Тариф на тепловую энергию (мощность), поставляемую потребителям</v>
      </c>
      <c r="AE76" s="1704"/>
      <c r="AF76" s="1704"/>
      <c r="AG76" s="1704"/>
      <c r="AH76" s="1704"/>
      <c r="AI76" s="1704"/>
      <c r="AJ76" s="1704"/>
      <c r="AK76" s="1704"/>
      <c r="AL76" s="1704"/>
      <c r="AM76" s="1704"/>
      <c r="AN76" s="1704"/>
      <c r="AO76" s="1704"/>
      <c r="AP76" s="1704"/>
      <c r="AQ76" s="1704"/>
      <c r="AR76" s="1704"/>
      <c r="AS76" s="1704"/>
      <c r="AT76" s="1704"/>
      <c r="AU76" s="1704"/>
      <c r="AV76" s="1704"/>
      <c r="AW76" s="1704"/>
      <c r="AX76" s="1704"/>
      <c r="AY76" s="1704"/>
      <c r="AZ76" s="1704"/>
      <c r="BA76" s="1704"/>
      <c r="BB76" s="1704"/>
      <c r="BC76" s="1704"/>
      <c r="BD76" s="1704"/>
      <c r="BE76" s="1704"/>
      <c r="BF76" s="1704"/>
      <c r="BG76" s="1704"/>
      <c r="BH76" s="1704"/>
      <c r="BI76" s="1704"/>
      <c r="BJ76" s="1704"/>
      <c r="BK76" s="1704"/>
      <c r="BL76" s="1704"/>
      <c r="BM76" s="1704"/>
      <c r="BN76" s="1704"/>
      <c r="BO76" s="1704"/>
      <c r="BP76" s="1704"/>
      <c r="BQ76" s="1704"/>
      <c r="BR76" s="1704"/>
      <c r="BS76" s="1704"/>
      <c r="BT76" s="1704"/>
      <c r="BU76" s="1704"/>
      <c r="BV76" s="1704"/>
      <c r="BW76" s="1704"/>
      <c r="BX76" s="1704"/>
      <c r="BY76" s="1704"/>
      <c r="BZ76" s="1704"/>
      <c r="CA76" s="1704"/>
      <c r="CB76" s="1704"/>
      <c r="CC76" s="1704"/>
      <c r="CD76" s="1704"/>
      <c r="CE76" s="1704"/>
      <c r="CF76" s="1704"/>
      <c r="CG76" s="1704"/>
      <c r="CH76" s="1704"/>
      <c r="CI76" s="1704"/>
      <c r="CJ76" s="1704"/>
      <c r="CK76" s="1704"/>
      <c r="CL76" s="1704"/>
      <c r="CM76" s="1704"/>
      <c r="CN76" s="1704"/>
      <c r="CO76" s="1704"/>
      <c r="CP76" s="1704"/>
      <c r="CQ76" s="1704"/>
      <c r="CR76" s="1704"/>
      <c r="CS76" s="1704"/>
      <c r="CT76" s="1704"/>
      <c r="CU76" s="1704"/>
      <c r="CV76" s="1704"/>
      <c r="CW76" s="1704"/>
      <c r="CX76" s="1704"/>
      <c r="CY76" s="1704"/>
      <c r="CZ76" s="1704"/>
      <c r="DA76" s="1704"/>
      <c r="DB76" s="1704"/>
      <c r="DC76" s="1704"/>
      <c r="DD76" s="1704"/>
      <c r="DE76" s="1704"/>
      <c r="DF76" s="1704"/>
      <c r="DG76" s="1704"/>
      <c r="DH76" s="1704"/>
      <c r="DI76" s="1704"/>
      <c r="DJ76" s="1704"/>
      <c r="DK76" s="1704"/>
      <c r="DL76" s="1704"/>
      <c r="DM76" s="1704"/>
      <c r="DN76" s="1704"/>
      <c r="DO76" s="1704"/>
      <c r="DP76" s="1704"/>
      <c r="DQ76" s="1704"/>
      <c r="DR76" s="1704"/>
      <c r="DS76" s="1704"/>
      <c r="DT76" s="1704"/>
      <c r="DU76" s="1704"/>
      <c r="DV76" s="1704"/>
      <c r="DW76" s="1704"/>
      <c r="DX76" s="1704"/>
      <c r="DY76" s="1704"/>
      <c r="DZ76" s="1704"/>
      <c r="EA76" s="1704"/>
      <c r="EB76" s="1704"/>
      <c r="EC76" s="1704"/>
      <c r="ED76" s="1704"/>
      <c r="EE76" s="1704"/>
      <c r="EF76" s="1704"/>
      <c r="EG76" s="1704"/>
      <c r="EH76" s="1704"/>
      <c r="EI76" s="1704"/>
      <c r="EJ76" s="1704"/>
      <c r="EK76" s="1704"/>
      <c r="EL76" s="1704"/>
      <c r="EM76" s="1704"/>
      <c r="EN76" s="1704"/>
      <c r="EO76" s="1704"/>
      <c r="EP76" s="1704"/>
      <c r="EQ76" s="1704"/>
      <c r="ER76" s="1704"/>
      <c r="ES76" s="1704"/>
      <c r="ET76" s="1704"/>
      <c r="EU76" s="1704"/>
      <c r="EV76" s="1704"/>
      <c r="EW76" s="1704"/>
      <c r="EX76" s="1704"/>
      <c r="EY76" s="1704"/>
      <c r="EZ76" s="1704"/>
      <c r="FA76" s="1704"/>
      <c r="FB76" s="1704"/>
      <c r="FC76" s="1704"/>
      <c r="FD76" s="1704"/>
      <c r="FE76" s="1704"/>
      <c r="FF76" s="1704"/>
      <c r="FG76" s="1704"/>
      <c r="FH76" s="1704"/>
      <c r="FI76" s="1704"/>
      <c r="FJ76" s="1704"/>
      <c r="FK76" s="1704"/>
      <c r="FL76" s="1704"/>
      <c r="FM76" s="1704"/>
      <c r="FN76" s="1704"/>
      <c r="FO76" s="1704"/>
      <c r="FP76" s="1704"/>
      <c r="FQ76" s="1704"/>
      <c r="FR76" s="1704"/>
      <c r="FS76" s="1704"/>
      <c r="FT76" s="1704"/>
      <c r="FU76" s="1704"/>
      <c r="FV76" s="1704"/>
      <c r="FW76" s="1705"/>
      <c r="FX76" s="286"/>
      <c r="FY76" s="1659"/>
      <c r="FZ76" s="1125"/>
      <c r="GA76" s="489"/>
      <c r="GB76" s="489"/>
      <c r="GC76" s="489"/>
      <c r="GD76" s="489"/>
      <c r="GE76" s="1506"/>
      <c r="GF76" s="1751"/>
      <c r="GG76" s="1751"/>
      <c r="GH76" s="1751"/>
      <c r="GI76" s="1751"/>
      <c r="GJ76" s="1751"/>
      <c r="GK76" s="1751"/>
      <c r="GL76" s="1751"/>
      <c r="GM76" s="1751"/>
      <c r="GN76" s="1751"/>
    </row>
    <row s="1751" customFormat="1" customHeight="1" ht="16.5">
      <c r="A77" s="371"/>
      <c r="B77" s="1548"/>
      <c r="C77" s="1659"/>
      <c r="D77" s="1659"/>
      <c r="E77" s="180">
        <v>17</v>
      </c>
      <c r="F77" s="175" cm="1" t="str">
        <f t="array" ref="F77:F77">OFFSET(G77,-1,-1)</f>
        <v>1</v>
      </c>
      <c r="G77" s="1659"/>
      <c r="H77" s="1659"/>
      <c r="I77" s="1659"/>
      <c r="J77" s="1659"/>
      <c r="K77" s="1659"/>
      <c r="L77" s="1659"/>
      <c r="M77" s="1659"/>
      <c r="N77" s="1659"/>
      <c r="O77" s="1659"/>
      <c r="P77" s="1659"/>
      <c r="Q77" s="1659"/>
      <c r="R77" s="1659"/>
      <c r="S77" s="1659"/>
      <c r="T77" s="753" cm="1" t="str">
        <f t="array" ref="T77:T77">T76</f>
        <v>true</v>
      </c>
      <c r="U77" s="1548"/>
      <c r="V77" s="1548"/>
      <c r="W77" s="1548"/>
      <c r="X77" s="1548"/>
      <c r="Y77" s="1548"/>
      <c r="Z77" s="1548"/>
      <c r="AA77" s="286"/>
      <c r="AB77" s="1564" t="s">
        <v>2447</v>
      </c>
      <c r="AC77" s="1566"/>
      <c r="AD77" s="1701" cm="1" t="str">
        <f t="array" ref="AD77:AD77">INDEX('Общие сведения'!$AJ$169:$AJ$202,MATCH($F77,'Общие сведения'!$Y$169:$Y$202,0))</f>
        <v>Доп. признак не требуется</v>
      </c>
      <c r="AE77" s="1704"/>
      <c r="AF77" s="1704"/>
      <c r="AG77" s="1704"/>
      <c r="AH77" s="1704"/>
      <c r="AI77" s="1704"/>
      <c r="AJ77" s="1704"/>
      <c r="AK77" s="1704"/>
      <c r="AL77" s="1704"/>
      <c r="AM77" s="1704"/>
      <c r="AN77" s="1704"/>
      <c r="AO77" s="1704"/>
      <c r="AP77" s="1704"/>
      <c r="AQ77" s="1704"/>
      <c r="AR77" s="1704"/>
      <c r="AS77" s="1704"/>
      <c r="AT77" s="1704"/>
      <c r="AU77" s="1704"/>
      <c r="AV77" s="1704"/>
      <c r="AW77" s="1704"/>
      <c r="AX77" s="1704"/>
      <c r="AY77" s="1704"/>
      <c r="AZ77" s="1704"/>
      <c r="BA77" s="1704"/>
      <c r="BB77" s="1704"/>
      <c r="BC77" s="1704"/>
      <c r="BD77" s="1704"/>
      <c r="BE77" s="1704"/>
      <c r="BF77" s="1704"/>
      <c r="BG77" s="1704"/>
      <c r="BH77" s="1704"/>
      <c r="BI77" s="1704"/>
      <c r="BJ77" s="1704"/>
      <c r="BK77" s="1704"/>
      <c r="BL77" s="1704"/>
      <c r="BM77" s="1704"/>
      <c r="BN77" s="1704"/>
      <c r="BO77" s="1704"/>
      <c r="BP77" s="1704"/>
      <c r="BQ77" s="1704"/>
      <c r="BR77" s="1704"/>
      <c r="BS77" s="1704"/>
      <c r="BT77" s="1704"/>
      <c r="BU77" s="1704"/>
      <c r="BV77" s="1704"/>
      <c r="BW77" s="1704"/>
      <c r="BX77" s="1704"/>
      <c r="BY77" s="1704"/>
      <c r="BZ77" s="1704"/>
      <c r="CA77" s="1704"/>
      <c r="CB77" s="1704"/>
      <c r="CC77" s="1704"/>
      <c r="CD77" s="1704"/>
      <c r="CE77" s="1704"/>
      <c r="CF77" s="1704"/>
      <c r="CG77" s="1704"/>
      <c r="CH77" s="1704"/>
      <c r="CI77" s="1704"/>
      <c r="CJ77" s="1704"/>
      <c r="CK77" s="1704"/>
      <c r="CL77" s="1704"/>
      <c r="CM77" s="1704"/>
      <c r="CN77" s="1704"/>
      <c r="CO77" s="1704"/>
      <c r="CP77" s="1704"/>
      <c r="CQ77" s="1704"/>
      <c r="CR77" s="1704"/>
      <c r="CS77" s="1704"/>
      <c r="CT77" s="1704"/>
      <c r="CU77" s="1704"/>
      <c r="CV77" s="1704"/>
      <c r="CW77" s="1704"/>
      <c r="CX77" s="1704"/>
      <c r="CY77" s="1704"/>
      <c r="CZ77" s="1704"/>
      <c r="DA77" s="1704"/>
      <c r="DB77" s="1704"/>
      <c r="DC77" s="1704"/>
      <c r="DD77" s="1704"/>
      <c r="DE77" s="1704"/>
      <c r="DF77" s="1704"/>
      <c r="DG77" s="1704"/>
      <c r="DH77" s="1704"/>
      <c r="DI77" s="1704"/>
      <c r="DJ77" s="1704"/>
      <c r="DK77" s="1704"/>
      <c r="DL77" s="1704"/>
      <c r="DM77" s="1704"/>
      <c r="DN77" s="1704"/>
      <c r="DO77" s="1704"/>
      <c r="DP77" s="1704"/>
      <c r="DQ77" s="1704"/>
      <c r="DR77" s="1704"/>
      <c r="DS77" s="1704"/>
      <c r="DT77" s="1704"/>
      <c r="DU77" s="1704"/>
      <c r="DV77" s="1704"/>
      <c r="DW77" s="1704"/>
      <c r="DX77" s="1704"/>
      <c r="DY77" s="1704"/>
      <c r="DZ77" s="1704"/>
      <c r="EA77" s="1704"/>
      <c r="EB77" s="1704"/>
      <c r="EC77" s="1704"/>
      <c r="ED77" s="1704"/>
      <c r="EE77" s="1704"/>
      <c r="EF77" s="1704"/>
      <c r="EG77" s="1704"/>
      <c r="EH77" s="1704"/>
      <c r="EI77" s="1704"/>
      <c r="EJ77" s="1704"/>
      <c r="EK77" s="1704"/>
      <c r="EL77" s="1704"/>
      <c r="EM77" s="1704"/>
      <c r="EN77" s="1704"/>
      <c r="EO77" s="1704"/>
      <c r="EP77" s="1704"/>
      <c r="EQ77" s="1704"/>
      <c r="ER77" s="1704"/>
      <c r="ES77" s="1704"/>
      <c r="ET77" s="1704"/>
      <c r="EU77" s="1704"/>
      <c r="EV77" s="1704"/>
      <c r="EW77" s="1704"/>
      <c r="EX77" s="1704"/>
      <c r="EY77" s="1704"/>
      <c r="EZ77" s="1704"/>
      <c r="FA77" s="1704"/>
      <c r="FB77" s="1704"/>
      <c r="FC77" s="1704"/>
      <c r="FD77" s="1704"/>
      <c r="FE77" s="1704"/>
      <c r="FF77" s="1704"/>
      <c r="FG77" s="1704"/>
      <c r="FH77" s="1704"/>
      <c r="FI77" s="1704"/>
      <c r="FJ77" s="1704"/>
      <c r="FK77" s="1704"/>
      <c r="FL77" s="1704"/>
      <c r="FM77" s="1704"/>
      <c r="FN77" s="1704"/>
      <c r="FO77" s="1704"/>
      <c r="FP77" s="1704"/>
      <c r="FQ77" s="1704"/>
      <c r="FR77" s="1704"/>
      <c r="FS77" s="1704"/>
      <c r="FT77" s="1704"/>
      <c r="FU77" s="1704"/>
      <c r="FV77" s="1704"/>
      <c r="FW77" s="1705"/>
      <c r="FX77" s="286"/>
      <c r="FY77" s="1659"/>
      <c r="FZ77" s="1125"/>
      <c r="GA77" s="489"/>
      <c r="GB77" s="489"/>
      <c r="GC77" s="489"/>
      <c r="GD77" s="489"/>
      <c r="GE77" s="1506"/>
      <c r="GF77" s="1751"/>
      <c r="GG77" s="1751"/>
      <c r="GH77" s="1751"/>
      <c r="GI77" s="1751"/>
      <c r="GJ77" s="1751"/>
      <c r="GK77" s="1751"/>
      <c r="GL77" s="1751"/>
      <c r="GM77" s="1751"/>
      <c r="GN77" s="1751"/>
    </row>
    <row s="1751" customFormat="1" customHeight="1" ht="16.5">
      <c r="A78" s="371"/>
      <c r="B78" s="192">
        <f>R74="одноставочный"</f>
        <v>1</v>
      </c>
      <c r="C78" s="1659"/>
      <c r="D78" s="1659"/>
      <c r="E78" s="180">
        <v>17</v>
      </c>
      <c r="F78" s="175" cm="1" t="str">
        <f t="array" ref="F78:F78">OFFSET(G78,-1,-1)</f>
        <v>1</v>
      </c>
      <c r="G78" s="1659"/>
      <c r="H78" s="1659"/>
      <c r="I78" s="1659"/>
      <c r="J78" s="1659"/>
      <c r="K78" s="1659"/>
      <c r="L78" s="1659"/>
      <c r="M78" s="1659"/>
      <c r="N78" s="1659"/>
      <c r="O78" s="1659"/>
      <c r="P78" s="1659"/>
      <c r="Q78" s="1659"/>
      <c r="R78" s="1659"/>
      <c r="S78" s="1659"/>
      <c r="T78" s="753">
        <f>AND(F78&gt;0,G74="одноставочный")</f>
        <v>1</v>
      </c>
      <c r="U78" s="1548"/>
      <c r="V78" s="1548"/>
      <c r="W78" s="1548"/>
      <c r="X78" s="1548"/>
      <c r="Y78" s="1548"/>
      <c r="Z78" s="1548"/>
      <c r="AA78" s="286"/>
      <c r="AB78" s="905" t="s">
        <v>2448</v>
      </c>
      <c r="AC78" s="906"/>
      <c r="AD78" s="907"/>
      <c r="AE78" s="907"/>
      <c r="AF78" s="907"/>
      <c r="AG78" s="907"/>
      <c r="AH78" s="907"/>
      <c r="AI78" s="907"/>
      <c r="AJ78" s="907"/>
      <c r="AK78" s="907"/>
      <c r="AL78" s="907"/>
      <c r="AM78" s="907"/>
      <c r="AN78" s="907"/>
      <c r="AO78" s="907"/>
      <c r="AP78" s="907"/>
      <c r="AQ78" s="907"/>
      <c r="AR78" s="907"/>
      <c r="AS78" s="907"/>
      <c r="AT78" s="907"/>
      <c r="AU78" s="907"/>
      <c r="AV78" s="907"/>
      <c r="AW78" s="907"/>
      <c r="AX78" s="907"/>
      <c r="AY78" s="907"/>
      <c r="AZ78" s="907"/>
      <c r="BA78" s="907"/>
      <c r="BB78" s="907"/>
      <c r="BC78" s="907"/>
      <c r="BD78" s="907"/>
      <c r="BE78" s="907"/>
      <c r="BF78" s="907"/>
      <c r="BG78" s="907"/>
      <c r="BH78" s="907"/>
      <c r="BI78" s="907"/>
      <c r="BJ78" s="908"/>
      <c r="BK78" s="907"/>
      <c r="BL78" s="907"/>
      <c r="BM78" s="908"/>
      <c r="BN78" s="907"/>
      <c r="BO78" s="907"/>
      <c r="BP78" s="908"/>
      <c r="BQ78" s="907"/>
      <c r="BR78" s="907"/>
      <c r="BS78" s="908"/>
      <c r="BT78" s="907"/>
      <c r="BU78" s="907"/>
      <c r="BV78" s="908"/>
      <c r="BW78" s="907"/>
      <c r="BX78" s="907"/>
      <c r="BY78" s="908"/>
      <c r="BZ78" s="907"/>
      <c r="CA78" s="907"/>
      <c r="CB78" s="908"/>
      <c r="CC78" s="907"/>
      <c r="CD78" s="907"/>
      <c r="CE78" s="908"/>
      <c r="CF78" s="907"/>
      <c r="CG78" s="907"/>
      <c r="CH78" s="908"/>
      <c r="CI78" s="907"/>
      <c r="CJ78" s="907"/>
      <c r="CK78" s="908"/>
      <c r="CL78" s="907"/>
      <c r="CM78" s="907"/>
      <c r="CN78" s="908"/>
      <c r="CO78" s="907"/>
      <c r="CP78" s="907"/>
      <c r="CQ78" s="908"/>
      <c r="CR78" s="907"/>
      <c r="CS78" s="907"/>
      <c r="CT78" s="908"/>
      <c r="CU78" s="907"/>
      <c r="CV78" s="907"/>
      <c r="CW78" s="908"/>
      <c r="CX78" s="907"/>
      <c r="CY78" s="907"/>
      <c r="CZ78" s="908"/>
      <c r="DA78" s="907"/>
      <c r="DB78" s="907"/>
      <c r="DC78" s="908"/>
      <c r="DD78" s="907"/>
      <c r="DE78" s="907"/>
      <c r="DF78" s="908"/>
      <c r="DG78" s="907"/>
      <c r="DH78" s="907"/>
      <c r="DI78" s="908"/>
      <c r="DJ78" s="907"/>
      <c r="DK78" s="907"/>
      <c r="DL78" s="908"/>
      <c r="DM78" s="907"/>
      <c r="DN78" s="907"/>
      <c r="DO78" s="908"/>
      <c r="DP78" s="907"/>
      <c r="DQ78" s="907"/>
      <c r="DR78" s="908"/>
      <c r="DS78" s="907"/>
      <c r="DT78" s="907"/>
      <c r="DU78" s="908"/>
      <c r="DV78" s="907"/>
      <c r="DW78" s="907"/>
      <c r="DX78" s="908"/>
      <c r="DY78" s="907"/>
      <c r="DZ78" s="907"/>
      <c r="EA78" s="908"/>
      <c r="EB78" s="907"/>
      <c r="EC78" s="907"/>
      <c r="ED78" s="908"/>
      <c r="EE78" s="907"/>
      <c r="EF78" s="907"/>
      <c r="EG78" s="908"/>
      <c r="EH78" s="907"/>
      <c r="EI78" s="907"/>
      <c r="EJ78" s="908"/>
      <c r="EK78" s="907"/>
      <c r="EL78" s="907"/>
      <c r="EM78" s="908"/>
      <c r="EN78" s="907"/>
      <c r="EO78" s="907"/>
      <c r="EP78" s="908"/>
      <c r="EQ78" s="907"/>
      <c r="ER78" s="907"/>
      <c r="ES78" s="908"/>
      <c r="ET78" s="907"/>
      <c r="EU78" s="907"/>
      <c r="EV78" s="908"/>
      <c r="EW78" s="907"/>
      <c r="EX78" s="907"/>
      <c r="EY78" s="908"/>
      <c r="EZ78" s="907"/>
      <c r="FA78" s="907"/>
      <c r="FB78" s="908"/>
      <c r="FC78" s="907"/>
      <c r="FD78" s="907"/>
      <c r="FE78" s="908"/>
      <c r="FF78" s="907"/>
      <c r="FG78" s="907"/>
      <c r="FH78" s="908"/>
      <c r="FI78" s="907"/>
      <c r="FJ78" s="907"/>
      <c r="FK78" s="908"/>
      <c r="FL78" s="907"/>
      <c r="FM78" s="907"/>
      <c r="FN78" s="908"/>
      <c r="FO78" s="907"/>
      <c r="FP78" s="907"/>
      <c r="FQ78" s="908"/>
      <c r="FR78" s="907"/>
      <c r="FS78" s="907"/>
      <c r="FT78" s="908"/>
      <c r="FU78" s="907"/>
      <c r="FV78" s="907"/>
      <c r="FW78" s="908"/>
      <c r="FX78" s="286"/>
      <c r="FY78" s="1659"/>
      <c r="FZ78" s="1125"/>
      <c r="GA78" s="489"/>
      <c r="GB78" s="489"/>
      <c r="GC78" s="489"/>
      <c r="GD78" s="489"/>
      <c r="GE78" s="1506"/>
      <c r="GF78" s="1751"/>
      <c r="GG78" s="1751"/>
      <c r="GH78" s="1751"/>
      <c r="GI78" s="1751"/>
      <c r="GJ78" s="1751"/>
      <c r="GK78" s="1751"/>
      <c r="GL78" s="1751"/>
      <c r="GM78" s="1751"/>
      <c r="GN78" s="1751"/>
    </row>
    <row s="972" customFormat="1" customHeight="1" ht="16.5">
      <c r="A79" s="972"/>
      <c r="B79" s="192" cm="1" t="str">
        <f t="array" ref="B79:B79">B78</f>
        <v>true</v>
      </c>
      <c r="C79" s="972"/>
      <c r="D79" s="972"/>
      <c r="E79" s="180">
        <v>17</v>
      </c>
      <c r="F79" s="175" cm="1" t="str">
        <f t="array" ref="F79:F79">OFFSET(G79,-1,-1)</f>
        <v>1</v>
      </c>
      <c r="G79" s="193" t="s">
        <v>2085</v>
      </c>
      <c r="H79" s="972"/>
      <c r="I79" s="193" t="s">
        <v>2449</v>
      </c>
      <c r="J79" s="972"/>
      <c r="K79" s="972"/>
      <c r="L79" s="972"/>
      <c r="M79" s="972"/>
      <c r="N79" s="972"/>
      <c r="O79" s="972"/>
      <c r="P79" s="972"/>
      <c r="Q79" s="972"/>
      <c r="R79" s="972"/>
      <c r="S79" s="972"/>
      <c r="T79" s="753" cm="1" t="str">
        <f t="array" ref="T79:T79">T78</f>
        <v>true</v>
      </c>
      <c r="U79" s="972"/>
      <c r="V79" s="972"/>
      <c r="W79" s="972"/>
      <c r="X79" s="972"/>
      <c r="Y79" s="972"/>
      <c r="Z79" s="972"/>
      <c r="AA79" s="972"/>
      <c r="AB79" s="909" t="s">
        <v>2450</v>
      </c>
      <c r="AC79" s="910" t="s">
        <v>1005</v>
      </c>
      <c r="AD79" s="2421">
        <f>IF(method_reg="Метод экономически обоснованных расходов",_xlfn.SUMIFS('Калькуляция (4.6)'!AJ$25:AJ$162,'Калькуляция (4.6)'!$F$25:$F$162,$F79,'Калькуляция (4.6)'!$G$25:$G$162,$G79),IF(method_reg="Метод сравнения аналогов",_xlfn.SUMIFS(INDEX('Калькуляция (МСА)'!$AE$25:$BW$82,,MATCH(AD$8,'Калькуляция (МСА)'!$AE$8:$BW$8,0)),'Калькуляция (МСА)'!$F$25:$F$82,$F79,'Калькуляция (МСА)'!$G$25:$G$82,$G79),_xlfn.SUMIFS(INDEX('Калькуляция (5.9)'!$AJ$25:$BW$139,,MATCH(AD$8,'Калькуляция (5.9)'!$AJ$8:$BW$8,0)),'Калькуляция (5.9)'!$F$25:$F$139,$F79,'Калькуляция (5.9)'!$G$25:$G$139,$G79)))</f>
        <v>2220.93</v>
      </c>
      <c r="AE79" s="2421">
        <f>IF(method_reg="Метод экономически обоснованных расходов",_xlfn.SUMIFS('Калькуляция (4.6)'!AK$25:AK$162,'Калькуляция (4.6)'!$F$25:$F$162,$F79,'Калькуляция (4.6)'!$G$25:$G$162,$G79),IF(method_reg="Метод сравнения аналогов",_xlfn.SUMIFS(INDEX('Калькуляция (МСА)'!$AE$25:$BW$82,,MATCH(AE$8,'Калькуляция (МСА)'!$AE$8:$BW$8,0)),'Калькуляция (МСА)'!$F$25:$F$82,$F79,'Калькуляция (МСА)'!$G$25:$G$82,$G79),_xlfn.SUMIFS(INDEX('Калькуляция (5.9)'!$AJ$25:$BW$139,,MATCH(AE$8,'Калькуляция (5.9)'!$AJ$8:$BW$8,0)),'Калькуляция (5.9)'!$F$25:$F$139,$F79,'Калькуляция (5.9)'!$G$25:$G$139,$G79)))</f>
        <v>2220.93</v>
      </c>
      <c r="AF79" s="912">
        <f>IF(AD79=0,0,(AE79-AD79)/AD79*100)</f>
        <v>0</v>
      </c>
      <c r="AG79" s="2421">
        <f>IF(method_reg="Метод сравнения аналогов",_xlfn.SUMIFS(INDEX('Калькуляция (МСА)'!$AE$25:$BW$82,,MATCH(AG$8,'Калькуляция (МСА)'!$AE$8:$BW$8,0)),'Калькуляция (МСА)'!$F$25:$F$82,$F79,'Калькуляция (МСА)'!$G$25:$G$82,$G79),_xlfn.SUMIFS(INDEX('Калькуляция (5.9)'!$AJ$25:$BW$139,,MATCH(AG$8,'Калькуляция (5.9)'!$AJ$8:$BW$8,0)),'Калькуляция (5.9)'!$F$25:$F$139,$F79,'Калькуляция (5.9)'!$G$25:$G$139,$G79))</f>
        <v>0</v>
      </c>
      <c r="AH79" s="2421">
        <f>IF(method_reg="Метод сравнения аналогов",_xlfn.SUMIFS(INDEX('Калькуляция (МСА)'!$AE$25:$BW$82,,MATCH(AH$8,'Калькуляция (МСА)'!$AE$8:$BW$8,0)),'Калькуляция (МСА)'!$F$25:$F$82,$F79,'Калькуляция (МСА)'!$G$25:$G$82,$G79),_xlfn.SUMIFS(INDEX('Калькуляция (5.9)'!$AJ$25:$BW$139,,MATCH(AH$8,'Калькуляция (5.9)'!$AJ$8:$BW$8,0)),'Калькуляция (5.9)'!$F$25:$F$139,$F79,'Калькуляция (5.9)'!$G$25:$G$139,$G79))</f>
        <v>0</v>
      </c>
      <c r="AI79" s="912">
        <f>IF(AG79=0,0,(AH79-AG79)/AG79*100)</f>
        <v>0</v>
      </c>
      <c r="AJ79" s="2421">
        <f>IF(method_reg="Метод сравнения аналогов",_xlfn.SUMIFS(INDEX('Калькуляция (МСА)'!$AE$25:$BW$82,,MATCH(AJ$8,'Калькуляция (МСА)'!$AE$8:$BW$8,0)),'Калькуляция (МСА)'!$F$25:$F$82,$F79,'Калькуляция (МСА)'!$G$25:$G$82,$G79),_xlfn.SUMIFS(INDEX('Калькуляция (5.9)'!$AJ$25:$BW$139,,MATCH(AJ$8,'Калькуляция (5.9)'!$AJ$8:$BW$8,0)),'Калькуляция (5.9)'!$F$25:$F$139,$F79,'Калькуляция (5.9)'!$G$25:$G$139,$G79))</f>
        <v>0</v>
      </c>
      <c r="AK79" s="2421">
        <f>IF(method_reg="Метод сравнения аналогов",_xlfn.SUMIFS(INDEX('Калькуляция (МСА)'!$AE$25:$BW$82,,MATCH(AK$8,'Калькуляция (МСА)'!$AE$8:$BW$8,0)),'Калькуляция (МСА)'!$F$25:$F$82,$F79,'Калькуляция (МСА)'!$G$25:$G$82,$G79),_xlfn.SUMIFS(INDEX('Калькуляция (5.9)'!$AJ$25:$BW$139,,MATCH(AK$8,'Калькуляция (5.9)'!$AJ$8:$BW$8,0)),'Калькуляция (5.9)'!$F$25:$F$139,$F79,'Калькуляция (5.9)'!$G$25:$G$139,$G79))</f>
        <v>0</v>
      </c>
      <c r="AL79" s="912">
        <f>IF(AJ79=0,0,(AK79-AJ79)/AJ79*100)</f>
        <v>0</v>
      </c>
      <c r="AM79" s="2421">
        <f>IF(method_reg="Метод сравнения аналогов",_xlfn.SUMIFS(INDEX('Калькуляция (МСА)'!$AE$25:$BW$82,,MATCH(AM$8,'Калькуляция (МСА)'!$AE$8:$BW$8,0)),'Калькуляция (МСА)'!$F$25:$F$82,$F79,'Калькуляция (МСА)'!$G$25:$G$82,$G79),_xlfn.SUMIFS(INDEX('Калькуляция (5.9)'!$AJ$25:$BW$139,,MATCH(AM$8,'Калькуляция (5.9)'!$AJ$8:$BW$8,0)),'Калькуляция (5.9)'!$F$25:$F$139,$F79,'Калькуляция (5.9)'!$G$25:$G$139,$G79))</f>
        <v>0</v>
      </c>
      <c r="AN79" s="2421">
        <f>IF(method_reg="Метод сравнения аналогов",_xlfn.SUMIFS(INDEX('Калькуляция (МСА)'!$AE$25:$BW$82,,MATCH(AN$8,'Калькуляция (МСА)'!$AE$8:$BW$8,0)),'Калькуляция (МСА)'!$F$25:$F$82,$F79,'Калькуляция (МСА)'!$G$25:$G$82,$G79),_xlfn.SUMIFS(INDEX('Калькуляция (5.9)'!$AJ$25:$BW$139,,MATCH(AN$8,'Калькуляция (5.9)'!$AJ$8:$BW$8,0)),'Калькуляция (5.9)'!$F$25:$F$139,$F79,'Калькуляция (5.9)'!$G$25:$G$139,$G79))</f>
        <v>0</v>
      </c>
      <c r="AO79" s="912">
        <f>IF(AM79=0,0,(AN79-AM79)/AM79*100)</f>
        <v>0</v>
      </c>
      <c r="AP79" s="2421">
        <f>IF(method_reg="Метод сравнения аналогов",_xlfn.SUMIFS(INDEX('Калькуляция (МСА)'!$AE$25:$BW$82,,MATCH(AP$8,'Калькуляция (МСА)'!$AE$8:$BW$8,0)),'Калькуляция (МСА)'!$F$25:$F$82,$F79,'Калькуляция (МСА)'!$G$25:$G$82,$G79),_xlfn.SUMIFS(INDEX('Калькуляция (5.9)'!$AJ$25:$BW$139,,MATCH(AP$8,'Калькуляция (5.9)'!$AJ$8:$BW$8,0)),'Калькуляция (5.9)'!$F$25:$F$139,$F79,'Калькуляция (5.9)'!$G$25:$G$139,$G79))</f>
        <v>0</v>
      </c>
      <c r="AQ79" s="2421">
        <f>IF(method_reg="Метод сравнения аналогов",_xlfn.SUMIFS(INDEX('Калькуляция (МСА)'!$AE$25:$BW$82,,MATCH(AQ$8,'Калькуляция (МСА)'!$AE$8:$BW$8,0)),'Калькуляция (МСА)'!$F$25:$F$82,$F79,'Калькуляция (МСА)'!$G$25:$G$82,$G79),_xlfn.SUMIFS(INDEX('Калькуляция (5.9)'!$AJ$25:$BW$139,,MATCH(AQ$8,'Калькуляция (5.9)'!$AJ$8:$BW$8,0)),'Калькуляция (5.9)'!$F$25:$F$139,$F79,'Калькуляция (5.9)'!$G$25:$G$139,$G79))</f>
        <v>0</v>
      </c>
      <c r="AR79" s="912">
        <f>IF(AP79=0,0,(AQ79-AP79)/AP79*100)</f>
        <v>0</v>
      </c>
      <c r="AS79" s="2421">
        <f>IF(method_reg="Метод сравнения аналогов",_xlfn.SUMIFS(INDEX('Калькуляция (МСА)'!$AE$25:$BW$82,,MATCH(AS$8,'Калькуляция (МСА)'!$AE$8:$BW$8,0)),'Калькуляция (МСА)'!$F$25:$F$82,$F79,'Калькуляция (МСА)'!$G$25:$G$82,$G79),_xlfn.SUMIFS(INDEX('Калькуляция (5.9)'!$AJ$25:$BW$139,,MATCH(AS$8,'Калькуляция (5.9)'!$AJ$8:$BW$8,0)),'Калькуляция (5.9)'!$F$25:$F$139,$F79,'Калькуляция (5.9)'!$G$25:$G$139,$G79))</f>
        <v>0</v>
      </c>
      <c r="AT79" s="2421">
        <f>IF(method_reg="Метод сравнения аналогов",_xlfn.SUMIFS(INDEX('Калькуляция (МСА)'!$AE$25:$BW$82,,MATCH(AT$8,'Калькуляция (МСА)'!$AE$8:$BW$8,0)),'Калькуляция (МСА)'!$F$25:$F$82,$F79,'Калькуляция (МСА)'!$G$25:$G$82,$G79),_xlfn.SUMIFS(INDEX('Калькуляция (5.9)'!$AJ$25:$BW$139,,MATCH(AT$8,'Калькуляция (5.9)'!$AJ$8:$BW$8,0)),'Калькуляция (5.9)'!$F$25:$F$139,$F79,'Калькуляция (5.9)'!$G$25:$G$139,$G79))</f>
        <v>0</v>
      </c>
      <c r="AU79" s="912">
        <f>IF(AS79=0,0,(AT79-AS79)/AS79*100)</f>
        <v>0</v>
      </c>
      <c r="AV79" s="2421">
        <f>IF(method_reg="Метод сравнения аналогов",_xlfn.SUMIFS(INDEX('Калькуляция (МСА)'!$AE$25:$BW$82,,MATCH(AV$8,'Калькуляция (МСА)'!$AE$8:$BW$8,0)),'Калькуляция (МСА)'!$F$25:$F$82,$F79,'Калькуляция (МСА)'!$G$25:$G$82,$G79),_xlfn.SUMIFS(INDEX('Калькуляция (5.9)'!$AJ$25:$BW$139,,MATCH(AV$8,'Калькуляция (5.9)'!$AJ$8:$BW$8,0)),'Калькуляция (5.9)'!$F$25:$F$139,$F79,'Калькуляция (5.9)'!$G$25:$G$139,$G79))</f>
        <v>0</v>
      </c>
      <c r="AW79" s="2421">
        <f>IF(method_reg="Метод сравнения аналогов",_xlfn.SUMIFS(INDEX('Калькуляция (МСА)'!$AE$25:$BW$82,,MATCH(AW$8,'Калькуляция (МСА)'!$AE$8:$BW$8,0)),'Калькуляция (МСА)'!$F$25:$F$82,$F79,'Калькуляция (МСА)'!$G$25:$G$82,$G79),_xlfn.SUMIFS(INDEX('Калькуляция (5.9)'!$AJ$25:$BW$139,,MATCH(AW$8,'Калькуляция (5.9)'!$AJ$8:$BW$8,0)),'Калькуляция (5.9)'!$F$25:$F$139,$F79,'Калькуляция (5.9)'!$G$25:$G$139,$G79))</f>
        <v>0</v>
      </c>
      <c r="AX79" s="912">
        <f>IF(AV79=0,0,(AW79-AV79)/AV79*100)</f>
        <v>0</v>
      </c>
      <c r="AY79" s="2421">
        <f>IF(method_reg="Метод сравнения аналогов",_xlfn.SUMIFS(INDEX('Калькуляция (МСА)'!$AE$25:$BW$82,,MATCH(AY$8,'Калькуляция (МСА)'!$AE$8:$BW$8,0)),'Калькуляция (МСА)'!$F$25:$F$82,$F79,'Калькуляция (МСА)'!$G$25:$G$82,$G79),_xlfn.SUMIFS(INDEX('Калькуляция (5.9)'!$AJ$25:$BW$139,,MATCH(AY$8,'Калькуляция (5.9)'!$AJ$8:$BW$8,0)),'Калькуляция (5.9)'!$F$25:$F$139,$F79,'Калькуляция (5.9)'!$G$25:$G$139,$G79))</f>
        <v>0</v>
      </c>
      <c r="AZ79" s="2421">
        <f>IF(method_reg="Метод сравнения аналогов",_xlfn.SUMIFS(INDEX('Калькуляция (МСА)'!$AE$25:$BW$82,,MATCH(AZ$8,'Калькуляция (МСА)'!$AE$8:$BW$8,0)),'Калькуляция (МСА)'!$F$25:$F$82,$F79,'Калькуляция (МСА)'!$G$25:$G$82,$G79),_xlfn.SUMIFS(INDEX('Калькуляция (5.9)'!$AJ$25:$BW$139,,MATCH(AZ$8,'Калькуляция (5.9)'!$AJ$8:$BW$8,0)),'Калькуляция (5.9)'!$F$25:$F$139,$F79,'Калькуляция (5.9)'!$G$25:$G$139,$G79))</f>
        <v>0</v>
      </c>
      <c r="BA79" s="912">
        <f>IF(AY79=0,0,(AZ79-AY79)/AY79*100)</f>
        <v>0</v>
      </c>
      <c r="BB79" s="2421">
        <f>IF(method_reg="Метод сравнения аналогов",_xlfn.SUMIFS(INDEX('Калькуляция (МСА)'!$AE$25:$BW$82,,MATCH(BB$8,'Калькуляция (МСА)'!$AE$8:$BW$8,0)),'Калькуляция (МСА)'!$F$25:$F$82,$F79,'Калькуляция (МСА)'!$G$25:$G$82,$G79),_xlfn.SUMIFS(INDEX('Калькуляция (5.9)'!$AJ$25:$BW$139,,MATCH(BB$8,'Калькуляция (5.9)'!$AJ$8:$BW$8,0)),'Калькуляция (5.9)'!$F$25:$F$139,$F79,'Калькуляция (5.9)'!$G$25:$G$139,$G79))</f>
        <v>0</v>
      </c>
      <c r="BC79" s="2421">
        <f>IF(method_reg="Метод сравнения аналогов",_xlfn.SUMIFS(INDEX('Калькуляция (МСА)'!$AE$25:$BW$82,,MATCH(BC$8,'Калькуляция (МСА)'!$AE$8:$BW$8,0)),'Калькуляция (МСА)'!$F$25:$F$82,$F79,'Калькуляция (МСА)'!$G$25:$G$82,$G79),_xlfn.SUMIFS(INDEX('Калькуляция (5.9)'!$AJ$25:$BW$139,,MATCH(BC$8,'Калькуляция (5.9)'!$AJ$8:$BW$8,0)),'Калькуляция (5.9)'!$F$25:$F$139,$F79,'Калькуляция (5.9)'!$G$25:$G$139,$G79))</f>
        <v>0</v>
      </c>
      <c r="BD79" s="912">
        <f>IF(BB79=0,0,(BC79-BB79)/BB79*100)</f>
        <v>0</v>
      </c>
      <c r="BE79" s="2421">
        <f>IF(method_reg="Метод сравнения аналогов",_xlfn.SUMIFS(INDEX('Калькуляция (МСА)'!$AE$25:$BW$82,,MATCH(BE$8,'Калькуляция (МСА)'!$AE$8:$BW$8,0)),'Калькуляция (МСА)'!$F$25:$F$82,$F79,'Калькуляция (МСА)'!$G$25:$G$82,$G79),_xlfn.SUMIFS(INDEX('Калькуляция (5.9)'!$AJ$25:$BW$139,,MATCH(BE$8,'Калькуляция (5.9)'!$AJ$8:$BW$8,0)),'Калькуляция (5.9)'!$F$25:$F$139,$F79,'Калькуляция (5.9)'!$G$25:$G$139,$G79))</f>
        <v>0</v>
      </c>
      <c r="BF79" s="2421">
        <f>IF(method_reg="Метод сравнения аналогов",_xlfn.SUMIFS(INDEX('Калькуляция (МСА)'!$AE$25:$BW$82,,MATCH(BF$8,'Калькуляция (МСА)'!$AE$8:$BW$8,0)),'Калькуляция (МСА)'!$F$25:$F$82,$F79,'Калькуляция (МСА)'!$G$25:$G$82,$G79),_xlfn.SUMIFS(INDEX('Калькуляция (5.9)'!$AJ$25:$BW$139,,MATCH(BF$8,'Калькуляция (5.9)'!$AJ$8:$BW$8,0)),'Калькуляция (5.9)'!$F$25:$F$139,$F79,'Калькуляция (5.9)'!$G$25:$G$139,$G79))</f>
        <v>0</v>
      </c>
      <c r="BG79" s="912">
        <f>IF(BE79=0,0,(BF79-BE79)/BE79*100)</f>
        <v>0</v>
      </c>
      <c r="BH79" s="2421"/>
      <c r="BI79" s="2421"/>
      <c r="BJ79" s="912">
        <f>IF(BH79=0,0,(BI79-BH79)/BH79*100)</f>
        <v>0</v>
      </c>
      <c r="BK79" s="2421"/>
      <c r="BL79" s="2421"/>
      <c r="BM79" s="912">
        <f>IF(BK79=0,0,(BL79-BK79)/BK79*100)</f>
        <v>0</v>
      </c>
      <c r="BN79" s="2421"/>
      <c r="BO79" s="2421"/>
      <c r="BP79" s="912">
        <f>IF(BN79=0,0,(BO79-BN79)/BN79*100)</f>
        <v>0</v>
      </c>
      <c r="BQ79" s="2421"/>
      <c r="BR79" s="2421"/>
      <c r="BS79" s="912">
        <f>IF(BQ79=0,0,(BR79-BQ79)/BQ79*100)</f>
        <v>0</v>
      </c>
      <c r="BT79" s="2421"/>
      <c r="BU79" s="2421"/>
      <c r="BV79" s="912">
        <f>IF(BT79=0,0,(BU79-BT79)/BT79*100)</f>
        <v>0</v>
      </c>
      <c r="BW79" s="2421"/>
      <c r="BX79" s="2421"/>
      <c r="BY79" s="912">
        <f>IF(BW79=0,0,(BX79-BW79)/BW79*100)</f>
        <v>0</v>
      </c>
      <c r="BZ79" s="2421"/>
      <c r="CA79" s="2421"/>
      <c r="CB79" s="912">
        <f>IF(BZ79=0,0,(CA79-BZ79)/BZ79*100)</f>
        <v>0</v>
      </c>
      <c r="CC79" s="2421"/>
      <c r="CD79" s="2421"/>
      <c r="CE79" s="912">
        <f>IF(CC79=0,0,(CD79-CC79)/CC79*100)</f>
        <v>0</v>
      </c>
      <c r="CF79" s="2421"/>
      <c r="CG79" s="2421"/>
      <c r="CH79" s="912">
        <f>IF(CF79=0,0,(CG79-CF79)/CF79*100)</f>
        <v>0</v>
      </c>
      <c r="CI79" s="2421"/>
      <c r="CJ79" s="2421"/>
      <c r="CK79" s="912">
        <f>IF(CI79=0,0,(CJ79-CI79)/CI79*100)</f>
        <v>0</v>
      </c>
      <c r="CL79" s="2421"/>
      <c r="CM79" s="2421"/>
      <c r="CN79" s="912">
        <f>IF(CL79=0,0,(CM79-CL79)/CL79*100)</f>
        <v>0</v>
      </c>
      <c r="CO79" s="2421"/>
      <c r="CP79" s="2421"/>
      <c r="CQ79" s="912">
        <f>IF(CO79=0,0,(CP79-CO79)/CO79*100)</f>
        <v>0</v>
      </c>
      <c r="CR79" s="2421"/>
      <c r="CS79" s="2421"/>
      <c r="CT79" s="912">
        <f>IF(CR79=0,0,(CS79-CR79)/CR79*100)</f>
        <v>0</v>
      </c>
      <c r="CU79" s="2421"/>
      <c r="CV79" s="2421"/>
      <c r="CW79" s="912">
        <f>IF(CU79=0,0,(CV79-CU79)/CU79*100)</f>
        <v>0</v>
      </c>
      <c r="CX79" s="2421"/>
      <c r="CY79" s="2421"/>
      <c r="CZ79" s="912">
        <f>IF(CX79=0,0,(CY79-CX79)/CX79*100)</f>
        <v>0</v>
      </c>
      <c r="DA79" s="2421"/>
      <c r="DB79" s="2421"/>
      <c r="DC79" s="912">
        <f>IF(DA79=0,0,(DB79-DA79)/DA79*100)</f>
        <v>0</v>
      </c>
      <c r="DD79" s="2421"/>
      <c r="DE79" s="2421"/>
      <c r="DF79" s="912">
        <f>IF(DD79=0,0,(DE79-DD79)/DD79*100)</f>
        <v>0</v>
      </c>
      <c r="DG79" s="2421"/>
      <c r="DH79" s="2421"/>
      <c r="DI79" s="912">
        <f>IF(DG79=0,0,(DH79-DG79)/DG79*100)</f>
        <v>0</v>
      </c>
      <c r="DJ79" s="2421"/>
      <c r="DK79" s="2421"/>
      <c r="DL79" s="912">
        <f>IF(DJ79=0,0,(DK79-DJ79)/DJ79*100)</f>
        <v>0</v>
      </c>
      <c r="DM79" s="2421"/>
      <c r="DN79" s="2421"/>
      <c r="DO79" s="912">
        <f>IF(DM79=0,0,(DN79-DM79)/DM79*100)</f>
        <v>0</v>
      </c>
      <c r="DP79" s="2421"/>
      <c r="DQ79" s="2421"/>
      <c r="DR79" s="912">
        <f>IF(DP79=0,0,(DQ79-DP79)/DP79*100)</f>
        <v>0</v>
      </c>
      <c r="DS79" s="2421"/>
      <c r="DT79" s="2421"/>
      <c r="DU79" s="912">
        <f>IF(DS79=0,0,(DT79-DS79)/DS79*100)</f>
        <v>0</v>
      </c>
      <c r="DV79" s="2421"/>
      <c r="DW79" s="2421"/>
      <c r="DX79" s="912">
        <f>IF(DV79=0,0,(DW79-DV79)/DV79*100)</f>
        <v>0</v>
      </c>
      <c r="DY79" s="2421"/>
      <c r="DZ79" s="2421"/>
      <c r="EA79" s="912">
        <f>IF(DY79=0,0,(DZ79-DY79)/DY79*100)</f>
        <v>0</v>
      </c>
      <c r="EB79" s="2421"/>
      <c r="EC79" s="2421"/>
      <c r="ED79" s="912">
        <f>IF(EB79=0,0,(EC79-EB79)/EB79*100)</f>
        <v>0</v>
      </c>
      <c r="EE79" s="2421"/>
      <c r="EF79" s="2421"/>
      <c r="EG79" s="912">
        <f>IF(EE79=0,0,(EF79-EE79)/EE79*100)</f>
        <v>0</v>
      </c>
      <c r="EH79" s="2421"/>
      <c r="EI79" s="2421"/>
      <c r="EJ79" s="912">
        <f>IF(EH79=0,0,(EI79-EH79)/EH79*100)</f>
        <v>0</v>
      </c>
      <c r="EK79" s="2421"/>
      <c r="EL79" s="2421"/>
      <c r="EM79" s="912">
        <f>IF(EK79=0,0,(EL79-EK79)/EK79*100)</f>
        <v>0</v>
      </c>
      <c r="EN79" s="2421"/>
      <c r="EO79" s="2421"/>
      <c r="EP79" s="912">
        <f>IF(EN79=0,0,(EO79-EN79)/EN79*100)</f>
        <v>0</v>
      </c>
      <c r="EQ79" s="2421"/>
      <c r="ER79" s="2421"/>
      <c r="ES79" s="912">
        <f>IF(EQ79=0,0,(ER79-EQ79)/EQ79*100)</f>
        <v>0</v>
      </c>
      <c r="ET79" s="2421"/>
      <c r="EU79" s="2421"/>
      <c r="EV79" s="912">
        <f>IF(ET79=0,0,(EU79-ET79)/ET79*100)</f>
        <v>0</v>
      </c>
      <c r="EW79" s="2421"/>
      <c r="EX79" s="2421"/>
      <c r="EY79" s="912">
        <f>IF(EW79=0,0,(EX79-EW79)/EW79*100)</f>
        <v>0</v>
      </c>
      <c r="EZ79" s="2421"/>
      <c r="FA79" s="2421"/>
      <c r="FB79" s="912">
        <f>IF(EZ79=0,0,(FA79-EZ79)/EZ79*100)</f>
        <v>0</v>
      </c>
      <c r="FC79" s="2421"/>
      <c r="FD79" s="2421"/>
      <c r="FE79" s="912">
        <f>IF(FC79=0,0,(FD79-FC79)/FC79*100)</f>
        <v>0</v>
      </c>
      <c r="FF79" s="2421"/>
      <c r="FG79" s="2421"/>
      <c r="FH79" s="912">
        <f>IF(FF79=0,0,(FG79-FF79)/FF79*100)</f>
        <v>0</v>
      </c>
      <c r="FI79" s="2421"/>
      <c r="FJ79" s="2421"/>
      <c r="FK79" s="912">
        <f>IF(FI79=0,0,(FJ79-FI79)/FI79*100)</f>
        <v>0</v>
      </c>
      <c r="FL79" s="2421"/>
      <c r="FM79" s="2421"/>
      <c r="FN79" s="912">
        <f>IF(FL79=0,0,(FM79-FL79)/FL79*100)</f>
        <v>0</v>
      </c>
      <c r="FO79" s="2421"/>
      <c r="FP79" s="2421"/>
      <c r="FQ79" s="912">
        <f>IF(FO79=0,0,(FP79-FO79)/FO79*100)</f>
        <v>0</v>
      </c>
      <c r="FR79" s="2421"/>
      <c r="FS79" s="2421"/>
      <c r="FT79" s="912">
        <f>IF(FR79=0,0,(FS79-FR79)/FR79*100)</f>
        <v>0</v>
      </c>
      <c r="FU79" s="2421"/>
      <c r="FV79" s="2421"/>
      <c r="FW79" s="912">
        <f>IF(FU79=0,0,(FV79-FU79)/FU79*100)</f>
        <v>0</v>
      </c>
      <c r="FX79" s="972"/>
      <c r="FY79" s="972"/>
      <c r="FZ79" s="489" t="s">
        <v>2451</v>
      </c>
      <c r="GA79" s="489"/>
      <c r="GB79" s="489"/>
      <c r="GC79" s="489"/>
      <c r="GD79" s="489"/>
      <c r="GE79" s="972"/>
      <c r="GF79" s="1501" cm="1" t="str">
        <f t="array" ref="GF79:GF79">INDEX('Общие сведения'!$N$170:$N$202,MATCH($F79,'Общие сведения'!$Y$170:$Y$202,0)+1)</f>
        <v>ТЭ.42.31656254.0001</v>
      </c>
      <c r="GG79" s="1501" t="s">
        <v>707</v>
      </c>
      <c r="GH79" s="1501" t="s">
        <v>2452</v>
      </c>
      <c r="GI79" s="1501" t="s">
        <v>796</v>
      </c>
      <c r="GJ79" s="1501" t="s">
        <v>2084</v>
      </c>
      <c r="GK79" s="1501"/>
      <c r="GL79" s="1501" t="s">
        <v>303</v>
      </c>
      <c r="GM79" s="1501" t="s">
        <v>2453</v>
      </c>
      <c r="GN79" s="1501" t="s">
        <v>2454</v>
      </c>
    </row>
    <row s="972" customFormat="1" customHeight="1" ht="16.5">
      <c r="A80" s="972"/>
      <c r="B80" s="192" cm="1" t="str">
        <f t="array" ref="B80:B80">B79</f>
        <v>true</v>
      </c>
      <c r="C80" s="972"/>
      <c r="D80" s="972"/>
      <c r="E80" s="180">
        <v>17</v>
      </c>
      <c r="F80" s="175" cm="1" t="str">
        <f t="array" ref="F80:F80">OFFSET(G80,-1,-1)</f>
        <v>1</v>
      </c>
      <c r="G80" s="193" t="s">
        <v>2091</v>
      </c>
      <c r="H80" s="972"/>
      <c r="I80" s="193" t="s">
        <v>2455</v>
      </c>
      <c r="J80" s="972"/>
      <c r="K80" s="972"/>
      <c r="L80" s="972"/>
      <c r="M80" s="972"/>
      <c r="N80" s="972"/>
      <c r="O80" s="972"/>
      <c r="P80" s="972"/>
      <c r="Q80" s="972"/>
      <c r="R80" s="972"/>
      <c r="S80" s="972"/>
      <c r="T80" s="753" cm="1" t="str">
        <f t="array" ref="T80:T80">T79</f>
        <v>true</v>
      </c>
      <c r="U80" s="972"/>
      <c r="V80" s="972"/>
      <c r="W80" s="972"/>
      <c r="X80" s="972"/>
      <c r="Y80" s="972"/>
      <c r="Z80" s="972"/>
      <c r="AA80" s="972"/>
      <c r="AB80" s="909" t="s">
        <v>2456</v>
      </c>
      <c r="AC80" s="910" t="s">
        <v>1005</v>
      </c>
      <c r="AD80" s="2421">
        <f>IF(method_reg="Метод экономически обоснованных расходов",_xlfn.SUMIFS('Калькуляция (4.6)'!AJ$25:AJ$162,'Калькуляция (4.6)'!$F$25:$F$162,$F80,'Калькуляция (4.6)'!$G$25:$G$162,$G80),IF(method_reg="Метод сравнения аналогов",_xlfn.SUMIFS(INDEX('Калькуляция (МСА)'!$AE$25:$BW$82,,MATCH(AD$8,'Калькуляция (МСА)'!$AE$8:$BW$8,0)),'Калькуляция (МСА)'!$F$25:$F$82,$F80,'Калькуляция (МСА)'!$G$25:$G$82,$G80),_xlfn.SUMIFS(INDEX('Калькуляция (5.9)'!$AJ$25:$BW$139,,MATCH(AD$8,'Калькуляция (5.9)'!$AJ$8:$BW$8,0)),'Калькуляция (5.9)'!$F$25:$F$139,$F80,'Калькуляция (5.9)'!$G$25:$G$139,$G80)))</f>
        <v>3963.94093931866</v>
      </c>
      <c r="AE80" s="2421">
        <f>IF(method_reg="Метод экономически обоснованных расходов",_xlfn.SUMIFS('Калькуляция (4.6)'!AK$25:AK$162,'Калькуляция (4.6)'!$F$25:$F$162,$F80,'Калькуляция (4.6)'!$G$25:$G$162,$G80),IF(method_reg="Метод сравнения аналогов",_xlfn.SUMIFS(INDEX('Калькуляция (МСА)'!$AE$25:$BW$82,,MATCH(AE$8,'Калькуляция (МСА)'!$AE$8:$BW$8,0)),'Калькуляция (МСА)'!$F$25:$F$82,$F80,'Калькуляция (МСА)'!$G$25:$G$82,$G80),_xlfn.SUMIFS(INDEX('Калькуляция (5.9)'!$AJ$25:$BW$139,,MATCH(AE$8,'Калькуляция (5.9)'!$AJ$8:$BW$8,0)),'Калькуляция (5.9)'!$F$25:$F$139,$F80,'Калькуляция (5.9)'!$G$25:$G$139,$G80)))</f>
        <v>2414.38220202217</v>
      </c>
      <c r="AF80" s="912">
        <f>IF(AD80=0,0,(AE80-AD80)/AD80*100)</f>
        <v>-39.0913679345292</v>
      </c>
      <c r="AG80" s="2421">
        <f>IF(method_reg="Метод сравнения аналогов",_xlfn.SUMIFS(INDEX('Калькуляция (МСА)'!$AE$25:$BW$82,,MATCH(AG$8,'Калькуляция (МСА)'!$AE$8:$BW$8,0)),'Калькуляция (МСА)'!$F$25:$F$82,$F80,'Калькуляция (МСА)'!$G$25:$G$82,$G80),_xlfn.SUMIFS(INDEX('Калькуляция (5.9)'!$AJ$25:$BW$139,,MATCH(AG$8,'Калькуляция (5.9)'!$AJ$8:$BW$8,0)),'Калькуляция (5.9)'!$F$25:$F$139,$F80,'Калькуляция (5.9)'!$G$25:$G$139,$G80))</f>
        <v>0</v>
      </c>
      <c r="AH80" s="2421">
        <f>IF(method_reg="Метод сравнения аналогов",_xlfn.SUMIFS(INDEX('Калькуляция (МСА)'!$AE$25:$BW$82,,MATCH(AH$8,'Калькуляция (МСА)'!$AE$8:$BW$8,0)),'Калькуляция (МСА)'!$F$25:$F$82,$F80,'Калькуляция (МСА)'!$G$25:$G$82,$G80),_xlfn.SUMIFS(INDEX('Калькуляция (5.9)'!$AJ$25:$BW$139,,MATCH(AH$8,'Калькуляция (5.9)'!$AJ$8:$BW$8,0)),'Калькуляция (5.9)'!$F$25:$F$139,$F80,'Калькуляция (5.9)'!$G$25:$G$139,$G80))</f>
        <v>0</v>
      </c>
      <c r="AI80" s="912">
        <f>IF(AG80=0,0,(AH80-AG80)/AG80*100)</f>
        <v>0</v>
      </c>
      <c r="AJ80" s="2421">
        <f>IF(method_reg="Метод сравнения аналогов",_xlfn.SUMIFS(INDEX('Калькуляция (МСА)'!$AE$25:$BW$82,,MATCH(AJ$8,'Калькуляция (МСА)'!$AE$8:$BW$8,0)),'Калькуляция (МСА)'!$F$25:$F$82,$F80,'Калькуляция (МСА)'!$G$25:$G$82,$G80),_xlfn.SUMIFS(INDEX('Калькуляция (5.9)'!$AJ$25:$BW$139,,MATCH(AJ$8,'Калькуляция (5.9)'!$AJ$8:$BW$8,0)),'Калькуляция (5.9)'!$F$25:$F$139,$F80,'Калькуляция (5.9)'!$G$25:$G$139,$G80))</f>
        <v>0</v>
      </c>
      <c r="AK80" s="2421">
        <f>IF(method_reg="Метод сравнения аналогов",_xlfn.SUMIFS(INDEX('Калькуляция (МСА)'!$AE$25:$BW$82,,MATCH(AK$8,'Калькуляция (МСА)'!$AE$8:$BW$8,0)),'Калькуляция (МСА)'!$F$25:$F$82,$F80,'Калькуляция (МСА)'!$G$25:$G$82,$G80),_xlfn.SUMIFS(INDEX('Калькуляция (5.9)'!$AJ$25:$BW$139,,MATCH(AK$8,'Калькуляция (5.9)'!$AJ$8:$BW$8,0)),'Калькуляция (5.9)'!$F$25:$F$139,$F80,'Калькуляция (5.9)'!$G$25:$G$139,$G80))</f>
        <v>0</v>
      </c>
      <c r="AL80" s="912">
        <f>IF(AJ80=0,0,(AK80-AJ80)/AJ80*100)</f>
        <v>0</v>
      </c>
      <c r="AM80" s="2421">
        <f>IF(method_reg="Метод сравнения аналогов",_xlfn.SUMIFS(INDEX('Калькуляция (МСА)'!$AE$25:$BW$82,,MATCH(AM$8,'Калькуляция (МСА)'!$AE$8:$BW$8,0)),'Калькуляция (МСА)'!$F$25:$F$82,$F80,'Калькуляция (МСА)'!$G$25:$G$82,$G80),_xlfn.SUMIFS(INDEX('Калькуляция (5.9)'!$AJ$25:$BW$139,,MATCH(AM$8,'Калькуляция (5.9)'!$AJ$8:$BW$8,0)),'Калькуляция (5.9)'!$F$25:$F$139,$F80,'Калькуляция (5.9)'!$G$25:$G$139,$G80))</f>
        <v>0</v>
      </c>
      <c r="AN80" s="2421">
        <f>IF(method_reg="Метод сравнения аналогов",_xlfn.SUMIFS(INDEX('Калькуляция (МСА)'!$AE$25:$BW$82,,MATCH(AN$8,'Калькуляция (МСА)'!$AE$8:$BW$8,0)),'Калькуляция (МСА)'!$F$25:$F$82,$F80,'Калькуляция (МСА)'!$G$25:$G$82,$G80),_xlfn.SUMIFS(INDEX('Калькуляция (5.9)'!$AJ$25:$BW$139,,MATCH(AN$8,'Калькуляция (5.9)'!$AJ$8:$BW$8,0)),'Калькуляция (5.9)'!$F$25:$F$139,$F80,'Калькуляция (5.9)'!$G$25:$G$139,$G80))</f>
        <v>0</v>
      </c>
      <c r="AO80" s="912">
        <f>IF(AM80=0,0,(AN80-AM80)/AM80*100)</f>
        <v>0</v>
      </c>
      <c r="AP80" s="2421">
        <f>IF(method_reg="Метод сравнения аналогов",_xlfn.SUMIFS(INDEX('Калькуляция (МСА)'!$AE$25:$BW$82,,MATCH(AP$8,'Калькуляция (МСА)'!$AE$8:$BW$8,0)),'Калькуляция (МСА)'!$F$25:$F$82,$F80,'Калькуляция (МСА)'!$G$25:$G$82,$G80),_xlfn.SUMIFS(INDEX('Калькуляция (5.9)'!$AJ$25:$BW$139,,MATCH(AP$8,'Калькуляция (5.9)'!$AJ$8:$BW$8,0)),'Калькуляция (5.9)'!$F$25:$F$139,$F80,'Калькуляция (5.9)'!$G$25:$G$139,$G80))</f>
        <v>0</v>
      </c>
      <c r="AQ80" s="2421">
        <f>IF(method_reg="Метод сравнения аналогов",_xlfn.SUMIFS(INDEX('Калькуляция (МСА)'!$AE$25:$BW$82,,MATCH(AQ$8,'Калькуляция (МСА)'!$AE$8:$BW$8,0)),'Калькуляция (МСА)'!$F$25:$F$82,$F80,'Калькуляция (МСА)'!$G$25:$G$82,$G80),_xlfn.SUMIFS(INDEX('Калькуляция (5.9)'!$AJ$25:$BW$139,,MATCH(AQ$8,'Калькуляция (5.9)'!$AJ$8:$BW$8,0)),'Калькуляция (5.9)'!$F$25:$F$139,$F80,'Калькуляция (5.9)'!$G$25:$G$139,$G80))</f>
        <v>0</v>
      </c>
      <c r="AR80" s="912">
        <f>IF(AP80=0,0,(AQ80-AP80)/AP80*100)</f>
        <v>0</v>
      </c>
      <c r="AS80" s="2421">
        <f>IF(method_reg="Метод сравнения аналогов",_xlfn.SUMIFS(INDEX('Калькуляция (МСА)'!$AE$25:$BW$82,,MATCH(AS$8,'Калькуляция (МСА)'!$AE$8:$BW$8,0)),'Калькуляция (МСА)'!$F$25:$F$82,$F80,'Калькуляция (МСА)'!$G$25:$G$82,$G80),_xlfn.SUMIFS(INDEX('Калькуляция (5.9)'!$AJ$25:$BW$139,,MATCH(AS$8,'Калькуляция (5.9)'!$AJ$8:$BW$8,0)),'Калькуляция (5.9)'!$F$25:$F$139,$F80,'Калькуляция (5.9)'!$G$25:$G$139,$G80))</f>
        <v>0</v>
      </c>
      <c r="AT80" s="2421">
        <f>IF(method_reg="Метод сравнения аналогов",_xlfn.SUMIFS(INDEX('Калькуляция (МСА)'!$AE$25:$BW$82,,MATCH(AT$8,'Калькуляция (МСА)'!$AE$8:$BW$8,0)),'Калькуляция (МСА)'!$F$25:$F$82,$F80,'Калькуляция (МСА)'!$G$25:$G$82,$G80),_xlfn.SUMIFS(INDEX('Калькуляция (5.9)'!$AJ$25:$BW$139,,MATCH(AT$8,'Калькуляция (5.9)'!$AJ$8:$BW$8,0)),'Калькуляция (5.9)'!$F$25:$F$139,$F80,'Калькуляция (5.9)'!$G$25:$G$139,$G80))</f>
        <v>0</v>
      </c>
      <c r="AU80" s="912">
        <f>IF(AS80=0,0,(AT80-AS80)/AS80*100)</f>
        <v>0</v>
      </c>
      <c r="AV80" s="2421">
        <f>IF(method_reg="Метод сравнения аналогов",_xlfn.SUMIFS(INDEX('Калькуляция (МСА)'!$AE$25:$BW$82,,MATCH(AV$8,'Калькуляция (МСА)'!$AE$8:$BW$8,0)),'Калькуляция (МСА)'!$F$25:$F$82,$F80,'Калькуляция (МСА)'!$G$25:$G$82,$G80),_xlfn.SUMIFS(INDEX('Калькуляция (5.9)'!$AJ$25:$BW$139,,MATCH(AV$8,'Калькуляция (5.9)'!$AJ$8:$BW$8,0)),'Калькуляция (5.9)'!$F$25:$F$139,$F80,'Калькуляция (5.9)'!$G$25:$G$139,$G80))</f>
        <v>0</v>
      </c>
      <c r="AW80" s="2421">
        <f>IF(method_reg="Метод сравнения аналогов",_xlfn.SUMIFS(INDEX('Калькуляция (МСА)'!$AE$25:$BW$82,,MATCH(AW$8,'Калькуляция (МСА)'!$AE$8:$BW$8,0)),'Калькуляция (МСА)'!$F$25:$F$82,$F80,'Калькуляция (МСА)'!$G$25:$G$82,$G80),_xlfn.SUMIFS(INDEX('Калькуляция (5.9)'!$AJ$25:$BW$139,,MATCH(AW$8,'Калькуляция (5.9)'!$AJ$8:$BW$8,0)),'Калькуляция (5.9)'!$F$25:$F$139,$F80,'Калькуляция (5.9)'!$G$25:$G$139,$G80))</f>
        <v>0</v>
      </c>
      <c r="AX80" s="912">
        <f>IF(AV80=0,0,(AW80-AV80)/AV80*100)</f>
        <v>0</v>
      </c>
      <c r="AY80" s="2421">
        <f>IF(method_reg="Метод сравнения аналогов",_xlfn.SUMIFS(INDEX('Калькуляция (МСА)'!$AE$25:$BW$82,,MATCH(AY$8,'Калькуляция (МСА)'!$AE$8:$BW$8,0)),'Калькуляция (МСА)'!$F$25:$F$82,$F80,'Калькуляция (МСА)'!$G$25:$G$82,$G80),_xlfn.SUMIFS(INDEX('Калькуляция (5.9)'!$AJ$25:$BW$139,,MATCH(AY$8,'Калькуляция (5.9)'!$AJ$8:$BW$8,0)),'Калькуляция (5.9)'!$F$25:$F$139,$F80,'Калькуляция (5.9)'!$G$25:$G$139,$G80))</f>
        <v>0</v>
      </c>
      <c r="AZ80" s="2421">
        <f>IF(method_reg="Метод сравнения аналогов",_xlfn.SUMIFS(INDEX('Калькуляция (МСА)'!$AE$25:$BW$82,,MATCH(AZ$8,'Калькуляция (МСА)'!$AE$8:$BW$8,0)),'Калькуляция (МСА)'!$F$25:$F$82,$F80,'Калькуляция (МСА)'!$G$25:$G$82,$G80),_xlfn.SUMIFS(INDEX('Калькуляция (5.9)'!$AJ$25:$BW$139,,MATCH(AZ$8,'Калькуляция (5.9)'!$AJ$8:$BW$8,0)),'Калькуляция (5.9)'!$F$25:$F$139,$F80,'Калькуляция (5.9)'!$G$25:$G$139,$G80))</f>
        <v>0</v>
      </c>
      <c r="BA80" s="912">
        <f>IF(AY80=0,0,(AZ80-AY80)/AY80*100)</f>
        <v>0</v>
      </c>
      <c r="BB80" s="2421">
        <f>IF(method_reg="Метод сравнения аналогов",_xlfn.SUMIFS(INDEX('Калькуляция (МСА)'!$AE$25:$BW$82,,MATCH(BB$8,'Калькуляция (МСА)'!$AE$8:$BW$8,0)),'Калькуляция (МСА)'!$F$25:$F$82,$F80,'Калькуляция (МСА)'!$G$25:$G$82,$G80),_xlfn.SUMIFS(INDEX('Калькуляция (5.9)'!$AJ$25:$BW$139,,MATCH(BB$8,'Калькуляция (5.9)'!$AJ$8:$BW$8,0)),'Калькуляция (5.9)'!$F$25:$F$139,$F80,'Калькуляция (5.9)'!$G$25:$G$139,$G80))</f>
        <v>0</v>
      </c>
      <c r="BC80" s="2421">
        <f>IF(method_reg="Метод сравнения аналогов",_xlfn.SUMIFS(INDEX('Калькуляция (МСА)'!$AE$25:$BW$82,,MATCH(BC$8,'Калькуляция (МСА)'!$AE$8:$BW$8,0)),'Калькуляция (МСА)'!$F$25:$F$82,$F80,'Калькуляция (МСА)'!$G$25:$G$82,$G80),_xlfn.SUMIFS(INDEX('Калькуляция (5.9)'!$AJ$25:$BW$139,,MATCH(BC$8,'Калькуляция (5.9)'!$AJ$8:$BW$8,0)),'Калькуляция (5.9)'!$F$25:$F$139,$F80,'Калькуляция (5.9)'!$G$25:$G$139,$G80))</f>
        <v>0</v>
      </c>
      <c r="BD80" s="912">
        <f>IF(BB80=0,0,(BC80-BB80)/BB80*100)</f>
        <v>0</v>
      </c>
      <c r="BE80" s="2421">
        <f>IF(method_reg="Метод сравнения аналогов",_xlfn.SUMIFS(INDEX('Калькуляция (МСА)'!$AE$25:$BW$82,,MATCH(BE$8,'Калькуляция (МСА)'!$AE$8:$BW$8,0)),'Калькуляция (МСА)'!$F$25:$F$82,$F80,'Калькуляция (МСА)'!$G$25:$G$82,$G80),_xlfn.SUMIFS(INDEX('Калькуляция (5.9)'!$AJ$25:$BW$139,,MATCH(BE$8,'Калькуляция (5.9)'!$AJ$8:$BW$8,0)),'Калькуляция (5.9)'!$F$25:$F$139,$F80,'Калькуляция (5.9)'!$G$25:$G$139,$G80))</f>
        <v>0</v>
      </c>
      <c r="BF80" s="2421">
        <f>IF(method_reg="Метод сравнения аналогов",_xlfn.SUMIFS(INDEX('Калькуляция (МСА)'!$AE$25:$BW$82,,MATCH(BF$8,'Калькуляция (МСА)'!$AE$8:$BW$8,0)),'Калькуляция (МСА)'!$F$25:$F$82,$F80,'Калькуляция (МСА)'!$G$25:$G$82,$G80),_xlfn.SUMIFS(INDEX('Калькуляция (5.9)'!$AJ$25:$BW$139,,MATCH(BF$8,'Калькуляция (5.9)'!$AJ$8:$BW$8,0)),'Калькуляция (5.9)'!$F$25:$F$139,$F80,'Калькуляция (5.9)'!$G$25:$G$139,$G80))</f>
        <v>0</v>
      </c>
      <c r="BG80" s="912">
        <f>IF(BE80=0,0,(BF80-BE80)/BE80*100)</f>
        <v>0</v>
      </c>
      <c r="BH80" s="2421"/>
      <c r="BI80" s="2421"/>
      <c r="BJ80" s="912">
        <f>IF(BH80=0,0,(BI80-BH80)/BH80*100)</f>
        <v>0</v>
      </c>
      <c r="BK80" s="2421"/>
      <c r="BL80" s="2421"/>
      <c r="BM80" s="912">
        <f>IF(BK80=0,0,(BL80-BK80)/BK80*100)</f>
        <v>0</v>
      </c>
      <c r="BN80" s="2421"/>
      <c r="BO80" s="2421"/>
      <c r="BP80" s="912">
        <f>IF(BN80=0,0,(BO80-BN80)/BN80*100)</f>
        <v>0</v>
      </c>
      <c r="BQ80" s="2421"/>
      <c r="BR80" s="2421"/>
      <c r="BS80" s="912">
        <f>IF(BQ80=0,0,(BR80-BQ80)/BQ80*100)</f>
        <v>0</v>
      </c>
      <c r="BT80" s="2421"/>
      <c r="BU80" s="2421"/>
      <c r="BV80" s="912">
        <f>IF(BT80=0,0,(BU80-BT80)/BT80*100)</f>
        <v>0</v>
      </c>
      <c r="BW80" s="2421"/>
      <c r="BX80" s="2421"/>
      <c r="BY80" s="912">
        <f>IF(BW80=0,0,(BX80-BW80)/BW80*100)</f>
        <v>0</v>
      </c>
      <c r="BZ80" s="2421"/>
      <c r="CA80" s="2421"/>
      <c r="CB80" s="912">
        <f>IF(BZ80=0,0,(CA80-BZ80)/BZ80*100)</f>
        <v>0</v>
      </c>
      <c r="CC80" s="2421"/>
      <c r="CD80" s="2421"/>
      <c r="CE80" s="912">
        <f>IF(CC80=0,0,(CD80-CC80)/CC80*100)</f>
        <v>0</v>
      </c>
      <c r="CF80" s="2421"/>
      <c r="CG80" s="2421"/>
      <c r="CH80" s="912">
        <f>IF(CF80=0,0,(CG80-CF80)/CF80*100)</f>
        <v>0</v>
      </c>
      <c r="CI80" s="2421"/>
      <c r="CJ80" s="2421"/>
      <c r="CK80" s="912">
        <f>IF(CI80=0,0,(CJ80-CI80)/CI80*100)</f>
        <v>0</v>
      </c>
      <c r="CL80" s="2421"/>
      <c r="CM80" s="2421"/>
      <c r="CN80" s="912">
        <f>IF(CL80=0,0,(CM80-CL80)/CL80*100)</f>
        <v>0</v>
      </c>
      <c r="CO80" s="2421"/>
      <c r="CP80" s="2421"/>
      <c r="CQ80" s="912">
        <f>IF(CO80=0,0,(CP80-CO80)/CO80*100)</f>
        <v>0</v>
      </c>
      <c r="CR80" s="2421"/>
      <c r="CS80" s="2421"/>
      <c r="CT80" s="912">
        <f>IF(CR80=0,0,(CS80-CR80)/CR80*100)</f>
        <v>0</v>
      </c>
      <c r="CU80" s="2421"/>
      <c r="CV80" s="2421"/>
      <c r="CW80" s="912">
        <f>IF(CU80=0,0,(CV80-CU80)/CU80*100)</f>
        <v>0</v>
      </c>
      <c r="CX80" s="2421"/>
      <c r="CY80" s="2421"/>
      <c r="CZ80" s="912">
        <f>IF(CX80=0,0,(CY80-CX80)/CX80*100)</f>
        <v>0</v>
      </c>
      <c r="DA80" s="2421"/>
      <c r="DB80" s="2421"/>
      <c r="DC80" s="912">
        <f>IF(DA80=0,0,(DB80-DA80)/DA80*100)</f>
        <v>0</v>
      </c>
      <c r="DD80" s="2421"/>
      <c r="DE80" s="2421"/>
      <c r="DF80" s="912">
        <f>IF(DD80=0,0,(DE80-DD80)/DD80*100)</f>
        <v>0</v>
      </c>
      <c r="DG80" s="2421"/>
      <c r="DH80" s="2421"/>
      <c r="DI80" s="912">
        <f>IF(DG80=0,0,(DH80-DG80)/DG80*100)</f>
        <v>0</v>
      </c>
      <c r="DJ80" s="2421"/>
      <c r="DK80" s="2421"/>
      <c r="DL80" s="912">
        <f>IF(DJ80=0,0,(DK80-DJ80)/DJ80*100)</f>
        <v>0</v>
      </c>
      <c r="DM80" s="2421"/>
      <c r="DN80" s="2421"/>
      <c r="DO80" s="912">
        <f>IF(DM80=0,0,(DN80-DM80)/DM80*100)</f>
        <v>0</v>
      </c>
      <c r="DP80" s="2421"/>
      <c r="DQ80" s="2421"/>
      <c r="DR80" s="912">
        <f>IF(DP80=0,0,(DQ80-DP80)/DP80*100)</f>
        <v>0</v>
      </c>
      <c r="DS80" s="2421"/>
      <c r="DT80" s="2421"/>
      <c r="DU80" s="912">
        <f>IF(DS80=0,0,(DT80-DS80)/DS80*100)</f>
        <v>0</v>
      </c>
      <c r="DV80" s="2421"/>
      <c r="DW80" s="2421"/>
      <c r="DX80" s="912">
        <f>IF(DV80=0,0,(DW80-DV80)/DV80*100)</f>
        <v>0</v>
      </c>
      <c r="DY80" s="2421"/>
      <c r="DZ80" s="2421"/>
      <c r="EA80" s="912">
        <f>IF(DY80=0,0,(DZ80-DY80)/DY80*100)</f>
        <v>0</v>
      </c>
      <c r="EB80" s="2421"/>
      <c r="EC80" s="2421"/>
      <c r="ED80" s="912">
        <f>IF(EB80=0,0,(EC80-EB80)/EB80*100)</f>
        <v>0</v>
      </c>
      <c r="EE80" s="2421"/>
      <c r="EF80" s="2421"/>
      <c r="EG80" s="912">
        <f>IF(EE80=0,0,(EF80-EE80)/EE80*100)</f>
        <v>0</v>
      </c>
      <c r="EH80" s="2421"/>
      <c r="EI80" s="2421"/>
      <c r="EJ80" s="912">
        <f>IF(EH80=0,0,(EI80-EH80)/EH80*100)</f>
        <v>0</v>
      </c>
      <c r="EK80" s="2421"/>
      <c r="EL80" s="2421"/>
      <c r="EM80" s="912">
        <f>IF(EK80=0,0,(EL80-EK80)/EK80*100)</f>
        <v>0</v>
      </c>
      <c r="EN80" s="2421"/>
      <c r="EO80" s="2421"/>
      <c r="EP80" s="912">
        <f>IF(EN80=0,0,(EO80-EN80)/EN80*100)</f>
        <v>0</v>
      </c>
      <c r="EQ80" s="2421"/>
      <c r="ER80" s="2421"/>
      <c r="ES80" s="912">
        <f>IF(EQ80=0,0,(ER80-EQ80)/EQ80*100)</f>
        <v>0</v>
      </c>
      <c r="ET80" s="2421"/>
      <c r="EU80" s="2421"/>
      <c r="EV80" s="912">
        <f>IF(ET80=0,0,(EU80-ET80)/ET80*100)</f>
        <v>0</v>
      </c>
      <c r="EW80" s="2421"/>
      <c r="EX80" s="2421"/>
      <c r="EY80" s="912">
        <f>IF(EW80=0,0,(EX80-EW80)/EW80*100)</f>
        <v>0</v>
      </c>
      <c r="EZ80" s="2421"/>
      <c r="FA80" s="2421"/>
      <c r="FB80" s="912">
        <f>IF(EZ80=0,0,(FA80-EZ80)/EZ80*100)</f>
        <v>0</v>
      </c>
      <c r="FC80" s="2421"/>
      <c r="FD80" s="2421"/>
      <c r="FE80" s="912">
        <f>IF(FC80=0,0,(FD80-FC80)/FC80*100)</f>
        <v>0</v>
      </c>
      <c r="FF80" s="2421"/>
      <c r="FG80" s="2421"/>
      <c r="FH80" s="912">
        <f>IF(FF80=0,0,(FG80-FF80)/FF80*100)</f>
        <v>0</v>
      </c>
      <c r="FI80" s="2421"/>
      <c r="FJ80" s="2421"/>
      <c r="FK80" s="912">
        <f>IF(FI80=0,0,(FJ80-FI80)/FI80*100)</f>
        <v>0</v>
      </c>
      <c r="FL80" s="2421"/>
      <c r="FM80" s="2421"/>
      <c r="FN80" s="912">
        <f>IF(FL80=0,0,(FM80-FL80)/FL80*100)</f>
        <v>0</v>
      </c>
      <c r="FO80" s="2421"/>
      <c r="FP80" s="2421"/>
      <c r="FQ80" s="912">
        <f>IF(FO80=0,0,(FP80-FO80)/FO80*100)</f>
        <v>0</v>
      </c>
      <c r="FR80" s="2421"/>
      <c r="FS80" s="2421"/>
      <c r="FT80" s="912">
        <f>IF(FR80=0,0,(FS80-FR80)/FR80*100)</f>
        <v>0</v>
      </c>
      <c r="FU80" s="2421"/>
      <c r="FV80" s="2421"/>
      <c r="FW80" s="912">
        <f>IF(FU80=0,0,(FV80-FU80)/FU80*100)</f>
        <v>0</v>
      </c>
      <c r="FX80" s="972"/>
      <c r="FY80" s="972"/>
      <c r="FZ80" s="489" t="s">
        <v>2457</v>
      </c>
      <c r="GA80" s="489"/>
      <c r="GB80" s="489"/>
      <c r="GC80" s="489"/>
      <c r="GD80" s="489"/>
      <c r="GE80" s="972"/>
      <c r="GF80" s="1501" cm="1" t="str">
        <f t="array" ref="GF80:GF80">GF79</f>
        <v>ТЭ.42.31656254.0001</v>
      </c>
      <c r="GG80" s="1501" t="s">
        <v>707</v>
      </c>
      <c r="GH80" s="1501" t="s">
        <v>2452</v>
      </c>
      <c r="GI80" s="1501" t="s">
        <v>797</v>
      </c>
      <c r="GJ80" s="1501"/>
      <c r="GK80" s="1501"/>
      <c r="GL80" s="1501" t="s">
        <v>303</v>
      </c>
      <c r="GM80" s="1501" t="s">
        <v>2453</v>
      </c>
      <c r="GN80" s="1501" t="s">
        <v>2454</v>
      </c>
    </row>
    <row s="1751" customFormat="1" customHeight="1" ht="16.5">
      <c r="A81" s="371"/>
      <c r="B81" s="192" cm="1" t="str">
        <f t="array" ref="B81:B81">B80</f>
        <v>true</v>
      </c>
      <c r="C81" s="1659"/>
      <c r="D81" s="1659"/>
      <c r="E81" s="180">
        <v>17</v>
      </c>
      <c r="F81" s="175" cm="1" t="str">
        <f t="array" ref="F81:F81">OFFSET(G81,-1,-1)</f>
        <v>1</v>
      </c>
      <c r="G81" s="1659"/>
      <c r="H81" s="1659"/>
      <c r="I81" s="193" t="s">
        <v>2458</v>
      </c>
      <c r="J81" s="1659"/>
      <c r="K81" s="1659"/>
      <c r="L81" s="1659"/>
      <c r="M81" s="1659"/>
      <c r="N81" s="1659"/>
      <c r="O81" s="1659"/>
      <c r="P81" s="1659"/>
      <c r="Q81" s="1659"/>
      <c r="R81" s="1659"/>
      <c r="S81" s="1659"/>
      <c r="T81" s="753" cm="1" t="str">
        <f t="array" ref="T81:T81">T80</f>
        <v>true</v>
      </c>
      <c r="U81" s="1548"/>
      <c r="V81" s="1548"/>
      <c r="W81" s="1548"/>
      <c r="X81" s="1548"/>
      <c r="Y81" s="1548"/>
      <c r="Z81" s="1548"/>
      <c r="AA81" s="286"/>
      <c r="AB81" s="913" t="s">
        <v>2459</v>
      </c>
      <c r="AC81" s="380" t="s">
        <v>495</v>
      </c>
      <c r="AD81" s="461">
        <f>IF(AD79=0,0,AD80/AD79)</f>
        <v>1.7848112904588</v>
      </c>
      <c r="AE81" s="461">
        <f>IF(AE79=0,0,AE80/AE79)</f>
        <v>1.08710414196853</v>
      </c>
      <c r="AF81" s="914"/>
      <c r="AG81" s="461">
        <f>IF(AG79=0,0,AG80/AG79)</f>
        <v>0</v>
      </c>
      <c r="AH81" s="461">
        <f>IF(AH79=0,0,AH80/AH79)</f>
        <v>0</v>
      </c>
      <c r="AI81" s="914"/>
      <c r="AJ81" s="461">
        <f>IF(AJ79=0,0,AJ80/AJ79)</f>
        <v>0</v>
      </c>
      <c r="AK81" s="461">
        <f>IF(AK79=0,0,AK80/AK79)</f>
        <v>0</v>
      </c>
      <c r="AL81" s="914"/>
      <c r="AM81" s="461">
        <f>IF(AM79=0,0,AM80/AM79)</f>
        <v>0</v>
      </c>
      <c r="AN81" s="461">
        <f>IF(AN79=0,0,AN80/AN79)</f>
        <v>0</v>
      </c>
      <c r="AO81" s="914"/>
      <c r="AP81" s="461">
        <f>IF(AP79=0,0,AP80/AP79)</f>
        <v>0</v>
      </c>
      <c r="AQ81" s="461">
        <f>IF(AQ79=0,0,AQ80/AQ79)</f>
        <v>0</v>
      </c>
      <c r="AR81" s="914"/>
      <c r="AS81" s="461">
        <f>IF(AS79=0,0,AS80/AS79)</f>
        <v>0</v>
      </c>
      <c r="AT81" s="461">
        <f>IF(AT79=0,0,AT80/AT79)</f>
        <v>0</v>
      </c>
      <c r="AU81" s="914"/>
      <c r="AV81" s="461">
        <f>IF(AV79=0,0,AV80/AV79)</f>
        <v>0</v>
      </c>
      <c r="AW81" s="461">
        <f>IF(AW79=0,0,AW80/AW79)</f>
        <v>0</v>
      </c>
      <c r="AX81" s="914"/>
      <c r="AY81" s="461">
        <f>IF(AY79=0,0,AY80/AY79)</f>
        <v>0</v>
      </c>
      <c r="AZ81" s="461">
        <f>IF(AZ79=0,0,AZ80/AZ79)</f>
        <v>0</v>
      </c>
      <c r="BA81" s="914"/>
      <c r="BB81" s="461">
        <f>IF(BB79=0,0,BB80/BB79)</f>
        <v>0</v>
      </c>
      <c r="BC81" s="461">
        <f>IF(BC79=0,0,BC80/BC79)</f>
        <v>0</v>
      </c>
      <c r="BD81" s="914"/>
      <c r="BE81" s="461">
        <f>IF(BE79=0,0,BE80/BE79)</f>
        <v>0</v>
      </c>
      <c r="BF81" s="461">
        <f>IF(BF79=0,0,BF80/BF79)</f>
        <v>0</v>
      </c>
      <c r="BG81" s="914"/>
      <c r="BH81" s="461">
        <f>IF(BH79=0,0,BH80/BH79)</f>
        <v>0</v>
      </c>
      <c r="BI81" s="461">
        <f>IF(BI79=0,0,BI80/BI79)</f>
        <v>0</v>
      </c>
      <c r="BJ81" s="915"/>
      <c r="BK81" s="461">
        <f>IF(BK79=0,0,BK80/BK79)</f>
        <v>0</v>
      </c>
      <c r="BL81" s="461">
        <f>IF(BL79=0,0,BL80/BL79)</f>
        <v>0</v>
      </c>
      <c r="BM81" s="915"/>
      <c r="BN81" s="461">
        <f>IF(BN79=0,0,BN80/BN79)</f>
        <v>0</v>
      </c>
      <c r="BO81" s="461">
        <f>IF(BO79=0,0,BO80/BO79)</f>
        <v>0</v>
      </c>
      <c r="BP81" s="915"/>
      <c r="BQ81" s="461">
        <f>IF(BQ79=0,0,BQ80/BQ79)</f>
        <v>0</v>
      </c>
      <c r="BR81" s="461">
        <f>IF(BR79=0,0,BR80/BR79)</f>
        <v>0</v>
      </c>
      <c r="BS81" s="915"/>
      <c r="BT81" s="461">
        <f>IF(BT79=0,0,BT80/BT79)</f>
        <v>0</v>
      </c>
      <c r="BU81" s="461">
        <f>IF(BU79=0,0,BU80/BU79)</f>
        <v>0</v>
      </c>
      <c r="BV81" s="915"/>
      <c r="BW81" s="461">
        <f>IF(BW79=0,0,BW80/BW79)</f>
        <v>0</v>
      </c>
      <c r="BX81" s="461">
        <f>IF(BX79=0,0,BX80/BX79)</f>
        <v>0</v>
      </c>
      <c r="BY81" s="915"/>
      <c r="BZ81" s="461">
        <f>IF(BZ79=0,0,BZ80/BZ79)</f>
        <v>0</v>
      </c>
      <c r="CA81" s="461">
        <f>IF(CA79=0,0,CA80/CA79)</f>
        <v>0</v>
      </c>
      <c r="CB81" s="915"/>
      <c r="CC81" s="461">
        <f>IF(CC79=0,0,CC80/CC79)</f>
        <v>0</v>
      </c>
      <c r="CD81" s="461">
        <f>IF(CD79=0,0,CD80/CD79)</f>
        <v>0</v>
      </c>
      <c r="CE81" s="915"/>
      <c r="CF81" s="461">
        <f>IF(CF79=0,0,CF80/CF79)</f>
        <v>0</v>
      </c>
      <c r="CG81" s="461">
        <f>IF(CG79=0,0,CG80/CG79)</f>
        <v>0</v>
      </c>
      <c r="CH81" s="915"/>
      <c r="CI81" s="461">
        <f>IF(CI79=0,0,CI80/CI79)</f>
        <v>0</v>
      </c>
      <c r="CJ81" s="461">
        <f>IF(CJ79=0,0,CJ80/CJ79)</f>
        <v>0</v>
      </c>
      <c r="CK81" s="915"/>
      <c r="CL81" s="461">
        <f>IF(CL79=0,0,CL80/CL79)</f>
        <v>0</v>
      </c>
      <c r="CM81" s="461">
        <f>IF(CM79=0,0,CM80/CM79)</f>
        <v>0</v>
      </c>
      <c r="CN81" s="915"/>
      <c r="CO81" s="461">
        <f>IF(CO79=0,0,CO80/CO79)</f>
        <v>0</v>
      </c>
      <c r="CP81" s="461">
        <f>IF(CP79=0,0,CP80/CP79)</f>
        <v>0</v>
      </c>
      <c r="CQ81" s="915"/>
      <c r="CR81" s="461">
        <f>IF(CR79=0,0,CR80/CR79)</f>
        <v>0</v>
      </c>
      <c r="CS81" s="461">
        <f>IF(CS79=0,0,CS80/CS79)</f>
        <v>0</v>
      </c>
      <c r="CT81" s="915"/>
      <c r="CU81" s="461">
        <f>IF(CU79=0,0,CU80/CU79)</f>
        <v>0</v>
      </c>
      <c r="CV81" s="461">
        <f>IF(CV79=0,0,CV80/CV79)</f>
        <v>0</v>
      </c>
      <c r="CW81" s="915"/>
      <c r="CX81" s="461">
        <f>IF(CX79=0,0,CX80/CX79)</f>
        <v>0</v>
      </c>
      <c r="CY81" s="461">
        <f>IF(CY79=0,0,CY80/CY79)</f>
        <v>0</v>
      </c>
      <c r="CZ81" s="915"/>
      <c r="DA81" s="461">
        <f>IF(DA79=0,0,DA80/DA79)</f>
        <v>0</v>
      </c>
      <c r="DB81" s="461">
        <f>IF(DB79=0,0,DB80/DB79)</f>
        <v>0</v>
      </c>
      <c r="DC81" s="915"/>
      <c r="DD81" s="461">
        <f>IF(DD79=0,0,DD80/DD79)</f>
        <v>0</v>
      </c>
      <c r="DE81" s="461">
        <f>IF(DE79=0,0,DE80/DE79)</f>
        <v>0</v>
      </c>
      <c r="DF81" s="915"/>
      <c r="DG81" s="461">
        <f>IF(DG79=0,0,DG80/DG79)</f>
        <v>0</v>
      </c>
      <c r="DH81" s="461">
        <f>IF(DH79=0,0,DH80/DH79)</f>
        <v>0</v>
      </c>
      <c r="DI81" s="915"/>
      <c r="DJ81" s="461">
        <f>IF(DJ79=0,0,DJ80/DJ79)</f>
        <v>0</v>
      </c>
      <c r="DK81" s="461">
        <f>IF(DK79=0,0,DK80/DK79)</f>
        <v>0</v>
      </c>
      <c r="DL81" s="915"/>
      <c r="DM81" s="461">
        <f>IF(DM79=0,0,DM80/DM79)</f>
        <v>0</v>
      </c>
      <c r="DN81" s="461">
        <f>IF(DN79=0,0,DN80/DN79)</f>
        <v>0</v>
      </c>
      <c r="DO81" s="915"/>
      <c r="DP81" s="461">
        <f>IF(DP79=0,0,DP80/DP79)</f>
        <v>0</v>
      </c>
      <c r="DQ81" s="461">
        <f>IF(DQ79=0,0,DQ80/DQ79)</f>
        <v>0</v>
      </c>
      <c r="DR81" s="915"/>
      <c r="DS81" s="461">
        <f>IF(DS79=0,0,DS80/DS79)</f>
        <v>0</v>
      </c>
      <c r="DT81" s="461">
        <f>IF(DT79=0,0,DT80/DT79)</f>
        <v>0</v>
      </c>
      <c r="DU81" s="915"/>
      <c r="DV81" s="461">
        <f>IF(DV79=0,0,DV80/DV79)</f>
        <v>0</v>
      </c>
      <c r="DW81" s="461">
        <f>IF(DW79=0,0,DW80/DW79)</f>
        <v>0</v>
      </c>
      <c r="DX81" s="915"/>
      <c r="DY81" s="461">
        <f>IF(DY79=0,0,DY80/DY79)</f>
        <v>0</v>
      </c>
      <c r="DZ81" s="461">
        <f>IF(DZ79=0,0,DZ80/DZ79)</f>
        <v>0</v>
      </c>
      <c r="EA81" s="915"/>
      <c r="EB81" s="461">
        <f>IF(EB79=0,0,EB80/EB79)</f>
        <v>0</v>
      </c>
      <c r="EC81" s="461">
        <f>IF(EC79=0,0,EC80/EC79)</f>
        <v>0</v>
      </c>
      <c r="ED81" s="915"/>
      <c r="EE81" s="461">
        <f>IF(EE79=0,0,EE80/EE79)</f>
        <v>0</v>
      </c>
      <c r="EF81" s="461">
        <f>IF(EF79=0,0,EF80/EF79)</f>
        <v>0</v>
      </c>
      <c r="EG81" s="915"/>
      <c r="EH81" s="461">
        <f>IF(EH79=0,0,EH80/EH79)</f>
        <v>0</v>
      </c>
      <c r="EI81" s="461">
        <f>IF(EI79=0,0,EI80/EI79)</f>
        <v>0</v>
      </c>
      <c r="EJ81" s="915"/>
      <c r="EK81" s="461">
        <f>IF(EK79=0,0,EK80/EK79)</f>
        <v>0</v>
      </c>
      <c r="EL81" s="461">
        <f>IF(EL79=0,0,EL80/EL79)</f>
        <v>0</v>
      </c>
      <c r="EM81" s="915"/>
      <c r="EN81" s="461">
        <f>IF(EN79=0,0,EN80/EN79)</f>
        <v>0</v>
      </c>
      <c r="EO81" s="461">
        <f>IF(EO79=0,0,EO80/EO79)</f>
        <v>0</v>
      </c>
      <c r="EP81" s="915"/>
      <c r="EQ81" s="461">
        <f>IF(EQ79=0,0,EQ80/EQ79)</f>
        <v>0</v>
      </c>
      <c r="ER81" s="461">
        <f>IF(ER79=0,0,ER80/ER79)</f>
        <v>0</v>
      </c>
      <c r="ES81" s="915"/>
      <c r="ET81" s="461">
        <f>IF(ET79=0,0,ET80/ET79)</f>
        <v>0</v>
      </c>
      <c r="EU81" s="461">
        <f>IF(EU79=0,0,EU80/EU79)</f>
        <v>0</v>
      </c>
      <c r="EV81" s="915"/>
      <c r="EW81" s="461">
        <f>IF(EW79=0,0,EW80/EW79)</f>
        <v>0</v>
      </c>
      <c r="EX81" s="461">
        <f>IF(EX79=0,0,EX80/EX79)</f>
        <v>0</v>
      </c>
      <c r="EY81" s="915"/>
      <c r="EZ81" s="461">
        <f>IF(EZ79=0,0,EZ80/EZ79)</f>
        <v>0</v>
      </c>
      <c r="FA81" s="461">
        <f>IF(FA79=0,0,FA80/FA79)</f>
        <v>0</v>
      </c>
      <c r="FB81" s="915"/>
      <c r="FC81" s="461">
        <f>IF(FC79=0,0,FC80/FC79)</f>
        <v>0</v>
      </c>
      <c r="FD81" s="461">
        <f>IF(FD79=0,0,FD80/FD79)</f>
        <v>0</v>
      </c>
      <c r="FE81" s="915"/>
      <c r="FF81" s="461">
        <f>IF(FF79=0,0,FF80/FF79)</f>
        <v>0</v>
      </c>
      <c r="FG81" s="461">
        <f>IF(FG79=0,0,FG80/FG79)</f>
        <v>0</v>
      </c>
      <c r="FH81" s="915"/>
      <c r="FI81" s="461">
        <f>IF(FI79=0,0,FI80/FI79)</f>
        <v>0</v>
      </c>
      <c r="FJ81" s="461">
        <f>IF(FJ79=0,0,FJ80/FJ79)</f>
        <v>0</v>
      </c>
      <c r="FK81" s="915"/>
      <c r="FL81" s="461">
        <f>IF(FL79=0,0,FL80/FL79)</f>
        <v>0</v>
      </c>
      <c r="FM81" s="461">
        <f>IF(FM79=0,0,FM80/FM79)</f>
        <v>0</v>
      </c>
      <c r="FN81" s="915"/>
      <c r="FO81" s="461">
        <f>IF(FO79=0,0,FO80/FO79)</f>
        <v>0</v>
      </c>
      <c r="FP81" s="461">
        <f>IF(FP79=0,0,FP80/FP79)</f>
        <v>0</v>
      </c>
      <c r="FQ81" s="915"/>
      <c r="FR81" s="461">
        <f>IF(FR79=0,0,FR80/FR79)</f>
        <v>0</v>
      </c>
      <c r="FS81" s="461">
        <f>IF(FS79=0,0,FS80/FS79)</f>
        <v>0</v>
      </c>
      <c r="FT81" s="915"/>
      <c r="FU81" s="461">
        <f>IF(FU79=0,0,FU80/FU79)</f>
        <v>0</v>
      </c>
      <c r="FV81" s="461">
        <f>IF(FV79=0,0,FV80/FV79)</f>
        <v>0</v>
      </c>
      <c r="FW81" s="915"/>
      <c r="FX81" s="286"/>
      <c r="FY81" s="1659"/>
      <c r="FZ81" s="489" t="s">
        <v>2460</v>
      </c>
      <c r="GA81" s="489"/>
      <c r="GB81" s="489"/>
      <c r="GC81" s="489"/>
      <c r="GD81" s="489"/>
      <c r="GE81" s="1506"/>
      <c r="GF81" s="1501" cm="1" t="str">
        <f t="array" ref="GF81:GF81">GF80</f>
        <v>ТЭ.42.31656254.0001</v>
      </c>
      <c r="GG81" s="1501" t="s">
        <v>707</v>
      </c>
      <c r="GH81" s="1501"/>
      <c r="GI81" s="1501" t="s">
        <v>797</v>
      </c>
      <c r="GJ81" s="1501"/>
      <c r="GK81" s="1501"/>
      <c r="GL81" s="1501" t="s">
        <v>303</v>
      </c>
      <c r="GM81" s="1501" t="s">
        <v>931</v>
      </c>
      <c r="GN81" s="1501" t="s">
        <v>932</v>
      </c>
    </row>
    <row s="1751" customFormat="1" customHeight="1" ht="16.5">
      <c r="A82" s="371"/>
      <c r="B82" s="192" cm="1" t="str">
        <f t="array" ref="B82:B82">B81</f>
        <v>true</v>
      </c>
      <c r="C82" s="1659"/>
      <c r="D82" s="1659"/>
      <c r="E82" s="180">
        <v>17</v>
      </c>
      <c r="F82" s="175" cm="1" t="str">
        <f t="array" ref="F82:F82">OFFSET(G82,-1,-1)</f>
        <v>1</v>
      </c>
      <c r="G82" s="193" t="s">
        <v>2461</v>
      </c>
      <c r="H82" s="1659"/>
      <c r="I82" s="193" t="s">
        <v>2458</v>
      </c>
      <c r="J82" s="1659"/>
      <c r="K82" s="1659"/>
      <c r="L82" s="1659"/>
      <c r="M82" s="1659"/>
      <c r="N82" s="1659"/>
      <c r="O82" s="1659"/>
      <c r="P82" s="1659"/>
      <c r="Q82" s="1659"/>
      <c r="R82" s="1659"/>
      <c r="S82" s="1659"/>
      <c r="T82" s="753" cm="1" t="str">
        <f t="array" ref="T82:T82">T81</f>
        <v>true</v>
      </c>
      <c r="U82" s="1548"/>
      <c r="V82" s="1548"/>
      <c r="W82" s="1548"/>
      <c r="X82" s="1548"/>
      <c r="Y82" s="1548"/>
      <c r="Z82" s="1548"/>
      <c r="AA82" s="286"/>
      <c r="AB82" s="913" t="s">
        <v>2462</v>
      </c>
      <c r="AC82" s="380" t="s">
        <v>629</v>
      </c>
      <c r="AD82" s="2422">
        <f>SUM(AD83:AD84)</f>
        <v>4637</v>
      </c>
      <c r="AE82" s="2422">
        <f>SUM(AE83:AE84)</f>
        <v>4637</v>
      </c>
      <c r="AF82" s="917">
        <f>IF(AD82=0,0,(AE82-AD82)/AD82*100)</f>
        <v>0</v>
      </c>
      <c r="AG82" s="2422">
        <f>SUM(AG83:AG84)</f>
        <v>0</v>
      </c>
      <c r="AH82" s="2422">
        <f>SUM(AH83:AH84)</f>
        <v>0</v>
      </c>
      <c r="AI82" s="917">
        <f>IF(AG82=0,0,(AH82-AG82)/AG82*100)</f>
        <v>0</v>
      </c>
      <c r="AJ82" s="2422">
        <f>SUM(AJ83:AJ84)</f>
        <v>0</v>
      </c>
      <c r="AK82" s="2422">
        <f>SUM(AK83:AK84)</f>
        <v>0</v>
      </c>
      <c r="AL82" s="917">
        <f>IF(AJ82=0,0,(AK82-AJ82)/AJ82*100)</f>
        <v>0</v>
      </c>
      <c r="AM82" s="2422">
        <f>SUM(AM83:AM84)</f>
        <v>0</v>
      </c>
      <c r="AN82" s="2422">
        <f>SUM(AN83:AN84)</f>
        <v>0</v>
      </c>
      <c r="AO82" s="917">
        <f>IF(AM82=0,0,(AN82-AM82)/AM82*100)</f>
        <v>0</v>
      </c>
      <c r="AP82" s="2422">
        <f>SUM(AP83:AP84)</f>
        <v>0</v>
      </c>
      <c r="AQ82" s="2422">
        <f>SUM(AQ83:AQ84)</f>
        <v>0</v>
      </c>
      <c r="AR82" s="917">
        <f>IF(AP82=0,0,(AQ82-AP82)/AP82*100)</f>
        <v>0</v>
      </c>
      <c r="AS82" s="2422">
        <f>SUM(AS83:AS84)</f>
        <v>0</v>
      </c>
      <c r="AT82" s="2422">
        <f>SUM(AT83:AT84)</f>
        <v>0</v>
      </c>
      <c r="AU82" s="917">
        <f>IF(AS82=0,0,(AT82-AS82)/AS82*100)</f>
        <v>0</v>
      </c>
      <c r="AV82" s="2422">
        <f>SUM(AV83:AV84)</f>
        <v>0</v>
      </c>
      <c r="AW82" s="2422">
        <f>SUM(AW83:AW84)</f>
        <v>0</v>
      </c>
      <c r="AX82" s="917">
        <f>IF(AV82=0,0,(AW82-AV82)/AV82*100)</f>
        <v>0</v>
      </c>
      <c r="AY82" s="2422">
        <f>SUM(AY83:AY84)</f>
        <v>0</v>
      </c>
      <c r="AZ82" s="2422">
        <f>SUM(AZ83:AZ84)</f>
        <v>0</v>
      </c>
      <c r="BA82" s="917">
        <f>IF(AY82=0,0,(AZ82-AY82)/AY82*100)</f>
        <v>0</v>
      </c>
      <c r="BB82" s="2422">
        <f>SUM(BB83:BB84)</f>
        <v>0</v>
      </c>
      <c r="BC82" s="2422">
        <f>SUM(BC83:BC84)</f>
        <v>0</v>
      </c>
      <c r="BD82" s="917">
        <f>IF(BB82=0,0,(BC82-BB82)/BB82*100)</f>
        <v>0</v>
      </c>
      <c r="BE82" s="2422">
        <f>SUM(BE83:BE84)</f>
        <v>0</v>
      </c>
      <c r="BF82" s="2422">
        <f>SUM(BF83:BF84)</f>
        <v>0</v>
      </c>
      <c r="BG82" s="917">
        <f>IF(BE82=0,0,(BF82-BE82)/BE82*100)</f>
        <v>0</v>
      </c>
      <c r="BH82" s="2422">
        <f>SUM(BH83:BH84)</f>
        <v>0</v>
      </c>
      <c r="BI82" s="2422">
        <f>SUM(BI83:BI84)</f>
        <v>0</v>
      </c>
      <c r="BJ82" s="917">
        <f>IF(BH82=0,0,(BI82-BH82)/BH82*100)</f>
        <v>0</v>
      </c>
      <c r="BK82" s="2422">
        <f>SUM(BK83:BK84)</f>
        <v>0</v>
      </c>
      <c r="BL82" s="2422">
        <f>SUM(BL83:BL84)</f>
        <v>0</v>
      </c>
      <c r="BM82" s="917">
        <f>IF(BK82=0,0,(BL82-BK82)/BK82*100)</f>
        <v>0</v>
      </c>
      <c r="BN82" s="2422">
        <f>SUM(BN83:BN84)</f>
        <v>0</v>
      </c>
      <c r="BO82" s="2422">
        <f>SUM(BO83:BO84)</f>
        <v>0</v>
      </c>
      <c r="BP82" s="917">
        <f>IF(BN82=0,0,(BO82-BN82)/BN82*100)</f>
        <v>0</v>
      </c>
      <c r="BQ82" s="2422">
        <f>SUM(BQ83:BQ84)</f>
        <v>0</v>
      </c>
      <c r="BR82" s="2422">
        <f>SUM(BR83:BR84)</f>
        <v>0</v>
      </c>
      <c r="BS82" s="917">
        <f>IF(BQ82=0,0,(BR82-BQ82)/BQ82*100)</f>
        <v>0</v>
      </c>
      <c r="BT82" s="2422">
        <f>SUM(BT83:BT84)</f>
        <v>0</v>
      </c>
      <c r="BU82" s="2422">
        <f>SUM(BU83:BU84)</f>
        <v>0</v>
      </c>
      <c r="BV82" s="917">
        <f>IF(BT82=0,0,(BU82-BT82)/BT82*100)</f>
        <v>0</v>
      </c>
      <c r="BW82" s="2422">
        <f>SUM(BW83:BW84)</f>
        <v>0</v>
      </c>
      <c r="BX82" s="2422">
        <f>SUM(BX83:BX84)</f>
        <v>0</v>
      </c>
      <c r="BY82" s="917">
        <f>IF(BW82=0,0,(BX82-BW82)/BW82*100)</f>
        <v>0</v>
      </c>
      <c r="BZ82" s="2422">
        <f>SUM(BZ83:BZ84)</f>
        <v>0</v>
      </c>
      <c r="CA82" s="2422">
        <f>SUM(CA83:CA84)</f>
        <v>0</v>
      </c>
      <c r="CB82" s="917">
        <f>IF(BZ82=0,0,(CA82-BZ82)/BZ82*100)</f>
        <v>0</v>
      </c>
      <c r="CC82" s="2422">
        <f>SUM(CC83:CC84)</f>
        <v>0</v>
      </c>
      <c r="CD82" s="2422">
        <f>SUM(CD83:CD84)</f>
        <v>0</v>
      </c>
      <c r="CE82" s="917">
        <f>IF(CC82=0,0,(CD82-CC82)/CC82*100)</f>
        <v>0</v>
      </c>
      <c r="CF82" s="2422">
        <f>SUM(CF83:CF84)</f>
        <v>0</v>
      </c>
      <c r="CG82" s="2422">
        <f>SUM(CG83:CG84)</f>
        <v>0</v>
      </c>
      <c r="CH82" s="917">
        <f>IF(CF82=0,0,(CG82-CF82)/CF82*100)</f>
        <v>0</v>
      </c>
      <c r="CI82" s="2422">
        <f>SUM(CI83:CI84)</f>
        <v>0</v>
      </c>
      <c r="CJ82" s="2422">
        <f>SUM(CJ83:CJ84)</f>
        <v>0</v>
      </c>
      <c r="CK82" s="917">
        <f>IF(CI82=0,0,(CJ82-CI82)/CI82*100)</f>
        <v>0</v>
      </c>
      <c r="CL82" s="2422">
        <f>SUM(CL83:CL84)</f>
        <v>0</v>
      </c>
      <c r="CM82" s="2422">
        <f>SUM(CM83:CM84)</f>
        <v>0</v>
      </c>
      <c r="CN82" s="917">
        <f>IF(CL82=0,0,(CM82-CL82)/CL82*100)</f>
        <v>0</v>
      </c>
      <c r="CO82" s="2422">
        <f>SUM(CO83:CO84)</f>
        <v>0</v>
      </c>
      <c r="CP82" s="2422">
        <f>SUM(CP83:CP84)</f>
        <v>0</v>
      </c>
      <c r="CQ82" s="917">
        <f>IF(CO82=0,0,(CP82-CO82)/CO82*100)</f>
        <v>0</v>
      </c>
      <c r="CR82" s="2422">
        <f>SUM(CR83:CR84)</f>
        <v>0</v>
      </c>
      <c r="CS82" s="2422">
        <f>SUM(CS83:CS84)</f>
        <v>0</v>
      </c>
      <c r="CT82" s="917">
        <f>IF(CR82=0,0,(CS82-CR82)/CR82*100)</f>
        <v>0</v>
      </c>
      <c r="CU82" s="2422">
        <f>SUM(CU83:CU84)</f>
        <v>0</v>
      </c>
      <c r="CV82" s="2422">
        <f>SUM(CV83:CV84)</f>
        <v>0</v>
      </c>
      <c r="CW82" s="917">
        <f>IF(CU82=0,0,(CV82-CU82)/CU82*100)</f>
        <v>0</v>
      </c>
      <c r="CX82" s="2422">
        <f>SUM(CX83:CX84)</f>
        <v>0</v>
      </c>
      <c r="CY82" s="2422">
        <f>SUM(CY83:CY84)</f>
        <v>0</v>
      </c>
      <c r="CZ82" s="917">
        <f>IF(CX82=0,0,(CY82-CX82)/CX82*100)</f>
        <v>0</v>
      </c>
      <c r="DA82" s="2422">
        <f>SUM(DA83:DA84)</f>
        <v>0</v>
      </c>
      <c r="DB82" s="2422">
        <f>SUM(DB83:DB84)</f>
        <v>0</v>
      </c>
      <c r="DC82" s="917">
        <f>IF(DA82=0,0,(DB82-DA82)/DA82*100)</f>
        <v>0</v>
      </c>
      <c r="DD82" s="2422">
        <f>SUM(DD83:DD84)</f>
        <v>0</v>
      </c>
      <c r="DE82" s="2422">
        <f>SUM(DE83:DE84)</f>
        <v>0</v>
      </c>
      <c r="DF82" s="917">
        <f>IF(DD82=0,0,(DE82-DD82)/DD82*100)</f>
        <v>0</v>
      </c>
      <c r="DG82" s="2422">
        <f>SUM(DG83:DG84)</f>
        <v>0</v>
      </c>
      <c r="DH82" s="2422">
        <f>SUM(DH83:DH84)</f>
        <v>0</v>
      </c>
      <c r="DI82" s="917">
        <f>IF(DG82=0,0,(DH82-DG82)/DG82*100)</f>
        <v>0</v>
      </c>
      <c r="DJ82" s="2422">
        <f>SUM(DJ83:DJ84)</f>
        <v>0</v>
      </c>
      <c r="DK82" s="2422">
        <f>SUM(DK83:DK84)</f>
        <v>0</v>
      </c>
      <c r="DL82" s="917">
        <f>IF(DJ82=0,0,(DK82-DJ82)/DJ82*100)</f>
        <v>0</v>
      </c>
      <c r="DM82" s="2422">
        <f>SUM(DM83:DM84)</f>
        <v>0</v>
      </c>
      <c r="DN82" s="2422">
        <f>SUM(DN83:DN84)</f>
        <v>0</v>
      </c>
      <c r="DO82" s="917">
        <f>IF(DM82=0,0,(DN82-DM82)/DM82*100)</f>
        <v>0</v>
      </c>
      <c r="DP82" s="2422">
        <f>SUM(DP83:DP84)</f>
        <v>0</v>
      </c>
      <c r="DQ82" s="2422">
        <f>SUM(DQ83:DQ84)</f>
        <v>0</v>
      </c>
      <c r="DR82" s="917">
        <f>IF(DP82=0,0,(DQ82-DP82)/DP82*100)</f>
        <v>0</v>
      </c>
      <c r="DS82" s="2422">
        <f>SUM(DS83:DS84)</f>
        <v>0</v>
      </c>
      <c r="DT82" s="2422">
        <f>SUM(DT83:DT84)</f>
        <v>0</v>
      </c>
      <c r="DU82" s="917">
        <f>IF(DS82=0,0,(DT82-DS82)/DS82*100)</f>
        <v>0</v>
      </c>
      <c r="DV82" s="2422">
        <f>SUM(DV83:DV84)</f>
        <v>0</v>
      </c>
      <c r="DW82" s="2422">
        <f>SUM(DW83:DW84)</f>
        <v>0</v>
      </c>
      <c r="DX82" s="917">
        <f>IF(DV82=0,0,(DW82-DV82)/DV82*100)</f>
        <v>0</v>
      </c>
      <c r="DY82" s="2422">
        <f>SUM(DY83:DY84)</f>
        <v>0</v>
      </c>
      <c r="DZ82" s="2422">
        <f>SUM(DZ83:DZ84)</f>
        <v>0</v>
      </c>
      <c r="EA82" s="917">
        <f>IF(DY82=0,0,(DZ82-DY82)/DY82*100)</f>
        <v>0</v>
      </c>
      <c r="EB82" s="2422">
        <f>SUM(EB83:EB84)</f>
        <v>0</v>
      </c>
      <c r="EC82" s="2422">
        <f>SUM(EC83:EC84)</f>
        <v>0</v>
      </c>
      <c r="ED82" s="917">
        <f>IF(EB82=0,0,(EC82-EB82)/EB82*100)</f>
        <v>0</v>
      </c>
      <c r="EE82" s="2422">
        <f>SUM(EE83:EE84)</f>
        <v>0</v>
      </c>
      <c r="EF82" s="2422">
        <f>SUM(EF83:EF84)</f>
        <v>0</v>
      </c>
      <c r="EG82" s="917">
        <f>IF(EE82=0,0,(EF82-EE82)/EE82*100)</f>
        <v>0</v>
      </c>
      <c r="EH82" s="2422">
        <f>SUM(EH83:EH84)</f>
        <v>0</v>
      </c>
      <c r="EI82" s="2422">
        <f>SUM(EI83:EI84)</f>
        <v>0</v>
      </c>
      <c r="EJ82" s="917">
        <f>IF(EH82=0,0,(EI82-EH82)/EH82*100)</f>
        <v>0</v>
      </c>
      <c r="EK82" s="2422">
        <f>SUM(EK83:EK84)</f>
        <v>0</v>
      </c>
      <c r="EL82" s="2422">
        <f>SUM(EL83:EL84)</f>
        <v>0</v>
      </c>
      <c r="EM82" s="917">
        <f>IF(EK82=0,0,(EL82-EK82)/EK82*100)</f>
        <v>0</v>
      </c>
      <c r="EN82" s="2422">
        <f>SUM(EN83:EN84)</f>
        <v>0</v>
      </c>
      <c r="EO82" s="2422">
        <f>SUM(EO83:EO84)</f>
        <v>0</v>
      </c>
      <c r="EP82" s="917">
        <f>IF(EN82=0,0,(EO82-EN82)/EN82*100)</f>
        <v>0</v>
      </c>
      <c r="EQ82" s="2422">
        <f>SUM(EQ83:EQ84)</f>
        <v>0</v>
      </c>
      <c r="ER82" s="2422">
        <f>SUM(ER83:ER84)</f>
        <v>0</v>
      </c>
      <c r="ES82" s="917">
        <f>IF(EQ82=0,0,(ER82-EQ82)/EQ82*100)</f>
        <v>0</v>
      </c>
      <c r="ET82" s="2422">
        <f>SUM(ET83:ET84)</f>
        <v>0</v>
      </c>
      <c r="EU82" s="2422">
        <f>SUM(EU83:EU84)</f>
        <v>0</v>
      </c>
      <c r="EV82" s="917">
        <f>IF(ET82=0,0,(EU82-ET82)/ET82*100)</f>
        <v>0</v>
      </c>
      <c r="EW82" s="2422">
        <f>SUM(EW83:EW84)</f>
        <v>0</v>
      </c>
      <c r="EX82" s="2422">
        <f>SUM(EX83:EX84)</f>
        <v>0</v>
      </c>
      <c r="EY82" s="917">
        <f>IF(EW82=0,0,(EX82-EW82)/EW82*100)</f>
        <v>0</v>
      </c>
      <c r="EZ82" s="2422">
        <f>SUM(EZ83:EZ84)</f>
        <v>0</v>
      </c>
      <c r="FA82" s="2422">
        <f>SUM(FA83:FA84)</f>
        <v>0</v>
      </c>
      <c r="FB82" s="917">
        <f>IF(EZ82=0,0,(FA82-EZ82)/EZ82*100)</f>
        <v>0</v>
      </c>
      <c r="FC82" s="2422">
        <f>SUM(FC83:FC84)</f>
        <v>0</v>
      </c>
      <c r="FD82" s="2422">
        <f>SUM(FD83:FD84)</f>
        <v>0</v>
      </c>
      <c r="FE82" s="917">
        <f>IF(FC82=0,0,(FD82-FC82)/FC82*100)</f>
        <v>0</v>
      </c>
      <c r="FF82" s="2422">
        <f>SUM(FF83:FF84)</f>
        <v>0</v>
      </c>
      <c r="FG82" s="2422">
        <f>SUM(FG83:FG84)</f>
        <v>0</v>
      </c>
      <c r="FH82" s="917">
        <f>IF(FF82=0,0,(FG82-FF82)/FF82*100)</f>
        <v>0</v>
      </c>
      <c r="FI82" s="2422">
        <f>SUM(FI83:FI84)</f>
        <v>0</v>
      </c>
      <c r="FJ82" s="2422">
        <f>SUM(FJ83:FJ84)</f>
        <v>0</v>
      </c>
      <c r="FK82" s="917">
        <f>IF(FI82=0,0,(FJ82-FI82)/FI82*100)</f>
        <v>0</v>
      </c>
      <c r="FL82" s="2422">
        <f>SUM(FL83:FL84)</f>
        <v>0</v>
      </c>
      <c r="FM82" s="2422">
        <f>SUM(FM83:FM84)</f>
        <v>0</v>
      </c>
      <c r="FN82" s="917">
        <f>IF(FL82=0,0,(FM82-FL82)/FL82*100)</f>
        <v>0</v>
      </c>
      <c r="FO82" s="2422">
        <f>SUM(FO83:FO84)</f>
        <v>0</v>
      </c>
      <c r="FP82" s="2422">
        <f>SUM(FP83:FP84)</f>
        <v>0</v>
      </c>
      <c r="FQ82" s="917">
        <f>IF(FO82=0,0,(FP82-FO82)/FO82*100)</f>
        <v>0</v>
      </c>
      <c r="FR82" s="2422">
        <f>SUM(FR83:FR84)</f>
        <v>0</v>
      </c>
      <c r="FS82" s="2422">
        <f>SUM(FS83:FS84)</f>
        <v>0</v>
      </c>
      <c r="FT82" s="917">
        <f>IF(FR82=0,0,(FS82-FR82)/FR82*100)</f>
        <v>0</v>
      </c>
      <c r="FU82" s="2422">
        <f>SUM(FU83:FU84)</f>
        <v>0</v>
      </c>
      <c r="FV82" s="2422">
        <f>SUM(FV83:FV84)</f>
        <v>0</v>
      </c>
      <c r="FW82" s="917">
        <f>IF(FU82=0,0,(FV82-FU82)/FU82*100)</f>
        <v>0</v>
      </c>
      <c r="FX82" s="286"/>
      <c r="FY82" s="1659"/>
      <c r="FZ82" s="489" t="s">
        <v>2463</v>
      </c>
      <c r="GA82" s="489"/>
      <c r="GB82" s="489"/>
      <c r="GC82" s="489"/>
      <c r="GD82" s="489"/>
      <c r="GE82" s="1506"/>
      <c r="GF82" s="1501" cm="1" t="str">
        <f t="array" ref="GF82:GF82">GF81</f>
        <v>ТЭ.42.31656254.0001</v>
      </c>
      <c r="GG82" s="1501" t="s">
        <v>707</v>
      </c>
      <c r="GH82" s="1501"/>
      <c r="GI82" s="1501"/>
      <c r="GJ82" s="1501"/>
      <c r="GK82" s="1501"/>
      <c r="GL82" s="1501" t="s">
        <v>303</v>
      </c>
      <c r="GM82" s="1501" t="s">
        <v>2079</v>
      </c>
      <c r="GN82" s="1501" t="s">
        <v>2080</v>
      </c>
    </row>
    <row s="1751" customFormat="1" customHeight="1" ht="16.5">
      <c r="A83" s="371"/>
      <c r="B83" s="192" cm="1" t="str">
        <f t="array" ref="B83:B83">B82</f>
        <v>true</v>
      </c>
      <c r="C83" s="1659"/>
      <c r="D83" s="1659"/>
      <c r="E83" s="180">
        <v>17</v>
      </c>
      <c r="F83" s="175" cm="1" t="str">
        <f t="array" ref="F83:F83">OFFSET(G83,-1,-1)</f>
        <v>1</v>
      </c>
      <c r="G83" s="193" t="s">
        <v>2081</v>
      </c>
      <c r="H83" s="1659"/>
      <c r="I83" s="1659"/>
      <c r="J83" s="1659"/>
      <c r="K83" s="1659"/>
      <c r="L83" s="1659"/>
      <c r="M83" s="1659"/>
      <c r="N83" s="1659"/>
      <c r="O83" s="1659"/>
      <c r="P83" s="1659"/>
      <c r="Q83" s="1659"/>
      <c r="R83" s="1659"/>
      <c r="S83" s="1659"/>
      <c r="T83" s="753" cm="1" t="str">
        <f t="array" ref="T83:T83">T82</f>
        <v>true</v>
      </c>
      <c r="U83" s="1548"/>
      <c r="V83" s="1548"/>
      <c r="W83" s="1548"/>
      <c r="X83" s="1548"/>
      <c r="Y83" s="1548"/>
      <c r="Z83" s="1548"/>
      <c r="AA83" s="286"/>
      <c r="AB83" s="646" t="s">
        <v>2082</v>
      </c>
      <c r="AC83" s="380" t="s">
        <v>629</v>
      </c>
      <c r="AD83" s="2422">
        <f>IF(method_reg="Метод экономически обоснованных расходов",_xlfn.SUMIFS('Калькуляция (4.6)'!AJ$25:AJ$162,'Калькуляция (4.6)'!$F$25:$F$162,$F83,'Калькуляция (4.6)'!$G$25:$G$162,$G83),IF(method_reg="Метод сравнения аналогов",_xlfn.SUMIFS(INDEX('Калькуляция (МСА)'!$AE$25:$BW$82,,MATCH(AD$8,'Калькуляция (МСА)'!$AE$8:$BW$8,0)),'Калькуляция (МСА)'!$F$25:$F$82,$F83,'Калькуляция (МСА)'!$G$25:$G$82,$G83),_xlfn.SUMIFS(INDEX('Калькуляция (5.9)'!$AJ$25:$BW$139,,MATCH(AD$8,'Калькуляция (5.9)'!$AJ$8:$BW$8,0)),'Калькуляция (5.9)'!$F$25:$F$139,$F83,'Калькуляция (5.9)'!$G$25:$G$139,$G83)))</f>
        <v>2643</v>
      </c>
      <c r="AE83" s="2422">
        <f>IF(method_reg="Метод экономически обоснованных расходов",_xlfn.SUMIFS('Калькуляция (4.6)'!AK$25:AK$162,'Калькуляция (4.6)'!$F$25:$F$162,$F83,'Калькуляция (4.6)'!$G$25:$G$162,$G83),IF(method_reg="Метод сравнения аналогов",_xlfn.SUMIFS(INDEX('Калькуляция (МСА)'!$AE$25:$BW$82,,MATCH(AE$8,'Калькуляция (МСА)'!$AE$8:$BW$8,0)),'Калькуляция (МСА)'!$F$25:$F$82,$F83,'Калькуляция (МСА)'!$G$25:$G$82,$G83),_xlfn.SUMIFS(INDEX('Калькуляция (5.9)'!$AJ$25:$BW$139,,MATCH(AE$8,'Калькуляция (5.9)'!$AJ$8:$BW$8,0)),'Калькуляция (5.9)'!$F$25:$F$139,$F83,'Калькуляция (5.9)'!$G$25:$G$139,$G83)))</f>
        <v>2643</v>
      </c>
      <c r="AF83" s="917">
        <f>IF(AD83=0,0,(AE83-AD83)/AD83*100)</f>
        <v>0</v>
      </c>
      <c r="AG83" s="2422">
        <f>IF(method_reg="Метод сравнения аналогов",_xlfn.SUMIFS(INDEX('Калькуляция (МСА)'!$AE$25:$BW$82,,MATCH(AG$8,'Калькуляция (МСА)'!$AE$8:$BW$8,0)),'Калькуляция (МСА)'!$F$25:$F$82,$F83,'Калькуляция (МСА)'!$G$25:$G$82,$G83),_xlfn.SUMIFS(INDEX('Калькуляция (5.9)'!$AJ$25:$BW$139,,MATCH(AG$8,'Калькуляция (5.9)'!$AJ$8:$BW$8,0)),'Калькуляция (5.9)'!$F$25:$F$139,$F83,'Калькуляция (5.9)'!$G$25:$G$139,$G83))</f>
        <v>0</v>
      </c>
      <c r="AH83" s="2422">
        <f>IF(method_reg="Метод сравнения аналогов",_xlfn.SUMIFS(INDEX('Калькуляция (МСА)'!$AE$25:$BW$82,,MATCH(AH$8,'Калькуляция (МСА)'!$AE$8:$BW$8,0)),'Калькуляция (МСА)'!$F$25:$F$82,$F83,'Калькуляция (МСА)'!$G$25:$G$82,$G83),_xlfn.SUMIFS(INDEX('Калькуляция (5.9)'!$AJ$25:$BW$139,,MATCH(AH$8,'Калькуляция (5.9)'!$AJ$8:$BW$8,0)),'Калькуляция (5.9)'!$F$25:$F$139,$F83,'Калькуляция (5.9)'!$G$25:$G$139,$G83))</f>
        <v>0</v>
      </c>
      <c r="AI83" s="917">
        <f>IF(AG83=0,0,(AH83-AG83)/AG83*100)</f>
        <v>0</v>
      </c>
      <c r="AJ83" s="2422">
        <f>IF(method_reg="Метод сравнения аналогов",_xlfn.SUMIFS(INDEX('Калькуляция (МСА)'!$AE$25:$BW$82,,MATCH(AJ$8,'Калькуляция (МСА)'!$AE$8:$BW$8,0)),'Калькуляция (МСА)'!$F$25:$F$82,$F83,'Калькуляция (МСА)'!$G$25:$G$82,$G83),_xlfn.SUMIFS(INDEX('Калькуляция (5.9)'!$AJ$25:$BW$139,,MATCH(AJ$8,'Калькуляция (5.9)'!$AJ$8:$BW$8,0)),'Калькуляция (5.9)'!$F$25:$F$139,$F83,'Калькуляция (5.9)'!$G$25:$G$139,$G83))</f>
        <v>0</v>
      </c>
      <c r="AK83" s="2422">
        <f>IF(method_reg="Метод сравнения аналогов",_xlfn.SUMIFS(INDEX('Калькуляция (МСА)'!$AE$25:$BW$82,,MATCH(AK$8,'Калькуляция (МСА)'!$AE$8:$BW$8,0)),'Калькуляция (МСА)'!$F$25:$F$82,$F83,'Калькуляция (МСА)'!$G$25:$G$82,$G83),_xlfn.SUMIFS(INDEX('Калькуляция (5.9)'!$AJ$25:$BW$139,,MATCH(AK$8,'Калькуляция (5.9)'!$AJ$8:$BW$8,0)),'Калькуляция (5.9)'!$F$25:$F$139,$F83,'Калькуляция (5.9)'!$G$25:$G$139,$G83))</f>
        <v>0</v>
      </c>
      <c r="AL83" s="917">
        <f>IF(AJ83=0,0,(AK83-AJ83)/AJ83*100)</f>
        <v>0</v>
      </c>
      <c r="AM83" s="2422">
        <f>IF(method_reg="Метод сравнения аналогов",_xlfn.SUMIFS(INDEX('Калькуляция (МСА)'!$AE$25:$BW$82,,MATCH(AM$8,'Калькуляция (МСА)'!$AE$8:$BW$8,0)),'Калькуляция (МСА)'!$F$25:$F$82,$F83,'Калькуляция (МСА)'!$G$25:$G$82,$G83),_xlfn.SUMIFS(INDEX('Калькуляция (5.9)'!$AJ$25:$BW$139,,MATCH(AM$8,'Калькуляция (5.9)'!$AJ$8:$BW$8,0)),'Калькуляция (5.9)'!$F$25:$F$139,$F83,'Калькуляция (5.9)'!$G$25:$G$139,$G83))</f>
        <v>0</v>
      </c>
      <c r="AN83" s="2422">
        <f>IF(method_reg="Метод сравнения аналогов",_xlfn.SUMIFS(INDEX('Калькуляция (МСА)'!$AE$25:$BW$82,,MATCH(AN$8,'Калькуляция (МСА)'!$AE$8:$BW$8,0)),'Калькуляция (МСА)'!$F$25:$F$82,$F83,'Калькуляция (МСА)'!$G$25:$G$82,$G83),_xlfn.SUMIFS(INDEX('Калькуляция (5.9)'!$AJ$25:$BW$139,,MATCH(AN$8,'Калькуляция (5.9)'!$AJ$8:$BW$8,0)),'Калькуляция (5.9)'!$F$25:$F$139,$F83,'Калькуляция (5.9)'!$G$25:$G$139,$G83))</f>
        <v>0</v>
      </c>
      <c r="AO83" s="917">
        <f>IF(AM83=0,0,(AN83-AM83)/AM83*100)</f>
        <v>0</v>
      </c>
      <c r="AP83" s="2422">
        <f>IF(method_reg="Метод сравнения аналогов",_xlfn.SUMIFS(INDEX('Калькуляция (МСА)'!$AE$25:$BW$82,,MATCH(AP$8,'Калькуляция (МСА)'!$AE$8:$BW$8,0)),'Калькуляция (МСА)'!$F$25:$F$82,$F83,'Калькуляция (МСА)'!$G$25:$G$82,$G83),_xlfn.SUMIFS(INDEX('Калькуляция (5.9)'!$AJ$25:$BW$139,,MATCH(AP$8,'Калькуляция (5.9)'!$AJ$8:$BW$8,0)),'Калькуляция (5.9)'!$F$25:$F$139,$F83,'Калькуляция (5.9)'!$G$25:$G$139,$G83))</f>
        <v>0</v>
      </c>
      <c r="AQ83" s="2422">
        <f>IF(method_reg="Метод сравнения аналогов",_xlfn.SUMIFS(INDEX('Калькуляция (МСА)'!$AE$25:$BW$82,,MATCH(AQ$8,'Калькуляция (МСА)'!$AE$8:$BW$8,0)),'Калькуляция (МСА)'!$F$25:$F$82,$F83,'Калькуляция (МСА)'!$G$25:$G$82,$G83),_xlfn.SUMIFS(INDEX('Калькуляция (5.9)'!$AJ$25:$BW$139,,MATCH(AQ$8,'Калькуляция (5.9)'!$AJ$8:$BW$8,0)),'Калькуляция (5.9)'!$F$25:$F$139,$F83,'Калькуляция (5.9)'!$G$25:$G$139,$G83))</f>
        <v>0</v>
      </c>
      <c r="AR83" s="917">
        <f>IF(AP83=0,0,(AQ83-AP83)/AP83*100)</f>
        <v>0</v>
      </c>
      <c r="AS83" s="2422">
        <f>IF(method_reg="Метод сравнения аналогов",_xlfn.SUMIFS(INDEX('Калькуляция (МСА)'!$AE$25:$BW$82,,MATCH(AS$8,'Калькуляция (МСА)'!$AE$8:$BW$8,0)),'Калькуляция (МСА)'!$F$25:$F$82,$F83,'Калькуляция (МСА)'!$G$25:$G$82,$G83),_xlfn.SUMIFS(INDEX('Калькуляция (5.9)'!$AJ$25:$BW$139,,MATCH(AS$8,'Калькуляция (5.9)'!$AJ$8:$BW$8,0)),'Калькуляция (5.9)'!$F$25:$F$139,$F83,'Калькуляция (5.9)'!$G$25:$G$139,$G83))</f>
        <v>0</v>
      </c>
      <c r="AT83" s="2422">
        <f>IF(method_reg="Метод сравнения аналогов",_xlfn.SUMIFS(INDEX('Калькуляция (МСА)'!$AE$25:$BW$82,,MATCH(AT$8,'Калькуляция (МСА)'!$AE$8:$BW$8,0)),'Калькуляция (МСА)'!$F$25:$F$82,$F83,'Калькуляция (МСА)'!$G$25:$G$82,$G83),_xlfn.SUMIFS(INDEX('Калькуляция (5.9)'!$AJ$25:$BW$139,,MATCH(AT$8,'Калькуляция (5.9)'!$AJ$8:$BW$8,0)),'Калькуляция (5.9)'!$F$25:$F$139,$F83,'Калькуляция (5.9)'!$G$25:$G$139,$G83))</f>
        <v>0</v>
      </c>
      <c r="AU83" s="917">
        <f>IF(AS83=0,0,(AT83-AS83)/AS83*100)</f>
        <v>0</v>
      </c>
      <c r="AV83" s="2422">
        <f>IF(method_reg="Метод сравнения аналогов",_xlfn.SUMIFS(INDEX('Калькуляция (МСА)'!$AE$25:$BW$82,,MATCH(AV$8,'Калькуляция (МСА)'!$AE$8:$BW$8,0)),'Калькуляция (МСА)'!$F$25:$F$82,$F83,'Калькуляция (МСА)'!$G$25:$G$82,$G83),_xlfn.SUMIFS(INDEX('Калькуляция (5.9)'!$AJ$25:$BW$139,,MATCH(AV$8,'Калькуляция (5.9)'!$AJ$8:$BW$8,0)),'Калькуляция (5.9)'!$F$25:$F$139,$F83,'Калькуляция (5.9)'!$G$25:$G$139,$G83))</f>
        <v>0</v>
      </c>
      <c r="AW83" s="2422">
        <f>IF(method_reg="Метод сравнения аналогов",_xlfn.SUMIFS(INDEX('Калькуляция (МСА)'!$AE$25:$BW$82,,MATCH(AW$8,'Калькуляция (МСА)'!$AE$8:$BW$8,0)),'Калькуляция (МСА)'!$F$25:$F$82,$F83,'Калькуляция (МСА)'!$G$25:$G$82,$G83),_xlfn.SUMIFS(INDEX('Калькуляция (5.9)'!$AJ$25:$BW$139,,MATCH(AW$8,'Калькуляция (5.9)'!$AJ$8:$BW$8,0)),'Калькуляция (5.9)'!$F$25:$F$139,$F83,'Калькуляция (5.9)'!$G$25:$G$139,$G83))</f>
        <v>0</v>
      </c>
      <c r="AX83" s="917">
        <f>IF(AV83=0,0,(AW83-AV83)/AV83*100)</f>
        <v>0</v>
      </c>
      <c r="AY83" s="2422">
        <f>IF(method_reg="Метод сравнения аналогов",_xlfn.SUMIFS(INDEX('Калькуляция (МСА)'!$AE$25:$BW$82,,MATCH(AY$8,'Калькуляция (МСА)'!$AE$8:$BW$8,0)),'Калькуляция (МСА)'!$F$25:$F$82,$F83,'Калькуляция (МСА)'!$G$25:$G$82,$G83),_xlfn.SUMIFS(INDEX('Калькуляция (5.9)'!$AJ$25:$BW$139,,MATCH(AY$8,'Калькуляция (5.9)'!$AJ$8:$BW$8,0)),'Калькуляция (5.9)'!$F$25:$F$139,$F83,'Калькуляция (5.9)'!$G$25:$G$139,$G83))</f>
        <v>0</v>
      </c>
      <c r="AZ83" s="2422">
        <f>IF(method_reg="Метод сравнения аналогов",_xlfn.SUMIFS(INDEX('Калькуляция (МСА)'!$AE$25:$BW$82,,MATCH(AZ$8,'Калькуляция (МСА)'!$AE$8:$BW$8,0)),'Калькуляция (МСА)'!$F$25:$F$82,$F83,'Калькуляция (МСА)'!$G$25:$G$82,$G83),_xlfn.SUMIFS(INDEX('Калькуляция (5.9)'!$AJ$25:$BW$139,,MATCH(AZ$8,'Калькуляция (5.9)'!$AJ$8:$BW$8,0)),'Калькуляция (5.9)'!$F$25:$F$139,$F83,'Калькуляция (5.9)'!$G$25:$G$139,$G83))</f>
        <v>0</v>
      </c>
      <c r="BA83" s="917">
        <f>IF(AY83=0,0,(AZ83-AY83)/AY83*100)</f>
        <v>0</v>
      </c>
      <c r="BB83" s="2422">
        <f>IF(method_reg="Метод сравнения аналогов",_xlfn.SUMIFS(INDEX('Калькуляция (МСА)'!$AE$25:$BW$82,,MATCH(BB$8,'Калькуляция (МСА)'!$AE$8:$BW$8,0)),'Калькуляция (МСА)'!$F$25:$F$82,$F83,'Калькуляция (МСА)'!$G$25:$G$82,$G83),_xlfn.SUMIFS(INDEX('Калькуляция (5.9)'!$AJ$25:$BW$139,,MATCH(BB$8,'Калькуляция (5.9)'!$AJ$8:$BW$8,0)),'Калькуляция (5.9)'!$F$25:$F$139,$F83,'Калькуляция (5.9)'!$G$25:$G$139,$G83))</f>
        <v>0</v>
      </c>
      <c r="BC83" s="2422">
        <f>IF(method_reg="Метод сравнения аналогов",_xlfn.SUMIFS(INDEX('Калькуляция (МСА)'!$AE$25:$BW$82,,MATCH(BC$8,'Калькуляция (МСА)'!$AE$8:$BW$8,0)),'Калькуляция (МСА)'!$F$25:$F$82,$F83,'Калькуляция (МСА)'!$G$25:$G$82,$G83),_xlfn.SUMIFS(INDEX('Калькуляция (5.9)'!$AJ$25:$BW$139,,MATCH(BC$8,'Калькуляция (5.9)'!$AJ$8:$BW$8,0)),'Калькуляция (5.9)'!$F$25:$F$139,$F83,'Калькуляция (5.9)'!$G$25:$G$139,$G83))</f>
        <v>0</v>
      </c>
      <c r="BD83" s="917">
        <f>IF(BB83=0,0,(BC83-BB83)/BB83*100)</f>
        <v>0</v>
      </c>
      <c r="BE83" s="2422">
        <f>IF(method_reg="Метод сравнения аналогов",_xlfn.SUMIFS(INDEX('Калькуляция (МСА)'!$AE$25:$BW$82,,MATCH(BE$8,'Калькуляция (МСА)'!$AE$8:$BW$8,0)),'Калькуляция (МСА)'!$F$25:$F$82,$F83,'Калькуляция (МСА)'!$G$25:$G$82,$G83),_xlfn.SUMIFS(INDEX('Калькуляция (5.9)'!$AJ$25:$BW$139,,MATCH(BE$8,'Калькуляция (5.9)'!$AJ$8:$BW$8,0)),'Калькуляция (5.9)'!$F$25:$F$139,$F83,'Калькуляция (5.9)'!$G$25:$G$139,$G83))</f>
        <v>0</v>
      </c>
      <c r="BF83" s="2422">
        <f>IF(method_reg="Метод сравнения аналогов",_xlfn.SUMIFS(INDEX('Калькуляция (МСА)'!$AE$25:$BW$82,,MATCH(BF$8,'Калькуляция (МСА)'!$AE$8:$BW$8,0)),'Калькуляция (МСА)'!$F$25:$F$82,$F83,'Калькуляция (МСА)'!$G$25:$G$82,$G83),_xlfn.SUMIFS(INDEX('Калькуляция (5.9)'!$AJ$25:$BW$139,,MATCH(BF$8,'Калькуляция (5.9)'!$AJ$8:$BW$8,0)),'Калькуляция (5.9)'!$F$25:$F$139,$F83,'Калькуляция (5.9)'!$G$25:$G$139,$G83))</f>
        <v>0</v>
      </c>
      <c r="BG83" s="917">
        <f>IF(BE83=0,0,(BF83-BE83)/BE83*100)</f>
        <v>0</v>
      </c>
      <c r="BH83" s="2422"/>
      <c r="BI83" s="2422"/>
      <c r="BJ83" s="917">
        <f>IF(BH83=0,0,(BI83-BH83)/BH83*100)</f>
        <v>0</v>
      </c>
      <c r="BK83" s="2422"/>
      <c r="BL83" s="2422"/>
      <c r="BM83" s="917">
        <f>IF(BK83=0,0,(BL83-BK83)/BK83*100)</f>
        <v>0</v>
      </c>
      <c r="BN83" s="2422"/>
      <c r="BO83" s="2422"/>
      <c r="BP83" s="917">
        <f>IF(BN83=0,0,(BO83-BN83)/BN83*100)</f>
        <v>0</v>
      </c>
      <c r="BQ83" s="2422"/>
      <c r="BR83" s="2422"/>
      <c r="BS83" s="917">
        <f>IF(BQ83=0,0,(BR83-BQ83)/BQ83*100)</f>
        <v>0</v>
      </c>
      <c r="BT83" s="2422"/>
      <c r="BU83" s="2422"/>
      <c r="BV83" s="917">
        <f>IF(BT83=0,0,(BU83-BT83)/BT83*100)</f>
        <v>0</v>
      </c>
      <c r="BW83" s="2422"/>
      <c r="BX83" s="2422"/>
      <c r="BY83" s="917">
        <f>IF(BW83=0,0,(BX83-BW83)/BW83*100)</f>
        <v>0</v>
      </c>
      <c r="BZ83" s="2422"/>
      <c r="CA83" s="2422"/>
      <c r="CB83" s="917">
        <f>IF(BZ83=0,0,(CA83-BZ83)/BZ83*100)</f>
        <v>0</v>
      </c>
      <c r="CC83" s="2422"/>
      <c r="CD83" s="2422"/>
      <c r="CE83" s="917">
        <f>IF(CC83=0,0,(CD83-CC83)/CC83*100)</f>
        <v>0</v>
      </c>
      <c r="CF83" s="2422"/>
      <c r="CG83" s="2422"/>
      <c r="CH83" s="917">
        <f>IF(CF83=0,0,(CG83-CF83)/CF83*100)</f>
        <v>0</v>
      </c>
      <c r="CI83" s="2422"/>
      <c r="CJ83" s="2422"/>
      <c r="CK83" s="917">
        <f>IF(CI83=0,0,(CJ83-CI83)/CI83*100)</f>
        <v>0</v>
      </c>
      <c r="CL83" s="2422"/>
      <c r="CM83" s="2422"/>
      <c r="CN83" s="917">
        <f>IF(CL83=0,0,(CM83-CL83)/CL83*100)</f>
        <v>0</v>
      </c>
      <c r="CO83" s="2422"/>
      <c r="CP83" s="2422"/>
      <c r="CQ83" s="917">
        <f>IF(CO83=0,0,(CP83-CO83)/CO83*100)</f>
        <v>0</v>
      </c>
      <c r="CR83" s="2422"/>
      <c r="CS83" s="2422"/>
      <c r="CT83" s="917">
        <f>IF(CR83=0,0,(CS83-CR83)/CR83*100)</f>
        <v>0</v>
      </c>
      <c r="CU83" s="2422"/>
      <c r="CV83" s="2422"/>
      <c r="CW83" s="917">
        <f>IF(CU83=0,0,(CV83-CU83)/CU83*100)</f>
        <v>0</v>
      </c>
      <c r="CX83" s="2422"/>
      <c r="CY83" s="2422"/>
      <c r="CZ83" s="917">
        <f>IF(CX83=0,0,(CY83-CX83)/CX83*100)</f>
        <v>0</v>
      </c>
      <c r="DA83" s="2422"/>
      <c r="DB83" s="2422"/>
      <c r="DC83" s="917">
        <f>IF(DA83=0,0,(DB83-DA83)/DA83*100)</f>
        <v>0</v>
      </c>
      <c r="DD83" s="2422"/>
      <c r="DE83" s="2422"/>
      <c r="DF83" s="917">
        <f>IF(DD83=0,0,(DE83-DD83)/DD83*100)</f>
        <v>0</v>
      </c>
      <c r="DG83" s="2422"/>
      <c r="DH83" s="2422"/>
      <c r="DI83" s="917">
        <f>IF(DG83=0,0,(DH83-DG83)/DG83*100)</f>
        <v>0</v>
      </c>
      <c r="DJ83" s="2422"/>
      <c r="DK83" s="2422"/>
      <c r="DL83" s="917">
        <f>IF(DJ83=0,0,(DK83-DJ83)/DJ83*100)</f>
        <v>0</v>
      </c>
      <c r="DM83" s="2422"/>
      <c r="DN83" s="2422"/>
      <c r="DO83" s="917">
        <f>IF(DM83=0,0,(DN83-DM83)/DM83*100)</f>
        <v>0</v>
      </c>
      <c r="DP83" s="2422"/>
      <c r="DQ83" s="2422"/>
      <c r="DR83" s="917">
        <f>IF(DP83=0,0,(DQ83-DP83)/DP83*100)</f>
        <v>0</v>
      </c>
      <c r="DS83" s="2422"/>
      <c r="DT83" s="2422"/>
      <c r="DU83" s="917">
        <f>IF(DS83=0,0,(DT83-DS83)/DS83*100)</f>
        <v>0</v>
      </c>
      <c r="DV83" s="2422"/>
      <c r="DW83" s="2422"/>
      <c r="DX83" s="917">
        <f>IF(DV83=0,0,(DW83-DV83)/DV83*100)</f>
        <v>0</v>
      </c>
      <c r="DY83" s="2422"/>
      <c r="DZ83" s="2422"/>
      <c r="EA83" s="917">
        <f>IF(DY83=0,0,(DZ83-DY83)/DY83*100)</f>
        <v>0</v>
      </c>
      <c r="EB83" s="2422"/>
      <c r="EC83" s="2422"/>
      <c r="ED83" s="917">
        <f>IF(EB83=0,0,(EC83-EB83)/EB83*100)</f>
        <v>0</v>
      </c>
      <c r="EE83" s="2422"/>
      <c r="EF83" s="2422"/>
      <c r="EG83" s="917">
        <f>IF(EE83=0,0,(EF83-EE83)/EE83*100)</f>
        <v>0</v>
      </c>
      <c r="EH83" s="2422"/>
      <c r="EI83" s="2422"/>
      <c r="EJ83" s="917">
        <f>IF(EH83=0,0,(EI83-EH83)/EH83*100)</f>
        <v>0</v>
      </c>
      <c r="EK83" s="2422"/>
      <c r="EL83" s="2422"/>
      <c r="EM83" s="917">
        <f>IF(EK83=0,0,(EL83-EK83)/EK83*100)</f>
        <v>0</v>
      </c>
      <c r="EN83" s="2422"/>
      <c r="EO83" s="2422"/>
      <c r="EP83" s="917">
        <f>IF(EN83=0,0,(EO83-EN83)/EN83*100)</f>
        <v>0</v>
      </c>
      <c r="EQ83" s="2422"/>
      <c r="ER83" s="2422"/>
      <c r="ES83" s="917">
        <f>IF(EQ83=0,0,(ER83-EQ83)/EQ83*100)</f>
        <v>0</v>
      </c>
      <c r="ET83" s="2422"/>
      <c r="EU83" s="2422"/>
      <c r="EV83" s="917">
        <f>IF(ET83=0,0,(EU83-ET83)/ET83*100)</f>
        <v>0</v>
      </c>
      <c r="EW83" s="2422"/>
      <c r="EX83" s="2422"/>
      <c r="EY83" s="917">
        <f>IF(EW83=0,0,(EX83-EW83)/EW83*100)</f>
        <v>0</v>
      </c>
      <c r="EZ83" s="2422"/>
      <c r="FA83" s="2422"/>
      <c r="FB83" s="917">
        <f>IF(EZ83=0,0,(FA83-EZ83)/EZ83*100)</f>
        <v>0</v>
      </c>
      <c r="FC83" s="2422"/>
      <c r="FD83" s="2422"/>
      <c r="FE83" s="917">
        <f>IF(FC83=0,0,(FD83-FC83)/FC83*100)</f>
        <v>0</v>
      </c>
      <c r="FF83" s="2422"/>
      <c r="FG83" s="2422"/>
      <c r="FH83" s="917">
        <f>IF(FF83=0,0,(FG83-FF83)/FF83*100)</f>
        <v>0</v>
      </c>
      <c r="FI83" s="2422"/>
      <c r="FJ83" s="2422"/>
      <c r="FK83" s="917">
        <f>IF(FI83=0,0,(FJ83-FI83)/FI83*100)</f>
        <v>0</v>
      </c>
      <c r="FL83" s="2422"/>
      <c r="FM83" s="2422"/>
      <c r="FN83" s="917">
        <f>IF(FL83=0,0,(FM83-FL83)/FL83*100)</f>
        <v>0</v>
      </c>
      <c r="FO83" s="2422"/>
      <c r="FP83" s="2422"/>
      <c r="FQ83" s="917">
        <f>IF(FO83=0,0,(FP83-FO83)/FO83*100)</f>
        <v>0</v>
      </c>
      <c r="FR83" s="2422"/>
      <c r="FS83" s="2422"/>
      <c r="FT83" s="917">
        <f>IF(FR83=0,0,(FS83-FR83)/FR83*100)</f>
        <v>0</v>
      </c>
      <c r="FU83" s="2422"/>
      <c r="FV83" s="2422"/>
      <c r="FW83" s="917">
        <f>IF(FU83=0,0,(FV83-FU83)/FU83*100)</f>
        <v>0</v>
      </c>
      <c r="FX83" s="286"/>
      <c r="FY83" s="1659"/>
      <c r="FZ83" s="489" t="s">
        <v>2464</v>
      </c>
      <c r="GA83" s="489"/>
      <c r="GB83" s="489"/>
      <c r="GC83" s="489"/>
      <c r="GD83" s="489"/>
      <c r="GE83" s="1506"/>
      <c r="GF83" s="1501" cm="1" t="str">
        <f t="array" ref="GF83:GF83">GF82</f>
        <v>ТЭ.42.31656254.0001</v>
      </c>
      <c r="GG83" s="1501" t="s">
        <v>707</v>
      </c>
      <c r="GH83" s="1501"/>
      <c r="GI83" s="1501" t="s">
        <v>796</v>
      </c>
      <c r="GJ83" s="1501" t="s">
        <v>2084</v>
      </c>
      <c r="GK83" s="1501"/>
      <c r="GL83" s="1501" t="s">
        <v>303</v>
      </c>
      <c r="GM83" s="1501" t="s">
        <v>2079</v>
      </c>
      <c r="GN83" s="1501" t="s">
        <v>2080</v>
      </c>
    </row>
    <row s="1751" customFormat="1" customHeight="1" ht="16.5">
      <c r="A84" s="371"/>
      <c r="B84" s="192" cm="1" t="str">
        <f t="array" ref="B84:B84">B83</f>
        <v>true</v>
      </c>
      <c r="C84" s="1659"/>
      <c r="D84" s="1659"/>
      <c r="E84" s="180">
        <v>17</v>
      </c>
      <c r="F84" s="175" cm="1" t="str">
        <f t="array" ref="F84:F84">OFFSET(G84,-1,-1)</f>
        <v>1</v>
      </c>
      <c r="G84" s="193" t="s">
        <v>2088</v>
      </c>
      <c r="H84" s="1659"/>
      <c r="I84" s="1659"/>
      <c r="J84" s="1659"/>
      <c r="K84" s="1659"/>
      <c r="L84" s="1659"/>
      <c r="M84" s="1659"/>
      <c r="N84" s="1659"/>
      <c r="O84" s="1659"/>
      <c r="P84" s="1659"/>
      <c r="Q84" s="1659"/>
      <c r="R84" s="1659"/>
      <c r="S84" s="1659"/>
      <c r="T84" s="753" cm="1" t="str">
        <f t="array" ref="T84:T84">T83</f>
        <v>true</v>
      </c>
      <c r="U84" s="1548"/>
      <c r="V84" s="1548"/>
      <c r="W84" s="1548"/>
      <c r="X84" s="1548"/>
      <c r="Y84" s="1548"/>
      <c r="Z84" s="1548"/>
      <c r="AA84" s="286"/>
      <c r="AB84" s="646" t="s">
        <v>2089</v>
      </c>
      <c r="AC84" s="380" t="s">
        <v>629</v>
      </c>
      <c r="AD84" s="2422">
        <f>IF(method_reg="Метод экономически обоснованных расходов",_xlfn.SUMIFS('Калькуляция (4.6)'!AJ$25:AJ$162,'Калькуляция (4.6)'!$F$25:$F$162,$F84,'Калькуляция (4.6)'!$G$25:$G$162,$G84),IF(method_reg="Метод сравнения аналогов",_xlfn.SUMIFS(INDEX('Калькуляция (МСА)'!$AE$25:$BW$82,,MATCH(AD$8,'Калькуляция (МСА)'!$AE$8:$BW$8,0)),'Калькуляция (МСА)'!$F$25:$F$82,$F84,'Калькуляция (МСА)'!$G$25:$G$82,$G84),_xlfn.SUMIFS(INDEX('Калькуляция (5.9)'!$AJ$25:$BW$139,,MATCH(AD$8,'Калькуляция (5.9)'!$AJ$8:$BW$8,0)),'Калькуляция (5.9)'!$F$25:$F$139,$F84,'Калькуляция (5.9)'!$G$25:$G$139,$G84)))</f>
        <v>1994</v>
      </c>
      <c r="AE84" s="2422">
        <f>IF(method_reg="Метод экономически обоснованных расходов",_xlfn.SUMIFS('Калькуляция (4.6)'!AK$25:AK$162,'Калькуляция (4.6)'!$F$25:$F$162,$F84,'Калькуляция (4.6)'!$G$25:$G$162,$G84),IF(method_reg="Метод сравнения аналогов",_xlfn.SUMIFS(INDEX('Калькуляция (МСА)'!$AE$25:$BW$82,,MATCH(AE$8,'Калькуляция (МСА)'!$AE$8:$BW$8,0)),'Калькуляция (МСА)'!$F$25:$F$82,$F84,'Калькуляция (МСА)'!$G$25:$G$82,$G84),_xlfn.SUMIFS(INDEX('Калькуляция (5.9)'!$AJ$25:$BW$139,,MATCH(AE$8,'Калькуляция (5.9)'!$AJ$8:$BW$8,0)),'Калькуляция (5.9)'!$F$25:$F$139,$F84,'Калькуляция (5.9)'!$G$25:$G$139,$G84)))</f>
        <v>1994</v>
      </c>
      <c r="AF84" s="917">
        <f>IF(AD84=0,0,(AE84-AD84)/AD84*100)</f>
        <v>0</v>
      </c>
      <c r="AG84" s="2422">
        <f>IF(method_reg="Метод сравнения аналогов",_xlfn.SUMIFS(INDEX('Калькуляция (МСА)'!$AE$25:$BW$82,,MATCH(AG$8,'Калькуляция (МСА)'!$AE$8:$BW$8,0)),'Калькуляция (МСА)'!$F$25:$F$82,$F84,'Калькуляция (МСА)'!$G$25:$G$82,$G84),_xlfn.SUMIFS(INDEX('Калькуляция (5.9)'!$AJ$25:$BW$139,,MATCH(AG$8,'Калькуляция (5.9)'!$AJ$8:$BW$8,0)),'Калькуляция (5.9)'!$F$25:$F$139,$F84,'Калькуляция (5.9)'!$G$25:$G$139,$G84))</f>
        <v>0</v>
      </c>
      <c r="AH84" s="2422">
        <f>IF(method_reg="Метод сравнения аналогов",_xlfn.SUMIFS(INDEX('Калькуляция (МСА)'!$AE$25:$BW$82,,MATCH(AH$8,'Калькуляция (МСА)'!$AE$8:$BW$8,0)),'Калькуляция (МСА)'!$F$25:$F$82,$F84,'Калькуляция (МСА)'!$G$25:$G$82,$G84),_xlfn.SUMIFS(INDEX('Калькуляция (5.9)'!$AJ$25:$BW$139,,MATCH(AH$8,'Калькуляция (5.9)'!$AJ$8:$BW$8,0)),'Калькуляция (5.9)'!$F$25:$F$139,$F84,'Калькуляция (5.9)'!$G$25:$G$139,$G84))</f>
        <v>0</v>
      </c>
      <c r="AI84" s="917">
        <f>IF(AG84=0,0,(AH84-AG84)/AG84*100)</f>
        <v>0</v>
      </c>
      <c r="AJ84" s="2422">
        <f>IF(method_reg="Метод сравнения аналогов",_xlfn.SUMIFS(INDEX('Калькуляция (МСА)'!$AE$25:$BW$82,,MATCH(AJ$8,'Калькуляция (МСА)'!$AE$8:$BW$8,0)),'Калькуляция (МСА)'!$F$25:$F$82,$F84,'Калькуляция (МСА)'!$G$25:$G$82,$G84),_xlfn.SUMIFS(INDEX('Калькуляция (5.9)'!$AJ$25:$BW$139,,MATCH(AJ$8,'Калькуляция (5.9)'!$AJ$8:$BW$8,0)),'Калькуляция (5.9)'!$F$25:$F$139,$F84,'Калькуляция (5.9)'!$G$25:$G$139,$G84))</f>
        <v>0</v>
      </c>
      <c r="AK84" s="2422">
        <f>IF(method_reg="Метод сравнения аналогов",_xlfn.SUMIFS(INDEX('Калькуляция (МСА)'!$AE$25:$BW$82,,MATCH(AK$8,'Калькуляция (МСА)'!$AE$8:$BW$8,0)),'Калькуляция (МСА)'!$F$25:$F$82,$F84,'Калькуляция (МСА)'!$G$25:$G$82,$G84),_xlfn.SUMIFS(INDEX('Калькуляция (5.9)'!$AJ$25:$BW$139,,MATCH(AK$8,'Калькуляция (5.9)'!$AJ$8:$BW$8,0)),'Калькуляция (5.9)'!$F$25:$F$139,$F84,'Калькуляция (5.9)'!$G$25:$G$139,$G84))</f>
        <v>0</v>
      </c>
      <c r="AL84" s="917">
        <f>IF(AJ84=0,0,(AK84-AJ84)/AJ84*100)</f>
        <v>0</v>
      </c>
      <c r="AM84" s="2422">
        <f>IF(method_reg="Метод сравнения аналогов",_xlfn.SUMIFS(INDEX('Калькуляция (МСА)'!$AE$25:$BW$82,,MATCH(AM$8,'Калькуляция (МСА)'!$AE$8:$BW$8,0)),'Калькуляция (МСА)'!$F$25:$F$82,$F84,'Калькуляция (МСА)'!$G$25:$G$82,$G84),_xlfn.SUMIFS(INDEX('Калькуляция (5.9)'!$AJ$25:$BW$139,,MATCH(AM$8,'Калькуляция (5.9)'!$AJ$8:$BW$8,0)),'Калькуляция (5.9)'!$F$25:$F$139,$F84,'Калькуляция (5.9)'!$G$25:$G$139,$G84))</f>
        <v>0</v>
      </c>
      <c r="AN84" s="2422">
        <f>IF(method_reg="Метод сравнения аналогов",_xlfn.SUMIFS(INDEX('Калькуляция (МСА)'!$AE$25:$BW$82,,MATCH(AN$8,'Калькуляция (МСА)'!$AE$8:$BW$8,0)),'Калькуляция (МСА)'!$F$25:$F$82,$F84,'Калькуляция (МСА)'!$G$25:$G$82,$G84),_xlfn.SUMIFS(INDEX('Калькуляция (5.9)'!$AJ$25:$BW$139,,MATCH(AN$8,'Калькуляция (5.9)'!$AJ$8:$BW$8,0)),'Калькуляция (5.9)'!$F$25:$F$139,$F84,'Калькуляция (5.9)'!$G$25:$G$139,$G84))</f>
        <v>0</v>
      </c>
      <c r="AO84" s="917">
        <f>IF(AM84=0,0,(AN84-AM84)/AM84*100)</f>
        <v>0</v>
      </c>
      <c r="AP84" s="2422">
        <f>IF(method_reg="Метод сравнения аналогов",_xlfn.SUMIFS(INDEX('Калькуляция (МСА)'!$AE$25:$BW$82,,MATCH(AP$8,'Калькуляция (МСА)'!$AE$8:$BW$8,0)),'Калькуляция (МСА)'!$F$25:$F$82,$F84,'Калькуляция (МСА)'!$G$25:$G$82,$G84),_xlfn.SUMIFS(INDEX('Калькуляция (5.9)'!$AJ$25:$BW$139,,MATCH(AP$8,'Калькуляция (5.9)'!$AJ$8:$BW$8,0)),'Калькуляция (5.9)'!$F$25:$F$139,$F84,'Калькуляция (5.9)'!$G$25:$G$139,$G84))</f>
        <v>0</v>
      </c>
      <c r="AQ84" s="2422">
        <f>IF(method_reg="Метод сравнения аналогов",_xlfn.SUMIFS(INDEX('Калькуляция (МСА)'!$AE$25:$BW$82,,MATCH(AQ$8,'Калькуляция (МСА)'!$AE$8:$BW$8,0)),'Калькуляция (МСА)'!$F$25:$F$82,$F84,'Калькуляция (МСА)'!$G$25:$G$82,$G84),_xlfn.SUMIFS(INDEX('Калькуляция (5.9)'!$AJ$25:$BW$139,,MATCH(AQ$8,'Калькуляция (5.9)'!$AJ$8:$BW$8,0)),'Калькуляция (5.9)'!$F$25:$F$139,$F84,'Калькуляция (5.9)'!$G$25:$G$139,$G84))</f>
        <v>0</v>
      </c>
      <c r="AR84" s="917">
        <f>IF(AP84=0,0,(AQ84-AP84)/AP84*100)</f>
        <v>0</v>
      </c>
      <c r="AS84" s="2422">
        <f>IF(method_reg="Метод сравнения аналогов",_xlfn.SUMIFS(INDEX('Калькуляция (МСА)'!$AE$25:$BW$82,,MATCH(AS$8,'Калькуляция (МСА)'!$AE$8:$BW$8,0)),'Калькуляция (МСА)'!$F$25:$F$82,$F84,'Калькуляция (МСА)'!$G$25:$G$82,$G84),_xlfn.SUMIFS(INDEX('Калькуляция (5.9)'!$AJ$25:$BW$139,,MATCH(AS$8,'Калькуляция (5.9)'!$AJ$8:$BW$8,0)),'Калькуляция (5.9)'!$F$25:$F$139,$F84,'Калькуляция (5.9)'!$G$25:$G$139,$G84))</f>
        <v>0</v>
      </c>
      <c r="AT84" s="2422">
        <f>IF(method_reg="Метод сравнения аналогов",_xlfn.SUMIFS(INDEX('Калькуляция (МСА)'!$AE$25:$BW$82,,MATCH(AT$8,'Калькуляция (МСА)'!$AE$8:$BW$8,0)),'Калькуляция (МСА)'!$F$25:$F$82,$F84,'Калькуляция (МСА)'!$G$25:$G$82,$G84),_xlfn.SUMIFS(INDEX('Калькуляция (5.9)'!$AJ$25:$BW$139,,MATCH(AT$8,'Калькуляция (5.9)'!$AJ$8:$BW$8,0)),'Калькуляция (5.9)'!$F$25:$F$139,$F84,'Калькуляция (5.9)'!$G$25:$G$139,$G84))</f>
        <v>0</v>
      </c>
      <c r="AU84" s="917">
        <f>IF(AS84=0,0,(AT84-AS84)/AS84*100)</f>
        <v>0</v>
      </c>
      <c r="AV84" s="2422">
        <f>IF(method_reg="Метод сравнения аналогов",_xlfn.SUMIFS(INDEX('Калькуляция (МСА)'!$AE$25:$BW$82,,MATCH(AV$8,'Калькуляция (МСА)'!$AE$8:$BW$8,0)),'Калькуляция (МСА)'!$F$25:$F$82,$F84,'Калькуляция (МСА)'!$G$25:$G$82,$G84),_xlfn.SUMIFS(INDEX('Калькуляция (5.9)'!$AJ$25:$BW$139,,MATCH(AV$8,'Калькуляция (5.9)'!$AJ$8:$BW$8,0)),'Калькуляция (5.9)'!$F$25:$F$139,$F84,'Калькуляция (5.9)'!$G$25:$G$139,$G84))</f>
        <v>0</v>
      </c>
      <c r="AW84" s="2422">
        <f>IF(method_reg="Метод сравнения аналогов",_xlfn.SUMIFS(INDEX('Калькуляция (МСА)'!$AE$25:$BW$82,,MATCH(AW$8,'Калькуляция (МСА)'!$AE$8:$BW$8,0)),'Калькуляция (МСА)'!$F$25:$F$82,$F84,'Калькуляция (МСА)'!$G$25:$G$82,$G84),_xlfn.SUMIFS(INDEX('Калькуляция (5.9)'!$AJ$25:$BW$139,,MATCH(AW$8,'Калькуляция (5.9)'!$AJ$8:$BW$8,0)),'Калькуляция (5.9)'!$F$25:$F$139,$F84,'Калькуляция (5.9)'!$G$25:$G$139,$G84))</f>
        <v>0</v>
      </c>
      <c r="AX84" s="917">
        <f>IF(AV84=0,0,(AW84-AV84)/AV84*100)</f>
        <v>0</v>
      </c>
      <c r="AY84" s="2422">
        <f>IF(method_reg="Метод сравнения аналогов",_xlfn.SUMIFS(INDEX('Калькуляция (МСА)'!$AE$25:$BW$82,,MATCH(AY$8,'Калькуляция (МСА)'!$AE$8:$BW$8,0)),'Калькуляция (МСА)'!$F$25:$F$82,$F84,'Калькуляция (МСА)'!$G$25:$G$82,$G84),_xlfn.SUMIFS(INDEX('Калькуляция (5.9)'!$AJ$25:$BW$139,,MATCH(AY$8,'Калькуляция (5.9)'!$AJ$8:$BW$8,0)),'Калькуляция (5.9)'!$F$25:$F$139,$F84,'Калькуляция (5.9)'!$G$25:$G$139,$G84))</f>
        <v>0</v>
      </c>
      <c r="AZ84" s="2422">
        <f>IF(method_reg="Метод сравнения аналогов",_xlfn.SUMIFS(INDEX('Калькуляция (МСА)'!$AE$25:$BW$82,,MATCH(AZ$8,'Калькуляция (МСА)'!$AE$8:$BW$8,0)),'Калькуляция (МСА)'!$F$25:$F$82,$F84,'Калькуляция (МСА)'!$G$25:$G$82,$G84),_xlfn.SUMIFS(INDEX('Калькуляция (5.9)'!$AJ$25:$BW$139,,MATCH(AZ$8,'Калькуляция (5.9)'!$AJ$8:$BW$8,0)),'Калькуляция (5.9)'!$F$25:$F$139,$F84,'Калькуляция (5.9)'!$G$25:$G$139,$G84))</f>
        <v>0</v>
      </c>
      <c r="BA84" s="917">
        <f>IF(AY84=0,0,(AZ84-AY84)/AY84*100)</f>
        <v>0</v>
      </c>
      <c r="BB84" s="2422">
        <f>IF(method_reg="Метод сравнения аналогов",_xlfn.SUMIFS(INDEX('Калькуляция (МСА)'!$AE$25:$BW$82,,MATCH(BB$8,'Калькуляция (МСА)'!$AE$8:$BW$8,0)),'Калькуляция (МСА)'!$F$25:$F$82,$F84,'Калькуляция (МСА)'!$G$25:$G$82,$G84),_xlfn.SUMIFS(INDEX('Калькуляция (5.9)'!$AJ$25:$BW$139,,MATCH(BB$8,'Калькуляция (5.9)'!$AJ$8:$BW$8,0)),'Калькуляция (5.9)'!$F$25:$F$139,$F84,'Калькуляция (5.9)'!$G$25:$G$139,$G84))</f>
        <v>0</v>
      </c>
      <c r="BC84" s="2422">
        <f>IF(method_reg="Метод сравнения аналогов",_xlfn.SUMIFS(INDEX('Калькуляция (МСА)'!$AE$25:$BW$82,,MATCH(BC$8,'Калькуляция (МСА)'!$AE$8:$BW$8,0)),'Калькуляция (МСА)'!$F$25:$F$82,$F84,'Калькуляция (МСА)'!$G$25:$G$82,$G84),_xlfn.SUMIFS(INDEX('Калькуляция (5.9)'!$AJ$25:$BW$139,,MATCH(BC$8,'Калькуляция (5.9)'!$AJ$8:$BW$8,0)),'Калькуляция (5.9)'!$F$25:$F$139,$F84,'Калькуляция (5.9)'!$G$25:$G$139,$G84))</f>
        <v>0</v>
      </c>
      <c r="BD84" s="917">
        <f>IF(BB84=0,0,(BC84-BB84)/BB84*100)</f>
        <v>0</v>
      </c>
      <c r="BE84" s="2422">
        <f>IF(method_reg="Метод сравнения аналогов",_xlfn.SUMIFS(INDEX('Калькуляция (МСА)'!$AE$25:$BW$82,,MATCH(BE$8,'Калькуляция (МСА)'!$AE$8:$BW$8,0)),'Калькуляция (МСА)'!$F$25:$F$82,$F84,'Калькуляция (МСА)'!$G$25:$G$82,$G84),_xlfn.SUMIFS(INDEX('Калькуляция (5.9)'!$AJ$25:$BW$139,,MATCH(BE$8,'Калькуляция (5.9)'!$AJ$8:$BW$8,0)),'Калькуляция (5.9)'!$F$25:$F$139,$F84,'Калькуляция (5.9)'!$G$25:$G$139,$G84))</f>
        <v>0</v>
      </c>
      <c r="BF84" s="2422">
        <f>IF(method_reg="Метод сравнения аналогов",_xlfn.SUMIFS(INDEX('Калькуляция (МСА)'!$AE$25:$BW$82,,MATCH(BF$8,'Калькуляция (МСА)'!$AE$8:$BW$8,0)),'Калькуляция (МСА)'!$F$25:$F$82,$F84,'Калькуляция (МСА)'!$G$25:$G$82,$G84),_xlfn.SUMIFS(INDEX('Калькуляция (5.9)'!$AJ$25:$BW$139,,MATCH(BF$8,'Калькуляция (5.9)'!$AJ$8:$BW$8,0)),'Калькуляция (5.9)'!$F$25:$F$139,$F84,'Калькуляция (5.9)'!$G$25:$G$139,$G84))</f>
        <v>0</v>
      </c>
      <c r="BG84" s="917">
        <f>IF(BE84=0,0,(BF84-BE84)/BE84*100)</f>
        <v>0</v>
      </c>
      <c r="BH84" s="2422"/>
      <c r="BI84" s="2422"/>
      <c r="BJ84" s="917">
        <f>IF(BH84=0,0,(BI84-BH84)/BH84*100)</f>
        <v>0</v>
      </c>
      <c r="BK84" s="2422"/>
      <c r="BL84" s="2422"/>
      <c r="BM84" s="917">
        <f>IF(BK84=0,0,(BL84-BK84)/BK84*100)</f>
        <v>0</v>
      </c>
      <c r="BN84" s="2422"/>
      <c r="BO84" s="2422"/>
      <c r="BP84" s="917">
        <f>IF(BN84=0,0,(BO84-BN84)/BN84*100)</f>
        <v>0</v>
      </c>
      <c r="BQ84" s="2422"/>
      <c r="BR84" s="2422"/>
      <c r="BS84" s="917">
        <f>IF(BQ84=0,0,(BR84-BQ84)/BQ84*100)</f>
        <v>0</v>
      </c>
      <c r="BT84" s="2422"/>
      <c r="BU84" s="2422"/>
      <c r="BV84" s="917">
        <f>IF(BT84=0,0,(BU84-BT84)/BT84*100)</f>
        <v>0</v>
      </c>
      <c r="BW84" s="2422"/>
      <c r="BX84" s="2422"/>
      <c r="BY84" s="917">
        <f>IF(BW84=0,0,(BX84-BW84)/BW84*100)</f>
        <v>0</v>
      </c>
      <c r="BZ84" s="2422"/>
      <c r="CA84" s="2422"/>
      <c r="CB84" s="917">
        <f>IF(BZ84=0,0,(CA84-BZ84)/BZ84*100)</f>
        <v>0</v>
      </c>
      <c r="CC84" s="2422"/>
      <c r="CD84" s="2422"/>
      <c r="CE84" s="917">
        <f>IF(CC84=0,0,(CD84-CC84)/CC84*100)</f>
        <v>0</v>
      </c>
      <c r="CF84" s="2422"/>
      <c r="CG84" s="2422"/>
      <c r="CH84" s="917">
        <f>IF(CF84=0,0,(CG84-CF84)/CF84*100)</f>
        <v>0</v>
      </c>
      <c r="CI84" s="2422"/>
      <c r="CJ84" s="2422"/>
      <c r="CK84" s="917">
        <f>IF(CI84=0,0,(CJ84-CI84)/CI84*100)</f>
        <v>0</v>
      </c>
      <c r="CL84" s="2422"/>
      <c r="CM84" s="2422"/>
      <c r="CN84" s="917">
        <f>IF(CL84=0,0,(CM84-CL84)/CL84*100)</f>
        <v>0</v>
      </c>
      <c r="CO84" s="2422"/>
      <c r="CP84" s="2422"/>
      <c r="CQ84" s="917">
        <f>IF(CO84=0,0,(CP84-CO84)/CO84*100)</f>
        <v>0</v>
      </c>
      <c r="CR84" s="2422"/>
      <c r="CS84" s="2422"/>
      <c r="CT84" s="917">
        <f>IF(CR84=0,0,(CS84-CR84)/CR84*100)</f>
        <v>0</v>
      </c>
      <c r="CU84" s="2422"/>
      <c r="CV84" s="2422"/>
      <c r="CW84" s="917">
        <f>IF(CU84=0,0,(CV84-CU84)/CU84*100)</f>
        <v>0</v>
      </c>
      <c r="CX84" s="2422"/>
      <c r="CY84" s="2422"/>
      <c r="CZ84" s="917">
        <f>IF(CX84=0,0,(CY84-CX84)/CX84*100)</f>
        <v>0</v>
      </c>
      <c r="DA84" s="2422"/>
      <c r="DB84" s="2422"/>
      <c r="DC84" s="917">
        <f>IF(DA84=0,0,(DB84-DA84)/DA84*100)</f>
        <v>0</v>
      </c>
      <c r="DD84" s="2422"/>
      <c r="DE84" s="2422"/>
      <c r="DF84" s="917">
        <f>IF(DD84=0,0,(DE84-DD84)/DD84*100)</f>
        <v>0</v>
      </c>
      <c r="DG84" s="2422"/>
      <c r="DH84" s="2422"/>
      <c r="DI84" s="917">
        <f>IF(DG84=0,0,(DH84-DG84)/DG84*100)</f>
        <v>0</v>
      </c>
      <c r="DJ84" s="2422"/>
      <c r="DK84" s="2422"/>
      <c r="DL84" s="917">
        <f>IF(DJ84=0,0,(DK84-DJ84)/DJ84*100)</f>
        <v>0</v>
      </c>
      <c r="DM84" s="2422"/>
      <c r="DN84" s="2422"/>
      <c r="DO84" s="917">
        <f>IF(DM84=0,0,(DN84-DM84)/DM84*100)</f>
        <v>0</v>
      </c>
      <c r="DP84" s="2422"/>
      <c r="DQ84" s="2422"/>
      <c r="DR84" s="917">
        <f>IF(DP84=0,0,(DQ84-DP84)/DP84*100)</f>
        <v>0</v>
      </c>
      <c r="DS84" s="2422"/>
      <c r="DT84" s="2422"/>
      <c r="DU84" s="917">
        <f>IF(DS84=0,0,(DT84-DS84)/DS84*100)</f>
        <v>0</v>
      </c>
      <c r="DV84" s="2422"/>
      <c r="DW84" s="2422"/>
      <c r="DX84" s="917">
        <f>IF(DV84=0,0,(DW84-DV84)/DV84*100)</f>
        <v>0</v>
      </c>
      <c r="DY84" s="2422"/>
      <c r="DZ84" s="2422"/>
      <c r="EA84" s="917">
        <f>IF(DY84=0,0,(DZ84-DY84)/DY84*100)</f>
        <v>0</v>
      </c>
      <c r="EB84" s="2422"/>
      <c r="EC84" s="2422"/>
      <c r="ED84" s="917">
        <f>IF(EB84=0,0,(EC84-EB84)/EB84*100)</f>
        <v>0</v>
      </c>
      <c r="EE84" s="2422"/>
      <c r="EF84" s="2422"/>
      <c r="EG84" s="917">
        <f>IF(EE84=0,0,(EF84-EE84)/EE84*100)</f>
        <v>0</v>
      </c>
      <c r="EH84" s="2422"/>
      <c r="EI84" s="2422"/>
      <c r="EJ84" s="917">
        <f>IF(EH84=0,0,(EI84-EH84)/EH84*100)</f>
        <v>0</v>
      </c>
      <c r="EK84" s="2422"/>
      <c r="EL84" s="2422"/>
      <c r="EM84" s="917">
        <f>IF(EK84=0,0,(EL84-EK84)/EK84*100)</f>
        <v>0</v>
      </c>
      <c r="EN84" s="2422"/>
      <c r="EO84" s="2422"/>
      <c r="EP84" s="917">
        <f>IF(EN84=0,0,(EO84-EN84)/EN84*100)</f>
        <v>0</v>
      </c>
      <c r="EQ84" s="2422"/>
      <c r="ER84" s="2422"/>
      <c r="ES84" s="917">
        <f>IF(EQ84=0,0,(ER84-EQ84)/EQ84*100)</f>
        <v>0</v>
      </c>
      <c r="ET84" s="2422"/>
      <c r="EU84" s="2422"/>
      <c r="EV84" s="917">
        <f>IF(ET84=0,0,(EU84-ET84)/ET84*100)</f>
        <v>0</v>
      </c>
      <c r="EW84" s="2422"/>
      <c r="EX84" s="2422"/>
      <c r="EY84" s="917">
        <f>IF(EW84=0,0,(EX84-EW84)/EW84*100)</f>
        <v>0</v>
      </c>
      <c r="EZ84" s="2422"/>
      <c r="FA84" s="2422"/>
      <c r="FB84" s="917">
        <f>IF(EZ84=0,0,(FA84-EZ84)/EZ84*100)</f>
        <v>0</v>
      </c>
      <c r="FC84" s="2422"/>
      <c r="FD84" s="2422"/>
      <c r="FE84" s="917">
        <f>IF(FC84=0,0,(FD84-FC84)/FC84*100)</f>
        <v>0</v>
      </c>
      <c r="FF84" s="2422"/>
      <c r="FG84" s="2422"/>
      <c r="FH84" s="917">
        <f>IF(FF84=0,0,(FG84-FF84)/FF84*100)</f>
        <v>0</v>
      </c>
      <c r="FI84" s="2422"/>
      <c r="FJ84" s="2422"/>
      <c r="FK84" s="917">
        <f>IF(FI84=0,0,(FJ84-FI84)/FI84*100)</f>
        <v>0</v>
      </c>
      <c r="FL84" s="2422"/>
      <c r="FM84" s="2422"/>
      <c r="FN84" s="917">
        <f>IF(FL84=0,0,(FM84-FL84)/FL84*100)</f>
        <v>0</v>
      </c>
      <c r="FO84" s="2422"/>
      <c r="FP84" s="2422"/>
      <c r="FQ84" s="917">
        <f>IF(FO84=0,0,(FP84-FO84)/FO84*100)</f>
        <v>0</v>
      </c>
      <c r="FR84" s="2422"/>
      <c r="FS84" s="2422"/>
      <c r="FT84" s="917">
        <f>IF(FR84=0,0,(FS84-FR84)/FR84*100)</f>
        <v>0</v>
      </c>
      <c r="FU84" s="2422"/>
      <c r="FV84" s="2422"/>
      <c r="FW84" s="917">
        <f>IF(FU84=0,0,(FV84-FU84)/FU84*100)</f>
        <v>0</v>
      </c>
      <c r="FX84" s="286"/>
      <c r="FY84" s="1659"/>
      <c r="FZ84" s="489" t="s">
        <v>2465</v>
      </c>
      <c r="GA84" s="489"/>
      <c r="GB84" s="489"/>
      <c r="GC84" s="489"/>
      <c r="GD84" s="489"/>
      <c r="GE84" s="1506"/>
      <c r="GF84" s="1501" cm="1" t="str">
        <f t="array" ref="GF84:GF84">GF83</f>
        <v>ТЭ.42.31656254.0001</v>
      </c>
      <c r="GG84" s="1501" t="s">
        <v>707</v>
      </c>
      <c r="GH84" s="1501"/>
      <c r="GI84" s="1501" t="s">
        <v>797</v>
      </c>
      <c r="GJ84" s="1501"/>
      <c r="GK84" s="1501"/>
      <c r="GL84" s="1501" t="s">
        <v>303</v>
      </c>
      <c r="GM84" s="1501" t="s">
        <v>2079</v>
      </c>
      <c r="GN84" s="1501" t="s">
        <v>2080</v>
      </c>
    </row>
    <row s="972" customFormat="1" customHeight="1" ht="16.5">
      <c r="A85" s="972"/>
      <c r="B85" s="192" cm="1" t="str">
        <f t="array" ref="B85:B85">B84</f>
        <v>true</v>
      </c>
      <c r="C85" s="972"/>
      <c r="D85" s="972"/>
      <c r="E85" s="180">
        <v>17</v>
      </c>
      <c r="F85" s="175" cm="1" t="str">
        <f t="array" ref="F85:F85">OFFSET(G85,-1,-1)</f>
        <v>1</v>
      </c>
      <c r="G85" s="972"/>
      <c r="H85" s="972"/>
      <c r="I85" s="193" t="s">
        <v>2466</v>
      </c>
      <c r="J85" s="972"/>
      <c r="K85" s="972"/>
      <c r="L85" s="972"/>
      <c r="M85" s="972"/>
      <c r="N85" s="972"/>
      <c r="O85" s="972"/>
      <c r="P85" s="972"/>
      <c r="Q85" s="972"/>
      <c r="R85" s="972"/>
      <c r="S85" s="972"/>
      <c r="T85" s="753" cm="1" t="str">
        <f t="array" ref="T85:T85">T84</f>
        <v>true</v>
      </c>
      <c r="U85" s="972"/>
      <c r="V85" s="972"/>
      <c r="W85" s="972"/>
      <c r="X85" s="972"/>
      <c r="Y85" s="972"/>
      <c r="Z85" s="972"/>
      <c r="AA85" s="972"/>
      <c r="AB85" s="909" t="s">
        <v>2467</v>
      </c>
      <c r="AC85" s="910" t="s">
        <v>1005</v>
      </c>
      <c r="AD85" s="2421">
        <f>IF(plat_nds="да",AD79*(1+Сценарии!AE$26%),AD79)</f>
        <v>2709.5346</v>
      </c>
      <c r="AE85" s="2421">
        <f>IF(plat_nds="да",AE79*(1+Сценарии!AY$26%),AE79)</f>
        <v>2709.5346</v>
      </c>
      <c r="AF85" s="912">
        <f>IF(AD85=0,0,(AE85-AD85)/AD85*100)</f>
        <v>0</v>
      </c>
      <c r="AG85" s="2421">
        <f>IF(plat_nds="да",AG79*(1+Сценарии!AF$26%),AG79)</f>
        <v>0</v>
      </c>
      <c r="AH85" s="2421">
        <f>IF(plat_nds="да",AH79*(1+Сценарии!AZ$26%),AH79)</f>
        <v>0</v>
      </c>
      <c r="AI85" s="912">
        <f>IF(AG85=0,0,(AH85-AG85)/AG85*100)</f>
        <v>0</v>
      </c>
      <c r="AJ85" s="2421">
        <f>IF(plat_nds="да",AJ79*(1+Сценарии!AG$26%),AJ79)</f>
        <v>0</v>
      </c>
      <c r="AK85" s="2421">
        <f>IF(plat_nds="да",AK79*(1+Сценарии!BA$26%),AK79)</f>
        <v>0</v>
      </c>
      <c r="AL85" s="912">
        <f>IF(AJ85=0,0,(AK85-AJ85)/AJ85*100)</f>
        <v>0</v>
      </c>
      <c r="AM85" s="2421">
        <f>IF(plat_nds="да",AM79*(1+Сценарии!AH$26%),AM79)</f>
        <v>0</v>
      </c>
      <c r="AN85" s="2421">
        <f>IF(plat_nds="да",AN79*(1+Сценарии!BB$26%),AN79)</f>
        <v>0</v>
      </c>
      <c r="AO85" s="912">
        <f>IF(AM85=0,0,(AN85-AM85)/AM85*100)</f>
        <v>0</v>
      </c>
      <c r="AP85" s="2421">
        <f>IF(plat_nds="да",AP79*(1+Сценарии!AI$26%),AP79)</f>
        <v>0</v>
      </c>
      <c r="AQ85" s="2421">
        <f>IF(plat_nds="да",AQ79*(1+Сценарии!BC$26%),AQ79)</f>
        <v>0</v>
      </c>
      <c r="AR85" s="912">
        <f>IF(AP85=0,0,(AQ85-AP85)/AP85*100)</f>
        <v>0</v>
      </c>
      <c r="AS85" s="2421">
        <f>IF(plat_nds="да",AS79*(1+Сценарии!AJ$26%),AS79)</f>
        <v>0</v>
      </c>
      <c r="AT85" s="2421">
        <f>IF(plat_nds="да",AT79*(1+Сценарии!BD$26%),AT79)</f>
        <v>0</v>
      </c>
      <c r="AU85" s="912">
        <f>IF(AS85=0,0,(AT85-AS85)/AS85*100)</f>
        <v>0</v>
      </c>
      <c r="AV85" s="2421">
        <f>IF(plat_nds="да",AV79*(1+Сценарии!AK$26%),AV79)</f>
        <v>0</v>
      </c>
      <c r="AW85" s="2421">
        <f>IF(plat_nds="да",AW79*(1+Сценарии!BE$26%),AW79)</f>
        <v>0</v>
      </c>
      <c r="AX85" s="912">
        <f>IF(AV85=0,0,(AW85-AV85)/AV85*100)</f>
        <v>0</v>
      </c>
      <c r="AY85" s="2421">
        <f>IF(plat_nds="да",AY79*(1+Сценарии!AL$26%),AY79)</f>
        <v>0</v>
      </c>
      <c r="AZ85" s="2421">
        <f>IF(plat_nds="да",AZ79*(1+Сценарии!BF$26%),AZ79)</f>
        <v>0</v>
      </c>
      <c r="BA85" s="912">
        <f>IF(AY85=0,0,(AZ85-AY85)/AY85*100)</f>
        <v>0</v>
      </c>
      <c r="BB85" s="2421">
        <f>IF(plat_nds="да",BB79*(1+Сценарии!AM$26%),BB79)</f>
        <v>0</v>
      </c>
      <c r="BC85" s="2421">
        <f>IF(plat_nds="да",BC79*(1+Сценарии!BG$26%),BC79)</f>
        <v>0</v>
      </c>
      <c r="BD85" s="912">
        <f>IF(BB85=0,0,(BC85-BB85)/BB85*100)</f>
        <v>0</v>
      </c>
      <c r="BE85" s="2421">
        <f>IF(plat_nds="да",BE79*(1+Сценарии!AX$26%),BE79)</f>
        <v>0</v>
      </c>
      <c r="BF85" s="2421">
        <f>IF(plat_nds="да",BF79*(1+Сценарии!BR$26%),BF79)</f>
        <v>0</v>
      </c>
      <c r="BG85" s="912">
        <f>IF(BE85=0,0,(BF85-BE85)/BE85*100)</f>
        <v>0</v>
      </c>
      <c r="BH85" s="2421"/>
      <c r="BI85" s="2421"/>
      <c r="BJ85" s="912">
        <f>IF(BH85=0,0,(BI85-BH85)/BH85*100)</f>
        <v>0</v>
      </c>
      <c r="BK85" s="2421"/>
      <c r="BL85" s="2421"/>
      <c r="BM85" s="912">
        <f>IF(BK85=0,0,(BL85-BK85)/BK85*100)</f>
        <v>0</v>
      </c>
      <c r="BN85" s="2421"/>
      <c r="BO85" s="2421"/>
      <c r="BP85" s="912">
        <f>IF(BN85=0,0,(BO85-BN85)/BN85*100)</f>
        <v>0</v>
      </c>
      <c r="BQ85" s="2421"/>
      <c r="BR85" s="2421"/>
      <c r="BS85" s="912">
        <f>IF(BQ85=0,0,(BR85-BQ85)/BQ85*100)</f>
        <v>0</v>
      </c>
      <c r="BT85" s="2421"/>
      <c r="BU85" s="2421"/>
      <c r="BV85" s="912">
        <f>IF(BT85=0,0,(BU85-BT85)/BT85*100)</f>
        <v>0</v>
      </c>
      <c r="BW85" s="2421"/>
      <c r="BX85" s="2421"/>
      <c r="BY85" s="912">
        <f>IF(BW85=0,0,(BX85-BW85)/BW85*100)</f>
        <v>0</v>
      </c>
      <c r="BZ85" s="2421"/>
      <c r="CA85" s="2421"/>
      <c r="CB85" s="912">
        <f>IF(BZ85=0,0,(CA85-BZ85)/BZ85*100)</f>
        <v>0</v>
      </c>
      <c r="CC85" s="2421"/>
      <c r="CD85" s="2421"/>
      <c r="CE85" s="912">
        <f>IF(CC85=0,0,(CD85-CC85)/CC85*100)</f>
        <v>0</v>
      </c>
      <c r="CF85" s="2421"/>
      <c r="CG85" s="2421"/>
      <c r="CH85" s="912">
        <f>IF(CF85=0,0,(CG85-CF85)/CF85*100)</f>
        <v>0</v>
      </c>
      <c r="CI85" s="2421"/>
      <c r="CJ85" s="2421"/>
      <c r="CK85" s="912">
        <f>IF(CI85=0,0,(CJ85-CI85)/CI85*100)</f>
        <v>0</v>
      </c>
      <c r="CL85" s="2421"/>
      <c r="CM85" s="2421"/>
      <c r="CN85" s="912">
        <f>IF(CL85=0,0,(CM85-CL85)/CL85*100)</f>
        <v>0</v>
      </c>
      <c r="CO85" s="2421"/>
      <c r="CP85" s="2421"/>
      <c r="CQ85" s="912">
        <f>IF(CO85=0,0,(CP85-CO85)/CO85*100)</f>
        <v>0</v>
      </c>
      <c r="CR85" s="2421"/>
      <c r="CS85" s="2421"/>
      <c r="CT85" s="912">
        <f>IF(CR85=0,0,(CS85-CR85)/CR85*100)</f>
        <v>0</v>
      </c>
      <c r="CU85" s="2421"/>
      <c r="CV85" s="2421"/>
      <c r="CW85" s="912">
        <f>IF(CU85=0,0,(CV85-CU85)/CU85*100)</f>
        <v>0</v>
      </c>
      <c r="CX85" s="2421"/>
      <c r="CY85" s="2421"/>
      <c r="CZ85" s="912">
        <f>IF(CX85=0,0,(CY85-CX85)/CX85*100)</f>
        <v>0</v>
      </c>
      <c r="DA85" s="2421"/>
      <c r="DB85" s="2421"/>
      <c r="DC85" s="912">
        <f>IF(DA85=0,0,(DB85-DA85)/DA85*100)</f>
        <v>0</v>
      </c>
      <c r="DD85" s="2421"/>
      <c r="DE85" s="2421"/>
      <c r="DF85" s="912">
        <f>IF(DD85=0,0,(DE85-DD85)/DD85*100)</f>
        <v>0</v>
      </c>
      <c r="DG85" s="2421"/>
      <c r="DH85" s="2421"/>
      <c r="DI85" s="912">
        <f>IF(DG85=0,0,(DH85-DG85)/DG85*100)</f>
        <v>0</v>
      </c>
      <c r="DJ85" s="2421"/>
      <c r="DK85" s="2421"/>
      <c r="DL85" s="912">
        <f>IF(DJ85=0,0,(DK85-DJ85)/DJ85*100)</f>
        <v>0</v>
      </c>
      <c r="DM85" s="2421"/>
      <c r="DN85" s="2421"/>
      <c r="DO85" s="912">
        <f>IF(DM85=0,0,(DN85-DM85)/DM85*100)</f>
        <v>0</v>
      </c>
      <c r="DP85" s="2421"/>
      <c r="DQ85" s="2421"/>
      <c r="DR85" s="912">
        <f>IF(DP85=0,0,(DQ85-DP85)/DP85*100)</f>
        <v>0</v>
      </c>
      <c r="DS85" s="2421"/>
      <c r="DT85" s="2421"/>
      <c r="DU85" s="912">
        <f>IF(DS85=0,0,(DT85-DS85)/DS85*100)</f>
        <v>0</v>
      </c>
      <c r="DV85" s="2421"/>
      <c r="DW85" s="2421"/>
      <c r="DX85" s="912">
        <f>IF(DV85=0,0,(DW85-DV85)/DV85*100)</f>
        <v>0</v>
      </c>
      <c r="DY85" s="2421"/>
      <c r="DZ85" s="2421"/>
      <c r="EA85" s="912">
        <f>IF(DY85=0,0,(DZ85-DY85)/DY85*100)</f>
        <v>0</v>
      </c>
      <c r="EB85" s="2421"/>
      <c r="EC85" s="2421"/>
      <c r="ED85" s="912">
        <f>IF(EB85=0,0,(EC85-EB85)/EB85*100)</f>
        <v>0</v>
      </c>
      <c r="EE85" s="2421"/>
      <c r="EF85" s="2421"/>
      <c r="EG85" s="912">
        <f>IF(EE85=0,0,(EF85-EE85)/EE85*100)</f>
        <v>0</v>
      </c>
      <c r="EH85" s="2421"/>
      <c r="EI85" s="2421"/>
      <c r="EJ85" s="912">
        <f>IF(EH85=0,0,(EI85-EH85)/EH85*100)</f>
        <v>0</v>
      </c>
      <c r="EK85" s="2421"/>
      <c r="EL85" s="2421"/>
      <c r="EM85" s="912">
        <f>IF(EK85=0,0,(EL85-EK85)/EK85*100)</f>
        <v>0</v>
      </c>
      <c r="EN85" s="2421"/>
      <c r="EO85" s="2421"/>
      <c r="EP85" s="912">
        <f>IF(EN85=0,0,(EO85-EN85)/EN85*100)</f>
        <v>0</v>
      </c>
      <c r="EQ85" s="2421"/>
      <c r="ER85" s="2421"/>
      <c r="ES85" s="912">
        <f>IF(EQ85=0,0,(ER85-EQ85)/EQ85*100)</f>
        <v>0</v>
      </c>
      <c r="ET85" s="2421"/>
      <c r="EU85" s="2421"/>
      <c r="EV85" s="912">
        <f>IF(ET85=0,0,(EU85-ET85)/ET85*100)</f>
        <v>0</v>
      </c>
      <c r="EW85" s="2421"/>
      <c r="EX85" s="2421"/>
      <c r="EY85" s="912">
        <f>IF(EW85=0,0,(EX85-EW85)/EW85*100)</f>
        <v>0</v>
      </c>
      <c r="EZ85" s="2421"/>
      <c r="FA85" s="2421"/>
      <c r="FB85" s="912">
        <f>IF(EZ85=0,0,(FA85-EZ85)/EZ85*100)</f>
        <v>0</v>
      </c>
      <c r="FC85" s="2421"/>
      <c r="FD85" s="2421"/>
      <c r="FE85" s="912">
        <f>IF(FC85=0,0,(FD85-FC85)/FC85*100)</f>
        <v>0</v>
      </c>
      <c r="FF85" s="2421"/>
      <c r="FG85" s="2421"/>
      <c r="FH85" s="912">
        <f>IF(FF85=0,0,(FG85-FF85)/FF85*100)</f>
        <v>0</v>
      </c>
      <c r="FI85" s="2421"/>
      <c r="FJ85" s="2421"/>
      <c r="FK85" s="912">
        <f>IF(FI85=0,0,(FJ85-FI85)/FI85*100)</f>
        <v>0</v>
      </c>
      <c r="FL85" s="2421"/>
      <c r="FM85" s="2421"/>
      <c r="FN85" s="912">
        <f>IF(FL85=0,0,(FM85-FL85)/FL85*100)</f>
        <v>0</v>
      </c>
      <c r="FO85" s="2421"/>
      <c r="FP85" s="2421"/>
      <c r="FQ85" s="912">
        <f>IF(FO85=0,0,(FP85-FO85)/FO85*100)</f>
        <v>0</v>
      </c>
      <c r="FR85" s="2421"/>
      <c r="FS85" s="2421"/>
      <c r="FT85" s="912">
        <f>IF(FR85=0,0,(FS85-FR85)/FR85*100)</f>
        <v>0</v>
      </c>
      <c r="FU85" s="2421"/>
      <c r="FV85" s="2421"/>
      <c r="FW85" s="912">
        <f>IF(FU85=0,0,(FV85-FU85)/FU85*100)</f>
        <v>0</v>
      </c>
      <c r="FX85" s="972"/>
      <c r="FY85" s="972"/>
      <c r="FZ85" s="489" t="s">
        <v>2468</v>
      </c>
      <c r="GA85" s="489"/>
      <c r="GB85" s="489"/>
      <c r="GC85" s="489"/>
      <c r="GD85" s="489"/>
      <c r="GE85" s="972"/>
      <c r="GF85" s="1501" cm="1" t="str">
        <f t="array" ref="GF85:GF85">GF84</f>
        <v>ТЭ.42.31656254.0001</v>
      </c>
      <c r="GG85" s="1501" t="s">
        <v>704</v>
      </c>
      <c r="GH85" s="1501" t="s">
        <v>2469</v>
      </c>
      <c r="GI85" s="1501" t="s">
        <v>796</v>
      </c>
      <c r="GJ85" s="1501" t="s">
        <v>2084</v>
      </c>
      <c r="GK85" s="1501"/>
      <c r="GL85" s="1501" t="s">
        <v>303</v>
      </c>
      <c r="GM85" s="1501" t="s">
        <v>2470</v>
      </c>
      <c r="GN85" s="1501" t="s">
        <v>2471</v>
      </c>
    </row>
    <row s="972" customFormat="1" customHeight="1" ht="16.5">
      <c r="A86" s="972"/>
      <c r="B86" s="192" cm="1" t="str">
        <f t="array" ref="B86:B86">B85</f>
        <v>true</v>
      </c>
      <c r="C86" s="972"/>
      <c r="D86" s="972"/>
      <c r="E86" s="180">
        <v>17</v>
      </c>
      <c r="F86" s="175" cm="1" t="str">
        <f t="array" ref="F86:F86">OFFSET(G86,-1,-1)</f>
        <v>1</v>
      </c>
      <c r="G86" s="972"/>
      <c r="H86" s="972"/>
      <c r="I86" s="193" t="s">
        <v>2472</v>
      </c>
      <c r="J86" s="972"/>
      <c r="K86" s="972"/>
      <c r="L86" s="972"/>
      <c r="M86" s="972"/>
      <c r="N86" s="972"/>
      <c r="O86" s="972"/>
      <c r="P86" s="972"/>
      <c r="Q86" s="972"/>
      <c r="R86" s="972"/>
      <c r="S86" s="972"/>
      <c r="T86" s="753" cm="1" t="str">
        <f t="array" ref="T86:T86">T85</f>
        <v>true</v>
      </c>
      <c r="U86" s="972"/>
      <c r="V86" s="972"/>
      <c r="W86" s="972"/>
      <c r="X86" s="972"/>
      <c r="Y86" s="972"/>
      <c r="Z86" s="972"/>
      <c r="AA86" s="972"/>
      <c r="AB86" s="909" t="s">
        <v>2473</v>
      </c>
      <c r="AC86" s="910" t="s">
        <v>1005</v>
      </c>
      <c r="AD86" s="2421">
        <f>IF(plat_nds="да",AD80*(1+Сценарии!AE$26%),AD80)</f>
        <v>4836.00794596876</v>
      </c>
      <c r="AE86" s="2421">
        <f>IF(plat_nds="да",AE80*(1+Сценарии!AY$26%),AE80)-0.01</f>
        <v>2945.53628646705</v>
      </c>
      <c r="AF86" s="912">
        <f>IF(AD86=0,0,(AE86-AD86)/AD86*100)</f>
        <v>-39.0915747166542</v>
      </c>
      <c r="AG86" s="2421">
        <f>IF(plat_nds="да",AG80*(1+Сценарии!AF$26%),AG80)</f>
        <v>0</v>
      </c>
      <c r="AH86" s="2421">
        <f>IF(plat_nds="да",AH80*(1+Сценарии!AZ$26%),AH80)</f>
        <v>0</v>
      </c>
      <c r="AI86" s="912">
        <f>IF(AG86=0,0,(AH86-AG86)/AG86*100)</f>
        <v>0</v>
      </c>
      <c r="AJ86" s="2421">
        <f>IF(plat_nds="да",AJ80*(1+Сценарии!AG$26%),AJ80)</f>
        <v>0</v>
      </c>
      <c r="AK86" s="2421">
        <f>IF(plat_nds="да",AK80*(1+Сценарии!BA$26%),AK80)</f>
        <v>0</v>
      </c>
      <c r="AL86" s="912">
        <f>IF(AJ86=0,0,(AK86-AJ86)/AJ86*100)</f>
        <v>0</v>
      </c>
      <c r="AM86" s="2421">
        <f>IF(plat_nds="да",AM80*(1+Сценарии!AH$26%),AM80)</f>
        <v>0</v>
      </c>
      <c r="AN86" s="2421">
        <f>IF(plat_nds="да",AN80*(1+Сценарии!BB$26%),AN80)</f>
        <v>0</v>
      </c>
      <c r="AO86" s="912">
        <f>IF(AM86=0,0,(AN86-AM86)/AM86*100)</f>
        <v>0</v>
      </c>
      <c r="AP86" s="2421">
        <f>IF(plat_nds="да",AP80*(1+Сценарии!AI$26%),AP80)</f>
        <v>0</v>
      </c>
      <c r="AQ86" s="2421">
        <f>IF(plat_nds="да",AQ80*(1+Сценарии!BC$26%),AQ80)</f>
        <v>0</v>
      </c>
      <c r="AR86" s="912">
        <f>IF(AP86=0,0,(AQ86-AP86)/AP86*100)</f>
        <v>0</v>
      </c>
      <c r="AS86" s="2421">
        <f>IF(plat_nds="да",AS80*(1+Сценарии!AJ$26%),AS80)</f>
        <v>0</v>
      </c>
      <c r="AT86" s="2421">
        <f>IF(plat_nds="да",AT80*(1+Сценарии!BD$26%),AT80)</f>
        <v>0</v>
      </c>
      <c r="AU86" s="912">
        <f>IF(AS86=0,0,(AT86-AS86)/AS86*100)</f>
        <v>0</v>
      </c>
      <c r="AV86" s="2421">
        <f>IF(plat_nds="да",AV80*(1+Сценарии!AK$26%),AV80)</f>
        <v>0</v>
      </c>
      <c r="AW86" s="2421">
        <f>IF(plat_nds="да",AW80*(1+Сценарии!BE$26%),AW80)</f>
        <v>0</v>
      </c>
      <c r="AX86" s="912">
        <f>IF(AV86=0,0,(AW86-AV86)/AV86*100)</f>
        <v>0</v>
      </c>
      <c r="AY86" s="2421">
        <f>IF(plat_nds="да",AY80*(1+Сценарии!AL$26%),AY80)</f>
        <v>0</v>
      </c>
      <c r="AZ86" s="2421">
        <f>IF(plat_nds="да",AZ80*(1+Сценарии!BF$26%),AZ80)</f>
        <v>0</v>
      </c>
      <c r="BA86" s="912">
        <f>IF(AY86=0,0,(AZ86-AY86)/AY86*100)</f>
        <v>0</v>
      </c>
      <c r="BB86" s="2421">
        <f>IF(plat_nds="да",BB80*(1+Сценарии!AM$26%),BB80)</f>
        <v>0</v>
      </c>
      <c r="BC86" s="2421">
        <f>IF(plat_nds="да",BC80*(1+Сценарии!BG$26%),BC80)</f>
        <v>0</v>
      </c>
      <c r="BD86" s="912">
        <f>IF(BB86=0,0,(BC86-BB86)/BB86*100)</f>
        <v>0</v>
      </c>
      <c r="BE86" s="2421">
        <f>IF(plat_nds="да",BE80*(1+Сценарии!AX$26%),BE80)</f>
        <v>0</v>
      </c>
      <c r="BF86" s="2421">
        <f>IF(plat_nds="да",BF80*(1+Сценарии!BR$26%),BF80)</f>
        <v>0</v>
      </c>
      <c r="BG86" s="912">
        <f>IF(BE86=0,0,(BF86-BE86)/BE86*100)</f>
        <v>0</v>
      </c>
      <c r="BH86" s="2421"/>
      <c r="BI86" s="2421"/>
      <c r="BJ86" s="912">
        <f>IF(BH86=0,0,(BI86-BH86)/BH86*100)</f>
        <v>0</v>
      </c>
      <c r="BK86" s="2421"/>
      <c r="BL86" s="2421"/>
      <c r="BM86" s="912">
        <f>IF(BK86=0,0,(BL86-BK86)/BK86*100)</f>
        <v>0</v>
      </c>
      <c r="BN86" s="2421"/>
      <c r="BO86" s="2421"/>
      <c r="BP86" s="912">
        <f>IF(BN86=0,0,(BO86-BN86)/BN86*100)</f>
        <v>0</v>
      </c>
      <c r="BQ86" s="2421"/>
      <c r="BR86" s="2421"/>
      <c r="BS86" s="912">
        <f>IF(BQ86=0,0,(BR86-BQ86)/BQ86*100)</f>
        <v>0</v>
      </c>
      <c r="BT86" s="2421"/>
      <c r="BU86" s="2421"/>
      <c r="BV86" s="912">
        <f>IF(BT86=0,0,(BU86-BT86)/BT86*100)</f>
        <v>0</v>
      </c>
      <c r="BW86" s="2421"/>
      <c r="BX86" s="2421"/>
      <c r="BY86" s="912">
        <f>IF(BW86=0,0,(BX86-BW86)/BW86*100)</f>
        <v>0</v>
      </c>
      <c r="BZ86" s="2421"/>
      <c r="CA86" s="2421"/>
      <c r="CB86" s="912">
        <f>IF(BZ86=0,0,(CA86-BZ86)/BZ86*100)</f>
        <v>0</v>
      </c>
      <c r="CC86" s="2421"/>
      <c r="CD86" s="2421"/>
      <c r="CE86" s="912">
        <f>IF(CC86=0,0,(CD86-CC86)/CC86*100)</f>
        <v>0</v>
      </c>
      <c r="CF86" s="2421"/>
      <c r="CG86" s="2421"/>
      <c r="CH86" s="912">
        <f>IF(CF86=0,0,(CG86-CF86)/CF86*100)</f>
        <v>0</v>
      </c>
      <c r="CI86" s="2421"/>
      <c r="CJ86" s="2421"/>
      <c r="CK86" s="912">
        <f>IF(CI86=0,0,(CJ86-CI86)/CI86*100)</f>
        <v>0</v>
      </c>
      <c r="CL86" s="2421"/>
      <c r="CM86" s="2421"/>
      <c r="CN86" s="912">
        <f>IF(CL86=0,0,(CM86-CL86)/CL86*100)</f>
        <v>0</v>
      </c>
      <c r="CO86" s="2421"/>
      <c r="CP86" s="2421"/>
      <c r="CQ86" s="912">
        <f>IF(CO86=0,0,(CP86-CO86)/CO86*100)</f>
        <v>0</v>
      </c>
      <c r="CR86" s="2421"/>
      <c r="CS86" s="2421"/>
      <c r="CT86" s="912">
        <f>IF(CR86=0,0,(CS86-CR86)/CR86*100)</f>
        <v>0</v>
      </c>
      <c r="CU86" s="2421"/>
      <c r="CV86" s="2421"/>
      <c r="CW86" s="912">
        <f>IF(CU86=0,0,(CV86-CU86)/CU86*100)</f>
        <v>0</v>
      </c>
      <c r="CX86" s="2421"/>
      <c r="CY86" s="2421"/>
      <c r="CZ86" s="912">
        <f>IF(CX86=0,0,(CY86-CX86)/CX86*100)</f>
        <v>0</v>
      </c>
      <c r="DA86" s="2421"/>
      <c r="DB86" s="2421"/>
      <c r="DC86" s="912">
        <f>IF(DA86=0,0,(DB86-DA86)/DA86*100)</f>
        <v>0</v>
      </c>
      <c r="DD86" s="2421"/>
      <c r="DE86" s="2421"/>
      <c r="DF86" s="912">
        <f>IF(DD86=0,0,(DE86-DD86)/DD86*100)</f>
        <v>0</v>
      </c>
      <c r="DG86" s="2421"/>
      <c r="DH86" s="2421"/>
      <c r="DI86" s="912">
        <f>IF(DG86=0,0,(DH86-DG86)/DG86*100)</f>
        <v>0</v>
      </c>
      <c r="DJ86" s="2421"/>
      <c r="DK86" s="2421"/>
      <c r="DL86" s="912">
        <f>IF(DJ86=0,0,(DK86-DJ86)/DJ86*100)</f>
        <v>0</v>
      </c>
      <c r="DM86" s="2421"/>
      <c r="DN86" s="2421"/>
      <c r="DO86" s="912">
        <f>IF(DM86=0,0,(DN86-DM86)/DM86*100)</f>
        <v>0</v>
      </c>
      <c r="DP86" s="2421"/>
      <c r="DQ86" s="2421"/>
      <c r="DR86" s="912">
        <f>IF(DP86=0,0,(DQ86-DP86)/DP86*100)</f>
        <v>0</v>
      </c>
      <c r="DS86" s="2421"/>
      <c r="DT86" s="2421"/>
      <c r="DU86" s="912">
        <f>IF(DS86=0,0,(DT86-DS86)/DS86*100)</f>
        <v>0</v>
      </c>
      <c r="DV86" s="2421"/>
      <c r="DW86" s="2421"/>
      <c r="DX86" s="912">
        <f>IF(DV86=0,0,(DW86-DV86)/DV86*100)</f>
        <v>0</v>
      </c>
      <c r="DY86" s="2421"/>
      <c r="DZ86" s="2421"/>
      <c r="EA86" s="912">
        <f>IF(DY86=0,0,(DZ86-DY86)/DY86*100)</f>
        <v>0</v>
      </c>
      <c r="EB86" s="2421"/>
      <c r="EC86" s="2421"/>
      <c r="ED86" s="912">
        <f>IF(EB86=0,0,(EC86-EB86)/EB86*100)</f>
        <v>0</v>
      </c>
      <c r="EE86" s="2421"/>
      <c r="EF86" s="2421"/>
      <c r="EG86" s="912">
        <f>IF(EE86=0,0,(EF86-EE86)/EE86*100)</f>
        <v>0</v>
      </c>
      <c r="EH86" s="2421"/>
      <c r="EI86" s="2421"/>
      <c r="EJ86" s="912">
        <f>IF(EH86=0,0,(EI86-EH86)/EH86*100)</f>
        <v>0</v>
      </c>
      <c r="EK86" s="2421"/>
      <c r="EL86" s="2421"/>
      <c r="EM86" s="912">
        <f>IF(EK86=0,0,(EL86-EK86)/EK86*100)</f>
        <v>0</v>
      </c>
      <c r="EN86" s="2421"/>
      <c r="EO86" s="2421"/>
      <c r="EP86" s="912">
        <f>IF(EN86=0,0,(EO86-EN86)/EN86*100)</f>
        <v>0</v>
      </c>
      <c r="EQ86" s="2421"/>
      <c r="ER86" s="2421"/>
      <c r="ES86" s="912">
        <f>IF(EQ86=0,0,(ER86-EQ86)/EQ86*100)</f>
        <v>0</v>
      </c>
      <c r="ET86" s="2421"/>
      <c r="EU86" s="2421"/>
      <c r="EV86" s="912">
        <f>IF(ET86=0,0,(EU86-ET86)/ET86*100)</f>
        <v>0</v>
      </c>
      <c r="EW86" s="2421"/>
      <c r="EX86" s="2421"/>
      <c r="EY86" s="912">
        <f>IF(EW86=0,0,(EX86-EW86)/EW86*100)</f>
        <v>0</v>
      </c>
      <c r="EZ86" s="2421"/>
      <c r="FA86" s="2421"/>
      <c r="FB86" s="912">
        <f>IF(EZ86=0,0,(FA86-EZ86)/EZ86*100)</f>
        <v>0</v>
      </c>
      <c r="FC86" s="2421"/>
      <c r="FD86" s="2421"/>
      <c r="FE86" s="912">
        <f>IF(FC86=0,0,(FD86-FC86)/FC86*100)</f>
        <v>0</v>
      </c>
      <c r="FF86" s="2421"/>
      <c r="FG86" s="2421"/>
      <c r="FH86" s="912">
        <f>IF(FF86=0,0,(FG86-FF86)/FF86*100)</f>
        <v>0</v>
      </c>
      <c r="FI86" s="2421"/>
      <c r="FJ86" s="2421"/>
      <c r="FK86" s="912">
        <f>IF(FI86=0,0,(FJ86-FI86)/FI86*100)</f>
        <v>0</v>
      </c>
      <c r="FL86" s="2421"/>
      <c r="FM86" s="2421"/>
      <c r="FN86" s="912">
        <f>IF(FL86=0,0,(FM86-FL86)/FL86*100)</f>
        <v>0</v>
      </c>
      <c r="FO86" s="2421"/>
      <c r="FP86" s="2421"/>
      <c r="FQ86" s="912">
        <f>IF(FO86=0,0,(FP86-FO86)/FO86*100)</f>
        <v>0</v>
      </c>
      <c r="FR86" s="2421"/>
      <c r="FS86" s="2421"/>
      <c r="FT86" s="912">
        <f>IF(FR86=0,0,(FS86-FR86)/FR86*100)</f>
        <v>0</v>
      </c>
      <c r="FU86" s="2421"/>
      <c r="FV86" s="2421"/>
      <c r="FW86" s="912">
        <f>IF(FU86=0,0,(FV86-FU86)/FU86*100)</f>
        <v>0</v>
      </c>
      <c r="FX86" s="972"/>
      <c r="FY86" s="972"/>
      <c r="FZ86" s="489" t="s">
        <v>2474</v>
      </c>
      <c r="GA86" s="489"/>
      <c r="GB86" s="489"/>
      <c r="GC86" s="489"/>
      <c r="GD86" s="489"/>
      <c r="GE86" s="972"/>
      <c r="GF86" s="1501" cm="1" t="str">
        <f t="array" ref="GF86:GF86">GF85</f>
        <v>ТЭ.42.31656254.0001</v>
      </c>
      <c r="GG86" s="1501" t="s">
        <v>704</v>
      </c>
      <c r="GH86" s="1501" t="s">
        <v>2469</v>
      </c>
      <c r="GI86" s="1501" t="s">
        <v>797</v>
      </c>
      <c r="GJ86" s="1501"/>
      <c r="GK86" s="1501"/>
      <c r="GL86" s="1501" t="s">
        <v>303</v>
      </c>
      <c r="GM86" s="1501" t="s">
        <v>2470</v>
      </c>
      <c r="GN86" s="1501" t="s">
        <v>2471</v>
      </c>
    </row>
    <row s="1751" customFormat="1" customHeight="1" ht="16.5">
      <c r="A87" s="371"/>
      <c r="B87" s="192" cm="1" t="str">
        <f t="array" ref="B87:B87">B86</f>
        <v>true</v>
      </c>
      <c r="C87" s="1659"/>
      <c r="D87" s="1659"/>
      <c r="E87" s="180">
        <v>17</v>
      </c>
      <c r="F87" s="175" cm="1" t="str">
        <f t="array" ref="F87:F87">OFFSET(G87,-1,-1)</f>
        <v>1</v>
      </c>
      <c r="G87" s="1659"/>
      <c r="H87" s="1659"/>
      <c r="I87" s="193" t="s">
        <v>2475</v>
      </c>
      <c r="J87" s="1659"/>
      <c r="K87" s="1659"/>
      <c r="L87" s="1659"/>
      <c r="M87" s="1659"/>
      <c r="N87" s="1659"/>
      <c r="O87" s="1659"/>
      <c r="P87" s="1659"/>
      <c r="Q87" s="1659"/>
      <c r="R87" s="1659"/>
      <c r="S87" s="1659"/>
      <c r="T87" s="753" cm="1" t="str">
        <f t="array" ref="T87:T87">T86</f>
        <v>true</v>
      </c>
      <c r="U87" s="1548"/>
      <c r="V87" s="1548"/>
      <c r="W87" s="1548"/>
      <c r="X87" s="1548"/>
      <c r="Y87" s="1548"/>
      <c r="Z87" s="1548"/>
      <c r="AA87" s="286"/>
      <c r="AB87" s="913" t="s">
        <v>2459</v>
      </c>
      <c r="AC87" s="380" t="s">
        <v>495</v>
      </c>
      <c r="AD87" s="461">
        <f>IF(AD85=0,0,AD86/AD85)</f>
        <v>1.7848112904588</v>
      </c>
      <c r="AE87" s="461">
        <f>IF(AE85=0,0,AE86/AE85)</f>
        <v>1.08710045129782</v>
      </c>
      <c r="AF87" s="917"/>
      <c r="AG87" s="461">
        <f>IF(AG85=0,0,AG86/AG85)</f>
        <v>0</v>
      </c>
      <c r="AH87" s="461">
        <f>IF(AH85=0,0,AH86/AH85)</f>
        <v>0</v>
      </c>
      <c r="AI87" s="917"/>
      <c r="AJ87" s="461">
        <f>IF(AJ85=0,0,AJ86/AJ85)</f>
        <v>0</v>
      </c>
      <c r="AK87" s="461">
        <f>IF(AK85=0,0,AK86/AK85)</f>
        <v>0</v>
      </c>
      <c r="AL87" s="917"/>
      <c r="AM87" s="461">
        <f>IF(AM85=0,0,AM86/AM85)</f>
        <v>0</v>
      </c>
      <c r="AN87" s="461">
        <f>IF(AN85=0,0,AN86/AN85)</f>
        <v>0</v>
      </c>
      <c r="AO87" s="917"/>
      <c r="AP87" s="461">
        <f>IF(AP85=0,0,AP86/AP85)</f>
        <v>0</v>
      </c>
      <c r="AQ87" s="461">
        <f>IF(AQ85=0,0,AQ86/AQ85)</f>
        <v>0</v>
      </c>
      <c r="AR87" s="917"/>
      <c r="AS87" s="461">
        <f>IF(AS85=0,0,AS86/AS85)</f>
        <v>0</v>
      </c>
      <c r="AT87" s="461">
        <f>IF(AT85=0,0,AT86/AT85)</f>
        <v>0</v>
      </c>
      <c r="AU87" s="917"/>
      <c r="AV87" s="461">
        <f>IF(AV85=0,0,AV86/AV85)</f>
        <v>0</v>
      </c>
      <c r="AW87" s="461">
        <f>IF(AW85=0,0,AW86/AW85)</f>
        <v>0</v>
      </c>
      <c r="AX87" s="917"/>
      <c r="AY87" s="461">
        <f>IF(AY85=0,0,AY86/AY85)</f>
        <v>0</v>
      </c>
      <c r="AZ87" s="461">
        <f>IF(AZ85=0,0,AZ86/AZ85)</f>
        <v>0</v>
      </c>
      <c r="BA87" s="917"/>
      <c r="BB87" s="461">
        <f>IF(BB85=0,0,BB86/BB85)</f>
        <v>0</v>
      </c>
      <c r="BC87" s="461">
        <f>IF(BC85=0,0,BC86/BC85)</f>
        <v>0</v>
      </c>
      <c r="BD87" s="917"/>
      <c r="BE87" s="461">
        <f>IF(BE85=0,0,BE86/BE85)</f>
        <v>0</v>
      </c>
      <c r="BF87" s="461">
        <f>IF(BF85=0,0,BF86/BF85)</f>
        <v>0</v>
      </c>
      <c r="BG87" s="917"/>
      <c r="BH87" s="461">
        <f>IF(BH85=0,0,BH86/BH85)</f>
        <v>0</v>
      </c>
      <c r="BI87" s="461">
        <f>IF(BI85=0,0,BI86/BI85)</f>
        <v>0</v>
      </c>
      <c r="BJ87" s="915"/>
      <c r="BK87" s="461">
        <f>IF(BK85=0,0,BK86/BK85)</f>
        <v>0</v>
      </c>
      <c r="BL87" s="461">
        <f>IF(BL85=0,0,BL86/BL85)</f>
        <v>0</v>
      </c>
      <c r="BM87" s="915"/>
      <c r="BN87" s="461">
        <f>IF(BN85=0,0,BN86/BN85)</f>
        <v>0</v>
      </c>
      <c r="BO87" s="461">
        <f>IF(BO85=0,0,BO86/BO85)</f>
        <v>0</v>
      </c>
      <c r="BP87" s="915"/>
      <c r="BQ87" s="461">
        <f>IF(BQ85=0,0,BQ86/BQ85)</f>
        <v>0</v>
      </c>
      <c r="BR87" s="461">
        <f>IF(BR85=0,0,BR86/BR85)</f>
        <v>0</v>
      </c>
      <c r="BS87" s="915"/>
      <c r="BT87" s="461">
        <f>IF(BT85=0,0,BT86/BT85)</f>
        <v>0</v>
      </c>
      <c r="BU87" s="461">
        <f>IF(BU85=0,0,BU86/BU85)</f>
        <v>0</v>
      </c>
      <c r="BV87" s="915"/>
      <c r="BW87" s="461">
        <f>IF(BW85=0,0,BW86/BW85)</f>
        <v>0</v>
      </c>
      <c r="BX87" s="461">
        <f>IF(BX85=0,0,BX86/BX85)</f>
        <v>0</v>
      </c>
      <c r="BY87" s="915"/>
      <c r="BZ87" s="461">
        <f>IF(BZ85=0,0,BZ86/BZ85)</f>
        <v>0</v>
      </c>
      <c r="CA87" s="461">
        <f>IF(CA85=0,0,CA86/CA85)</f>
        <v>0</v>
      </c>
      <c r="CB87" s="915"/>
      <c r="CC87" s="461">
        <f>IF(CC85=0,0,CC86/CC85)</f>
        <v>0</v>
      </c>
      <c r="CD87" s="461">
        <f>IF(CD85=0,0,CD86/CD85)</f>
        <v>0</v>
      </c>
      <c r="CE87" s="915"/>
      <c r="CF87" s="461">
        <f>IF(CF85=0,0,CF86/CF85)</f>
        <v>0</v>
      </c>
      <c r="CG87" s="461">
        <f>IF(CG85=0,0,CG86/CG85)</f>
        <v>0</v>
      </c>
      <c r="CH87" s="915"/>
      <c r="CI87" s="461">
        <f>IF(CI85=0,0,CI86/CI85)</f>
        <v>0</v>
      </c>
      <c r="CJ87" s="461">
        <f>IF(CJ85=0,0,CJ86/CJ85)</f>
        <v>0</v>
      </c>
      <c r="CK87" s="915"/>
      <c r="CL87" s="461">
        <f>IF(CL85=0,0,CL86/CL85)</f>
        <v>0</v>
      </c>
      <c r="CM87" s="461">
        <f>IF(CM85=0,0,CM86/CM85)</f>
        <v>0</v>
      </c>
      <c r="CN87" s="915"/>
      <c r="CO87" s="461">
        <f>IF(CO85=0,0,CO86/CO85)</f>
        <v>0</v>
      </c>
      <c r="CP87" s="461">
        <f>IF(CP85=0,0,CP86/CP85)</f>
        <v>0</v>
      </c>
      <c r="CQ87" s="915"/>
      <c r="CR87" s="461">
        <f>IF(CR85=0,0,CR86/CR85)</f>
        <v>0</v>
      </c>
      <c r="CS87" s="461">
        <f>IF(CS85=0,0,CS86/CS85)</f>
        <v>0</v>
      </c>
      <c r="CT87" s="915"/>
      <c r="CU87" s="461">
        <f>IF(CU85=0,0,CU86/CU85)</f>
        <v>0</v>
      </c>
      <c r="CV87" s="461">
        <f>IF(CV85=0,0,CV86/CV85)</f>
        <v>0</v>
      </c>
      <c r="CW87" s="915"/>
      <c r="CX87" s="461">
        <f>IF(CX85=0,0,CX86/CX85)</f>
        <v>0</v>
      </c>
      <c r="CY87" s="461">
        <f>IF(CY85=0,0,CY86/CY85)</f>
        <v>0</v>
      </c>
      <c r="CZ87" s="915"/>
      <c r="DA87" s="461">
        <f>IF(DA85=0,0,DA86/DA85)</f>
        <v>0</v>
      </c>
      <c r="DB87" s="461">
        <f>IF(DB85=0,0,DB86/DB85)</f>
        <v>0</v>
      </c>
      <c r="DC87" s="915"/>
      <c r="DD87" s="461">
        <f>IF(DD85=0,0,DD86/DD85)</f>
        <v>0</v>
      </c>
      <c r="DE87" s="461">
        <f>IF(DE85=0,0,DE86/DE85)</f>
        <v>0</v>
      </c>
      <c r="DF87" s="915"/>
      <c r="DG87" s="461">
        <f>IF(DG85=0,0,DG86/DG85)</f>
        <v>0</v>
      </c>
      <c r="DH87" s="461">
        <f>IF(DH85=0,0,DH86/DH85)</f>
        <v>0</v>
      </c>
      <c r="DI87" s="915"/>
      <c r="DJ87" s="461">
        <f>IF(DJ85=0,0,DJ86/DJ85)</f>
        <v>0</v>
      </c>
      <c r="DK87" s="461">
        <f>IF(DK85=0,0,DK86/DK85)</f>
        <v>0</v>
      </c>
      <c r="DL87" s="915"/>
      <c r="DM87" s="461">
        <f>IF(DM85=0,0,DM86/DM85)</f>
        <v>0</v>
      </c>
      <c r="DN87" s="461">
        <f>IF(DN85=0,0,DN86/DN85)</f>
        <v>0</v>
      </c>
      <c r="DO87" s="915"/>
      <c r="DP87" s="461">
        <f>IF(DP85=0,0,DP86/DP85)</f>
        <v>0</v>
      </c>
      <c r="DQ87" s="461">
        <f>IF(DQ85=0,0,DQ86/DQ85)</f>
        <v>0</v>
      </c>
      <c r="DR87" s="915"/>
      <c r="DS87" s="461">
        <f>IF(DS85=0,0,DS86/DS85)</f>
        <v>0</v>
      </c>
      <c r="DT87" s="461">
        <f>IF(DT85=0,0,DT86/DT85)</f>
        <v>0</v>
      </c>
      <c r="DU87" s="915"/>
      <c r="DV87" s="461">
        <f>IF(DV85=0,0,DV86/DV85)</f>
        <v>0</v>
      </c>
      <c r="DW87" s="461">
        <f>IF(DW85=0,0,DW86/DW85)</f>
        <v>0</v>
      </c>
      <c r="DX87" s="915"/>
      <c r="DY87" s="461">
        <f>IF(DY85=0,0,DY86/DY85)</f>
        <v>0</v>
      </c>
      <c r="DZ87" s="461">
        <f>IF(DZ85=0,0,DZ86/DZ85)</f>
        <v>0</v>
      </c>
      <c r="EA87" s="915"/>
      <c r="EB87" s="461">
        <f>IF(EB85=0,0,EB86/EB85)</f>
        <v>0</v>
      </c>
      <c r="EC87" s="461">
        <f>IF(EC85=0,0,EC86/EC85)</f>
        <v>0</v>
      </c>
      <c r="ED87" s="915"/>
      <c r="EE87" s="461">
        <f>IF(EE85=0,0,EE86/EE85)</f>
        <v>0</v>
      </c>
      <c r="EF87" s="461">
        <f>IF(EF85=0,0,EF86/EF85)</f>
        <v>0</v>
      </c>
      <c r="EG87" s="915"/>
      <c r="EH87" s="461">
        <f>IF(EH85=0,0,EH86/EH85)</f>
        <v>0</v>
      </c>
      <c r="EI87" s="461">
        <f>IF(EI85=0,0,EI86/EI85)</f>
        <v>0</v>
      </c>
      <c r="EJ87" s="915"/>
      <c r="EK87" s="461">
        <f>IF(EK85=0,0,EK86/EK85)</f>
        <v>0</v>
      </c>
      <c r="EL87" s="461">
        <f>IF(EL85=0,0,EL86/EL85)</f>
        <v>0</v>
      </c>
      <c r="EM87" s="915"/>
      <c r="EN87" s="461">
        <f>IF(EN85=0,0,EN86/EN85)</f>
        <v>0</v>
      </c>
      <c r="EO87" s="461">
        <f>IF(EO85=0,0,EO86/EO85)</f>
        <v>0</v>
      </c>
      <c r="EP87" s="915"/>
      <c r="EQ87" s="461">
        <f>IF(EQ85=0,0,EQ86/EQ85)</f>
        <v>0</v>
      </c>
      <c r="ER87" s="461">
        <f>IF(ER85=0,0,ER86/ER85)</f>
        <v>0</v>
      </c>
      <c r="ES87" s="915"/>
      <c r="ET87" s="461">
        <f>IF(ET85=0,0,ET86/ET85)</f>
        <v>0</v>
      </c>
      <c r="EU87" s="461">
        <f>IF(EU85=0,0,EU86/EU85)</f>
        <v>0</v>
      </c>
      <c r="EV87" s="915"/>
      <c r="EW87" s="461">
        <f>IF(EW85=0,0,EW86/EW85)</f>
        <v>0</v>
      </c>
      <c r="EX87" s="461">
        <f>IF(EX85=0,0,EX86/EX85)</f>
        <v>0</v>
      </c>
      <c r="EY87" s="915"/>
      <c r="EZ87" s="461">
        <f>IF(EZ85=0,0,EZ86/EZ85)</f>
        <v>0</v>
      </c>
      <c r="FA87" s="461">
        <f>IF(FA85=0,0,FA86/FA85)</f>
        <v>0</v>
      </c>
      <c r="FB87" s="915"/>
      <c r="FC87" s="461">
        <f>IF(FC85=0,0,FC86/FC85)</f>
        <v>0</v>
      </c>
      <c r="FD87" s="461">
        <f>IF(FD85=0,0,FD86/FD85)</f>
        <v>0</v>
      </c>
      <c r="FE87" s="915"/>
      <c r="FF87" s="461">
        <f>IF(FF85=0,0,FF86/FF85)</f>
        <v>0</v>
      </c>
      <c r="FG87" s="461">
        <f>IF(FG85=0,0,FG86/FG85)</f>
        <v>0</v>
      </c>
      <c r="FH87" s="915"/>
      <c r="FI87" s="461">
        <f>IF(FI85=0,0,FI86/FI85)</f>
        <v>0</v>
      </c>
      <c r="FJ87" s="461">
        <f>IF(FJ85=0,0,FJ86/FJ85)</f>
        <v>0</v>
      </c>
      <c r="FK87" s="915"/>
      <c r="FL87" s="461">
        <f>IF(FL85=0,0,FL86/FL85)</f>
        <v>0</v>
      </c>
      <c r="FM87" s="461">
        <f>IF(FM85=0,0,FM86/FM85)</f>
        <v>0</v>
      </c>
      <c r="FN87" s="915"/>
      <c r="FO87" s="461">
        <f>IF(FO85=0,0,FO86/FO85)</f>
        <v>0</v>
      </c>
      <c r="FP87" s="461">
        <f>IF(FP85=0,0,FP86/FP85)</f>
        <v>0</v>
      </c>
      <c r="FQ87" s="915"/>
      <c r="FR87" s="461">
        <f>IF(FR85=0,0,FR86/FR85)</f>
        <v>0</v>
      </c>
      <c r="FS87" s="461">
        <f>IF(FS85=0,0,FS86/FS85)</f>
        <v>0</v>
      </c>
      <c r="FT87" s="915"/>
      <c r="FU87" s="461">
        <f>IF(FU85=0,0,FU86/FU85)</f>
        <v>0</v>
      </c>
      <c r="FV87" s="461">
        <f>IF(FV85=0,0,FV86/FV85)</f>
        <v>0</v>
      </c>
      <c r="FW87" s="915"/>
      <c r="FX87" s="286"/>
      <c r="FY87" s="1659"/>
      <c r="FZ87" s="489" t="s">
        <v>2476</v>
      </c>
      <c r="GA87" s="489"/>
      <c r="GB87" s="489"/>
      <c r="GC87" s="489"/>
      <c r="GD87" s="489"/>
      <c r="GE87" s="1506"/>
      <c r="GF87" s="1501" cm="1" t="str">
        <f t="array" ref="GF87:GF87">GF86</f>
        <v>ТЭ.42.31656254.0001</v>
      </c>
      <c r="GG87" s="1501" t="s">
        <v>704</v>
      </c>
      <c r="GH87" s="1501"/>
      <c r="GI87" s="1501" t="s">
        <v>797</v>
      </c>
      <c r="GJ87" s="1501"/>
      <c r="GK87" s="1501"/>
      <c r="GL87" s="1501" t="s">
        <v>303</v>
      </c>
      <c r="GM87" s="1501" t="s">
        <v>931</v>
      </c>
      <c r="GN87" s="1501" t="s">
        <v>932</v>
      </c>
    </row>
    <row s="1751" customFormat="1" customHeight="1" ht="16.5">
      <c r="A88" s="371"/>
      <c r="B88" s="192" cm="1" t="str">
        <f t="array" ref="B88:B88">B87</f>
        <v>true</v>
      </c>
      <c r="C88" s="1659"/>
      <c r="D88" s="1659"/>
      <c r="E88" s="180">
        <v>17</v>
      </c>
      <c r="F88" s="175" cm="1" t="str">
        <f t="array" ref="F88:F88">OFFSET(G88,-1,-1)</f>
        <v>1</v>
      </c>
      <c r="G88" s="193" t="s">
        <v>2477</v>
      </c>
      <c r="H88" s="1659"/>
      <c r="I88" s="193" t="s">
        <v>2475</v>
      </c>
      <c r="J88" s="1659"/>
      <c r="K88" s="1659"/>
      <c r="L88" s="1659"/>
      <c r="M88" s="1659"/>
      <c r="N88" s="1659"/>
      <c r="O88" s="1659"/>
      <c r="P88" s="1659"/>
      <c r="Q88" s="1659"/>
      <c r="R88" s="1659"/>
      <c r="S88" s="1659"/>
      <c r="T88" s="753" cm="1" t="str">
        <f t="array" ref="T88:T88">T87</f>
        <v>true</v>
      </c>
      <c r="U88" s="1548"/>
      <c r="V88" s="1548"/>
      <c r="W88" s="1548"/>
      <c r="X88" s="1548"/>
      <c r="Y88" s="1548"/>
      <c r="Z88" s="1548"/>
      <c r="AA88" s="286"/>
      <c r="AB88" s="913" t="s">
        <v>2478</v>
      </c>
      <c r="AC88" s="380" t="s">
        <v>629</v>
      </c>
      <c r="AD88" s="2280">
        <f>_xlfn.SUMIFS('Баланс Пр'!AI$27:AI$165,'Баланс Пр'!$F$27:$F$165,$F88,'Баланс Пр'!$AB$27:$AB$165,"9.1.2.3")</f>
        <v>381</v>
      </c>
      <c r="AE88" s="2280">
        <f>_xlfn.SUMIFS('Баланс Пр'!BC$27:BC$165,'Баланс Пр'!$F$27:$F$165,$F88,'Баланс Пр'!$AB$27:$AB$165,"9.1.2.3")</f>
        <v>381</v>
      </c>
      <c r="AF88" s="917">
        <f>IF(AD88=0,0,(AE88-AD88)/AD88*100)</f>
        <v>0</v>
      </c>
      <c r="AG88" s="2280">
        <f>_xlfn.SUMIFS('Баланс Пр'!AJ$27:AJ$165,'Баланс Пр'!$F$27:$F$165,$F88,'Баланс Пр'!$AB$27:$AB$165,"9.1.2.3")</f>
        <v>0</v>
      </c>
      <c r="AH88" s="2280">
        <f>_xlfn.SUMIFS('Баланс Пр'!BD$27:BD$165,'Баланс Пр'!$F$27:$F$165,$F88,'Баланс Пр'!$AB$27:$AB$165,"9.1.2.3")</f>
        <v>0</v>
      </c>
      <c r="AI88" s="917">
        <f>IF(AG88=0,0,(AH88-AG88)/AG88*100)</f>
        <v>0</v>
      </c>
      <c r="AJ88" s="2280">
        <f>_xlfn.SUMIFS('Баланс Пр'!AK$27:AK$165,'Баланс Пр'!$F$27:$F$165,$F88,'Баланс Пр'!$AB$27:$AB$165,"9.1.2.3")</f>
        <v>0</v>
      </c>
      <c r="AK88" s="2280">
        <f>_xlfn.SUMIFS('Баланс Пр'!BE$27:BE$165,'Баланс Пр'!$F$27:$F$165,$F88,'Баланс Пр'!$AB$27:$AB$165,"9.1.2.3")</f>
        <v>0</v>
      </c>
      <c r="AL88" s="917">
        <f>IF(AJ88=0,0,(AK88-AJ88)/AJ88*100)</f>
        <v>0</v>
      </c>
      <c r="AM88" s="2280">
        <f>_xlfn.SUMIFS('Баланс Пр'!AL$27:AL$165,'Баланс Пр'!$F$27:$F$165,$F88,'Баланс Пр'!$AB$27:$AB$165,"9.1.2.3")</f>
        <v>0</v>
      </c>
      <c r="AN88" s="2280">
        <f>_xlfn.SUMIFS('Баланс Пр'!BF$27:BF$165,'Баланс Пр'!$F$27:$F$165,$F88,'Баланс Пр'!$AB$27:$AB$165,"9.1.2.3")</f>
        <v>0</v>
      </c>
      <c r="AO88" s="917">
        <f>IF(AM88=0,0,(AN88-AM88)/AM88*100)</f>
        <v>0</v>
      </c>
      <c r="AP88" s="2280">
        <f>_xlfn.SUMIFS('Баланс Пр'!AM$27:AM$165,'Баланс Пр'!$F$27:$F$165,$F88,'Баланс Пр'!$AB$27:$AB$165,"9.1.2.3")</f>
        <v>0</v>
      </c>
      <c r="AQ88" s="2280">
        <f>_xlfn.SUMIFS('Баланс Пр'!BG$27:BG$165,'Баланс Пр'!$F$27:$F$165,$F88,'Баланс Пр'!$AB$27:$AB$165,"9.1.2.3")</f>
        <v>0</v>
      </c>
      <c r="AR88" s="917">
        <f>IF(AP88=0,0,(AQ88-AP88)/AP88*100)</f>
        <v>0</v>
      </c>
      <c r="AS88" s="2280">
        <f>_xlfn.SUMIFS('Баланс Пр'!AN$27:AN$165,'Баланс Пр'!$F$27:$F$165,$F88,'Баланс Пр'!$AB$27:$AB$165,"9.1.2.3")</f>
        <v>0</v>
      </c>
      <c r="AT88" s="2280">
        <f>_xlfn.SUMIFS('Баланс Пр'!BH$27:BH$165,'Баланс Пр'!$F$27:$F$165,$F88,'Баланс Пр'!$AB$27:$AB$165,"9.1.2.3")</f>
        <v>0</v>
      </c>
      <c r="AU88" s="917">
        <f>IF(AS88=0,0,(AT88-AS88)/AS88*100)</f>
        <v>0</v>
      </c>
      <c r="AV88" s="2280">
        <f>_xlfn.SUMIFS('Баланс Пр'!AO$27:AO$165,'Баланс Пр'!$F$27:$F$165,$F88,'Баланс Пр'!$AB$27:$AB$165,"9.1.2.3")</f>
        <v>0</v>
      </c>
      <c r="AW88" s="2280">
        <f>_xlfn.SUMIFS('Баланс Пр'!BI$27:BI$165,'Баланс Пр'!$F$27:$F$165,$F88,'Баланс Пр'!$AB$27:$AB$165,"9.1.2.3")</f>
        <v>0</v>
      </c>
      <c r="AX88" s="917">
        <f>IF(AV88=0,0,(AW88-AV88)/AV88*100)</f>
        <v>0</v>
      </c>
      <c r="AY88" s="2280">
        <f>_xlfn.SUMIFS('Баланс Пр'!AP$27:AP$165,'Баланс Пр'!$F$27:$F$165,$F88,'Баланс Пр'!$AB$27:$AB$165,"9.1.2.3")</f>
        <v>0</v>
      </c>
      <c r="AZ88" s="2280">
        <f>_xlfn.SUMIFS('Баланс Пр'!BJ$27:BJ$165,'Баланс Пр'!$F$27:$F$165,$F88,'Баланс Пр'!$AB$27:$AB$165,"9.1.2.3")</f>
        <v>0</v>
      </c>
      <c r="BA88" s="917">
        <f>IF(AY88=0,0,(AZ88-AY88)/AY88*100)</f>
        <v>0</v>
      </c>
      <c r="BB88" s="2280">
        <f>_xlfn.SUMIFS('Баланс Пр'!AQ$27:AQ$165,'Баланс Пр'!$F$27:$F$165,$F88,'Баланс Пр'!$AB$27:$AB$165,"9.1.2.3")</f>
        <v>0</v>
      </c>
      <c r="BC88" s="2280">
        <f>_xlfn.SUMIFS('Баланс Пр'!BK$27:BK$165,'Баланс Пр'!$F$27:$F$165,$F88,'Баланс Пр'!$AB$27:$AB$165,"9.1.2.3")</f>
        <v>0</v>
      </c>
      <c r="BD88" s="917">
        <f>IF(BB88=0,0,(BC88-BB88)/BB88*100)</f>
        <v>0</v>
      </c>
      <c r="BE88" s="2280">
        <f>_xlfn.SUMIFS('Баланс Пр'!BB$27:BB$165,'Баланс Пр'!$F$27:$F$165,$F88,'Баланс Пр'!$AB$27:$AB$165,"9.1.2.3")</f>
        <v>0</v>
      </c>
      <c r="BF88" s="2280">
        <f>_xlfn.SUMIFS('Баланс Пр'!BV$27:BV$165,'Баланс Пр'!$F$27:$F$165,$F88,'Баланс Пр'!$AB$27:$AB$165,"9.1.2.3")</f>
        <v>0</v>
      </c>
      <c r="BG88" s="917">
        <f>IF(BE88=0,0,(BF88-BE88)/BE88*100)</f>
        <v>0</v>
      </c>
      <c r="BH88" s="2422">
        <f>SUM(BH89:BH90)</f>
        <v>0</v>
      </c>
      <c r="BI88" s="2422">
        <f>SUM(BI89:BI90)</f>
        <v>0</v>
      </c>
      <c r="BJ88" s="917">
        <f>IF(BH88=0,0,(BI88-BH88)/BH88*100)</f>
        <v>0</v>
      </c>
      <c r="BK88" s="2422">
        <f>SUM(BK89:BK90)</f>
        <v>0</v>
      </c>
      <c r="BL88" s="2422">
        <f>SUM(BL89:BL90)</f>
        <v>0</v>
      </c>
      <c r="BM88" s="917">
        <f>IF(BK88=0,0,(BL88-BK88)/BK88*100)</f>
        <v>0</v>
      </c>
      <c r="BN88" s="2422">
        <f>SUM(BN89:BN90)</f>
        <v>0</v>
      </c>
      <c r="BO88" s="2422">
        <f>SUM(BO89:BO90)</f>
        <v>0</v>
      </c>
      <c r="BP88" s="917">
        <f>IF(BN88=0,0,(BO88-BN88)/BN88*100)</f>
        <v>0</v>
      </c>
      <c r="BQ88" s="2422">
        <f>SUM(BQ89:BQ90)</f>
        <v>0</v>
      </c>
      <c r="BR88" s="2422">
        <f>SUM(BR89:BR90)</f>
        <v>0</v>
      </c>
      <c r="BS88" s="917">
        <f>IF(BQ88=0,0,(BR88-BQ88)/BQ88*100)</f>
        <v>0</v>
      </c>
      <c r="BT88" s="2422">
        <f>SUM(BT89:BT90)</f>
        <v>0</v>
      </c>
      <c r="BU88" s="2422">
        <f>SUM(BU89:BU90)</f>
        <v>0</v>
      </c>
      <c r="BV88" s="917">
        <f>IF(BT88=0,0,(BU88-BT88)/BT88*100)</f>
        <v>0</v>
      </c>
      <c r="BW88" s="2422">
        <f>SUM(BW89:BW90)</f>
        <v>0</v>
      </c>
      <c r="BX88" s="2422">
        <f>SUM(BX89:BX90)</f>
        <v>0</v>
      </c>
      <c r="BY88" s="917">
        <f>IF(BW88=0,0,(BX88-BW88)/BW88*100)</f>
        <v>0</v>
      </c>
      <c r="BZ88" s="2422">
        <f>SUM(BZ89:BZ90)</f>
        <v>0</v>
      </c>
      <c r="CA88" s="2422">
        <f>SUM(CA89:CA90)</f>
        <v>0</v>
      </c>
      <c r="CB88" s="917">
        <f>IF(BZ88=0,0,(CA88-BZ88)/BZ88*100)</f>
        <v>0</v>
      </c>
      <c r="CC88" s="2422">
        <f>SUM(CC89:CC90)</f>
        <v>0</v>
      </c>
      <c r="CD88" s="2422">
        <f>SUM(CD89:CD90)</f>
        <v>0</v>
      </c>
      <c r="CE88" s="917">
        <f>IF(CC88=0,0,(CD88-CC88)/CC88*100)</f>
        <v>0</v>
      </c>
      <c r="CF88" s="2422">
        <f>SUM(CF89:CF90)</f>
        <v>0</v>
      </c>
      <c r="CG88" s="2422">
        <f>SUM(CG89:CG90)</f>
        <v>0</v>
      </c>
      <c r="CH88" s="917">
        <f>IF(CF88=0,0,(CG88-CF88)/CF88*100)</f>
        <v>0</v>
      </c>
      <c r="CI88" s="2422">
        <f>SUM(CI89:CI90)</f>
        <v>0</v>
      </c>
      <c r="CJ88" s="2422">
        <f>SUM(CJ89:CJ90)</f>
        <v>0</v>
      </c>
      <c r="CK88" s="917">
        <f>IF(CI88=0,0,(CJ88-CI88)/CI88*100)</f>
        <v>0</v>
      </c>
      <c r="CL88" s="2422">
        <f>SUM(CL89:CL90)</f>
        <v>0</v>
      </c>
      <c r="CM88" s="2422">
        <f>SUM(CM89:CM90)</f>
        <v>0</v>
      </c>
      <c r="CN88" s="917">
        <f>IF(CL88=0,0,(CM88-CL88)/CL88*100)</f>
        <v>0</v>
      </c>
      <c r="CO88" s="2422">
        <f>SUM(CO89:CO90)</f>
        <v>0</v>
      </c>
      <c r="CP88" s="2422">
        <f>SUM(CP89:CP90)</f>
        <v>0</v>
      </c>
      <c r="CQ88" s="917">
        <f>IF(CO88=0,0,(CP88-CO88)/CO88*100)</f>
        <v>0</v>
      </c>
      <c r="CR88" s="2422">
        <f>SUM(CR89:CR90)</f>
        <v>0</v>
      </c>
      <c r="CS88" s="2422">
        <f>SUM(CS89:CS90)</f>
        <v>0</v>
      </c>
      <c r="CT88" s="917">
        <f>IF(CR88=0,0,(CS88-CR88)/CR88*100)</f>
        <v>0</v>
      </c>
      <c r="CU88" s="2422">
        <f>SUM(CU89:CU90)</f>
        <v>0</v>
      </c>
      <c r="CV88" s="2422">
        <f>SUM(CV89:CV90)</f>
        <v>0</v>
      </c>
      <c r="CW88" s="917">
        <f>IF(CU88=0,0,(CV88-CU88)/CU88*100)</f>
        <v>0</v>
      </c>
      <c r="CX88" s="2422">
        <f>SUM(CX89:CX90)</f>
        <v>0</v>
      </c>
      <c r="CY88" s="2422">
        <f>SUM(CY89:CY90)</f>
        <v>0</v>
      </c>
      <c r="CZ88" s="917">
        <f>IF(CX88=0,0,(CY88-CX88)/CX88*100)</f>
        <v>0</v>
      </c>
      <c r="DA88" s="2422">
        <f>SUM(DA89:DA90)</f>
        <v>0</v>
      </c>
      <c r="DB88" s="2422">
        <f>SUM(DB89:DB90)</f>
        <v>0</v>
      </c>
      <c r="DC88" s="917">
        <f>IF(DA88=0,0,(DB88-DA88)/DA88*100)</f>
        <v>0</v>
      </c>
      <c r="DD88" s="2422">
        <f>SUM(DD89:DD90)</f>
        <v>0</v>
      </c>
      <c r="DE88" s="2422">
        <f>SUM(DE89:DE90)</f>
        <v>0</v>
      </c>
      <c r="DF88" s="917">
        <f>IF(DD88=0,0,(DE88-DD88)/DD88*100)</f>
        <v>0</v>
      </c>
      <c r="DG88" s="2422">
        <f>SUM(DG89:DG90)</f>
        <v>0</v>
      </c>
      <c r="DH88" s="2422">
        <f>SUM(DH89:DH90)</f>
        <v>0</v>
      </c>
      <c r="DI88" s="917">
        <f>IF(DG88=0,0,(DH88-DG88)/DG88*100)</f>
        <v>0</v>
      </c>
      <c r="DJ88" s="2422">
        <f>SUM(DJ89:DJ90)</f>
        <v>0</v>
      </c>
      <c r="DK88" s="2422">
        <f>SUM(DK89:DK90)</f>
        <v>0</v>
      </c>
      <c r="DL88" s="917">
        <f>IF(DJ88=0,0,(DK88-DJ88)/DJ88*100)</f>
        <v>0</v>
      </c>
      <c r="DM88" s="2422">
        <f>SUM(DM89:DM90)</f>
        <v>0</v>
      </c>
      <c r="DN88" s="2422">
        <f>SUM(DN89:DN90)</f>
        <v>0</v>
      </c>
      <c r="DO88" s="917">
        <f>IF(DM88=0,0,(DN88-DM88)/DM88*100)</f>
        <v>0</v>
      </c>
      <c r="DP88" s="2422">
        <f>SUM(DP89:DP90)</f>
        <v>0</v>
      </c>
      <c r="DQ88" s="2422">
        <f>SUM(DQ89:DQ90)</f>
        <v>0</v>
      </c>
      <c r="DR88" s="917">
        <f>IF(DP88=0,0,(DQ88-DP88)/DP88*100)</f>
        <v>0</v>
      </c>
      <c r="DS88" s="2422">
        <f>SUM(DS89:DS90)</f>
        <v>0</v>
      </c>
      <c r="DT88" s="2422">
        <f>SUM(DT89:DT90)</f>
        <v>0</v>
      </c>
      <c r="DU88" s="917">
        <f>IF(DS88=0,0,(DT88-DS88)/DS88*100)</f>
        <v>0</v>
      </c>
      <c r="DV88" s="2422">
        <f>SUM(DV89:DV90)</f>
        <v>0</v>
      </c>
      <c r="DW88" s="2422">
        <f>SUM(DW89:DW90)</f>
        <v>0</v>
      </c>
      <c r="DX88" s="917">
        <f>IF(DV88=0,0,(DW88-DV88)/DV88*100)</f>
        <v>0</v>
      </c>
      <c r="DY88" s="2422">
        <f>SUM(DY89:DY90)</f>
        <v>0</v>
      </c>
      <c r="DZ88" s="2422">
        <f>SUM(DZ89:DZ90)</f>
        <v>0</v>
      </c>
      <c r="EA88" s="917">
        <f>IF(DY88=0,0,(DZ88-DY88)/DY88*100)</f>
        <v>0</v>
      </c>
      <c r="EB88" s="2422">
        <f>SUM(EB89:EB90)</f>
        <v>0</v>
      </c>
      <c r="EC88" s="2422">
        <f>SUM(EC89:EC90)</f>
        <v>0</v>
      </c>
      <c r="ED88" s="917">
        <f>IF(EB88=0,0,(EC88-EB88)/EB88*100)</f>
        <v>0</v>
      </c>
      <c r="EE88" s="2422">
        <f>SUM(EE89:EE90)</f>
        <v>0</v>
      </c>
      <c r="EF88" s="2422">
        <f>SUM(EF89:EF90)</f>
        <v>0</v>
      </c>
      <c r="EG88" s="917">
        <f>IF(EE88=0,0,(EF88-EE88)/EE88*100)</f>
        <v>0</v>
      </c>
      <c r="EH88" s="2422">
        <f>SUM(EH89:EH90)</f>
        <v>0</v>
      </c>
      <c r="EI88" s="2422">
        <f>SUM(EI89:EI90)</f>
        <v>0</v>
      </c>
      <c r="EJ88" s="917">
        <f>IF(EH88=0,0,(EI88-EH88)/EH88*100)</f>
        <v>0</v>
      </c>
      <c r="EK88" s="2422">
        <f>SUM(EK89:EK90)</f>
        <v>0</v>
      </c>
      <c r="EL88" s="2422">
        <f>SUM(EL89:EL90)</f>
        <v>0</v>
      </c>
      <c r="EM88" s="917">
        <f>IF(EK88=0,0,(EL88-EK88)/EK88*100)</f>
        <v>0</v>
      </c>
      <c r="EN88" s="2422">
        <f>SUM(EN89:EN90)</f>
        <v>0</v>
      </c>
      <c r="EO88" s="2422">
        <f>SUM(EO89:EO90)</f>
        <v>0</v>
      </c>
      <c r="EP88" s="917">
        <f>IF(EN88=0,0,(EO88-EN88)/EN88*100)</f>
        <v>0</v>
      </c>
      <c r="EQ88" s="2422">
        <f>SUM(EQ89:EQ90)</f>
        <v>0</v>
      </c>
      <c r="ER88" s="2422">
        <f>SUM(ER89:ER90)</f>
        <v>0</v>
      </c>
      <c r="ES88" s="917">
        <f>IF(EQ88=0,0,(ER88-EQ88)/EQ88*100)</f>
        <v>0</v>
      </c>
      <c r="ET88" s="2422">
        <f>SUM(ET89:ET90)</f>
        <v>0</v>
      </c>
      <c r="EU88" s="2422">
        <f>SUM(EU89:EU90)</f>
        <v>0</v>
      </c>
      <c r="EV88" s="917">
        <f>IF(ET88=0,0,(EU88-ET88)/ET88*100)</f>
        <v>0</v>
      </c>
      <c r="EW88" s="2422">
        <f>SUM(EW89:EW90)</f>
        <v>0</v>
      </c>
      <c r="EX88" s="2422">
        <f>SUM(EX89:EX90)</f>
        <v>0</v>
      </c>
      <c r="EY88" s="917">
        <f>IF(EW88=0,0,(EX88-EW88)/EW88*100)</f>
        <v>0</v>
      </c>
      <c r="EZ88" s="2422">
        <f>SUM(EZ89:EZ90)</f>
        <v>0</v>
      </c>
      <c r="FA88" s="2422">
        <f>SUM(FA89:FA90)</f>
        <v>0</v>
      </c>
      <c r="FB88" s="917">
        <f>IF(EZ88=0,0,(FA88-EZ88)/EZ88*100)</f>
        <v>0</v>
      </c>
      <c r="FC88" s="2422">
        <f>SUM(FC89:FC90)</f>
        <v>0</v>
      </c>
      <c r="FD88" s="2422">
        <f>SUM(FD89:FD90)</f>
        <v>0</v>
      </c>
      <c r="FE88" s="917">
        <f>IF(FC88=0,0,(FD88-FC88)/FC88*100)</f>
        <v>0</v>
      </c>
      <c r="FF88" s="2422">
        <f>SUM(FF89:FF90)</f>
        <v>0</v>
      </c>
      <c r="FG88" s="2422">
        <f>SUM(FG89:FG90)</f>
        <v>0</v>
      </c>
      <c r="FH88" s="917">
        <f>IF(FF88=0,0,(FG88-FF88)/FF88*100)</f>
        <v>0</v>
      </c>
      <c r="FI88" s="2422">
        <f>SUM(FI89:FI90)</f>
        <v>0</v>
      </c>
      <c r="FJ88" s="2422">
        <f>SUM(FJ89:FJ90)</f>
        <v>0</v>
      </c>
      <c r="FK88" s="917">
        <f>IF(FI88=0,0,(FJ88-FI88)/FI88*100)</f>
        <v>0</v>
      </c>
      <c r="FL88" s="2422">
        <f>SUM(FL89:FL90)</f>
        <v>0</v>
      </c>
      <c r="FM88" s="2422">
        <f>SUM(FM89:FM90)</f>
        <v>0</v>
      </c>
      <c r="FN88" s="917">
        <f>IF(FL88=0,0,(FM88-FL88)/FL88*100)</f>
        <v>0</v>
      </c>
      <c r="FO88" s="2422">
        <f>SUM(FO89:FO90)</f>
        <v>0</v>
      </c>
      <c r="FP88" s="2422">
        <f>SUM(FP89:FP90)</f>
        <v>0</v>
      </c>
      <c r="FQ88" s="917">
        <f>IF(FO88=0,0,(FP88-FO88)/FO88*100)</f>
        <v>0</v>
      </c>
      <c r="FR88" s="2422">
        <f>SUM(FR89:FR90)</f>
        <v>0</v>
      </c>
      <c r="FS88" s="2422">
        <f>SUM(FS89:FS90)</f>
        <v>0</v>
      </c>
      <c r="FT88" s="917">
        <f>IF(FR88=0,0,(FS88-FR88)/FR88*100)</f>
        <v>0</v>
      </c>
      <c r="FU88" s="2422">
        <f>SUM(FU89:FU90)</f>
        <v>0</v>
      </c>
      <c r="FV88" s="2422">
        <f>SUM(FV89:FV90)</f>
        <v>0</v>
      </c>
      <c r="FW88" s="917">
        <f>IF(FU88=0,0,(FV88-FU88)/FU88*100)</f>
        <v>0</v>
      </c>
      <c r="FX88" s="286"/>
      <c r="FY88" s="1659"/>
      <c r="FZ88" s="489" t="s">
        <v>2479</v>
      </c>
      <c r="GA88" s="489"/>
      <c r="GB88" s="489"/>
      <c r="GC88" s="489"/>
      <c r="GD88" s="489"/>
      <c r="GE88" s="1506"/>
      <c r="GF88" s="1501" cm="1" t="str">
        <f t="array" ref="GF88:GF88">GF87</f>
        <v>ТЭ.42.31656254.0001</v>
      </c>
      <c r="GG88" s="1501" t="s">
        <v>704</v>
      </c>
      <c r="GH88" s="1501"/>
      <c r="GI88" s="1501"/>
      <c r="GJ88" s="1501"/>
      <c r="GK88" s="1501"/>
      <c r="GL88" s="1501" t="s">
        <v>303</v>
      </c>
      <c r="GM88" s="1501" t="s">
        <v>2079</v>
      </c>
      <c r="GN88" s="1501" t="s">
        <v>2080</v>
      </c>
    </row>
    <row s="1751" customFormat="1" customHeight="1" ht="16.5">
      <c r="A89" s="371"/>
      <c r="B89" s="192" cm="1" t="str">
        <f t="array" ref="B89:B89">B88</f>
        <v>true</v>
      </c>
      <c r="C89" s="1659"/>
      <c r="D89" s="1659"/>
      <c r="E89" s="180">
        <v>17</v>
      </c>
      <c r="F89" s="175" cm="1" t="str">
        <f t="array" ref="F89:F89">OFFSET(G89,-1,-1)</f>
        <v>1</v>
      </c>
      <c r="G89" s="1659"/>
      <c r="H89" s="1659"/>
      <c r="I89" s="1659"/>
      <c r="J89" s="1659"/>
      <c r="K89" s="1659"/>
      <c r="L89" s="1659"/>
      <c r="M89" s="1659"/>
      <c r="N89" s="1659"/>
      <c r="O89" s="1659"/>
      <c r="P89" s="1659"/>
      <c r="Q89" s="1659"/>
      <c r="R89" s="1659"/>
      <c r="S89" s="1659"/>
      <c r="T89" s="753" cm="1" t="str">
        <f t="array" ref="T89:T89">T88</f>
        <v>true</v>
      </c>
      <c r="U89" s="1548"/>
      <c r="V89" s="1548"/>
      <c r="W89" s="1548"/>
      <c r="X89" s="1548"/>
      <c r="Y89" s="1548"/>
      <c r="Z89" s="1548"/>
      <c r="AA89" s="286"/>
      <c r="AB89" s="560" t="s">
        <v>2480</v>
      </c>
      <c r="AC89" s="381" t="s">
        <v>629</v>
      </c>
      <c r="AD89" s="2337">
        <v>217</v>
      </c>
      <c r="AE89" s="2337">
        <v>217</v>
      </c>
      <c r="AF89" s="918">
        <f>IF(AD89=0,0,(AE89-AD89)/AD89*100)</f>
        <v>0</v>
      </c>
      <c r="AG89" s="2337"/>
      <c r="AH89" s="2337"/>
      <c r="AI89" s="918">
        <f>IF(AG89=0,0,(AH89-AG89)/AG89*100)</f>
        <v>0</v>
      </c>
      <c r="AJ89" s="2337"/>
      <c r="AK89" s="2337"/>
      <c r="AL89" s="918">
        <f>IF(AJ89=0,0,(AK89-AJ89)/AJ89*100)</f>
        <v>0</v>
      </c>
      <c r="AM89" s="2337"/>
      <c r="AN89" s="2337"/>
      <c r="AO89" s="918">
        <f>IF(AM89=0,0,(AN89-AM89)/AM89*100)</f>
        <v>0</v>
      </c>
      <c r="AP89" s="2337"/>
      <c r="AQ89" s="2337"/>
      <c r="AR89" s="918">
        <f>IF(AP89=0,0,(AQ89-AP89)/AP89*100)</f>
        <v>0</v>
      </c>
      <c r="AS89" s="2337"/>
      <c r="AT89" s="2337"/>
      <c r="AU89" s="918">
        <f>IF(AS89=0,0,(AT89-AS89)/AS89*100)</f>
        <v>0</v>
      </c>
      <c r="AV89" s="2337"/>
      <c r="AW89" s="2337"/>
      <c r="AX89" s="918">
        <f>IF(AV89=0,0,(AW89-AV89)/AV89*100)</f>
        <v>0</v>
      </c>
      <c r="AY89" s="2337"/>
      <c r="AZ89" s="2337"/>
      <c r="BA89" s="918">
        <f>IF(AY89=0,0,(AZ89-AY89)/AY89*100)</f>
        <v>0</v>
      </c>
      <c r="BB89" s="2337"/>
      <c r="BC89" s="2337"/>
      <c r="BD89" s="918">
        <f>IF(BB89=0,0,(BC89-BB89)/BB89*100)</f>
        <v>0</v>
      </c>
      <c r="BE89" s="2337"/>
      <c r="BF89" s="2337"/>
      <c r="BG89" s="918">
        <f>IF(BE89=0,0,(BF89-BE89)/BE89*100)</f>
        <v>0</v>
      </c>
      <c r="BH89" s="2337"/>
      <c r="BI89" s="2337"/>
      <c r="BJ89" s="918">
        <f>IF(BH89=0,0,(BI89-BH89)/BH89*100)</f>
        <v>0</v>
      </c>
      <c r="BK89" s="2337"/>
      <c r="BL89" s="2337"/>
      <c r="BM89" s="918">
        <f>IF(BK89=0,0,(BL89-BK89)/BK89*100)</f>
        <v>0</v>
      </c>
      <c r="BN89" s="2337"/>
      <c r="BO89" s="2337"/>
      <c r="BP89" s="918">
        <f>IF(BN89=0,0,(BO89-BN89)/BN89*100)</f>
        <v>0</v>
      </c>
      <c r="BQ89" s="2337"/>
      <c r="BR89" s="2337"/>
      <c r="BS89" s="918">
        <f>IF(BQ89=0,0,(BR89-BQ89)/BQ89*100)</f>
        <v>0</v>
      </c>
      <c r="BT89" s="2337"/>
      <c r="BU89" s="2337"/>
      <c r="BV89" s="918">
        <f>IF(BT89=0,0,(BU89-BT89)/BT89*100)</f>
        <v>0</v>
      </c>
      <c r="BW89" s="2337"/>
      <c r="BX89" s="2337"/>
      <c r="BY89" s="918">
        <f>IF(BW89=0,0,(BX89-BW89)/BW89*100)</f>
        <v>0</v>
      </c>
      <c r="BZ89" s="2337"/>
      <c r="CA89" s="2337"/>
      <c r="CB89" s="918">
        <f>IF(BZ89=0,0,(CA89-BZ89)/BZ89*100)</f>
        <v>0</v>
      </c>
      <c r="CC89" s="2337"/>
      <c r="CD89" s="2337"/>
      <c r="CE89" s="918">
        <f>IF(CC89=0,0,(CD89-CC89)/CC89*100)</f>
        <v>0</v>
      </c>
      <c r="CF89" s="2337"/>
      <c r="CG89" s="2337"/>
      <c r="CH89" s="918">
        <f>IF(CF89=0,0,(CG89-CF89)/CF89*100)</f>
        <v>0</v>
      </c>
      <c r="CI89" s="2337"/>
      <c r="CJ89" s="2337"/>
      <c r="CK89" s="918">
        <f>IF(CI89=0,0,(CJ89-CI89)/CI89*100)</f>
        <v>0</v>
      </c>
      <c r="CL89" s="2337"/>
      <c r="CM89" s="2337"/>
      <c r="CN89" s="918">
        <f>IF(CL89=0,0,(CM89-CL89)/CL89*100)</f>
        <v>0</v>
      </c>
      <c r="CO89" s="2337"/>
      <c r="CP89" s="2337"/>
      <c r="CQ89" s="918">
        <f>IF(CO89=0,0,(CP89-CO89)/CO89*100)</f>
        <v>0</v>
      </c>
      <c r="CR89" s="2337"/>
      <c r="CS89" s="2337"/>
      <c r="CT89" s="918">
        <f>IF(CR89=0,0,(CS89-CR89)/CR89*100)</f>
        <v>0</v>
      </c>
      <c r="CU89" s="2337"/>
      <c r="CV89" s="2337"/>
      <c r="CW89" s="918">
        <f>IF(CU89=0,0,(CV89-CU89)/CU89*100)</f>
        <v>0</v>
      </c>
      <c r="CX89" s="2337"/>
      <c r="CY89" s="2337"/>
      <c r="CZ89" s="918">
        <f>IF(CX89=0,0,(CY89-CX89)/CX89*100)</f>
        <v>0</v>
      </c>
      <c r="DA89" s="2337"/>
      <c r="DB89" s="2337"/>
      <c r="DC89" s="918">
        <f>IF(DA89=0,0,(DB89-DA89)/DA89*100)</f>
        <v>0</v>
      </c>
      <c r="DD89" s="2337"/>
      <c r="DE89" s="2337"/>
      <c r="DF89" s="918">
        <f>IF(DD89=0,0,(DE89-DD89)/DD89*100)</f>
        <v>0</v>
      </c>
      <c r="DG89" s="2337"/>
      <c r="DH89" s="2337"/>
      <c r="DI89" s="918">
        <f>IF(DG89=0,0,(DH89-DG89)/DG89*100)</f>
        <v>0</v>
      </c>
      <c r="DJ89" s="2337"/>
      <c r="DK89" s="2337"/>
      <c r="DL89" s="918">
        <f>IF(DJ89=0,0,(DK89-DJ89)/DJ89*100)</f>
        <v>0</v>
      </c>
      <c r="DM89" s="2337"/>
      <c r="DN89" s="2337"/>
      <c r="DO89" s="918">
        <f>IF(DM89=0,0,(DN89-DM89)/DM89*100)</f>
        <v>0</v>
      </c>
      <c r="DP89" s="2337"/>
      <c r="DQ89" s="2337"/>
      <c r="DR89" s="918">
        <f>IF(DP89=0,0,(DQ89-DP89)/DP89*100)</f>
        <v>0</v>
      </c>
      <c r="DS89" s="2337"/>
      <c r="DT89" s="2337"/>
      <c r="DU89" s="918">
        <f>IF(DS89=0,0,(DT89-DS89)/DS89*100)</f>
        <v>0</v>
      </c>
      <c r="DV89" s="2337"/>
      <c r="DW89" s="2337"/>
      <c r="DX89" s="918">
        <f>IF(DV89=0,0,(DW89-DV89)/DV89*100)</f>
        <v>0</v>
      </c>
      <c r="DY89" s="2337"/>
      <c r="DZ89" s="2337"/>
      <c r="EA89" s="918">
        <f>IF(DY89=0,0,(DZ89-DY89)/DY89*100)</f>
        <v>0</v>
      </c>
      <c r="EB89" s="2337"/>
      <c r="EC89" s="2337"/>
      <c r="ED89" s="918">
        <f>IF(EB89=0,0,(EC89-EB89)/EB89*100)</f>
        <v>0</v>
      </c>
      <c r="EE89" s="2337"/>
      <c r="EF89" s="2337"/>
      <c r="EG89" s="918">
        <f>IF(EE89=0,0,(EF89-EE89)/EE89*100)</f>
        <v>0</v>
      </c>
      <c r="EH89" s="2337"/>
      <c r="EI89" s="2337"/>
      <c r="EJ89" s="918">
        <f>IF(EH89=0,0,(EI89-EH89)/EH89*100)</f>
        <v>0</v>
      </c>
      <c r="EK89" s="2337"/>
      <c r="EL89" s="2337"/>
      <c r="EM89" s="918">
        <f>IF(EK89=0,0,(EL89-EK89)/EK89*100)</f>
        <v>0</v>
      </c>
      <c r="EN89" s="2337"/>
      <c r="EO89" s="2337"/>
      <c r="EP89" s="918">
        <f>IF(EN89=0,0,(EO89-EN89)/EN89*100)</f>
        <v>0</v>
      </c>
      <c r="EQ89" s="2337"/>
      <c r="ER89" s="2337"/>
      <c r="ES89" s="918">
        <f>IF(EQ89=0,0,(ER89-EQ89)/EQ89*100)</f>
        <v>0</v>
      </c>
      <c r="ET89" s="2337"/>
      <c r="EU89" s="2337"/>
      <c r="EV89" s="918">
        <f>IF(ET89=0,0,(EU89-ET89)/ET89*100)</f>
        <v>0</v>
      </c>
      <c r="EW89" s="2337"/>
      <c r="EX89" s="2337"/>
      <c r="EY89" s="918">
        <f>IF(EW89=0,0,(EX89-EW89)/EW89*100)</f>
        <v>0</v>
      </c>
      <c r="EZ89" s="2337"/>
      <c r="FA89" s="2337"/>
      <c r="FB89" s="918">
        <f>IF(EZ89=0,0,(FA89-EZ89)/EZ89*100)</f>
        <v>0</v>
      </c>
      <c r="FC89" s="2337"/>
      <c r="FD89" s="2337"/>
      <c r="FE89" s="918">
        <f>IF(FC89=0,0,(FD89-FC89)/FC89*100)</f>
        <v>0</v>
      </c>
      <c r="FF89" s="2337"/>
      <c r="FG89" s="2337"/>
      <c r="FH89" s="918">
        <f>IF(FF89=0,0,(FG89-FF89)/FF89*100)</f>
        <v>0</v>
      </c>
      <c r="FI89" s="2337"/>
      <c r="FJ89" s="2337"/>
      <c r="FK89" s="918">
        <f>IF(FI89=0,0,(FJ89-FI89)/FI89*100)</f>
        <v>0</v>
      </c>
      <c r="FL89" s="2337"/>
      <c r="FM89" s="2337"/>
      <c r="FN89" s="918">
        <f>IF(FL89=0,0,(FM89-FL89)/FL89*100)</f>
        <v>0</v>
      </c>
      <c r="FO89" s="2337"/>
      <c r="FP89" s="2337"/>
      <c r="FQ89" s="918">
        <f>IF(FO89=0,0,(FP89-FO89)/FO89*100)</f>
        <v>0</v>
      </c>
      <c r="FR89" s="2337"/>
      <c r="FS89" s="2337"/>
      <c r="FT89" s="918">
        <f>IF(FR89=0,0,(FS89-FR89)/FR89*100)</f>
        <v>0</v>
      </c>
      <c r="FU89" s="2337"/>
      <c r="FV89" s="2337"/>
      <c r="FW89" s="918">
        <f>IF(FU89=0,0,(FV89-FU89)/FU89*100)</f>
        <v>0</v>
      </c>
      <c r="FX89" s="286"/>
      <c r="FY89" s="1659"/>
      <c r="FZ89" s="489" t="s">
        <v>2481</v>
      </c>
      <c r="GA89" s="489"/>
      <c r="GB89" s="489"/>
      <c r="GC89" s="489"/>
      <c r="GD89" s="489"/>
      <c r="GE89" s="1506"/>
      <c r="GF89" s="1501" cm="1" t="str">
        <f t="array" ref="GF89:GF89">GF88</f>
        <v>ТЭ.42.31656254.0001</v>
      </c>
      <c r="GG89" s="1501" t="s">
        <v>704</v>
      </c>
      <c r="GH89" s="1501"/>
      <c r="GI89" s="1501" t="s">
        <v>796</v>
      </c>
      <c r="GJ89" s="1501" t="s">
        <v>2084</v>
      </c>
      <c r="GK89" s="1501"/>
      <c r="GL89" s="1501" t="s">
        <v>303</v>
      </c>
      <c r="GM89" s="1501" t="s">
        <v>2079</v>
      </c>
      <c r="GN89" s="1501" t="s">
        <v>2080</v>
      </c>
    </row>
    <row s="1751" customFormat="1" customHeight="1" ht="16.5">
      <c r="A90" s="371"/>
      <c r="B90" s="192" cm="1" t="str">
        <f t="array" ref="B90:B90">B89</f>
        <v>true</v>
      </c>
      <c r="C90" s="1659"/>
      <c r="D90" s="1659"/>
      <c r="E90" s="180">
        <v>17</v>
      </c>
      <c r="F90" s="175" cm="1" t="str">
        <f t="array" ref="F90:F90">OFFSET(G90,-1,-1)</f>
        <v>1</v>
      </c>
      <c r="G90" s="1659"/>
      <c r="H90" s="1659"/>
      <c r="I90" s="1659"/>
      <c r="J90" s="1659"/>
      <c r="K90" s="1659"/>
      <c r="L90" s="1659"/>
      <c r="M90" s="1659"/>
      <c r="N90" s="1659"/>
      <c r="O90" s="1659"/>
      <c r="P90" s="1659"/>
      <c r="Q90" s="1659"/>
      <c r="R90" s="1659"/>
      <c r="S90" s="1659"/>
      <c r="T90" s="753" cm="1" t="str">
        <f t="array" ref="T90:T90">T89</f>
        <v>true</v>
      </c>
      <c r="U90" s="1548"/>
      <c r="V90" s="1548"/>
      <c r="W90" s="1548"/>
      <c r="X90" s="1548"/>
      <c r="Y90" s="1548"/>
      <c r="Z90" s="1548"/>
      <c r="AA90" s="286"/>
      <c r="AB90" s="560" t="s">
        <v>2482</v>
      </c>
      <c r="AC90" s="381" t="s">
        <v>629</v>
      </c>
      <c r="AD90" s="2337">
        <v>164</v>
      </c>
      <c r="AE90" s="2337">
        <v>164</v>
      </c>
      <c r="AF90" s="918">
        <f>IF(AD90=0,0,(AE90-AD90)/AD90*100)</f>
        <v>0</v>
      </c>
      <c r="AG90" s="2337"/>
      <c r="AH90" s="2337"/>
      <c r="AI90" s="918">
        <f>IF(AG90=0,0,(AH90-AG90)/AG90*100)</f>
        <v>0</v>
      </c>
      <c r="AJ90" s="2337"/>
      <c r="AK90" s="2337"/>
      <c r="AL90" s="918">
        <f>IF(AJ90=0,0,(AK90-AJ90)/AJ90*100)</f>
        <v>0</v>
      </c>
      <c r="AM90" s="2337"/>
      <c r="AN90" s="2337"/>
      <c r="AO90" s="918">
        <f>IF(AM90=0,0,(AN90-AM90)/AM90*100)</f>
        <v>0</v>
      </c>
      <c r="AP90" s="2337"/>
      <c r="AQ90" s="2337"/>
      <c r="AR90" s="918">
        <f>IF(AP90=0,0,(AQ90-AP90)/AP90*100)</f>
        <v>0</v>
      </c>
      <c r="AS90" s="2337"/>
      <c r="AT90" s="2337"/>
      <c r="AU90" s="918">
        <f>IF(AS90=0,0,(AT90-AS90)/AS90*100)</f>
        <v>0</v>
      </c>
      <c r="AV90" s="2337"/>
      <c r="AW90" s="2337"/>
      <c r="AX90" s="918">
        <f>IF(AV90=0,0,(AW90-AV90)/AV90*100)</f>
        <v>0</v>
      </c>
      <c r="AY90" s="2337"/>
      <c r="AZ90" s="2337"/>
      <c r="BA90" s="918">
        <f>IF(AY90=0,0,(AZ90-AY90)/AY90*100)</f>
        <v>0</v>
      </c>
      <c r="BB90" s="2337"/>
      <c r="BC90" s="2337"/>
      <c r="BD90" s="918">
        <f>IF(BB90=0,0,(BC90-BB90)/BB90*100)</f>
        <v>0</v>
      </c>
      <c r="BE90" s="2337"/>
      <c r="BF90" s="2337"/>
      <c r="BG90" s="918">
        <f>IF(BE90=0,0,(BF90-BE90)/BE90*100)</f>
        <v>0</v>
      </c>
      <c r="BH90" s="2337"/>
      <c r="BI90" s="2337"/>
      <c r="BJ90" s="918">
        <f>IF(BH90=0,0,(BI90-BH90)/BH90*100)</f>
        <v>0</v>
      </c>
      <c r="BK90" s="2337"/>
      <c r="BL90" s="2337"/>
      <c r="BM90" s="918">
        <f>IF(BK90=0,0,(BL90-BK90)/BK90*100)</f>
        <v>0</v>
      </c>
      <c r="BN90" s="2337"/>
      <c r="BO90" s="2337"/>
      <c r="BP90" s="918">
        <f>IF(BN90=0,0,(BO90-BN90)/BN90*100)</f>
        <v>0</v>
      </c>
      <c r="BQ90" s="2337"/>
      <c r="BR90" s="2337"/>
      <c r="BS90" s="918">
        <f>IF(BQ90=0,0,(BR90-BQ90)/BQ90*100)</f>
        <v>0</v>
      </c>
      <c r="BT90" s="2337"/>
      <c r="BU90" s="2337"/>
      <c r="BV90" s="918">
        <f>IF(BT90=0,0,(BU90-BT90)/BT90*100)</f>
        <v>0</v>
      </c>
      <c r="BW90" s="2337"/>
      <c r="BX90" s="2337"/>
      <c r="BY90" s="918">
        <f>IF(BW90=0,0,(BX90-BW90)/BW90*100)</f>
        <v>0</v>
      </c>
      <c r="BZ90" s="2337"/>
      <c r="CA90" s="2337"/>
      <c r="CB90" s="918">
        <f>IF(BZ90=0,0,(CA90-BZ90)/BZ90*100)</f>
        <v>0</v>
      </c>
      <c r="CC90" s="2337"/>
      <c r="CD90" s="2337"/>
      <c r="CE90" s="918">
        <f>IF(CC90=0,0,(CD90-CC90)/CC90*100)</f>
        <v>0</v>
      </c>
      <c r="CF90" s="2337"/>
      <c r="CG90" s="2337"/>
      <c r="CH90" s="918">
        <f>IF(CF90=0,0,(CG90-CF90)/CF90*100)</f>
        <v>0</v>
      </c>
      <c r="CI90" s="2337"/>
      <c r="CJ90" s="2337"/>
      <c r="CK90" s="918">
        <f>IF(CI90=0,0,(CJ90-CI90)/CI90*100)</f>
        <v>0</v>
      </c>
      <c r="CL90" s="2337"/>
      <c r="CM90" s="2337"/>
      <c r="CN90" s="918">
        <f>IF(CL90=0,0,(CM90-CL90)/CL90*100)</f>
        <v>0</v>
      </c>
      <c r="CO90" s="2337"/>
      <c r="CP90" s="2337"/>
      <c r="CQ90" s="918">
        <f>IF(CO90=0,0,(CP90-CO90)/CO90*100)</f>
        <v>0</v>
      </c>
      <c r="CR90" s="2337"/>
      <c r="CS90" s="2337"/>
      <c r="CT90" s="918">
        <f>IF(CR90=0,0,(CS90-CR90)/CR90*100)</f>
        <v>0</v>
      </c>
      <c r="CU90" s="2337"/>
      <c r="CV90" s="2337"/>
      <c r="CW90" s="918">
        <f>IF(CU90=0,0,(CV90-CU90)/CU90*100)</f>
        <v>0</v>
      </c>
      <c r="CX90" s="2337"/>
      <c r="CY90" s="2337"/>
      <c r="CZ90" s="918">
        <f>IF(CX90=0,0,(CY90-CX90)/CX90*100)</f>
        <v>0</v>
      </c>
      <c r="DA90" s="2337"/>
      <c r="DB90" s="2337"/>
      <c r="DC90" s="918">
        <f>IF(DA90=0,0,(DB90-DA90)/DA90*100)</f>
        <v>0</v>
      </c>
      <c r="DD90" s="2337"/>
      <c r="DE90" s="2337"/>
      <c r="DF90" s="918">
        <f>IF(DD90=0,0,(DE90-DD90)/DD90*100)</f>
        <v>0</v>
      </c>
      <c r="DG90" s="2337"/>
      <c r="DH90" s="2337"/>
      <c r="DI90" s="918">
        <f>IF(DG90=0,0,(DH90-DG90)/DG90*100)</f>
        <v>0</v>
      </c>
      <c r="DJ90" s="2337"/>
      <c r="DK90" s="2337"/>
      <c r="DL90" s="918">
        <f>IF(DJ90=0,0,(DK90-DJ90)/DJ90*100)</f>
        <v>0</v>
      </c>
      <c r="DM90" s="2337"/>
      <c r="DN90" s="2337"/>
      <c r="DO90" s="918">
        <f>IF(DM90=0,0,(DN90-DM90)/DM90*100)</f>
        <v>0</v>
      </c>
      <c r="DP90" s="2337"/>
      <c r="DQ90" s="2337"/>
      <c r="DR90" s="918">
        <f>IF(DP90=0,0,(DQ90-DP90)/DP90*100)</f>
        <v>0</v>
      </c>
      <c r="DS90" s="2337"/>
      <c r="DT90" s="2337"/>
      <c r="DU90" s="918">
        <f>IF(DS90=0,0,(DT90-DS90)/DS90*100)</f>
        <v>0</v>
      </c>
      <c r="DV90" s="2337"/>
      <c r="DW90" s="2337"/>
      <c r="DX90" s="918">
        <f>IF(DV90=0,0,(DW90-DV90)/DV90*100)</f>
        <v>0</v>
      </c>
      <c r="DY90" s="2337"/>
      <c r="DZ90" s="2337"/>
      <c r="EA90" s="918">
        <f>IF(DY90=0,0,(DZ90-DY90)/DY90*100)</f>
        <v>0</v>
      </c>
      <c r="EB90" s="2337"/>
      <c r="EC90" s="2337"/>
      <c r="ED90" s="918">
        <f>IF(EB90=0,0,(EC90-EB90)/EB90*100)</f>
        <v>0</v>
      </c>
      <c r="EE90" s="2337"/>
      <c r="EF90" s="2337"/>
      <c r="EG90" s="918">
        <f>IF(EE90=0,0,(EF90-EE90)/EE90*100)</f>
        <v>0</v>
      </c>
      <c r="EH90" s="2337"/>
      <c r="EI90" s="2337"/>
      <c r="EJ90" s="918">
        <f>IF(EH90=0,0,(EI90-EH90)/EH90*100)</f>
        <v>0</v>
      </c>
      <c r="EK90" s="2337"/>
      <c r="EL90" s="2337"/>
      <c r="EM90" s="918">
        <f>IF(EK90=0,0,(EL90-EK90)/EK90*100)</f>
        <v>0</v>
      </c>
      <c r="EN90" s="2337"/>
      <c r="EO90" s="2337"/>
      <c r="EP90" s="918">
        <f>IF(EN90=0,0,(EO90-EN90)/EN90*100)</f>
        <v>0</v>
      </c>
      <c r="EQ90" s="2337"/>
      <c r="ER90" s="2337"/>
      <c r="ES90" s="918">
        <f>IF(EQ90=0,0,(ER90-EQ90)/EQ90*100)</f>
        <v>0</v>
      </c>
      <c r="ET90" s="2337"/>
      <c r="EU90" s="2337"/>
      <c r="EV90" s="918">
        <f>IF(ET90=0,0,(EU90-ET90)/ET90*100)</f>
        <v>0</v>
      </c>
      <c r="EW90" s="2337"/>
      <c r="EX90" s="2337"/>
      <c r="EY90" s="918">
        <f>IF(EW90=0,0,(EX90-EW90)/EW90*100)</f>
        <v>0</v>
      </c>
      <c r="EZ90" s="2337"/>
      <c r="FA90" s="2337"/>
      <c r="FB90" s="918">
        <f>IF(EZ90=0,0,(FA90-EZ90)/EZ90*100)</f>
        <v>0</v>
      </c>
      <c r="FC90" s="2337"/>
      <c r="FD90" s="2337"/>
      <c r="FE90" s="918">
        <f>IF(FC90=0,0,(FD90-FC90)/FC90*100)</f>
        <v>0</v>
      </c>
      <c r="FF90" s="2337"/>
      <c r="FG90" s="2337"/>
      <c r="FH90" s="918">
        <f>IF(FF90=0,0,(FG90-FF90)/FF90*100)</f>
        <v>0</v>
      </c>
      <c r="FI90" s="2337"/>
      <c r="FJ90" s="2337"/>
      <c r="FK90" s="918">
        <f>IF(FI90=0,0,(FJ90-FI90)/FI90*100)</f>
        <v>0</v>
      </c>
      <c r="FL90" s="2337"/>
      <c r="FM90" s="2337"/>
      <c r="FN90" s="918">
        <f>IF(FL90=0,0,(FM90-FL90)/FL90*100)</f>
        <v>0</v>
      </c>
      <c r="FO90" s="2337"/>
      <c r="FP90" s="2337"/>
      <c r="FQ90" s="918">
        <f>IF(FO90=0,0,(FP90-FO90)/FO90*100)</f>
        <v>0</v>
      </c>
      <c r="FR90" s="2337"/>
      <c r="FS90" s="2337"/>
      <c r="FT90" s="918">
        <f>IF(FR90=0,0,(FS90-FR90)/FR90*100)</f>
        <v>0</v>
      </c>
      <c r="FU90" s="2337"/>
      <c r="FV90" s="2337"/>
      <c r="FW90" s="918">
        <f>IF(FU90=0,0,(FV90-FU90)/FU90*100)</f>
        <v>0</v>
      </c>
      <c r="FX90" s="286"/>
      <c r="FY90" s="1659"/>
      <c r="FZ90" s="489" t="s">
        <v>2483</v>
      </c>
      <c r="GA90" s="489"/>
      <c r="GB90" s="489"/>
      <c r="GC90" s="489"/>
      <c r="GD90" s="489"/>
      <c r="GE90" s="1506"/>
      <c r="GF90" s="1501" cm="1" t="str">
        <f t="array" ref="GF90:GF90">GF89</f>
        <v>ТЭ.42.31656254.0001</v>
      </c>
      <c r="GG90" s="1501" t="s">
        <v>704</v>
      </c>
      <c r="GH90" s="1501"/>
      <c r="GI90" s="1501" t="s">
        <v>797</v>
      </c>
      <c r="GJ90" s="1501"/>
      <c r="GK90" s="1501"/>
      <c r="GL90" s="1501" t="s">
        <v>303</v>
      </c>
      <c r="GM90" s="1501" t="s">
        <v>2079</v>
      </c>
      <c r="GN90" s="1501" t="s">
        <v>2080</v>
      </c>
    </row>
    <row s="1751" customFormat="1" customHeight="1" ht="16.5" hidden="1">
      <c r="A91" s="371"/>
      <c r="B91" s="192" cm="1" t="str">
        <f t="array" ref="B91:B91">OFFSET(A91,-1,1)</f>
        <v>true</v>
      </c>
      <c r="C91" s="1659"/>
      <c r="D91" s="1659"/>
      <c r="E91" s="180">
        <v>17</v>
      </c>
      <c r="F91" s="175" cm="1" t="str">
        <f t="array" ref="F91:F91">OFFSET(G91,-1,-1)</f>
        <v>1</v>
      </c>
      <c r="G91" s="1659"/>
      <c r="H91" s="1659"/>
      <c r="I91" s="1659"/>
      <c r="J91" s="1659"/>
      <c r="K91" s="1659"/>
      <c r="L91" s="1659"/>
      <c r="M91" s="1659"/>
      <c r="N91" s="1659"/>
      <c r="O91" s="1659"/>
      <c r="P91" s="1659"/>
      <c r="Q91" s="1659"/>
      <c r="R91" s="1659"/>
      <c r="S91" s="1659"/>
      <c r="T91" s="753">
        <f>AND(OFFSET(S91,1,1),Y91&gt;0)</f>
        <v>0</v>
      </c>
      <c r="U91" s="1548"/>
      <c r="V91" s="1548"/>
      <c r="W91" s="175" t="s">
        <v>189</v>
      </c>
      <c r="X91" s="1548"/>
      <c r="Y91" s="175">
        <v>0</v>
      </c>
      <c r="Z91" s="1548"/>
      <c r="AA91" s="1532" t="s">
        <v>171</v>
      </c>
      <c r="AB91" s="102"/>
      <c r="AC91" s="381" t="s">
        <v>1005</v>
      </c>
      <c r="AD91" s="121"/>
      <c r="AE91" s="121"/>
      <c r="AF91" s="918">
        <f>IF(AD91=0,0,(AE91-AD91)/AD91*100)</f>
        <v>0</v>
      </c>
      <c r="AG91" s="121"/>
      <c r="AH91" s="121"/>
      <c r="AI91" s="918">
        <f>IF(AG91=0,0,(AH91-AG91)/AG91*100)</f>
        <v>0</v>
      </c>
      <c r="AJ91" s="121"/>
      <c r="AK91" s="121"/>
      <c r="AL91" s="918">
        <f>IF(AJ91=0,0,(AK91-AJ91)/AJ91*100)</f>
        <v>0</v>
      </c>
      <c r="AM91" s="121"/>
      <c r="AN91" s="121"/>
      <c r="AO91" s="918">
        <f>IF(AM91=0,0,(AN91-AM91)/AM91*100)</f>
        <v>0</v>
      </c>
      <c r="AP91" s="121"/>
      <c r="AQ91" s="121"/>
      <c r="AR91" s="918">
        <f>IF(AP91=0,0,(AQ91-AP91)/AP91*100)</f>
        <v>0</v>
      </c>
      <c r="AS91" s="121"/>
      <c r="AT91" s="121"/>
      <c r="AU91" s="918">
        <f>IF(AS91=0,0,(AT91-AS91)/AS91*100)</f>
        <v>0</v>
      </c>
      <c r="AV91" s="121"/>
      <c r="AW91" s="121"/>
      <c r="AX91" s="918">
        <f>IF(AV91=0,0,(AW91-AV91)/AV91*100)</f>
        <v>0</v>
      </c>
      <c r="AY91" s="121"/>
      <c r="AZ91" s="121"/>
      <c r="BA91" s="918">
        <f>IF(AY91=0,0,(AZ91-AY91)/AY91*100)</f>
        <v>0</v>
      </c>
      <c r="BB91" s="121"/>
      <c r="BC91" s="121"/>
      <c r="BD91" s="918">
        <f>IF(BB91=0,0,(BC91-BB91)/BB91*100)</f>
        <v>0</v>
      </c>
      <c r="BE91" s="121"/>
      <c r="BF91" s="121"/>
      <c r="BG91" s="918">
        <f>IF(BE91=0,0,(BF91-BE91)/BE91*100)</f>
        <v>0</v>
      </c>
      <c r="BH91" s="121"/>
      <c r="BI91" s="121"/>
      <c r="BJ91" s="918">
        <f>IF(BH91=0,0,(BI91-BH91)/BH91*100)</f>
        <v>0</v>
      </c>
      <c r="BK91" s="121"/>
      <c r="BL91" s="121"/>
      <c r="BM91" s="918">
        <f>IF(BK91=0,0,(BL91-BK91)/BK91*100)</f>
        <v>0</v>
      </c>
      <c r="BN91" s="121"/>
      <c r="BO91" s="121"/>
      <c r="BP91" s="918">
        <f>IF(BN91=0,0,(BO91-BN91)/BN91*100)</f>
        <v>0</v>
      </c>
      <c r="BQ91" s="121"/>
      <c r="BR91" s="121"/>
      <c r="BS91" s="918">
        <f>IF(BQ91=0,0,(BR91-BQ91)/BQ91*100)</f>
        <v>0</v>
      </c>
      <c r="BT91" s="121"/>
      <c r="BU91" s="121"/>
      <c r="BV91" s="918">
        <f>IF(BT91=0,0,(BU91-BT91)/BT91*100)</f>
        <v>0</v>
      </c>
      <c r="BW91" s="121"/>
      <c r="BX91" s="121"/>
      <c r="BY91" s="918">
        <f>IF(BW91=0,0,(BX91-BW91)/BW91*100)</f>
        <v>0</v>
      </c>
      <c r="BZ91" s="121"/>
      <c r="CA91" s="121"/>
      <c r="CB91" s="918">
        <f>IF(BZ91=0,0,(CA91-BZ91)/BZ91*100)</f>
        <v>0</v>
      </c>
      <c r="CC91" s="121"/>
      <c r="CD91" s="121"/>
      <c r="CE91" s="918">
        <f>IF(CC91=0,0,(CD91-CC91)/CC91*100)</f>
        <v>0</v>
      </c>
      <c r="CF91" s="121"/>
      <c r="CG91" s="121"/>
      <c r="CH91" s="918">
        <f>IF(CF91=0,0,(CG91-CF91)/CF91*100)</f>
        <v>0</v>
      </c>
      <c r="CI91" s="121"/>
      <c r="CJ91" s="121"/>
      <c r="CK91" s="918">
        <f>IF(CI91=0,0,(CJ91-CI91)/CI91*100)</f>
        <v>0</v>
      </c>
      <c r="CL91" s="121"/>
      <c r="CM91" s="121"/>
      <c r="CN91" s="918">
        <f>IF(CL91=0,0,(CM91-CL91)/CL91*100)</f>
        <v>0</v>
      </c>
      <c r="CO91" s="121"/>
      <c r="CP91" s="121"/>
      <c r="CQ91" s="918">
        <f>IF(CO91=0,0,(CP91-CO91)/CO91*100)</f>
        <v>0</v>
      </c>
      <c r="CR91" s="121"/>
      <c r="CS91" s="121"/>
      <c r="CT91" s="918">
        <f>IF(CR91=0,0,(CS91-CR91)/CR91*100)</f>
        <v>0</v>
      </c>
      <c r="CU91" s="121"/>
      <c r="CV91" s="121"/>
      <c r="CW91" s="918">
        <f>IF(CU91=0,0,(CV91-CU91)/CU91*100)</f>
        <v>0</v>
      </c>
      <c r="CX91" s="121"/>
      <c r="CY91" s="121"/>
      <c r="CZ91" s="918">
        <f>IF(CX91=0,0,(CY91-CX91)/CX91*100)</f>
        <v>0</v>
      </c>
      <c r="DA91" s="121"/>
      <c r="DB91" s="121"/>
      <c r="DC91" s="918">
        <f>IF(DA91=0,0,(DB91-DA91)/DA91*100)</f>
        <v>0</v>
      </c>
      <c r="DD91" s="121"/>
      <c r="DE91" s="121"/>
      <c r="DF91" s="918">
        <f>IF(DD91=0,0,(DE91-DD91)/DD91*100)</f>
        <v>0</v>
      </c>
      <c r="DG91" s="121"/>
      <c r="DH91" s="121"/>
      <c r="DI91" s="918">
        <f>IF(DG91=0,0,(DH91-DG91)/DG91*100)</f>
        <v>0</v>
      </c>
      <c r="DJ91" s="121"/>
      <c r="DK91" s="121"/>
      <c r="DL91" s="918">
        <f>IF(DJ91=0,0,(DK91-DJ91)/DJ91*100)</f>
        <v>0</v>
      </c>
      <c r="DM91" s="121"/>
      <c r="DN91" s="121"/>
      <c r="DO91" s="918">
        <f>IF(DM91=0,0,(DN91-DM91)/DM91*100)</f>
        <v>0</v>
      </c>
      <c r="DP91" s="121"/>
      <c r="DQ91" s="121"/>
      <c r="DR91" s="918">
        <f>IF(DP91=0,0,(DQ91-DP91)/DP91*100)</f>
        <v>0</v>
      </c>
      <c r="DS91" s="121"/>
      <c r="DT91" s="121"/>
      <c r="DU91" s="918">
        <f>IF(DS91=0,0,(DT91-DS91)/DS91*100)</f>
        <v>0</v>
      </c>
      <c r="DV91" s="121"/>
      <c r="DW91" s="121"/>
      <c r="DX91" s="918">
        <f>IF(DV91=0,0,(DW91-DV91)/DV91*100)</f>
        <v>0</v>
      </c>
      <c r="DY91" s="121"/>
      <c r="DZ91" s="121"/>
      <c r="EA91" s="918">
        <f>IF(DY91=0,0,(DZ91-DY91)/DY91*100)</f>
        <v>0</v>
      </c>
      <c r="EB91" s="121"/>
      <c r="EC91" s="121"/>
      <c r="ED91" s="918">
        <f>IF(EB91=0,0,(EC91-EB91)/EB91*100)</f>
        <v>0</v>
      </c>
      <c r="EE91" s="121"/>
      <c r="EF91" s="121"/>
      <c r="EG91" s="918">
        <f>IF(EE91=0,0,(EF91-EE91)/EE91*100)</f>
        <v>0</v>
      </c>
      <c r="EH91" s="121"/>
      <c r="EI91" s="121"/>
      <c r="EJ91" s="918">
        <f>IF(EH91=0,0,(EI91-EH91)/EH91*100)</f>
        <v>0</v>
      </c>
      <c r="EK91" s="121"/>
      <c r="EL91" s="121"/>
      <c r="EM91" s="918">
        <f>IF(EK91=0,0,(EL91-EK91)/EK91*100)</f>
        <v>0</v>
      </c>
      <c r="EN91" s="121"/>
      <c r="EO91" s="121"/>
      <c r="EP91" s="918">
        <f>IF(EN91=0,0,(EO91-EN91)/EN91*100)</f>
        <v>0</v>
      </c>
      <c r="EQ91" s="121"/>
      <c r="ER91" s="121"/>
      <c r="ES91" s="918">
        <f>IF(EQ91=0,0,(ER91-EQ91)/EQ91*100)</f>
        <v>0</v>
      </c>
      <c r="ET91" s="121"/>
      <c r="EU91" s="121"/>
      <c r="EV91" s="918">
        <f>IF(ET91=0,0,(EU91-ET91)/ET91*100)</f>
        <v>0</v>
      </c>
      <c r="EW91" s="121"/>
      <c r="EX91" s="121"/>
      <c r="EY91" s="918">
        <f>IF(EW91=0,0,(EX91-EW91)/EW91*100)</f>
        <v>0</v>
      </c>
      <c r="EZ91" s="121"/>
      <c r="FA91" s="121"/>
      <c r="FB91" s="918">
        <f>IF(EZ91=0,0,(FA91-EZ91)/EZ91*100)</f>
        <v>0</v>
      </c>
      <c r="FC91" s="121"/>
      <c r="FD91" s="121"/>
      <c r="FE91" s="918">
        <f>IF(FC91=0,0,(FD91-FC91)/FC91*100)</f>
        <v>0</v>
      </c>
      <c r="FF91" s="121"/>
      <c r="FG91" s="121"/>
      <c r="FH91" s="918">
        <f>IF(FF91=0,0,(FG91-FF91)/FF91*100)</f>
        <v>0</v>
      </c>
      <c r="FI91" s="121"/>
      <c r="FJ91" s="121"/>
      <c r="FK91" s="918">
        <f>IF(FI91=0,0,(FJ91-FI91)/FI91*100)</f>
        <v>0</v>
      </c>
      <c r="FL91" s="121"/>
      <c r="FM91" s="121"/>
      <c r="FN91" s="918">
        <f>IF(FL91=0,0,(FM91-FL91)/FL91*100)</f>
        <v>0</v>
      </c>
      <c r="FO91" s="121"/>
      <c r="FP91" s="121"/>
      <c r="FQ91" s="918">
        <f>IF(FO91=0,0,(FP91-FO91)/FO91*100)</f>
        <v>0</v>
      </c>
      <c r="FR91" s="121"/>
      <c r="FS91" s="121"/>
      <c r="FT91" s="918">
        <f>IF(FR91=0,0,(FS91-FR91)/FR91*100)</f>
        <v>0</v>
      </c>
      <c r="FU91" s="121"/>
      <c r="FV91" s="121"/>
      <c r="FW91" s="918">
        <f>IF(FU91=0,0,(FV91-FU91)/FU91*100)</f>
        <v>0</v>
      </c>
      <c r="FX91" s="286"/>
      <c r="FY91" s="1659"/>
      <c r="FZ91" s="489" t="s">
        <v>2484</v>
      </c>
      <c r="GA91" s="489" t="s">
        <v>2485</v>
      </c>
      <c r="GB91" s="489" cm="1" t="str">
        <f t="array" ref="GB91:GB91">AB91</f>
        <v>0</v>
      </c>
      <c r="GC91" s="489"/>
      <c r="GD91" s="489" t="b">
        <v>1</v>
      </c>
      <c r="GE91" s="1506"/>
      <c r="GF91" s="1501" cm="1" t="str">
        <f t="array" ref="GF91:GF91">OFFSET(GG91,-1,-1)</f>
        <v>ТЭ.42.31656254.0001</v>
      </c>
      <c r="GG91" s="1501" t="s">
        <v>704</v>
      </c>
      <c r="GH91" s="1501"/>
      <c r="GI91" s="1501"/>
      <c r="GJ91" s="1501"/>
      <c r="GK91" s="1501" cm="1" t="str">
        <f t="array" ref="GK91:GK91">$AB91</f>
        <v>0</v>
      </c>
      <c r="GL91" s="1501" t="s">
        <v>303</v>
      </c>
      <c r="GM91" s="1501" t="s">
        <v>2453</v>
      </c>
      <c r="GN91" s="1501" t="s">
        <v>2454</v>
      </c>
    </row>
    <row s="1751" customFormat="1" customHeight="1" ht="16.5" hidden="1">
      <c r="A92" s="371"/>
      <c r="B92" s="192" cm="1" t="str">
        <f t="array" ref="B92:B92">OFFSET(A92,-1,1)</f>
        <v>true</v>
      </c>
      <c r="C92" s="1659"/>
      <c r="D92" s="1659"/>
      <c r="E92" s="180">
        <v>17</v>
      </c>
      <c r="F92" s="175" cm="1" t="str">
        <f t="array" ref="F92:F92">OFFSET(G92,-1,-1)</f>
        <v>1</v>
      </c>
      <c r="G92" s="1659"/>
      <c r="H92" s="1659"/>
      <c r="I92" s="1659"/>
      <c r="J92" s="1659"/>
      <c r="K92" s="1659"/>
      <c r="L92" s="1659"/>
      <c r="M92" s="1659"/>
      <c r="N92" s="1659"/>
      <c r="O92" s="1659"/>
      <c r="P92" s="1659"/>
      <c r="Q92" s="1659"/>
      <c r="R92" s="1659"/>
      <c r="S92" s="1659"/>
      <c r="T92" s="753">
        <f>AND(OFFSET(S92,1,1),Y91&gt;0)</f>
        <v>0</v>
      </c>
      <c r="U92" s="1548"/>
      <c r="V92" s="1548"/>
      <c r="W92" s="1548"/>
      <c r="X92" s="1548"/>
      <c r="Y92" s="1548"/>
      <c r="Z92" s="1548"/>
      <c r="AA92" s="1533"/>
      <c r="AB92" s="913" t="s">
        <v>2486</v>
      </c>
      <c r="AC92" s="381" t="s">
        <v>629</v>
      </c>
      <c r="AD92" s="121"/>
      <c r="AE92" s="121"/>
      <c r="AF92" s="918">
        <f>IF(AD92=0,0,(AE92-AD92)/AD92*100)</f>
        <v>0</v>
      </c>
      <c r="AG92" s="121"/>
      <c r="AH92" s="121"/>
      <c r="AI92" s="918">
        <f>IF(AG92=0,0,(AH92-AG92)/AG92*100)</f>
        <v>0</v>
      </c>
      <c r="AJ92" s="121"/>
      <c r="AK92" s="121"/>
      <c r="AL92" s="918">
        <f>IF(AJ92=0,0,(AK92-AJ92)/AJ92*100)</f>
        <v>0</v>
      </c>
      <c r="AM92" s="121"/>
      <c r="AN92" s="121"/>
      <c r="AO92" s="918">
        <f>IF(AM92=0,0,(AN92-AM92)/AM92*100)</f>
        <v>0</v>
      </c>
      <c r="AP92" s="121"/>
      <c r="AQ92" s="121"/>
      <c r="AR92" s="918">
        <f>IF(AP92=0,0,(AQ92-AP92)/AP92*100)</f>
        <v>0</v>
      </c>
      <c r="AS92" s="121"/>
      <c r="AT92" s="121"/>
      <c r="AU92" s="918">
        <f>IF(AS92=0,0,(AT92-AS92)/AS92*100)</f>
        <v>0</v>
      </c>
      <c r="AV92" s="121"/>
      <c r="AW92" s="121"/>
      <c r="AX92" s="918">
        <f>IF(AV92=0,0,(AW92-AV92)/AV92*100)</f>
        <v>0</v>
      </c>
      <c r="AY92" s="121"/>
      <c r="AZ92" s="121"/>
      <c r="BA92" s="918">
        <f>IF(AY92=0,0,(AZ92-AY92)/AY92*100)</f>
        <v>0</v>
      </c>
      <c r="BB92" s="121"/>
      <c r="BC92" s="121"/>
      <c r="BD92" s="918">
        <f>IF(BB92=0,0,(BC92-BB92)/BB92*100)</f>
        <v>0</v>
      </c>
      <c r="BE92" s="121"/>
      <c r="BF92" s="121"/>
      <c r="BG92" s="918">
        <f>IF(BE92=0,0,(BF92-BE92)/BE92*100)</f>
        <v>0</v>
      </c>
      <c r="BH92" s="121"/>
      <c r="BI92" s="121"/>
      <c r="BJ92" s="918">
        <f>IF(BH92=0,0,(BI92-BH92)/BH92*100)</f>
        <v>0</v>
      </c>
      <c r="BK92" s="121"/>
      <c r="BL92" s="121"/>
      <c r="BM92" s="918">
        <f>IF(BK92=0,0,(BL92-BK92)/BK92*100)</f>
        <v>0</v>
      </c>
      <c r="BN92" s="121"/>
      <c r="BO92" s="121"/>
      <c r="BP92" s="918">
        <f>IF(BN92=0,0,(BO92-BN92)/BN92*100)</f>
        <v>0</v>
      </c>
      <c r="BQ92" s="121"/>
      <c r="BR92" s="121"/>
      <c r="BS92" s="918">
        <f>IF(BQ92=0,0,(BR92-BQ92)/BQ92*100)</f>
        <v>0</v>
      </c>
      <c r="BT92" s="121"/>
      <c r="BU92" s="121"/>
      <c r="BV92" s="918">
        <f>IF(BT92=0,0,(BU92-BT92)/BT92*100)</f>
        <v>0</v>
      </c>
      <c r="BW92" s="121"/>
      <c r="BX92" s="121"/>
      <c r="BY92" s="918">
        <f>IF(BW92=0,0,(BX92-BW92)/BW92*100)</f>
        <v>0</v>
      </c>
      <c r="BZ92" s="121"/>
      <c r="CA92" s="121"/>
      <c r="CB92" s="918">
        <f>IF(BZ92=0,0,(CA92-BZ92)/BZ92*100)</f>
        <v>0</v>
      </c>
      <c r="CC92" s="121"/>
      <c r="CD92" s="121"/>
      <c r="CE92" s="918">
        <f>IF(CC92=0,0,(CD92-CC92)/CC92*100)</f>
        <v>0</v>
      </c>
      <c r="CF92" s="121"/>
      <c r="CG92" s="121"/>
      <c r="CH92" s="918">
        <f>IF(CF92=0,0,(CG92-CF92)/CF92*100)</f>
        <v>0</v>
      </c>
      <c r="CI92" s="121"/>
      <c r="CJ92" s="121"/>
      <c r="CK92" s="918">
        <f>IF(CI92=0,0,(CJ92-CI92)/CI92*100)</f>
        <v>0</v>
      </c>
      <c r="CL92" s="121"/>
      <c r="CM92" s="121"/>
      <c r="CN92" s="918">
        <f>IF(CL92=0,0,(CM92-CL92)/CL92*100)</f>
        <v>0</v>
      </c>
      <c r="CO92" s="121"/>
      <c r="CP92" s="121"/>
      <c r="CQ92" s="918">
        <f>IF(CO92=0,0,(CP92-CO92)/CO92*100)</f>
        <v>0</v>
      </c>
      <c r="CR92" s="121"/>
      <c r="CS92" s="121"/>
      <c r="CT92" s="918">
        <f>IF(CR92=0,0,(CS92-CR92)/CR92*100)</f>
        <v>0</v>
      </c>
      <c r="CU92" s="121"/>
      <c r="CV92" s="121"/>
      <c r="CW92" s="918">
        <f>IF(CU92=0,0,(CV92-CU92)/CU92*100)</f>
        <v>0</v>
      </c>
      <c r="CX92" s="121"/>
      <c r="CY92" s="121"/>
      <c r="CZ92" s="918">
        <f>IF(CX92=0,0,(CY92-CX92)/CX92*100)</f>
        <v>0</v>
      </c>
      <c r="DA92" s="121"/>
      <c r="DB92" s="121"/>
      <c r="DC92" s="918">
        <f>IF(DA92=0,0,(DB92-DA92)/DA92*100)</f>
        <v>0</v>
      </c>
      <c r="DD92" s="121"/>
      <c r="DE92" s="121"/>
      <c r="DF92" s="918">
        <f>IF(DD92=0,0,(DE92-DD92)/DD92*100)</f>
        <v>0</v>
      </c>
      <c r="DG92" s="121"/>
      <c r="DH92" s="121"/>
      <c r="DI92" s="918">
        <f>IF(DG92=0,0,(DH92-DG92)/DG92*100)</f>
        <v>0</v>
      </c>
      <c r="DJ92" s="121"/>
      <c r="DK92" s="121"/>
      <c r="DL92" s="918">
        <f>IF(DJ92=0,0,(DK92-DJ92)/DJ92*100)</f>
        <v>0</v>
      </c>
      <c r="DM92" s="121"/>
      <c r="DN92" s="121"/>
      <c r="DO92" s="918">
        <f>IF(DM92=0,0,(DN92-DM92)/DM92*100)</f>
        <v>0</v>
      </c>
      <c r="DP92" s="121"/>
      <c r="DQ92" s="121"/>
      <c r="DR92" s="918">
        <f>IF(DP92=0,0,(DQ92-DP92)/DP92*100)</f>
        <v>0</v>
      </c>
      <c r="DS92" s="121"/>
      <c r="DT92" s="121"/>
      <c r="DU92" s="918">
        <f>IF(DS92=0,0,(DT92-DS92)/DS92*100)</f>
        <v>0</v>
      </c>
      <c r="DV92" s="121"/>
      <c r="DW92" s="121"/>
      <c r="DX92" s="918">
        <f>IF(DV92=0,0,(DW92-DV92)/DV92*100)</f>
        <v>0</v>
      </c>
      <c r="DY92" s="121"/>
      <c r="DZ92" s="121"/>
      <c r="EA92" s="918">
        <f>IF(DY92=0,0,(DZ92-DY92)/DY92*100)</f>
        <v>0</v>
      </c>
      <c r="EB92" s="121"/>
      <c r="EC92" s="121"/>
      <c r="ED92" s="918">
        <f>IF(EB92=0,0,(EC92-EB92)/EB92*100)</f>
        <v>0</v>
      </c>
      <c r="EE92" s="121"/>
      <c r="EF92" s="121"/>
      <c r="EG92" s="918">
        <f>IF(EE92=0,0,(EF92-EE92)/EE92*100)</f>
        <v>0</v>
      </c>
      <c r="EH92" s="121"/>
      <c r="EI92" s="121"/>
      <c r="EJ92" s="918">
        <f>IF(EH92=0,0,(EI92-EH92)/EH92*100)</f>
        <v>0</v>
      </c>
      <c r="EK92" s="121"/>
      <c r="EL92" s="121"/>
      <c r="EM92" s="918">
        <f>IF(EK92=0,0,(EL92-EK92)/EK92*100)</f>
        <v>0</v>
      </c>
      <c r="EN92" s="121"/>
      <c r="EO92" s="121"/>
      <c r="EP92" s="918">
        <f>IF(EN92=0,0,(EO92-EN92)/EN92*100)</f>
        <v>0</v>
      </c>
      <c r="EQ92" s="121"/>
      <c r="ER92" s="121"/>
      <c r="ES92" s="918">
        <f>IF(EQ92=0,0,(ER92-EQ92)/EQ92*100)</f>
        <v>0</v>
      </c>
      <c r="ET92" s="121"/>
      <c r="EU92" s="121"/>
      <c r="EV92" s="918">
        <f>IF(ET92=0,0,(EU92-ET92)/ET92*100)</f>
        <v>0</v>
      </c>
      <c r="EW92" s="121"/>
      <c r="EX92" s="121"/>
      <c r="EY92" s="918">
        <f>IF(EW92=0,0,(EX92-EW92)/EW92*100)</f>
        <v>0</v>
      </c>
      <c r="EZ92" s="121"/>
      <c r="FA92" s="121"/>
      <c r="FB92" s="918">
        <f>IF(EZ92=0,0,(FA92-EZ92)/EZ92*100)</f>
        <v>0</v>
      </c>
      <c r="FC92" s="121"/>
      <c r="FD92" s="121"/>
      <c r="FE92" s="918">
        <f>IF(FC92=0,0,(FD92-FC92)/FC92*100)</f>
        <v>0</v>
      </c>
      <c r="FF92" s="121"/>
      <c r="FG92" s="121"/>
      <c r="FH92" s="918">
        <f>IF(FF92=0,0,(FG92-FF92)/FF92*100)</f>
        <v>0</v>
      </c>
      <c r="FI92" s="121"/>
      <c r="FJ92" s="121"/>
      <c r="FK92" s="918">
        <f>IF(FI92=0,0,(FJ92-FI92)/FI92*100)</f>
        <v>0</v>
      </c>
      <c r="FL92" s="121"/>
      <c r="FM92" s="121"/>
      <c r="FN92" s="918">
        <f>IF(FL92=0,0,(FM92-FL92)/FL92*100)</f>
        <v>0</v>
      </c>
      <c r="FO92" s="121"/>
      <c r="FP92" s="121"/>
      <c r="FQ92" s="918">
        <f>IF(FO92=0,0,(FP92-FO92)/FO92*100)</f>
        <v>0</v>
      </c>
      <c r="FR92" s="121"/>
      <c r="FS92" s="121"/>
      <c r="FT92" s="918">
        <f>IF(FR92=0,0,(FS92-FR92)/FR92*100)</f>
        <v>0</v>
      </c>
      <c r="FU92" s="121"/>
      <c r="FV92" s="121"/>
      <c r="FW92" s="918">
        <f>IF(FU92=0,0,(FV92-FU92)/FU92*100)</f>
        <v>0</v>
      </c>
      <c r="FX92" s="286"/>
      <c r="FY92" s="1659"/>
      <c r="FZ92" s="489" t="s">
        <v>2479</v>
      </c>
      <c r="GA92" s="489" t="s">
        <v>2485</v>
      </c>
      <c r="GB92" s="489" cm="1" t="str">
        <f t="array" ref="GB92:GB92">GB91</f>
        <v>0</v>
      </c>
      <c r="GC92" s="489"/>
      <c r="GD92" s="489"/>
      <c r="GE92" s="1506"/>
      <c r="GF92" s="1501" cm="1" t="str">
        <f t="array" ref="GF92:GF92">GF91</f>
        <v>ТЭ.42.31656254.0001</v>
      </c>
      <c r="GG92" s="1501" t="s">
        <v>704</v>
      </c>
      <c r="GH92" s="1501"/>
      <c r="GI92" s="1501"/>
      <c r="GJ92" s="1501"/>
      <c r="GK92" s="1501" cm="1" t="str">
        <f t="array" ref="GK92:GK92">GK91</f>
        <v>0</v>
      </c>
      <c r="GL92" s="1501" t="s">
        <v>303</v>
      </c>
      <c r="GM92" s="1501" t="s">
        <v>2079</v>
      </c>
      <c r="GN92" s="1501" t="s">
        <v>2080</v>
      </c>
    </row>
    <row s="1751" customFormat="1" customHeight="1" ht="16.5">
      <c r="A93" s="371"/>
      <c r="B93" s="192" cm="1" t="str">
        <f t="array" ref="B93:B93">OFFSET(A93,-1,1)</f>
        <v>true</v>
      </c>
      <c r="C93" s="1659"/>
      <c r="D93" s="1659"/>
      <c r="E93" s="180">
        <v>17</v>
      </c>
      <c r="F93" s="175" cm="1" t="str">
        <f t="array" ref="F93:F93">OFFSET(G93,-1,-1)</f>
        <v>1</v>
      </c>
      <c r="G93" s="1659"/>
      <c r="H93" s="1659"/>
      <c r="I93" s="1659"/>
      <c r="J93" s="1659"/>
      <c r="K93" s="1659"/>
      <c r="L93" s="1659"/>
      <c r="M93" s="1659"/>
      <c r="N93" s="1659"/>
      <c r="O93" s="1659"/>
      <c r="P93" s="1659"/>
      <c r="Q93" s="1659"/>
      <c r="R93" s="1659"/>
      <c r="S93" s="1659"/>
      <c r="T93" s="753" cm="1" t="str">
        <f t="array" ref="T93:T93">T90</f>
        <v>true</v>
      </c>
      <c r="U93" s="1548"/>
      <c r="V93" s="1548"/>
      <c r="W93" s="371" t="s">
        <v>2487</v>
      </c>
      <c r="X93" s="1548"/>
      <c r="Y93" s="1548"/>
      <c r="Z93" s="1548"/>
      <c r="AA93" s="286"/>
      <c r="AB93" s="919" t="s">
        <v>191</v>
      </c>
      <c r="AC93" s="241"/>
      <c r="AD93" s="609"/>
      <c r="AE93" s="609"/>
      <c r="AF93" s="920"/>
      <c r="AG93" s="609"/>
      <c r="AH93" s="609"/>
      <c r="AI93" s="920"/>
      <c r="AJ93" s="609"/>
      <c r="AK93" s="609"/>
      <c r="AL93" s="920"/>
      <c r="AM93" s="609"/>
      <c r="AN93" s="609"/>
      <c r="AO93" s="920"/>
      <c r="AP93" s="609"/>
      <c r="AQ93" s="609"/>
      <c r="AR93" s="920"/>
      <c r="AS93" s="609"/>
      <c r="AT93" s="609"/>
      <c r="AU93" s="920"/>
      <c r="AV93" s="609"/>
      <c r="AW93" s="609"/>
      <c r="AX93" s="920"/>
      <c r="AY93" s="609"/>
      <c r="AZ93" s="609"/>
      <c r="BA93" s="920"/>
      <c r="BB93" s="609"/>
      <c r="BC93" s="609"/>
      <c r="BD93" s="920"/>
      <c r="BE93" s="609"/>
      <c r="BF93" s="609"/>
      <c r="BG93" s="920"/>
      <c r="BH93" s="609"/>
      <c r="BI93" s="609"/>
      <c r="BJ93" s="920"/>
      <c r="BK93" s="920"/>
      <c r="BL93" s="920"/>
      <c r="BM93" s="920"/>
      <c r="BN93" s="920"/>
      <c r="BO93" s="920"/>
      <c r="BP93" s="920"/>
      <c r="BQ93" s="920"/>
      <c r="BR93" s="920"/>
      <c r="BS93" s="920"/>
      <c r="BT93" s="920"/>
      <c r="BU93" s="920"/>
      <c r="BV93" s="920"/>
      <c r="BW93" s="920"/>
      <c r="BX93" s="920"/>
      <c r="BY93" s="920"/>
      <c r="BZ93" s="920"/>
      <c r="CA93" s="920"/>
      <c r="CB93" s="920"/>
      <c r="CC93" s="920"/>
      <c r="CD93" s="920"/>
      <c r="CE93" s="920"/>
      <c r="CF93" s="920"/>
      <c r="CG93" s="920"/>
      <c r="CH93" s="920"/>
      <c r="CI93" s="920"/>
      <c r="CJ93" s="920"/>
      <c r="CK93" s="920"/>
      <c r="CL93" s="920"/>
      <c r="CM93" s="920"/>
      <c r="CN93" s="920"/>
      <c r="CO93" s="920"/>
      <c r="CP93" s="920"/>
      <c r="CQ93" s="920"/>
      <c r="CR93" s="920"/>
      <c r="CS93" s="920"/>
      <c r="CT93" s="920"/>
      <c r="CU93" s="920"/>
      <c r="CV93" s="920"/>
      <c r="CW93" s="920"/>
      <c r="CX93" s="920"/>
      <c r="CY93" s="920"/>
      <c r="CZ93" s="920"/>
      <c r="DA93" s="920"/>
      <c r="DB93" s="920"/>
      <c r="DC93" s="920"/>
      <c r="DD93" s="920"/>
      <c r="DE93" s="920"/>
      <c r="DF93" s="920"/>
      <c r="DG93" s="920"/>
      <c r="DH93" s="920"/>
      <c r="DI93" s="920"/>
      <c r="DJ93" s="920"/>
      <c r="DK93" s="920"/>
      <c r="DL93" s="920"/>
      <c r="DM93" s="920"/>
      <c r="DN93" s="920"/>
      <c r="DO93" s="920"/>
      <c r="DP93" s="920"/>
      <c r="DQ93" s="920"/>
      <c r="DR93" s="920"/>
      <c r="DS93" s="920"/>
      <c r="DT93" s="920"/>
      <c r="DU93" s="920"/>
      <c r="DV93" s="920"/>
      <c r="DW93" s="920"/>
      <c r="DX93" s="920"/>
      <c r="DY93" s="920"/>
      <c r="DZ93" s="920"/>
      <c r="EA93" s="920"/>
      <c r="EB93" s="920"/>
      <c r="EC93" s="920"/>
      <c r="ED93" s="920"/>
      <c r="EE93" s="920"/>
      <c r="EF93" s="920"/>
      <c r="EG93" s="920"/>
      <c r="EH93" s="920"/>
      <c r="EI93" s="920"/>
      <c r="EJ93" s="920"/>
      <c r="EK93" s="920"/>
      <c r="EL93" s="920"/>
      <c r="EM93" s="920"/>
      <c r="EN93" s="920"/>
      <c r="EO93" s="920"/>
      <c r="EP93" s="920"/>
      <c r="EQ93" s="920"/>
      <c r="ER93" s="920"/>
      <c r="ES93" s="920"/>
      <c r="ET93" s="920"/>
      <c r="EU93" s="920"/>
      <c r="EV93" s="920"/>
      <c r="EW93" s="920"/>
      <c r="EX93" s="920"/>
      <c r="EY93" s="920"/>
      <c r="EZ93" s="920"/>
      <c r="FA93" s="920"/>
      <c r="FB93" s="920"/>
      <c r="FC93" s="920"/>
      <c r="FD93" s="920"/>
      <c r="FE93" s="920"/>
      <c r="FF93" s="920"/>
      <c r="FG93" s="920"/>
      <c r="FH93" s="920"/>
      <c r="FI93" s="920"/>
      <c r="FJ93" s="920"/>
      <c r="FK93" s="920"/>
      <c r="FL93" s="920"/>
      <c r="FM93" s="920"/>
      <c r="FN93" s="920"/>
      <c r="FO93" s="920"/>
      <c r="FP93" s="920"/>
      <c r="FQ93" s="920"/>
      <c r="FR93" s="920"/>
      <c r="FS93" s="920"/>
      <c r="FT93" s="920"/>
      <c r="FU93" s="920"/>
      <c r="FV93" s="920"/>
      <c r="FW93" s="242"/>
      <c r="FX93" s="286"/>
      <c r="FY93" s="1659"/>
      <c r="FZ93" s="1125"/>
      <c r="GA93" s="489"/>
      <c r="GB93" s="489"/>
      <c r="GC93" s="489" t="s">
        <v>2485</v>
      </c>
      <c r="GD93" s="489"/>
      <c r="GE93" s="1506"/>
      <c r="GF93" s="1501"/>
      <c r="GG93" s="1501"/>
      <c r="GH93" s="1501"/>
      <c r="GI93" s="1501"/>
      <c r="GJ93" s="1501"/>
      <c r="GK93" s="1501"/>
      <c r="GL93" s="1501"/>
      <c r="GM93" s="1501"/>
      <c r="GN93" s="1501"/>
    </row>
    <row s="1751" customFormat="1" customHeight="1" ht="15" hidden="1">
      <c r="A94" s="371"/>
      <c r="B94" s="192">
        <f>R74="двухставочный"</f>
        <v>0</v>
      </c>
      <c r="C94" s="1659"/>
      <c r="D94" s="1659"/>
      <c r="E94" s="180">
        <v>16</v>
      </c>
      <c r="F94" s="175" cm="1" t="str">
        <f t="array" ref="F94:F94">OFFSET(G94,-1,-1)</f>
        <v>1</v>
      </c>
      <c r="G94" s="1659"/>
      <c r="H94" s="1659"/>
      <c r="I94" s="1659"/>
      <c r="J94" s="1659"/>
      <c r="K94" s="1659"/>
      <c r="L94" s="1659"/>
      <c r="M94" s="1659"/>
      <c r="N94" s="1659"/>
      <c r="O94" s="1659"/>
      <c r="P94" s="1659"/>
      <c r="Q94" s="1659"/>
      <c r="R94" s="1659"/>
      <c r="S94" s="1659"/>
      <c r="T94" s="753">
        <f>AND(F94&gt;0,G74="двухставочный")</f>
        <v>0</v>
      </c>
      <c r="U94" s="1548"/>
      <c r="V94" s="1548"/>
      <c r="W94" s="1548"/>
      <c r="X94" s="1548"/>
      <c r="Y94" s="1548"/>
      <c r="Z94" s="1548"/>
      <c r="AA94" s="286"/>
      <c r="AB94" s="921" t="s">
        <v>2488</v>
      </c>
      <c r="AC94" s="906"/>
      <c r="AD94" s="907"/>
      <c r="AE94" s="907"/>
      <c r="AF94" s="907"/>
      <c r="AG94" s="907"/>
      <c r="AH94" s="907"/>
      <c r="AI94" s="907"/>
      <c r="AJ94" s="907"/>
      <c r="AK94" s="907"/>
      <c r="AL94" s="907"/>
      <c r="AM94" s="907"/>
      <c r="AN94" s="907"/>
      <c r="AO94" s="907"/>
      <c r="AP94" s="907"/>
      <c r="AQ94" s="907"/>
      <c r="AR94" s="907"/>
      <c r="AS94" s="907"/>
      <c r="AT94" s="907"/>
      <c r="AU94" s="907"/>
      <c r="AV94" s="907"/>
      <c r="AW94" s="907"/>
      <c r="AX94" s="907"/>
      <c r="AY94" s="907"/>
      <c r="AZ94" s="907"/>
      <c r="BA94" s="907"/>
      <c r="BB94" s="907"/>
      <c r="BC94" s="907"/>
      <c r="BD94" s="907"/>
      <c r="BE94" s="907"/>
      <c r="BF94" s="907"/>
      <c r="BG94" s="907"/>
      <c r="BH94" s="907"/>
      <c r="BI94" s="907"/>
      <c r="BJ94" s="907"/>
      <c r="BK94" s="907"/>
      <c r="BL94" s="907"/>
      <c r="BM94" s="907"/>
      <c r="BN94" s="907"/>
      <c r="BO94" s="907"/>
      <c r="BP94" s="907"/>
      <c r="BQ94" s="907"/>
      <c r="BR94" s="907"/>
      <c r="BS94" s="907"/>
      <c r="BT94" s="907"/>
      <c r="BU94" s="907"/>
      <c r="BV94" s="907"/>
      <c r="BW94" s="907"/>
      <c r="BX94" s="907"/>
      <c r="BY94" s="907"/>
      <c r="BZ94" s="907"/>
      <c r="CA94" s="907"/>
      <c r="CB94" s="907"/>
      <c r="CC94" s="907"/>
      <c r="CD94" s="907"/>
      <c r="CE94" s="907"/>
      <c r="CF94" s="907"/>
      <c r="CG94" s="907"/>
      <c r="CH94" s="907"/>
      <c r="CI94" s="907"/>
      <c r="CJ94" s="907"/>
      <c r="CK94" s="907"/>
      <c r="CL94" s="907"/>
      <c r="CM94" s="907"/>
      <c r="CN94" s="907"/>
      <c r="CO94" s="907"/>
      <c r="CP94" s="907"/>
      <c r="CQ94" s="907"/>
      <c r="CR94" s="907"/>
      <c r="CS94" s="907"/>
      <c r="CT94" s="907"/>
      <c r="CU94" s="907"/>
      <c r="CV94" s="907"/>
      <c r="CW94" s="907"/>
      <c r="CX94" s="907"/>
      <c r="CY94" s="907"/>
      <c r="CZ94" s="907"/>
      <c r="DA94" s="907"/>
      <c r="DB94" s="907"/>
      <c r="DC94" s="907"/>
      <c r="DD94" s="907"/>
      <c r="DE94" s="907"/>
      <c r="DF94" s="907"/>
      <c r="DG94" s="907"/>
      <c r="DH94" s="907"/>
      <c r="DI94" s="907"/>
      <c r="DJ94" s="907"/>
      <c r="DK94" s="907"/>
      <c r="DL94" s="907"/>
      <c r="DM94" s="907"/>
      <c r="DN94" s="907"/>
      <c r="DO94" s="907"/>
      <c r="DP94" s="907"/>
      <c r="DQ94" s="907"/>
      <c r="DR94" s="907"/>
      <c r="DS94" s="907"/>
      <c r="DT94" s="907"/>
      <c r="DU94" s="907"/>
      <c r="DV94" s="907"/>
      <c r="DW94" s="907"/>
      <c r="DX94" s="907"/>
      <c r="DY94" s="907"/>
      <c r="DZ94" s="907"/>
      <c r="EA94" s="907"/>
      <c r="EB94" s="907"/>
      <c r="EC94" s="907"/>
      <c r="ED94" s="907"/>
      <c r="EE94" s="907"/>
      <c r="EF94" s="907"/>
      <c r="EG94" s="907"/>
      <c r="EH94" s="907"/>
      <c r="EI94" s="907"/>
      <c r="EJ94" s="907"/>
      <c r="EK94" s="907"/>
      <c r="EL94" s="907"/>
      <c r="EM94" s="907"/>
      <c r="EN94" s="907"/>
      <c r="EO94" s="907"/>
      <c r="EP94" s="907"/>
      <c r="EQ94" s="907"/>
      <c r="ER94" s="907"/>
      <c r="ES94" s="907"/>
      <c r="ET94" s="907"/>
      <c r="EU94" s="907"/>
      <c r="EV94" s="907"/>
      <c r="EW94" s="907"/>
      <c r="EX94" s="907"/>
      <c r="EY94" s="907"/>
      <c r="EZ94" s="907"/>
      <c r="FA94" s="907"/>
      <c r="FB94" s="907"/>
      <c r="FC94" s="907"/>
      <c r="FD94" s="907"/>
      <c r="FE94" s="907"/>
      <c r="FF94" s="907"/>
      <c r="FG94" s="907"/>
      <c r="FH94" s="907"/>
      <c r="FI94" s="907"/>
      <c r="FJ94" s="907"/>
      <c r="FK94" s="907"/>
      <c r="FL94" s="907"/>
      <c r="FM94" s="907"/>
      <c r="FN94" s="907"/>
      <c r="FO94" s="907"/>
      <c r="FP94" s="907"/>
      <c r="FQ94" s="907"/>
      <c r="FR94" s="907"/>
      <c r="FS94" s="907"/>
      <c r="FT94" s="907"/>
      <c r="FU94" s="907"/>
      <c r="FV94" s="907"/>
      <c r="FW94" s="908"/>
      <c r="FX94" s="286"/>
      <c r="FY94" s="1659"/>
      <c r="FZ94" s="1125"/>
      <c r="GA94" s="489"/>
      <c r="GB94" s="489"/>
      <c r="GC94" s="489"/>
      <c r="GD94" s="489"/>
      <c r="GE94" s="1506"/>
      <c r="GF94" s="1501"/>
      <c r="GG94" s="1501"/>
      <c r="GH94" s="1501"/>
      <c r="GI94" s="1501"/>
      <c r="GJ94" s="1501"/>
      <c r="GK94" s="1501"/>
      <c r="GL94" s="1501"/>
      <c r="GM94" s="1501"/>
      <c r="GN94" s="1501"/>
    </row>
    <row s="1751" customFormat="1" customHeight="1" ht="15" hidden="1">
      <c r="A95" s="371"/>
      <c r="B95" s="192" cm="1" t="str">
        <f t="array" ref="B95:B95">B94</f>
        <v>false</v>
      </c>
      <c r="C95" s="1659"/>
      <c r="D95" s="1659"/>
      <c r="E95" s="180">
        <v>16</v>
      </c>
      <c r="F95" s="175" cm="1" t="str">
        <f t="array" ref="F95:F95">OFFSET(G95,-1,-1)</f>
        <v>1</v>
      </c>
      <c r="G95" s="1659"/>
      <c r="H95" s="1659"/>
      <c r="I95" s="1659"/>
      <c r="J95" s="1659"/>
      <c r="K95" s="1659"/>
      <c r="L95" s="1659"/>
      <c r="M95" s="1659"/>
      <c r="N95" s="1659"/>
      <c r="O95" s="1659"/>
      <c r="P95" s="1659"/>
      <c r="Q95" s="1659"/>
      <c r="R95" s="1659"/>
      <c r="S95" s="1659"/>
      <c r="T95" s="753" cm="1" t="str">
        <f t="array" ref="T95:T95">T94</f>
        <v>false</v>
      </c>
      <c r="U95" s="1548"/>
      <c r="V95" s="1548"/>
      <c r="W95" s="1548"/>
      <c r="X95" s="1548"/>
      <c r="Y95" s="1548"/>
      <c r="Z95" s="1548"/>
      <c r="AA95" s="286"/>
      <c r="AB95" s="909" t="s">
        <v>2489</v>
      </c>
      <c r="AC95" s="922"/>
      <c r="AD95" s="923"/>
      <c r="AE95" s="923"/>
      <c r="AF95" s="923"/>
      <c r="AG95" s="923"/>
      <c r="AH95" s="923"/>
      <c r="AI95" s="923"/>
      <c r="AJ95" s="923"/>
      <c r="AK95" s="923"/>
      <c r="AL95" s="923"/>
      <c r="AM95" s="923"/>
      <c r="AN95" s="923"/>
      <c r="AO95" s="923"/>
      <c r="AP95" s="923"/>
      <c r="AQ95" s="923"/>
      <c r="AR95" s="923"/>
      <c r="AS95" s="923"/>
      <c r="AT95" s="923"/>
      <c r="AU95" s="923"/>
      <c r="AV95" s="923"/>
      <c r="AW95" s="923"/>
      <c r="AX95" s="923"/>
      <c r="AY95" s="923"/>
      <c r="AZ95" s="923"/>
      <c r="BA95" s="923"/>
      <c r="BB95" s="923"/>
      <c r="BC95" s="923"/>
      <c r="BD95" s="923"/>
      <c r="BE95" s="923"/>
      <c r="BF95" s="923"/>
      <c r="BG95" s="923"/>
      <c r="BH95" s="923"/>
      <c r="BI95" s="923"/>
      <c r="BJ95" s="923"/>
      <c r="BK95" s="923"/>
      <c r="BL95" s="923"/>
      <c r="BM95" s="923"/>
      <c r="BN95" s="923"/>
      <c r="BO95" s="923"/>
      <c r="BP95" s="923"/>
      <c r="BQ95" s="923"/>
      <c r="BR95" s="923"/>
      <c r="BS95" s="923"/>
      <c r="BT95" s="923"/>
      <c r="BU95" s="923"/>
      <c r="BV95" s="923"/>
      <c r="BW95" s="923"/>
      <c r="BX95" s="923"/>
      <c r="BY95" s="923"/>
      <c r="BZ95" s="923"/>
      <c r="CA95" s="923"/>
      <c r="CB95" s="923"/>
      <c r="CC95" s="923"/>
      <c r="CD95" s="923"/>
      <c r="CE95" s="923"/>
      <c r="CF95" s="923"/>
      <c r="CG95" s="923"/>
      <c r="CH95" s="923"/>
      <c r="CI95" s="923"/>
      <c r="CJ95" s="923"/>
      <c r="CK95" s="923"/>
      <c r="CL95" s="923"/>
      <c r="CM95" s="923"/>
      <c r="CN95" s="923"/>
      <c r="CO95" s="923"/>
      <c r="CP95" s="923"/>
      <c r="CQ95" s="923"/>
      <c r="CR95" s="923"/>
      <c r="CS95" s="923"/>
      <c r="CT95" s="923"/>
      <c r="CU95" s="923"/>
      <c r="CV95" s="923"/>
      <c r="CW95" s="923"/>
      <c r="CX95" s="923"/>
      <c r="CY95" s="923"/>
      <c r="CZ95" s="923"/>
      <c r="DA95" s="923"/>
      <c r="DB95" s="923"/>
      <c r="DC95" s="923"/>
      <c r="DD95" s="923"/>
      <c r="DE95" s="923"/>
      <c r="DF95" s="923"/>
      <c r="DG95" s="923"/>
      <c r="DH95" s="923"/>
      <c r="DI95" s="923"/>
      <c r="DJ95" s="923"/>
      <c r="DK95" s="923"/>
      <c r="DL95" s="923"/>
      <c r="DM95" s="923"/>
      <c r="DN95" s="923"/>
      <c r="DO95" s="923"/>
      <c r="DP95" s="923"/>
      <c r="DQ95" s="923"/>
      <c r="DR95" s="923"/>
      <c r="DS95" s="923"/>
      <c r="DT95" s="923"/>
      <c r="DU95" s="923"/>
      <c r="DV95" s="923"/>
      <c r="DW95" s="923"/>
      <c r="DX95" s="923"/>
      <c r="DY95" s="923"/>
      <c r="DZ95" s="923"/>
      <c r="EA95" s="923"/>
      <c r="EB95" s="923"/>
      <c r="EC95" s="923"/>
      <c r="ED95" s="923"/>
      <c r="EE95" s="923"/>
      <c r="EF95" s="923"/>
      <c r="EG95" s="923"/>
      <c r="EH95" s="923"/>
      <c r="EI95" s="923"/>
      <c r="EJ95" s="923"/>
      <c r="EK95" s="923"/>
      <c r="EL95" s="923"/>
      <c r="EM95" s="923"/>
      <c r="EN95" s="923"/>
      <c r="EO95" s="923"/>
      <c r="EP95" s="923"/>
      <c r="EQ95" s="923"/>
      <c r="ER95" s="923"/>
      <c r="ES95" s="923"/>
      <c r="ET95" s="923"/>
      <c r="EU95" s="923"/>
      <c r="EV95" s="923"/>
      <c r="EW95" s="923"/>
      <c r="EX95" s="923"/>
      <c r="EY95" s="923"/>
      <c r="EZ95" s="923"/>
      <c r="FA95" s="923"/>
      <c r="FB95" s="923"/>
      <c r="FC95" s="923"/>
      <c r="FD95" s="923"/>
      <c r="FE95" s="923"/>
      <c r="FF95" s="923"/>
      <c r="FG95" s="923"/>
      <c r="FH95" s="923"/>
      <c r="FI95" s="923"/>
      <c r="FJ95" s="923"/>
      <c r="FK95" s="923"/>
      <c r="FL95" s="923"/>
      <c r="FM95" s="923"/>
      <c r="FN95" s="923"/>
      <c r="FO95" s="923"/>
      <c r="FP95" s="923"/>
      <c r="FQ95" s="923"/>
      <c r="FR95" s="923"/>
      <c r="FS95" s="923"/>
      <c r="FT95" s="923"/>
      <c r="FU95" s="923"/>
      <c r="FV95" s="923"/>
      <c r="FW95" s="924"/>
      <c r="FX95" s="286"/>
      <c r="FY95" s="1659"/>
      <c r="FZ95" s="1125"/>
      <c r="GA95" s="489"/>
      <c r="GB95" s="489"/>
      <c r="GC95" s="489"/>
      <c r="GD95" s="489"/>
      <c r="GE95" s="1506"/>
      <c r="GF95" s="1501"/>
      <c r="GG95" s="1501"/>
      <c r="GH95" s="1501"/>
      <c r="GI95" s="1501"/>
      <c r="GJ95" s="1501"/>
      <c r="GK95" s="1501"/>
      <c r="GL95" s="1501"/>
      <c r="GM95" s="1501"/>
      <c r="GN95" s="1501"/>
    </row>
    <row s="1751" customFormat="1" customHeight="1" ht="15" hidden="1">
      <c r="A96" s="371"/>
      <c r="B96" s="192" cm="1" t="str">
        <f t="array" ref="B96:B96">B95</f>
        <v>false</v>
      </c>
      <c r="C96" s="1659"/>
      <c r="D96" s="1659"/>
      <c r="E96" s="180">
        <v>16</v>
      </c>
      <c r="F96" s="175" cm="1" t="str">
        <f t="array" ref="F96:F96">OFFSET(G96,-1,-1)</f>
        <v>1</v>
      </c>
      <c r="G96" s="193" t="s">
        <v>2085</v>
      </c>
      <c r="H96" s="1659"/>
      <c r="I96" s="193" t="s">
        <v>2449</v>
      </c>
      <c r="J96" s="1659"/>
      <c r="K96" s="1659"/>
      <c r="L96" s="1659"/>
      <c r="M96" s="1659"/>
      <c r="N96" s="1659"/>
      <c r="O96" s="1659"/>
      <c r="P96" s="1659"/>
      <c r="Q96" s="1659"/>
      <c r="R96" s="1659"/>
      <c r="S96" s="1659"/>
      <c r="T96" s="753" cm="1" t="str">
        <f t="array" ref="T96:T96">T95</f>
        <v>false</v>
      </c>
      <c r="U96" s="1548"/>
      <c r="V96" s="1548"/>
      <c r="W96" s="1548"/>
      <c r="X96" s="1548"/>
      <c r="Y96" s="1548"/>
      <c r="Z96" s="1548"/>
      <c r="AA96" s="286"/>
      <c r="AB96" s="560" t="s">
        <v>2490</v>
      </c>
      <c r="AC96" s="380" t="s">
        <v>1005</v>
      </c>
      <c r="AD96" s="76">
        <f>IF(method_reg="Метод экономически обоснованных расходов",_xlfn.SUMIFS('Калькуляция (4.6)'!AJ$25:AJ$162,'Калькуляция (4.6)'!$F$25:$F$162,$F96,'Калькуляция (4.6)'!$G$25:$G$162,$G96),IF(method_reg="Метод сравнения аналогов",_xlfn.SUMIFS(INDEX('Калькуляция (МСА)'!$AE$25:$BW$82,,MATCH(AD$8,'Калькуляция (МСА)'!$AE$8:$BW$8,0)),'Калькуляция (МСА)'!$F$25:$F$82,$F96,'Калькуляция (МСА)'!$G$25:$G$82,$G96),_xlfn.SUMIFS(INDEX('Калькуляция (5.9)'!$AJ$25:$BW$139,,MATCH(AD$8,'Калькуляция (5.9)'!$AJ$8:$BW$8,0)),'Калькуляция (5.9)'!$F$25:$F$139,$F96,'Калькуляция (5.9)'!$G$25:$G$139,$G96)))</f>
        <v>2220.93</v>
      </c>
      <c r="AE96" s="76">
        <f>IF(method_reg="Метод экономически обоснованных расходов",_xlfn.SUMIFS('Калькуляция (4.6)'!AK$25:AK$162,'Калькуляция (4.6)'!$F$25:$F$162,$F96,'Калькуляция (4.6)'!$G$25:$G$162,$G96),IF(method_reg="Метод сравнения аналогов",_xlfn.SUMIFS(INDEX('Калькуляция (МСА)'!$AE$25:$BW$82,,MATCH(AE$8,'Калькуляция (МСА)'!$AE$8:$BW$8,0)),'Калькуляция (МСА)'!$F$25:$F$82,$F96,'Калькуляция (МСА)'!$G$25:$G$82,$G96),_xlfn.SUMIFS(INDEX('Калькуляция (5.9)'!$AJ$25:$BW$139,,MATCH(AE$8,'Калькуляция (5.9)'!$AJ$8:$BW$8,0)),'Калькуляция (5.9)'!$F$25:$F$139,$F96,'Калькуляция (5.9)'!$G$25:$G$139,$G96)))</f>
        <v>2220.93</v>
      </c>
      <c r="AF96" s="915">
        <f>IF(AD96=0,0,(AE96-AD96)/AD96*100)</f>
        <v>0</v>
      </c>
      <c r="AG96" s="76">
        <f>IF(method_reg="Метод сравнения аналогов",_xlfn.SUMIFS(INDEX('Калькуляция (МСА)'!$AE$25:$BW$82,,MATCH(AG$8,'Калькуляция (МСА)'!$AE$8:$BW$8,0)),'Калькуляция (МСА)'!$F$25:$F$82,$F96,'Калькуляция (МСА)'!$G$25:$G$82,$G96),_xlfn.SUMIFS(INDEX('Калькуляция (5.9)'!$AJ$25:$BW$139,,MATCH(AG$8,'Калькуляция (5.9)'!$AJ$8:$BW$8,0)),'Калькуляция (5.9)'!$F$25:$F$139,$F96,'Калькуляция (5.9)'!$G$25:$G$139,$G96))</f>
        <v>0</v>
      </c>
      <c r="AH96" s="76">
        <f>IF(method_reg="Метод сравнения аналогов",_xlfn.SUMIFS(INDEX('Калькуляция (МСА)'!$AE$25:$BW$82,,MATCH(AH$8,'Калькуляция (МСА)'!$AE$8:$BW$8,0)),'Калькуляция (МСА)'!$F$25:$F$82,$F96,'Калькуляция (МСА)'!$G$25:$G$82,$G96),_xlfn.SUMIFS(INDEX('Калькуляция (5.9)'!$AJ$25:$BW$139,,MATCH(AH$8,'Калькуляция (5.9)'!$AJ$8:$BW$8,0)),'Калькуляция (5.9)'!$F$25:$F$139,$F96,'Калькуляция (5.9)'!$G$25:$G$139,$G96))</f>
        <v>0</v>
      </c>
      <c r="AI96" s="915">
        <f>IF(AG96=0,0,(AH96-AG96)/AG96*100)</f>
        <v>0</v>
      </c>
      <c r="AJ96" s="76">
        <f>IF(method_reg="Метод сравнения аналогов",_xlfn.SUMIFS(INDEX('Калькуляция (МСА)'!$AE$25:$BW$82,,MATCH(AJ$8,'Калькуляция (МСА)'!$AE$8:$BW$8,0)),'Калькуляция (МСА)'!$F$25:$F$82,$F96,'Калькуляция (МСА)'!$G$25:$G$82,$G96),_xlfn.SUMIFS(INDEX('Калькуляция (5.9)'!$AJ$25:$BW$139,,MATCH(AJ$8,'Калькуляция (5.9)'!$AJ$8:$BW$8,0)),'Калькуляция (5.9)'!$F$25:$F$139,$F96,'Калькуляция (5.9)'!$G$25:$G$139,$G96))</f>
        <v>0</v>
      </c>
      <c r="AK96" s="76">
        <f>IF(method_reg="Метод сравнения аналогов",_xlfn.SUMIFS(INDEX('Калькуляция (МСА)'!$AE$25:$BW$82,,MATCH(AK$8,'Калькуляция (МСА)'!$AE$8:$BW$8,0)),'Калькуляция (МСА)'!$F$25:$F$82,$F96,'Калькуляция (МСА)'!$G$25:$G$82,$G96),_xlfn.SUMIFS(INDEX('Калькуляция (5.9)'!$AJ$25:$BW$139,,MATCH(AK$8,'Калькуляция (5.9)'!$AJ$8:$BW$8,0)),'Калькуляция (5.9)'!$F$25:$F$139,$F96,'Калькуляция (5.9)'!$G$25:$G$139,$G96))</f>
        <v>0</v>
      </c>
      <c r="AL96" s="915">
        <f>IF(AJ96=0,0,(AK96-AJ96)/AJ96*100)</f>
        <v>0</v>
      </c>
      <c r="AM96" s="76">
        <f>IF(method_reg="Метод сравнения аналогов",_xlfn.SUMIFS(INDEX('Калькуляция (МСА)'!$AE$25:$BW$82,,MATCH(AM$8,'Калькуляция (МСА)'!$AE$8:$BW$8,0)),'Калькуляция (МСА)'!$F$25:$F$82,$F96,'Калькуляция (МСА)'!$G$25:$G$82,$G96),_xlfn.SUMIFS(INDEX('Калькуляция (5.9)'!$AJ$25:$BW$139,,MATCH(AM$8,'Калькуляция (5.9)'!$AJ$8:$BW$8,0)),'Калькуляция (5.9)'!$F$25:$F$139,$F96,'Калькуляция (5.9)'!$G$25:$G$139,$G96))</f>
        <v>0</v>
      </c>
      <c r="AN96" s="76">
        <f>IF(method_reg="Метод сравнения аналогов",_xlfn.SUMIFS(INDEX('Калькуляция (МСА)'!$AE$25:$BW$82,,MATCH(AN$8,'Калькуляция (МСА)'!$AE$8:$BW$8,0)),'Калькуляция (МСА)'!$F$25:$F$82,$F96,'Калькуляция (МСА)'!$G$25:$G$82,$G96),_xlfn.SUMIFS(INDEX('Калькуляция (5.9)'!$AJ$25:$BW$139,,MATCH(AN$8,'Калькуляция (5.9)'!$AJ$8:$BW$8,0)),'Калькуляция (5.9)'!$F$25:$F$139,$F96,'Калькуляция (5.9)'!$G$25:$G$139,$G96))</f>
        <v>0</v>
      </c>
      <c r="AO96" s="915">
        <f>IF(AM96=0,0,(AN96-AM96)/AM96*100)</f>
        <v>0</v>
      </c>
      <c r="AP96" s="76">
        <f>IF(method_reg="Метод сравнения аналогов",_xlfn.SUMIFS(INDEX('Калькуляция (МСА)'!$AE$25:$BW$82,,MATCH(AP$8,'Калькуляция (МСА)'!$AE$8:$BW$8,0)),'Калькуляция (МСА)'!$F$25:$F$82,$F96,'Калькуляция (МСА)'!$G$25:$G$82,$G96),_xlfn.SUMIFS(INDEX('Калькуляция (5.9)'!$AJ$25:$BW$139,,MATCH(AP$8,'Калькуляция (5.9)'!$AJ$8:$BW$8,0)),'Калькуляция (5.9)'!$F$25:$F$139,$F96,'Калькуляция (5.9)'!$G$25:$G$139,$G96))</f>
        <v>0</v>
      </c>
      <c r="AQ96" s="76">
        <f>IF(method_reg="Метод сравнения аналогов",_xlfn.SUMIFS(INDEX('Калькуляция (МСА)'!$AE$25:$BW$82,,MATCH(AQ$8,'Калькуляция (МСА)'!$AE$8:$BW$8,0)),'Калькуляция (МСА)'!$F$25:$F$82,$F96,'Калькуляция (МСА)'!$G$25:$G$82,$G96),_xlfn.SUMIFS(INDEX('Калькуляция (5.9)'!$AJ$25:$BW$139,,MATCH(AQ$8,'Калькуляция (5.9)'!$AJ$8:$BW$8,0)),'Калькуляция (5.9)'!$F$25:$F$139,$F96,'Калькуляция (5.9)'!$G$25:$G$139,$G96))</f>
        <v>0</v>
      </c>
      <c r="AR96" s="915">
        <f>IF(AP96=0,0,(AQ96-AP96)/AP96*100)</f>
        <v>0</v>
      </c>
      <c r="AS96" s="76">
        <f>IF(method_reg="Метод сравнения аналогов",_xlfn.SUMIFS(INDEX('Калькуляция (МСА)'!$AE$25:$BW$82,,MATCH(AS$8,'Калькуляция (МСА)'!$AE$8:$BW$8,0)),'Калькуляция (МСА)'!$F$25:$F$82,$F96,'Калькуляция (МСА)'!$G$25:$G$82,$G96),_xlfn.SUMIFS(INDEX('Калькуляция (5.9)'!$AJ$25:$BW$139,,MATCH(AS$8,'Калькуляция (5.9)'!$AJ$8:$BW$8,0)),'Калькуляция (5.9)'!$F$25:$F$139,$F96,'Калькуляция (5.9)'!$G$25:$G$139,$G96))</f>
        <v>0</v>
      </c>
      <c r="AT96" s="76">
        <f>IF(method_reg="Метод сравнения аналогов",_xlfn.SUMIFS(INDEX('Калькуляция (МСА)'!$AE$25:$BW$82,,MATCH(AT$8,'Калькуляция (МСА)'!$AE$8:$BW$8,0)),'Калькуляция (МСА)'!$F$25:$F$82,$F96,'Калькуляция (МСА)'!$G$25:$G$82,$G96),_xlfn.SUMIFS(INDEX('Калькуляция (5.9)'!$AJ$25:$BW$139,,MATCH(AT$8,'Калькуляция (5.9)'!$AJ$8:$BW$8,0)),'Калькуляция (5.9)'!$F$25:$F$139,$F96,'Калькуляция (5.9)'!$G$25:$G$139,$G96))</f>
        <v>0</v>
      </c>
      <c r="AU96" s="915">
        <f>IF(AS96=0,0,(AT96-AS96)/AS96*100)</f>
        <v>0</v>
      </c>
      <c r="AV96" s="76">
        <f>IF(method_reg="Метод сравнения аналогов",_xlfn.SUMIFS(INDEX('Калькуляция (МСА)'!$AE$25:$BW$82,,MATCH(AV$8,'Калькуляция (МСА)'!$AE$8:$BW$8,0)),'Калькуляция (МСА)'!$F$25:$F$82,$F96,'Калькуляция (МСА)'!$G$25:$G$82,$G96),_xlfn.SUMIFS(INDEX('Калькуляция (5.9)'!$AJ$25:$BW$139,,MATCH(AV$8,'Калькуляция (5.9)'!$AJ$8:$BW$8,0)),'Калькуляция (5.9)'!$F$25:$F$139,$F96,'Калькуляция (5.9)'!$G$25:$G$139,$G96))</f>
        <v>0</v>
      </c>
      <c r="AW96" s="76">
        <f>IF(method_reg="Метод сравнения аналогов",_xlfn.SUMIFS(INDEX('Калькуляция (МСА)'!$AE$25:$BW$82,,MATCH(AW$8,'Калькуляция (МСА)'!$AE$8:$BW$8,0)),'Калькуляция (МСА)'!$F$25:$F$82,$F96,'Калькуляция (МСА)'!$G$25:$G$82,$G96),_xlfn.SUMIFS(INDEX('Калькуляция (5.9)'!$AJ$25:$BW$139,,MATCH(AW$8,'Калькуляция (5.9)'!$AJ$8:$BW$8,0)),'Калькуляция (5.9)'!$F$25:$F$139,$F96,'Калькуляция (5.9)'!$G$25:$G$139,$G96))</f>
        <v>0</v>
      </c>
      <c r="AX96" s="915">
        <f>IF(AV96=0,0,(AW96-AV96)/AV96*100)</f>
        <v>0</v>
      </c>
      <c r="AY96" s="76">
        <f>IF(method_reg="Метод сравнения аналогов",_xlfn.SUMIFS(INDEX('Калькуляция (МСА)'!$AE$25:$BW$82,,MATCH(AY$8,'Калькуляция (МСА)'!$AE$8:$BW$8,0)),'Калькуляция (МСА)'!$F$25:$F$82,$F96,'Калькуляция (МСА)'!$G$25:$G$82,$G96),_xlfn.SUMIFS(INDEX('Калькуляция (5.9)'!$AJ$25:$BW$139,,MATCH(AY$8,'Калькуляция (5.9)'!$AJ$8:$BW$8,0)),'Калькуляция (5.9)'!$F$25:$F$139,$F96,'Калькуляция (5.9)'!$G$25:$G$139,$G96))</f>
        <v>0</v>
      </c>
      <c r="AZ96" s="76">
        <f>IF(method_reg="Метод сравнения аналогов",_xlfn.SUMIFS(INDEX('Калькуляция (МСА)'!$AE$25:$BW$82,,MATCH(AZ$8,'Калькуляция (МСА)'!$AE$8:$BW$8,0)),'Калькуляция (МСА)'!$F$25:$F$82,$F96,'Калькуляция (МСА)'!$G$25:$G$82,$G96),_xlfn.SUMIFS(INDEX('Калькуляция (5.9)'!$AJ$25:$BW$139,,MATCH(AZ$8,'Калькуляция (5.9)'!$AJ$8:$BW$8,0)),'Калькуляция (5.9)'!$F$25:$F$139,$F96,'Калькуляция (5.9)'!$G$25:$G$139,$G96))</f>
        <v>0</v>
      </c>
      <c r="BA96" s="915">
        <f>IF(AY96=0,0,(AZ96-AY96)/AY96*100)</f>
        <v>0</v>
      </c>
      <c r="BB96" s="76">
        <f>IF(method_reg="Метод сравнения аналогов",_xlfn.SUMIFS(INDEX('Калькуляция (МСА)'!$AE$25:$BW$82,,MATCH(BB$8,'Калькуляция (МСА)'!$AE$8:$BW$8,0)),'Калькуляция (МСА)'!$F$25:$F$82,$F96,'Калькуляция (МСА)'!$G$25:$G$82,$G96),_xlfn.SUMIFS(INDEX('Калькуляция (5.9)'!$AJ$25:$BW$139,,MATCH(BB$8,'Калькуляция (5.9)'!$AJ$8:$BW$8,0)),'Калькуляция (5.9)'!$F$25:$F$139,$F96,'Калькуляция (5.9)'!$G$25:$G$139,$G96))</f>
        <v>0</v>
      </c>
      <c r="BC96" s="76">
        <f>IF(method_reg="Метод сравнения аналогов",_xlfn.SUMIFS(INDEX('Калькуляция (МСА)'!$AE$25:$BW$82,,MATCH(BC$8,'Калькуляция (МСА)'!$AE$8:$BW$8,0)),'Калькуляция (МСА)'!$F$25:$F$82,$F96,'Калькуляция (МСА)'!$G$25:$G$82,$G96),_xlfn.SUMIFS(INDEX('Калькуляция (5.9)'!$AJ$25:$BW$139,,MATCH(BC$8,'Калькуляция (5.9)'!$AJ$8:$BW$8,0)),'Калькуляция (5.9)'!$F$25:$F$139,$F96,'Калькуляция (5.9)'!$G$25:$G$139,$G96))</f>
        <v>0</v>
      </c>
      <c r="BD96" s="915">
        <f>IF(BB96=0,0,(BC96-BB96)/BB96*100)</f>
        <v>0</v>
      </c>
      <c r="BE96" s="76">
        <f>IF(method_reg="Метод сравнения аналогов",_xlfn.SUMIFS(INDEX('Калькуляция (МСА)'!$AE$25:$BW$82,,MATCH(BE$8,'Калькуляция (МСА)'!$AE$8:$BW$8,0)),'Калькуляция (МСА)'!$F$25:$F$82,$F96,'Калькуляция (МСА)'!$G$25:$G$82,$G96),_xlfn.SUMIFS(INDEX('Калькуляция (5.9)'!$AJ$25:$BW$139,,MATCH(BE$8,'Калькуляция (5.9)'!$AJ$8:$BW$8,0)),'Калькуляция (5.9)'!$F$25:$F$139,$F96,'Калькуляция (5.9)'!$G$25:$G$139,$G96))</f>
        <v>0</v>
      </c>
      <c r="BF96" s="76">
        <f>IF(method_reg="Метод сравнения аналогов",_xlfn.SUMIFS(INDEX('Калькуляция (МСА)'!$AE$25:$BW$82,,MATCH(BF$8,'Калькуляция (МСА)'!$AE$8:$BW$8,0)),'Калькуляция (МСА)'!$F$25:$F$82,$F96,'Калькуляция (МСА)'!$G$25:$G$82,$G96),_xlfn.SUMIFS(INDEX('Калькуляция (5.9)'!$AJ$25:$BW$139,,MATCH(BF$8,'Калькуляция (5.9)'!$AJ$8:$BW$8,0)),'Калькуляция (5.9)'!$F$25:$F$139,$F96,'Калькуляция (5.9)'!$G$25:$G$139,$G96))</f>
        <v>0</v>
      </c>
      <c r="BG96" s="915">
        <f>IF(BE96=0,0,(BF96-BE96)/BE96*100)</f>
        <v>0</v>
      </c>
      <c r="BH96" s="76">
        <f>IF(BH98=0,0,(BH97*BH98+BH99*BH100*6)/BH98)</f>
        <v>0</v>
      </c>
      <c r="BI96" s="76">
        <f>IF(BI98=0,0,(BI97*BI98+BI99*BI100*6)/BI98)</f>
        <v>0</v>
      </c>
      <c r="BJ96" s="915">
        <f>IF(BH96=0,0,(BI96-BH96)/BH96*100)</f>
        <v>0</v>
      </c>
      <c r="BK96" s="76">
        <f>IF(BK98=0,0,(BK97*BK98+BK99*BK100*6)/BK98)</f>
        <v>0</v>
      </c>
      <c r="BL96" s="76">
        <f>IF(BL98=0,0,(BL97*BL98+BL99*BL100*6)/BL98)</f>
        <v>0</v>
      </c>
      <c r="BM96" s="915">
        <f>IF(BK96=0,0,(BL96-BK96)/BK96*100)</f>
        <v>0</v>
      </c>
      <c r="BN96" s="76">
        <f>IF(BN98=0,0,(BN97*BN98+BN99*BN100*6)/BN98)</f>
        <v>0</v>
      </c>
      <c r="BO96" s="76">
        <f>IF(BO98=0,0,(BO97*BO98+BO99*BO100*6)/BO98)</f>
        <v>0</v>
      </c>
      <c r="BP96" s="915">
        <f>IF(BN96=0,0,(BO96-BN96)/BN96*100)</f>
        <v>0</v>
      </c>
      <c r="BQ96" s="76">
        <f>IF(BQ98=0,0,(BQ97*BQ98+BQ99*BQ100*6)/BQ98)</f>
        <v>0</v>
      </c>
      <c r="BR96" s="76">
        <f>IF(BR98=0,0,(BR97*BR98+BR99*BR100*6)/BR98)</f>
        <v>0</v>
      </c>
      <c r="BS96" s="915">
        <f>IF(BQ96=0,0,(BR96-BQ96)/BQ96*100)</f>
        <v>0</v>
      </c>
      <c r="BT96" s="76">
        <f>IF(BT98=0,0,(BT97*BT98+BT99*BT100*6)/BT98)</f>
        <v>0</v>
      </c>
      <c r="BU96" s="76">
        <f>IF(BU98=0,0,(BU97*BU98+BU99*BU100*6)/BU98)</f>
        <v>0</v>
      </c>
      <c r="BV96" s="915">
        <f>IF(BT96=0,0,(BU96-BT96)/BT96*100)</f>
        <v>0</v>
      </c>
      <c r="BW96" s="76">
        <f>IF(BW98=0,0,(BW97*BW98+BW99*BW100*6)/BW98)</f>
        <v>0</v>
      </c>
      <c r="BX96" s="76">
        <f>IF(BX98=0,0,(BX97*BX98+BX99*BX100*6)/BX98)</f>
        <v>0</v>
      </c>
      <c r="BY96" s="915">
        <f>IF(BW96=0,0,(BX96-BW96)/BW96*100)</f>
        <v>0</v>
      </c>
      <c r="BZ96" s="76">
        <f>IF(BZ98=0,0,(BZ97*BZ98+BZ99*BZ100*6)/BZ98)</f>
        <v>0</v>
      </c>
      <c r="CA96" s="76">
        <f>IF(CA98=0,0,(CA97*CA98+CA99*CA100*6)/CA98)</f>
        <v>0</v>
      </c>
      <c r="CB96" s="915">
        <f>IF(BZ96=0,0,(CA96-BZ96)/BZ96*100)</f>
        <v>0</v>
      </c>
      <c r="CC96" s="76">
        <f>IF(CC98=0,0,(CC97*CC98+CC99*CC100*6)/CC98)</f>
        <v>0</v>
      </c>
      <c r="CD96" s="76">
        <f>IF(CD98=0,0,(CD97*CD98+CD99*CD100*6)/CD98)</f>
        <v>0</v>
      </c>
      <c r="CE96" s="915">
        <f>IF(CC96=0,0,(CD96-CC96)/CC96*100)</f>
        <v>0</v>
      </c>
      <c r="CF96" s="76">
        <f>IF(CF98=0,0,(CF97*CF98+CF99*CF100*6)/CF98)</f>
        <v>0</v>
      </c>
      <c r="CG96" s="76">
        <f>IF(CG98=0,0,(CG97*CG98+CG99*CG100*6)/CG98)</f>
        <v>0</v>
      </c>
      <c r="CH96" s="915">
        <f>IF(CF96=0,0,(CG96-CF96)/CF96*100)</f>
        <v>0</v>
      </c>
      <c r="CI96" s="76">
        <f>IF(CI98=0,0,(CI97*CI98+CI99*CI100*6)/CI98)</f>
        <v>0</v>
      </c>
      <c r="CJ96" s="76">
        <f>IF(CJ98=0,0,(CJ97*CJ98+CJ99*CJ100*6)/CJ98)</f>
        <v>0</v>
      </c>
      <c r="CK96" s="915">
        <f>IF(CI96=0,0,(CJ96-CI96)/CI96*100)</f>
        <v>0</v>
      </c>
      <c r="CL96" s="76">
        <f>IF(CL98=0,0,(CL97*CL98+CL99*CL100*6)/CL98)</f>
        <v>0</v>
      </c>
      <c r="CM96" s="76">
        <f>IF(CM98=0,0,(CM97*CM98+CM99*CM100*6)/CM98)</f>
        <v>0</v>
      </c>
      <c r="CN96" s="915">
        <f>IF(CL96=0,0,(CM96-CL96)/CL96*100)</f>
        <v>0</v>
      </c>
      <c r="CO96" s="76">
        <f>IF(CO98=0,0,(CO97*CO98+CO99*CO100*6)/CO98)</f>
        <v>0</v>
      </c>
      <c r="CP96" s="76">
        <f>IF(CP98=0,0,(CP97*CP98+CP99*CP100*6)/CP98)</f>
        <v>0</v>
      </c>
      <c r="CQ96" s="915">
        <f>IF(CO96=0,0,(CP96-CO96)/CO96*100)</f>
        <v>0</v>
      </c>
      <c r="CR96" s="76">
        <f>IF(CR98=0,0,(CR97*CR98+CR99*CR100*6)/CR98)</f>
        <v>0</v>
      </c>
      <c r="CS96" s="76">
        <f>IF(CS98=0,0,(CS97*CS98+CS99*CS100*6)/CS98)</f>
        <v>0</v>
      </c>
      <c r="CT96" s="915">
        <f>IF(CR96=0,0,(CS96-CR96)/CR96*100)</f>
        <v>0</v>
      </c>
      <c r="CU96" s="76">
        <f>IF(CU98=0,0,(CU97*CU98+CU99*CU100*6)/CU98)</f>
        <v>0</v>
      </c>
      <c r="CV96" s="76">
        <f>IF(CV98=0,0,(CV97*CV98+CV99*CV100*6)/CV98)</f>
        <v>0</v>
      </c>
      <c r="CW96" s="915">
        <f>IF(CU96=0,0,(CV96-CU96)/CU96*100)</f>
        <v>0</v>
      </c>
      <c r="CX96" s="76">
        <f>IF(CX98=0,0,(CX97*CX98+CX99*CX100*6)/CX98)</f>
        <v>0</v>
      </c>
      <c r="CY96" s="76">
        <f>IF(CY98=0,0,(CY97*CY98+CY99*CY100*6)/CY98)</f>
        <v>0</v>
      </c>
      <c r="CZ96" s="915">
        <f>IF(CX96=0,0,(CY96-CX96)/CX96*100)</f>
        <v>0</v>
      </c>
      <c r="DA96" s="76">
        <f>IF(DA98=0,0,(DA97*DA98+DA99*DA100*6)/DA98)</f>
        <v>0</v>
      </c>
      <c r="DB96" s="76">
        <f>IF(DB98=0,0,(DB97*DB98+DB99*DB100*6)/DB98)</f>
        <v>0</v>
      </c>
      <c r="DC96" s="915">
        <f>IF(DA96=0,0,(DB96-DA96)/DA96*100)</f>
        <v>0</v>
      </c>
      <c r="DD96" s="76">
        <f>IF(DD98=0,0,(DD97*DD98+DD99*DD100*6)/DD98)</f>
        <v>0</v>
      </c>
      <c r="DE96" s="76">
        <f>IF(DE98=0,0,(DE97*DE98+DE99*DE100*6)/DE98)</f>
        <v>0</v>
      </c>
      <c r="DF96" s="915">
        <f>IF(DD96=0,0,(DE96-DD96)/DD96*100)</f>
        <v>0</v>
      </c>
      <c r="DG96" s="76">
        <f>IF(DG98=0,0,(DG97*DG98+DG99*DG100*6)/DG98)</f>
        <v>0</v>
      </c>
      <c r="DH96" s="76">
        <f>IF(DH98=0,0,(DH97*DH98+DH99*DH100*6)/DH98)</f>
        <v>0</v>
      </c>
      <c r="DI96" s="915">
        <f>IF(DG96=0,0,(DH96-DG96)/DG96*100)</f>
        <v>0</v>
      </c>
      <c r="DJ96" s="76">
        <f>IF(DJ98=0,0,(DJ97*DJ98+DJ99*DJ100*6)/DJ98)</f>
        <v>0</v>
      </c>
      <c r="DK96" s="76">
        <f>IF(DK98=0,0,(DK97*DK98+DK99*DK100*6)/DK98)</f>
        <v>0</v>
      </c>
      <c r="DL96" s="915">
        <f>IF(DJ96=0,0,(DK96-DJ96)/DJ96*100)</f>
        <v>0</v>
      </c>
      <c r="DM96" s="76">
        <f>IF(DM98=0,0,(DM97*DM98+DM99*DM100*6)/DM98)</f>
        <v>0</v>
      </c>
      <c r="DN96" s="76">
        <f>IF(DN98=0,0,(DN97*DN98+DN99*DN100*6)/DN98)</f>
        <v>0</v>
      </c>
      <c r="DO96" s="915">
        <f>IF(DM96=0,0,(DN96-DM96)/DM96*100)</f>
        <v>0</v>
      </c>
      <c r="DP96" s="76">
        <f>IF(DP98=0,0,(DP97*DP98+DP99*DP100*6)/DP98)</f>
        <v>0</v>
      </c>
      <c r="DQ96" s="76">
        <f>IF(DQ98=0,0,(DQ97*DQ98+DQ99*DQ100*6)/DQ98)</f>
        <v>0</v>
      </c>
      <c r="DR96" s="915">
        <f>IF(DP96=0,0,(DQ96-DP96)/DP96*100)</f>
        <v>0</v>
      </c>
      <c r="DS96" s="76">
        <f>IF(DS98=0,0,(DS97*DS98+DS99*DS100*6)/DS98)</f>
        <v>0</v>
      </c>
      <c r="DT96" s="76">
        <f>IF(DT98=0,0,(DT97*DT98+DT99*DT100*6)/DT98)</f>
        <v>0</v>
      </c>
      <c r="DU96" s="915">
        <f>IF(DS96=0,0,(DT96-DS96)/DS96*100)</f>
        <v>0</v>
      </c>
      <c r="DV96" s="76">
        <f>IF(DV98=0,0,(DV97*DV98+DV99*DV100*6)/DV98)</f>
        <v>0</v>
      </c>
      <c r="DW96" s="76">
        <f>IF(DW98=0,0,(DW97*DW98+DW99*DW100*6)/DW98)</f>
        <v>0</v>
      </c>
      <c r="DX96" s="915">
        <f>IF(DV96=0,0,(DW96-DV96)/DV96*100)</f>
        <v>0</v>
      </c>
      <c r="DY96" s="76">
        <f>IF(DY98=0,0,(DY97*DY98+DY99*DY100*6)/DY98)</f>
        <v>0</v>
      </c>
      <c r="DZ96" s="76">
        <f>IF(DZ98=0,0,(DZ97*DZ98+DZ99*DZ100*6)/DZ98)</f>
        <v>0</v>
      </c>
      <c r="EA96" s="915">
        <f>IF(DY96=0,0,(DZ96-DY96)/DY96*100)</f>
        <v>0</v>
      </c>
      <c r="EB96" s="76">
        <f>IF(EB98=0,0,(EB97*EB98+EB99*EB100*6)/EB98)</f>
        <v>0</v>
      </c>
      <c r="EC96" s="76">
        <f>IF(EC98=0,0,(EC97*EC98+EC99*EC100*6)/EC98)</f>
        <v>0</v>
      </c>
      <c r="ED96" s="915">
        <f>IF(EB96=0,0,(EC96-EB96)/EB96*100)</f>
        <v>0</v>
      </c>
      <c r="EE96" s="76">
        <f>IF(EE98=0,0,(EE97*EE98+EE99*EE100*6)/EE98)</f>
        <v>0</v>
      </c>
      <c r="EF96" s="76">
        <f>IF(EF98=0,0,(EF97*EF98+EF99*EF100*6)/EF98)</f>
        <v>0</v>
      </c>
      <c r="EG96" s="915">
        <f>IF(EE96=0,0,(EF96-EE96)/EE96*100)</f>
        <v>0</v>
      </c>
      <c r="EH96" s="76">
        <f>IF(EH98=0,0,(EH97*EH98+EH99*EH100*6)/EH98)</f>
        <v>0</v>
      </c>
      <c r="EI96" s="76">
        <f>IF(EI98=0,0,(EI97*EI98+EI99*EI100*6)/EI98)</f>
        <v>0</v>
      </c>
      <c r="EJ96" s="915">
        <f>IF(EH96=0,0,(EI96-EH96)/EH96*100)</f>
        <v>0</v>
      </c>
      <c r="EK96" s="76">
        <f>IF(EK98=0,0,(EK97*EK98+EK99*EK100*6)/EK98)</f>
        <v>0</v>
      </c>
      <c r="EL96" s="76">
        <f>IF(EL98=0,0,(EL97*EL98+EL99*EL100*6)/EL98)</f>
        <v>0</v>
      </c>
      <c r="EM96" s="915">
        <f>IF(EK96=0,0,(EL96-EK96)/EK96*100)</f>
        <v>0</v>
      </c>
      <c r="EN96" s="76">
        <f>IF(EN98=0,0,(EN97*EN98+EN99*EN100*6)/EN98)</f>
        <v>0</v>
      </c>
      <c r="EO96" s="76">
        <f>IF(EO98=0,0,(EO97*EO98+EO99*EO100*6)/EO98)</f>
        <v>0</v>
      </c>
      <c r="EP96" s="915">
        <f>IF(EN96=0,0,(EO96-EN96)/EN96*100)</f>
        <v>0</v>
      </c>
      <c r="EQ96" s="76">
        <f>IF(EQ98=0,0,(EQ97*EQ98+EQ99*EQ100*6)/EQ98)</f>
        <v>0</v>
      </c>
      <c r="ER96" s="76">
        <f>IF(ER98=0,0,(ER97*ER98+ER99*ER100*6)/ER98)</f>
        <v>0</v>
      </c>
      <c r="ES96" s="915">
        <f>IF(EQ96=0,0,(ER96-EQ96)/EQ96*100)</f>
        <v>0</v>
      </c>
      <c r="ET96" s="76">
        <f>IF(ET98=0,0,(ET97*ET98+ET99*ET100*6)/ET98)</f>
        <v>0</v>
      </c>
      <c r="EU96" s="76">
        <f>IF(EU98=0,0,(EU97*EU98+EU99*EU100*6)/EU98)</f>
        <v>0</v>
      </c>
      <c r="EV96" s="915">
        <f>IF(ET96=0,0,(EU96-ET96)/ET96*100)</f>
        <v>0</v>
      </c>
      <c r="EW96" s="76">
        <f>IF(EW98=0,0,(EW97*EW98+EW99*EW100*6)/EW98)</f>
        <v>0</v>
      </c>
      <c r="EX96" s="76">
        <f>IF(EX98=0,0,(EX97*EX98+EX99*EX100*6)/EX98)</f>
        <v>0</v>
      </c>
      <c r="EY96" s="915">
        <f>IF(EW96=0,0,(EX96-EW96)/EW96*100)</f>
        <v>0</v>
      </c>
      <c r="EZ96" s="76">
        <f>IF(EZ98=0,0,(EZ97*EZ98+EZ99*EZ100*6)/EZ98)</f>
        <v>0</v>
      </c>
      <c r="FA96" s="76">
        <f>IF(FA98=0,0,(FA97*FA98+FA99*FA100*6)/FA98)</f>
        <v>0</v>
      </c>
      <c r="FB96" s="915">
        <f>IF(EZ96=0,0,(FA96-EZ96)/EZ96*100)</f>
        <v>0</v>
      </c>
      <c r="FC96" s="76">
        <f>IF(FC98=0,0,(FC97*FC98+FC99*FC100*6)/FC98)</f>
        <v>0</v>
      </c>
      <c r="FD96" s="76">
        <f>IF(FD98=0,0,(FD97*FD98+FD99*FD100*6)/FD98)</f>
        <v>0</v>
      </c>
      <c r="FE96" s="915">
        <f>IF(FC96=0,0,(FD96-FC96)/FC96*100)</f>
        <v>0</v>
      </c>
      <c r="FF96" s="76">
        <f>IF(FF98=0,0,(FF97*FF98+FF99*FF100*6)/FF98)</f>
        <v>0</v>
      </c>
      <c r="FG96" s="76">
        <f>IF(FG98=0,0,(FG97*FG98+FG99*FG100*6)/FG98)</f>
        <v>0</v>
      </c>
      <c r="FH96" s="915">
        <f>IF(FF96=0,0,(FG96-FF96)/FF96*100)</f>
        <v>0</v>
      </c>
      <c r="FI96" s="76">
        <f>IF(FI98=0,0,(FI97*FI98+FI99*FI100*6)/FI98)</f>
        <v>0</v>
      </c>
      <c r="FJ96" s="76">
        <f>IF(FJ98=0,0,(FJ97*FJ98+FJ99*FJ100*6)/FJ98)</f>
        <v>0</v>
      </c>
      <c r="FK96" s="915">
        <f>IF(FI96=0,0,(FJ96-FI96)/FI96*100)</f>
        <v>0</v>
      </c>
      <c r="FL96" s="76">
        <f>IF(FL98=0,0,(FL97*FL98+FL99*FL100*6)/FL98)</f>
        <v>0</v>
      </c>
      <c r="FM96" s="76">
        <f>IF(FM98=0,0,(FM97*FM98+FM99*FM100*6)/FM98)</f>
        <v>0</v>
      </c>
      <c r="FN96" s="915">
        <f>IF(FL96=0,0,(FM96-FL96)/FL96*100)</f>
        <v>0</v>
      </c>
      <c r="FO96" s="76">
        <f>IF(FO98=0,0,(FO97*FO98+FO99*FO100*6)/FO98)</f>
        <v>0</v>
      </c>
      <c r="FP96" s="76">
        <f>IF(FP98=0,0,(FP97*FP98+FP99*FP100*6)/FP98)</f>
        <v>0</v>
      </c>
      <c r="FQ96" s="915">
        <f>IF(FO96=0,0,(FP96-FO96)/FO96*100)</f>
        <v>0</v>
      </c>
      <c r="FR96" s="76">
        <f>IF(FR98=0,0,(FR97*FR98+FR99*FR100*6)/FR98)</f>
        <v>0</v>
      </c>
      <c r="FS96" s="76">
        <f>IF(FS98=0,0,(FS97*FS98+FS99*FS100*6)/FS98)</f>
        <v>0</v>
      </c>
      <c r="FT96" s="915">
        <f>IF(FR96=0,0,(FS96-FR96)/FR96*100)</f>
        <v>0</v>
      </c>
      <c r="FU96" s="76">
        <f>IF(FU98=0,0,(FU97*FU98+FU99*FU100*6)/FU98)</f>
        <v>0</v>
      </c>
      <c r="FV96" s="76">
        <f>IF(FV98=0,0,(FV97*FV98+FV99*FV100*6)/FV98)</f>
        <v>0</v>
      </c>
      <c r="FW96" s="915">
        <f>IF(FU96=0,0,(FV96-FU96)/FU96*100)</f>
        <v>0</v>
      </c>
      <c r="FX96" s="286"/>
      <c r="FY96" s="1659"/>
      <c r="FZ96" s="489" t="s">
        <v>2491</v>
      </c>
      <c r="GA96" s="489"/>
      <c r="GB96" s="489"/>
      <c r="GC96" s="489"/>
      <c r="GD96" s="489"/>
      <c r="GE96" s="1506"/>
      <c r="GF96" s="1501" cm="1" t="str">
        <f t="array" ref="GF96:GF96">INDEX('Общие сведения'!$N$170:$N$202,MATCH($F96,'Общие сведения'!$Y$170:$Y$202,0)+1)</f>
        <v>ТЭ.42.31656254.0001</v>
      </c>
      <c r="GG96" s="1501" t="s">
        <v>707</v>
      </c>
      <c r="GH96" s="1501" t="s">
        <v>2452</v>
      </c>
      <c r="GI96" s="1501" t="s">
        <v>796</v>
      </c>
      <c r="GJ96" s="1501" t="s">
        <v>2084</v>
      </c>
      <c r="GK96" s="1501"/>
      <c r="GL96" s="1501" t="s">
        <v>303</v>
      </c>
      <c r="GM96" s="1501" t="s">
        <v>2492</v>
      </c>
      <c r="GN96" s="1501" t="s">
        <v>2493</v>
      </c>
    </row>
    <row s="1751" customFormat="1" customHeight="1" ht="15" hidden="1">
      <c r="A97" s="371"/>
      <c r="B97" s="192" cm="1" t="str">
        <f t="array" ref="B97:B97">B96</f>
        <v>false</v>
      </c>
      <c r="C97" s="1659"/>
      <c r="D97" s="1659"/>
      <c r="E97" s="180">
        <v>16</v>
      </c>
      <c r="F97" s="175" cm="1" t="str">
        <f t="array" ref="F97:F97">OFFSET(G97,-1,-1)</f>
        <v>1</v>
      </c>
      <c r="G97" s="193" t="s">
        <v>2115</v>
      </c>
      <c r="H97" s="1659"/>
      <c r="I97" s="193" t="s">
        <v>2449</v>
      </c>
      <c r="J97" s="1659"/>
      <c r="K97" s="1659"/>
      <c r="L97" s="1659"/>
      <c r="M97" s="1659"/>
      <c r="N97" s="1659"/>
      <c r="O97" s="1659"/>
      <c r="P97" s="1659"/>
      <c r="Q97" s="1659"/>
      <c r="R97" s="1659"/>
      <c r="S97" s="1659"/>
      <c r="T97" s="753" cm="1" t="str">
        <f t="array" ref="T97:T97">T96</f>
        <v>false</v>
      </c>
      <c r="U97" s="1548"/>
      <c r="V97" s="1548"/>
      <c r="W97" s="1548"/>
      <c r="X97" s="1548"/>
      <c r="Y97" s="1548"/>
      <c r="Z97" s="1548"/>
      <c r="AA97" s="286"/>
      <c r="AB97" s="560" t="s">
        <v>2494</v>
      </c>
      <c r="AC97" s="380" t="s">
        <v>1005</v>
      </c>
      <c r="AD97" s="76">
        <f>IF(method_reg="Метод экономически обоснованных расходов",_xlfn.SUMIFS('Калькуляция (4.6)'!AJ$25:AJ$162,'Калькуляция (4.6)'!$F$25:$F$162,$F97,'Калькуляция (4.6)'!$G$25:$G$162,$G97),IF(method_reg="Метод сравнения аналогов",_xlfn.SUMIFS(INDEX('Калькуляция (МСА)'!$AE$25:$BW$82,,MATCH(AD$8,'Калькуляция (МСА)'!$AE$8:$BW$8,0)),'Калькуляция (МСА)'!$F$25:$F$82,$F97,'Калькуляция (МСА)'!$G$25:$G$82,$G97),_xlfn.SUMIFS(INDEX('Калькуляция (5.9)'!$AJ$25:$BW$139,,MATCH(AD$8,'Калькуляция (5.9)'!$AJ$8:$BW$8,0)),'Калькуляция (5.9)'!$F$25:$F$139,$F97,'Калькуляция (5.9)'!$G$25:$G$139,$G97)))</f>
        <v>633.055020338261</v>
      </c>
      <c r="AE97" s="76">
        <f>IF(method_reg="Метод экономически обоснованных расходов",_xlfn.SUMIFS('Калькуляция (4.6)'!AK$25:AK$162,'Калькуляция (4.6)'!$F$25:$F$162,$F97,'Калькуляция (4.6)'!$G$25:$G$162,$G97),IF(method_reg="Метод сравнения аналогов",_xlfn.SUMIFS(INDEX('Калькуляция (МСА)'!$AE$25:$BW$82,,MATCH(AE$8,'Калькуляция (МСА)'!$AE$8:$BW$8,0)),'Калькуляция (МСА)'!$F$25:$F$82,$F97,'Калькуляция (МСА)'!$G$25:$G$82,$G97),_xlfn.SUMIFS(INDEX('Калькуляция (5.9)'!$AJ$25:$BW$139,,MATCH(AE$8,'Калькуляция (5.9)'!$AJ$8:$BW$8,0)),'Калькуляция (5.9)'!$F$25:$F$139,$F97,'Калькуляция (5.9)'!$G$25:$G$139,$G97)))</f>
        <v>633.055020338261</v>
      </c>
      <c r="AF97" s="915">
        <f>IF(AD97=0,0,(AE97-AD97)/AD97*100)</f>
        <v>0</v>
      </c>
      <c r="AG97" s="76">
        <f>IF(method_reg="Метод сравнения аналогов",_xlfn.SUMIFS(INDEX('Калькуляция (МСА)'!$AE$25:$BW$82,,MATCH(AG$8,'Калькуляция (МСА)'!$AE$8:$BW$8,0)),'Калькуляция (МСА)'!$F$25:$F$82,$F97,'Калькуляция (МСА)'!$G$25:$G$82,$G97),_xlfn.SUMIFS(INDEX('Калькуляция (5.9)'!$AJ$25:$BW$139,,MATCH(AG$8,'Калькуляция (5.9)'!$AJ$8:$BW$8,0)),'Калькуляция (5.9)'!$F$25:$F$139,$F97,'Калькуляция (5.9)'!$G$25:$G$139,$G97))</f>
        <v>0</v>
      </c>
      <c r="AH97" s="76">
        <f>IF(method_reg="Метод сравнения аналогов",_xlfn.SUMIFS(INDEX('Калькуляция (МСА)'!$AE$25:$BW$82,,MATCH(AH$8,'Калькуляция (МСА)'!$AE$8:$BW$8,0)),'Калькуляция (МСА)'!$F$25:$F$82,$F97,'Калькуляция (МСА)'!$G$25:$G$82,$G97),_xlfn.SUMIFS(INDEX('Калькуляция (5.9)'!$AJ$25:$BW$139,,MATCH(AH$8,'Калькуляция (5.9)'!$AJ$8:$BW$8,0)),'Калькуляция (5.9)'!$F$25:$F$139,$F97,'Калькуляция (5.9)'!$G$25:$G$139,$G97))</f>
        <v>0</v>
      </c>
      <c r="AI97" s="915">
        <f>IF(AG97=0,0,(AH97-AG97)/AG97*100)</f>
        <v>0</v>
      </c>
      <c r="AJ97" s="76">
        <f>IF(method_reg="Метод сравнения аналогов",_xlfn.SUMIFS(INDEX('Калькуляция (МСА)'!$AE$25:$BW$82,,MATCH(AJ$8,'Калькуляция (МСА)'!$AE$8:$BW$8,0)),'Калькуляция (МСА)'!$F$25:$F$82,$F97,'Калькуляция (МСА)'!$G$25:$G$82,$G97),_xlfn.SUMIFS(INDEX('Калькуляция (5.9)'!$AJ$25:$BW$139,,MATCH(AJ$8,'Калькуляция (5.9)'!$AJ$8:$BW$8,0)),'Калькуляция (5.9)'!$F$25:$F$139,$F97,'Калькуляция (5.9)'!$G$25:$G$139,$G97))</f>
        <v>0</v>
      </c>
      <c r="AK97" s="76">
        <f>IF(method_reg="Метод сравнения аналогов",_xlfn.SUMIFS(INDEX('Калькуляция (МСА)'!$AE$25:$BW$82,,MATCH(AK$8,'Калькуляция (МСА)'!$AE$8:$BW$8,0)),'Калькуляция (МСА)'!$F$25:$F$82,$F97,'Калькуляция (МСА)'!$G$25:$G$82,$G97),_xlfn.SUMIFS(INDEX('Калькуляция (5.9)'!$AJ$25:$BW$139,,MATCH(AK$8,'Калькуляция (5.9)'!$AJ$8:$BW$8,0)),'Калькуляция (5.9)'!$F$25:$F$139,$F97,'Калькуляция (5.9)'!$G$25:$G$139,$G97))</f>
        <v>0</v>
      </c>
      <c r="AL97" s="915">
        <f>IF(AJ97=0,0,(AK97-AJ97)/AJ97*100)</f>
        <v>0</v>
      </c>
      <c r="AM97" s="76">
        <f>IF(method_reg="Метод сравнения аналогов",_xlfn.SUMIFS(INDEX('Калькуляция (МСА)'!$AE$25:$BW$82,,MATCH(AM$8,'Калькуляция (МСА)'!$AE$8:$BW$8,0)),'Калькуляция (МСА)'!$F$25:$F$82,$F97,'Калькуляция (МСА)'!$G$25:$G$82,$G97),_xlfn.SUMIFS(INDEX('Калькуляция (5.9)'!$AJ$25:$BW$139,,MATCH(AM$8,'Калькуляция (5.9)'!$AJ$8:$BW$8,0)),'Калькуляция (5.9)'!$F$25:$F$139,$F97,'Калькуляция (5.9)'!$G$25:$G$139,$G97))</f>
        <v>0</v>
      </c>
      <c r="AN97" s="76">
        <f>IF(method_reg="Метод сравнения аналогов",_xlfn.SUMIFS(INDEX('Калькуляция (МСА)'!$AE$25:$BW$82,,MATCH(AN$8,'Калькуляция (МСА)'!$AE$8:$BW$8,0)),'Калькуляция (МСА)'!$F$25:$F$82,$F97,'Калькуляция (МСА)'!$G$25:$G$82,$G97),_xlfn.SUMIFS(INDEX('Калькуляция (5.9)'!$AJ$25:$BW$139,,MATCH(AN$8,'Калькуляция (5.9)'!$AJ$8:$BW$8,0)),'Калькуляция (5.9)'!$F$25:$F$139,$F97,'Калькуляция (5.9)'!$G$25:$G$139,$G97))</f>
        <v>0</v>
      </c>
      <c r="AO97" s="915">
        <f>IF(AM97=0,0,(AN97-AM97)/AM97*100)</f>
        <v>0</v>
      </c>
      <c r="AP97" s="76">
        <f>IF(method_reg="Метод сравнения аналогов",_xlfn.SUMIFS(INDEX('Калькуляция (МСА)'!$AE$25:$BW$82,,MATCH(AP$8,'Калькуляция (МСА)'!$AE$8:$BW$8,0)),'Калькуляция (МСА)'!$F$25:$F$82,$F97,'Калькуляция (МСА)'!$G$25:$G$82,$G97),_xlfn.SUMIFS(INDEX('Калькуляция (5.9)'!$AJ$25:$BW$139,,MATCH(AP$8,'Калькуляция (5.9)'!$AJ$8:$BW$8,0)),'Калькуляция (5.9)'!$F$25:$F$139,$F97,'Калькуляция (5.9)'!$G$25:$G$139,$G97))</f>
        <v>0</v>
      </c>
      <c r="AQ97" s="76">
        <f>IF(method_reg="Метод сравнения аналогов",_xlfn.SUMIFS(INDEX('Калькуляция (МСА)'!$AE$25:$BW$82,,MATCH(AQ$8,'Калькуляция (МСА)'!$AE$8:$BW$8,0)),'Калькуляция (МСА)'!$F$25:$F$82,$F97,'Калькуляция (МСА)'!$G$25:$G$82,$G97),_xlfn.SUMIFS(INDEX('Калькуляция (5.9)'!$AJ$25:$BW$139,,MATCH(AQ$8,'Калькуляция (5.9)'!$AJ$8:$BW$8,0)),'Калькуляция (5.9)'!$F$25:$F$139,$F97,'Калькуляция (5.9)'!$G$25:$G$139,$G97))</f>
        <v>0</v>
      </c>
      <c r="AR97" s="915">
        <f>IF(AP97=0,0,(AQ97-AP97)/AP97*100)</f>
        <v>0</v>
      </c>
      <c r="AS97" s="76">
        <f>IF(method_reg="Метод сравнения аналогов",_xlfn.SUMIFS(INDEX('Калькуляция (МСА)'!$AE$25:$BW$82,,MATCH(AS$8,'Калькуляция (МСА)'!$AE$8:$BW$8,0)),'Калькуляция (МСА)'!$F$25:$F$82,$F97,'Калькуляция (МСА)'!$G$25:$G$82,$G97),_xlfn.SUMIFS(INDEX('Калькуляция (5.9)'!$AJ$25:$BW$139,,MATCH(AS$8,'Калькуляция (5.9)'!$AJ$8:$BW$8,0)),'Калькуляция (5.9)'!$F$25:$F$139,$F97,'Калькуляция (5.9)'!$G$25:$G$139,$G97))</f>
        <v>0</v>
      </c>
      <c r="AT97" s="76">
        <f>IF(method_reg="Метод сравнения аналогов",_xlfn.SUMIFS(INDEX('Калькуляция (МСА)'!$AE$25:$BW$82,,MATCH(AT$8,'Калькуляция (МСА)'!$AE$8:$BW$8,0)),'Калькуляция (МСА)'!$F$25:$F$82,$F97,'Калькуляция (МСА)'!$G$25:$G$82,$G97),_xlfn.SUMIFS(INDEX('Калькуляция (5.9)'!$AJ$25:$BW$139,,MATCH(AT$8,'Калькуляция (5.9)'!$AJ$8:$BW$8,0)),'Калькуляция (5.9)'!$F$25:$F$139,$F97,'Калькуляция (5.9)'!$G$25:$G$139,$G97))</f>
        <v>0</v>
      </c>
      <c r="AU97" s="915">
        <f>IF(AS97=0,0,(AT97-AS97)/AS97*100)</f>
        <v>0</v>
      </c>
      <c r="AV97" s="76">
        <f>IF(method_reg="Метод сравнения аналогов",_xlfn.SUMIFS(INDEX('Калькуляция (МСА)'!$AE$25:$BW$82,,MATCH(AV$8,'Калькуляция (МСА)'!$AE$8:$BW$8,0)),'Калькуляция (МСА)'!$F$25:$F$82,$F97,'Калькуляция (МСА)'!$G$25:$G$82,$G97),_xlfn.SUMIFS(INDEX('Калькуляция (5.9)'!$AJ$25:$BW$139,,MATCH(AV$8,'Калькуляция (5.9)'!$AJ$8:$BW$8,0)),'Калькуляция (5.9)'!$F$25:$F$139,$F97,'Калькуляция (5.9)'!$G$25:$G$139,$G97))</f>
        <v>0</v>
      </c>
      <c r="AW97" s="76">
        <f>IF(method_reg="Метод сравнения аналогов",_xlfn.SUMIFS(INDEX('Калькуляция (МСА)'!$AE$25:$BW$82,,MATCH(AW$8,'Калькуляция (МСА)'!$AE$8:$BW$8,0)),'Калькуляция (МСА)'!$F$25:$F$82,$F97,'Калькуляция (МСА)'!$G$25:$G$82,$G97),_xlfn.SUMIFS(INDEX('Калькуляция (5.9)'!$AJ$25:$BW$139,,MATCH(AW$8,'Калькуляция (5.9)'!$AJ$8:$BW$8,0)),'Калькуляция (5.9)'!$F$25:$F$139,$F97,'Калькуляция (5.9)'!$G$25:$G$139,$G97))</f>
        <v>0</v>
      </c>
      <c r="AX97" s="915">
        <f>IF(AV97=0,0,(AW97-AV97)/AV97*100)</f>
        <v>0</v>
      </c>
      <c r="AY97" s="76">
        <f>IF(method_reg="Метод сравнения аналогов",_xlfn.SUMIFS(INDEX('Калькуляция (МСА)'!$AE$25:$BW$82,,MATCH(AY$8,'Калькуляция (МСА)'!$AE$8:$BW$8,0)),'Калькуляция (МСА)'!$F$25:$F$82,$F97,'Калькуляция (МСА)'!$G$25:$G$82,$G97),_xlfn.SUMIFS(INDEX('Калькуляция (5.9)'!$AJ$25:$BW$139,,MATCH(AY$8,'Калькуляция (5.9)'!$AJ$8:$BW$8,0)),'Калькуляция (5.9)'!$F$25:$F$139,$F97,'Калькуляция (5.9)'!$G$25:$G$139,$G97))</f>
        <v>0</v>
      </c>
      <c r="AZ97" s="76">
        <f>IF(method_reg="Метод сравнения аналогов",_xlfn.SUMIFS(INDEX('Калькуляция (МСА)'!$AE$25:$BW$82,,MATCH(AZ$8,'Калькуляция (МСА)'!$AE$8:$BW$8,0)),'Калькуляция (МСА)'!$F$25:$F$82,$F97,'Калькуляция (МСА)'!$G$25:$G$82,$G97),_xlfn.SUMIFS(INDEX('Калькуляция (5.9)'!$AJ$25:$BW$139,,MATCH(AZ$8,'Калькуляция (5.9)'!$AJ$8:$BW$8,0)),'Калькуляция (5.9)'!$F$25:$F$139,$F97,'Калькуляция (5.9)'!$G$25:$G$139,$G97))</f>
        <v>0</v>
      </c>
      <c r="BA97" s="915">
        <f>IF(AY97=0,0,(AZ97-AY97)/AY97*100)</f>
        <v>0</v>
      </c>
      <c r="BB97" s="76">
        <f>IF(method_reg="Метод сравнения аналогов",_xlfn.SUMIFS(INDEX('Калькуляция (МСА)'!$AE$25:$BW$82,,MATCH(BB$8,'Калькуляция (МСА)'!$AE$8:$BW$8,0)),'Калькуляция (МСА)'!$F$25:$F$82,$F97,'Калькуляция (МСА)'!$G$25:$G$82,$G97),_xlfn.SUMIFS(INDEX('Калькуляция (5.9)'!$AJ$25:$BW$139,,MATCH(BB$8,'Калькуляция (5.9)'!$AJ$8:$BW$8,0)),'Калькуляция (5.9)'!$F$25:$F$139,$F97,'Калькуляция (5.9)'!$G$25:$G$139,$G97))</f>
        <v>0</v>
      </c>
      <c r="BC97" s="76">
        <f>IF(method_reg="Метод сравнения аналогов",_xlfn.SUMIFS(INDEX('Калькуляция (МСА)'!$AE$25:$BW$82,,MATCH(BC$8,'Калькуляция (МСА)'!$AE$8:$BW$8,0)),'Калькуляция (МСА)'!$F$25:$F$82,$F97,'Калькуляция (МСА)'!$G$25:$G$82,$G97),_xlfn.SUMIFS(INDEX('Калькуляция (5.9)'!$AJ$25:$BW$139,,MATCH(BC$8,'Калькуляция (5.9)'!$AJ$8:$BW$8,0)),'Калькуляция (5.9)'!$F$25:$F$139,$F97,'Калькуляция (5.9)'!$G$25:$G$139,$G97))</f>
        <v>0</v>
      </c>
      <c r="BD97" s="915">
        <f>IF(BB97=0,0,(BC97-BB97)/BB97*100)</f>
        <v>0</v>
      </c>
      <c r="BE97" s="76">
        <f>IF(method_reg="Метод сравнения аналогов",_xlfn.SUMIFS(INDEX('Калькуляция (МСА)'!$AE$25:$BW$82,,MATCH(BE$8,'Калькуляция (МСА)'!$AE$8:$BW$8,0)),'Калькуляция (МСА)'!$F$25:$F$82,$F97,'Калькуляция (МСА)'!$G$25:$G$82,$G97),_xlfn.SUMIFS(INDEX('Калькуляция (5.9)'!$AJ$25:$BW$139,,MATCH(BE$8,'Калькуляция (5.9)'!$AJ$8:$BW$8,0)),'Калькуляция (5.9)'!$F$25:$F$139,$F97,'Калькуляция (5.9)'!$G$25:$G$139,$G97))</f>
        <v>0</v>
      </c>
      <c r="BF97" s="76">
        <f>IF(method_reg="Метод сравнения аналогов",_xlfn.SUMIFS(INDEX('Калькуляция (МСА)'!$AE$25:$BW$82,,MATCH(BF$8,'Калькуляция (МСА)'!$AE$8:$BW$8,0)),'Калькуляция (МСА)'!$F$25:$F$82,$F97,'Калькуляция (МСА)'!$G$25:$G$82,$G97),_xlfn.SUMIFS(INDEX('Калькуляция (5.9)'!$AJ$25:$BW$139,,MATCH(BF$8,'Калькуляция (5.9)'!$AJ$8:$BW$8,0)),'Калькуляция (5.9)'!$F$25:$F$139,$F97,'Калькуляция (5.9)'!$G$25:$G$139,$G97))</f>
        <v>0</v>
      </c>
      <c r="BG97" s="915">
        <f>IF(BE97=0,0,(BF97-BE97)/BE97*100)</f>
        <v>0</v>
      </c>
      <c r="BH97" s="76"/>
      <c r="BI97" s="76"/>
      <c r="BJ97" s="915">
        <f>IF(BH97=0,0,(BI97-BH97)/BH97*100)</f>
        <v>0</v>
      </c>
      <c r="BK97" s="76"/>
      <c r="BL97" s="76"/>
      <c r="BM97" s="915">
        <f>IF(BK97=0,0,(BL97-BK97)/BK97*100)</f>
        <v>0</v>
      </c>
      <c r="BN97" s="76"/>
      <c r="BO97" s="76"/>
      <c r="BP97" s="915">
        <f>IF(BN97=0,0,(BO97-BN97)/BN97*100)</f>
        <v>0</v>
      </c>
      <c r="BQ97" s="76"/>
      <c r="BR97" s="76"/>
      <c r="BS97" s="915">
        <f>IF(BQ97=0,0,(BR97-BQ97)/BQ97*100)</f>
        <v>0</v>
      </c>
      <c r="BT97" s="76"/>
      <c r="BU97" s="76"/>
      <c r="BV97" s="915">
        <f>IF(BT97=0,0,(BU97-BT97)/BT97*100)</f>
        <v>0</v>
      </c>
      <c r="BW97" s="76"/>
      <c r="BX97" s="76"/>
      <c r="BY97" s="915">
        <f>IF(BW97=0,0,(BX97-BW97)/BW97*100)</f>
        <v>0</v>
      </c>
      <c r="BZ97" s="76"/>
      <c r="CA97" s="76"/>
      <c r="CB97" s="915">
        <f>IF(BZ97=0,0,(CA97-BZ97)/BZ97*100)</f>
        <v>0</v>
      </c>
      <c r="CC97" s="76"/>
      <c r="CD97" s="76"/>
      <c r="CE97" s="915">
        <f>IF(CC97=0,0,(CD97-CC97)/CC97*100)</f>
        <v>0</v>
      </c>
      <c r="CF97" s="76"/>
      <c r="CG97" s="76"/>
      <c r="CH97" s="915">
        <f>IF(CF97=0,0,(CG97-CF97)/CF97*100)</f>
        <v>0</v>
      </c>
      <c r="CI97" s="76"/>
      <c r="CJ97" s="76"/>
      <c r="CK97" s="915">
        <f>IF(CI97=0,0,(CJ97-CI97)/CI97*100)</f>
        <v>0</v>
      </c>
      <c r="CL97" s="76"/>
      <c r="CM97" s="76"/>
      <c r="CN97" s="915">
        <f>IF(CL97=0,0,(CM97-CL97)/CL97*100)</f>
        <v>0</v>
      </c>
      <c r="CO97" s="76"/>
      <c r="CP97" s="76"/>
      <c r="CQ97" s="915">
        <f>IF(CO97=0,0,(CP97-CO97)/CO97*100)</f>
        <v>0</v>
      </c>
      <c r="CR97" s="76"/>
      <c r="CS97" s="76"/>
      <c r="CT97" s="915">
        <f>IF(CR97=0,0,(CS97-CR97)/CR97*100)</f>
        <v>0</v>
      </c>
      <c r="CU97" s="76"/>
      <c r="CV97" s="76"/>
      <c r="CW97" s="915">
        <f>IF(CU97=0,0,(CV97-CU97)/CU97*100)</f>
        <v>0</v>
      </c>
      <c r="CX97" s="76"/>
      <c r="CY97" s="76"/>
      <c r="CZ97" s="915">
        <f>IF(CX97=0,0,(CY97-CX97)/CX97*100)</f>
        <v>0</v>
      </c>
      <c r="DA97" s="76"/>
      <c r="DB97" s="76"/>
      <c r="DC97" s="915">
        <f>IF(DA97=0,0,(DB97-DA97)/DA97*100)</f>
        <v>0</v>
      </c>
      <c r="DD97" s="76"/>
      <c r="DE97" s="76"/>
      <c r="DF97" s="915">
        <f>IF(DD97=0,0,(DE97-DD97)/DD97*100)</f>
        <v>0</v>
      </c>
      <c r="DG97" s="76"/>
      <c r="DH97" s="76"/>
      <c r="DI97" s="915">
        <f>IF(DG97=0,0,(DH97-DG97)/DG97*100)</f>
        <v>0</v>
      </c>
      <c r="DJ97" s="76"/>
      <c r="DK97" s="76"/>
      <c r="DL97" s="915">
        <f>IF(DJ97=0,0,(DK97-DJ97)/DJ97*100)</f>
        <v>0</v>
      </c>
      <c r="DM97" s="76"/>
      <c r="DN97" s="76"/>
      <c r="DO97" s="915">
        <f>IF(DM97=0,0,(DN97-DM97)/DM97*100)</f>
        <v>0</v>
      </c>
      <c r="DP97" s="76"/>
      <c r="DQ97" s="76"/>
      <c r="DR97" s="915">
        <f>IF(DP97=0,0,(DQ97-DP97)/DP97*100)</f>
        <v>0</v>
      </c>
      <c r="DS97" s="76"/>
      <c r="DT97" s="76"/>
      <c r="DU97" s="915">
        <f>IF(DS97=0,0,(DT97-DS97)/DS97*100)</f>
        <v>0</v>
      </c>
      <c r="DV97" s="76"/>
      <c r="DW97" s="76"/>
      <c r="DX97" s="915">
        <f>IF(DV97=0,0,(DW97-DV97)/DV97*100)</f>
        <v>0</v>
      </c>
      <c r="DY97" s="76"/>
      <c r="DZ97" s="76"/>
      <c r="EA97" s="915">
        <f>IF(DY97=0,0,(DZ97-DY97)/DY97*100)</f>
        <v>0</v>
      </c>
      <c r="EB97" s="76"/>
      <c r="EC97" s="76"/>
      <c r="ED97" s="915">
        <f>IF(EB97=0,0,(EC97-EB97)/EB97*100)</f>
        <v>0</v>
      </c>
      <c r="EE97" s="76"/>
      <c r="EF97" s="76"/>
      <c r="EG97" s="915">
        <f>IF(EE97=0,0,(EF97-EE97)/EE97*100)</f>
        <v>0</v>
      </c>
      <c r="EH97" s="76"/>
      <c r="EI97" s="76"/>
      <c r="EJ97" s="915">
        <f>IF(EH97=0,0,(EI97-EH97)/EH97*100)</f>
        <v>0</v>
      </c>
      <c r="EK97" s="76"/>
      <c r="EL97" s="76"/>
      <c r="EM97" s="915">
        <f>IF(EK97=0,0,(EL97-EK97)/EK97*100)</f>
        <v>0</v>
      </c>
      <c r="EN97" s="76"/>
      <c r="EO97" s="76"/>
      <c r="EP97" s="915">
        <f>IF(EN97=0,0,(EO97-EN97)/EN97*100)</f>
        <v>0</v>
      </c>
      <c r="EQ97" s="76"/>
      <c r="ER97" s="76"/>
      <c r="ES97" s="915">
        <f>IF(EQ97=0,0,(ER97-EQ97)/EQ97*100)</f>
        <v>0</v>
      </c>
      <c r="ET97" s="76"/>
      <c r="EU97" s="76"/>
      <c r="EV97" s="915">
        <f>IF(ET97=0,0,(EU97-ET97)/ET97*100)</f>
        <v>0</v>
      </c>
      <c r="EW97" s="76"/>
      <c r="EX97" s="76"/>
      <c r="EY97" s="915">
        <f>IF(EW97=0,0,(EX97-EW97)/EW97*100)</f>
        <v>0</v>
      </c>
      <c r="EZ97" s="76"/>
      <c r="FA97" s="76"/>
      <c r="FB97" s="915">
        <f>IF(EZ97=0,0,(FA97-EZ97)/EZ97*100)</f>
        <v>0</v>
      </c>
      <c r="FC97" s="76"/>
      <c r="FD97" s="76"/>
      <c r="FE97" s="915">
        <f>IF(FC97=0,0,(FD97-FC97)/FC97*100)</f>
        <v>0</v>
      </c>
      <c r="FF97" s="76"/>
      <c r="FG97" s="76"/>
      <c r="FH97" s="915">
        <f>IF(FF97=0,0,(FG97-FF97)/FF97*100)</f>
        <v>0</v>
      </c>
      <c r="FI97" s="76"/>
      <c r="FJ97" s="76"/>
      <c r="FK97" s="915">
        <f>IF(FI97=0,0,(FJ97-FI97)/FI97*100)</f>
        <v>0</v>
      </c>
      <c r="FL97" s="76"/>
      <c r="FM97" s="76"/>
      <c r="FN97" s="915">
        <f>IF(FL97=0,0,(FM97-FL97)/FL97*100)</f>
        <v>0</v>
      </c>
      <c r="FO97" s="76"/>
      <c r="FP97" s="76"/>
      <c r="FQ97" s="915">
        <f>IF(FO97=0,0,(FP97-FO97)/FO97*100)</f>
        <v>0</v>
      </c>
      <c r="FR97" s="76"/>
      <c r="FS97" s="76"/>
      <c r="FT97" s="915">
        <f>IF(FR97=0,0,(FS97-FR97)/FR97*100)</f>
        <v>0</v>
      </c>
      <c r="FU97" s="76"/>
      <c r="FV97" s="76"/>
      <c r="FW97" s="915">
        <f>IF(FU97=0,0,(FV97-FU97)/FU97*100)</f>
        <v>0</v>
      </c>
      <c r="FX97" s="286"/>
      <c r="FY97" s="1659"/>
      <c r="FZ97" s="489" t="s">
        <v>2495</v>
      </c>
      <c r="GA97" s="489"/>
      <c r="GB97" s="489"/>
      <c r="GC97" s="489"/>
      <c r="GD97" s="489"/>
      <c r="GE97" s="1506"/>
      <c r="GF97" s="1501" cm="1" t="str">
        <f t="array" ref="GF97:GF97">GF96</f>
        <v>ТЭ.42.31656254.0001</v>
      </c>
      <c r="GG97" s="1501" t="s">
        <v>707</v>
      </c>
      <c r="GH97" s="1501" t="s">
        <v>2452</v>
      </c>
      <c r="GI97" s="1501" t="s">
        <v>796</v>
      </c>
      <c r="GJ97" s="1501" t="s">
        <v>2084</v>
      </c>
      <c r="GK97" s="1501"/>
      <c r="GL97" s="1501" t="s">
        <v>303</v>
      </c>
      <c r="GM97" s="1501" t="s">
        <v>2118</v>
      </c>
      <c r="GN97" s="1501" t="s">
        <v>2119</v>
      </c>
    </row>
    <row s="1751" customFormat="1" customHeight="1" ht="15" hidden="1">
      <c r="A98" s="371"/>
      <c r="B98" s="192" cm="1" t="str">
        <f t="array" ref="B98:B98">B97</f>
        <v>false</v>
      </c>
      <c r="C98" s="1659"/>
      <c r="D98" s="1659"/>
      <c r="E98" s="180">
        <v>16</v>
      </c>
      <c r="F98" s="175" cm="1" t="str">
        <f t="array" ref="F98:F98">OFFSET(G98,-1,-1)</f>
        <v>1</v>
      </c>
      <c r="G98" s="193" t="s">
        <v>2081</v>
      </c>
      <c r="H98" s="1659"/>
      <c r="I98" s="193" t="s">
        <v>2449</v>
      </c>
      <c r="J98" s="1659"/>
      <c r="K98" s="1659"/>
      <c r="L98" s="1659"/>
      <c r="M98" s="1659"/>
      <c r="N98" s="1659"/>
      <c r="O98" s="1659"/>
      <c r="P98" s="1659"/>
      <c r="Q98" s="1659"/>
      <c r="R98" s="1659"/>
      <c r="S98" s="1659"/>
      <c r="T98" s="753" cm="1" t="str">
        <f t="array" ref="T98:T98">T97</f>
        <v>false</v>
      </c>
      <c r="U98" s="1548"/>
      <c r="V98" s="1548"/>
      <c r="W98" s="1548"/>
      <c r="X98" s="1548"/>
      <c r="Y98" s="1548"/>
      <c r="Z98" s="1548"/>
      <c r="AA98" s="286"/>
      <c r="AB98" s="560" t="s">
        <v>2496</v>
      </c>
      <c r="AC98" s="380" t="s">
        <v>629</v>
      </c>
      <c r="AD98" s="166">
        <f>IF(method_reg="Метод экономически обоснованных расходов",_xlfn.SUMIFS('Калькуляция (4.6)'!AJ$25:AJ$162,'Калькуляция (4.6)'!$F$25:$F$162,$F98,'Калькуляция (4.6)'!$G$25:$G$162,$G98),IF(method_reg="Метод сравнения аналогов",_xlfn.SUMIFS(INDEX('Калькуляция (МСА)'!$AE$25:$BW$82,,MATCH(AD$8,'Калькуляция (МСА)'!$AE$8:$BW$8,0)),'Калькуляция (МСА)'!$F$25:$F$82,$F98,'Калькуляция (МСА)'!$G$25:$G$82,$G98),_xlfn.SUMIFS(INDEX('Калькуляция (5.9)'!$AJ$25:$BW$139,,MATCH(AD$8,'Калькуляция (5.9)'!$AJ$8:$BW$8,0)),'Калькуляция (5.9)'!$F$25:$F$139,$F98,'Калькуляция (5.9)'!$G$25:$G$139,$G98)))</f>
        <v>2643</v>
      </c>
      <c r="AE98" s="166">
        <f>IF(method_reg="Метод экономически обоснованных расходов",_xlfn.SUMIFS('Калькуляция (4.6)'!AK$25:AK$162,'Калькуляция (4.6)'!$F$25:$F$162,$F98,'Калькуляция (4.6)'!$G$25:$G$162,$G98),IF(method_reg="Метод сравнения аналогов",_xlfn.SUMIFS(INDEX('Калькуляция (МСА)'!$AE$25:$BW$82,,MATCH(AE$8,'Калькуляция (МСА)'!$AE$8:$BW$8,0)),'Калькуляция (МСА)'!$F$25:$F$82,$F98,'Калькуляция (МСА)'!$G$25:$G$82,$G98),_xlfn.SUMIFS(INDEX('Калькуляция (5.9)'!$AJ$25:$BW$139,,MATCH(AE$8,'Калькуляция (5.9)'!$AJ$8:$BW$8,0)),'Калькуляция (5.9)'!$F$25:$F$139,$F98,'Калькуляция (5.9)'!$G$25:$G$139,$G98)))</f>
        <v>2643</v>
      </c>
      <c r="AF98" s="917">
        <f>IF(AD98=0,0,(AE98-AD98)/AD98*100)</f>
        <v>0</v>
      </c>
      <c r="AG98" s="166">
        <f>IF(method_reg="Метод сравнения аналогов",_xlfn.SUMIFS(INDEX('Калькуляция (МСА)'!$AE$25:$BW$82,,MATCH(AG$8,'Калькуляция (МСА)'!$AE$8:$BW$8,0)),'Калькуляция (МСА)'!$F$25:$F$82,$F98,'Калькуляция (МСА)'!$G$25:$G$82,$G98),_xlfn.SUMIFS(INDEX('Калькуляция (5.9)'!$AJ$25:$BW$139,,MATCH(AG$8,'Калькуляция (5.9)'!$AJ$8:$BW$8,0)),'Калькуляция (5.9)'!$F$25:$F$139,$F98,'Калькуляция (5.9)'!$G$25:$G$139,$G98))</f>
        <v>0</v>
      </c>
      <c r="AH98" s="166">
        <f>IF(method_reg="Метод сравнения аналогов",_xlfn.SUMIFS(INDEX('Калькуляция (МСА)'!$AE$25:$BW$82,,MATCH(AH$8,'Калькуляция (МСА)'!$AE$8:$BW$8,0)),'Калькуляция (МСА)'!$F$25:$F$82,$F98,'Калькуляция (МСА)'!$G$25:$G$82,$G98),_xlfn.SUMIFS(INDEX('Калькуляция (5.9)'!$AJ$25:$BW$139,,MATCH(AH$8,'Калькуляция (5.9)'!$AJ$8:$BW$8,0)),'Калькуляция (5.9)'!$F$25:$F$139,$F98,'Калькуляция (5.9)'!$G$25:$G$139,$G98))</f>
        <v>0</v>
      </c>
      <c r="AI98" s="917">
        <f>IF(AG98=0,0,(AH98-AG98)/AG98*100)</f>
        <v>0</v>
      </c>
      <c r="AJ98" s="166">
        <f>IF(method_reg="Метод сравнения аналогов",_xlfn.SUMIFS(INDEX('Калькуляция (МСА)'!$AE$25:$BW$82,,MATCH(AJ$8,'Калькуляция (МСА)'!$AE$8:$BW$8,0)),'Калькуляция (МСА)'!$F$25:$F$82,$F98,'Калькуляция (МСА)'!$G$25:$G$82,$G98),_xlfn.SUMIFS(INDEX('Калькуляция (5.9)'!$AJ$25:$BW$139,,MATCH(AJ$8,'Калькуляция (5.9)'!$AJ$8:$BW$8,0)),'Калькуляция (5.9)'!$F$25:$F$139,$F98,'Калькуляция (5.9)'!$G$25:$G$139,$G98))</f>
        <v>0</v>
      </c>
      <c r="AK98" s="166">
        <f>IF(method_reg="Метод сравнения аналогов",_xlfn.SUMIFS(INDEX('Калькуляция (МСА)'!$AE$25:$BW$82,,MATCH(AK$8,'Калькуляция (МСА)'!$AE$8:$BW$8,0)),'Калькуляция (МСА)'!$F$25:$F$82,$F98,'Калькуляция (МСА)'!$G$25:$G$82,$G98),_xlfn.SUMIFS(INDEX('Калькуляция (5.9)'!$AJ$25:$BW$139,,MATCH(AK$8,'Калькуляция (5.9)'!$AJ$8:$BW$8,0)),'Калькуляция (5.9)'!$F$25:$F$139,$F98,'Калькуляция (5.9)'!$G$25:$G$139,$G98))</f>
        <v>0</v>
      </c>
      <c r="AL98" s="917">
        <f>IF(AJ98=0,0,(AK98-AJ98)/AJ98*100)</f>
        <v>0</v>
      </c>
      <c r="AM98" s="166">
        <f>IF(method_reg="Метод сравнения аналогов",_xlfn.SUMIFS(INDEX('Калькуляция (МСА)'!$AE$25:$BW$82,,MATCH(AM$8,'Калькуляция (МСА)'!$AE$8:$BW$8,0)),'Калькуляция (МСА)'!$F$25:$F$82,$F98,'Калькуляция (МСА)'!$G$25:$G$82,$G98),_xlfn.SUMIFS(INDEX('Калькуляция (5.9)'!$AJ$25:$BW$139,,MATCH(AM$8,'Калькуляция (5.9)'!$AJ$8:$BW$8,0)),'Калькуляция (5.9)'!$F$25:$F$139,$F98,'Калькуляция (5.9)'!$G$25:$G$139,$G98))</f>
        <v>0</v>
      </c>
      <c r="AN98" s="166">
        <f>IF(method_reg="Метод сравнения аналогов",_xlfn.SUMIFS(INDEX('Калькуляция (МСА)'!$AE$25:$BW$82,,MATCH(AN$8,'Калькуляция (МСА)'!$AE$8:$BW$8,0)),'Калькуляция (МСА)'!$F$25:$F$82,$F98,'Калькуляция (МСА)'!$G$25:$G$82,$G98),_xlfn.SUMIFS(INDEX('Калькуляция (5.9)'!$AJ$25:$BW$139,,MATCH(AN$8,'Калькуляция (5.9)'!$AJ$8:$BW$8,0)),'Калькуляция (5.9)'!$F$25:$F$139,$F98,'Калькуляция (5.9)'!$G$25:$G$139,$G98))</f>
        <v>0</v>
      </c>
      <c r="AO98" s="917">
        <f>IF(AM98=0,0,(AN98-AM98)/AM98*100)</f>
        <v>0</v>
      </c>
      <c r="AP98" s="166">
        <f>IF(method_reg="Метод сравнения аналогов",_xlfn.SUMIFS(INDEX('Калькуляция (МСА)'!$AE$25:$BW$82,,MATCH(AP$8,'Калькуляция (МСА)'!$AE$8:$BW$8,0)),'Калькуляция (МСА)'!$F$25:$F$82,$F98,'Калькуляция (МСА)'!$G$25:$G$82,$G98),_xlfn.SUMIFS(INDEX('Калькуляция (5.9)'!$AJ$25:$BW$139,,MATCH(AP$8,'Калькуляция (5.9)'!$AJ$8:$BW$8,0)),'Калькуляция (5.9)'!$F$25:$F$139,$F98,'Калькуляция (5.9)'!$G$25:$G$139,$G98))</f>
        <v>0</v>
      </c>
      <c r="AQ98" s="166">
        <f>IF(method_reg="Метод сравнения аналогов",_xlfn.SUMIFS(INDEX('Калькуляция (МСА)'!$AE$25:$BW$82,,MATCH(AQ$8,'Калькуляция (МСА)'!$AE$8:$BW$8,0)),'Калькуляция (МСА)'!$F$25:$F$82,$F98,'Калькуляция (МСА)'!$G$25:$G$82,$G98),_xlfn.SUMIFS(INDEX('Калькуляция (5.9)'!$AJ$25:$BW$139,,MATCH(AQ$8,'Калькуляция (5.9)'!$AJ$8:$BW$8,0)),'Калькуляция (5.9)'!$F$25:$F$139,$F98,'Калькуляция (5.9)'!$G$25:$G$139,$G98))</f>
        <v>0</v>
      </c>
      <c r="AR98" s="917">
        <f>IF(AP98=0,0,(AQ98-AP98)/AP98*100)</f>
        <v>0</v>
      </c>
      <c r="AS98" s="166">
        <f>IF(method_reg="Метод сравнения аналогов",_xlfn.SUMIFS(INDEX('Калькуляция (МСА)'!$AE$25:$BW$82,,MATCH(AS$8,'Калькуляция (МСА)'!$AE$8:$BW$8,0)),'Калькуляция (МСА)'!$F$25:$F$82,$F98,'Калькуляция (МСА)'!$G$25:$G$82,$G98),_xlfn.SUMIFS(INDEX('Калькуляция (5.9)'!$AJ$25:$BW$139,,MATCH(AS$8,'Калькуляция (5.9)'!$AJ$8:$BW$8,0)),'Калькуляция (5.9)'!$F$25:$F$139,$F98,'Калькуляция (5.9)'!$G$25:$G$139,$G98))</f>
        <v>0</v>
      </c>
      <c r="AT98" s="166">
        <f>IF(method_reg="Метод сравнения аналогов",_xlfn.SUMIFS(INDEX('Калькуляция (МСА)'!$AE$25:$BW$82,,MATCH(AT$8,'Калькуляция (МСА)'!$AE$8:$BW$8,0)),'Калькуляция (МСА)'!$F$25:$F$82,$F98,'Калькуляция (МСА)'!$G$25:$G$82,$G98),_xlfn.SUMIFS(INDEX('Калькуляция (5.9)'!$AJ$25:$BW$139,,MATCH(AT$8,'Калькуляция (5.9)'!$AJ$8:$BW$8,0)),'Калькуляция (5.9)'!$F$25:$F$139,$F98,'Калькуляция (5.9)'!$G$25:$G$139,$G98))</f>
        <v>0</v>
      </c>
      <c r="AU98" s="917">
        <f>IF(AS98=0,0,(AT98-AS98)/AS98*100)</f>
        <v>0</v>
      </c>
      <c r="AV98" s="166">
        <f>IF(method_reg="Метод сравнения аналогов",_xlfn.SUMIFS(INDEX('Калькуляция (МСА)'!$AE$25:$BW$82,,MATCH(AV$8,'Калькуляция (МСА)'!$AE$8:$BW$8,0)),'Калькуляция (МСА)'!$F$25:$F$82,$F98,'Калькуляция (МСА)'!$G$25:$G$82,$G98),_xlfn.SUMIFS(INDEX('Калькуляция (5.9)'!$AJ$25:$BW$139,,MATCH(AV$8,'Калькуляция (5.9)'!$AJ$8:$BW$8,0)),'Калькуляция (5.9)'!$F$25:$F$139,$F98,'Калькуляция (5.9)'!$G$25:$G$139,$G98))</f>
        <v>0</v>
      </c>
      <c r="AW98" s="166">
        <f>IF(method_reg="Метод сравнения аналогов",_xlfn.SUMIFS(INDEX('Калькуляция (МСА)'!$AE$25:$BW$82,,MATCH(AW$8,'Калькуляция (МСА)'!$AE$8:$BW$8,0)),'Калькуляция (МСА)'!$F$25:$F$82,$F98,'Калькуляция (МСА)'!$G$25:$G$82,$G98),_xlfn.SUMIFS(INDEX('Калькуляция (5.9)'!$AJ$25:$BW$139,,MATCH(AW$8,'Калькуляция (5.9)'!$AJ$8:$BW$8,0)),'Калькуляция (5.9)'!$F$25:$F$139,$F98,'Калькуляция (5.9)'!$G$25:$G$139,$G98))</f>
        <v>0</v>
      </c>
      <c r="AX98" s="917">
        <f>IF(AV98=0,0,(AW98-AV98)/AV98*100)</f>
        <v>0</v>
      </c>
      <c r="AY98" s="166">
        <f>IF(method_reg="Метод сравнения аналогов",_xlfn.SUMIFS(INDEX('Калькуляция (МСА)'!$AE$25:$BW$82,,MATCH(AY$8,'Калькуляция (МСА)'!$AE$8:$BW$8,0)),'Калькуляция (МСА)'!$F$25:$F$82,$F98,'Калькуляция (МСА)'!$G$25:$G$82,$G98),_xlfn.SUMIFS(INDEX('Калькуляция (5.9)'!$AJ$25:$BW$139,,MATCH(AY$8,'Калькуляция (5.9)'!$AJ$8:$BW$8,0)),'Калькуляция (5.9)'!$F$25:$F$139,$F98,'Калькуляция (5.9)'!$G$25:$G$139,$G98))</f>
        <v>0</v>
      </c>
      <c r="AZ98" s="166">
        <f>IF(method_reg="Метод сравнения аналогов",_xlfn.SUMIFS(INDEX('Калькуляция (МСА)'!$AE$25:$BW$82,,MATCH(AZ$8,'Калькуляция (МСА)'!$AE$8:$BW$8,0)),'Калькуляция (МСА)'!$F$25:$F$82,$F98,'Калькуляция (МСА)'!$G$25:$G$82,$G98),_xlfn.SUMIFS(INDEX('Калькуляция (5.9)'!$AJ$25:$BW$139,,MATCH(AZ$8,'Калькуляция (5.9)'!$AJ$8:$BW$8,0)),'Калькуляция (5.9)'!$F$25:$F$139,$F98,'Калькуляция (5.9)'!$G$25:$G$139,$G98))</f>
        <v>0</v>
      </c>
      <c r="BA98" s="917">
        <f>IF(AY98=0,0,(AZ98-AY98)/AY98*100)</f>
        <v>0</v>
      </c>
      <c r="BB98" s="166">
        <f>IF(method_reg="Метод сравнения аналогов",_xlfn.SUMIFS(INDEX('Калькуляция (МСА)'!$AE$25:$BW$82,,MATCH(BB$8,'Калькуляция (МСА)'!$AE$8:$BW$8,0)),'Калькуляция (МСА)'!$F$25:$F$82,$F98,'Калькуляция (МСА)'!$G$25:$G$82,$G98),_xlfn.SUMIFS(INDEX('Калькуляция (5.9)'!$AJ$25:$BW$139,,MATCH(BB$8,'Калькуляция (5.9)'!$AJ$8:$BW$8,0)),'Калькуляция (5.9)'!$F$25:$F$139,$F98,'Калькуляция (5.9)'!$G$25:$G$139,$G98))</f>
        <v>0</v>
      </c>
      <c r="BC98" s="166">
        <f>IF(method_reg="Метод сравнения аналогов",_xlfn.SUMIFS(INDEX('Калькуляция (МСА)'!$AE$25:$BW$82,,MATCH(BC$8,'Калькуляция (МСА)'!$AE$8:$BW$8,0)),'Калькуляция (МСА)'!$F$25:$F$82,$F98,'Калькуляция (МСА)'!$G$25:$G$82,$G98),_xlfn.SUMIFS(INDEX('Калькуляция (5.9)'!$AJ$25:$BW$139,,MATCH(BC$8,'Калькуляция (5.9)'!$AJ$8:$BW$8,0)),'Калькуляция (5.9)'!$F$25:$F$139,$F98,'Калькуляция (5.9)'!$G$25:$G$139,$G98))</f>
        <v>0</v>
      </c>
      <c r="BD98" s="917">
        <f>IF(BB98=0,0,(BC98-BB98)/BB98*100)</f>
        <v>0</v>
      </c>
      <c r="BE98" s="166">
        <f>IF(method_reg="Метод сравнения аналогов",_xlfn.SUMIFS(INDEX('Калькуляция (МСА)'!$AE$25:$BW$82,,MATCH(BE$8,'Калькуляция (МСА)'!$AE$8:$BW$8,0)),'Калькуляция (МСА)'!$F$25:$F$82,$F98,'Калькуляция (МСА)'!$G$25:$G$82,$G98),_xlfn.SUMIFS(INDEX('Калькуляция (5.9)'!$AJ$25:$BW$139,,MATCH(BE$8,'Калькуляция (5.9)'!$AJ$8:$BW$8,0)),'Калькуляция (5.9)'!$F$25:$F$139,$F98,'Калькуляция (5.9)'!$G$25:$G$139,$G98))</f>
        <v>0</v>
      </c>
      <c r="BF98" s="166">
        <f>IF(method_reg="Метод сравнения аналогов",_xlfn.SUMIFS(INDEX('Калькуляция (МСА)'!$AE$25:$BW$82,,MATCH(BF$8,'Калькуляция (МСА)'!$AE$8:$BW$8,0)),'Калькуляция (МСА)'!$F$25:$F$82,$F98,'Калькуляция (МСА)'!$G$25:$G$82,$G98),_xlfn.SUMIFS(INDEX('Калькуляция (5.9)'!$AJ$25:$BW$139,,MATCH(BF$8,'Калькуляция (5.9)'!$AJ$8:$BW$8,0)),'Калькуляция (5.9)'!$F$25:$F$139,$F98,'Калькуляция (5.9)'!$G$25:$G$139,$G98))</f>
        <v>0</v>
      </c>
      <c r="BG98" s="917">
        <f>IF(BE98=0,0,(BF98-BE98)/BE98*100)</f>
        <v>0</v>
      </c>
      <c r="BH98" s="166"/>
      <c r="BI98" s="166"/>
      <c r="BJ98" s="917">
        <f>IF(BH98=0,0,(BI98-BH98)/BH98*100)</f>
        <v>0</v>
      </c>
      <c r="BK98" s="166"/>
      <c r="BL98" s="166"/>
      <c r="BM98" s="917">
        <f>IF(BK98=0,0,(BL98-BK98)/BK98*100)</f>
        <v>0</v>
      </c>
      <c r="BN98" s="166"/>
      <c r="BO98" s="166"/>
      <c r="BP98" s="917">
        <f>IF(BN98=0,0,(BO98-BN98)/BN98*100)</f>
        <v>0</v>
      </c>
      <c r="BQ98" s="166"/>
      <c r="BR98" s="166"/>
      <c r="BS98" s="917">
        <f>IF(BQ98=0,0,(BR98-BQ98)/BQ98*100)</f>
        <v>0</v>
      </c>
      <c r="BT98" s="166"/>
      <c r="BU98" s="166"/>
      <c r="BV98" s="917">
        <f>IF(BT98=0,0,(BU98-BT98)/BT98*100)</f>
        <v>0</v>
      </c>
      <c r="BW98" s="166"/>
      <c r="BX98" s="166"/>
      <c r="BY98" s="917">
        <f>IF(BW98=0,0,(BX98-BW98)/BW98*100)</f>
        <v>0</v>
      </c>
      <c r="BZ98" s="166"/>
      <c r="CA98" s="166"/>
      <c r="CB98" s="917">
        <f>IF(BZ98=0,0,(CA98-BZ98)/BZ98*100)</f>
        <v>0</v>
      </c>
      <c r="CC98" s="166"/>
      <c r="CD98" s="166"/>
      <c r="CE98" s="917">
        <f>IF(CC98=0,0,(CD98-CC98)/CC98*100)</f>
        <v>0</v>
      </c>
      <c r="CF98" s="166"/>
      <c r="CG98" s="166"/>
      <c r="CH98" s="917">
        <f>IF(CF98=0,0,(CG98-CF98)/CF98*100)</f>
        <v>0</v>
      </c>
      <c r="CI98" s="166"/>
      <c r="CJ98" s="166"/>
      <c r="CK98" s="917">
        <f>IF(CI98=0,0,(CJ98-CI98)/CI98*100)</f>
        <v>0</v>
      </c>
      <c r="CL98" s="166"/>
      <c r="CM98" s="166"/>
      <c r="CN98" s="917">
        <f>IF(CL98=0,0,(CM98-CL98)/CL98*100)</f>
        <v>0</v>
      </c>
      <c r="CO98" s="166"/>
      <c r="CP98" s="166"/>
      <c r="CQ98" s="917">
        <f>IF(CO98=0,0,(CP98-CO98)/CO98*100)</f>
        <v>0</v>
      </c>
      <c r="CR98" s="166"/>
      <c r="CS98" s="166"/>
      <c r="CT98" s="917">
        <f>IF(CR98=0,0,(CS98-CR98)/CR98*100)</f>
        <v>0</v>
      </c>
      <c r="CU98" s="166"/>
      <c r="CV98" s="166"/>
      <c r="CW98" s="917">
        <f>IF(CU98=0,0,(CV98-CU98)/CU98*100)</f>
        <v>0</v>
      </c>
      <c r="CX98" s="166"/>
      <c r="CY98" s="166"/>
      <c r="CZ98" s="917">
        <f>IF(CX98=0,0,(CY98-CX98)/CX98*100)</f>
        <v>0</v>
      </c>
      <c r="DA98" s="166"/>
      <c r="DB98" s="166"/>
      <c r="DC98" s="917">
        <f>IF(DA98=0,0,(DB98-DA98)/DA98*100)</f>
        <v>0</v>
      </c>
      <c r="DD98" s="166"/>
      <c r="DE98" s="166"/>
      <c r="DF98" s="917">
        <f>IF(DD98=0,0,(DE98-DD98)/DD98*100)</f>
        <v>0</v>
      </c>
      <c r="DG98" s="166"/>
      <c r="DH98" s="166"/>
      <c r="DI98" s="917">
        <f>IF(DG98=0,0,(DH98-DG98)/DG98*100)</f>
        <v>0</v>
      </c>
      <c r="DJ98" s="166"/>
      <c r="DK98" s="166"/>
      <c r="DL98" s="917">
        <f>IF(DJ98=0,0,(DK98-DJ98)/DJ98*100)</f>
        <v>0</v>
      </c>
      <c r="DM98" s="166"/>
      <c r="DN98" s="166"/>
      <c r="DO98" s="917">
        <f>IF(DM98=0,0,(DN98-DM98)/DM98*100)</f>
        <v>0</v>
      </c>
      <c r="DP98" s="166"/>
      <c r="DQ98" s="166"/>
      <c r="DR98" s="917">
        <f>IF(DP98=0,0,(DQ98-DP98)/DP98*100)</f>
        <v>0</v>
      </c>
      <c r="DS98" s="166"/>
      <c r="DT98" s="166"/>
      <c r="DU98" s="917">
        <f>IF(DS98=0,0,(DT98-DS98)/DS98*100)</f>
        <v>0</v>
      </c>
      <c r="DV98" s="166"/>
      <c r="DW98" s="166"/>
      <c r="DX98" s="917">
        <f>IF(DV98=0,0,(DW98-DV98)/DV98*100)</f>
        <v>0</v>
      </c>
      <c r="DY98" s="166"/>
      <c r="DZ98" s="166"/>
      <c r="EA98" s="917">
        <f>IF(DY98=0,0,(DZ98-DY98)/DY98*100)</f>
        <v>0</v>
      </c>
      <c r="EB98" s="166"/>
      <c r="EC98" s="166"/>
      <c r="ED98" s="917">
        <f>IF(EB98=0,0,(EC98-EB98)/EB98*100)</f>
        <v>0</v>
      </c>
      <c r="EE98" s="166"/>
      <c r="EF98" s="166"/>
      <c r="EG98" s="917">
        <f>IF(EE98=0,0,(EF98-EE98)/EE98*100)</f>
        <v>0</v>
      </c>
      <c r="EH98" s="166"/>
      <c r="EI98" s="166"/>
      <c r="EJ98" s="917">
        <f>IF(EH98=0,0,(EI98-EH98)/EH98*100)</f>
        <v>0</v>
      </c>
      <c r="EK98" s="166"/>
      <c r="EL98" s="166"/>
      <c r="EM98" s="917">
        <f>IF(EK98=0,0,(EL98-EK98)/EK98*100)</f>
        <v>0</v>
      </c>
      <c r="EN98" s="166"/>
      <c r="EO98" s="166"/>
      <c r="EP98" s="917">
        <f>IF(EN98=0,0,(EO98-EN98)/EN98*100)</f>
        <v>0</v>
      </c>
      <c r="EQ98" s="166"/>
      <c r="ER98" s="166"/>
      <c r="ES98" s="917">
        <f>IF(EQ98=0,0,(ER98-EQ98)/EQ98*100)</f>
        <v>0</v>
      </c>
      <c r="ET98" s="166"/>
      <c r="EU98" s="166"/>
      <c r="EV98" s="917">
        <f>IF(ET98=0,0,(EU98-ET98)/ET98*100)</f>
        <v>0</v>
      </c>
      <c r="EW98" s="166"/>
      <c r="EX98" s="166"/>
      <c r="EY98" s="917">
        <f>IF(EW98=0,0,(EX98-EW98)/EW98*100)</f>
        <v>0</v>
      </c>
      <c r="EZ98" s="166"/>
      <c r="FA98" s="166"/>
      <c r="FB98" s="917">
        <f>IF(EZ98=0,0,(FA98-EZ98)/EZ98*100)</f>
        <v>0</v>
      </c>
      <c r="FC98" s="166"/>
      <c r="FD98" s="166"/>
      <c r="FE98" s="917">
        <f>IF(FC98=0,0,(FD98-FC98)/FC98*100)</f>
        <v>0</v>
      </c>
      <c r="FF98" s="166"/>
      <c r="FG98" s="166"/>
      <c r="FH98" s="917">
        <f>IF(FF98=0,0,(FG98-FF98)/FF98*100)</f>
        <v>0</v>
      </c>
      <c r="FI98" s="166"/>
      <c r="FJ98" s="166"/>
      <c r="FK98" s="917">
        <f>IF(FI98=0,0,(FJ98-FI98)/FI98*100)</f>
        <v>0</v>
      </c>
      <c r="FL98" s="166"/>
      <c r="FM98" s="166"/>
      <c r="FN98" s="917">
        <f>IF(FL98=0,0,(FM98-FL98)/FL98*100)</f>
        <v>0</v>
      </c>
      <c r="FO98" s="166"/>
      <c r="FP98" s="166"/>
      <c r="FQ98" s="917">
        <f>IF(FO98=0,0,(FP98-FO98)/FO98*100)</f>
        <v>0</v>
      </c>
      <c r="FR98" s="166"/>
      <c r="FS98" s="166"/>
      <c r="FT98" s="917">
        <f>IF(FR98=0,0,(FS98-FR98)/FR98*100)</f>
        <v>0</v>
      </c>
      <c r="FU98" s="166"/>
      <c r="FV98" s="166"/>
      <c r="FW98" s="917">
        <f>IF(FU98=0,0,(FV98-FU98)/FU98*100)</f>
        <v>0</v>
      </c>
      <c r="FX98" s="286"/>
      <c r="FY98" s="1659"/>
      <c r="FZ98" s="489" t="s">
        <v>2497</v>
      </c>
      <c r="GA98" s="489"/>
      <c r="GB98" s="489"/>
      <c r="GC98" s="489"/>
      <c r="GD98" s="489"/>
      <c r="GE98" s="1506"/>
      <c r="GF98" s="1501" cm="1" t="str">
        <f t="array" ref="GF98:GF98">GF97</f>
        <v>ТЭ.42.31656254.0001</v>
      </c>
      <c r="GG98" s="1501" t="s">
        <v>707</v>
      </c>
      <c r="GH98" s="1501" t="s">
        <v>2452</v>
      </c>
      <c r="GI98" s="1501" t="s">
        <v>796</v>
      </c>
      <c r="GJ98" s="1501" t="s">
        <v>2084</v>
      </c>
      <c r="GK98" s="1501"/>
      <c r="GL98" s="1501" t="s">
        <v>303</v>
      </c>
      <c r="GM98" s="1501" t="s">
        <v>2079</v>
      </c>
      <c r="GN98" s="1501" t="s">
        <v>2080</v>
      </c>
    </row>
    <row s="1751" customFormat="1" customHeight="1" ht="30.75" hidden="1">
      <c r="A99" s="371"/>
      <c r="B99" s="192" cm="1" t="str">
        <f t="array" ref="B99:B99">B98</f>
        <v>false</v>
      </c>
      <c r="C99" s="1659"/>
      <c r="D99" s="1659"/>
      <c r="E99" s="180">
        <v>32</v>
      </c>
      <c r="F99" s="175" cm="1" t="str">
        <f t="array" ref="F99:F99">OFFSET(G99,-1,-1)</f>
        <v>1</v>
      </c>
      <c r="G99" s="193" t="s">
        <v>2129</v>
      </c>
      <c r="H99" s="1659"/>
      <c r="I99" s="193" t="s">
        <v>2449</v>
      </c>
      <c r="J99" s="1659"/>
      <c r="K99" s="1659"/>
      <c r="L99" s="1659"/>
      <c r="M99" s="1659"/>
      <c r="N99" s="1659"/>
      <c r="O99" s="1659"/>
      <c r="P99" s="1659"/>
      <c r="Q99" s="1659"/>
      <c r="R99" s="1659"/>
      <c r="S99" s="1659"/>
      <c r="T99" s="753" cm="1" t="str">
        <f t="array" ref="T99:T99">T98</f>
        <v>false</v>
      </c>
      <c r="U99" s="1548"/>
      <c r="V99" s="1548"/>
      <c r="W99" s="1548"/>
      <c r="X99" s="1548"/>
      <c r="Y99" s="1548"/>
      <c r="Z99" s="1548"/>
      <c r="AA99" s="286"/>
      <c r="AB99" s="560" t="s">
        <v>2498</v>
      </c>
      <c r="AC99" s="333" t="s">
        <v>2131</v>
      </c>
      <c r="AD99" s="76">
        <f>IF(method_reg="Метод экономически обоснованных расходов",_xlfn.SUMIFS('Калькуляция (4.6)'!AJ$25:AJ$162,'Калькуляция (4.6)'!$F$25:$F$162,$F99,'Калькуляция (4.6)'!$G$25:$G$162,$G99),IF(method_reg="Метод сравнения аналогов",_xlfn.SUMIFS(INDEX('Калькуляция (МСА)'!$AE$25:$BW$82,,MATCH(AD$8,'Калькуляция (МСА)'!$AE$8:$BW$8,0)),'Калькуляция (МСА)'!$F$25:$F$82,$F99,'Калькуляция (МСА)'!$G$25:$G$82,$G99),_xlfn.SUMIFS(INDEX('Калькуляция (5.9)'!$AJ$25:$BW$139,,MATCH(AD$8,'Калькуляция (5.9)'!$AJ$8:$BW$8,0)),'Калькуляция (5.9)'!$F$25:$F$139,$F99,'Калькуляция (5.9)'!$G$25:$G$139,$G99)))</f>
        <v>0</v>
      </c>
      <c r="AE99" s="76">
        <f>IF(method_reg="Метод экономически обоснованных расходов",_xlfn.SUMIFS('Калькуляция (4.6)'!AK$25:AK$162,'Калькуляция (4.6)'!$F$25:$F$162,$F99,'Калькуляция (4.6)'!$G$25:$G$162,$G99),IF(method_reg="Метод сравнения аналогов",_xlfn.SUMIFS(INDEX('Калькуляция (МСА)'!$AE$25:$BW$82,,MATCH(AE$8,'Калькуляция (МСА)'!$AE$8:$BW$8,0)),'Калькуляция (МСА)'!$F$25:$F$82,$F99,'Калькуляция (МСА)'!$G$25:$G$82,$G99),_xlfn.SUMIFS(INDEX('Калькуляция (5.9)'!$AJ$25:$BW$139,,MATCH(AE$8,'Калькуляция (5.9)'!$AJ$8:$BW$8,0)),'Калькуляция (5.9)'!$F$25:$F$139,$F99,'Калькуляция (5.9)'!$G$25:$G$139,$G99)))</f>
        <v>0</v>
      </c>
      <c r="AF99" s="915">
        <f>IF(AD99=0,0,(AE99-AD99)/AD99*100)</f>
        <v>0</v>
      </c>
      <c r="AG99" s="76">
        <f>IF(method_reg="Метод сравнения аналогов",_xlfn.SUMIFS(INDEX('Калькуляция (МСА)'!$AE$25:$BW$82,,MATCH(AG$8,'Калькуляция (МСА)'!$AE$8:$BW$8,0)),'Калькуляция (МСА)'!$F$25:$F$82,$F99,'Калькуляция (МСА)'!$G$25:$G$82,$G99),_xlfn.SUMIFS(INDEX('Калькуляция (5.9)'!$AJ$25:$BW$139,,MATCH(AG$8,'Калькуляция (5.9)'!$AJ$8:$BW$8,0)),'Калькуляция (5.9)'!$F$25:$F$139,$F99,'Калькуляция (5.9)'!$G$25:$G$139,$G99))</f>
        <v>0</v>
      </c>
      <c r="AH99" s="76">
        <f>IF(method_reg="Метод сравнения аналогов",_xlfn.SUMIFS(INDEX('Калькуляция (МСА)'!$AE$25:$BW$82,,MATCH(AH$8,'Калькуляция (МСА)'!$AE$8:$BW$8,0)),'Калькуляция (МСА)'!$F$25:$F$82,$F99,'Калькуляция (МСА)'!$G$25:$G$82,$G99),_xlfn.SUMIFS(INDEX('Калькуляция (5.9)'!$AJ$25:$BW$139,,MATCH(AH$8,'Калькуляция (5.9)'!$AJ$8:$BW$8,0)),'Калькуляция (5.9)'!$F$25:$F$139,$F99,'Калькуляция (5.9)'!$G$25:$G$139,$G99))</f>
        <v>0</v>
      </c>
      <c r="AI99" s="915">
        <f>IF(AG99=0,0,(AH99-AG99)/AG99*100)</f>
        <v>0</v>
      </c>
      <c r="AJ99" s="76">
        <f>IF(method_reg="Метод сравнения аналогов",_xlfn.SUMIFS(INDEX('Калькуляция (МСА)'!$AE$25:$BW$82,,MATCH(AJ$8,'Калькуляция (МСА)'!$AE$8:$BW$8,0)),'Калькуляция (МСА)'!$F$25:$F$82,$F99,'Калькуляция (МСА)'!$G$25:$G$82,$G99),_xlfn.SUMIFS(INDEX('Калькуляция (5.9)'!$AJ$25:$BW$139,,MATCH(AJ$8,'Калькуляция (5.9)'!$AJ$8:$BW$8,0)),'Калькуляция (5.9)'!$F$25:$F$139,$F99,'Калькуляция (5.9)'!$G$25:$G$139,$G99))</f>
        <v>0</v>
      </c>
      <c r="AK99" s="76">
        <f>IF(method_reg="Метод сравнения аналогов",_xlfn.SUMIFS(INDEX('Калькуляция (МСА)'!$AE$25:$BW$82,,MATCH(AK$8,'Калькуляция (МСА)'!$AE$8:$BW$8,0)),'Калькуляция (МСА)'!$F$25:$F$82,$F99,'Калькуляция (МСА)'!$G$25:$G$82,$G99),_xlfn.SUMIFS(INDEX('Калькуляция (5.9)'!$AJ$25:$BW$139,,MATCH(AK$8,'Калькуляция (5.9)'!$AJ$8:$BW$8,0)),'Калькуляция (5.9)'!$F$25:$F$139,$F99,'Калькуляция (5.9)'!$G$25:$G$139,$G99))</f>
        <v>0</v>
      </c>
      <c r="AL99" s="915">
        <f>IF(AJ99=0,0,(AK99-AJ99)/AJ99*100)</f>
        <v>0</v>
      </c>
      <c r="AM99" s="76">
        <f>IF(method_reg="Метод сравнения аналогов",_xlfn.SUMIFS(INDEX('Калькуляция (МСА)'!$AE$25:$BW$82,,MATCH(AM$8,'Калькуляция (МСА)'!$AE$8:$BW$8,0)),'Калькуляция (МСА)'!$F$25:$F$82,$F99,'Калькуляция (МСА)'!$G$25:$G$82,$G99),_xlfn.SUMIFS(INDEX('Калькуляция (5.9)'!$AJ$25:$BW$139,,MATCH(AM$8,'Калькуляция (5.9)'!$AJ$8:$BW$8,0)),'Калькуляция (5.9)'!$F$25:$F$139,$F99,'Калькуляция (5.9)'!$G$25:$G$139,$G99))</f>
        <v>0</v>
      </c>
      <c r="AN99" s="76">
        <f>IF(method_reg="Метод сравнения аналогов",_xlfn.SUMIFS(INDEX('Калькуляция (МСА)'!$AE$25:$BW$82,,MATCH(AN$8,'Калькуляция (МСА)'!$AE$8:$BW$8,0)),'Калькуляция (МСА)'!$F$25:$F$82,$F99,'Калькуляция (МСА)'!$G$25:$G$82,$G99),_xlfn.SUMIFS(INDEX('Калькуляция (5.9)'!$AJ$25:$BW$139,,MATCH(AN$8,'Калькуляция (5.9)'!$AJ$8:$BW$8,0)),'Калькуляция (5.9)'!$F$25:$F$139,$F99,'Калькуляция (5.9)'!$G$25:$G$139,$G99))</f>
        <v>0</v>
      </c>
      <c r="AO99" s="915">
        <f>IF(AM99=0,0,(AN99-AM99)/AM99*100)</f>
        <v>0</v>
      </c>
      <c r="AP99" s="76">
        <f>IF(method_reg="Метод сравнения аналогов",_xlfn.SUMIFS(INDEX('Калькуляция (МСА)'!$AE$25:$BW$82,,MATCH(AP$8,'Калькуляция (МСА)'!$AE$8:$BW$8,0)),'Калькуляция (МСА)'!$F$25:$F$82,$F99,'Калькуляция (МСА)'!$G$25:$G$82,$G99),_xlfn.SUMIFS(INDEX('Калькуляция (5.9)'!$AJ$25:$BW$139,,MATCH(AP$8,'Калькуляция (5.9)'!$AJ$8:$BW$8,0)),'Калькуляция (5.9)'!$F$25:$F$139,$F99,'Калькуляция (5.9)'!$G$25:$G$139,$G99))</f>
        <v>0</v>
      </c>
      <c r="AQ99" s="76">
        <f>IF(method_reg="Метод сравнения аналогов",_xlfn.SUMIFS(INDEX('Калькуляция (МСА)'!$AE$25:$BW$82,,MATCH(AQ$8,'Калькуляция (МСА)'!$AE$8:$BW$8,0)),'Калькуляция (МСА)'!$F$25:$F$82,$F99,'Калькуляция (МСА)'!$G$25:$G$82,$G99),_xlfn.SUMIFS(INDEX('Калькуляция (5.9)'!$AJ$25:$BW$139,,MATCH(AQ$8,'Калькуляция (5.9)'!$AJ$8:$BW$8,0)),'Калькуляция (5.9)'!$F$25:$F$139,$F99,'Калькуляция (5.9)'!$G$25:$G$139,$G99))</f>
        <v>0</v>
      </c>
      <c r="AR99" s="915">
        <f>IF(AP99=0,0,(AQ99-AP99)/AP99*100)</f>
        <v>0</v>
      </c>
      <c r="AS99" s="76">
        <f>IF(method_reg="Метод сравнения аналогов",_xlfn.SUMIFS(INDEX('Калькуляция (МСА)'!$AE$25:$BW$82,,MATCH(AS$8,'Калькуляция (МСА)'!$AE$8:$BW$8,0)),'Калькуляция (МСА)'!$F$25:$F$82,$F99,'Калькуляция (МСА)'!$G$25:$G$82,$G99),_xlfn.SUMIFS(INDEX('Калькуляция (5.9)'!$AJ$25:$BW$139,,MATCH(AS$8,'Калькуляция (5.9)'!$AJ$8:$BW$8,0)),'Калькуляция (5.9)'!$F$25:$F$139,$F99,'Калькуляция (5.9)'!$G$25:$G$139,$G99))</f>
        <v>0</v>
      </c>
      <c r="AT99" s="76">
        <f>IF(method_reg="Метод сравнения аналогов",_xlfn.SUMIFS(INDEX('Калькуляция (МСА)'!$AE$25:$BW$82,,MATCH(AT$8,'Калькуляция (МСА)'!$AE$8:$BW$8,0)),'Калькуляция (МСА)'!$F$25:$F$82,$F99,'Калькуляция (МСА)'!$G$25:$G$82,$G99),_xlfn.SUMIFS(INDEX('Калькуляция (5.9)'!$AJ$25:$BW$139,,MATCH(AT$8,'Калькуляция (5.9)'!$AJ$8:$BW$8,0)),'Калькуляция (5.9)'!$F$25:$F$139,$F99,'Калькуляция (5.9)'!$G$25:$G$139,$G99))</f>
        <v>0</v>
      </c>
      <c r="AU99" s="915">
        <f>IF(AS99=0,0,(AT99-AS99)/AS99*100)</f>
        <v>0</v>
      </c>
      <c r="AV99" s="76">
        <f>IF(method_reg="Метод сравнения аналогов",_xlfn.SUMIFS(INDEX('Калькуляция (МСА)'!$AE$25:$BW$82,,MATCH(AV$8,'Калькуляция (МСА)'!$AE$8:$BW$8,0)),'Калькуляция (МСА)'!$F$25:$F$82,$F99,'Калькуляция (МСА)'!$G$25:$G$82,$G99),_xlfn.SUMIFS(INDEX('Калькуляция (5.9)'!$AJ$25:$BW$139,,MATCH(AV$8,'Калькуляция (5.9)'!$AJ$8:$BW$8,0)),'Калькуляция (5.9)'!$F$25:$F$139,$F99,'Калькуляция (5.9)'!$G$25:$G$139,$G99))</f>
        <v>0</v>
      </c>
      <c r="AW99" s="76">
        <f>IF(method_reg="Метод сравнения аналогов",_xlfn.SUMIFS(INDEX('Калькуляция (МСА)'!$AE$25:$BW$82,,MATCH(AW$8,'Калькуляция (МСА)'!$AE$8:$BW$8,0)),'Калькуляция (МСА)'!$F$25:$F$82,$F99,'Калькуляция (МСА)'!$G$25:$G$82,$G99),_xlfn.SUMIFS(INDEX('Калькуляция (5.9)'!$AJ$25:$BW$139,,MATCH(AW$8,'Калькуляция (5.9)'!$AJ$8:$BW$8,0)),'Калькуляция (5.9)'!$F$25:$F$139,$F99,'Калькуляция (5.9)'!$G$25:$G$139,$G99))</f>
        <v>0</v>
      </c>
      <c r="AX99" s="915">
        <f>IF(AV99=0,0,(AW99-AV99)/AV99*100)</f>
        <v>0</v>
      </c>
      <c r="AY99" s="76">
        <f>IF(method_reg="Метод сравнения аналогов",_xlfn.SUMIFS(INDEX('Калькуляция (МСА)'!$AE$25:$BW$82,,MATCH(AY$8,'Калькуляция (МСА)'!$AE$8:$BW$8,0)),'Калькуляция (МСА)'!$F$25:$F$82,$F99,'Калькуляция (МСА)'!$G$25:$G$82,$G99),_xlfn.SUMIFS(INDEX('Калькуляция (5.9)'!$AJ$25:$BW$139,,MATCH(AY$8,'Калькуляция (5.9)'!$AJ$8:$BW$8,0)),'Калькуляция (5.9)'!$F$25:$F$139,$F99,'Калькуляция (5.9)'!$G$25:$G$139,$G99))</f>
        <v>0</v>
      </c>
      <c r="AZ99" s="76">
        <f>IF(method_reg="Метод сравнения аналогов",_xlfn.SUMIFS(INDEX('Калькуляция (МСА)'!$AE$25:$BW$82,,MATCH(AZ$8,'Калькуляция (МСА)'!$AE$8:$BW$8,0)),'Калькуляция (МСА)'!$F$25:$F$82,$F99,'Калькуляция (МСА)'!$G$25:$G$82,$G99),_xlfn.SUMIFS(INDEX('Калькуляция (5.9)'!$AJ$25:$BW$139,,MATCH(AZ$8,'Калькуляция (5.9)'!$AJ$8:$BW$8,0)),'Калькуляция (5.9)'!$F$25:$F$139,$F99,'Калькуляция (5.9)'!$G$25:$G$139,$G99))</f>
        <v>0</v>
      </c>
      <c r="BA99" s="915">
        <f>IF(AY99=0,0,(AZ99-AY99)/AY99*100)</f>
        <v>0</v>
      </c>
      <c r="BB99" s="76">
        <f>IF(method_reg="Метод сравнения аналогов",_xlfn.SUMIFS(INDEX('Калькуляция (МСА)'!$AE$25:$BW$82,,MATCH(BB$8,'Калькуляция (МСА)'!$AE$8:$BW$8,0)),'Калькуляция (МСА)'!$F$25:$F$82,$F99,'Калькуляция (МСА)'!$G$25:$G$82,$G99),_xlfn.SUMIFS(INDEX('Калькуляция (5.9)'!$AJ$25:$BW$139,,MATCH(BB$8,'Калькуляция (5.9)'!$AJ$8:$BW$8,0)),'Калькуляция (5.9)'!$F$25:$F$139,$F99,'Калькуляция (5.9)'!$G$25:$G$139,$G99))</f>
        <v>0</v>
      </c>
      <c r="BC99" s="76">
        <f>IF(method_reg="Метод сравнения аналогов",_xlfn.SUMIFS(INDEX('Калькуляция (МСА)'!$AE$25:$BW$82,,MATCH(BC$8,'Калькуляция (МСА)'!$AE$8:$BW$8,0)),'Калькуляция (МСА)'!$F$25:$F$82,$F99,'Калькуляция (МСА)'!$G$25:$G$82,$G99),_xlfn.SUMIFS(INDEX('Калькуляция (5.9)'!$AJ$25:$BW$139,,MATCH(BC$8,'Калькуляция (5.9)'!$AJ$8:$BW$8,0)),'Калькуляция (5.9)'!$F$25:$F$139,$F99,'Калькуляция (5.9)'!$G$25:$G$139,$G99))</f>
        <v>0</v>
      </c>
      <c r="BD99" s="915">
        <f>IF(BB99=0,0,(BC99-BB99)/BB99*100)</f>
        <v>0</v>
      </c>
      <c r="BE99" s="76">
        <f>IF(method_reg="Метод сравнения аналогов",_xlfn.SUMIFS(INDEX('Калькуляция (МСА)'!$AE$25:$BW$82,,MATCH(BE$8,'Калькуляция (МСА)'!$AE$8:$BW$8,0)),'Калькуляция (МСА)'!$F$25:$F$82,$F99,'Калькуляция (МСА)'!$G$25:$G$82,$G99),_xlfn.SUMIFS(INDEX('Калькуляция (5.9)'!$AJ$25:$BW$139,,MATCH(BE$8,'Калькуляция (5.9)'!$AJ$8:$BW$8,0)),'Калькуляция (5.9)'!$F$25:$F$139,$F99,'Калькуляция (5.9)'!$G$25:$G$139,$G99))</f>
        <v>0</v>
      </c>
      <c r="BF99" s="76">
        <f>IF(method_reg="Метод сравнения аналогов",_xlfn.SUMIFS(INDEX('Калькуляция (МСА)'!$AE$25:$BW$82,,MATCH(BF$8,'Калькуляция (МСА)'!$AE$8:$BW$8,0)),'Калькуляция (МСА)'!$F$25:$F$82,$F99,'Калькуляция (МСА)'!$G$25:$G$82,$G99),_xlfn.SUMIFS(INDEX('Калькуляция (5.9)'!$AJ$25:$BW$139,,MATCH(BF$8,'Калькуляция (5.9)'!$AJ$8:$BW$8,0)),'Калькуляция (5.9)'!$F$25:$F$139,$F99,'Калькуляция (5.9)'!$G$25:$G$139,$G99))</f>
        <v>0</v>
      </c>
      <c r="BG99" s="915">
        <f>IF(BE99=0,0,(BF99-BE99)/BE99*100)</f>
        <v>0</v>
      </c>
      <c r="BH99" s="76"/>
      <c r="BI99" s="76"/>
      <c r="BJ99" s="915">
        <f>IF(BH99=0,0,(BI99-BH99)/BH99*100)</f>
        <v>0</v>
      </c>
      <c r="BK99" s="76"/>
      <c r="BL99" s="76"/>
      <c r="BM99" s="915">
        <f>IF(BK99=0,0,(BL99-BK99)/BK99*100)</f>
        <v>0</v>
      </c>
      <c r="BN99" s="76"/>
      <c r="BO99" s="76"/>
      <c r="BP99" s="915">
        <f>IF(BN99=0,0,(BO99-BN99)/BN99*100)</f>
        <v>0</v>
      </c>
      <c r="BQ99" s="76"/>
      <c r="BR99" s="76"/>
      <c r="BS99" s="915">
        <f>IF(BQ99=0,0,(BR99-BQ99)/BQ99*100)</f>
        <v>0</v>
      </c>
      <c r="BT99" s="76"/>
      <c r="BU99" s="76"/>
      <c r="BV99" s="915">
        <f>IF(BT99=0,0,(BU99-BT99)/BT99*100)</f>
        <v>0</v>
      </c>
      <c r="BW99" s="76"/>
      <c r="BX99" s="76"/>
      <c r="BY99" s="915">
        <f>IF(BW99=0,0,(BX99-BW99)/BW99*100)</f>
        <v>0</v>
      </c>
      <c r="BZ99" s="76"/>
      <c r="CA99" s="76"/>
      <c r="CB99" s="915">
        <f>IF(BZ99=0,0,(CA99-BZ99)/BZ99*100)</f>
        <v>0</v>
      </c>
      <c r="CC99" s="76"/>
      <c r="CD99" s="76"/>
      <c r="CE99" s="915">
        <f>IF(CC99=0,0,(CD99-CC99)/CC99*100)</f>
        <v>0</v>
      </c>
      <c r="CF99" s="76"/>
      <c r="CG99" s="76"/>
      <c r="CH99" s="915">
        <f>IF(CF99=0,0,(CG99-CF99)/CF99*100)</f>
        <v>0</v>
      </c>
      <c r="CI99" s="76"/>
      <c r="CJ99" s="76"/>
      <c r="CK99" s="915">
        <f>IF(CI99=0,0,(CJ99-CI99)/CI99*100)</f>
        <v>0</v>
      </c>
      <c r="CL99" s="76"/>
      <c r="CM99" s="76"/>
      <c r="CN99" s="915">
        <f>IF(CL99=0,0,(CM99-CL99)/CL99*100)</f>
        <v>0</v>
      </c>
      <c r="CO99" s="76"/>
      <c r="CP99" s="76"/>
      <c r="CQ99" s="915">
        <f>IF(CO99=0,0,(CP99-CO99)/CO99*100)</f>
        <v>0</v>
      </c>
      <c r="CR99" s="76"/>
      <c r="CS99" s="76"/>
      <c r="CT99" s="915">
        <f>IF(CR99=0,0,(CS99-CR99)/CR99*100)</f>
        <v>0</v>
      </c>
      <c r="CU99" s="76"/>
      <c r="CV99" s="76"/>
      <c r="CW99" s="915">
        <f>IF(CU99=0,0,(CV99-CU99)/CU99*100)</f>
        <v>0</v>
      </c>
      <c r="CX99" s="76"/>
      <c r="CY99" s="76"/>
      <c r="CZ99" s="915">
        <f>IF(CX99=0,0,(CY99-CX99)/CX99*100)</f>
        <v>0</v>
      </c>
      <c r="DA99" s="76"/>
      <c r="DB99" s="76"/>
      <c r="DC99" s="915">
        <f>IF(DA99=0,0,(DB99-DA99)/DA99*100)</f>
        <v>0</v>
      </c>
      <c r="DD99" s="76"/>
      <c r="DE99" s="76"/>
      <c r="DF99" s="915">
        <f>IF(DD99=0,0,(DE99-DD99)/DD99*100)</f>
        <v>0</v>
      </c>
      <c r="DG99" s="76"/>
      <c r="DH99" s="76"/>
      <c r="DI99" s="915">
        <f>IF(DG99=0,0,(DH99-DG99)/DG99*100)</f>
        <v>0</v>
      </c>
      <c r="DJ99" s="76"/>
      <c r="DK99" s="76"/>
      <c r="DL99" s="915">
        <f>IF(DJ99=0,0,(DK99-DJ99)/DJ99*100)</f>
        <v>0</v>
      </c>
      <c r="DM99" s="76"/>
      <c r="DN99" s="76"/>
      <c r="DO99" s="915">
        <f>IF(DM99=0,0,(DN99-DM99)/DM99*100)</f>
        <v>0</v>
      </c>
      <c r="DP99" s="76"/>
      <c r="DQ99" s="76"/>
      <c r="DR99" s="915">
        <f>IF(DP99=0,0,(DQ99-DP99)/DP99*100)</f>
        <v>0</v>
      </c>
      <c r="DS99" s="76"/>
      <c r="DT99" s="76"/>
      <c r="DU99" s="915">
        <f>IF(DS99=0,0,(DT99-DS99)/DS99*100)</f>
        <v>0</v>
      </c>
      <c r="DV99" s="76"/>
      <c r="DW99" s="76"/>
      <c r="DX99" s="915">
        <f>IF(DV99=0,0,(DW99-DV99)/DV99*100)</f>
        <v>0</v>
      </c>
      <c r="DY99" s="76"/>
      <c r="DZ99" s="76"/>
      <c r="EA99" s="915">
        <f>IF(DY99=0,0,(DZ99-DY99)/DY99*100)</f>
        <v>0</v>
      </c>
      <c r="EB99" s="76"/>
      <c r="EC99" s="76"/>
      <c r="ED99" s="915">
        <f>IF(EB99=0,0,(EC99-EB99)/EB99*100)</f>
        <v>0</v>
      </c>
      <c r="EE99" s="76"/>
      <c r="EF99" s="76"/>
      <c r="EG99" s="915">
        <f>IF(EE99=0,0,(EF99-EE99)/EE99*100)</f>
        <v>0</v>
      </c>
      <c r="EH99" s="76"/>
      <c r="EI99" s="76"/>
      <c r="EJ99" s="915">
        <f>IF(EH99=0,0,(EI99-EH99)/EH99*100)</f>
        <v>0</v>
      </c>
      <c r="EK99" s="76"/>
      <c r="EL99" s="76"/>
      <c r="EM99" s="915">
        <f>IF(EK99=0,0,(EL99-EK99)/EK99*100)</f>
        <v>0</v>
      </c>
      <c r="EN99" s="76"/>
      <c r="EO99" s="76"/>
      <c r="EP99" s="915">
        <f>IF(EN99=0,0,(EO99-EN99)/EN99*100)</f>
        <v>0</v>
      </c>
      <c r="EQ99" s="76"/>
      <c r="ER99" s="76"/>
      <c r="ES99" s="915">
        <f>IF(EQ99=0,0,(ER99-EQ99)/EQ99*100)</f>
        <v>0</v>
      </c>
      <c r="ET99" s="76"/>
      <c r="EU99" s="76"/>
      <c r="EV99" s="915">
        <f>IF(ET99=0,0,(EU99-ET99)/ET99*100)</f>
        <v>0</v>
      </c>
      <c r="EW99" s="76"/>
      <c r="EX99" s="76"/>
      <c r="EY99" s="915">
        <f>IF(EW99=0,0,(EX99-EW99)/EW99*100)</f>
        <v>0</v>
      </c>
      <c r="EZ99" s="76"/>
      <c r="FA99" s="76"/>
      <c r="FB99" s="915">
        <f>IF(EZ99=0,0,(FA99-EZ99)/EZ99*100)</f>
        <v>0</v>
      </c>
      <c r="FC99" s="76"/>
      <c r="FD99" s="76"/>
      <c r="FE99" s="915">
        <f>IF(FC99=0,0,(FD99-FC99)/FC99*100)</f>
        <v>0</v>
      </c>
      <c r="FF99" s="76"/>
      <c r="FG99" s="76"/>
      <c r="FH99" s="915">
        <f>IF(FF99=0,0,(FG99-FF99)/FF99*100)</f>
        <v>0</v>
      </c>
      <c r="FI99" s="76"/>
      <c r="FJ99" s="76"/>
      <c r="FK99" s="915">
        <f>IF(FI99=0,0,(FJ99-FI99)/FI99*100)</f>
        <v>0</v>
      </c>
      <c r="FL99" s="76"/>
      <c r="FM99" s="76"/>
      <c r="FN99" s="915">
        <f>IF(FL99=0,0,(FM99-FL99)/FL99*100)</f>
        <v>0</v>
      </c>
      <c r="FO99" s="76"/>
      <c r="FP99" s="76"/>
      <c r="FQ99" s="915">
        <f>IF(FO99=0,0,(FP99-FO99)/FO99*100)</f>
        <v>0</v>
      </c>
      <c r="FR99" s="76"/>
      <c r="FS99" s="76"/>
      <c r="FT99" s="915">
        <f>IF(FR99=0,0,(FS99-FR99)/FR99*100)</f>
        <v>0</v>
      </c>
      <c r="FU99" s="76"/>
      <c r="FV99" s="76"/>
      <c r="FW99" s="915">
        <f>IF(FU99=0,0,(FV99-FU99)/FU99*100)</f>
        <v>0</v>
      </c>
      <c r="FX99" s="286"/>
      <c r="FY99" s="1659"/>
      <c r="FZ99" s="489" t="s">
        <v>2499</v>
      </c>
      <c r="GA99" s="489"/>
      <c r="GB99" s="489"/>
      <c r="GC99" s="489"/>
      <c r="GD99" s="489"/>
      <c r="GE99" s="1506"/>
      <c r="GF99" s="1501" cm="1" t="str">
        <f t="array" ref="GF99:GF99">GF98</f>
        <v>ТЭ.42.31656254.0001</v>
      </c>
      <c r="GG99" s="1501" t="s">
        <v>707</v>
      </c>
      <c r="GH99" s="1501" t="s">
        <v>2452</v>
      </c>
      <c r="GI99" s="1501" t="s">
        <v>796</v>
      </c>
      <c r="GJ99" s="1501" t="s">
        <v>2084</v>
      </c>
      <c r="GK99" s="1501"/>
      <c r="GL99" s="1501" t="s">
        <v>303</v>
      </c>
      <c r="GM99" s="1501" t="s">
        <v>2500</v>
      </c>
      <c r="GN99" s="1501" t="s">
        <v>2501</v>
      </c>
    </row>
    <row s="1751" customFormat="1" customHeight="1" ht="15" hidden="1">
      <c r="A100" s="371"/>
      <c r="B100" s="192" cm="1" t="str">
        <f t="array" ref="B100:B100">B99</f>
        <v>false</v>
      </c>
      <c r="C100" s="1659"/>
      <c r="D100" s="1659"/>
      <c r="E100" s="180">
        <v>16</v>
      </c>
      <c r="F100" s="175" cm="1" t="str">
        <f t="array" ref="F100:F100">OFFSET(G100,-1,-1)</f>
        <v>1</v>
      </c>
      <c r="G100" s="193" t="s">
        <v>2106</v>
      </c>
      <c r="H100" s="1659"/>
      <c r="I100" s="193" t="s">
        <v>2449</v>
      </c>
      <c r="J100" s="1659"/>
      <c r="K100" s="1659"/>
      <c r="L100" s="1659"/>
      <c r="M100" s="1659"/>
      <c r="N100" s="1659"/>
      <c r="O100" s="1659"/>
      <c r="P100" s="1659"/>
      <c r="Q100" s="1659"/>
      <c r="R100" s="1659"/>
      <c r="S100" s="1659"/>
      <c r="T100" s="753" cm="1" t="str">
        <f t="array" ref="T100:T100">T99</f>
        <v>false</v>
      </c>
      <c r="U100" s="1548"/>
      <c r="V100" s="1548"/>
      <c r="W100" s="1548"/>
      <c r="X100" s="1548"/>
      <c r="Y100" s="1548"/>
      <c r="Z100" s="1548"/>
      <c r="AA100" s="286"/>
      <c r="AB100" s="560" t="s">
        <v>2502</v>
      </c>
      <c r="AC100" s="845" t="s">
        <v>752</v>
      </c>
      <c r="AD100" s="76">
        <f>IF(method_reg="Метод экономически обоснованных расходов",_xlfn.SUMIFS('Калькуляция (4.6)'!AJ$25:AJ$162,'Калькуляция (4.6)'!$F$25:$F$162,$F100,'Калькуляция (4.6)'!$G$25:$G$162,$G100),IF(method_reg="Метод сравнения аналогов",_xlfn.SUMIFS(INDEX('Калькуляция (МСА)'!$AE$25:$BW$82,,MATCH(AD$8,'Калькуляция (МСА)'!$AE$8:$BW$8,0)),'Калькуляция (МСА)'!$F$25:$F$82,$F100,'Калькуляция (МСА)'!$G$25:$G$82,$G100),_xlfn.SUMIFS(INDEX('Калькуляция (5.9)'!$AJ$25:$BW$139,,MATCH(AD$8,'Калькуляция (5.9)'!$AJ$8:$BW$8,0)),'Калькуляция (5.9)'!$F$25:$F$139,$F100,'Калькуляция (5.9)'!$G$25:$G$139,$G100)))</f>
        <v>0</v>
      </c>
      <c r="AE100" s="76">
        <f>IF(method_reg="Метод экономически обоснованных расходов",_xlfn.SUMIFS('Калькуляция (4.6)'!AK$25:AK$162,'Калькуляция (4.6)'!$F$25:$F$162,$F100,'Калькуляция (4.6)'!$G$25:$G$162,$G100),IF(method_reg="Метод сравнения аналогов",_xlfn.SUMIFS(INDEX('Калькуляция (МСА)'!$AE$25:$BW$82,,MATCH(AE$8,'Калькуляция (МСА)'!$AE$8:$BW$8,0)),'Калькуляция (МСА)'!$F$25:$F$82,$F100,'Калькуляция (МСА)'!$G$25:$G$82,$G100),_xlfn.SUMIFS(INDEX('Калькуляция (5.9)'!$AJ$25:$BW$139,,MATCH(AE$8,'Калькуляция (5.9)'!$AJ$8:$BW$8,0)),'Калькуляция (5.9)'!$F$25:$F$139,$F100,'Калькуляция (5.9)'!$G$25:$G$139,$G100)))</f>
        <v>0</v>
      </c>
      <c r="AF100" s="915">
        <f>IF(AD100=0,0,(AE100-AD100)/AD100*100)</f>
        <v>0</v>
      </c>
      <c r="AG100" s="76">
        <f>IF(method_reg="Метод сравнения аналогов",_xlfn.SUMIFS(INDEX('Калькуляция (МСА)'!$AE$25:$BW$82,,MATCH(AG$8,'Калькуляция (МСА)'!$AE$8:$BW$8,0)),'Калькуляция (МСА)'!$F$25:$F$82,$F100,'Калькуляция (МСА)'!$G$25:$G$82,$G100),_xlfn.SUMIFS(INDEX('Калькуляция (5.9)'!$AJ$25:$BW$139,,MATCH(AG$8,'Калькуляция (5.9)'!$AJ$8:$BW$8,0)),'Калькуляция (5.9)'!$F$25:$F$139,$F100,'Калькуляция (5.9)'!$G$25:$G$139,$G100))</f>
        <v>0</v>
      </c>
      <c r="AH100" s="76">
        <f>IF(method_reg="Метод сравнения аналогов",_xlfn.SUMIFS(INDEX('Калькуляция (МСА)'!$AE$25:$BW$82,,MATCH(AH$8,'Калькуляция (МСА)'!$AE$8:$BW$8,0)),'Калькуляция (МСА)'!$F$25:$F$82,$F100,'Калькуляция (МСА)'!$G$25:$G$82,$G100),_xlfn.SUMIFS(INDEX('Калькуляция (5.9)'!$AJ$25:$BW$139,,MATCH(AH$8,'Калькуляция (5.9)'!$AJ$8:$BW$8,0)),'Калькуляция (5.9)'!$F$25:$F$139,$F100,'Калькуляция (5.9)'!$G$25:$G$139,$G100))</f>
        <v>0</v>
      </c>
      <c r="AI100" s="915">
        <f>IF(AG100=0,0,(AH100-AG100)/AG100*100)</f>
        <v>0</v>
      </c>
      <c r="AJ100" s="76">
        <f>IF(method_reg="Метод сравнения аналогов",_xlfn.SUMIFS(INDEX('Калькуляция (МСА)'!$AE$25:$BW$82,,MATCH(AJ$8,'Калькуляция (МСА)'!$AE$8:$BW$8,0)),'Калькуляция (МСА)'!$F$25:$F$82,$F100,'Калькуляция (МСА)'!$G$25:$G$82,$G100),_xlfn.SUMIFS(INDEX('Калькуляция (5.9)'!$AJ$25:$BW$139,,MATCH(AJ$8,'Калькуляция (5.9)'!$AJ$8:$BW$8,0)),'Калькуляция (5.9)'!$F$25:$F$139,$F100,'Калькуляция (5.9)'!$G$25:$G$139,$G100))</f>
        <v>0</v>
      </c>
      <c r="AK100" s="76">
        <f>IF(method_reg="Метод сравнения аналогов",_xlfn.SUMIFS(INDEX('Калькуляция (МСА)'!$AE$25:$BW$82,,MATCH(AK$8,'Калькуляция (МСА)'!$AE$8:$BW$8,0)),'Калькуляция (МСА)'!$F$25:$F$82,$F100,'Калькуляция (МСА)'!$G$25:$G$82,$G100),_xlfn.SUMIFS(INDEX('Калькуляция (5.9)'!$AJ$25:$BW$139,,MATCH(AK$8,'Калькуляция (5.9)'!$AJ$8:$BW$8,0)),'Калькуляция (5.9)'!$F$25:$F$139,$F100,'Калькуляция (5.9)'!$G$25:$G$139,$G100))</f>
        <v>0</v>
      </c>
      <c r="AL100" s="915">
        <f>IF(AJ100=0,0,(AK100-AJ100)/AJ100*100)</f>
        <v>0</v>
      </c>
      <c r="AM100" s="76">
        <f>IF(method_reg="Метод сравнения аналогов",_xlfn.SUMIFS(INDEX('Калькуляция (МСА)'!$AE$25:$BW$82,,MATCH(AM$8,'Калькуляция (МСА)'!$AE$8:$BW$8,0)),'Калькуляция (МСА)'!$F$25:$F$82,$F100,'Калькуляция (МСА)'!$G$25:$G$82,$G100),_xlfn.SUMIFS(INDEX('Калькуляция (5.9)'!$AJ$25:$BW$139,,MATCH(AM$8,'Калькуляция (5.9)'!$AJ$8:$BW$8,0)),'Калькуляция (5.9)'!$F$25:$F$139,$F100,'Калькуляция (5.9)'!$G$25:$G$139,$G100))</f>
        <v>0</v>
      </c>
      <c r="AN100" s="76">
        <f>IF(method_reg="Метод сравнения аналогов",_xlfn.SUMIFS(INDEX('Калькуляция (МСА)'!$AE$25:$BW$82,,MATCH(AN$8,'Калькуляция (МСА)'!$AE$8:$BW$8,0)),'Калькуляция (МСА)'!$F$25:$F$82,$F100,'Калькуляция (МСА)'!$G$25:$G$82,$G100),_xlfn.SUMIFS(INDEX('Калькуляция (5.9)'!$AJ$25:$BW$139,,MATCH(AN$8,'Калькуляция (5.9)'!$AJ$8:$BW$8,0)),'Калькуляция (5.9)'!$F$25:$F$139,$F100,'Калькуляция (5.9)'!$G$25:$G$139,$G100))</f>
        <v>0</v>
      </c>
      <c r="AO100" s="915">
        <f>IF(AM100=0,0,(AN100-AM100)/AM100*100)</f>
        <v>0</v>
      </c>
      <c r="AP100" s="76">
        <f>IF(method_reg="Метод сравнения аналогов",_xlfn.SUMIFS(INDEX('Калькуляция (МСА)'!$AE$25:$BW$82,,MATCH(AP$8,'Калькуляция (МСА)'!$AE$8:$BW$8,0)),'Калькуляция (МСА)'!$F$25:$F$82,$F100,'Калькуляция (МСА)'!$G$25:$G$82,$G100),_xlfn.SUMIFS(INDEX('Калькуляция (5.9)'!$AJ$25:$BW$139,,MATCH(AP$8,'Калькуляция (5.9)'!$AJ$8:$BW$8,0)),'Калькуляция (5.9)'!$F$25:$F$139,$F100,'Калькуляция (5.9)'!$G$25:$G$139,$G100))</f>
        <v>0</v>
      </c>
      <c r="AQ100" s="76">
        <f>IF(method_reg="Метод сравнения аналогов",_xlfn.SUMIFS(INDEX('Калькуляция (МСА)'!$AE$25:$BW$82,,MATCH(AQ$8,'Калькуляция (МСА)'!$AE$8:$BW$8,0)),'Калькуляция (МСА)'!$F$25:$F$82,$F100,'Калькуляция (МСА)'!$G$25:$G$82,$G100),_xlfn.SUMIFS(INDEX('Калькуляция (5.9)'!$AJ$25:$BW$139,,MATCH(AQ$8,'Калькуляция (5.9)'!$AJ$8:$BW$8,0)),'Калькуляция (5.9)'!$F$25:$F$139,$F100,'Калькуляция (5.9)'!$G$25:$G$139,$G100))</f>
        <v>0</v>
      </c>
      <c r="AR100" s="915">
        <f>IF(AP100=0,0,(AQ100-AP100)/AP100*100)</f>
        <v>0</v>
      </c>
      <c r="AS100" s="76">
        <f>IF(method_reg="Метод сравнения аналогов",_xlfn.SUMIFS(INDEX('Калькуляция (МСА)'!$AE$25:$BW$82,,MATCH(AS$8,'Калькуляция (МСА)'!$AE$8:$BW$8,0)),'Калькуляция (МСА)'!$F$25:$F$82,$F100,'Калькуляция (МСА)'!$G$25:$G$82,$G100),_xlfn.SUMIFS(INDEX('Калькуляция (5.9)'!$AJ$25:$BW$139,,MATCH(AS$8,'Калькуляция (5.9)'!$AJ$8:$BW$8,0)),'Калькуляция (5.9)'!$F$25:$F$139,$F100,'Калькуляция (5.9)'!$G$25:$G$139,$G100))</f>
        <v>0</v>
      </c>
      <c r="AT100" s="76">
        <f>IF(method_reg="Метод сравнения аналогов",_xlfn.SUMIFS(INDEX('Калькуляция (МСА)'!$AE$25:$BW$82,,MATCH(AT$8,'Калькуляция (МСА)'!$AE$8:$BW$8,0)),'Калькуляция (МСА)'!$F$25:$F$82,$F100,'Калькуляция (МСА)'!$G$25:$G$82,$G100),_xlfn.SUMIFS(INDEX('Калькуляция (5.9)'!$AJ$25:$BW$139,,MATCH(AT$8,'Калькуляция (5.9)'!$AJ$8:$BW$8,0)),'Калькуляция (5.9)'!$F$25:$F$139,$F100,'Калькуляция (5.9)'!$G$25:$G$139,$G100))</f>
        <v>0</v>
      </c>
      <c r="AU100" s="915">
        <f>IF(AS100=0,0,(AT100-AS100)/AS100*100)</f>
        <v>0</v>
      </c>
      <c r="AV100" s="76">
        <f>IF(method_reg="Метод сравнения аналогов",_xlfn.SUMIFS(INDEX('Калькуляция (МСА)'!$AE$25:$BW$82,,MATCH(AV$8,'Калькуляция (МСА)'!$AE$8:$BW$8,0)),'Калькуляция (МСА)'!$F$25:$F$82,$F100,'Калькуляция (МСА)'!$G$25:$G$82,$G100),_xlfn.SUMIFS(INDEX('Калькуляция (5.9)'!$AJ$25:$BW$139,,MATCH(AV$8,'Калькуляция (5.9)'!$AJ$8:$BW$8,0)),'Калькуляция (5.9)'!$F$25:$F$139,$F100,'Калькуляция (5.9)'!$G$25:$G$139,$G100))</f>
        <v>0</v>
      </c>
      <c r="AW100" s="76">
        <f>IF(method_reg="Метод сравнения аналогов",_xlfn.SUMIFS(INDEX('Калькуляция (МСА)'!$AE$25:$BW$82,,MATCH(AW$8,'Калькуляция (МСА)'!$AE$8:$BW$8,0)),'Калькуляция (МСА)'!$F$25:$F$82,$F100,'Калькуляция (МСА)'!$G$25:$G$82,$G100),_xlfn.SUMIFS(INDEX('Калькуляция (5.9)'!$AJ$25:$BW$139,,MATCH(AW$8,'Калькуляция (5.9)'!$AJ$8:$BW$8,0)),'Калькуляция (5.9)'!$F$25:$F$139,$F100,'Калькуляция (5.9)'!$G$25:$G$139,$G100))</f>
        <v>0</v>
      </c>
      <c r="AX100" s="915">
        <f>IF(AV100=0,0,(AW100-AV100)/AV100*100)</f>
        <v>0</v>
      </c>
      <c r="AY100" s="76">
        <f>IF(method_reg="Метод сравнения аналогов",_xlfn.SUMIFS(INDEX('Калькуляция (МСА)'!$AE$25:$BW$82,,MATCH(AY$8,'Калькуляция (МСА)'!$AE$8:$BW$8,0)),'Калькуляция (МСА)'!$F$25:$F$82,$F100,'Калькуляция (МСА)'!$G$25:$G$82,$G100),_xlfn.SUMIFS(INDEX('Калькуляция (5.9)'!$AJ$25:$BW$139,,MATCH(AY$8,'Калькуляция (5.9)'!$AJ$8:$BW$8,0)),'Калькуляция (5.9)'!$F$25:$F$139,$F100,'Калькуляция (5.9)'!$G$25:$G$139,$G100))</f>
        <v>0</v>
      </c>
      <c r="AZ100" s="76">
        <f>IF(method_reg="Метод сравнения аналогов",_xlfn.SUMIFS(INDEX('Калькуляция (МСА)'!$AE$25:$BW$82,,MATCH(AZ$8,'Калькуляция (МСА)'!$AE$8:$BW$8,0)),'Калькуляция (МСА)'!$F$25:$F$82,$F100,'Калькуляция (МСА)'!$G$25:$G$82,$G100),_xlfn.SUMIFS(INDEX('Калькуляция (5.9)'!$AJ$25:$BW$139,,MATCH(AZ$8,'Калькуляция (5.9)'!$AJ$8:$BW$8,0)),'Калькуляция (5.9)'!$F$25:$F$139,$F100,'Калькуляция (5.9)'!$G$25:$G$139,$G100))</f>
        <v>0</v>
      </c>
      <c r="BA100" s="915">
        <f>IF(AY100=0,0,(AZ100-AY100)/AY100*100)</f>
        <v>0</v>
      </c>
      <c r="BB100" s="76">
        <f>IF(method_reg="Метод сравнения аналогов",_xlfn.SUMIFS(INDEX('Калькуляция (МСА)'!$AE$25:$BW$82,,MATCH(BB$8,'Калькуляция (МСА)'!$AE$8:$BW$8,0)),'Калькуляция (МСА)'!$F$25:$F$82,$F100,'Калькуляция (МСА)'!$G$25:$G$82,$G100),_xlfn.SUMIFS(INDEX('Калькуляция (5.9)'!$AJ$25:$BW$139,,MATCH(BB$8,'Калькуляция (5.9)'!$AJ$8:$BW$8,0)),'Калькуляция (5.9)'!$F$25:$F$139,$F100,'Калькуляция (5.9)'!$G$25:$G$139,$G100))</f>
        <v>0</v>
      </c>
      <c r="BC100" s="76">
        <f>IF(method_reg="Метод сравнения аналогов",_xlfn.SUMIFS(INDEX('Калькуляция (МСА)'!$AE$25:$BW$82,,MATCH(BC$8,'Калькуляция (МСА)'!$AE$8:$BW$8,0)),'Калькуляция (МСА)'!$F$25:$F$82,$F100,'Калькуляция (МСА)'!$G$25:$G$82,$G100),_xlfn.SUMIFS(INDEX('Калькуляция (5.9)'!$AJ$25:$BW$139,,MATCH(BC$8,'Калькуляция (5.9)'!$AJ$8:$BW$8,0)),'Калькуляция (5.9)'!$F$25:$F$139,$F100,'Калькуляция (5.9)'!$G$25:$G$139,$G100))</f>
        <v>0</v>
      </c>
      <c r="BD100" s="915">
        <f>IF(BB100=0,0,(BC100-BB100)/BB100*100)</f>
        <v>0</v>
      </c>
      <c r="BE100" s="76">
        <f>IF(method_reg="Метод сравнения аналогов",_xlfn.SUMIFS(INDEX('Калькуляция (МСА)'!$AE$25:$BW$82,,MATCH(BE$8,'Калькуляция (МСА)'!$AE$8:$BW$8,0)),'Калькуляция (МСА)'!$F$25:$F$82,$F100,'Калькуляция (МСА)'!$G$25:$G$82,$G100),_xlfn.SUMIFS(INDEX('Калькуляция (5.9)'!$AJ$25:$BW$139,,MATCH(BE$8,'Калькуляция (5.9)'!$AJ$8:$BW$8,0)),'Калькуляция (5.9)'!$F$25:$F$139,$F100,'Калькуляция (5.9)'!$G$25:$G$139,$G100))</f>
        <v>0</v>
      </c>
      <c r="BF100" s="76">
        <f>IF(method_reg="Метод сравнения аналогов",_xlfn.SUMIFS(INDEX('Калькуляция (МСА)'!$AE$25:$BW$82,,MATCH(BF$8,'Калькуляция (МСА)'!$AE$8:$BW$8,0)),'Калькуляция (МСА)'!$F$25:$F$82,$F100,'Калькуляция (МСА)'!$G$25:$G$82,$G100),_xlfn.SUMIFS(INDEX('Калькуляция (5.9)'!$AJ$25:$BW$139,,MATCH(BF$8,'Калькуляция (5.9)'!$AJ$8:$BW$8,0)),'Калькуляция (5.9)'!$F$25:$F$139,$F100,'Калькуляция (5.9)'!$G$25:$G$139,$G100))</f>
        <v>0</v>
      </c>
      <c r="BG100" s="915">
        <f>IF(BE100=0,0,(BF100-BE100)/BE100*100)</f>
        <v>0</v>
      </c>
      <c r="BH100" s="76"/>
      <c r="BI100" s="76"/>
      <c r="BJ100" s="915">
        <f>IF(BH100=0,0,(BI100-BH100)/BH100*100)</f>
        <v>0</v>
      </c>
      <c r="BK100" s="76"/>
      <c r="BL100" s="76"/>
      <c r="BM100" s="915">
        <f>IF(BK100=0,0,(BL100-BK100)/BK100*100)</f>
        <v>0</v>
      </c>
      <c r="BN100" s="76"/>
      <c r="BO100" s="76"/>
      <c r="BP100" s="915">
        <f>IF(BN100=0,0,(BO100-BN100)/BN100*100)</f>
        <v>0</v>
      </c>
      <c r="BQ100" s="76"/>
      <c r="BR100" s="76"/>
      <c r="BS100" s="915">
        <f>IF(BQ100=0,0,(BR100-BQ100)/BQ100*100)</f>
        <v>0</v>
      </c>
      <c r="BT100" s="76"/>
      <c r="BU100" s="76"/>
      <c r="BV100" s="915">
        <f>IF(BT100=0,0,(BU100-BT100)/BT100*100)</f>
        <v>0</v>
      </c>
      <c r="BW100" s="76"/>
      <c r="BX100" s="76"/>
      <c r="BY100" s="915">
        <f>IF(BW100=0,0,(BX100-BW100)/BW100*100)</f>
        <v>0</v>
      </c>
      <c r="BZ100" s="76"/>
      <c r="CA100" s="76"/>
      <c r="CB100" s="915">
        <f>IF(BZ100=0,0,(CA100-BZ100)/BZ100*100)</f>
        <v>0</v>
      </c>
      <c r="CC100" s="76"/>
      <c r="CD100" s="76"/>
      <c r="CE100" s="915">
        <f>IF(CC100=0,0,(CD100-CC100)/CC100*100)</f>
        <v>0</v>
      </c>
      <c r="CF100" s="76"/>
      <c r="CG100" s="76"/>
      <c r="CH100" s="915">
        <f>IF(CF100=0,0,(CG100-CF100)/CF100*100)</f>
        <v>0</v>
      </c>
      <c r="CI100" s="76"/>
      <c r="CJ100" s="76"/>
      <c r="CK100" s="915">
        <f>IF(CI100=0,0,(CJ100-CI100)/CI100*100)</f>
        <v>0</v>
      </c>
      <c r="CL100" s="76"/>
      <c r="CM100" s="76"/>
      <c r="CN100" s="915">
        <f>IF(CL100=0,0,(CM100-CL100)/CL100*100)</f>
        <v>0</v>
      </c>
      <c r="CO100" s="76"/>
      <c r="CP100" s="76"/>
      <c r="CQ100" s="915">
        <f>IF(CO100=0,0,(CP100-CO100)/CO100*100)</f>
        <v>0</v>
      </c>
      <c r="CR100" s="76"/>
      <c r="CS100" s="76"/>
      <c r="CT100" s="915">
        <f>IF(CR100=0,0,(CS100-CR100)/CR100*100)</f>
        <v>0</v>
      </c>
      <c r="CU100" s="76"/>
      <c r="CV100" s="76"/>
      <c r="CW100" s="915">
        <f>IF(CU100=0,0,(CV100-CU100)/CU100*100)</f>
        <v>0</v>
      </c>
      <c r="CX100" s="76"/>
      <c r="CY100" s="76"/>
      <c r="CZ100" s="915">
        <f>IF(CX100=0,0,(CY100-CX100)/CX100*100)</f>
        <v>0</v>
      </c>
      <c r="DA100" s="76"/>
      <c r="DB100" s="76"/>
      <c r="DC100" s="915">
        <f>IF(DA100=0,0,(DB100-DA100)/DA100*100)</f>
        <v>0</v>
      </c>
      <c r="DD100" s="76"/>
      <c r="DE100" s="76"/>
      <c r="DF100" s="915">
        <f>IF(DD100=0,0,(DE100-DD100)/DD100*100)</f>
        <v>0</v>
      </c>
      <c r="DG100" s="76"/>
      <c r="DH100" s="76"/>
      <c r="DI100" s="915">
        <f>IF(DG100=0,0,(DH100-DG100)/DG100*100)</f>
        <v>0</v>
      </c>
      <c r="DJ100" s="76"/>
      <c r="DK100" s="76"/>
      <c r="DL100" s="915">
        <f>IF(DJ100=0,0,(DK100-DJ100)/DJ100*100)</f>
        <v>0</v>
      </c>
      <c r="DM100" s="76"/>
      <c r="DN100" s="76"/>
      <c r="DO100" s="915">
        <f>IF(DM100=0,0,(DN100-DM100)/DM100*100)</f>
        <v>0</v>
      </c>
      <c r="DP100" s="76"/>
      <c r="DQ100" s="76"/>
      <c r="DR100" s="915">
        <f>IF(DP100=0,0,(DQ100-DP100)/DP100*100)</f>
        <v>0</v>
      </c>
      <c r="DS100" s="76"/>
      <c r="DT100" s="76"/>
      <c r="DU100" s="915">
        <f>IF(DS100=0,0,(DT100-DS100)/DS100*100)</f>
        <v>0</v>
      </c>
      <c r="DV100" s="76"/>
      <c r="DW100" s="76"/>
      <c r="DX100" s="915">
        <f>IF(DV100=0,0,(DW100-DV100)/DV100*100)</f>
        <v>0</v>
      </c>
      <c r="DY100" s="76"/>
      <c r="DZ100" s="76"/>
      <c r="EA100" s="915">
        <f>IF(DY100=0,0,(DZ100-DY100)/DY100*100)</f>
        <v>0</v>
      </c>
      <c r="EB100" s="76"/>
      <c r="EC100" s="76"/>
      <c r="ED100" s="915">
        <f>IF(EB100=0,0,(EC100-EB100)/EB100*100)</f>
        <v>0</v>
      </c>
      <c r="EE100" s="76"/>
      <c r="EF100" s="76"/>
      <c r="EG100" s="915">
        <f>IF(EE100=0,0,(EF100-EE100)/EE100*100)</f>
        <v>0</v>
      </c>
      <c r="EH100" s="76"/>
      <c r="EI100" s="76"/>
      <c r="EJ100" s="915">
        <f>IF(EH100=0,0,(EI100-EH100)/EH100*100)</f>
        <v>0</v>
      </c>
      <c r="EK100" s="76"/>
      <c r="EL100" s="76"/>
      <c r="EM100" s="915">
        <f>IF(EK100=0,0,(EL100-EK100)/EK100*100)</f>
        <v>0</v>
      </c>
      <c r="EN100" s="76"/>
      <c r="EO100" s="76"/>
      <c r="EP100" s="915">
        <f>IF(EN100=0,0,(EO100-EN100)/EN100*100)</f>
        <v>0</v>
      </c>
      <c r="EQ100" s="76"/>
      <c r="ER100" s="76"/>
      <c r="ES100" s="915">
        <f>IF(EQ100=0,0,(ER100-EQ100)/EQ100*100)</f>
        <v>0</v>
      </c>
      <c r="ET100" s="76"/>
      <c r="EU100" s="76"/>
      <c r="EV100" s="915">
        <f>IF(ET100=0,0,(EU100-ET100)/ET100*100)</f>
        <v>0</v>
      </c>
      <c r="EW100" s="76"/>
      <c r="EX100" s="76"/>
      <c r="EY100" s="915">
        <f>IF(EW100=0,0,(EX100-EW100)/EW100*100)</f>
        <v>0</v>
      </c>
      <c r="EZ100" s="76"/>
      <c r="FA100" s="76"/>
      <c r="FB100" s="915">
        <f>IF(EZ100=0,0,(FA100-EZ100)/EZ100*100)</f>
        <v>0</v>
      </c>
      <c r="FC100" s="76"/>
      <c r="FD100" s="76"/>
      <c r="FE100" s="915">
        <f>IF(FC100=0,0,(FD100-FC100)/FC100*100)</f>
        <v>0</v>
      </c>
      <c r="FF100" s="76"/>
      <c r="FG100" s="76"/>
      <c r="FH100" s="915">
        <f>IF(FF100=0,0,(FG100-FF100)/FF100*100)</f>
        <v>0</v>
      </c>
      <c r="FI100" s="76"/>
      <c r="FJ100" s="76"/>
      <c r="FK100" s="915">
        <f>IF(FI100=0,0,(FJ100-FI100)/FI100*100)</f>
        <v>0</v>
      </c>
      <c r="FL100" s="76"/>
      <c r="FM100" s="76"/>
      <c r="FN100" s="915">
        <f>IF(FL100=0,0,(FM100-FL100)/FL100*100)</f>
        <v>0</v>
      </c>
      <c r="FO100" s="76"/>
      <c r="FP100" s="76"/>
      <c r="FQ100" s="915">
        <f>IF(FO100=0,0,(FP100-FO100)/FO100*100)</f>
        <v>0</v>
      </c>
      <c r="FR100" s="76"/>
      <c r="FS100" s="76"/>
      <c r="FT100" s="915">
        <f>IF(FR100=0,0,(FS100-FR100)/FR100*100)</f>
        <v>0</v>
      </c>
      <c r="FU100" s="76"/>
      <c r="FV100" s="76"/>
      <c r="FW100" s="915">
        <f>IF(FU100=0,0,(FV100-FU100)/FU100*100)</f>
        <v>0</v>
      </c>
      <c r="FX100" s="286"/>
      <c r="FY100" s="1659"/>
      <c r="FZ100" s="489" t="s">
        <v>2503</v>
      </c>
      <c r="GA100" s="489"/>
      <c r="GB100" s="489"/>
      <c r="GC100" s="489"/>
      <c r="GD100" s="489"/>
      <c r="GE100" s="1506"/>
      <c r="GF100" s="1501" cm="1" t="str">
        <f t="array" ref="GF100:GF100">GF99</f>
        <v>ТЭ.42.31656254.0001</v>
      </c>
      <c r="GG100" s="1501" t="s">
        <v>707</v>
      </c>
      <c r="GH100" s="1501" t="s">
        <v>2452</v>
      </c>
      <c r="GI100" s="1501" t="s">
        <v>796</v>
      </c>
      <c r="GJ100" s="1501" t="s">
        <v>2084</v>
      </c>
      <c r="GK100" s="1501"/>
      <c r="GL100" s="1501" t="s">
        <v>303</v>
      </c>
      <c r="GM100" s="1501" t="s">
        <v>2504</v>
      </c>
      <c r="GN100" s="1501" t="s">
        <v>2505</v>
      </c>
    </row>
    <row s="1751" customFormat="1" customHeight="1" ht="15" hidden="1">
      <c r="A101" s="371"/>
      <c r="B101" s="192" cm="1" t="str">
        <f t="array" ref="B101:B101">B100</f>
        <v>false</v>
      </c>
      <c r="C101" s="1659"/>
      <c r="D101" s="1659"/>
      <c r="E101" s="180">
        <v>16</v>
      </c>
      <c r="F101" s="175" cm="1" t="str">
        <f t="array" ref="F101:F101">OFFSET(G101,-1,-1)</f>
        <v>1</v>
      </c>
      <c r="G101" s="1659"/>
      <c r="H101" s="1659"/>
      <c r="I101" s="1659"/>
      <c r="J101" s="1659"/>
      <c r="K101" s="1659"/>
      <c r="L101" s="1659"/>
      <c r="M101" s="1659"/>
      <c r="N101" s="1659"/>
      <c r="O101" s="1659"/>
      <c r="P101" s="1659"/>
      <c r="Q101" s="1659"/>
      <c r="R101" s="1659"/>
      <c r="S101" s="1659"/>
      <c r="T101" s="753" cm="1" t="str">
        <f t="array" ref="T101:T101">T100</f>
        <v>false</v>
      </c>
      <c r="U101" s="1548"/>
      <c r="V101" s="1548"/>
      <c r="W101" s="1548"/>
      <c r="X101" s="1548"/>
      <c r="Y101" s="1548"/>
      <c r="Z101" s="1548"/>
      <c r="AA101" s="286"/>
      <c r="AB101" s="909" t="s">
        <v>2506</v>
      </c>
      <c r="AC101" s="922"/>
      <c r="AD101" s="923"/>
      <c r="AE101" s="923"/>
      <c r="AF101" s="923"/>
      <c r="AG101" s="923"/>
      <c r="AH101" s="923"/>
      <c r="AI101" s="923"/>
      <c r="AJ101" s="923"/>
      <c r="AK101" s="923"/>
      <c r="AL101" s="923"/>
      <c r="AM101" s="923"/>
      <c r="AN101" s="923"/>
      <c r="AO101" s="923"/>
      <c r="AP101" s="923"/>
      <c r="AQ101" s="923"/>
      <c r="AR101" s="923"/>
      <c r="AS101" s="923"/>
      <c r="AT101" s="923"/>
      <c r="AU101" s="923"/>
      <c r="AV101" s="923"/>
      <c r="AW101" s="923"/>
      <c r="AX101" s="923"/>
      <c r="AY101" s="923"/>
      <c r="AZ101" s="923"/>
      <c r="BA101" s="923"/>
      <c r="BB101" s="923"/>
      <c r="BC101" s="923"/>
      <c r="BD101" s="923"/>
      <c r="BE101" s="923"/>
      <c r="BF101" s="923"/>
      <c r="BG101" s="923"/>
      <c r="BH101" s="923"/>
      <c r="BI101" s="923"/>
      <c r="BJ101" s="923"/>
      <c r="BK101" s="923"/>
      <c r="BL101" s="923"/>
      <c r="BM101" s="923"/>
      <c r="BN101" s="923"/>
      <c r="BO101" s="923"/>
      <c r="BP101" s="923"/>
      <c r="BQ101" s="923"/>
      <c r="BR101" s="923"/>
      <c r="BS101" s="923"/>
      <c r="BT101" s="923"/>
      <c r="BU101" s="923"/>
      <c r="BV101" s="923"/>
      <c r="BW101" s="923"/>
      <c r="BX101" s="923"/>
      <c r="BY101" s="923"/>
      <c r="BZ101" s="923"/>
      <c r="CA101" s="923"/>
      <c r="CB101" s="923"/>
      <c r="CC101" s="923"/>
      <c r="CD101" s="923"/>
      <c r="CE101" s="923"/>
      <c r="CF101" s="923"/>
      <c r="CG101" s="923"/>
      <c r="CH101" s="923"/>
      <c r="CI101" s="923"/>
      <c r="CJ101" s="923"/>
      <c r="CK101" s="923"/>
      <c r="CL101" s="923"/>
      <c r="CM101" s="923"/>
      <c r="CN101" s="923"/>
      <c r="CO101" s="923"/>
      <c r="CP101" s="923"/>
      <c r="CQ101" s="923"/>
      <c r="CR101" s="923"/>
      <c r="CS101" s="923"/>
      <c r="CT101" s="923"/>
      <c r="CU101" s="923"/>
      <c r="CV101" s="923"/>
      <c r="CW101" s="923"/>
      <c r="CX101" s="923"/>
      <c r="CY101" s="923"/>
      <c r="CZ101" s="923"/>
      <c r="DA101" s="923"/>
      <c r="DB101" s="923"/>
      <c r="DC101" s="923"/>
      <c r="DD101" s="923"/>
      <c r="DE101" s="923"/>
      <c r="DF101" s="923"/>
      <c r="DG101" s="923"/>
      <c r="DH101" s="923"/>
      <c r="DI101" s="923"/>
      <c r="DJ101" s="923"/>
      <c r="DK101" s="923"/>
      <c r="DL101" s="923"/>
      <c r="DM101" s="923"/>
      <c r="DN101" s="923"/>
      <c r="DO101" s="923"/>
      <c r="DP101" s="923"/>
      <c r="DQ101" s="923"/>
      <c r="DR101" s="923"/>
      <c r="DS101" s="923"/>
      <c r="DT101" s="923"/>
      <c r="DU101" s="923"/>
      <c r="DV101" s="923"/>
      <c r="DW101" s="923"/>
      <c r="DX101" s="923"/>
      <c r="DY101" s="923"/>
      <c r="DZ101" s="923"/>
      <c r="EA101" s="923"/>
      <c r="EB101" s="923"/>
      <c r="EC101" s="923"/>
      <c r="ED101" s="923"/>
      <c r="EE101" s="923"/>
      <c r="EF101" s="923"/>
      <c r="EG101" s="923"/>
      <c r="EH101" s="923"/>
      <c r="EI101" s="923"/>
      <c r="EJ101" s="923"/>
      <c r="EK101" s="923"/>
      <c r="EL101" s="923"/>
      <c r="EM101" s="923"/>
      <c r="EN101" s="923"/>
      <c r="EO101" s="923"/>
      <c r="EP101" s="923"/>
      <c r="EQ101" s="923"/>
      <c r="ER101" s="923"/>
      <c r="ES101" s="923"/>
      <c r="ET101" s="923"/>
      <c r="EU101" s="923"/>
      <c r="EV101" s="923"/>
      <c r="EW101" s="923"/>
      <c r="EX101" s="923"/>
      <c r="EY101" s="923"/>
      <c r="EZ101" s="923"/>
      <c r="FA101" s="923"/>
      <c r="FB101" s="923"/>
      <c r="FC101" s="923"/>
      <c r="FD101" s="923"/>
      <c r="FE101" s="923"/>
      <c r="FF101" s="923"/>
      <c r="FG101" s="923"/>
      <c r="FH101" s="923"/>
      <c r="FI101" s="923"/>
      <c r="FJ101" s="923"/>
      <c r="FK101" s="923"/>
      <c r="FL101" s="923"/>
      <c r="FM101" s="923"/>
      <c r="FN101" s="923"/>
      <c r="FO101" s="923"/>
      <c r="FP101" s="923"/>
      <c r="FQ101" s="923"/>
      <c r="FR101" s="923"/>
      <c r="FS101" s="923"/>
      <c r="FT101" s="923"/>
      <c r="FU101" s="923"/>
      <c r="FV101" s="923"/>
      <c r="FW101" s="924"/>
      <c r="FX101" s="286"/>
      <c r="FY101" s="1659"/>
      <c r="FZ101" s="1125"/>
      <c r="GA101" s="489"/>
      <c r="GB101" s="489"/>
      <c r="GC101" s="489"/>
      <c r="GD101" s="489"/>
      <c r="GE101" s="1506"/>
      <c r="GF101" s="1501" cm="1" t="str">
        <f t="array" ref="GF101:GF101">GF100</f>
        <v>ТЭ.42.31656254.0001</v>
      </c>
      <c r="GG101" s="1501"/>
      <c r="GH101" s="1501"/>
      <c r="GI101" s="1501"/>
      <c r="GJ101" s="1501"/>
      <c r="GK101" s="1501"/>
      <c r="GL101" s="1501" t="s">
        <v>176</v>
      </c>
      <c r="GM101" s="1501"/>
      <c r="GN101" s="1501"/>
    </row>
    <row s="1751" customFormat="1" customHeight="1" ht="15" hidden="1">
      <c r="A102" s="371"/>
      <c r="B102" s="192" cm="1" t="str">
        <f t="array" ref="B102:B102">B101</f>
        <v>false</v>
      </c>
      <c r="C102" s="1659"/>
      <c r="D102" s="1659"/>
      <c r="E102" s="180">
        <v>16</v>
      </c>
      <c r="F102" s="175" cm="1" t="str">
        <f t="array" ref="F102:F102">OFFSET(G102,-1,-1)</f>
        <v>1</v>
      </c>
      <c r="G102" s="193" t="s">
        <v>2091</v>
      </c>
      <c r="H102" s="1659"/>
      <c r="I102" s="193" t="s">
        <v>2455</v>
      </c>
      <c r="J102" s="1659"/>
      <c r="K102" s="1659"/>
      <c r="L102" s="1659"/>
      <c r="M102" s="1659"/>
      <c r="N102" s="1659"/>
      <c r="O102" s="1659"/>
      <c r="P102" s="1659"/>
      <c r="Q102" s="1659"/>
      <c r="R102" s="1659"/>
      <c r="S102" s="1659"/>
      <c r="T102" s="753" cm="1" t="str">
        <f t="array" ref="T102:T102">T101</f>
        <v>false</v>
      </c>
      <c r="U102" s="1548"/>
      <c r="V102" s="1548"/>
      <c r="W102" s="1548"/>
      <c r="X102" s="1548"/>
      <c r="Y102" s="1548"/>
      <c r="Z102" s="1548"/>
      <c r="AA102" s="286"/>
      <c r="AB102" s="560" t="s">
        <v>2490</v>
      </c>
      <c r="AC102" s="380" t="s">
        <v>1005</v>
      </c>
      <c r="AD102" s="76">
        <f>IF(method_reg="Метод экономически обоснованных расходов",_xlfn.SUMIFS('Калькуляция (4.6)'!AJ$25:AJ$162,'Калькуляция (4.6)'!$F$25:$F$162,$F102,'Калькуляция (4.6)'!$G$25:$G$162,$G102),IF(method_reg="Метод сравнения аналогов",_xlfn.SUMIFS(INDEX('Калькуляция (МСА)'!$AE$25:$BW$82,,MATCH(AD$8,'Калькуляция (МСА)'!$AE$8:$BW$8,0)),'Калькуляция (МСА)'!$F$25:$F$82,$F102,'Калькуляция (МСА)'!$G$25:$G$82,$G102),_xlfn.SUMIFS(INDEX('Калькуляция (5.9)'!$AJ$25:$BW$139,,MATCH(AD$8,'Калькуляция (5.9)'!$AJ$8:$BW$8,0)),'Калькуляция (5.9)'!$F$25:$F$139,$F102,'Калькуляция (5.9)'!$G$25:$G$139,$G102)))</f>
        <v>3963.94093931866</v>
      </c>
      <c r="AE102" s="76">
        <f>IF(method_reg="Метод экономически обоснованных расходов",_xlfn.SUMIFS('Калькуляция (4.6)'!AK$25:AK$162,'Калькуляция (4.6)'!$F$25:$F$162,$F102,'Калькуляция (4.6)'!$G$25:$G$162,$G102),IF(method_reg="Метод сравнения аналогов",_xlfn.SUMIFS(INDEX('Калькуляция (МСА)'!$AE$25:$BW$82,,MATCH(AE$8,'Калькуляция (МСА)'!$AE$8:$BW$8,0)),'Калькуляция (МСА)'!$F$25:$F$82,$F102,'Калькуляция (МСА)'!$G$25:$G$82,$G102),_xlfn.SUMIFS(INDEX('Калькуляция (5.9)'!$AJ$25:$BW$139,,MATCH(AE$8,'Калькуляция (5.9)'!$AJ$8:$BW$8,0)),'Калькуляция (5.9)'!$F$25:$F$139,$F102,'Калькуляция (5.9)'!$G$25:$G$139,$G102)))</f>
        <v>2414.38220202217</v>
      </c>
      <c r="AF102" s="915">
        <f>IF(AD102=0,0,(AE102-AD102)/AD102*100)</f>
        <v>-39.0913679345292</v>
      </c>
      <c r="AG102" s="76">
        <f>IF(method_reg="Метод сравнения аналогов",_xlfn.SUMIFS(INDEX('Калькуляция (МСА)'!$AE$25:$BW$82,,MATCH(AG$8,'Калькуляция (МСА)'!$AE$8:$BW$8,0)),'Калькуляция (МСА)'!$F$25:$F$82,$F102,'Калькуляция (МСА)'!$G$25:$G$82,$G102),_xlfn.SUMIFS(INDEX('Калькуляция (5.9)'!$AJ$25:$BW$139,,MATCH(AG$8,'Калькуляция (5.9)'!$AJ$8:$BW$8,0)),'Калькуляция (5.9)'!$F$25:$F$139,$F102,'Калькуляция (5.9)'!$G$25:$G$139,$G102))</f>
        <v>0</v>
      </c>
      <c r="AH102" s="76">
        <f>IF(method_reg="Метод сравнения аналогов",_xlfn.SUMIFS(INDEX('Калькуляция (МСА)'!$AE$25:$BW$82,,MATCH(AH$8,'Калькуляция (МСА)'!$AE$8:$BW$8,0)),'Калькуляция (МСА)'!$F$25:$F$82,$F102,'Калькуляция (МСА)'!$G$25:$G$82,$G102),_xlfn.SUMIFS(INDEX('Калькуляция (5.9)'!$AJ$25:$BW$139,,MATCH(AH$8,'Калькуляция (5.9)'!$AJ$8:$BW$8,0)),'Калькуляция (5.9)'!$F$25:$F$139,$F102,'Калькуляция (5.9)'!$G$25:$G$139,$G102))</f>
        <v>0</v>
      </c>
      <c r="AI102" s="915">
        <f>IF(AG102=0,0,(AH102-AG102)/AG102*100)</f>
        <v>0</v>
      </c>
      <c r="AJ102" s="76">
        <f>IF(method_reg="Метод сравнения аналогов",_xlfn.SUMIFS(INDEX('Калькуляция (МСА)'!$AE$25:$BW$82,,MATCH(AJ$8,'Калькуляция (МСА)'!$AE$8:$BW$8,0)),'Калькуляция (МСА)'!$F$25:$F$82,$F102,'Калькуляция (МСА)'!$G$25:$G$82,$G102),_xlfn.SUMIFS(INDEX('Калькуляция (5.9)'!$AJ$25:$BW$139,,MATCH(AJ$8,'Калькуляция (5.9)'!$AJ$8:$BW$8,0)),'Калькуляция (5.9)'!$F$25:$F$139,$F102,'Калькуляция (5.9)'!$G$25:$G$139,$G102))</f>
        <v>0</v>
      </c>
      <c r="AK102" s="76">
        <f>IF(method_reg="Метод сравнения аналогов",_xlfn.SUMIFS(INDEX('Калькуляция (МСА)'!$AE$25:$BW$82,,MATCH(AK$8,'Калькуляция (МСА)'!$AE$8:$BW$8,0)),'Калькуляция (МСА)'!$F$25:$F$82,$F102,'Калькуляция (МСА)'!$G$25:$G$82,$G102),_xlfn.SUMIFS(INDEX('Калькуляция (5.9)'!$AJ$25:$BW$139,,MATCH(AK$8,'Калькуляция (5.9)'!$AJ$8:$BW$8,0)),'Калькуляция (5.9)'!$F$25:$F$139,$F102,'Калькуляция (5.9)'!$G$25:$G$139,$G102))</f>
        <v>0</v>
      </c>
      <c r="AL102" s="915">
        <f>IF(AJ102=0,0,(AK102-AJ102)/AJ102*100)</f>
        <v>0</v>
      </c>
      <c r="AM102" s="76">
        <f>IF(method_reg="Метод сравнения аналогов",_xlfn.SUMIFS(INDEX('Калькуляция (МСА)'!$AE$25:$BW$82,,MATCH(AM$8,'Калькуляция (МСА)'!$AE$8:$BW$8,0)),'Калькуляция (МСА)'!$F$25:$F$82,$F102,'Калькуляция (МСА)'!$G$25:$G$82,$G102),_xlfn.SUMIFS(INDEX('Калькуляция (5.9)'!$AJ$25:$BW$139,,MATCH(AM$8,'Калькуляция (5.9)'!$AJ$8:$BW$8,0)),'Калькуляция (5.9)'!$F$25:$F$139,$F102,'Калькуляция (5.9)'!$G$25:$G$139,$G102))</f>
        <v>0</v>
      </c>
      <c r="AN102" s="76">
        <f>IF(method_reg="Метод сравнения аналогов",_xlfn.SUMIFS(INDEX('Калькуляция (МСА)'!$AE$25:$BW$82,,MATCH(AN$8,'Калькуляция (МСА)'!$AE$8:$BW$8,0)),'Калькуляция (МСА)'!$F$25:$F$82,$F102,'Калькуляция (МСА)'!$G$25:$G$82,$G102),_xlfn.SUMIFS(INDEX('Калькуляция (5.9)'!$AJ$25:$BW$139,,MATCH(AN$8,'Калькуляция (5.9)'!$AJ$8:$BW$8,0)),'Калькуляция (5.9)'!$F$25:$F$139,$F102,'Калькуляция (5.9)'!$G$25:$G$139,$G102))</f>
        <v>0</v>
      </c>
      <c r="AO102" s="915">
        <f>IF(AM102=0,0,(AN102-AM102)/AM102*100)</f>
        <v>0</v>
      </c>
      <c r="AP102" s="76">
        <f>IF(method_reg="Метод сравнения аналогов",_xlfn.SUMIFS(INDEX('Калькуляция (МСА)'!$AE$25:$BW$82,,MATCH(AP$8,'Калькуляция (МСА)'!$AE$8:$BW$8,0)),'Калькуляция (МСА)'!$F$25:$F$82,$F102,'Калькуляция (МСА)'!$G$25:$G$82,$G102),_xlfn.SUMIFS(INDEX('Калькуляция (5.9)'!$AJ$25:$BW$139,,MATCH(AP$8,'Калькуляция (5.9)'!$AJ$8:$BW$8,0)),'Калькуляция (5.9)'!$F$25:$F$139,$F102,'Калькуляция (5.9)'!$G$25:$G$139,$G102))</f>
        <v>0</v>
      </c>
      <c r="AQ102" s="76">
        <f>IF(method_reg="Метод сравнения аналогов",_xlfn.SUMIFS(INDEX('Калькуляция (МСА)'!$AE$25:$BW$82,,MATCH(AQ$8,'Калькуляция (МСА)'!$AE$8:$BW$8,0)),'Калькуляция (МСА)'!$F$25:$F$82,$F102,'Калькуляция (МСА)'!$G$25:$G$82,$G102),_xlfn.SUMIFS(INDEX('Калькуляция (5.9)'!$AJ$25:$BW$139,,MATCH(AQ$8,'Калькуляция (5.9)'!$AJ$8:$BW$8,0)),'Калькуляция (5.9)'!$F$25:$F$139,$F102,'Калькуляция (5.9)'!$G$25:$G$139,$G102))</f>
        <v>0</v>
      </c>
      <c r="AR102" s="915">
        <f>IF(AP102=0,0,(AQ102-AP102)/AP102*100)</f>
        <v>0</v>
      </c>
      <c r="AS102" s="76">
        <f>IF(method_reg="Метод сравнения аналогов",_xlfn.SUMIFS(INDEX('Калькуляция (МСА)'!$AE$25:$BW$82,,MATCH(AS$8,'Калькуляция (МСА)'!$AE$8:$BW$8,0)),'Калькуляция (МСА)'!$F$25:$F$82,$F102,'Калькуляция (МСА)'!$G$25:$G$82,$G102),_xlfn.SUMIFS(INDEX('Калькуляция (5.9)'!$AJ$25:$BW$139,,MATCH(AS$8,'Калькуляция (5.9)'!$AJ$8:$BW$8,0)),'Калькуляция (5.9)'!$F$25:$F$139,$F102,'Калькуляция (5.9)'!$G$25:$G$139,$G102))</f>
        <v>0</v>
      </c>
      <c r="AT102" s="76">
        <f>IF(method_reg="Метод сравнения аналогов",_xlfn.SUMIFS(INDEX('Калькуляция (МСА)'!$AE$25:$BW$82,,MATCH(AT$8,'Калькуляция (МСА)'!$AE$8:$BW$8,0)),'Калькуляция (МСА)'!$F$25:$F$82,$F102,'Калькуляция (МСА)'!$G$25:$G$82,$G102),_xlfn.SUMIFS(INDEX('Калькуляция (5.9)'!$AJ$25:$BW$139,,MATCH(AT$8,'Калькуляция (5.9)'!$AJ$8:$BW$8,0)),'Калькуляция (5.9)'!$F$25:$F$139,$F102,'Калькуляция (5.9)'!$G$25:$G$139,$G102))</f>
        <v>0</v>
      </c>
      <c r="AU102" s="915">
        <f>IF(AS102=0,0,(AT102-AS102)/AS102*100)</f>
        <v>0</v>
      </c>
      <c r="AV102" s="76">
        <f>IF(method_reg="Метод сравнения аналогов",_xlfn.SUMIFS(INDEX('Калькуляция (МСА)'!$AE$25:$BW$82,,MATCH(AV$8,'Калькуляция (МСА)'!$AE$8:$BW$8,0)),'Калькуляция (МСА)'!$F$25:$F$82,$F102,'Калькуляция (МСА)'!$G$25:$G$82,$G102),_xlfn.SUMIFS(INDEX('Калькуляция (5.9)'!$AJ$25:$BW$139,,MATCH(AV$8,'Калькуляция (5.9)'!$AJ$8:$BW$8,0)),'Калькуляция (5.9)'!$F$25:$F$139,$F102,'Калькуляция (5.9)'!$G$25:$G$139,$G102))</f>
        <v>0</v>
      </c>
      <c r="AW102" s="76">
        <f>IF(method_reg="Метод сравнения аналогов",_xlfn.SUMIFS(INDEX('Калькуляция (МСА)'!$AE$25:$BW$82,,MATCH(AW$8,'Калькуляция (МСА)'!$AE$8:$BW$8,0)),'Калькуляция (МСА)'!$F$25:$F$82,$F102,'Калькуляция (МСА)'!$G$25:$G$82,$G102),_xlfn.SUMIFS(INDEX('Калькуляция (5.9)'!$AJ$25:$BW$139,,MATCH(AW$8,'Калькуляция (5.9)'!$AJ$8:$BW$8,0)),'Калькуляция (5.9)'!$F$25:$F$139,$F102,'Калькуляция (5.9)'!$G$25:$G$139,$G102))</f>
        <v>0</v>
      </c>
      <c r="AX102" s="915">
        <f>IF(AV102=0,0,(AW102-AV102)/AV102*100)</f>
        <v>0</v>
      </c>
      <c r="AY102" s="76">
        <f>IF(method_reg="Метод сравнения аналогов",_xlfn.SUMIFS(INDEX('Калькуляция (МСА)'!$AE$25:$BW$82,,MATCH(AY$8,'Калькуляция (МСА)'!$AE$8:$BW$8,0)),'Калькуляция (МСА)'!$F$25:$F$82,$F102,'Калькуляция (МСА)'!$G$25:$G$82,$G102),_xlfn.SUMIFS(INDEX('Калькуляция (5.9)'!$AJ$25:$BW$139,,MATCH(AY$8,'Калькуляция (5.9)'!$AJ$8:$BW$8,0)),'Калькуляция (5.9)'!$F$25:$F$139,$F102,'Калькуляция (5.9)'!$G$25:$G$139,$G102))</f>
        <v>0</v>
      </c>
      <c r="AZ102" s="76">
        <f>IF(method_reg="Метод сравнения аналогов",_xlfn.SUMIFS(INDEX('Калькуляция (МСА)'!$AE$25:$BW$82,,MATCH(AZ$8,'Калькуляция (МСА)'!$AE$8:$BW$8,0)),'Калькуляция (МСА)'!$F$25:$F$82,$F102,'Калькуляция (МСА)'!$G$25:$G$82,$G102),_xlfn.SUMIFS(INDEX('Калькуляция (5.9)'!$AJ$25:$BW$139,,MATCH(AZ$8,'Калькуляция (5.9)'!$AJ$8:$BW$8,0)),'Калькуляция (5.9)'!$F$25:$F$139,$F102,'Калькуляция (5.9)'!$G$25:$G$139,$G102))</f>
        <v>0</v>
      </c>
      <c r="BA102" s="915">
        <f>IF(AY102=0,0,(AZ102-AY102)/AY102*100)</f>
        <v>0</v>
      </c>
      <c r="BB102" s="76">
        <f>IF(method_reg="Метод сравнения аналогов",_xlfn.SUMIFS(INDEX('Калькуляция (МСА)'!$AE$25:$BW$82,,MATCH(BB$8,'Калькуляция (МСА)'!$AE$8:$BW$8,0)),'Калькуляция (МСА)'!$F$25:$F$82,$F102,'Калькуляция (МСА)'!$G$25:$G$82,$G102),_xlfn.SUMIFS(INDEX('Калькуляция (5.9)'!$AJ$25:$BW$139,,MATCH(BB$8,'Калькуляция (5.9)'!$AJ$8:$BW$8,0)),'Калькуляция (5.9)'!$F$25:$F$139,$F102,'Калькуляция (5.9)'!$G$25:$G$139,$G102))</f>
        <v>0</v>
      </c>
      <c r="BC102" s="76">
        <f>IF(method_reg="Метод сравнения аналогов",_xlfn.SUMIFS(INDEX('Калькуляция (МСА)'!$AE$25:$BW$82,,MATCH(BC$8,'Калькуляция (МСА)'!$AE$8:$BW$8,0)),'Калькуляция (МСА)'!$F$25:$F$82,$F102,'Калькуляция (МСА)'!$G$25:$G$82,$G102),_xlfn.SUMIFS(INDEX('Калькуляция (5.9)'!$AJ$25:$BW$139,,MATCH(BC$8,'Калькуляция (5.9)'!$AJ$8:$BW$8,0)),'Калькуляция (5.9)'!$F$25:$F$139,$F102,'Калькуляция (5.9)'!$G$25:$G$139,$G102))</f>
        <v>0</v>
      </c>
      <c r="BD102" s="915">
        <f>IF(BB102=0,0,(BC102-BB102)/BB102*100)</f>
        <v>0</v>
      </c>
      <c r="BE102" s="76">
        <f>IF(method_reg="Метод сравнения аналогов",_xlfn.SUMIFS(INDEX('Калькуляция (МСА)'!$AE$25:$BW$82,,MATCH(BE$8,'Калькуляция (МСА)'!$AE$8:$BW$8,0)),'Калькуляция (МСА)'!$F$25:$F$82,$F102,'Калькуляция (МСА)'!$G$25:$G$82,$G102),_xlfn.SUMIFS(INDEX('Калькуляция (5.9)'!$AJ$25:$BW$139,,MATCH(BE$8,'Калькуляция (5.9)'!$AJ$8:$BW$8,0)),'Калькуляция (5.9)'!$F$25:$F$139,$F102,'Калькуляция (5.9)'!$G$25:$G$139,$G102))</f>
        <v>0</v>
      </c>
      <c r="BF102" s="76">
        <f>IF(method_reg="Метод сравнения аналогов",_xlfn.SUMIFS(INDEX('Калькуляция (МСА)'!$AE$25:$BW$82,,MATCH(BF$8,'Калькуляция (МСА)'!$AE$8:$BW$8,0)),'Калькуляция (МСА)'!$F$25:$F$82,$F102,'Калькуляция (МСА)'!$G$25:$G$82,$G102),_xlfn.SUMIFS(INDEX('Калькуляция (5.9)'!$AJ$25:$BW$139,,MATCH(BF$8,'Калькуляция (5.9)'!$AJ$8:$BW$8,0)),'Калькуляция (5.9)'!$F$25:$F$139,$F102,'Калькуляция (5.9)'!$G$25:$G$139,$G102))</f>
        <v>0</v>
      </c>
      <c r="BG102" s="915">
        <f>IF(BE102=0,0,(BF102-BE102)/BE102*100)</f>
        <v>0</v>
      </c>
      <c r="BH102" s="76">
        <f>IF(BH104=0,0,(BH103*BH104+BH105*BH106*6)/BH104)</f>
        <v>0</v>
      </c>
      <c r="BI102" s="76">
        <f>IF(BI104=0,0,(BI103*BI104+BI105*BI106*6)/BI104)</f>
        <v>0</v>
      </c>
      <c r="BJ102" s="915">
        <f>IF(BH102=0,0,(BI102-BH102)/BH102*100)</f>
        <v>0</v>
      </c>
      <c r="BK102" s="76">
        <f>IF(BK104=0,0,(BK103*BK104+BK105*BK106*6)/BK104)</f>
        <v>0</v>
      </c>
      <c r="BL102" s="76">
        <f>IF(BL104=0,0,(BL103*BL104+BL105*BL106*6)/BL104)</f>
        <v>0</v>
      </c>
      <c r="BM102" s="915">
        <f>IF(BK102=0,0,(BL102-BK102)/BK102*100)</f>
        <v>0</v>
      </c>
      <c r="BN102" s="76">
        <f>IF(BN104=0,0,(BN103*BN104+BN105*BN106*6)/BN104)</f>
        <v>0</v>
      </c>
      <c r="BO102" s="76">
        <f>IF(BO104=0,0,(BO103*BO104+BO105*BO106*6)/BO104)</f>
        <v>0</v>
      </c>
      <c r="BP102" s="915">
        <f>IF(BN102=0,0,(BO102-BN102)/BN102*100)</f>
        <v>0</v>
      </c>
      <c r="BQ102" s="76">
        <f>IF(BQ104=0,0,(BQ103*BQ104+BQ105*BQ106*6)/BQ104)</f>
        <v>0</v>
      </c>
      <c r="BR102" s="76">
        <f>IF(BR104=0,0,(BR103*BR104+BR105*BR106*6)/BR104)</f>
        <v>0</v>
      </c>
      <c r="BS102" s="915">
        <f>IF(BQ102=0,0,(BR102-BQ102)/BQ102*100)</f>
        <v>0</v>
      </c>
      <c r="BT102" s="76">
        <f>IF(BT104=0,0,(BT103*BT104+BT105*BT106*6)/BT104)</f>
        <v>0</v>
      </c>
      <c r="BU102" s="76">
        <f>IF(BU104=0,0,(BU103*BU104+BU105*BU106*6)/BU104)</f>
        <v>0</v>
      </c>
      <c r="BV102" s="915">
        <f>IF(BT102=0,0,(BU102-BT102)/BT102*100)</f>
        <v>0</v>
      </c>
      <c r="BW102" s="76">
        <f>IF(BW104=0,0,(BW103*BW104+BW105*BW106*6)/BW104)</f>
        <v>0</v>
      </c>
      <c r="BX102" s="76">
        <f>IF(BX104=0,0,(BX103*BX104+BX105*BX106*6)/BX104)</f>
        <v>0</v>
      </c>
      <c r="BY102" s="915">
        <f>IF(BW102=0,0,(BX102-BW102)/BW102*100)</f>
        <v>0</v>
      </c>
      <c r="BZ102" s="76">
        <f>IF(BZ104=0,0,(BZ103*BZ104+BZ105*BZ106*6)/BZ104)</f>
        <v>0</v>
      </c>
      <c r="CA102" s="76">
        <f>IF(CA104=0,0,(CA103*CA104+CA105*CA106*6)/CA104)</f>
        <v>0</v>
      </c>
      <c r="CB102" s="915">
        <f>IF(BZ102=0,0,(CA102-BZ102)/BZ102*100)</f>
        <v>0</v>
      </c>
      <c r="CC102" s="76">
        <f>IF(CC104=0,0,(CC103*CC104+CC105*CC106*6)/CC104)</f>
        <v>0</v>
      </c>
      <c r="CD102" s="76">
        <f>IF(CD104=0,0,(CD103*CD104+CD105*CD106*6)/CD104)</f>
        <v>0</v>
      </c>
      <c r="CE102" s="915">
        <f>IF(CC102=0,0,(CD102-CC102)/CC102*100)</f>
        <v>0</v>
      </c>
      <c r="CF102" s="76">
        <f>IF(CF104=0,0,(CF103*CF104+CF105*CF106*6)/CF104)</f>
        <v>0</v>
      </c>
      <c r="CG102" s="76">
        <f>IF(CG104=0,0,(CG103*CG104+CG105*CG106*6)/CG104)</f>
        <v>0</v>
      </c>
      <c r="CH102" s="915">
        <f>IF(CF102=0,0,(CG102-CF102)/CF102*100)</f>
        <v>0</v>
      </c>
      <c r="CI102" s="76">
        <f>IF(CI104=0,0,(CI103*CI104+CI105*CI106*6)/CI104)</f>
        <v>0</v>
      </c>
      <c r="CJ102" s="76">
        <f>IF(CJ104=0,0,(CJ103*CJ104+CJ105*CJ106*6)/CJ104)</f>
        <v>0</v>
      </c>
      <c r="CK102" s="915">
        <f>IF(CI102=0,0,(CJ102-CI102)/CI102*100)</f>
        <v>0</v>
      </c>
      <c r="CL102" s="76">
        <f>IF(CL104=0,0,(CL103*CL104+CL105*CL106*6)/CL104)</f>
        <v>0</v>
      </c>
      <c r="CM102" s="76">
        <f>IF(CM104=0,0,(CM103*CM104+CM105*CM106*6)/CM104)</f>
        <v>0</v>
      </c>
      <c r="CN102" s="915">
        <f>IF(CL102=0,0,(CM102-CL102)/CL102*100)</f>
        <v>0</v>
      </c>
      <c r="CO102" s="76">
        <f>IF(CO104=0,0,(CO103*CO104+CO105*CO106*6)/CO104)</f>
        <v>0</v>
      </c>
      <c r="CP102" s="76">
        <f>IF(CP104=0,0,(CP103*CP104+CP105*CP106*6)/CP104)</f>
        <v>0</v>
      </c>
      <c r="CQ102" s="915">
        <f>IF(CO102=0,0,(CP102-CO102)/CO102*100)</f>
        <v>0</v>
      </c>
      <c r="CR102" s="76">
        <f>IF(CR104=0,0,(CR103*CR104+CR105*CR106*6)/CR104)</f>
        <v>0</v>
      </c>
      <c r="CS102" s="76">
        <f>IF(CS104=0,0,(CS103*CS104+CS105*CS106*6)/CS104)</f>
        <v>0</v>
      </c>
      <c r="CT102" s="915">
        <f>IF(CR102=0,0,(CS102-CR102)/CR102*100)</f>
        <v>0</v>
      </c>
      <c r="CU102" s="76">
        <f>IF(CU104=0,0,(CU103*CU104+CU105*CU106*6)/CU104)</f>
        <v>0</v>
      </c>
      <c r="CV102" s="76">
        <f>IF(CV104=0,0,(CV103*CV104+CV105*CV106*6)/CV104)</f>
        <v>0</v>
      </c>
      <c r="CW102" s="915">
        <f>IF(CU102=0,0,(CV102-CU102)/CU102*100)</f>
        <v>0</v>
      </c>
      <c r="CX102" s="76">
        <f>IF(CX104=0,0,(CX103*CX104+CX105*CX106*6)/CX104)</f>
        <v>0</v>
      </c>
      <c r="CY102" s="76">
        <f>IF(CY104=0,0,(CY103*CY104+CY105*CY106*6)/CY104)</f>
        <v>0</v>
      </c>
      <c r="CZ102" s="915">
        <f>IF(CX102=0,0,(CY102-CX102)/CX102*100)</f>
        <v>0</v>
      </c>
      <c r="DA102" s="76">
        <f>IF(DA104=0,0,(DA103*DA104+DA105*DA106*6)/DA104)</f>
        <v>0</v>
      </c>
      <c r="DB102" s="76">
        <f>IF(DB104=0,0,(DB103*DB104+DB105*DB106*6)/DB104)</f>
        <v>0</v>
      </c>
      <c r="DC102" s="915">
        <f>IF(DA102=0,0,(DB102-DA102)/DA102*100)</f>
        <v>0</v>
      </c>
      <c r="DD102" s="76">
        <f>IF(DD104=0,0,(DD103*DD104+DD105*DD106*6)/DD104)</f>
        <v>0</v>
      </c>
      <c r="DE102" s="76">
        <f>IF(DE104=0,0,(DE103*DE104+DE105*DE106*6)/DE104)</f>
        <v>0</v>
      </c>
      <c r="DF102" s="915">
        <f>IF(DD102=0,0,(DE102-DD102)/DD102*100)</f>
        <v>0</v>
      </c>
      <c r="DG102" s="76">
        <f>IF(DG104=0,0,(DG103*DG104+DG105*DG106*6)/DG104)</f>
        <v>0</v>
      </c>
      <c r="DH102" s="76">
        <f>IF(DH104=0,0,(DH103*DH104+DH105*DH106*6)/DH104)</f>
        <v>0</v>
      </c>
      <c r="DI102" s="915">
        <f>IF(DG102=0,0,(DH102-DG102)/DG102*100)</f>
        <v>0</v>
      </c>
      <c r="DJ102" s="76">
        <f>IF(DJ104=0,0,(DJ103*DJ104+DJ105*DJ106*6)/DJ104)</f>
        <v>0</v>
      </c>
      <c r="DK102" s="76">
        <f>IF(DK104=0,0,(DK103*DK104+DK105*DK106*6)/DK104)</f>
        <v>0</v>
      </c>
      <c r="DL102" s="915">
        <f>IF(DJ102=0,0,(DK102-DJ102)/DJ102*100)</f>
        <v>0</v>
      </c>
      <c r="DM102" s="76">
        <f>IF(DM104=0,0,(DM103*DM104+DM105*DM106*6)/DM104)</f>
        <v>0</v>
      </c>
      <c r="DN102" s="76">
        <f>IF(DN104=0,0,(DN103*DN104+DN105*DN106*6)/DN104)</f>
        <v>0</v>
      </c>
      <c r="DO102" s="915">
        <f>IF(DM102=0,0,(DN102-DM102)/DM102*100)</f>
        <v>0</v>
      </c>
      <c r="DP102" s="76">
        <f>IF(DP104=0,0,(DP103*DP104+DP105*DP106*6)/DP104)</f>
        <v>0</v>
      </c>
      <c r="DQ102" s="76">
        <f>IF(DQ104=0,0,(DQ103*DQ104+DQ105*DQ106*6)/DQ104)</f>
        <v>0</v>
      </c>
      <c r="DR102" s="915">
        <f>IF(DP102=0,0,(DQ102-DP102)/DP102*100)</f>
        <v>0</v>
      </c>
      <c r="DS102" s="76">
        <f>IF(DS104=0,0,(DS103*DS104+DS105*DS106*6)/DS104)</f>
        <v>0</v>
      </c>
      <c r="DT102" s="76">
        <f>IF(DT104=0,0,(DT103*DT104+DT105*DT106*6)/DT104)</f>
        <v>0</v>
      </c>
      <c r="DU102" s="915">
        <f>IF(DS102=0,0,(DT102-DS102)/DS102*100)</f>
        <v>0</v>
      </c>
      <c r="DV102" s="76">
        <f>IF(DV104=0,0,(DV103*DV104+DV105*DV106*6)/DV104)</f>
        <v>0</v>
      </c>
      <c r="DW102" s="76">
        <f>IF(DW104=0,0,(DW103*DW104+DW105*DW106*6)/DW104)</f>
        <v>0</v>
      </c>
      <c r="DX102" s="915">
        <f>IF(DV102=0,0,(DW102-DV102)/DV102*100)</f>
        <v>0</v>
      </c>
      <c r="DY102" s="76">
        <f>IF(DY104=0,0,(DY103*DY104+DY105*DY106*6)/DY104)</f>
        <v>0</v>
      </c>
      <c r="DZ102" s="76">
        <f>IF(DZ104=0,0,(DZ103*DZ104+DZ105*DZ106*6)/DZ104)</f>
        <v>0</v>
      </c>
      <c r="EA102" s="915">
        <f>IF(DY102=0,0,(DZ102-DY102)/DY102*100)</f>
        <v>0</v>
      </c>
      <c r="EB102" s="76">
        <f>IF(EB104=0,0,(EB103*EB104+EB105*EB106*6)/EB104)</f>
        <v>0</v>
      </c>
      <c r="EC102" s="76">
        <f>IF(EC104=0,0,(EC103*EC104+EC105*EC106*6)/EC104)</f>
        <v>0</v>
      </c>
      <c r="ED102" s="915">
        <f>IF(EB102=0,0,(EC102-EB102)/EB102*100)</f>
        <v>0</v>
      </c>
      <c r="EE102" s="76">
        <f>IF(EE104=0,0,(EE103*EE104+EE105*EE106*6)/EE104)</f>
        <v>0</v>
      </c>
      <c r="EF102" s="76">
        <f>IF(EF104=0,0,(EF103*EF104+EF105*EF106*6)/EF104)</f>
        <v>0</v>
      </c>
      <c r="EG102" s="915">
        <f>IF(EE102=0,0,(EF102-EE102)/EE102*100)</f>
        <v>0</v>
      </c>
      <c r="EH102" s="76">
        <f>IF(EH104=0,0,(EH103*EH104+EH105*EH106*6)/EH104)</f>
        <v>0</v>
      </c>
      <c r="EI102" s="76">
        <f>IF(EI104=0,0,(EI103*EI104+EI105*EI106*6)/EI104)</f>
        <v>0</v>
      </c>
      <c r="EJ102" s="915">
        <f>IF(EH102=0,0,(EI102-EH102)/EH102*100)</f>
        <v>0</v>
      </c>
      <c r="EK102" s="76">
        <f>IF(EK104=0,0,(EK103*EK104+EK105*EK106*6)/EK104)</f>
        <v>0</v>
      </c>
      <c r="EL102" s="76">
        <f>IF(EL104=0,0,(EL103*EL104+EL105*EL106*6)/EL104)</f>
        <v>0</v>
      </c>
      <c r="EM102" s="915">
        <f>IF(EK102=0,0,(EL102-EK102)/EK102*100)</f>
        <v>0</v>
      </c>
      <c r="EN102" s="76">
        <f>IF(EN104=0,0,(EN103*EN104+EN105*EN106*6)/EN104)</f>
        <v>0</v>
      </c>
      <c r="EO102" s="76">
        <f>IF(EO104=0,0,(EO103*EO104+EO105*EO106*6)/EO104)</f>
        <v>0</v>
      </c>
      <c r="EP102" s="915">
        <f>IF(EN102=0,0,(EO102-EN102)/EN102*100)</f>
        <v>0</v>
      </c>
      <c r="EQ102" s="76">
        <f>IF(EQ104=0,0,(EQ103*EQ104+EQ105*EQ106*6)/EQ104)</f>
        <v>0</v>
      </c>
      <c r="ER102" s="76">
        <f>IF(ER104=0,0,(ER103*ER104+ER105*ER106*6)/ER104)</f>
        <v>0</v>
      </c>
      <c r="ES102" s="915">
        <f>IF(EQ102=0,0,(ER102-EQ102)/EQ102*100)</f>
        <v>0</v>
      </c>
      <c r="ET102" s="76">
        <f>IF(ET104=0,0,(ET103*ET104+ET105*ET106*6)/ET104)</f>
        <v>0</v>
      </c>
      <c r="EU102" s="76">
        <f>IF(EU104=0,0,(EU103*EU104+EU105*EU106*6)/EU104)</f>
        <v>0</v>
      </c>
      <c r="EV102" s="915">
        <f>IF(ET102=0,0,(EU102-ET102)/ET102*100)</f>
        <v>0</v>
      </c>
      <c r="EW102" s="76">
        <f>IF(EW104=0,0,(EW103*EW104+EW105*EW106*6)/EW104)</f>
        <v>0</v>
      </c>
      <c r="EX102" s="76">
        <f>IF(EX104=0,0,(EX103*EX104+EX105*EX106*6)/EX104)</f>
        <v>0</v>
      </c>
      <c r="EY102" s="915">
        <f>IF(EW102=0,0,(EX102-EW102)/EW102*100)</f>
        <v>0</v>
      </c>
      <c r="EZ102" s="76">
        <f>IF(EZ104=0,0,(EZ103*EZ104+EZ105*EZ106*6)/EZ104)</f>
        <v>0</v>
      </c>
      <c r="FA102" s="76">
        <f>IF(FA104=0,0,(FA103*FA104+FA105*FA106*6)/FA104)</f>
        <v>0</v>
      </c>
      <c r="FB102" s="915">
        <f>IF(EZ102=0,0,(FA102-EZ102)/EZ102*100)</f>
        <v>0</v>
      </c>
      <c r="FC102" s="76">
        <f>IF(FC104=0,0,(FC103*FC104+FC105*FC106*6)/FC104)</f>
        <v>0</v>
      </c>
      <c r="FD102" s="76">
        <f>IF(FD104=0,0,(FD103*FD104+FD105*FD106*6)/FD104)</f>
        <v>0</v>
      </c>
      <c r="FE102" s="915">
        <f>IF(FC102=0,0,(FD102-FC102)/FC102*100)</f>
        <v>0</v>
      </c>
      <c r="FF102" s="76">
        <f>IF(FF104=0,0,(FF103*FF104+FF105*FF106*6)/FF104)</f>
        <v>0</v>
      </c>
      <c r="FG102" s="76">
        <f>IF(FG104=0,0,(FG103*FG104+FG105*FG106*6)/FG104)</f>
        <v>0</v>
      </c>
      <c r="FH102" s="915">
        <f>IF(FF102=0,0,(FG102-FF102)/FF102*100)</f>
        <v>0</v>
      </c>
      <c r="FI102" s="76">
        <f>IF(FI104=0,0,(FI103*FI104+FI105*FI106*6)/FI104)</f>
        <v>0</v>
      </c>
      <c r="FJ102" s="76">
        <f>IF(FJ104=0,0,(FJ103*FJ104+FJ105*FJ106*6)/FJ104)</f>
        <v>0</v>
      </c>
      <c r="FK102" s="915">
        <f>IF(FI102=0,0,(FJ102-FI102)/FI102*100)</f>
        <v>0</v>
      </c>
      <c r="FL102" s="76">
        <f>IF(FL104=0,0,(FL103*FL104+FL105*FL106*6)/FL104)</f>
        <v>0</v>
      </c>
      <c r="FM102" s="76">
        <f>IF(FM104=0,0,(FM103*FM104+FM105*FM106*6)/FM104)</f>
        <v>0</v>
      </c>
      <c r="FN102" s="915">
        <f>IF(FL102=0,0,(FM102-FL102)/FL102*100)</f>
        <v>0</v>
      </c>
      <c r="FO102" s="76">
        <f>IF(FO104=0,0,(FO103*FO104+FO105*FO106*6)/FO104)</f>
        <v>0</v>
      </c>
      <c r="FP102" s="76">
        <f>IF(FP104=0,0,(FP103*FP104+FP105*FP106*6)/FP104)</f>
        <v>0</v>
      </c>
      <c r="FQ102" s="915">
        <f>IF(FO102=0,0,(FP102-FO102)/FO102*100)</f>
        <v>0</v>
      </c>
      <c r="FR102" s="76">
        <f>IF(FR104=0,0,(FR103*FR104+FR105*FR106*6)/FR104)</f>
        <v>0</v>
      </c>
      <c r="FS102" s="76">
        <f>IF(FS104=0,0,(FS103*FS104+FS105*FS106*6)/FS104)</f>
        <v>0</v>
      </c>
      <c r="FT102" s="915">
        <f>IF(FR102=0,0,(FS102-FR102)/FR102*100)</f>
        <v>0</v>
      </c>
      <c r="FU102" s="76">
        <f>IF(FU104=0,0,(FU103*FU104+FU105*FU106*6)/FU104)</f>
        <v>0</v>
      </c>
      <c r="FV102" s="76">
        <f>IF(FV104=0,0,(FV103*FV104+FV105*FV106*6)/FV104)</f>
        <v>0</v>
      </c>
      <c r="FW102" s="915">
        <f>IF(FU102=0,0,(FV102-FU102)/FU102*100)</f>
        <v>0</v>
      </c>
      <c r="FX102" s="286"/>
      <c r="FY102" s="1659"/>
      <c r="FZ102" s="489" t="s">
        <v>2507</v>
      </c>
      <c r="GA102" s="489"/>
      <c r="GB102" s="489"/>
      <c r="GC102" s="489"/>
      <c r="GD102" s="489"/>
      <c r="GE102" s="1506"/>
      <c r="GF102" s="1501" cm="1" t="str">
        <f t="array" ref="GF102:GF102">GF101</f>
        <v>ТЭ.42.31656254.0001</v>
      </c>
      <c r="GG102" s="1501" t="s">
        <v>707</v>
      </c>
      <c r="GH102" s="1501" t="s">
        <v>2452</v>
      </c>
      <c r="GI102" s="1501" t="s">
        <v>797</v>
      </c>
      <c r="GJ102" s="1501"/>
      <c r="GK102" s="1501"/>
      <c r="GL102" s="1501" t="s">
        <v>303</v>
      </c>
      <c r="GM102" s="1501" t="s">
        <v>2492</v>
      </c>
      <c r="GN102" s="1501" t="s">
        <v>2493</v>
      </c>
    </row>
    <row s="1751" customFormat="1" customHeight="1" ht="15" hidden="1">
      <c r="A103" s="371"/>
      <c r="B103" s="192" cm="1" t="str">
        <f t="array" ref="B103:B103">B102</f>
        <v>false</v>
      </c>
      <c r="C103" s="1659"/>
      <c r="D103" s="1659"/>
      <c r="E103" s="180">
        <v>16</v>
      </c>
      <c r="F103" s="175" cm="1" t="str">
        <f t="array" ref="F103:F103">OFFSET(G103,-1,-1)</f>
        <v>1</v>
      </c>
      <c r="G103" s="193" t="s">
        <v>2120</v>
      </c>
      <c r="H103" s="1659"/>
      <c r="I103" s="193" t="s">
        <v>2455</v>
      </c>
      <c r="J103" s="1659"/>
      <c r="K103" s="1659"/>
      <c r="L103" s="1659"/>
      <c r="M103" s="1659"/>
      <c r="N103" s="1659"/>
      <c r="O103" s="1659"/>
      <c r="P103" s="1659"/>
      <c r="Q103" s="1659"/>
      <c r="R103" s="1659"/>
      <c r="S103" s="1659"/>
      <c r="T103" s="753" cm="1" t="str">
        <f t="array" ref="T103:T103">T102</f>
        <v>false</v>
      </c>
      <c r="U103" s="1548"/>
      <c r="V103" s="1548"/>
      <c r="W103" s="1548"/>
      <c r="X103" s="1548"/>
      <c r="Y103" s="1548"/>
      <c r="Z103" s="1548"/>
      <c r="AA103" s="286"/>
      <c r="AB103" s="560" t="s">
        <v>2494</v>
      </c>
      <c r="AC103" s="380" t="s">
        <v>1005</v>
      </c>
      <c r="AD103" s="76">
        <f>IF(method_reg="Метод экономически обоснованных расходов",_xlfn.SUMIFS('Калькуляция (4.6)'!AJ$25:AJ$162,'Калькуляция (4.6)'!$F$25:$F$162,$F103,'Калькуляция (4.6)'!$G$25:$G$162,$G103),IF(method_reg="Метод сравнения аналогов",_xlfn.SUMIFS(INDEX('Калькуляция (МСА)'!$AE$25:$BW$82,,MATCH(AD$8,'Калькуляция (МСА)'!$AE$8:$BW$8,0)),'Калькуляция (МСА)'!$F$25:$F$82,$F103,'Калькуляция (МСА)'!$G$25:$G$82,$G103),_xlfn.SUMIFS(INDEX('Калькуляция (5.9)'!$AJ$25:$BW$139,,MATCH(AD$8,'Калькуляция (5.9)'!$AJ$8:$BW$8,0)),'Калькуляция (5.9)'!$F$25:$F$139,$F103,'Калькуляция (5.9)'!$G$25:$G$139,$G103)))</f>
        <v>1447.26820674393</v>
      </c>
      <c r="AE103" s="76">
        <f>IF(method_reg="Метод экономически обоснованных расходов",_xlfn.SUMIFS('Калькуляция (4.6)'!AK$25:AK$162,'Калькуляция (4.6)'!$F$25:$F$162,$F103,'Калькуляция (4.6)'!$G$25:$G$162,$G103),IF(method_reg="Метод сравнения аналогов",_xlfn.SUMIFS(INDEX('Калькуляция (МСА)'!$AE$25:$BW$82,,MATCH(AE$8,'Калькуляция (МСА)'!$AE$8:$BW$8,0)),'Калькуляция (МСА)'!$F$25:$F$82,$F103,'Калькуляция (МСА)'!$G$25:$G$82,$G103),_xlfn.SUMIFS(INDEX('Калькуляция (5.9)'!$AJ$25:$BW$139,,MATCH(AE$8,'Калькуляция (5.9)'!$AJ$8:$BW$8,0)),'Калькуляция (5.9)'!$F$25:$F$139,$F103,'Калькуляция (5.9)'!$G$25:$G$139,$G103)))</f>
        <v>812.141995425356</v>
      </c>
      <c r="AF103" s="915">
        <f>IF(AD103=0,0,(AE103-AD103)/AD103*100)</f>
        <v>-43.8844858443677</v>
      </c>
      <c r="AG103" s="76">
        <f>IF(method_reg="Метод сравнения аналогов",_xlfn.SUMIFS(INDEX('Калькуляция (МСА)'!$AE$25:$BW$82,,MATCH(AG$8,'Калькуляция (МСА)'!$AE$8:$BW$8,0)),'Калькуляция (МСА)'!$F$25:$F$82,$F103,'Калькуляция (МСА)'!$G$25:$G$82,$G103),_xlfn.SUMIFS(INDEX('Калькуляция (5.9)'!$AJ$25:$BW$139,,MATCH(AG$8,'Калькуляция (5.9)'!$AJ$8:$BW$8,0)),'Калькуляция (5.9)'!$F$25:$F$139,$F103,'Калькуляция (5.9)'!$G$25:$G$139,$G103))</f>
        <v>0</v>
      </c>
      <c r="AH103" s="76">
        <f>IF(method_reg="Метод сравнения аналогов",_xlfn.SUMIFS(INDEX('Калькуляция (МСА)'!$AE$25:$BW$82,,MATCH(AH$8,'Калькуляция (МСА)'!$AE$8:$BW$8,0)),'Калькуляция (МСА)'!$F$25:$F$82,$F103,'Калькуляция (МСА)'!$G$25:$G$82,$G103),_xlfn.SUMIFS(INDEX('Калькуляция (5.9)'!$AJ$25:$BW$139,,MATCH(AH$8,'Калькуляция (5.9)'!$AJ$8:$BW$8,0)),'Калькуляция (5.9)'!$F$25:$F$139,$F103,'Калькуляция (5.9)'!$G$25:$G$139,$G103))</f>
        <v>0</v>
      </c>
      <c r="AI103" s="915">
        <f>IF(AG103=0,0,(AH103-AG103)/AG103*100)</f>
        <v>0</v>
      </c>
      <c r="AJ103" s="76">
        <f>IF(method_reg="Метод сравнения аналогов",_xlfn.SUMIFS(INDEX('Калькуляция (МСА)'!$AE$25:$BW$82,,MATCH(AJ$8,'Калькуляция (МСА)'!$AE$8:$BW$8,0)),'Калькуляция (МСА)'!$F$25:$F$82,$F103,'Калькуляция (МСА)'!$G$25:$G$82,$G103),_xlfn.SUMIFS(INDEX('Калькуляция (5.9)'!$AJ$25:$BW$139,,MATCH(AJ$8,'Калькуляция (5.9)'!$AJ$8:$BW$8,0)),'Калькуляция (5.9)'!$F$25:$F$139,$F103,'Калькуляция (5.9)'!$G$25:$G$139,$G103))</f>
        <v>0</v>
      </c>
      <c r="AK103" s="76">
        <f>IF(method_reg="Метод сравнения аналогов",_xlfn.SUMIFS(INDEX('Калькуляция (МСА)'!$AE$25:$BW$82,,MATCH(AK$8,'Калькуляция (МСА)'!$AE$8:$BW$8,0)),'Калькуляция (МСА)'!$F$25:$F$82,$F103,'Калькуляция (МСА)'!$G$25:$G$82,$G103),_xlfn.SUMIFS(INDEX('Калькуляция (5.9)'!$AJ$25:$BW$139,,MATCH(AK$8,'Калькуляция (5.9)'!$AJ$8:$BW$8,0)),'Калькуляция (5.9)'!$F$25:$F$139,$F103,'Калькуляция (5.9)'!$G$25:$G$139,$G103))</f>
        <v>0</v>
      </c>
      <c r="AL103" s="915">
        <f>IF(AJ103=0,0,(AK103-AJ103)/AJ103*100)</f>
        <v>0</v>
      </c>
      <c r="AM103" s="76">
        <f>IF(method_reg="Метод сравнения аналогов",_xlfn.SUMIFS(INDEX('Калькуляция (МСА)'!$AE$25:$BW$82,,MATCH(AM$8,'Калькуляция (МСА)'!$AE$8:$BW$8,0)),'Калькуляция (МСА)'!$F$25:$F$82,$F103,'Калькуляция (МСА)'!$G$25:$G$82,$G103),_xlfn.SUMIFS(INDEX('Калькуляция (5.9)'!$AJ$25:$BW$139,,MATCH(AM$8,'Калькуляция (5.9)'!$AJ$8:$BW$8,0)),'Калькуляция (5.9)'!$F$25:$F$139,$F103,'Калькуляция (5.9)'!$G$25:$G$139,$G103))</f>
        <v>0</v>
      </c>
      <c r="AN103" s="76">
        <f>IF(method_reg="Метод сравнения аналогов",_xlfn.SUMIFS(INDEX('Калькуляция (МСА)'!$AE$25:$BW$82,,MATCH(AN$8,'Калькуляция (МСА)'!$AE$8:$BW$8,0)),'Калькуляция (МСА)'!$F$25:$F$82,$F103,'Калькуляция (МСА)'!$G$25:$G$82,$G103),_xlfn.SUMIFS(INDEX('Калькуляция (5.9)'!$AJ$25:$BW$139,,MATCH(AN$8,'Калькуляция (5.9)'!$AJ$8:$BW$8,0)),'Калькуляция (5.9)'!$F$25:$F$139,$F103,'Калькуляция (5.9)'!$G$25:$G$139,$G103))</f>
        <v>0</v>
      </c>
      <c r="AO103" s="915">
        <f>IF(AM103=0,0,(AN103-AM103)/AM103*100)</f>
        <v>0</v>
      </c>
      <c r="AP103" s="76">
        <f>IF(method_reg="Метод сравнения аналогов",_xlfn.SUMIFS(INDEX('Калькуляция (МСА)'!$AE$25:$BW$82,,MATCH(AP$8,'Калькуляция (МСА)'!$AE$8:$BW$8,0)),'Калькуляция (МСА)'!$F$25:$F$82,$F103,'Калькуляция (МСА)'!$G$25:$G$82,$G103),_xlfn.SUMIFS(INDEX('Калькуляция (5.9)'!$AJ$25:$BW$139,,MATCH(AP$8,'Калькуляция (5.9)'!$AJ$8:$BW$8,0)),'Калькуляция (5.9)'!$F$25:$F$139,$F103,'Калькуляция (5.9)'!$G$25:$G$139,$G103))</f>
        <v>0</v>
      </c>
      <c r="AQ103" s="76">
        <f>IF(method_reg="Метод сравнения аналогов",_xlfn.SUMIFS(INDEX('Калькуляция (МСА)'!$AE$25:$BW$82,,MATCH(AQ$8,'Калькуляция (МСА)'!$AE$8:$BW$8,0)),'Калькуляция (МСА)'!$F$25:$F$82,$F103,'Калькуляция (МСА)'!$G$25:$G$82,$G103),_xlfn.SUMIFS(INDEX('Калькуляция (5.9)'!$AJ$25:$BW$139,,MATCH(AQ$8,'Калькуляция (5.9)'!$AJ$8:$BW$8,0)),'Калькуляция (5.9)'!$F$25:$F$139,$F103,'Калькуляция (5.9)'!$G$25:$G$139,$G103))</f>
        <v>0</v>
      </c>
      <c r="AR103" s="915">
        <f>IF(AP103=0,0,(AQ103-AP103)/AP103*100)</f>
        <v>0</v>
      </c>
      <c r="AS103" s="76">
        <f>IF(method_reg="Метод сравнения аналогов",_xlfn.SUMIFS(INDEX('Калькуляция (МСА)'!$AE$25:$BW$82,,MATCH(AS$8,'Калькуляция (МСА)'!$AE$8:$BW$8,0)),'Калькуляция (МСА)'!$F$25:$F$82,$F103,'Калькуляция (МСА)'!$G$25:$G$82,$G103),_xlfn.SUMIFS(INDEX('Калькуляция (5.9)'!$AJ$25:$BW$139,,MATCH(AS$8,'Калькуляция (5.9)'!$AJ$8:$BW$8,0)),'Калькуляция (5.9)'!$F$25:$F$139,$F103,'Калькуляция (5.9)'!$G$25:$G$139,$G103))</f>
        <v>0</v>
      </c>
      <c r="AT103" s="76">
        <f>IF(method_reg="Метод сравнения аналогов",_xlfn.SUMIFS(INDEX('Калькуляция (МСА)'!$AE$25:$BW$82,,MATCH(AT$8,'Калькуляция (МСА)'!$AE$8:$BW$8,0)),'Калькуляция (МСА)'!$F$25:$F$82,$F103,'Калькуляция (МСА)'!$G$25:$G$82,$G103),_xlfn.SUMIFS(INDEX('Калькуляция (5.9)'!$AJ$25:$BW$139,,MATCH(AT$8,'Калькуляция (5.9)'!$AJ$8:$BW$8,0)),'Калькуляция (5.9)'!$F$25:$F$139,$F103,'Калькуляция (5.9)'!$G$25:$G$139,$G103))</f>
        <v>0</v>
      </c>
      <c r="AU103" s="915">
        <f>IF(AS103=0,0,(AT103-AS103)/AS103*100)</f>
        <v>0</v>
      </c>
      <c r="AV103" s="76">
        <f>IF(method_reg="Метод сравнения аналогов",_xlfn.SUMIFS(INDEX('Калькуляция (МСА)'!$AE$25:$BW$82,,MATCH(AV$8,'Калькуляция (МСА)'!$AE$8:$BW$8,0)),'Калькуляция (МСА)'!$F$25:$F$82,$F103,'Калькуляция (МСА)'!$G$25:$G$82,$G103),_xlfn.SUMIFS(INDEX('Калькуляция (5.9)'!$AJ$25:$BW$139,,MATCH(AV$8,'Калькуляция (5.9)'!$AJ$8:$BW$8,0)),'Калькуляция (5.9)'!$F$25:$F$139,$F103,'Калькуляция (5.9)'!$G$25:$G$139,$G103))</f>
        <v>0</v>
      </c>
      <c r="AW103" s="76">
        <f>IF(method_reg="Метод сравнения аналогов",_xlfn.SUMIFS(INDEX('Калькуляция (МСА)'!$AE$25:$BW$82,,MATCH(AW$8,'Калькуляция (МСА)'!$AE$8:$BW$8,0)),'Калькуляция (МСА)'!$F$25:$F$82,$F103,'Калькуляция (МСА)'!$G$25:$G$82,$G103),_xlfn.SUMIFS(INDEX('Калькуляция (5.9)'!$AJ$25:$BW$139,,MATCH(AW$8,'Калькуляция (5.9)'!$AJ$8:$BW$8,0)),'Калькуляция (5.9)'!$F$25:$F$139,$F103,'Калькуляция (5.9)'!$G$25:$G$139,$G103))</f>
        <v>0</v>
      </c>
      <c r="AX103" s="915">
        <f>IF(AV103=0,0,(AW103-AV103)/AV103*100)</f>
        <v>0</v>
      </c>
      <c r="AY103" s="76">
        <f>IF(method_reg="Метод сравнения аналогов",_xlfn.SUMIFS(INDEX('Калькуляция (МСА)'!$AE$25:$BW$82,,MATCH(AY$8,'Калькуляция (МСА)'!$AE$8:$BW$8,0)),'Калькуляция (МСА)'!$F$25:$F$82,$F103,'Калькуляция (МСА)'!$G$25:$G$82,$G103),_xlfn.SUMIFS(INDEX('Калькуляция (5.9)'!$AJ$25:$BW$139,,MATCH(AY$8,'Калькуляция (5.9)'!$AJ$8:$BW$8,0)),'Калькуляция (5.9)'!$F$25:$F$139,$F103,'Калькуляция (5.9)'!$G$25:$G$139,$G103))</f>
        <v>0</v>
      </c>
      <c r="AZ103" s="76">
        <f>IF(method_reg="Метод сравнения аналогов",_xlfn.SUMIFS(INDEX('Калькуляция (МСА)'!$AE$25:$BW$82,,MATCH(AZ$8,'Калькуляция (МСА)'!$AE$8:$BW$8,0)),'Калькуляция (МСА)'!$F$25:$F$82,$F103,'Калькуляция (МСА)'!$G$25:$G$82,$G103),_xlfn.SUMIFS(INDEX('Калькуляция (5.9)'!$AJ$25:$BW$139,,MATCH(AZ$8,'Калькуляция (5.9)'!$AJ$8:$BW$8,0)),'Калькуляция (5.9)'!$F$25:$F$139,$F103,'Калькуляция (5.9)'!$G$25:$G$139,$G103))</f>
        <v>0</v>
      </c>
      <c r="BA103" s="915">
        <f>IF(AY103=0,0,(AZ103-AY103)/AY103*100)</f>
        <v>0</v>
      </c>
      <c r="BB103" s="76">
        <f>IF(method_reg="Метод сравнения аналогов",_xlfn.SUMIFS(INDEX('Калькуляция (МСА)'!$AE$25:$BW$82,,MATCH(BB$8,'Калькуляция (МСА)'!$AE$8:$BW$8,0)),'Калькуляция (МСА)'!$F$25:$F$82,$F103,'Калькуляция (МСА)'!$G$25:$G$82,$G103),_xlfn.SUMIFS(INDEX('Калькуляция (5.9)'!$AJ$25:$BW$139,,MATCH(BB$8,'Калькуляция (5.9)'!$AJ$8:$BW$8,0)),'Калькуляция (5.9)'!$F$25:$F$139,$F103,'Калькуляция (5.9)'!$G$25:$G$139,$G103))</f>
        <v>0</v>
      </c>
      <c r="BC103" s="76">
        <f>IF(method_reg="Метод сравнения аналогов",_xlfn.SUMIFS(INDEX('Калькуляция (МСА)'!$AE$25:$BW$82,,MATCH(BC$8,'Калькуляция (МСА)'!$AE$8:$BW$8,0)),'Калькуляция (МСА)'!$F$25:$F$82,$F103,'Калькуляция (МСА)'!$G$25:$G$82,$G103),_xlfn.SUMIFS(INDEX('Калькуляция (5.9)'!$AJ$25:$BW$139,,MATCH(BC$8,'Калькуляция (5.9)'!$AJ$8:$BW$8,0)),'Калькуляция (5.9)'!$F$25:$F$139,$F103,'Калькуляция (5.9)'!$G$25:$G$139,$G103))</f>
        <v>0</v>
      </c>
      <c r="BD103" s="915">
        <f>IF(BB103=0,0,(BC103-BB103)/BB103*100)</f>
        <v>0</v>
      </c>
      <c r="BE103" s="76">
        <f>IF(method_reg="Метод сравнения аналогов",_xlfn.SUMIFS(INDEX('Калькуляция (МСА)'!$AE$25:$BW$82,,MATCH(BE$8,'Калькуляция (МСА)'!$AE$8:$BW$8,0)),'Калькуляция (МСА)'!$F$25:$F$82,$F103,'Калькуляция (МСА)'!$G$25:$G$82,$G103),_xlfn.SUMIFS(INDEX('Калькуляция (5.9)'!$AJ$25:$BW$139,,MATCH(BE$8,'Калькуляция (5.9)'!$AJ$8:$BW$8,0)),'Калькуляция (5.9)'!$F$25:$F$139,$F103,'Калькуляция (5.9)'!$G$25:$G$139,$G103))</f>
        <v>0</v>
      </c>
      <c r="BF103" s="76">
        <f>IF(method_reg="Метод сравнения аналогов",_xlfn.SUMIFS(INDEX('Калькуляция (МСА)'!$AE$25:$BW$82,,MATCH(BF$8,'Калькуляция (МСА)'!$AE$8:$BW$8,0)),'Калькуляция (МСА)'!$F$25:$F$82,$F103,'Калькуляция (МСА)'!$G$25:$G$82,$G103),_xlfn.SUMIFS(INDEX('Калькуляция (5.9)'!$AJ$25:$BW$139,,MATCH(BF$8,'Калькуляция (5.9)'!$AJ$8:$BW$8,0)),'Калькуляция (5.9)'!$F$25:$F$139,$F103,'Калькуляция (5.9)'!$G$25:$G$139,$G103))</f>
        <v>0</v>
      </c>
      <c r="BG103" s="915">
        <f>IF(BE103=0,0,(BF103-BE103)/BE103*100)</f>
        <v>0</v>
      </c>
      <c r="BH103" s="76"/>
      <c r="BI103" s="76"/>
      <c r="BJ103" s="915">
        <f>IF(BH103=0,0,(BI103-BH103)/BH103*100)</f>
        <v>0</v>
      </c>
      <c r="BK103" s="76"/>
      <c r="BL103" s="76"/>
      <c r="BM103" s="915">
        <f>IF(BK103=0,0,(BL103-BK103)/BK103*100)</f>
        <v>0</v>
      </c>
      <c r="BN103" s="76"/>
      <c r="BO103" s="76"/>
      <c r="BP103" s="915">
        <f>IF(BN103=0,0,(BO103-BN103)/BN103*100)</f>
        <v>0</v>
      </c>
      <c r="BQ103" s="76"/>
      <c r="BR103" s="76"/>
      <c r="BS103" s="915">
        <f>IF(BQ103=0,0,(BR103-BQ103)/BQ103*100)</f>
        <v>0</v>
      </c>
      <c r="BT103" s="76"/>
      <c r="BU103" s="76"/>
      <c r="BV103" s="915">
        <f>IF(BT103=0,0,(BU103-BT103)/BT103*100)</f>
        <v>0</v>
      </c>
      <c r="BW103" s="76"/>
      <c r="BX103" s="76"/>
      <c r="BY103" s="915">
        <f>IF(BW103=0,0,(BX103-BW103)/BW103*100)</f>
        <v>0</v>
      </c>
      <c r="BZ103" s="76"/>
      <c r="CA103" s="76"/>
      <c r="CB103" s="915">
        <f>IF(BZ103=0,0,(CA103-BZ103)/BZ103*100)</f>
        <v>0</v>
      </c>
      <c r="CC103" s="76"/>
      <c r="CD103" s="76"/>
      <c r="CE103" s="915">
        <f>IF(CC103=0,0,(CD103-CC103)/CC103*100)</f>
        <v>0</v>
      </c>
      <c r="CF103" s="76"/>
      <c r="CG103" s="76"/>
      <c r="CH103" s="915">
        <f>IF(CF103=0,0,(CG103-CF103)/CF103*100)</f>
        <v>0</v>
      </c>
      <c r="CI103" s="76"/>
      <c r="CJ103" s="76"/>
      <c r="CK103" s="915">
        <f>IF(CI103=0,0,(CJ103-CI103)/CI103*100)</f>
        <v>0</v>
      </c>
      <c r="CL103" s="76"/>
      <c r="CM103" s="76"/>
      <c r="CN103" s="915">
        <f>IF(CL103=0,0,(CM103-CL103)/CL103*100)</f>
        <v>0</v>
      </c>
      <c r="CO103" s="76"/>
      <c r="CP103" s="76"/>
      <c r="CQ103" s="915">
        <f>IF(CO103=0,0,(CP103-CO103)/CO103*100)</f>
        <v>0</v>
      </c>
      <c r="CR103" s="76"/>
      <c r="CS103" s="76"/>
      <c r="CT103" s="915">
        <f>IF(CR103=0,0,(CS103-CR103)/CR103*100)</f>
        <v>0</v>
      </c>
      <c r="CU103" s="76"/>
      <c r="CV103" s="76"/>
      <c r="CW103" s="915">
        <f>IF(CU103=0,0,(CV103-CU103)/CU103*100)</f>
        <v>0</v>
      </c>
      <c r="CX103" s="76"/>
      <c r="CY103" s="76"/>
      <c r="CZ103" s="915">
        <f>IF(CX103=0,0,(CY103-CX103)/CX103*100)</f>
        <v>0</v>
      </c>
      <c r="DA103" s="76"/>
      <c r="DB103" s="76"/>
      <c r="DC103" s="915">
        <f>IF(DA103=0,0,(DB103-DA103)/DA103*100)</f>
        <v>0</v>
      </c>
      <c r="DD103" s="76"/>
      <c r="DE103" s="76"/>
      <c r="DF103" s="915">
        <f>IF(DD103=0,0,(DE103-DD103)/DD103*100)</f>
        <v>0</v>
      </c>
      <c r="DG103" s="76"/>
      <c r="DH103" s="76"/>
      <c r="DI103" s="915">
        <f>IF(DG103=0,0,(DH103-DG103)/DG103*100)</f>
        <v>0</v>
      </c>
      <c r="DJ103" s="76"/>
      <c r="DK103" s="76"/>
      <c r="DL103" s="915">
        <f>IF(DJ103=0,0,(DK103-DJ103)/DJ103*100)</f>
        <v>0</v>
      </c>
      <c r="DM103" s="76"/>
      <c r="DN103" s="76"/>
      <c r="DO103" s="915">
        <f>IF(DM103=0,0,(DN103-DM103)/DM103*100)</f>
        <v>0</v>
      </c>
      <c r="DP103" s="76"/>
      <c r="DQ103" s="76"/>
      <c r="DR103" s="915">
        <f>IF(DP103=0,0,(DQ103-DP103)/DP103*100)</f>
        <v>0</v>
      </c>
      <c r="DS103" s="76"/>
      <c r="DT103" s="76"/>
      <c r="DU103" s="915">
        <f>IF(DS103=0,0,(DT103-DS103)/DS103*100)</f>
        <v>0</v>
      </c>
      <c r="DV103" s="76"/>
      <c r="DW103" s="76"/>
      <c r="DX103" s="915">
        <f>IF(DV103=0,0,(DW103-DV103)/DV103*100)</f>
        <v>0</v>
      </c>
      <c r="DY103" s="76"/>
      <c r="DZ103" s="76"/>
      <c r="EA103" s="915">
        <f>IF(DY103=0,0,(DZ103-DY103)/DY103*100)</f>
        <v>0</v>
      </c>
      <c r="EB103" s="76"/>
      <c r="EC103" s="76"/>
      <c r="ED103" s="915">
        <f>IF(EB103=0,0,(EC103-EB103)/EB103*100)</f>
        <v>0</v>
      </c>
      <c r="EE103" s="76"/>
      <c r="EF103" s="76"/>
      <c r="EG103" s="915">
        <f>IF(EE103=0,0,(EF103-EE103)/EE103*100)</f>
        <v>0</v>
      </c>
      <c r="EH103" s="76"/>
      <c r="EI103" s="76"/>
      <c r="EJ103" s="915">
        <f>IF(EH103=0,0,(EI103-EH103)/EH103*100)</f>
        <v>0</v>
      </c>
      <c r="EK103" s="76"/>
      <c r="EL103" s="76"/>
      <c r="EM103" s="915">
        <f>IF(EK103=0,0,(EL103-EK103)/EK103*100)</f>
        <v>0</v>
      </c>
      <c r="EN103" s="76"/>
      <c r="EO103" s="76"/>
      <c r="EP103" s="915">
        <f>IF(EN103=0,0,(EO103-EN103)/EN103*100)</f>
        <v>0</v>
      </c>
      <c r="EQ103" s="76"/>
      <c r="ER103" s="76"/>
      <c r="ES103" s="915">
        <f>IF(EQ103=0,0,(ER103-EQ103)/EQ103*100)</f>
        <v>0</v>
      </c>
      <c r="ET103" s="76"/>
      <c r="EU103" s="76"/>
      <c r="EV103" s="915">
        <f>IF(ET103=0,0,(EU103-ET103)/ET103*100)</f>
        <v>0</v>
      </c>
      <c r="EW103" s="76"/>
      <c r="EX103" s="76"/>
      <c r="EY103" s="915">
        <f>IF(EW103=0,0,(EX103-EW103)/EW103*100)</f>
        <v>0</v>
      </c>
      <c r="EZ103" s="76"/>
      <c r="FA103" s="76"/>
      <c r="FB103" s="915">
        <f>IF(EZ103=0,0,(FA103-EZ103)/EZ103*100)</f>
        <v>0</v>
      </c>
      <c r="FC103" s="76"/>
      <c r="FD103" s="76"/>
      <c r="FE103" s="915">
        <f>IF(FC103=0,0,(FD103-FC103)/FC103*100)</f>
        <v>0</v>
      </c>
      <c r="FF103" s="76"/>
      <c r="FG103" s="76"/>
      <c r="FH103" s="915">
        <f>IF(FF103=0,0,(FG103-FF103)/FF103*100)</f>
        <v>0</v>
      </c>
      <c r="FI103" s="76"/>
      <c r="FJ103" s="76"/>
      <c r="FK103" s="915">
        <f>IF(FI103=0,0,(FJ103-FI103)/FI103*100)</f>
        <v>0</v>
      </c>
      <c r="FL103" s="76"/>
      <c r="FM103" s="76"/>
      <c r="FN103" s="915">
        <f>IF(FL103=0,0,(FM103-FL103)/FL103*100)</f>
        <v>0</v>
      </c>
      <c r="FO103" s="76"/>
      <c r="FP103" s="76"/>
      <c r="FQ103" s="915">
        <f>IF(FO103=0,0,(FP103-FO103)/FO103*100)</f>
        <v>0</v>
      </c>
      <c r="FR103" s="76"/>
      <c r="FS103" s="76"/>
      <c r="FT103" s="915">
        <f>IF(FR103=0,0,(FS103-FR103)/FR103*100)</f>
        <v>0</v>
      </c>
      <c r="FU103" s="76"/>
      <c r="FV103" s="76"/>
      <c r="FW103" s="915">
        <f>IF(FU103=0,0,(FV103-FU103)/FU103*100)</f>
        <v>0</v>
      </c>
      <c r="FX103" s="286"/>
      <c r="FY103" s="1659"/>
      <c r="FZ103" s="489" t="s">
        <v>2508</v>
      </c>
      <c r="GA103" s="489"/>
      <c r="GB103" s="489"/>
      <c r="GC103" s="489"/>
      <c r="GD103" s="489"/>
      <c r="GE103" s="1506"/>
      <c r="GF103" s="1501" cm="1" t="str">
        <f t="array" ref="GF103:GF103">GF102</f>
        <v>ТЭ.42.31656254.0001</v>
      </c>
      <c r="GG103" s="1501" t="s">
        <v>707</v>
      </c>
      <c r="GH103" s="1501" t="s">
        <v>2452</v>
      </c>
      <c r="GI103" s="1501" t="s">
        <v>797</v>
      </c>
      <c r="GJ103" s="1501"/>
      <c r="GK103" s="1501"/>
      <c r="GL103" s="1501" t="s">
        <v>303</v>
      </c>
      <c r="GM103" s="1501" t="s">
        <v>2118</v>
      </c>
      <c r="GN103" s="1501" t="s">
        <v>2119</v>
      </c>
    </row>
    <row s="1751" customFormat="1" customHeight="1" ht="15" hidden="1">
      <c r="A104" s="371"/>
      <c r="B104" s="192" cm="1" t="str">
        <f t="array" ref="B104:B104">B103</f>
        <v>false</v>
      </c>
      <c r="C104" s="1659"/>
      <c r="D104" s="1659"/>
      <c r="E104" s="180">
        <v>16</v>
      </c>
      <c r="F104" s="175" cm="1" t="str">
        <f t="array" ref="F104:F104">OFFSET(G104,-1,-1)</f>
        <v>1</v>
      </c>
      <c r="G104" s="193" t="s">
        <v>2088</v>
      </c>
      <c r="H104" s="1659"/>
      <c r="I104" s="193" t="s">
        <v>2455</v>
      </c>
      <c r="J104" s="1659"/>
      <c r="K104" s="1659"/>
      <c r="L104" s="1659"/>
      <c r="M104" s="1659"/>
      <c r="N104" s="1659"/>
      <c r="O104" s="1659"/>
      <c r="P104" s="1659"/>
      <c r="Q104" s="1659"/>
      <c r="R104" s="1659"/>
      <c r="S104" s="1659"/>
      <c r="T104" s="753" cm="1" t="str">
        <f t="array" ref="T104:T104">T103</f>
        <v>false</v>
      </c>
      <c r="U104" s="1548"/>
      <c r="V104" s="1548"/>
      <c r="W104" s="1548"/>
      <c r="X104" s="1548"/>
      <c r="Y104" s="1548"/>
      <c r="Z104" s="1548"/>
      <c r="AA104" s="286"/>
      <c r="AB104" s="560" t="s">
        <v>2496</v>
      </c>
      <c r="AC104" s="380" t="s">
        <v>629</v>
      </c>
      <c r="AD104" s="166">
        <f>IF(method_reg="Метод экономически обоснованных расходов",_xlfn.SUMIFS('Калькуляция (4.6)'!AJ$25:AJ$162,'Калькуляция (4.6)'!$F$25:$F$162,$F104,'Калькуляция (4.6)'!$G$25:$G$162,$G104),IF(method_reg="Метод сравнения аналогов",_xlfn.SUMIFS(INDEX('Калькуляция (МСА)'!$AE$25:$BW$82,,MATCH(AD$8,'Калькуляция (МСА)'!$AE$8:$BW$8,0)),'Калькуляция (МСА)'!$F$25:$F$82,$F104,'Калькуляция (МСА)'!$G$25:$G$82,$G104),_xlfn.SUMIFS(INDEX('Калькуляция (5.9)'!$AJ$25:$BW$139,,MATCH(AD$8,'Калькуляция (5.9)'!$AJ$8:$BW$8,0)),'Калькуляция (5.9)'!$F$25:$F$139,$F104,'Калькуляция (5.9)'!$G$25:$G$139,$G104)))</f>
        <v>1994</v>
      </c>
      <c r="AE104" s="166">
        <f>IF(method_reg="Метод экономически обоснованных расходов",_xlfn.SUMIFS('Калькуляция (4.6)'!AK$25:AK$162,'Калькуляция (4.6)'!$F$25:$F$162,$F104,'Калькуляция (4.6)'!$G$25:$G$162,$G104),IF(method_reg="Метод сравнения аналогов",_xlfn.SUMIFS(INDEX('Калькуляция (МСА)'!$AE$25:$BW$82,,MATCH(AE$8,'Калькуляция (МСА)'!$AE$8:$BW$8,0)),'Калькуляция (МСА)'!$F$25:$F$82,$F104,'Калькуляция (МСА)'!$G$25:$G$82,$G104),_xlfn.SUMIFS(INDEX('Калькуляция (5.9)'!$AJ$25:$BW$139,,MATCH(AE$8,'Калькуляция (5.9)'!$AJ$8:$BW$8,0)),'Калькуляция (5.9)'!$F$25:$F$139,$F104,'Калькуляция (5.9)'!$G$25:$G$139,$G104)))</f>
        <v>1994</v>
      </c>
      <c r="AF104" s="917">
        <f>IF(AD104=0,0,(AE104-AD104)/AD104*100)</f>
        <v>0</v>
      </c>
      <c r="AG104" s="166">
        <f>IF(method_reg="Метод сравнения аналогов",_xlfn.SUMIFS(INDEX('Калькуляция (МСА)'!$AE$25:$BW$82,,MATCH(AG$8,'Калькуляция (МСА)'!$AE$8:$BW$8,0)),'Калькуляция (МСА)'!$F$25:$F$82,$F104,'Калькуляция (МСА)'!$G$25:$G$82,$G104),_xlfn.SUMIFS(INDEX('Калькуляция (5.9)'!$AJ$25:$BW$139,,MATCH(AG$8,'Калькуляция (5.9)'!$AJ$8:$BW$8,0)),'Калькуляция (5.9)'!$F$25:$F$139,$F104,'Калькуляция (5.9)'!$G$25:$G$139,$G104))</f>
        <v>0</v>
      </c>
      <c r="AH104" s="166">
        <f>IF(method_reg="Метод сравнения аналогов",_xlfn.SUMIFS(INDEX('Калькуляция (МСА)'!$AE$25:$BW$82,,MATCH(AH$8,'Калькуляция (МСА)'!$AE$8:$BW$8,0)),'Калькуляция (МСА)'!$F$25:$F$82,$F104,'Калькуляция (МСА)'!$G$25:$G$82,$G104),_xlfn.SUMIFS(INDEX('Калькуляция (5.9)'!$AJ$25:$BW$139,,MATCH(AH$8,'Калькуляция (5.9)'!$AJ$8:$BW$8,0)),'Калькуляция (5.9)'!$F$25:$F$139,$F104,'Калькуляция (5.9)'!$G$25:$G$139,$G104))</f>
        <v>0</v>
      </c>
      <c r="AI104" s="917">
        <f>IF(AG104=0,0,(AH104-AG104)/AG104*100)</f>
        <v>0</v>
      </c>
      <c r="AJ104" s="166">
        <f>IF(method_reg="Метод сравнения аналогов",_xlfn.SUMIFS(INDEX('Калькуляция (МСА)'!$AE$25:$BW$82,,MATCH(AJ$8,'Калькуляция (МСА)'!$AE$8:$BW$8,0)),'Калькуляция (МСА)'!$F$25:$F$82,$F104,'Калькуляция (МСА)'!$G$25:$G$82,$G104),_xlfn.SUMIFS(INDEX('Калькуляция (5.9)'!$AJ$25:$BW$139,,MATCH(AJ$8,'Калькуляция (5.9)'!$AJ$8:$BW$8,0)),'Калькуляция (5.9)'!$F$25:$F$139,$F104,'Калькуляция (5.9)'!$G$25:$G$139,$G104))</f>
        <v>0</v>
      </c>
      <c r="AK104" s="166">
        <f>IF(method_reg="Метод сравнения аналогов",_xlfn.SUMIFS(INDEX('Калькуляция (МСА)'!$AE$25:$BW$82,,MATCH(AK$8,'Калькуляция (МСА)'!$AE$8:$BW$8,0)),'Калькуляция (МСА)'!$F$25:$F$82,$F104,'Калькуляция (МСА)'!$G$25:$G$82,$G104),_xlfn.SUMIFS(INDEX('Калькуляция (5.9)'!$AJ$25:$BW$139,,MATCH(AK$8,'Калькуляция (5.9)'!$AJ$8:$BW$8,0)),'Калькуляция (5.9)'!$F$25:$F$139,$F104,'Калькуляция (5.9)'!$G$25:$G$139,$G104))</f>
        <v>0</v>
      </c>
      <c r="AL104" s="917">
        <f>IF(AJ104=0,0,(AK104-AJ104)/AJ104*100)</f>
        <v>0</v>
      </c>
      <c r="AM104" s="166">
        <f>IF(method_reg="Метод сравнения аналогов",_xlfn.SUMIFS(INDEX('Калькуляция (МСА)'!$AE$25:$BW$82,,MATCH(AM$8,'Калькуляция (МСА)'!$AE$8:$BW$8,0)),'Калькуляция (МСА)'!$F$25:$F$82,$F104,'Калькуляция (МСА)'!$G$25:$G$82,$G104),_xlfn.SUMIFS(INDEX('Калькуляция (5.9)'!$AJ$25:$BW$139,,MATCH(AM$8,'Калькуляция (5.9)'!$AJ$8:$BW$8,0)),'Калькуляция (5.9)'!$F$25:$F$139,$F104,'Калькуляция (5.9)'!$G$25:$G$139,$G104))</f>
        <v>0</v>
      </c>
      <c r="AN104" s="166">
        <f>IF(method_reg="Метод сравнения аналогов",_xlfn.SUMIFS(INDEX('Калькуляция (МСА)'!$AE$25:$BW$82,,MATCH(AN$8,'Калькуляция (МСА)'!$AE$8:$BW$8,0)),'Калькуляция (МСА)'!$F$25:$F$82,$F104,'Калькуляция (МСА)'!$G$25:$G$82,$G104),_xlfn.SUMIFS(INDEX('Калькуляция (5.9)'!$AJ$25:$BW$139,,MATCH(AN$8,'Калькуляция (5.9)'!$AJ$8:$BW$8,0)),'Калькуляция (5.9)'!$F$25:$F$139,$F104,'Калькуляция (5.9)'!$G$25:$G$139,$G104))</f>
        <v>0</v>
      </c>
      <c r="AO104" s="917">
        <f>IF(AM104=0,0,(AN104-AM104)/AM104*100)</f>
        <v>0</v>
      </c>
      <c r="AP104" s="166">
        <f>IF(method_reg="Метод сравнения аналогов",_xlfn.SUMIFS(INDEX('Калькуляция (МСА)'!$AE$25:$BW$82,,MATCH(AP$8,'Калькуляция (МСА)'!$AE$8:$BW$8,0)),'Калькуляция (МСА)'!$F$25:$F$82,$F104,'Калькуляция (МСА)'!$G$25:$G$82,$G104),_xlfn.SUMIFS(INDEX('Калькуляция (5.9)'!$AJ$25:$BW$139,,MATCH(AP$8,'Калькуляция (5.9)'!$AJ$8:$BW$8,0)),'Калькуляция (5.9)'!$F$25:$F$139,$F104,'Калькуляция (5.9)'!$G$25:$G$139,$G104))</f>
        <v>0</v>
      </c>
      <c r="AQ104" s="166">
        <f>IF(method_reg="Метод сравнения аналогов",_xlfn.SUMIFS(INDEX('Калькуляция (МСА)'!$AE$25:$BW$82,,MATCH(AQ$8,'Калькуляция (МСА)'!$AE$8:$BW$8,0)),'Калькуляция (МСА)'!$F$25:$F$82,$F104,'Калькуляция (МСА)'!$G$25:$G$82,$G104),_xlfn.SUMIFS(INDEX('Калькуляция (5.9)'!$AJ$25:$BW$139,,MATCH(AQ$8,'Калькуляция (5.9)'!$AJ$8:$BW$8,0)),'Калькуляция (5.9)'!$F$25:$F$139,$F104,'Калькуляция (5.9)'!$G$25:$G$139,$G104))</f>
        <v>0</v>
      </c>
      <c r="AR104" s="917">
        <f>IF(AP104=0,0,(AQ104-AP104)/AP104*100)</f>
        <v>0</v>
      </c>
      <c r="AS104" s="166">
        <f>IF(method_reg="Метод сравнения аналогов",_xlfn.SUMIFS(INDEX('Калькуляция (МСА)'!$AE$25:$BW$82,,MATCH(AS$8,'Калькуляция (МСА)'!$AE$8:$BW$8,0)),'Калькуляция (МСА)'!$F$25:$F$82,$F104,'Калькуляция (МСА)'!$G$25:$G$82,$G104),_xlfn.SUMIFS(INDEX('Калькуляция (5.9)'!$AJ$25:$BW$139,,MATCH(AS$8,'Калькуляция (5.9)'!$AJ$8:$BW$8,0)),'Калькуляция (5.9)'!$F$25:$F$139,$F104,'Калькуляция (5.9)'!$G$25:$G$139,$G104))</f>
        <v>0</v>
      </c>
      <c r="AT104" s="166">
        <f>IF(method_reg="Метод сравнения аналогов",_xlfn.SUMIFS(INDEX('Калькуляция (МСА)'!$AE$25:$BW$82,,MATCH(AT$8,'Калькуляция (МСА)'!$AE$8:$BW$8,0)),'Калькуляция (МСА)'!$F$25:$F$82,$F104,'Калькуляция (МСА)'!$G$25:$G$82,$G104),_xlfn.SUMIFS(INDEX('Калькуляция (5.9)'!$AJ$25:$BW$139,,MATCH(AT$8,'Калькуляция (5.9)'!$AJ$8:$BW$8,0)),'Калькуляция (5.9)'!$F$25:$F$139,$F104,'Калькуляция (5.9)'!$G$25:$G$139,$G104))</f>
        <v>0</v>
      </c>
      <c r="AU104" s="917">
        <f>IF(AS104=0,0,(AT104-AS104)/AS104*100)</f>
        <v>0</v>
      </c>
      <c r="AV104" s="166">
        <f>IF(method_reg="Метод сравнения аналогов",_xlfn.SUMIFS(INDEX('Калькуляция (МСА)'!$AE$25:$BW$82,,MATCH(AV$8,'Калькуляция (МСА)'!$AE$8:$BW$8,0)),'Калькуляция (МСА)'!$F$25:$F$82,$F104,'Калькуляция (МСА)'!$G$25:$G$82,$G104),_xlfn.SUMIFS(INDEX('Калькуляция (5.9)'!$AJ$25:$BW$139,,MATCH(AV$8,'Калькуляция (5.9)'!$AJ$8:$BW$8,0)),'Калькуляция (5.9)'!$F$25:$F$139,$F104,'Калькуляция (5.9)'!$G$25:$G$139,$G104))</f>
        <v>0</v>
      </c>
      <c r="AW104" s="166">
        <f>IF(method_reg="Метод сравнения аналогов",_xlfn.SUMIFS(INDEX('Калькуляция (МСА)'!$AE$25:$BW$82,,MATCH(AW$8,'Калькуляция (МСА)'!$AE$8:$BW$8,0)),'Калькуляция (МСА)'!$F$25:$F$82,$F104,'Калькуляция (МСА)'!$G$25:$G$82,$G104),_xlfn.SUMIFS(INDEX('Калькуляция (5.9)'!$AJ$25:$BW$139,,MATCH(AW$8,'Калькуляция (5.9)'!$AJ$8:$BW$8,0)),'Калькуляция (5.9)'!$F$25:$F$139,$F104,'Калькуляция (5.9)'!$G$25:$G$139,$G104))</f>
        <v>0</v>
      </c>
      <c r="AX104" s="917">
        <f>IF(AV104=0,0,(AW104-AV104)/AV104*100)</f>
        <v>0</v>
      </c>
      <c r="AY104" s="166">
        <f>IF(method_reg="Метод сравнения аналогов",_xlfn.SUMIFS(INDEX('Калькуляция (МСА)'!$AE$25:$BW$82,,MATCH(AY$8,'Калькуляция (МСА)'!$AE$8:$BW$8,0)),'Калькуляция (МСА)'!$F$25:$F$82,$F104,'Калькуляция (МСА)'!$G$25:$G$82,$G104),_xlfn.SUMIFS(INDEX('Калькуляция (5.9)'!$AJ$25:$BW$139,,MATCH(AY$8,'Калькуляция (5.9)'!$AJ$8:$BW$8,0)),'Калькуляция (5.9)'!$F$25:$F$139,$F104,'Калькуляция (5.9)'!$G$25:$G$139,$G104))</f>
        <v>0</v>
      </c>
      <c r="AZ104" s="166">
        <f>IF(method_reg="Метод сравнения аналогов",_xlfn.SUMIFS(INDEX('Калькуляция (МСА)'!$AE$25:$BW$82,,MATCH(AZ$8,'Калькуляция (МСА)'!$AE$8:$BW$8,0)),'Калькуляция (МСА)'!$F$25:$F$82,$F104,'Калькуляция (МСА)'!$G$25:$G$82,$G104),_xlfn.SUMIFS(INDEX('Калькуляция (5.9)'!$AJ$25:$BW$139,,MATCH(AZ$8,'Калькуляция (5.9)'!$AJ$8:$BW$8,0)),'Калькуляция (5.9)'!$F$25:$F$139,$F104,'Калькуляция (5.9)'!$G$25:$G$139,$G104))</f>
        <v>0</v>
      </c>
      <c r="BA104" s="917">
        <f>IF(AY104=0,0,(AZ104-AY104)/AY104*100)</f>
        <v>0</v>
      </c>
      <c r="BB104" s="166">
        <f>IF(method_reg="Метод сравнения аналогов",_xlfn.SUMIFS(INDEX('Калькуляция (МСА)'!$AE$25:$BW$82,,MATCH(BB$8,'Калькуляция (МСА)'!$AE$8:$BW$8,0)),'Калькуляция (МСА)'!$F$25:$F$82,$F104,'Калькуляция (МСА)'!$G$25:$G$82,$G104),_xlfn.SUMIFS(INDEX('Калькуляция (5.9)'!$AJ$25:$BW$139,,MATCH(BB$8,'Калькуляция (5.9)'!$AJ$8:$BW$8,0)),'Калькуляция (5.9)'!$F$25:$F$139,$F104,'Калькуляция (5.9)'!$G$25:$G$139,$G104))</f>
        <v>0</v>
      </c>
      <c r="BC104" s="166">
        <f>IF(method_reg="Метод сравнения аналогов",_xlfn.SUMIFS(INDEX('Калькуляция (МСА)'!$AE$25:$BW$82,,MATCH(BC$8,'Калькуляция (МСА)'!$AE$8:$BW$8,0)),'Калькуляция (МСА)'!$F$25:$F$82,$F104,'Калькуляция (МСА)'!$G$25:$G$82,$G104),_xlfn.SUMIFS(INDEX('Калькуляция (5.9)'!$AJ$25:$BW$139,,MATCH(BC$8,'Калькуляция (5.9)'!$AJ$8:$BW$8,0)),'Калькуляция (5.9)'!$F$25:$F$139,$F104,'Калькуляция (5.9)'!$G$25:$G$139,$G104))</f>
        <v>0</v>
      </c>
      <c r="BD104" s="917">
        <f>IF(BB104=0,0,(BC104-BB104)/BB104*100)</f>
        <v>0</v>
      </c>
      <c r="BE104" s="166">
        <f>IF(method_reg="Метод сравнения аналогов",_xlfn.SUMIFS(INDEX('Калькуляция (МСА)'!$AE$25:$BW$82,,MATCH(BE$8,'Калькуляция (МСА)'!$AE$8:$BW$8,0)),'Калькуляция (МСА)'!$F$25:$F$82,$F104,'Калькуляция (МСА)'!$G$25:$G$82,$G104),_xlfn.SUMIFS(INDEX('Калькуляция (5.9)'!$AJ$25:$BW$139,,MATCH(BE$8,'Калькуляция (5.9)'!$AJ$8:$BW$8,0)),'Калькуляция (5.9)'!$F$25:$F$139,$F104,'Калькуляция (5.9)'!$G$25:$G$139,$G104))</f>
        <v>0</v>
      </c>
      <c r="BF104" s="166">
        <f>IF(method_reg="Метод сравнения аналогов",_xlfn.SUMIFS(INDEX('Калькуляция (МСА)'!$AE$25:$BW$82,,MATCH(BF$8,'Калькуляция (МСА)'!$AE$8:$BW$8,0)),'Калькуляция (МСА)'!$F$25:$F$82,$F104,'Калькуляция (МСА)'!$G$25:$G$82,$G104),_xlfn.SUMIFS(INDEX('Калькуляция (5.9)'!$AJ$25:$BW$139,,MATCH(BF$8,'Калькуляция (5.9)'!$AJ$8:$BW$8,0)),'Калькуляция (5.9)'!$F$25:$F$139,$F104,'Калькуляция (5.9)'!$G$25:$G$139,$G104))</f>
        <v>0</v>
      </c>
      <c r="BG104" s="917">
        <f>IF(BE104=0,0,(BF104-BE104)/BE104*100)</f>
        <v>0</v>
      </c>
      <c r="BH104" s="166"/>
      <c r="BI104" s="166"/>
      <c r="BJ104" s="917">
        <f>IF(BH104=0,0,(BI104-BH104)/BH104*100)</f>
        <v>0</v>
      </c>
      <c r="BK104" s="166"/>
      <c r="BL104" s="166"/>
      <c r="BM104" s="917">
        <f>IF(BK104=0,0,(BL104-BK104)/BK104*100)</f>
        <v>0</v>
      </c>
      <c r="BN104" s="166"/>
      <c r="BO104" s="166"/>
      <c r="BP104" s="917">
        <f>IF(BN104=0,0,(BO104-BN104)/BN104*100)</f>
        <v>0</v>
      </c>
      <c r="BQ104" s="166"/>
      <c r="BR104" s="166"/>
      <c r="BS104" s="917">
        <f>IF(BQ104=0,0,(BR104-BQ104)/BQ104*100)</f>
        <v>0</v>
      </c>
      <c r="BT104" s="166"/>
      <c r="BU104" s="166"/>
      <c r="BV104" s="917">
        <f>IF(BT104=0,0,(BU104-BT104)/BT104*100)</f>
        <v>0</v>
      </c>
      <c r="BW104" s="166"/>
      <c r="BX104" s="166"/>
      <c r="BY104" s="917">
        <f>IF(BW104=0,0,(BX104-BW104)/BW104*100)</f>
        <v>0</v>
      </c>
      <c r="BZ104" s="166"/>
      <c r="CA104" s="166"/>
      <c r="CB104" s="917">
        <f>IF(BZ104=0,0,(CA104-BZ104)/BZ104*100)</f>
        <v>0</v>
      </c>
      <c r="CC104" s="166"/>
      <c r="CD104" s="166"/>
      <c r="CE104" s="917">
        <f>IF(CC104=0,0,(CD104-CC104)/CC104*100)</f>
        <v>0</v>
      </c>
      <c r="CF104" s="166"/>
      <c r="CG104" s="166"/>
      <c r="CH104" s="917">
        <f>IF(CF104=0,0,(CG104-CF104)/CF104*100)</f>
        <v>0</v>
      </c>
      <c r="CI104" s="166"/>
      <c r="CJ104" s="166"/>
      <c r="CK104" s="917">
        <f>IF(CI104=0,0,(CJ104-CI104)/CI104*100)</f>
        <v>0</v>
      </c>
      <c r="CL104" s="166"/>
      <c r="CM104" s="166"/>
      <c r="CN104" s="917">
        <f>IF(CL104=0,0,(CM104-CL104)/CL104*100)</f>
        <v>0</v>
      </c>
      <c r="CO104" s="166"/>
      <c r="CP104" s="166"/>
      <c r="CQ104" s="917">
        <f>IF(CO104=0,0,(CP104-CO104)/CO104*100)</f>
        <v>0</v>
      </c>
      <c r="CR104" s="166"/>
      <c r="CS104" s="166"/>
      <c r="CT104" s="917">
        <f>IF(CR104=0,0,(CS104-CR104)/CR104*100)</f>
        <v>0</v>
      </c>
      <c r="CU104" s="166"/>
      <c r="CV104" s="166"/>
      <c r="CW104" s="917">
        <f>IF(CU104=0,0,(CV104-CU104)/CU104*100)</f>
        <v>0</v>
      </c>
      <c r="CX104" s="166"/>
      <c r="CY104" s="166"/>
      <c r="CZ104" s="917">
        <f>IF(CX104=0,0,(CY104-CX104)/CX104*100)</f>
        <v>0</v>
      </c>
      <c r="DA104" s="166"/>
      <c r="DB104" s="166"/>
      <c r="DC104" s="917">
        <f>IF(DA104=0,0,(DB104-DA104)/DA104*100)</f>
        <v>0</v>
      </c>
      <c r="DD104" s="166"/>
      <c r="DE104" s="166"/>
      <c r="DF104" s="917">
        <f>IF(DD104=0,0,(DE104-DD104)/DD104*100)</f>
        <v>0</v>
      </c>
      <c r="DG104" s="166"/>
      <c r="DH104" s="166"/>
      <c r="DI104" s="917">
        <f>IF(DG104=0,0,(DH104-DG104)/DG104*100)</f>
        <v>0</v>
      </c>
      <c r="DJ104" s="166"/>
      <c r="DK104" s="166"/>
      <c r="DL104" s="917">
        <f>IF(DJ104=0,0,(DK104-DJ104)/DJ104*100)</f>
        <v>0</v>
      </c>
      <c r="DM104" s="166"/>
      <c r="DN104" s="166"/>
      <c r="DO104" s="917">
        <f>IF(DM104=0,0,(DN104-DM104)/DM104*100)</f>
        <v>0</v>
      </c>
      <c r="DP104" s="166"/>
      <c r="DQ104" s="166"/>
      <c r="DR104" s="917">
        <f>IF(DP104=0,0,(DQ104-DP104)/DP104*100)</f>
        <v>0</v>
      </c>
      <c r="DS104" s="166"/>
      <c r="DT104" s="166"/>
      <c r="DU104" s="917">
        <f>IF(DS104=0,0,(DT104-DS104)/DS104*100)</f>
        <v>0</v>
      </c>
      <c r="DV104" s="166"/>
      <c r="DW104" s="166"/>
      <c r="DX104" s="917">
        <f>IF(DV104=0,0,(DW104-DV104)/DV104*100)</f>
        <v>0</v>
      </c>
      <c r="DY104" s="166"/>
      <c r="DZ104" s="166"/>
      <c r="EA104" s="917">
        <f>IF(DY104=0,0,(DZ104-DY104)/DY104*100)</f>
        <v>0</v>
      </c>
      <c r="EB104" s="166"/>
      <c r="EC104" s="166"/>
      <c r="ED104" s="917">
        <f>IF(EB104=0,0,(EC104-EB104)/EB104*100)</f>
        <v>0</v>
      </c>
      <c r="EE104" s="166"/>
      <c r="EF104" s="166"/>
      <c r="EG104" s="917">
        <f>IF(EE104=0,0,(EF104-EE104)/EE104*100)</f>
        <v>0</v>
      </c>
      <c r="EH104" s="166"/>
      <c r="EI104" s="166"/>
      <c r="EJ104" s="917">
        <f>IF(EH104=0,0,(EI104-EH104)/EH104*100)</f>
        <v>0</v>
      </c>
      <c r="EK104" s="166"/>
      <c r="EL104" s="166"/>
      <c r="EM104" s="917">
        <f>IF(EK104=0,0,(EL104-EK104)/EK104*100)</f>
        <v>0</v>
      </c>
      <c r="EN104" s="166"/>
      <c r="EO104" s="166"/>
      <c r="EP104" s="917">
        <f>IF(EN104=0,0,(EO104-EN104)/EN104*100)</f>
        <v>0</v>
      </c>
      <c r="EQ104" s="166"/>
      <c r="ER104" s="166"/>
      <c r="ES104" s="917">
        <f>IF(EQ104=0,0,(ER104-EQ104)/EQ104*100)</f>
        <v>0</v>
      </c>
      <c r="ET104" s="166"/>
      <c r="EU104" s="166"/>
      <c r="EV104" s="917">
        <f>IF(ET104=0,0,(EU104-ET104)/ET104*100)</f>
        <v>0</v>
      </c>
      <c r="EW104" s="166"/>
      <c r="EX104" s="166"/>
      <c r="EY104" s="917">
        <f>IF(EW104=0,0,(EX104-EW104)/EW104*100)</f>
        <v>0</v>
      </c>
      <c r="EZ104" s="166"/>
      <c r="FA104" s="166"/>
      <c r="FB104" s="917">
        <f>IF(EZ104=0,0,(FA104-EZ104)/EZ104*100)</f>
        <v>0</v>
      </c>
      <c r="FC104" s="166"/>
      <c r="FD104" s="166"/>
      <c r="FE104" s="917">
        <f>IF(FC104=0,0,(FD104-FC104)/FC104*100)</f>
        <v>0</v>
      </c>
      <c r="FF104" s="166"/>
      <c r="FG104" s="166"/>
      <c r="FH104" s="917">
        <f>IF(FF104=0,0,(FG104-FF104)/FF104*100)</f>
        <v>0</v>
      </c>
      <c r="FI104" s="166"/>
      <c r="FJ104" s="166"/>
      <c r="FK104" s="917">
        <f>IF(FI104=0,0,(FJ104-FI104)/FI104*100)</f>
        <v>0</v>
      </c>
      <c r="FL104" s="166"/>
      <c r="FM104" s="166"/>
      <c r="FN104" s="917">
        <f>IF(FL104=0,0,(FM104-FL104)/FL104*100)</f>
        <v>0</v>
      </c>
      <c r="FO104" s="166"/>
      <c r="FP104" s="166"/>
      <c r="FQ104" s="917">
        <f>IF(FO104=0,0,(FP104-FO104)/FO104*100)</f>
        <v>0</v>
      </c>
      <c r="FR104" s="166"/>
      <c r="FS104" s="166"/>
      <c r="FT104" s="917">
        <f>IF(FR104=0,0,(FS104-FR104)/FR104*100)</f>
        <v>0</v>
      </c>
      <c r="FU104" s="166"/>
      <c r="FV104" s="166"/>
      <c r="FW104" s="917">
        <f>IF(FU104=0,0,(FV104-FU104)/FU104*100)</f>
        <v>0</v>
      </c>
      <c r="FX104" s="286"/>
      <c r="FY104" s="1659"/>
      <c r="FZ104" s="489" t="s">
        <v>2509</v>
      </c>
      <c r="GA104" s="489"/>
      <c r="GB104" s="489"/>
      <c r="GC104" s="489"/>
      <c r="GD104" s="489"/>
      <c r="GE104" s="1506"/>
      <c r="GF104" s="1501" cm="1" t="str">
        <f t="array" ref="GF104:GF104">GF103</f>
        <v>ТЭ.42.31656254.0001</v>
      </c>
      <c r="GG104" s="1501" t="s">
        <v>707</v>
      </c>
      <c r="GH104" s="1501" t="s">
        <v>2452</v>
      </c>
      <c r="GI104" s="1501" t="s">
        <v>797</v>
      </c>
      <c r="GJ104" s="1501"/>
      <c r="GK104" s="1501"/>
      <c r="GL104" s="1501" t="s">
        <v>303</v>
      </c>
      <c r="GM104" s="1501" t="s">
        <v>2079</v>
      </c>
      <c r="GN104" s="1501" t="s">
        <v>2080</v>
      </c>
    </row>
    <row s="1751" customFormat="1" customHeight="1" ht="30.75" hidden="1">
      <c r="A105" s="371"/>
      <c r="B105" s="192" cm="1" t="str">
        <f t="array" ref="B105:B105">B104</f>
        <v>false</v>
      </c>
      <c r="C105" s="1659"/>
      <c r="D105" s="1659"/>
      <c r="E105" s="180">
        <v>32</v>
      </c>
      <c r="F105" s="175" cm="1" t="str">
        <f t="array" ref="F105:F105">OFFSET(G105,-1,-1)</f>
        <v>1</v>
      </c>
      <c r="G105" s="193" t="s">
        <v>2135</v>
      </c>
      <c r="H105" s="1659"/>
      <c r="I105" s="193" t="s">
        <v>2455</v>
      </c>
      <c r="J105" s="1659"/>
      <c r="K105" s="1659"/>
      <c r="L105" s="1659"/>
      <c r="M105" s="1659"/>
      <c r="N105" s="1659"/>
      <c r="O105" s="1659"/>
      <c r="P105" s="1659"/>
      <c r="Q105" s="1659"/>
      <c r="R105" s="1659"/>
      <c r="S105" s="1659"/>
      <c r="T105" s="753" cm="1" t="str">
        <f t="array" ref="T105:T105">T104</f>
        <v>false</v>
      </c>
      <c r="U105" s="1548"/>
      <c r="V105" s="1548"/>
      <c r="W105" s="1548"/>
      <c r="X105" s="1548"/>
      <c r="Y105" s="1548"/>
      <c r="Z105" s="1548"/>
      <c r="AA105" s="286"/>
      <c r="AB105" s="560" t="s">
        <v>2498</v>
      </c>
      <c r="AC105" s="333" t="s">
        <v>2131</v>
      </c>
      <c r="AD105" s="76">
        <f>IF(method_reg="Метод экономически обоснованных расходов",_xlfn.SUMIFS('Калькуляция (4.6)'!AJ$25:AJ$162,'Калькуляция (4.6)'!$F$25:$F$162,$F105,'Калькуляция (4.6)'!$G$25:$G$162,$G105),IF(method_reg="Метод сравнения аналогов",_xlfn.SUMIFS(INDEX('Калькуляция (МСА)'!$AE$25:$BW$82,,MATCH(AD$8,'Калькуляция (МСА)'!$AE$8:$BW$8,0)),'Калькуляция (МСА)'!$F$25:$F$82,$F105,'Калькуляция (МСА)'!$G$25:$G$82,$G105),_xlfn.SUMIFS(INDEX('Калькуляция (5.9)'!$AJ$25:$BW$139,,MATCH(AD$8,'Калькуляция (5.9)'!$AJ$8:$BW$8,0)),'Калькуляция (5.9)'!$F$25:$F$139,$F105,'Калькуляция (5.9)'!$G$25:$G$139,$G105)))</f>
        <v>0</v>
      </c>
      <c r="AE105" s="76">
        <f>IF(method_reg="Метод экономически обоснованных расходов",_xlfn.SUMIFS('Калькуляция (4.6)'!AK$25:AK$162,'Калькуляция (4.6)'!$F$25:$F$162,$F105,'Калькуляция (4.6)'!$G$25:$G$162,$G105),IF(method_reg="Метод сравнения аналогов",_xlfn.SUMIFS(INDEX('Калькуляция (МСА)'!$AE$25:$BW$82,,MATCH(AE$8,'Калькуляция (МСА)'!$AE$8:$BW$8,0)),'Калькуляция (МСА)'!$F$25:$F$82,$F105,'Калькуляция (МСА)'!$G$25:$G$82,$G105),_xlfn.SUMIFS(INDEX('Калькуляция (5.9)'!$AJ$25:$BW$139,,MATCH(AE$8,'Калькуляция (5.9)'!$AJ$8:$BW$8,0)),'Калькуляция (5.9)'!$F$25:$F$139,$F105,'Калькуляция (5.9)'!$G$25:$G$139,$G105)))</f>
        <v>0</v>
      </c>
      <c r="AF105" s="915">
        <f>IF(AD105=0,0,(AE105-AD105)/AD105*100)</f>
        <v>0</v>
      </c>
      <c r="AG105" s="76">
        <f>IF(method_reg="Метод сравнения аналогов",_xlfn.SUMIFS(INDEX('Калькуляция (МСА)'!$AE$25:$BW$82,,MATCH(AG$8,'Калькуляция (МСА)'!$AE$8:$BW$8,0)),'Калькуляция (МСА)'!$F$25:$F$82,$F105,'Калькуляция (МСА)'!$G$25:$G$82,$G105),_xlfn.SUMIFS(INDEX('Калькуляция (5.9)'!$AJ$25:$BW$139,,MATCH(AG$8,'Калькуляция (5.9)'!$AJ$8:$BW$8,0)),'Калькуляция (5.9)'!$F$25:$F$139,$F105,'Калькуляция (5.9)'!$G$25:$G$139,$G105))</f>
        <v>0</v>
      </c>
      <c r="AH105" s="76">
        <f>IF(method_reg="Метод сравнения аналогов",_xlfn.SUMIFS(INDEX('Калькуляция (МСА)'!$AE$25:$BW$82,,MATCH(AH$8,'Калькуляция (МСА)'!$AE$8:$BW$8,0)),'Калькуляция (МСА)'!$F$25:$F$82,$F105,'Калькуляция (МСА)'!$G$25:$G$82,$G105),_xlfn.SUMIFS(INDEX('Калькуляция (5.9)'!$AJ$25:$BW$139,,MATCH(AH$8,'Калькуляция (5.9)'!$AJ$8:$BW$8,0)),'Калькуляция (5.9)'!$F$25:$F$139,$F105,'Калькуляция (5.9)'!$G$25:$G$139,$G105))</f>
        <v>0</v>
      </c>
      <c r="AI105" s="915">
        <f>IF(AG105=0,0,(AH105-AG105)/AG105*100)</f>
        <v>0</v>
      </c>
      <c r="AJ105" s="76">
        <f>IF(method_reg="Метод сравнения аналогов",_xlfn.SUMIFS(INDEX('Калькуляция (МСА)'!$AE$25:$BW$82,,MATCH(AJ$8,'Калькуляция (МСА)'!$AE$8:$BW$8,0)),'Калькуляция (МСА)'!$F$25:$F$82,$F105,'Калькуляция (МСА)'!$G$25:$G$82,$G105),_xlfn.SUMIFS(INDEX('Калькуляция (5.9)'!$AJ$25:$BW$139,,MATCH(AJ$8,'Калькуляция (5.9)'!$AJ$8:$BW$8,0)),'Калькуляция (5.9)'!$F$25:$F$139,$F105,'Калькуляция (5.9)'!$G$25:$G$139,$G105))</f>
        <v>0</v>
      </c>
      <c r="AK105" s="76">
        <f>IF(method_reg="Метод сравнения аналогов",_xlfn.SUMIFS(INDEX('Калькуляция (МСА)'!$AE$25:$BW$82,,MATCH(AK$8,'Калькуляция (МСА)'!$AE$8:$BW$8,0)),'Калькуляция (МСА)'!$F$25:$F$82,$F105,'Калькуляция (МСА)'!$G$25:$G$82,$G105),_xlfn.SUMIFS(INDEX('Калькуляция (5.9)'!$AJ$25:$BW$139,,MATCH(AK$8,'Калькуляция (5.9)'!$AJ$8:$BW$8,0)),'Калькуляция (5.9)'!$F$25:$F$139,$F105,'Калькуляция (5.9)'!$G$25:$G$139,$G105))</f>
        <v>0</v>
      </c>
      <c r="AL105" s="915">
        <f>IF(AJ105=0,0,(AK105-AJ105)/AJ105*100)</f>
        <v>0</v>
      </c>
      <c r="AM105" s="76">
        <f>IF(method_reg="Метод сравнения аналогов",_xlfn.SUMIFS(INDEX('Калькуляция (МСА)'!$AE$25:$BW$82,,MATCH(AM$8,'Калькуляция (МСА)'!$AE$8:$BW$8,0)),'Калькуляция (МСА)'!$F$25:$F$82,$F105,'Калькуляция (МСА)'!$G$25:$G$82,$G105),_xlfn.SUMIFS(INDEX('Калькуляция (5.9)'!$AJ$25:$BW$139,,MATCH(AM$8,'Калькуляция (5.9)'!$AJ$8:$BW$8,0)),'Калькуляция (5.9)'!$F$25:$F$139,$F105,'Калькуляция (5.9)'!$G$25:$G$139,$G105))</f>
        <v>0</v>
      </c>
      <c r="AN105" s="76">
        <f>IF(method_reg="Метод сравнения аналогов",_xlfn.SUMIFS(INDEX('Калькуляция (МСА)'!$AE$25:$BW$82,,MATCH(AN$8,'Калькуляция (МСА)'!$AE$8:$BW$8,0)),'Калькуляция (МСА)'!$F$25:$F$82,$F105,'Калькуляция (МСА)'!$G$25:$G$82,$G105),_xlfn.SUMIFS(INDEX('Калькуляция (5.9)'!$AJ$25:$BW$139,,MATCH(AN$8,'Калькуляция (5.9)'!$AJ$8:$BW$8,0)),'Калькуляция (5.9)'!$F$25:$F$139,$F105,'Калькуляция (5.9)'!$G$25:$G$139,$G105))</f>
        <v>0</v>
      </c>
      <c r="AO105" s="915">
        <f>IF(AM105=0,0,(AN105-AM105)/AM105*100)</f>
        <v>0</v>
      </c>
      <c r="AP105" s="76">
        <f>IF(method_reg="Метод сравнения аналогов",_xlfn.SUMIFS(INDEX('Калькуляция (МСА)'!$AE$25:$BW$82,,MATCH(AP$8,'Калькуляция (МСА)'!$AE$8:$BW$8,0)),'Калькуляция (МСА)'!$F$25:$F$82,$F105,'Калькуляция (МСА)'!$G$25:$G$82,$G105),_xlfn.SUMIFS(INDEX('Калькуляция (5.9)'!$AJ$25:$BW$139,,MATCH(AP$8,'Калькуляция (5.9)'!$AJ$8:$BW$8,0)),'Калькуляция (5.9)'!$F$25:$F$139,$F105,'Калькуляция (5.9)'!$G$25:$G$139,$G105))</f>
        <v>0</v>
      </c>
      <c r="AQ105" s="76">
        <f>IF(method_reg="Метод сравнения аналогов",_xlfn.SUMIFS(INDEX('Калькуляция (МСА)'!$AE$25:$BW$82,,MATCH(AQ$8,'Калькуляция (МСА)'!$AE$8:$BW$8,0)),'Калькуляция (МСА)'!$F$25:$F$82,$F105,'Калькуляция (МСА)'!$G$25:$G$82,$G105),_xlfn.SUMIFS(INDEX('Калькуляция (5.9)'!$AJ$25:$BW$139,,MATCH(AQ$8,'Калькуляция (5.9)'!$AJ$8:$BW$8,0)),'Калькуляция (5.9)'!$F$25:$F$139,$F105,'Калькуляция (5.9)'!$G$25:$G$139,$G105))</f>
        <v>0</v>
      </c>
      <c r="AR105" s="915">
        <f>IF(AP105=0,0,(AQ105-AP105)/AP105*100)</f>
        <v>0</v>
      </c>
      <c r="AS105" s="76">
        <f>IF(method_reg="Метод сравнения аналогов",_xlfn.SUMIFS(INDEX('Калькуляция (МСА)'!$AE$25:$BW$82,,MATCH(AS$8,'Калькуляция (МСА)'!$AE$8:$BW$8,0)),'Калькуляция (МСА)'!$F$25:$F$82,$F105,'Калькуляция (МСА)'!$G$25:$G$82,$G105),_xlfn.SUMIFS(INDEX('Калькуляция (5.9)'!$AJ$25:$BW$139,,MATCH(AS$8,'Калькуляция (5.9)'!$AJ$8:$BW$8,0)),'Калькуляция (5.9)'!$F$25:$F$139,$F105,'Калькуляция (5.9)'!$G$25:$G$139,$G105))</f>
        <v>0</v>
      </c>
      <c r="AT105" s="76">
        <f>IF(method_reg="Метод сравнения аналогов",_xlfn.SUMIFS(INDEX('Калькуляция (МСА)'!$AE$25:$BW$82,,MATCH(AT$8,'Калькуляция (МСА)'!$AE$8:$BW$8,0)),'Калькуляция (МСА)'!$F$25:$F$82,$F105,'Калькуляция (МСА)'!$G$25:$G$82,$G105),_xlfn.SUMIFS(INDEX('Калькуляция (5.9)'!$AJ$25:$BW$139,,MATCH(AT$8,'Калькуляция (5.9)'!$AJ$8:$BW$8,0)),'Калькуляция (5.9)'!$F$25:$F$139,$F105,'Калькуляция (5.9)'!$G$25:$G$139,$G105))</f>
        <v>0</v>
      </c>
      <c r="AU105" s="915">
        <f>IF(AS105=0,0,(AT105-AS105)/AS105*100)</f>
        <v>0</v>
      </c>
      <c r="AV105" s="76">
        <f>IF(method_reg="Метод сравнения аналогов",_xlfn.SUMIFS(INDEX('Калькуляция (МСА)'!$AE$25:$BW$82,,MATCH(AV$8,'Калькуляция (МСА)'!$AE$8:$BW$8,0)),'Калькуляция (МСА)'!$F$25:$F$82,$F105,'Калькуляция (МСА)'!$G$25:$G$82,$G105),_xlfn.SUMIFS(INDEX('Калькуляция (5.9)'!$AJ$25:$BW$139,,MATCH(AV$8,'Калькуляция (5.9)'!$AJ$8:$BW$8,0)),'Калькуляция (5.9)'!$F$25:$F$139,$F105,'Калькуляция (5.9)'!$G$25:$G$139,$G105))</f>
        <v>0</v>
      </c>
      <c r="AW105" s="76">
        <f>IF(method_reg="Метод сравнения аналогов",_xlfn.SUMIFS(INDEX('Калькуляция (МСА)'!$AE$25:$BW$82,,MATCH(AW$8,'Калькуляция (МСА)'!$AE$8:$BW$8,0)),'Калькуляция (МСА)'!$F$25:$F$82,$F105,'Калькуляция (МСА)'!$G$25:$G$82,$G105),_xlfn.SUMIFS(INDEX('Калькуляция (5.9)'!$AJ$25:$BW$139,,MATCH(AW$8,'Калькуляция (5.9)'!$AJ$8:$BW$8,0)),'Калькуляция (5.9)'!$F$25:$F$139,$F105,'Калькуляция (5.9)'!$G$25:$G$139,$G105))</f>
        <v>0</v>
      </c>
      <c r="AX105" s="915">
        <f>IF(AV105=0,0,(AW105-AV105)/AV105*100)</f>
        <v>0</v>
      </c>
      <c r="AY105" s="76">
        <f>IF(method_reg="Метод сравнения аналогов",_xlfn.SUMIFS(INDEX('Калькуляция (МСА)'!$AE$25:$BW$82,,MATCH(AY$8,'Калькуляция (МСА)'!$AE$8:$BW$8,0)),'Калькуляция (МСА)'!$F$25:$F$82,$F105,'Калькуляция (МСА)'!$G$25:$G$82,$G105),_xlfn.SUMIFS(INDEX('Калькуляция (5.9)'!$AJ$25:$BW$139,,MATCH(AY$8,'Калькуляция (5.9)'!$AJ$8:$BW$8,0)),'Калькуляция (5.9)'!$F$25:$F$139,$F105,'Калькуляция (5.9)'!$G$25:$G$139,$G105))</f>
        <v>0</v>
      </c>
      <c r="AZ105" s="76">
        <f>IF(method_reg="Метод сравнения аналогов",_xlfn.SUMIFS(INDEX('Калькуляция (МСА)'!$AE$25:$BW$82,,MATCH(AZ$8,'Калькуляция (МСА)'!$AE$8:$BW$8,0)),'Калькуляция (МСА)'!$F$25:$F$82,$F105,'Калькуляция (МСА)'!$G$25:$G$82,$G105),_xlfn.SUMIFS(INDEX('Калькуляция (5.9)'!$AJ$25:$BW$139,,MATCH(AZ$8,'Калькуляция (5.9)'!$AJ$8:$BW$8,0)),'Калькуляция (5.9)'!$F$25:$F$139,$F105,'Калькуляция (5.9)'!$G$25:$G$139,$G105))</f>
        <v>0</v>
      </c>
      <c r="BA105" s="915">
        <f>IF(AY105=0,0,(AZ105-AY105)/AY105*100)</f>
        <v>0</v>
      </c>
      <c r="BB105" s="76">
        <f>IF(method_reg="Метод сравнения аналогов",_xlfn.SUMIFS(INDEX('Калькуляция (МСА)'!$AE$25:$BW$82,,MATCH(BB$8,'Калькуляция (МСА)'!$AE$8:$BW$8,0)),'Калькуляция (МСА)'!$F$25:$F$82,$F105,'Калькуляция (МСА)'!$G$25:$G$82,$G105),_xlfn.SUMIFS(INDEX('Калькуляция (5.9)'!$AJ$25:$BW$139,,MATCH(BB$8,'Калькуляция (5.9)'!$AJ$8:$BW$8,0)),'Калькуляция (5.9)'!$F$25:$F$139,$F105,'Калькуляция (5.9)'!$G$25:$G$139,$G105))</f>
        <v>0</v>
      </c>
      <c r="BC105" s="76">
        <f>IF(method_reg="Метод сравнения аналогов",_xlfn.SUMIFS(INDEX('Калькуляция (МСА)'!$AE$25:$BW$82,,MATCH(BC$8,'Калькуляция (МСА)'!$AE$8:$BW$8,0)),'Калькуляция (МСА)'!$F$25:$F$82,$F105,'Калькуляция (МСА)'!$G$25:$G$82,$G105),_xlfn.SUMIFS(INDEX('Калькуляция (5.9)'!$AJ$25:$BW$139,,MATCH(BC$8,'Калькуляция (5.9)'!$AJ$8:$BW$8,0)),'Калькуляция (5.9)'!$F$25:$F$139,$F105,'Калькуляция (5.9)'!$G$25:$G$139,$G105))</f>
        <v>0</v>
      </c>
      <c r="BD105" s="915">
        <f>IF(BB105=0,0,(BC105-BB105)/BB105*100)</f>
        <v>0</v>
      </c>
      <c r="BE105" s="76">
        <f>IF(method_reg="Метод сравнения аналогов",_xlfn.SUMIFS(INDEX('Калькуляция (МСА)'!$AE$25:$BW$82,,MATCH(BE$8,'Калькуляция (МСА)'!$AE$8:$BW$8,0)),'Калькуляция (МСА)'!$F$25:$F$82,$F105,'Калькуляция (МСА)'!$G$25:$G$82,$G105),_xlfn.SUMIFS(INDEX('Калькуляция (5.9)'!$AJ$25:$BW$139,,MATCH(BE$8,'Калькуляция (5.9)'!$AJ$8:$BW$8,0)),'Калькуляция (5.9)'!$F$25:$F$139,$F105,'Калькуляция (5.9)'!$G$25:$G$139,$G105))</f>
        <v>0</v>
      </c>
      <c r="BF105" s="76">
        <f>IF(method_reg="Метод сравнения аналогов",_xlfn.SUMIFS(INDEX('Калькуляция (МСА)'!$AE$25:$BW$82,,MATCH(BF$8,'Калькуляция (МСА)'!$AE$8:$BW$8,0)),'Калькуляция (МСА)'!$F$25:$F$82,$F105,'Калькуляция (МСА)'!$G$25:$G$82,$G105),_xlfn.SUMIFS(INDEX('Калькуляция (5.9)'!$AJ$25:$BW$139,,MATCH(BF$8,'Калькуляция (5.9)'!$AJ$8:$BW$8,0)),'Калькуляция (5.9)'!$F$25:$F$139,$F105,'Калькуляция (5.9)'!$G$25:$G$139,$G105))</f>
        <v>0</v>
      </c>
      <c r="BG105" s="915">
        <f>IF(BE105=0,0,(BF105-BE105)/BE105*100)</f>
        <v>0</v>
      </c>
      <c r="BH105" s="76"/>
      <c r="BI105" s="76"/>
      <c r="BJ105" s="915">
        <f>IF(BH105=0,0,(BI105-BH105)/BH105*100)</f>
        <v>0</v>
      </c>
      <c r="BK105" s="76"/>
      <c r="BL105" s="76"/>
      <c r="BM105" s="915">
        <f>IF(BK105=0,0,(BL105-BK105)/BK105*100)</f>
        <v>0</v>
      </c>
      <c r="BN105" s="76"/>
      <c r="BO105" s="76"/>
      <c r="BP105" s="915">
        <f>IF(BN105=0,0,(BO105-BN105)/BN105*100)</f>
        <v>0</v>
      </c>
      <c r="BQ105" s="76"/>
      <c r="BR105" s="76"/>
      <c r="BS105" s="915">
        <f>IF(BQ105=0,0,(BR105-BQ105)/BQ105*100)</f>
        <v>0</v>
      </c>
      <c r="BT105" s="76"/>
      <c r="BU105" s="76"/>
      <c r="BV105" s="915">
        <f>IF(BT105=0,0,(BU105-BT105)/BT105*100)</f>
        <v>0</v>
      </c>
      <c r="BW105" s="76"/>
      <c r="BX105" s="76"/>
      <c r="BY105" s="915">
        <f>IF(BW105=0,0,(BX105-BW105)/BW105*100)</f>
        <v>0</v>
      </c>
      <c r="BZ105" s="76"/>
      <c r="CA105" s="76"/>
      <c r="CB105" s="915">
        <f>IF(BZ105=0,0,(CA105-BZ105)/BZ105*100)</f>
        <v>0</v>
      </c>
      <c r="CC105" s="76"/>
      <c r="CD105" s="76"/>
      <c r="CE105" s="915">
        <f>IF(CC105=0,0,(CD105-CC105)/CC105*100)</f>
        <v>0</v>
      </c>
      <c r="CF105" s="76"/>
      <c r="CG105" s="76"/>
      <c r="CH105" s="915">
        <f>IF(CF105=0,0,(CG105-CF105)/CF105*100)</f>
        <v>0</v>
      </c>
      <c r="CI105" s="76"/>
      <c r="CJ105" s="76"/>
      <c r="CK105" s="915">
        <f>IF(CI105=0,0,(CJ105-CI105)/CI105*100)</f>
        <v>0</v>
      </c>
      <c r="CL105" s="76"/>
      <c r="CM105" s="76"/>
      <c r="CN105" s="915">
        <f>IF(CL105=0,0,(CM105-CL105)/CL105*100)</f>
        <v>0</v>
      </c>
      <c r="CO105" s="76"/>
      <c r="CP105" s="76"/>
      <c r="CQ105" s="915">
        <f>IF(CO105=0,0,(CP105-CO105)/CO105*100)</f>
        <v>0</v>
      </c>
      <c r="CR105" s="76"/>
      <c r="CS105" s="76"/>
      <c r="CT105" s="915">
        <f>IF(CR105=0,0,(CS105-CR105)/CR105*100)</f>
        <v>0</v>
      </c>
      <c r="CU105" s="76"/>
      <c r="CV105" s="76"/>
      <c r="CW105" s="915">
        <f>IF(CU105=0,0,(CV105-CU105)/CU105*100)</f>
        <v>0</v>
      </c>
      <c r="CX105" s="76"/>
      <c r="CY105" s="76"/>
      <c r="CZ105" s="915">
        <f>IF(CX105=0,0,(CY105-CX105)/CX105*100)</f>
        <v>0</v>
      </c>
      <c r="DA105" s="76"/>
      <c r="DB105" s="76"/>
      <c r="DC105" s="915">
        <f>IF(DA105=0,0,(DB105-DA105)/DA105*100)</f>
        <v>0</v>
      </c>
      <c r="DD105" s="76"/>
      <c r="DE105" s="76"/>
      <c r="DF105" s="915">
        <f>IF(DD105=0,0,(DE105-DD105)/DD105*100)</f>
        <v>0</v>
      </c>
      <c r="DG105" s="76"/>
      <c r="DH105" s="76"/>
      <c r="DI105" s="915">
        <f>IF(DG105=0,0,(DH105-DG105)/DG105*100)</f>
        <v>0</v>
      </c>
      <c r="DJ105" s="76"/>
      <c r="DK105" s="76"/>
      <c r="DL105" s="915">
        <f>IF(DJ105=0,0,(DK105-DJ105)/DJ105*100)</f>
        <v>0</v>
      </c>
      <c r="DM105" s="76"/>
      <c r="DN105" s="76"/>
      <c r="DO105" s="915">
        <f>IF(DM105=0,0,(DN105-DM105)/DM105*100)</f>
        <v>0</v>
      </c>
      <c r="DP105" s="76"/>
      <c r="DQ105" s="76"/>
      <c r="DR105" s="915">
        <f>IF(DP105=0,0,(DQ105-DP105)/DP105*100)</f>
        <v>0</v>
      </c>
      <c r="DS105" s="76"/>
      <c r="DT105" s="76"/>
      <c r="DU105" s="915">
        <f>IF(DS105=0,0,(DT105-DS105)/DS105*100)</f>
        <v>0</v>
      </c>
      <c r="DV105" s="76"/>
      <c r="DW105" s="76"/>
      <c r="DX105" s="915">
        <f>IF(DV105=0,0,(DW105-DV105)/DV105*100)</f>
        <v>0</v>
      </c>
      <c r="DY105" s="76"/>
      <c r="DZ105" s="76"/>
      <c r="EA105" s="915">
        <f>IF(DY105=0,0,(DZ105-DY105)/DY105*100)</f>
        <v>0</v>
      </c>
      <c r="EB105" s="76"/>
      <c r="EC105" s="76"/>
      <c r="ED105" s="915">
        <f>IF(EB105=0,0,(EC105-EB105)/EB105*100)</f>
        <v>0</v>
      </c>
      <c r="EE105" s="76"/>
      <c r="EF105" s="76"/>
      <c r="EG105" s="915">
        <f>IF(EE105=0,0,(EF105-EE105)/EE105*100)</f>
        <v>0</v>
      </c>
      <c r="EH105" s="76"/>
      <c r="EI105" s="76"/>
      <c r="EJ105" s="915">
        <f>IF(EH105=0,0,(EI105-EH105)/EH105*100)</f>
        <v>0</v>
      </c>
      <c r="EK105" s="76"/>
      <c r="EL105" s="76"/>
      <c r="EM105" s="915">
        <f>IF(EK105=0,0,(EL105-EK105)/EK105*100)</f>
        <v>0</v>
      </c>
      <c r="EN105" s="76"/>
      <c r="EO105" s="76"/>
      <c r="EP105" s="915">
        <f>IF(EN105=0,0,(EO105-EN105)/EN105*100)</f>
        <v>0</v>
      </c>
      <c r="EQ105" s="76"/>
      <c r="ER105" s="76"/>
      <c r="ES105" s="915">
        <f>IF(EQ105=0,0,(ER105-EQ105)/EQ105*100)</f>
        <v>0</v>
      </c>
      <c r="ET105" s="76"/>
      <c r="EU105" s="76"/>
      <c r="EV105" s="915">
        <f>IF(ET105=0,0,(EU105-ET105)/ET105*100)</f>
        <v>0</v>
      </c>
      <c r="EW105" s="76"/>
      <c r="EX105" s="76"/>
      <c r="EY105" s="915">
        <f>IF(EW105=0,0,(EX105-EW105)/EW105*100)</f>
        <v>0</v>
      </c>
      <c r="EZ105" s="76"/>
      <c r="FA105" s="76"/>
      <c r="FB105" s="915">
        <f>IF(EZ105=0,0,(FA105-EZ105)/EZ105*100)</f>
        <v>0</v>
      </c>
      <c r="FC105" s="76"/>
      <c r="FD105" s="76"/>
      <c r="FE105" s="915">
        <f>IF(FC105=0,0,(FD105-FC105)/FC105*100)</f>
        <v>0</v>
      </c>
      <c r="FF105" s="76"/>
      <c r="FG105" s="76"/>
      <c r="FH105" s="915">
        <f>IF(FF105=0,0,(FG105-FF105)/FF105*100)</f>
        <v>0</v>
      </c>
      <c r="FI105" s="76"/>
      <c r="FJ105" s="76"/>
      <c r="FK105" s="915">
        <f>IF(FI105=0,0,(FJ105-FI105)/FI105*100)</f>
        <v>0</v>
      </c>
      <c r="FL105" s="76"/>
      <c r="FM105" s="76"/>
      <c r="FN105" s="915">
        <f>IF(FL105=0,0,(FM105-FL105)/FL105*100)</f>
        <v>0</v>
      </c>
      <c r="FO105" s="76"/>
      <c r="FP105" s="76"/>
      <c r="FQ105" s="915">
        <f>IF(FO105=0,0,(FP105-FO105)/FO105*100)</f>
        <v>0</v>
      </c>
      <c r="FR105" s="76"/>
      <c r="FS105" s="76"/>
      <c r="FT105" s="915">
        <f>IF(FR105=0,0,(FS105-FR105)/FR105*100)</f>
        <v>0</v>
      </c>
      <c r="FU105" s="76"/>
      <c r="FV105" s="76"/>
      <c r="FW105" s="915">
        <f>IF(FU105=0,0,(FV105-FU105)/FU105*100)</f>
        <v>0</v>
      </c>
      <c r="FX105" s="286"/>
      <c r="FY105" s="1659"/>
      <c r="FZ105" s="489" t="s">
        <v>2510</v>
      </c>
      <c r="GA105" s="489"/>
      <c r="GB105" s="489"/>
      <c r="GC105" s="489"/>
      <c r="GD105" s="489"/>
      <c r="GE105" s="1506"/>
      <c r="GF105" s="1501" cm="1" t="str">
        <f t="array" ref="GF105:GF105">GF104</f>
        <v>ТЭ.42.31656254.0001</v>
      </c>
      <c r="GG105" s="1501" t="s">
        <v>707</v>
      </c>
      <c r="GH105" s="1501" t="s">
        <v>2452</v>
      </c>
      <c r="GI105" s="1501" t="s">
        <v>797</v>
      </c>
      <c r="GJ105" s="1501"/>
      <c r="GK105" s="1501"/>
      <c r="GL105" s="1501" t="s">
        <v>303</v>
      </c>
      <c r="GM105" s="1501" t="s">
        <v>2500</v>
      </c>
      <c r="GN105" s="1501" t="s">
        <v>2501</v>
      </c>
    </row>
    <row s="1751" customFormat="1" customHeight="1" ht="15" hidden="1">
      <c r="A106" s="371"/>
      <c r="B106" s="192" cm="1" t="str">
        <f t="array" ref="B106:B106">B105</f>
        <v>false</v>
      </c>
      <c r="C106" s="1659"/>
      <c r="D106" s="1659"/>
      <c r="E106" s="180">
        <v>16</v>
      </c>
      <c r="F106" s="175" cm="1" t="str">
        <f t="array" ref="F106:F106">OFFSET(G106,-1,-1)</f>
        <v>1</v>
      </c>
      <c r="G106" s="193" t="s">
        <v>2109</v>
      </c>
      <c r="H106" s="1659"/>
      <c r="I106" s="193" t="s">
        <v>2455</v>
      </c>
      <c r="J106" s="1659"/>
      <c r="K106" s="1659"/>
      <c r="L106" s="1659"/>
      <c r="M106" s="1659"/>
      <c r="N106" s="1659"/>
      <c r="O106" s="1659"/>
      <c r="P106" s="1659"/>
      <c r="Q106" s="1659"/>
      <c r="R106" s="1659"/>
      <c r="S106" s="1659"/>
      <c r="T106" s="753" cm="1" t="str">
        <f t="array" ref="T106:T106">T105</f>
        <v>false</v>
      </c>
      <c r="U106" s="1548"/>
      <c r="V106" s="1548"/>
      <c r="W106" s="1548"/>
      <c r="X106" s="1548"/>
      <c r="Y106" s="1548"/>
      <c r="Z106" s="1548"/>
      <c r="AA106" s="286"/>
      <c r="AB106" s="560" t="s">
        <v>2502</v>
      </c>
      <c r="AC106" s="845" t="s">
        <v>752</v>
      </c>
      <c r="AD106" s="76">
        <f>IF(method_reg="Метод экономически обоснованных расходов",_xlfn.SUMIFS('Калькуляция (4.6)'!AJ$25:AJ$162,'Калькуляция (4.6)'!$F$25:$F$162,$F106,'Калькуляция (4.6)'!$G$25:$G$162,$G106),IF(method_reg="Метод сравнения аналогов",_xlfn.SUMIFS(INDEX('Калькуляция (МСА)'!$AE$25:$BW$82,,MATCH(AD$8,'Калькуляция (МСА)'!$AE$8:$BW$8,0)),'Калькуляция (МСА)'!$F$25:$F$82,$F106,'Калькуляция (МСА)'!$G$25:$G$82,$G106),_xlfn.SUMIFS(INDEX('Калькуляция (5.9)'!$AJ$25:$BW$139,,MATCH(AD$8,'Калькуляция (5.9)'!$AJ$8:$BW$8,0)),'Калькуляция (5.9)'!$F$25:$F$139,$F106,'Калькуляция (5.9)'!$G$25:$G$139,$G106)))</f>
        <v>0</v>
      </c>
      <c r="AE106" s="76">
        <f>IF(method_reg="Метод экономически обоснованных расходов",_xlfn.SUMIFS('Калькуляция (4.6)'!AK$25:AK$162,'Калькуляция (4.6)'!$F$25:$F$162,$F106,'Калькуляция (4.6)'!$G$25:$G$162,$G106),IF(method_reg="Метод сравнения аналогов",_xlfn.SUMIFS(INDEX('Калькуляция (МСА)'!$AE$25:$BW$82,,MATCH(AE$8,'Калькуляция (МСА)'!$AE$8:$BW$8,0)),'Калькуляция (МСА)'!$F$25:$F$82,$F106,'Калькуляция (МСА)'!$G$25:$G$82,$G106),_xlfn.SUMIFS(INDEX('Калькуляция (5.9)'!$AJ$25:$BW$139,,MATCH(AE$8,'Калькуляция (5.9)'!$AJ$8:$BW$8,0)),'Калькуляция (5.9)'!$F$25:$F$139,$F106,'Калькуляция (5.9)'!$G$25:$G$139,$G106)))</f>
        <v>0</v>
      </c>
      <c r="AF106" s="915">
        <f>IF(AD106=0,0,(AE106-AD106)/AD106*100)</f>
        <v>0</v>
      </c>
      <c r="AG106" s="76">
        <f>IF(method_reg="Метод сравнения аналогов",_xlfn.SUMIFS(INDEX('Калькуляция (МСА)'!$AE$25:$BW$82,,MATCH(AG$8,'Калькуляция (МСА)'!$AE$8:$BW$8,0)),'Калькуляция (МСА)'!$F$25:$F$82,$F106,'Калькуляция (МСА)'!$G$25:$G$82,$G106),_xlfn.SUMIFS(INDEX('Калькуляция (5.9)'!$AJ$25:$BW$139,,MATCH(AG$8,'Калькуляция (5.9)'!$AJ$8:$BW$8,0)),'Калькуляция (5.9)'!$F$25:$F$139,$F106,'Калькуляция (5.9)'!$G$25:$G$139,$G106))</f>
        <v>0</v>
      </c>
      <c r="AH106" s="76">
        <f>IF(method_reg="Метод сравнения аналогов",_xlfn.SUMIFS(INDEX('Калькуляция (МСА)'!$AE$25:$BW$82,,MATCH(AH$8,'Калькуляция (МСА)'!$AE$8:$BW$8,0)),'Калькуляция (МСА)'!$F$25:$F$82,$F106,'Калькуляция (МСА)'!$G$25:$G$82,$G106),_xlfn.SUMIFS(INDEX('Калькуляция (5.9)'!$AJ$25:$BW$139,,MATCH(AH$8,'Калькуляция (5.9)'!$AJ$8:$BW$8,0)),'Калькуляция (5.9)'!$F$25:$F$139,$F106,'Калькуляция (5.9)'!$G$25:$G$139,$G106))</f>
        <v>0</v>
      </c>
      <c r="AI106" s="915">
        <f>IF(AG106=0,0,(AH106-AG106)/AG106*100)</f>
        <v>0</v>
      </c>
      <c r="AJ106" s="76">
        <f>IF(method_reg="Метод сравнения аналогов",_xlfn.SUMIFS(INDEX('Калькуляция (МСА)'!$AE$25:$BW$82,,MATCH(AJ$8,'Калькуляция (МСА)'!$AE$8:$BW$8,0)),'Калькуляция (МСА)'!$F$25:$F$82,$F106,'Калькуляция (МСА)'!$G$25:$G$82,$G106),_xlfn.SUMIFS(INDEX('Калькуляция (5.9)'!$AJ$25:$BW$139,,MATCH(AJ$8,'Калькуляция (5.9)'!$AJ$8:$BW$8,0)),'Калькуляция (5.9)'!$F$25:$F$139,$F106,'Калькуляция (5.9)'!$G$25:$G$139,$G106))</f>
        <v>0</v>
      </c>
      <c r="AK106" s="76">
        <f>IF(method_reg="Метод сравнения аналогов",_xlfn.SUMIFS(INDEX('Калькуляция (МСА)'!$AE$25:$BW$82,,MATCH(AK$8,'Калькуляция (МСА)'!$AE$8:$BW$8,0)),'Калькуляция (МСА)'!$F$25:$F$82,$F106,'Калькуляция (МСА)'!$G$25:$G$82,$G106),_xlfn.SUMIFS(INDEX('Калькуляция (5.9)'!$AJ$25:$BW$139,,MATCH(AK$8,'Калькуляция (5.9)'!$AJ$8:$BW$8,0)),'Калькуляция (5.9)'!$F$25:$F$139,$F106,'Калькуляция (5.9)'!$G$25:$G$139,$G106))</f>
        <v>0</v>
      </c>
      <c r="AL106" s="915">
        <f>IF(AJ106=0,0,(AK106-AJ106)/AJ106*100)</f>
        <v>0</v>
      </c>
      <c r="AM106" s="76">
        <f>IF(method_reg="Метод сравнения аналогов",_xlfn.SUMIFS(INDEX('Калькуляция (МСА)'!$AE$25:$BW$82,,MATCH(AM$8,'Калькуляция (МСА)'!$AE$8:$BW$8,0)),'Калькуляция (МСА)'!$F$25:$F$82,$F106,'Калькуляция (МСА)'!$G$25:$G$82,$G106),_xlfn.SUMIFS(INDEX('Калькуляция (5.9)'!$AJ$25:$BW$139,,MATCH(AM$8,'Калькуляция (5.9)'!$AJ$8:$BW$8,0)),'Калькуляция (5.9)'!$F$25:$F$139,$F106,'Калькуляция (5.9)'!$G$25:$G$139,$G106))</f>
        <v>0</v>
      </c>
      <c r="AN106" s="76">
        <f>IF(method_reg="Метод сравнения аналогов",_xlfn.SUMIFS(INDEX('Калькуляция (МСА)'!$AE$25:$BW$82,,MATCH(AN$8,'Калькуляция (МСА)'!$AE$8:$BW$8,0)),'Калькуляция (МСА)'!$F$25:$F$82,$F106,'Калькуляция (МСА)'!$G$25:$G$82,$G106),_xlfn.SUMIFS(INDEX('Калькуляция (5.9)'!$AJ$25:$BW$139,,MATCH(AN$8,'Калькуляция (5.9)'!$AJ$8:$BW$8,0)),'Калькуляция (5.9)'!$F$25:$F$139,$F106,'Калькуляция (5.9)'!$G$25:$G$139,$G106))</f>
        <v>0</v>
      </c>
      <c r="AO106" s="915">
        <f>IF(AM106=0,0,(AN106-AM106)/AM106*100)</f>
        <v>0</v>
      </c>
      <c r="AP106" s="76">
        <f>IF(method_reg="Метод сравнения аналогов",_xlfn.SUMIFS(INDEX('Калькуляция (МСА)'!$AE$25:$BW$82,,MATCH(AP$8,'Калькуляция (МСА)'!$AE$8:$BW$8,0)),'Калькуляция (МСА)'!$F$25:$F$82,$F106,'Калькуляция (МСА)'!$G$25:$G$82,$G106),_xlfn.SUMIFS(INDEX('Калькуляция (5.9)'!$AJ$25:$BW$139,,MATCH(AP$8,'Калькуляция (5.9)'!$AJ$8:$BW$8,0)),'Калькуляция (5.9)'!$F$25:$F$139,$F106,'Калькуляция (5.9)'!$G$25:$G$139,$G106))</f>
        <v>0</v>
      </c>
      <c r="AQ106" s="76">
        <f>IF(method_reg="Метод сравнения аналогов",_xlfn.SUMIFS(INDEX('Калькуляция (МСА)'!$AE$25:$BW$82,,MATCH(AQ$8,'Калькуляция (МСА)'!$AE$8:$BW$8,0)),'Калькуляция (МСА)'!$F$25:$F$82,$F106,'Калькуляция (МСА)'!$G$25:$G$82,$G106),_xlfn.SUMIFS(INDEX('Калькуляция (5.9)'!$AJ$25:$BW$139,,MATCH(AQ$8,'Калькуляция (5.9)'!$AJ$8:$BW$8,0)),'Калькуляция (5.9)'!$F$25:$F$139,$F106,'Калькуляция (5.9)'!$G$25:$G$139,$G106))</f>
        <v>0</v>
      </c>
      <c r="AR106" s="915">
        <f>IF(AP106=0,0,(AQ106-AP106)/AP106*100)</f>
        <v>0</v>
      </c>
      <c r="AS106" s="76">
        <f>IF(method_reg="Метод сравнения аналогов",_xlfn.SUMIFS(INDEX('Калькуляция (МСА)'!$AE$25:$BW$82,,MATCH(AS$8,'Калькуляция (МСА)'!$AE$8:$BW$8,0)),'Калькуляция (МСА)'!$F$25:$F$82,$F106,'Калькуляция (МСА)'!$G$25:$G$82,$G106),_xlfn.SUMIFS(INDEX('Калькуляция (5.9)'!$AJ$25:$BW$139,,MATCH(AS$8,'Калькуляция (5.9)'!$AJ$8:$BW$8,0)),'Калькуляция (5.9)'!$F$25:$F$139,$F106,'Калькуляция (5.9)'!$G$25:$G$139,$G106))</f>
        <v>0</v>
      </c>
      <c r="AT106" s="76">
        <f>IF(method_reg="Метод сравнения аналогов",_xlfn.SUMIFS(INDEX('Калькуляция (МСА)'!$AE$25:$BW$82,,MATCH(AT$8,'Калькуляция (МСА)'!$AE$8:$BW$8,0)),'Калькуляция (МСА)'!$F$25:$F$82,$F106,'Калькуляция (МСА)'!$G$25:$G$82,$G106),_xlfn.SUMIFS(INDEX('Калькуляция (5.9)'!$AJ$25:$BW$139,,MATCH(AT$8,'Калькуляция (5.9)'!$AJ$8:$BW$8,0)),'Калькуляция (5.9)'!$F$25:$F$139,$F106,'Калькуляция (5.9)'!$G$25:$G$139,$G106))</f>
        <v>0</v>
      </c>
      <c r="AU106" s="915">
        <f>IF(AS106=0,0,(AT106-AS106)/AS106*100)</f>
        <v>0</v>
      </c>
      <c r="AV106" s="76">
        <f>IF(method_reg="Метод сравнения аналогов",_xlfn.SUMIFS(INDEX('Калькуляция (МСА)'!$AE$25:$BW$82,,MATCH(AV$8,'Калькуляция (МСА)'!$AE$8:$BW$8,0)),'Калькуляция (МСА)'!$F$25:$F$82,$F106,'Калькуляция (МСА)'!$G$25:$G$82,$G106),_xlfn.SUMIFS(INDEX('Калькуляция (5.9)'!$AJ$25:$BW$139,,MATCH(AV$8,'Калькуляция (5.9)'!$AJ$8:$BW$8,0)),'Калькуляция (5.9)'!$F$25:$F$139,$F106,'Калькуляция (5.9)'!$G$25:$G$139,$G106))</f>
        <v>0</v>
      </c>
      <c r="AW106" s="76">
        <f>IF(method_reg="Метод сравнения аналогов",_xlfn.SUMIFS(INDEX('Калькуляция (МСА)'!$AE$25:$BW$82,,MATCH(AW$8,'Калькуляция (МСА)'!$AE$8:$BW$8,0)),'Калькуляция (МСА)'!$F$25:$F$82,$F106,'Калькуляция (МСА)'!$G$25:$G$82,$G106),_xlfn.SUMIFS(INDEX('Калькуляция (5.9)'!$AJ$25:$BW$139,,MATCH(AW$8,'Калькуляция (5.9)'!$AJ$8:$BW$8,0)),'Калькуляция (5.9)'!$F$25:$F$139,$F106,'Калькуляция (5.9)'!$G$25:$G$139,$G106))</f>
        <v>0</v>
      </c>
      <c r="AX106" s="915">
        <f>IF(AV106=0,0,(AW106-AV106)/AV106*100)</f>
        <v>0</v>
      </c>
      <c r="AY106" s="76">
        <f>IF(method_reg="Метод сравнения аналогов",_xlfn.SUMIFS(INDEX('Калькуляция (МСА)'!$AE$25:$BW$82,,MATCH(AY$8,'Калькуляция (МСА)'!$AE$8:$BW$8,0)),'Калькуляция (МСА)'!$F$25:$F$82,$F106,'Калькуляция (МСА)'!$G$25:$G$82,$G106),_xlfn.SUMIFS(INDEX('Калькуляция (5.9)'!$AJ$25:$BW$139,,MATCH(AY$8,'Калькуляция (5.9)'!$AJ$8:$BW$8,0)),'Калькуляция (5.9)'!$F$25:$F$139,$F106,'Калькуляция (5.9)'!$G$25:$G$139,$G106))</f>
        <v>0</v>
      </c>
      <c r="AZ106" s="76">
        <f>IF(method_reg="Метод сравнения аналогов",_xlfn.SUMIFS(INDEX('Калькуляция (МСА)'!$AE$25:$BW$82,,MATCH(AZ$8,'Калькуляция (МСА)'!$AE$8:$BW$8,0)),'Калькуляция (МСА)'!$F$25:$F$82,$F106,'Калькуляция (МСА)'!$G$25:$G$82,$G106),_xlfn.SUMIFS(INDEX('Калькуляция (5.9)'!$AJ$25:$BW$139,,MATCH(AZ$8,'Калькуляция (5.9)'!$AJ$8:$BW$8,0)),'Калькуляция (5.9)'!$F$25:$F$139,$F106,'Калькуляция (5.9)'!$G$25:$G$139,$G106))</f>
        <v>0</v>
      </c>
      <c r="BA106" s="915">
        <f>IF(AY106=0,0,(AZ106-AY106)/AY106*100)</f>
        <v>0</v>
      </c>
      <c r="BB106" s="76">
        <f>IF(method_reg="Метод сравнения аналогов",_xlfn.SUMIFS(INDEX('Калькуляция (МСА)'!$AE$25:$BW$82,,MATCH(BB$8,'Калькуляция (МСА)'!$AE$8:$BW$8,0)),'Калькуляция (МСА)'!$F$25:$F$82,$F106,'Калькуляция (МСА)'!$G$25:$G$82,$G106),_xlfn.SUMIFS(INDEX('Калькуляция (5.9)'!$AJ$25:$BW$139,,MATCH(BB$8,'Калькуляция (5.9)'!$AJ$8:$BW$8,0)),'Калькуляция (5.9)'!$F$25:$F$139,$F106,'Калькуляция (5.9)'!$G$25:$G$139,$G106))</f>
        <v>0</v>
      </c>
      <c r="BC106" s="76">
        <f>IF(method_reg="Метод сравнения аналогов",_xlfn.SUMIFS(INDEX('Калькуляция (МСА)'!$AE$25:$BW$82,,MATCH(BC$8,'Калькуляция (МСА)'!$AE$8:$BW$8,0)),'Калькуляция (МСА)'!$F$25:$F$82,$F106,'Калькуляция (МСА)'!$G$25:$G$82,$G106),_xlfn.SUMIFS(INDEX('Калькуляция (5.9)'!$AJ$25:$BW$139,,MATCH(BC$8,'Калькуляция (5.9)'!$AJ$8:$BW$8,0)),'Калькуляция (5.9)'!$F$25:$F$139,$F106,'Калькуляция (5.9)'!$G$25:$G$139,$G106))</f>
        <v>0</v>
      </c>
      <c r="BD106" s="915">
        <f>IF(BB106=0,0,(BC106-BB106)/BB106*100)</f>
        <v>0</v>
      </c>
      <c r="BE106" s="76">
        <f>IF(method_reg="Метод сравнения аналогов",_xlfn.SUMIFS(INDEX('Калькуляция (МСА)'!$AE$25:$BW$82,,MATCH(BE$8,'Калькуляция (МСА)'!$AE$8:$BW$8,0)),'Калькуляция (МСА)'!$F$25:$F$82,$F106,'Калькуляция (МСА)'!$G$25:$G$82,$G106),_xlfn.SUMIFS(INDEX('Калькуляция (5.9)'!$AJ$25:$BW$139,,MATCH(BE$8,'Калькуляция (5.9)'!$AJ$8:$BW$8,0)),'Калькуляция (5.9)'!$F$25:$F$139,$F106,'Калькуляция (5.9)'!$G$25:$G$139,$G106))</f>
        <v>0</v>
      </c>
      <c r="BF106" s="76">
        <f>IF(method_reg="Метод сравнения аналогов",_xlfn.SUMIFS(INDEX('Калькуляция (МСА)'!$AE$25:$BW$82,,MATCH(BF$8,'Калькуляция (МСА)'!$AE$8:$BW$8,0)),'Калькуляция (МСА)'!$F$25:$F$82,$F106,'Калькуляция (МСА)'!$G$25:$G$82,$G106),_xlfn.SUMIFS(INDEX('Калькуляция (5.9)'!$AJ$25:$BW$139,,MATCH(BF$8,'Калькуляция (5.9)'!$AJ$8:$BW$8,0)),'Калькуляция (5.9)'!$F$25:$F$139,$F106,'Калькуляция (5.9)'!$G$25:$G$139,$G106))</f>
        <v>0</v>
      </c>
      <c r="BG106" s="915">
        <f>IF(BE106=0,0,(BF106-BE106)/BE106*100)</f>
        <v>0</v>
      </c>
      <c r="BH106" s="76"/>
      <c r="BI106" s="76"/>
      <c r="BJ106" s="915">
        <f>IF(BH106=0,0,(BI106-BH106)/BH106*100)</f>
        <v>0</v>
      </c>
      <c r="BK106" s="76"/>
      <c r="BL106" s="76"/>
      <c r="BM106" s="915">
        <f>IF(BK106=0,0,(BL106-BK106)/BK106*100)</f>
        <v>0</v>
      </c>
      <c r="BN106" s="76"/>
      <c r="BO106" s="76"/>
      <c r="BP106" s="915">
        <f>IF(BN106=0,0,(BO106-BN106)/BN106*100)</f>
        <v>0</v>
      </c>
      <c r="BQ106" s="76"/>
      <c r="BR106" s="76"/>
      <c r="BS106" s="915">
        <f>IF(BQ106=0,0,(BR106-BQ106)/BQ106*100)</f>
        <v>0</v>
      </c>
      <c r="BT106" s="76"/>
      <c r="BU106" s="76"/>
      <c r="BV106" s="915">
        <f>IF(BT106=0,0,(BU106-BT106)/BT106*100)</f>
        <v>0</v>
      </c>
      <c r="BW106" s="76"/>
      <c r="BX106" s="76"/>
      <c r="BY106" s="915">
        <f>IF(BW106=0,0,(BX106-BW106)/BW106*100)</f>
        <v>0</v>
      </c>
      <c r="BZ106" s="76"/>
      <c r="CA106" s="76"/>
      <c r="CB106" s="915">
        <f>IF(BZ106=0,0,(CA106-BZ106)/BZ106*100)</f>
        <v>0</v>
      </c>
      <c r="CC106" s="76"/>
      <c r="CD106" s="76"/>
      <c r="CE106" s="915">
        <f>IF(CC106=0,0,(CD106-CC106)/CC106*100)</f>
        <v>0</v>
      </c>
      <c r="CF106" s="76"/>
      <c r="CG106" s="76"/>
      <c r="CH106" s="915">
        <f>IF(CF106=0,0,(CG106-CF106)/CF106*100)</f>
        <v>0</v>
      </c>
      <c r="CI106" s="76"/>
      <c r="CJ106" s="76"/>
      <c r="CK106" s="915">
        <f>IF(CI106=0,0,(CJ106-CI106)/CI106*100)</f>
        <v>0</v>
      </c>
      <c r="CL106" s="76"/>
      <c r="CM106" s="76"/>
      <c r="CN106" s="915">
        <f>IF(CL106=0,0,(CM106-CL106)/CL106*100)</f>
        <v>0</v>
      </c>
      <c r="CO106" s="76"/>
      <c r="CP106" s="76"/>
      <c r="CQ106" s="915">
        <f>IF(CO106=0,0,(CP106-CO106)/CO106*100)</f>
        <v>0</v>
      </c>
      <c r="CR106" s="76"/>
      <c r="CS106" s="76"/>
      <c r="CT106" s="915">
        <f>IF(CR106=0,0,(CS106-CR106)/CR106*100)</f>
        <v>0</v>
      </c>
      <c r="CU106" s="76"/>
      <c r="CV106" s="76"/>
      <c r="CW106" s="915">
        <f>IF(CU106=0,0,(CV106-CU106)/CU106*100)</f>
        <v>0</v>
      </c>
      <c r="CX106" s="76"/>
      <c r="CY106" s="76"/>
      <c r="CZ106" s="915">
        <f>IF(CX106=0,0,(CY106-CX106)/CX106*100)</f>
        <v>0</v>
      </c>
      <c r="DA106" s="76"/>
      <c r="DB106" s="76"/>
      <c r="DC106" s="915">
        <f>IF(DA106=0,0,(DB106-DA106)/DA106*100)</f>
        <v>0</v>
      </c>
      <c r="DD106" s="76"/>
      <c r="DE106" s="76"/>
      <c r="DF106" s="915">
        <f>IF(DD106=0,0,(DE106-DD106)/DD106*100)</f>
        <v>0</v>
      </c>
      <c r="DG106" s="76"/>
      <c r="DH106" s="76"/>
      <c r="DI106" s="915">
        <f>IF(DG106=0,0,(DH106-DG106)/DG106*100)</f>
        <v>0</v>
      </c>
      <c r="DJ106" s="76"/>
      <c r="DK106" s="76"/>
      <c r="DL106" s="915">
        <f>IF(DJ106=0,0,(DK106-DJ106)/DJ106*100)</f>
        <v>0</v>
      </c>
      <c r="DM106" s="76"/>
      <c r="DN106" s="76"/>
      <c r="DO106" s="915">
        <f>IF(DM106=0,0,(DN106-DM106)/DM106*100)</f>
        <v>0</v>
      </c>
      <c r="DP106" s="76"/>
      <c r="DQ106" s="76"/>
      <c r="DR106" s="915">
        <f>IF(DP106=0,0,(DQ106-DP106)/DP106*100)</f>
        <v>0</v>
      </c>
      <c r="DS106" s="76"/>
      <c r="DT106" s="76"/>
      <c r="DU106" s="915">
        <f>IF(DS106=0,0,(DT106-DS106)/DS106*100)</f>
        <v>0</v>
      </c>
      <c r="DV106" s="76"/>
      <c r="DW106" s="76"/>
      <c r="DX106" s="915">
        <f>IF(DV106=0,0,(DW106-DV106)/DV106*100)</f>
        <v>0</v>
      </c>
      <c r="DY106" s="76"/>
      <c r="DZ106" s="76"/>
      <c r="EA106" s="915">
        <f>IF(DY106=0,0,(DZ106-DY106)/DY106*100)</f>
        <v>0</v>
      </c>
      <c r="EB106" s="76"/>
      <c r="EC106" s="76"/>
      <c r="ED106" s="915">
        <f>IF(EB106=0,0,(EC106-EB106)/EB106*100)</f>
        <v>0</v>
      </c>
      <c r="EE106" s="76"/>
      <c r="EF106" s="76"/>
      <c r="EG106" s="915">
        <f>IF(EE106=0,0,(EF106-EE106)/EE106*100)</f>
        <v>0</v>
      </c>
      <c r="EH106" s="76"/>
      <c r="EI106" s="76"/>
      <c r="EJ106" s="915">
        <f>IF(EH106=0,0,(EI106-EH106)/EH106*100)</f>
        <v>0</v>
      </c>
      <c r="EK106" s="76"/>
      <c r="EL106" s="76"/>
      <c r="EM106" s="915">
        <f>IF(EK106=0,0,(EL106-EK106)/EK106*100)</f>
        <v>0</v>
      </c>
      <c r="EN106" s="76"/>
      <c r="EO106" s="76"/>
      <c r="EP106" s="915">
        <f>IF(EN106=0,0,(EO106-EN106)/EN106*100)</f>
        <v>0</v>
      </c>
      <c r="EQ106" s="76"/>
      <c r="ER106" s="76"/>
      <c r="ES106" s="915">
        <f>IF(EQ106=0,0,(ER106-EQ106)/EQ106*100)</f>
        <v>0</v>
      </c>
      <c r="ET106" s="76"/>
      <c r="EU106" s="76"/>
      <c r="EV106" s="915">
        <f>IF(ET106=0,0,(EU106-ET106)/ET106*100)</f>
        <v>0</v>
      </c>
      <c r="EW106" s="76"/>
      <c r="EX106" s="76"/>
      <c r="EY106" s="915">
        <f>IF(EW106=0,0,(EX106-EW106)/EW106*100)</f>
        <v>0</v>
      </c>
      <c r="EZ106" s="76"/>
      <c r="FA106" s="76"/>
      <c r="FB106" s="915">
        <f>IF(EZ106=0,0,(FA106-EZ106)/EZ106*100)</f>
        <v>0</v>
      </c>
      <c r="FC106" s="76"/>
      <c r="FD106" s="76"/>
      <c r="FE106" s="915">
        <f>IF(FC106=0,0,(FD106-FC106)/FC106*100)</f>
        <v>0</v>
      </c>
      <c r="FF106" s="76"/>
      <c r="FG106" s="76"/>
      <c r="FH106" s="915">
        <f>IF(FF106=0,0,(FG106-FF106)/FF106*100)</f>
        <v>0</v>
      </c>
      <c r="FI106" s="76"/>
      <c r="FJ106" s="76"/>
      <c r="FK106" s="915">
        <f>IF(FI106=0,0,(FJ106-FI106)/FI106*100)</f>
        <v>0</v>
      </c>
      <c r="FL106" s="76"/>
      <c r="FM106" s="76"/>
      <c r="FN106" s="915">
        <f>IF(FL106=0,0,(FM106-FL106)/FL106*100)</f>
        <v>0</v>
      </c>
      <c r="FO106" s="76"/>
      <c r="FP106" s="76"/>
      <c r="FQ106" s="915">
        <f>IF(FO106=0,0,(FP106-FO106)/FO106*100)</f>
        <v>0</v>
      </c>
      <c r="FR106" s="76"/>
      <c r="FS106" s="76"/>
      <c r="FT106" s="915">
        <f>IF(FR106=0,0,(FS106-FR106)/FR106*100)</f>
        <v>0</v>
      </c>
      <c r="FU106" s="76"/>
      <c r="FV106" s="76"/>
      <c r="FW106" s="915">
        <f>IF(FU106=0,0,(FV106-FU106)/FU106*100)</f>
        <v>0</v>
      </c>
      <c r="FX106" s="286"/>
      <c r="FY106" s="1659"/>
      <c r="FZ106" s="489" t="s">
        <v>2511</v>
      </c>
      <c r="GA106" s="489"/>
      <c r="GB106" s="489"/>
      <c r="GC106" s="489"/>
      <c r="GD106" s="489"/>
      <c r="GE106" s="1506"/>
      <c r="GF106" s="1501" cm="1" t="str">
        <f t="array" ref="GF106:GF106">GF105</f>
        <v>ТЭ.42.31656254.0001</v>
      </c>
      <c r="GG106" s="1501" t="s">
        <v>707</v>
      </c>
      <c r="GH106" s="1501" t="s">
        <v>2452</v>
      </c>
      <c r="GI106" s="1501" t="s">
        <v>797</v>
      </c>
      <c r="GJ106" s="1501"/>
      <c r="GK106" s="1501"/>
      <c r="GL106" s="1501" t="s">
        <v>303</v>
      </c>
      <c r="GM106" s="1501" t="s">
        <v>2504</v>
      </c>
      <c r="GN106" s="1501" t="s">
        <v>2505</v>
      </c>
    </row>
    <row s="1751" customFormat="1" customHeight="1" ht="15" hidden="1">
      <c r="A107" s="371"/>
      <c r="B107" s="192" cm="1" t="str">
        <f t="array" ref="B107:B107">B106</f>
        <v>false</v>
      </c>
      <c r="C107" s="1659"/>
      <c r="D107" s="1659"/>
      <c r="E107" s="180">
        <v>16</v>
      </c>
      <c r="F107" s="175" cm="1" t="str">
        <f t="array" ref="F107:F107">OFFSET(G107,-1,-1)</f>
        <v>1</v>
      </c>
      <c r="G107" s="1659"/>
      <c r="H107" s="1659"/>
      <c r="I107" s="1659"/>
      <c r="J107" s="1659"/>
      <c r="K107" s="1659"/>
      <c r="L107" s="1659"/>
      <c r="M107" s="1659"/>
      <c r="N107" s="1659"/>
      <c r="O107" s="1659"/>
      <c r="P107" s="1659"/>
      <c r="Q107" s="1659"/>
      <c r="R107" s="1659"/>
      <c r="S107" s="1659"/>
      <c r="T107" s="753" cm="1" t="str">
        <f t="array" ref="T107:T107">T106</f>
        <v>false</v>
      </c>
      <c r="U107" s="1548"/>
      <c r="V107" s="1548"/>
      <c r="W107" s="1548"/>
      <c r="X107" s="1548"/>
      <c r="Y107" s="1548"/>
      <c r="Z107" s="1548"/>
      <c r="AA107" s="286"/>
      <c r="AB107" s="909" t="s">
        <v>2467</v>
      </c>
      <c r="AC107" s="922"/>
      <c r="AD107" s="923"/>
      <c r="AE107" s="923"/>
      <c r="AF107" s="923"/>
      <c r="AG107" s="923"/>
      <c r="AH107" s="923"/>
      <c r="AI107" s="923"/>
      <c r="AJ107" s="923"/>
      <c r="AK107" s="923"/>
      <c r="AL107" s="923"/>
      <c r="AM107" s="923"/>
      <c r="AN107" s="923"/>
      <c r="AO107" s="923"/>
      <c r="AP107" s="923"/>
      <c r="AQ107" s="923"/>
      <c r="AR107" s="923"/>
      <c r="AS107" s="923"/>
      <c r="AT107" s="923"/>
      <c r="AU107" s="923"/>
      <c r="AV107" s="923"/>
      <c r="AW107" s="923"/>
      <c r="AX107" s="923"/>
      <c r="AY107" s="923"/>
      <c r="AZ107" s="923"/>
      <c r="BA107" s="923"/>
      <c r="BB107" s="923"/>
      <c r="BC107" s="923"/>
      <c r="BD107" s="923"/>
      <c r="BE107" s="923"/>
      <c r="BF107" s="923"/>
      <c r="BG107" s="923"/>
      <c r="BH107" s="923"/>
      <c r="BI107" s="923"/>
      <c r="BJ107" s="923"/>
      <c r="BK107" s="923"/>
      <c r="BL107" s="923"/>
      <c r="BM107" s="923"/>
      <c r="BN107" s="923"/>
      <c r="BO107" s="923"/>
      <c r="BP107" s="923"/>
      <c r="BQ107" s="923"/>
      <c r="BR107" s="923"/>
      <c r="BS107" s="923"/>
      <c r="BT107" s="923"/>
      <c r="BU107" s="923"/>
      <c r="BV107" s="923"/>
      <c r="BW107" s="923"/>
      <c r="BX107" s="923"/>
      <c r="BY107" s="923"/>
      <c r="BZ107" s="923"/>
      <c r="CA107" s="923"/>
      <c r="CB107" s="923"/>
      <c r="CC107" s="923"/>
      <c r="CD107" s="923"/>
      <c r="CE107" s="923"/>
      <c r="CF107" s="923"/>
      <c r="CG107" s="923"/>
      <c r="CH107" s="923"/>
      <c r="CI107" s="923"/>
      <c r="CJ107" s="923"/>
      <c r="CK107" s="923"/>
      <c r="CL107" s="923"/>
      <c r="CM107" s="923"/>
      <c r="CN107" s="923"/>
      <c r="CO107" s="923"/>
      <c r="CP107" s="923"/>
      <c r="CQ107" s="923"/>
      <c r="CR107" s="923"/>
      <c r="CS107" s="923"/>
      <c r="CT107" s="923"/>
      <c r="CU107" s="923"/>
      <c r="CV107" s="923"/>
      <c r="CW107" s="923"/>
      <c r="CX107" s="923"/>
      <c r="CY107" s="923"/>
      <c r="CZ107" s="923"/>
      <c r="DA107" s="923"/>
      <c r="DB107" s="923"/>
      <c r="DC107" s="923"/>
      <c r="DD107" s="923"/>
      <c r="DE107" s="923"/>
      <c r="DF107" s="923"/>
      <c r="DG107" s="923"/>
      <c r="DH107" s="923"/>
      <c r="DI107" s="923"/>
      <c r="DJ107" s="923"/>
      <c r="DK107" s="923"/>
      <c r="DL107" s="923"/>
      <c r="DM107" s="923"/>
      <c r="DN107" s="923"/>
      <c r="DO107" s="923"/>
      <c r="DP107" s="923"/>
      <c r="DQ107" s="923"/>
      <c r="DR107" s="923"/>
      <c r="DS107" s="923"/>
      <c r="DT107" s="923"/>
      <c r="DU107" s="923"/>
      <c r="DV107" s="923"/>
      <c r="DW107" s="923"/>
      <c r="DX107" s="923"/>
      <c r="DY107" s="923"/>
      <c r="DZ107" s="923"/>
      <c r="EA107" s="923"/>
      <c r="EB107" s="923"/>
      <c r="EC107" s="923"/>
      <c r="ED107" s="923"/>
      <c r="EE107" s="923"/>
      <c r="EF107" s="923"/>
      <c r="EG107" s="923"/>
      <c r="EH107" s="923"/>
      <c r="EI107" s="923"/>
      <c r="EJ107" s="923"/>
      <c r="EK107" s="923"/>
      <c r="EL107" s="923"/>
      <c r="EM107" s="923"/>
      <c r="EN107" s="923"/>
      <c r="EO107" s="923"/>
      <c r="EP107" s="923"/>
      <c r="EQ107" s="923"/>
      <c r="ER107" s="923"/>
      <c r="ES107" s="923"/>
      <c r="ET107" s="923"/>
      <c r="EU107" s="923"/>
      <c r="EV107" s="923"/>
      <c r="EW107" s="923"/>
      <c r="EX107" s="923"/>
      <c r="EY107" s="923"/>
      <c r="EZ107" s="923"/>
      <c r="FA107" s="923"/>
      <c r="FB107" s="923"/>
      <c r="FC107" s="923"/>
      <c r="FD107" s="923"/>
      <c r="FE107" s="923"/>
      <c r="FF107" s="923"/>
      <c r="FG107" s="923"/>
      <c r="FH107" s="923"/>
      <c r="FI107" s="923"/>
      <c r="FJ107" s="923"/>
      <c r="FK107" s="923"/>
      <c r="FL107" s="923"/>
      <c r="FM107" s="923"/>
      <c r="FN107" s="923"/>
      <c r="FO107" s="923"/>
      <c r="FP107" s="923"/>
      <c r="FQ107" s="923"/>
      <c r="FR107" s="923"/>
      <c r="FS107" s="923"/>
      <c r="FT107" s="923"/>
      <c r="FU107" s="923"/>
      <c r="FV107" s="923"/>
      <c r="FW107" s="924"/>
      <c r="FX107" s="286"/>
      <c r="FY107" s="1659"/>
      <c r="FZ107" s="1125"/>
      <c r="GA107" s="489"/>
      <c r="GB107" s="489"/>
      <c r="GC107" s="489"/>
      <c r="GD107" s="489"/>
      <c r="GE107" s="1506"/>
      <c r="GF107" s="1501" cm="1" t="str">
        <f t="array" ref="GF107:GF107">GF106</f>
        <v>ТЭ.42.31656254.0001</v>
      </c>
      <c r="GG107" s="1501"/>
      <c r="GH107" s="1501"/>
      <c r="GI107" s="1501"/>
      <c r="GJ107" s="1501"/>
      <c r="GK107" s="1501"/>
      <c r="GL107" s="1501" t="s">
        <v>176</v>
      </c>
      <c r="GM107" s="1501"/>
      <c r="GN107" s="1501"/>
    </row>
    <row s="1751" customFormat="1" customHeight="1" ht="15" hidden="1">
      <c r="A108" s="371"/>
      <c r="B108" s="192" cm="1" t="str">
        <f t="array" ref="B108:B108">B107</f>
        <v>false</v>
      </c>
      <c r="C108" s="1659"/>
      <c r="D108" s="1659"/>
      <c r="E108" s="180">
        <v>16</v>
      </c>
      <c r="F108" s="175" cm="1" t="str">
        <f t="array" ref="F108:F108">OFFSET(G108,-1,-1)</f>
        <v>1</v>
      </c>
      <c r="G108" s="1659"/>
      <c r="H108" s="1659"/>
      <c r="I108" s="193" t="s">
        <v>2466</v>
      </c>
      <c r="J108" s="1659"/>
      <c r="K108" s="1659"/>
      <c r="L108" s="1659"/>
      <c r="M108" s="1659"/>
      <c r="N108" s="1659"/>
      <c r="O108" s="1659"/>
      <c r="P108" s="1659"/>
      <c r="Q108" s="1659"/>
      <c r="R108" s="1659"/>
      <c r="S108" s="1659"/>
      <c r="T108" s="753" cm="1" t="str">
        <f t="array" ref="T108:T108">T107</f>
        <v>false</v>
      </c>
      <c r="U108" s="1548"/>
      <c r="V108" s="1548"/>
      <c r="W108" s="1548"/>
      <c r="X108" s="1548"/>
      <c r="Y108" s="1548"/>
      <c r="Z108" s="1548"/>
      <c r="AA108" s="286"/>
      <c r="AB108" s="560" t="s">
        <v>2490</v>
      </c>
      <c r="AC108" s="380" t="s">
        <v>1005</v>
      </c>
      <c r="AD108" s="76">
        <f>IF(AD110=0,0,(AD109*AD110+AD111*AD112*IF(god=2026,9,6))/AD110)</f>
        <v>0</v>
      </c>
      <c r="AE108" s="76">
        <f>IF(AE110=0,0,(AE109*AE110+AE111*AE112*IF(god=2026,9,6))/AE110)</f>
        <v>0</v>
      </c>
      <c r="AF108" s="915">
        <f>IF(AD108=0,0,(AE108-AD108)/AD108*100)</f>
        <v>0</v>
      </c>
      <c r="AG108" s="76">
        <f>IF(AG110=0,0,(AG109*AG110+AG111*AG112*IF(god=2025,9,6))/AG110)</f>
        <v>0</v>
      </c>
      <c r="AH108" s="76">
        <f>IF(AH110=0,0,(AH109*AH110+AH111*AH112*IF(god=2025,9,6))/AH110)</f>
        <v>0</v>
      </c>
      <c r="AI108" s="915">
        <f>IF(AG108=0,0,(AH108-AG108)/AG108*100)</f>
        <v>0</v>
      </c>
      <c r="AJ108" s="76">
        <f>IF(AJ110=0,0,(AJ109*AJ110+AJ111*AJ112*6)/AJ110)</f>
        <v>0</v>
      </c>
      <c r="AK108" s="76">
        <f>IF(AK110=0,0,(AK109*AK110+AK111*AK112*6)/AK110)</f>
        <v>0</v>
      </c>
      <c r="AL108" s="915">
        <f>IF(AJ108=0,0,(AK108-AJ108)/AJ108*100)</f>
        <v>0</v>
      </c>
      <c r="AM108" s="76">
        <f>IF(AM110=0,0,(AM109*AM110+AM111*AM112*6)/AM110)</f>
        <v>0</v>
      </c>
      <c r="AN108" s="76">
        <f>IF(AN110=0,0,(AN109*AN110+AN111*AN112*6)/AN110)</f>
        <v>0</v>
      </c>
      <c r="AO108" s="915">
        <f>IF(AM108=0,0,(AN108-AM108)/AM108*100)</f>
        <v>0</v>
      </c>
      <c r="AP108" s="76">
        <f>IF(AP110=0,0,(AP109*AP110+AP111*AP112*6)/AP110)</f>
        <v>0</v>
      </c>
      <c r="AQ108" s="76">
        <f>IF(AQ110=0,0,(AQ109*AQ110+AQ111*AQ112*6)/AQ110)</f>
        <v>0</v>
      </c>
      <c r="AR108" s="915">
        <f>IF(AP108=0,0,(AQ108-AP108)/AP108*100)</f>
        <v>0</v>
      </c>
      <c r="AS108" s="76">
        <f>IF(AS110=0,0,(AS109*AS110+AS111*AS112*6)/AS110)</f>
        <v>0</v>
      </c>
      <c r="AT108" s="76">
        <f>IF(AT110=0,0,(AT109*AT110+AT111*AT112*6)/AT110)</f>
        <v>0</v>
      </c>
      <c r="AU108" s="915">
        <f>IF(AS108=0,0,(AT108-AS108)/AS108*100)</f>
        <v>0</v>
      </c>
      <c r="AV108" s="76">
        <f>IF(AV110=0,0,(AV109*AV110+AV111*AV112*6)/AV110)</f>
        <v>0</v>
      </c>
      <c r="AW108" s="76">
        <f>IF(AW110=0,0,(AW109*AW110+AW111*AW112*6)/AW110)</f>
        <v>0</v>
      </c>
      <c r="AX108" s="915">
        <f>IF(AV108=0,0,(AW108-AV108)/AV108*100)</f>
        <v>0</v>
      </c>
      <c r="AY108" s="76">
        <f>IF(AY110=0,0,(AY109*AY110+AY111*AY112*6)/AY110)</f>
        <v>0</v>
      </c>
      <c r="AZ108" s="76">
        <f>IF(AZ110=0,0,(AZ109*AZ110+AZ111*AZ112*6)/AZ110)</f>
        <v>0</v>
      </c>
      <c r="BA108" s="915">
        <f>IF(AY108=0,0,(AZ108-AY108)/AY108*100)</f>
        <v>0</v>
      </c>
      <c r="BB108" s="76">
        <f>IF(BB110=0,0,(BB109*BB110+BB111*BB112*6)/BB110)</f>
        <v>0</v>
      </c>
      <c r="BC108" s="76">
        <f>IF(BC110=0,0,(BC109*BC110+BC111*BC112*6)/BC110)</f>
        <v>0</v>
      </c>
      <c r="BD108" s="915">
        <f>IF(BB108=0,0,(BC108-BB108)/BB108*100)</f>
        <v>0</v>
      </c>
      <c r="BE108" s="76">
        <f>IF(BE110=0,0,(BE109*BE110+BE111*BE112*6)/BE110)</f>
        <v>0</v>
      </c>
      <c r="BF108" s="76">
        <f>IF(BF110=0,0,(BF109*BF110+BF111*BF112*6)/BF110)</f>
        <v>0</v>
      </c>
      <c r="BG108" s="915">
        <f>IF(BE108=0,0,(BF108-BE108)/BE108*100)</f>
        <v>0</v>
      </c>
      <c r="BH108" s="76">
        <f>IF(BH110=0,0,(BH109*BH110+BH111*BH112*6)/BH110)</f>
        <v>0</v>
      </c>
      <c r="BI108" s="76">
        <f>IF(BI110=0,0,(BI109*BI110+BI111*BI112*6)/BI110)</f>
        <v>0</v>
      </c>
      <c r="BJ108" s="915">
        <f>IF(BH108=0,0,(BI108-BH108)/BH108*100)</f>
        <v>0</v>
      </c>
      <c r="BK108" s="76">
        <f>IF(BK110=0,0,(BK109*BK110+BK111*BK112*6)/BK110)</f>
        <v>0</v>
      </c>
      <c r="BL108" s="76">
        <f>IF(BL110=0,0,(BL109*BL110+BL111*BL112*6)/BL110)</f>
        <v>0</v>
      </c>
      <c r="BM108" s="915">
        <f>IF(BK108=0,0,(BL108-BK108)/BK108*100)</f>
        <v>0</v>
      </c>
      <c r="BN108" s="76">
        <f>IF(BN110=0,0,(BN109*BN110+BN111*BN112*6)/BN110)</f>
        <v>0</v>
      </c>
      <c r="BO108" s="76">
        <f>IF(BO110=0,0,(BO109*BO110+BO111*BO112*6)/BO110)</f>
        <v>0</v>
      </c>
      <c r="BP108" s="915">
        <f>IF(BN108=0,0,(BO108-BN108)/BN108*100)</f>
        <v>0</v>
      </c>
      <c r="BQ108" s="76">
        <f>IF(BQ110=0,0,(BQ109*BQ110+BQ111*BQ112*6)/BQ110)</f>
        <v>0</v>
      </c>
      <c r="BR108" s="76">
        <f>IF(BR110=0,0,(BR109*BR110+BR111*BR112*6)/BR110)</f>
        <v>0</v>
      </c>
      <c r="BS108" s="915">
        <f>IF(BQ108=0,0,(BR108-BQ108)/BQ108*100)</f>
        <v>0</v>
      </c>
      <c r="BT108" s="76">
        <f>IF(BT110=0,0,(BT109*BT110+BT111*BT112*6)/BT110)</f>
        <v>0</v>
      </c>
      <c r="BU108" s="76">
        <f>IF(BU110=0,0,(BU109*BU110+BU111*BU112*6)/BU110)</f>
        <v>0</v>
      </c>
      <c r="BV108" s="915">
        <f>IF(BT108=0,0,(BU108-BT108)/BT108*100)</f>
        <v>0</v>
      </c>
      <c r="BW108" s="76">
        <f>IF(BW110=0,0,(BW109*BW110+BW111*BW112*6)/BW110)</f>
        <v>0</v>
      </c>
      <c r="BX108" s="76">
        <f>IF(BX110=0,0,(BX109*BX110+BX111*BX112*6)/BX110)</f>
        <v>0</v>
      </c>
      <c r="BY108" s="915">
        <f>IF(BW108=0,0,(BX108-BW108)/BW108*100)</f>
        <v>0</v>
      </c>
      <c r="BZ108" s="76">
        <f>IF(BZ110=0,0,(BZ109*BZ110+BZ111*BZ112*6)/BZ110)</f>
        <v>0</v>
      </c>
      <c r="CA108" s="76">
        <f>IF(CA110=0,0,(CA109*CA110+CA111*CA112*6)/CA110)</f>
        <v>0</v>
      </c>
      <c r="CB108" s="915">
        <f>IF(BZ108=0,0,(CA108-BZ108)/BZ108*100)</f>
        <v>0</v>
      </c>
      <c r="CC108" s="76">
        <f>IF(CC110=0,0,(CC109*CC110+CC111*CC112*6)/CC110)</f>
        <v>0</v>
      </c>
      <c r="CD108" s="76">
        <f>IF(CD110=0,0,(CD109*CD110+CD111*CD112*6)/CD110)</f>
        <v>0</v>
      </c>
      <c r="CE108" s="915">
        <f>IF(CC108=0,0,(CD108-CC108)/CC108*100)</f>
        <v>0</v>
      </c>
      <c r="CF108" s="76">
        <f>IF(CF110=0,0,(CF109*CF110+CF111*CF112*6)/CF110)</f>
        <v>0</v>
      </c>
      <c r="CG108" s="76">
        <f>IF(CG110=0,0,(CG109*CG110+CG111*CG112*6)/CG110)</f>
        <v>0</v>
      </c>
      <c r="CH108" s="915">
        <f>IF(CF108=0,0,(CG108-CF108)/CF108*100)</f>
        <v>0</v>
      </c>
      <c r="CI108" s="76">
        <f>IF(CI110=0,0,(CI109*CI110+CI111*CI112*6)/CI110)</f>
        <v>0</v>
      </c>
      <c r="CJ108" s="76">
        <f>IF(CJ110=0,0,(CJ109*CJ110+CJ111*CJ112*6)/CJ110)</f>
        <v>0</v>
      </c>
      <c r="CK108" s="915">
        <f>IF(CI108=0,0,(CJ108-CI108)/CI108*100)</f>
        <v>0</v>
      </c>
      <c r="CL108" s="76">
        <f>IF(CL110=0,0,(CL109*CL110+CL111*CL112*6)/CL110)</f>
        <v>0</v>
      </c>
      <c r="CM108" s="76">
        <f>IF(CM110=0,0,(CM109*CM110+CM111*CM112*6)/CM110)</f>
        <v>0</v>
      </c>
      <c r="CN108" s="915">
        <f>IF(CL108=0,0,(CM108-CL108)/CL108*100)</f>
        <v>0</v>
      </c>
      <c r="CO108" s="76">
        <f>IF(CO110=0,0,(CO109*CO110+CO111*CO112*6)/CO110)</f>
        <v>0</v>
      </c>
      <c r="CP108" s="76">
        <f>IF(CP110=0,0,(CP109*CP110+CP111*CP112*6)/CP110)</f>
        <v>0</v>
      </c>
      <c r="CQ108" s="915">
        <f>IF(CO108=0,0,(CP108-CO108)/CO108*100)</f>
        <v>0</v>
      </c>
      <c r="CR108" s="76">
        <f>IF(CR110=0,0,(CR109*CR110+CR111*CR112*6)/CR110)</f>
        <v>0</v>
      </c>
      <c r="CS108" s="76">
        <f>IF(CS110=0,0,(CS109*CS110+CS111*CS112*6)/CS110)</f>
        <v>0</v>
      </c>
      <c r="CT108" s="915">
        <f>IF(CR108=0,0,(CS108-CR108)/CR108*100)</f>
        <v>0</v>
      </c>
      <c r="CU108" s="76">
        <f>IF(CU110=0,0,(CU109*CU110+CU111*CU112*6)/CU110)</f>
        <v>0</v>
      </c>
      <c r="CV108" s="76">
        <f>IF(CV110=0,0,(CV109*CV110+CV111*CV112*6)/CV110)</f>
        <v>0</v>
      </c>
      <c r="CW108" s="915">
        <f>IF(CU108=0,0,(CV108-CU108)/CU108*100)</f>
        <v>0</v>
      </c>
      <c r="CX108" s="76">
        <f>IF(CX110=0,0,(CX109*CX110+CX111*CX112*6)/CX110)</f>
        <v>0</v>
      </c>
      <c r="CY108" s="76">
        <f>IF(CY110=0,0,(CY109*CY110+CY111*CY112*6)/CY110)</f>
        <v>0</v>
      </c>
      <c r="CZ108" s="915">
        <f>IF(CX108=0,0,(CY108-CX108)/CX108*100)</f>
        <v>0</v>
      </c>
      <c r="DA108" s="76">
        <f>IF(DA110=0,0,(DA109*DA110+DA111*DA112*6)/DA110)</f>
        <v>0</v>
      </c>
      <c r="DB108" s="76">
        <f>IF(DB110=0,0,(DB109*DB110+DB111*DB112*6)/DB110)</f>
        <v>0</v>
      </c>
      <c r="DC108" s="915">
        <f>IF(DA108=0,0,(DB108-DA108)/DA108*100)</f>
        <v>0</v>
      </c>
      <c r="DD108" s="76">
        <f>IF(DD110=0,0,(DD109*DD110+DD111*DD112*6)/DD110)</f>
        <v>0</v>
      </c>
      <c r="DE108" s="76">
        <f>IF(DE110=0,0,(DE109*DE110+DE111*DE112*6)/DE110)</f>
        <v>0</v>
      </c>
      <c r="DF108" s="915">
        <f>IF(DD108=0,0,(DE108-DD108)/DD108*100)</f>
        <v>0</v>
      </c>
      <c r="DG108" s="76">
        <f>IF(DG110=0,0,(DG109*DG110+DG111*DG112*6)/DG110)</f>
        <v>0</v>
      </c>
      <c r="DH108" s="76">
        <f>IF(DH110=0,0,(DH109*DH110+DH111*DH112*6)/DH110)</f>
        <v>0</v>
      </c>
      <c r="DI108" s="915">
        <f>IF(DG108=0,0,(DH108-DG108)/DG108*100)</f>
        <v>0</v>
      </c>
      <c r="DJ108" s="76">
        <f>IF(DJ110=0,0,(DJ109*DJ110+DJ111*DJ112*6)/DJ110)</f>
        <v>0</v>
      </c>
      <c r="DK108" s="76">
        <f>IF(DK110=0,0,(DK109*DK110+DK111*DK112*6)/DK110)</f>
        <v>0</v>
      </c>
      <c r="DL108" s="915">
        <f>IF(DJ108=0,0,(DK108-DJ108)/DJ108*100)</f>
        <v>0</v>
      </c>
      <c r="DM108" s="76">
        <f>IF(DM110=0,0,(DM109*DM110+DM111*DM112*6)/DM110)</f>
        <v>0</v>
      </c>
      <c r="DN108" s="76">
        <f>IF(DN110=0,0,(DN109*DN110+DN111*DN112*6)/DN110)</f>
        <v>0</v>
      </c>
      <c r="DO108" s="915">
        <f>IF(DM108=0,0,(DN108-DM108)/DM108*100)</f>
        <v>0</v>
      </c>
      <c r="DP108" s="76">
        <f>IF(DP110=0,0,(DP109*DP110+DP111*DP112*6)/DP110)</f>
        <v>0</v>
      </c>
      <c r="DQ108" s="76">
        <f>IF(DQ110=0,0,(DQ109*DQ110+DQ111*DQ112*6)/DQ110)</f>
        <v>0</v>
      </c>
      <c r="DR108" s="915">
        <f>IF(DP108=0,0,(DQ108-DP108)/DP108*100)</f>
        <v>0</v>
      </c>
      <c r="DS108" s="76">
        <f>IF(DS110=0,0,(DS109*DS110+DS111*DS112*6)/DS110)</f>
        <v>0</v>
      </c>
      <c r="DT108" s="76">
        <f>IF(DT110=0,0,(DT109*DT110+DT111*DT112*6)/DT110)</f>
        <v>0</v>
      </c>
      <c r="DU108" s="915">
        <f>IF(DS108=0,0,(DT108-DS108)/DS108*100)</f>
        <v>0</v>
      </c>
      <c r="DV108" s="76">
        <f>IF(DV110=0,0,(DV109*DV110+DV111*DV112*6)/DV110)</f>
        <v>0</v>
      </c>
      <c r="DW108" s="76">
        <f>IF(DW110=0,0,(DW109*DW110+DW111*DW112*6)/DW110)</f>
        <v>0</v>
      </c>
      <c r="DX108" s="915">
        <f>IF(DV108=0,0,(DW108-DV108)/DV108*100)</f>
        <v>0</v>
      </c>
      <c r="DY108" s="76">
        <f>IF(DY110=0,0,(DY109*DY110+DY111*DY112*6)/DY110)</f>
        <v>0</v>
      </c>
      <c r="DZ108" s="76">
        <f>IF(DZ110=0,0,(DZ109*DZ110+DZ111*DZ112*6)/DZ110)</f>
        <v>0</v>
      </c>
      <c r="EA108" s="915">
        <f>IF(DY108=0,0,(DZ108-DY108)/DY108*100)</f>
        <v>0</v>
      </c>
      <c r="EB108" s="76">
        <f>IF(EB110=0,0,(EB109*EB110+EB111*EB112*6)/EB110)</f>
        <v>0</v>
      </c>
      <c r="EC108" s="76">
        <f>IF(EC110=0,0,(EC109*EC110+EC111*EC112*6)/EC110)</f>
        <v>0</v>
      </c>
      <c r="ED108" s="915">
        <f>IF(EB108=0,0,(EC108-EB108)/EB108*100)</f>
        <v>0</v>
      </c>
      <c r="EE108" s="76">
        <f>IF(EE110=0,0,(EE109*EE110+EE111*EE112*6)/EE110)</f>
        <v>0</v>
      </c>
      <c r="EF108" s="76">
        <f>IF(EF110=0,0,(EF109*EF110+EF111*EF112*6)/EF110)</f>
        <v>0</v>
      </c>
      <c r="EG108" s="915">
        <f>IF(EE108=0,0,(EF108-EE108)/EE108*100)</f>
        <v>0</v>
      </c>
      <c r="EH108" s="76">
        <f>IF(EH110=0,0,(EH109*EH110+EH111*EH112*6)/EH110)</f>
        <v>0</v>
      </c>
      <c r="EI108" s="76">
        <f>IF(EI110=0,0,(EI109*EI110+EI111*EI112*6)/EI110)</f>
        <v>0</v>
      </c>
      <c r="EJ108" s="915">
        <f>IF(EH108=0,0,(EI108-EH108)/EH108*100)</f>
        <v>0</v>
      </c>
      <c r="EK108" s="76">
        <f>IF(EK110=0,0,(EK109*EK110+EK111*EK112*6)/EK110)</f>
        <v>0</v>
      </c>
      <c r="EL108" s="76">
        <f>IF(EL110=0,0,(EL109*EL110+EL111*EL112*6)/EL110)</f>
        <v>0</v>
      </c>
      <c r="EM108" s="915">
        <f>IF(EK108=0,0,(EL108-EK108)/EK108*100)</f>
        <v>0</v>
      </c>
      <c r="EN108" s="76">
        <f>IF(EN110=0,0,(EN109*EN110+EN111*EN112*6)/EN110)</f>
        <v>0</v>
      </c>
      <c r="EO108" s="76">
        <f>IF(EO110=0,0,(EO109*EO110+EO111*EO112*6)/EO110)</f>
        <v>0</v>
      </c>
      <c r="EP108" s="915">
        <f>IF(EN108=0,0,(EO108-EN108)/EN108*100)</f>
        <v>0</v>
      </c>
      <c r="EQ108" s="76">
        <f>IF(EQ110=0,0,(EQ109*EQ110+EQ111*EQ112*6)/EQ110)</f>
        <v>0</v>
      </c>
      <c r="ER108" s="76">
        <f>IF(ER110=0,0,(ER109*ER110+ER111*ER112*6)/ER110)</f>
        <v>0</v>
      </c>
      <c r="ES108" s="915">
        <f>IF(EQ108=0,0,(ER108-EQ108)/EQ108*100)</f>
        <v>0</v>
      </c>
      <c r="ET108" s="76">
        <f>IF(ET110=0,0,(ET109*ET110+ET111*ET112*6)/ET110)</f>
        <v>0</v>
      </c>
      <c r="EU108" s="76">
        <f>IF(EU110=0,0,(EU109*EU110+EU111*EU112*6)/EU110)</f>
        <v>0</v>
      </c>
      <c r="EV108" s="915">
        <f>IF(ET108=0,0,(EU108-ET108)/ET108*100)</f>
        <v>0</v>
      </c>
      <c r="EW108" s="76">
        <f>IF(EW110=0,0,(EW109*EW110+EW111*EW112*6)/EW110)</f>
        <v>0</v>
      </c>
      <c r="EX108" s="76">
        <f>IF(EX110=0,0,(EX109*EX110+EX111*EX112*6)/EX110)</f>
        <v>0</v>
      </c>
      <c r="EY108" s="915">
        <f>IF(EW108=0,0,(EX108-EW108)/EW108*100)</f>
        <v>0</v>
      </c>
      <c r="EZ108" s="76">
        <f>IF(EZ110=0,0,(EZ109*EZ110+EZ111*EZ112*6)/EZ110)</f>
        <v>0</v>
      </c>
      <c r="FA108" s="76">
        <f>IF(FA110=0,0,(FA109*FA110+FA111*FA112*6)/FA110)</f>
        <v>0</v>
      </c>
      <c r="FB108" s="915">
        <f>IF(EZ108=0,0,(FA108-EZ108)/EZ108*100)</f>
        <v>0</v>
      </c>
      <c r="FC108" s="76">
        <f>IF(FC110=0,0,(FC109*FC110+FC111*FC112*6)/FC110)</f>
        <v>0</v>
      </c>
      <c r="FD108" s="76">
        <f>IF(FD110=0,0,(FD109*FD110+FD111*FD112*6)/FD110)</f>
        <v>0</v>
      </c>
      <c r="FE108" s="915">
        <f>IF(FC108=0,0,(FD108-FC108)/FC108*100)</f>
        <v>0</v>
      </c>
      <c r="FF108" s="76">
        <f>IF(FF110=0,0,(FF109*FF110+FF111*FF112*6)/FF110)</f>
        <v>0</v>
      </c>
      <c r="FG108" s="76">
        <f>IF(FG110=0,0,(FG109*FG110+FG111*FG112*6)/FG110)</f>
        <v>0</v>
      </c>
      <c r="FH108" s="915">
        <f>IF(FF108=0,0,(FG108-FF108)/FF108*100)</f>
        <v>0</v>
      </c>
      <c r="FI108" s="76">
        <f>IF(FI110=0,0,(FI109*FI110+FI111*FI112*6)/FI110)</f>
        <v>0</v>
      </c>
      <c r="FJ108" s="76">
        <f>IF(FJ110=0,0,(FJ109*FJ110+FJ111*FJ112*6)/FJ110)</f>
        <v>0</v>
      </c>
      <c r="FK108" s="915">
        <f>IF(FI108=0,0,(FJ108-FI108)/FI108*100)</f>
        <v>0</v>
      </c>
      <c r="FL108" s="76">
        <f>IF(FL110=0,0,(FL109*FL110+FL111*FL112*6)/FL110)</f>
        <v>0</v>
      </c>
      <c r="FM108" s="76">
        <f>IF(FM110=0,0,(FM109*FM110+FM111*FM112*6)/FM110)</f>
        <v>0</v>
      </c>
      <c r="FN108" s="915">
        <f>IF(FL108=0,0,(FM108-FL108)/FL108*100)</f>
        <v>0</v>
      </c>
      <c r="FO108" s="76">
        <f>IF(FO110=0,0,(FO109*FO110+FO111*FO112*6)/FO110)</f>
        <v>0</v>
      </c>
      <c r="FP108" s="76">
        <f>IF(FP110=0,0,(FP109*FP110+FP111*FP112*6)/FP110)</f>
        <v>0</v>
      </c>
      <c r="FQ108" s="915">
        <f>IF(FO108=0,0,(FP108-FO108)/FO108*100)</f>
        <v>0</v>
      </c>
      <c r="FR108" s="76">
        <f>IF(FR110=0,0,(FR109*FR110+FR111*FR112*6)/FR110)</f>
        <v>0</v>
      </c>
      <c r="FS108" s="76">
        <f>IF(FS110=0,0,(FS109*FS110+FS111*FS112*6)/FS110)</f>
        <v>0</v>
      </c>
      <c r="FT108" s="915">
        <f>IF(FR108=0,0,(FS108-FR108)/FR108*100)</f>
        <v>0</v>
      </c>
      <c r="FU108" s="76">
        <f>IF(FU110=0,0,(FU109*FU110+FU111*FU112*6)/FU110)</f>
        <v>0</v>
      </c>
      <c r="FV108" s="76">
        <f>IF(FV110=0,0,(FV109*FV110+FV111*FV112*6)/FV110)</f>
        <v>0</v>
      </c>
      <c r="FW108" s="915">
        <f>IF(FU108=0,0,(FV108-FU108)/FU108*100)</f>
        <v>0</v>
      </c>
      <c r="FX108" s="286"/>
      <c r="FY108" s="1659"/>
      <c r="FZ108" s="489" t="s">
        <v>2512</v>
      </c>
      <c r="GA108" s="489"/>
      <c r="GB108" s="489"/>
      <c r="GC108" s="489"/>
      <c r="GD108" s="489"/>
      <c r="GE108" s="1506"/>
      <c r="GF108" s="1501" cm="1" t="str">
        <f t="array" ref="GF108:GF108">GF107</f>
        <v>ТЭ.42.31656254.0001</v>
      </c>
      <c r="GG108" s="1501" t="s">
        <v>704</v>
      </c>
      <c r="GH108" s="1501" t="s">
        <v>2469</v>
      </c>
      <c r="GI108" s="1501" t="s">
        <v>796</v>
      </c>
      <c r="GJ108" s="1501" t="s">
        <v>2084</v>
      </c>
      <c r="GK108" s="1501"/>
      <c r="GL108" s="1501" t="s">
        <v>303</v>
      </c>
      <c r="GM108" s="1501" t="s">
        <v>2492</v>
      </c>
      <c r="GN108" s="1501" t="s">
        <v>2493</v>
      </c>
    </row>
    <row s="1751" customFormat="1" customHeight="1" ht="15" hidden="1">
      <c r="A109" s="371"/>
      <c r="B109" s="192" cm="1" t="str">
        <f t="array" ref="B109:B109">B108</f>
        <v>false</v>
      </c>
      <c r="C109" s="1659"/>
      <c r="D109" s="1659"/>
      <c r="E109" s="180">
        <v>16</v>
      </c>
      <c r="F109" s="175" cm="1" t="str">
        <f t="array" ref="F109:F109">OFFSET(G109,-1,-1)</f>
        <v>1</v>
      </c>
      <c r="G109" s="1659"/>
      <c r="H109" s="1659"/>
      <c r="I109" s="193" t="s">
        <v>2466</v>
      </c>
      <c r="J109" s="1659"/>
      <c r="K109" s="1659"/>
      <c r="L109" s="1659"/>
      <c r="M109" s="1659"/>
      <c r="N109" s="1659"/>
      <c r="O109" s="1659"/>
      <c r="P109" s="1659"/>
      <c r="Q109" s="1659"/>
      <c r="R109" s="1659"/>
      <c r="S109" s="1659"/>
      <c r="T109" s="753" cm="1" t="str">
        <f t="array" ref="T109:T109">T108</f>
        <v>false</v>
      </c>
      <c r="U109" s="1548"/>
      <c r="V109" s="1548"/>
      <c r="W109" s="1548"/>
      <c r="X109" s="1548"/>
      <c r="Y109" s="1548"/>
      <c r="Z109" s="1548"/>
      <c r="AA109" s="286"/>
      <c r="AB109" s="560" t="s">
        <v>2494</v>
      </c>
      <c r="AC109" s="380" t="s">
        <v>1005</v>
      </c>
      <c r="AD109" s="76"/>
      <c r="AE109" s="76"/>
      <c r="AF109" s="915">
        <f>IF(AD109=0,0,(AE109-AD109)/AD109*100)</f>
        <v>0</v>
      </c>
      <c r="AG109" s="76"/>
      <c r="AH109" s="76"/>
      <c r="AI109" s="915">
        <f>IF(AG109=0,0,(AH109-AG109)/AG109*100)</f>
        <v>0</v>
      </c>
      <c r="AJ109" s="76"/>
      <c r="AK109" s="76"/>
      <c r="AL109" s="915">
        <f>IF(AJ109=0,0,(AK109-AJ109)/AJ109*100)</f>
        <v>0</v>
      </c>
      <c r="AM109" s="76"/>
      <c r="AN109" s="76"/>
      <c r="AO109" s="915">
        <f>IF(AM109=0,0,(AN109-AM109)/AM109*100)</f>
        <v>0</v>
      </c>
      <c r="AP109" s="76"/>
      <c r="AQ109" s="76"/>
      <c r="AR109" s="915">
        <f>IF(AP109=0,0,(AQ109-AP109)/AP109*100)</f>
        <v>0</v>
      </c>
      <c r="AS109" s="76"/>
      <c r="AT109" s="76"/>
      <c r="AU109" s="915">
        <f>IF(AS109=0,0,(AT109-AS109)/AS109*100)</f>
        <v>0</v>
      </c>
      <c r="AV109" s="76"/>
      <c r="AW109" s="76"/>
      <c r="AX109" s="915">
        <f>IF(AV109=0,0,(AW109-AV109)/AV109*100)</f>
        <v>0</v>
      </c>
      <c r="AY109" s="76"/>
      <c r="AZ109" s="76"/>
      <c r="BA109" s="915">
        <f>IF(AY109=0,0,(AZ109-AY109)/AY109*100)</f>
        <v>0</v>
      </c>
      <c r="BB109" s="76"/>
      <c r="BC109" s="76"/>
      <c r="BD109" s="915">
        <f>IF(BB109=0,0,(BC109-BB109)/BB109*100)</f>
        <v>0</v>
      </c>
      <c r="BE109" s="76"/>
      <c r="BF109" s="76"/>
      <c r="BG109" s="915">
        <f>IF(BE109=0,0,(BF109-BE109)/BE109*100)</f>
        <v>0</v>
      </c>
      <c r="BH109" s="76"/>
      <c r="BI109" s="76"/>
      <c r="BJ109" s="915">
        <f>IF(BH109=0,0,(BI109-BH109)/BH109*100)</f>
        <v>0</v>
      </c>
      <c r="BK109" s="76"/>
      <c r="BL109" s="76"/>
      <c r="BM109" s="915">
        <f>IF(BK109=0,0,(BL109-BK109)/BK109*100)</f>
        <v>0</v>
      </c>
      <c r="BN109" s="76"/>
      <c r="BO109" s="76"/>
      <c r="BP109" s="915">
        <f>IF(BN109=0,0,(BO109-BN109)/BN109*100)</f>
        <v>0</v>
      </c>
      <c r="BQ109" s="76"/>
      <c r="BR109" s="76"/>
      <c r="BS109" s="915">
        <f>IF(BQ109=0,0,(BR109-BQ109)/BQ109*100)</f>
        <v>0</v>
      </c>
      <c r="BT109" s="76"/>
      <c r="BU109" s="76"/>
      <c r="BV109" s="915">
        <f>IF(BT109=0,0,(BU109-BT109)/BT109*100)</f>
        <v>0</v>
      </c>
      <c r="BW109" s="76"/>
      <c r="BX109" s="76"/>
      <c r="BY109" s="915">
        <f>IF(BW109=0,0,(BX109-BW109)/BW109*100)</f>
        <v>0</v>
      </c>
      <c r="BZ109" s="76"/>
      <c r="CA109" s="76"/>
      <c r="CB109" s="915">
        <f>IF(BZ109=0,0,(CA109-BZ109)/BZ109*100)</f>
        <v>0</v>
      </c>
      <c r="CC109" s="76"/>
      <c r="CD109" s="76"/>
      <c r="CE109" s="915">
        <f>IF(CC109=0,0,(CD109-CC109)/CC109*100)</f>
        <v>0</v>
      </c>
      <c r="CF109" s="76"/>
      <c r="CG109" s="76"/>
      <c r="CH109" s="915">
        <f>IF(CF109=0,0,(CG109-CF109)/CF109*100)</f>
        <v>0</v>
      </c>
      <c r="CI109" s="76"/>
      <c r="CJ109" s="76"/>
      <c r="CK109" s="915">
        <f>IF(CI109=0,0,(CJ109-CI109)/CI109*100)</f>
        <v>0</v>
      </c>
      <c r="CL109" s="76"/>
      <c r="CM109" s="76"/>
      <c r="CN109" s="915">
        <f>IF(CL109=0,0,(CM109-CL109)/CL109*100)</f>
        <v>0</v>
      </c>
      <c r="CO109" s="76"/>
      <c r="CP109" s="76"/>
      <c r="CQ109" s="915">
        <f>IF(CO109=0,0,(CP109-CO109)/CO109*100)</f>
        <v>0</v>
      </c>
      <c r="CR109" s="76"/>
      <c r="CS109" s="76"/>
      <c r="CT109" s="915">
        <f>IF(CR109=0,0,(CS109-CR109)/CR109*100)</f>
        <v>0</v>
      </c>
      <c r="CU109" s="76"/>
      <c r="CV109" s="76"/>
      <c r="CW109" s="915">
        <f>IF(CU109=0,0,(CV109-CU109)/CU109*100)</f>
        <v>0</v>
      </c>
      <c r="CX109" s="76"/>
      <c r="CY109" s="76"/>
      <c r="CZ109" s="915">
        <f>IF(CX109=0,0,(CY109-CX109)/CX109*100)</f>
        <v>0</v>
      </c>
      <c r="DA109" s="76"/>
      <c r="DB109" s="76"/>
      <c r="DC109" s="915">
        <f>IF(DA109=0,0,(DB109-DA109)/DA109*100)</f>
        <v>0</v>
      </c>
      <c r="DD109" s="76"/>
      <c r="DE109" s="76"/>
      <c r="DF109" s="915">
        <f>IF(DD109=0,0,(DE109-DD109)/DD109*100)</f>
        <v>0</v>
      </c>
      <c r="DG109" s="76"/>
      <c r="DH109" s="76"/>
      <c r="DI109" s="915">
        <f>IF(DG109=0,0,(DH109-DG109)/DG109*100)</f>
        <v>0</v>
      </c>
      <c r="DJ109" s="76"/>
      <c r="DK109" s="76"/>
      <c r="DL109" s="915">
        <f>IF(DJ109=0,0,(DK109-DJ109)/DJ109*100)</f>
        <v>0</v>
      </c>
      <c r="DM109" s="76"/>
      <c r="DN109" s="76"/>
      <c r="DO109" s="915">
        <f>IF(DM109=0,0,(DN109-DM109)/DM109*100)</f>
        <v>0</v>
      </c>
      <c r="DP109" s="76"/>
      <c r="DQ109" s="76"/>
      <c r="DR109" s="915">
        <f>IF(DP109=0,0,(DQ109-DP109)/DP109*100)</f>
        <v>0</v>
      </c>
      <c r="DS109" s="76"/>
      <c r="DT109" s="76"/>
      <c r="DU109" s="915">
        <f>IF(DS109=0,0,(DT109-DS109)/DS109*100)</f>
        <v>0</v>
      </c>
      <c r="DV109" s="76"/>
      <c r="DW109" s="76"/>
      <c r="DX109" s="915">
        <f>IF(DV109=0,0,(DW109-DV109)/DV109*100)</f>
        <v>0</v>
      </c>
      <c r="DY109" s="76"/>
      <c r="DZ109" s="76"/>
      <c r="EA109" s="915">
        <f>IF(DY109=0,0,(DZ109-DY109)/DY109*100)</f>
        <v>0</v>
      </c>
      <c r="EB109" s="76"/>
      <c r="EC109" s="76"/>
      <c r="ED109" s="915">
        <f>IF(EB109=0,0,(EC109-EB109)/EB109*100)</f>
        <v>0</v>
      </c>
      <c r="EE109" s="76"/>
      <c r="EF109" s="76"/>
      <c r="EG109" s="915">
        <f>IF(EE109=0,0,(EF109-EE109)/EE109*100)</f>
        <v>0</v>
      </c>
      <c r="EH109" s="76"/>
      <c r="EI109" s="76"/>
      <c r="EJ109" s="915">
        <f>IF(EH109=0,0,(EI109-EH109)/EH109*100)</f>
        <v>0</v>
      </c>
      <c r="EK109" s="76"/>
      <c r="EL109" s="76"/>
      <c r="EM109" s="915">
        <f>IF(EK109=0,0,(EL109-EK109)/EK109*100)</f>
        <v>0</v>
      </c>
      <c r="EN109" s="76"/>
      <c r="EO109" s="76"/>
      <c r="EP109" s="915">
        <f>IF(EN109=0,0,(EO109-EN109)/EN109*100)</f>
        <v>0</v>
      </c>
      <c r="EQ109" s="76"/>
      <c r="ER109" s="76"/>
      <c r="ES109" s="915">
        <f>IF(EQ109=0,0,(ER109-EQ109)/EQ109*100)</f>
        <v>0</v>
      </c>
      <c r="ET109" s="76"/>
      <c r="EU109" s="76"/>
      <c r="EV109" s="915">
        <f>IF(ET109=0,0,(EU109-ET109)/ET109*100)</f>
        <v>0</v>
      </c>
      <c r="EW109" s="76"/>
      <c r="EX109" s="76"/>
      <c r="EY109" s="915">
        <f>IF(EW109=0,0,(EX109-EW109)/EW109*100)</f>
        <v>0</v>
      </c>
      <c r="EZ109" s="76"/>
      <c r="FA109" s="76"/>
      <c r="FB109" s="915">
        <f>IF(EZ109=0,0,(FA109-EZ109)/EZ109*100)</f>
        <v>0</v>
      </c>
      <c r="FC109" s="76"/>
      <c r="FD109" s="76"/>
      <c r="FE109" s="915">
        <f>IF(FC109=0,0,(FD109-FC109)/FC109*100)</f>
        <v>0</v>
      </c>
      <c r="FF109" s="76"/>
      <c r="FG109" s="76"/>
      <c r="FH109" s="915">
        <f>IF(FF109=0,0,(FG109-FF109)/FF109*100)</f>
        <v>0</v>
      </c>
      <c r="FI109" s="76"/>
      <c r="FJ109" s="76"/>
      <c r="FK109" s="915">
        <f>IF(FI109=0,0,(FJ109-FI109)/FI109*100)</f>
        <v>0</v>
      </c>
      <c r="FL109" s="76"/>
      <c r="FM109" s="76"/>
      <c r="FN109" s="915">
        <f>IF(FL109=0,0,(FM109-FL109)/FL109*100)</f>
        <v>0</v>
      </c>
      <c r="FO109" s="76"/>
      <c r="FP109" s="76"/>
      <c r="FQ109" s="915">
        <f>IF(FO109=0,0,(FP109-FO109)/FO109*100)</f>
        <v>0</v>
      </c>
      <c r="FR109" s="76"/>
      <c r="FS109" s="76"/>
      <c r="FT109" s="915">
        <f>IF(FR109=0,0,(FS109-FR109)/FR109*100)</f>
        <v>0</v>
      </c>
      <c r="FU109" s="76"/>
      <c r="FV109" s="76"/>
      <c r="FW109" s="915">
        <f>IF(FU109=0,0,(FV109-FU109)/FU109*100)</f>
        <v>0</v>
      </c>
      <c r="FX109" s="286"/>
      <c r="FY109" s="1659"/>
      <c r="FZ109" s="489" t="s">
        <v>2513</v>
      </c>
      <c r="GA109" s="489"/>
      <c r="GB109" s="489"/>
      <c r="GC109" s="489"/>
      <c r="GD109" s="489"/>
      <c r="GE109" s="1506"/>
      <c r="GF109" s="1501" cm="1" t="str">
        <f t="array" ref="GF109:GF109">GF108</f>
        <v>ТЭ.42.31656254.0001</v>
      </c>
      <c r="GG109" s="1501" t="s">
        <v>704</v>
      </c>
      <c r="GH109" s="1501" t="s">
        <v>2469</v>
      </c>
      <c r="GI109" s="1501" t="s">
        <v>796</v>
      </c>
      <c r="GJ109" s="1501" t="s">
        <v>2084</v>
      </c>
      <c r="GK109" s="1501"/>
      <c r="GL109" s="1501" t="s">
        <v>303</v>
      </c>
      <c r="GM109" s="1501" t="s">
        <v>2118</v>
      </c>
      <c r="GN109" s="1501" t="s">
        <v>2119</v>
      </c>
    </row>
    <row s="1751" customFormat="1" customHeight="1" ht="15" hidden="1">
      <c r="A110" s="371"/>
      <c r="B110" s="192" cm="1" t="str">
        <f t="array" ref="B110:B110">B109</f>
        <v>false</v>
      </c>
      <c r="C110" s="1659"/>
      <c r="D110" s="1659"/>
      <c r="E110" s="180">
        <v>16</v>
      </c>
      <c r="F110" s="175" cm="1" t="str">
        <f t="array" ref="F110:F110">OFFSET(G110,-1,-1)</f>
        <v>1</v>
      </c>
      <c r="G110" s="1659"/>
      <c r="H110" s="1659"/>
      <c r="I110" s="193" t="s">
        <v>2466</v>
      </c>
      <c r="J110" s="1659"/>
      <c r="K110" s="1659"/>
      <c r="L110" s="1659"/>
      <c r="M110" s="1659"/>
      <c r="N110" s="1659"/>
      <c r="O110" s="1659"/>
      <c r="P110" s="1659"/>
      <c r="Q110" s="1659"/>
      <c r="R110" s="1659"/>
      <c r="S110" s="1659"/>
      <c r="T110" s="753" cm="1" t="str">
        <f t="array" ref="T110:T110">T109</f>
        <v>false</v>
      </c>
      <c r="U110" s="1548"/>
      <c r="V110" s="1548"/>
      <c r="W110" s="1548"/>
      <c r="X110" s="1548"/>
      <c r="Y110" s="1548"/>
      <c r="Z110" s="1548"/>
      <c r="AA110" s="286"/>
      <c r="AB110" s="560" t="s">
        <v>2496</v>
      </c>
      <c r="AC110" s="380" t="s">
        <v>629</v>
      </c>
      <c r="AD110" s="166"/>
      <c r="AE110" s="166"/>
      <c r="AF110" s="917">
        <f>IF(AD110=0,0,(AE110-AD110)/AD110*100)</f>
        <v>0</v>
      </c>
      <c r="AG110" s="166"/>
      <c r="AH110" s="166"/>
      <c r="AI110" s="917">
        <f>IF(AG110=0,0,(AH110-AG110)/AG110*100)</f>
        <v>0</v>
      </c>
      <c r="AJ110" s="166"/>
      <c r="AK110" s="166"/>
      <c r="AL110" s="917">
        <f>IF(AJ110=0,0,(AK110-AJ110)/AJ110*100)</f>
        <v>0</v>
      </c>
      <c r="AM110" s="166"/>
      <c r="AN110" s="166"/>
      <c r="AO110" s="917">
        <f>IF(AM110=0,0,(AN110-AM110)/AM110*100)</f>
        <v>0</v>
      </c>
      <c r="AP110" s="166"/>
      <c r="AQ110" s="166"/>
      <c r="AR110" s="917">
        <f>IF(AP110=0,0,(AQ110-AP110)/AP110*100)</f>
        <v>0</v>
      </c>
      <c r="AS110" s="166"/>
      <c r="AT110" s="166"/>
      <c r="AU110" s="917">
        <f>IF(AS110=0,0,(AT110-AS110)/AS110*100)</f>
        <v>0</v>
      </c>
      <c r="AV110" s="166"/>
      <c r="AW110" s="166"/>
      <c r="AX110" s="917">
        <f>IF(AV110=0,0,(AW110-AV110)/AV110*100)</f>
        <v>0</v>
      </c>
      <c r="AY110" s="166"/>
      <c r="AZ110" s="166"/>
      <c r="BA110" s="917">
        <f>IF(AY110=0,0,(AZ110-AY110)/AY110*100)</f>
        <v>0</v>
      </c>
      <c r="BB110" s="166"/>
      <c r="BC110" s="166"/>
      <c r="BD110" s="917">
        <f>IF(BB110=0,0,(BC110-BB110)/BB110*100)</f>
        <v>0</v>
      </c>
      <c r="BE110" s="166"/>
      <c r="BF110" s="166"/>
      <c r="BG110" s="917">
        <f>IF(BE110=0,0,(BF110-BE110)/BE110*100)</f>
        <v>0</v>
      </c>
      <c r="BH110" s="166"/>
      <c r="BI110" s="166"/>
      <c r="BJ110" s="917">
        <f>IF(BH110=0,0,(BI110-BH110)/BH110*100)</f>
        <v>0</v>
      </c>
      <c r="BK110" s="166"/>
      <c r="BL110" s="166"/>
      <c r="BM110" s="917">
        <f>IF(BK110=0,0,(BL110-BK110)/BK110*100)</f>
        <v>0</v>
      </c>
      <c r="BN110" s="166"/>
      <c r="BO110" s="166"/>
      <c r="BP110" s="917">
        <f>IF(BN110=0,0,(BO110-BN110)/BN110*100)</f>
        <v>0</v>
      </c>
      <c r="BQ110" s="166"/>
      <c r="BR110" s="166"/>
      <c r="BS110" s="917">
        <f>IF(BQ110=0,0,(BR110-BQ110)/BQ110*100)</f>
        <v>0</v>
      </c>
      <c r="BT110" s="166"/>
      <c r="BU110" s="166"/>
      <c r="BV110" s="917">
        <f>IF(BT110=0,0,(BU110-BT110)/BT110*100)</f>
        <v>0</v>
      </c>
      <c r="BW110" s="166"/>
      <c r="BX110" s="166"/>
      <c r="BY110" s="917">
        <f>IF(BW110=0,0,(BX110-BW110)/BW110*100)</f>
        <v>0</v>
      </c>
      <c r="BZ110" s="166"/>
      <c r="CA110" s="166"/>
      <c r="CB110" s="917">
        <f>IF(BZ110=0,0,(CA110-BZ110)/BZ110*100)</f>
        <v>0</v>
      </c>
      <c r="CC110" s="166"/>
      <c r="CD110" s="166"/>
      <c r="CE110" s="917">
        <f>IF(CC110=0,0,(CD110-CC110)/CC110*100)</f>
        <v>0</v>
      </c>
      <c r="CF110" s="166"/>
      <c r="CG110" s="166"/>
      <c r="CH110" s="917">
        <f>IF(CF110=0,0,(CG110-CF110)/CF110*100)</f>
        <v>0</v>
      </c>
      <c r="CI110" s="166"/>
      <c r="CJ110" s="166"/>
      <c r="CK110" s="917">
        <f>IF(CI110=0,0,(CJ110-CI110)/CI110*100)</f>
        <v>0</v>
      </c>
      <c r="CL110" s="166"/>
      <c r="CM110" s="166"/>
      <c r="CN110" s="917">
        <f>IF(CL110=0,0,(CM110-CL110)/CL110*100)</f>
        <v>0</v>
      </c>
      <c r="CO110" s="166"/>
      <c r="CP110" s="166"/>
      <c r="CQ110" s="917">
        <f>IF(CO110=0,0,(CP110-CO110)/CO110*100)</f>
        <v>0</v>
      </c>
      <c r="CR110" s="166"/>
      <c r="CS110" s="166"/>
      <c r="CT110" s="917">
        <f>IF(CR110=0,0,(CS110-CR110)/CR110*100)</f>
        <v>0</v>
      </c>
      <c r="CU110" s="166"/>
      <c r="CV110" s="166"/>
      <c r="CW110" s="917">
        <f>IF(CU110=0,0,(CV110-CU110)/CU110*100)</f>
        <v>0</v>
      </c>
      <c r="CX110" s="166"/>
      <c r="CY110" s="166"/>
      <c r="CZ110" s="917">
        <f>IF(CX110=0,0,(CY110-CX110)/CX110*100)</f>
        <v>0</v>
      </c>
      <c r="DA110" s="166"/>
      <c r="DB110" s="166"/>
      <c r="DC110" s="917">
        <f>IF(DA110=0,0,(DB110-DA110)/DA110*100)</f>
        <v>0</v>
      </c>
      <c r="DD110" s="166"/>
      <c r="DE110" s="166"/>
      <c r="DF110" s="917">
        <f>IF(DD110=0,0,(DE110-DD110)/DD110*100)</f>
        <v>0</v>
      </c>
      <c r="DG110" s="166"/>
      <c r="DH110" s="166"/>
      <c r="DI110" s="917">
        <f>IF(DG110=0,0,(DH110-DG110)/DG110*100)</f>
        <v>0</v>
      </c>
      <c r="DJ110" s="166"/>
      <c r="DK110" s="166"/>
      <c r="DL110" s="917">
        <f>IF(DJ110=0,0,(DK110-DJ110)/DJ110*100)</f>
        <v>0</v>
      </c>
      <c r="DM110" s="166"/>
      <c r="DN110" s="166"/>
      <c r="DO110" s="917">
        <f>IF(DM110=0,0,(DN110-DM110)/DM110*100)</f>
        <v>0</v>
      </c>
      <c r="DP110" s="166"/>
      <c r="DQ110" s="166"/>
      <c r="DR110" s="917">
        <f>IF(DP110=0,0,(DQ110-DP110)/DP110*100)</f>
        <v>0</v>
      </c>
      <c r="DS110" s="166"/>
      <c r="DT110" s="166"/>
      <c r="DU110" s="917">
        <f>IF(DS110=0,0,(DT110-DS110)/DS110*100)</f>
        <v>0</v>
      </c>
      <c r="DV110" s="166"/>
      <c r="DW110" s="166"/>
      <c r="DX110" s="917">
        <f>IF(DV110=0,0,(DW110-DV110)/DV110*100)</f>
        <v>0</v>
      </c>
      <c r="DY110" s="166"/>
      <c r="DZ110" s="166"/>
      <c r="EA110" s="917">
        <f>IF(DY110=0,0,(DZ110-DY110)/DY110*100)</f>
        <v>0</v>
      </c>
      <c r="EB110" s="166"/>
      <c r="EC110" s="166"/>
      <c r="ED110" s="917">
        <f>IF(EB110=0,0,(EC110-EB110)/EB110*100)</f>
        <v>0</v>
      </c>
      <c r="EE110" s="166"/>
      <c r="EF110" s="166"/>
      <c r="EG110" s="917">
        <f>IF(EE110=0,0,(EF110-EE110)/EE110*100)</f>
        <v>0</v>
      </c>
      <c r="EH110" s="166"/>
      <c r="EI110" s="166"/>
      <c r="EJ110" s="917">
        <f>IF(EH110=0,0,(EI110-EH110)/EH110*100)</f>
        <v>0</v>
      </c>
      <c r="EK110" s="166"/>
      <c r="EL110" s="166"/>
      <c r="EM110" s="917">
        <f>IF(EK110=0,0,(EL110-EK110)/EK110*100)</f>
        <v>0</v>
      </c>
      <c r="EN110" s="166"/>
      <c r="EO110" s="166"/>
      <c r="EP110" s="917">
        <f>IF(EN110=0,0,(EO110-EN110)/EN110*100)</f>
        <v>0</v>
      </c>
      <c r="EQ110" s="166"/>
      <c r="ER110" s="166"/>
      <c r="ES110" s="917">
        <f>IF(EQ110=0,0,(ER110-EQ110)/EQ110*100)</f>
        <v>0</v>
      </c>
      <c r="ET110" s="166"/>
      <c r="EU110" s="166"/>
      <c r="EV110" s="917">
        <f>IF(ET110=0,0,(EU110-ET110)/ET110*100)</f>
        <v>0</v>
      </c>
      <c r="EW110" s="166"/>
      <c r="EX110" s="166"/>
      <c r="EY110" s="917">
        <f>IF(EW110=0,0,(EX110-EW110)/EW110*100)</f>
        <v>0</v>
      </c>
      <c r="EZ110" s="166"/>
      <c r="FA110" s="166"/>
      <c r="FB110" s="917">
        <f>IF(EZ110=0,0,(FA110-EZ110)/EZ110*100)</f>
        <v>0</v>
      </c>
      <c r="FC110" s="166"/>
      <c r="FD110" s="166"/>
      <c r="FE110" s="917">
        <f>IF(FC110=0,0,(FD110-FC110)/FC110*100)</f>
        <v>0</v>
      </c>
      <c r="FF110" s="166"/>
      <c r="FG110" s="166"/>
      <c r="FH110" s="917">
        <f>IF(FF110=0,0,(FG110-FF110)/FF110*100)</f>
        <v>0</v>
      </c>
      <c r="FI110" s="166"/>
      <c r="FJ110" s="166"/>
      <c r="FK110" s="917">
        <f>IF(FI110=0,0,(FJ110-FI110)/FI110*100)</f>
        <v>0</v>
      </c>
      <c r="FL110" s="166"/>
      <c r="FM110" s="166"/>
      <c r="FN110" s="917">
        <f>IF(FL110=0,0,(FM110-FL110)/FL110*100)</f>
        <v>0</v>
      </c>
      <c r="FO110" s="166"/>
      <c r="FP110" s="166"/>
      <c r="FQ110" s="917">
        <f>IF(FO110=0,0,(FP110-FO110)/FO110*100)</f>
        <v>0</v>
      </c>
      <c r="FR110" s="166"/>
      <c r="FS110" s="166"/>
      <c r="FT110" s="917">
        <f>IF(FR110=0,0,(FS110-FR110)/FR110*100)</f>
        <v>0</v>
      </c>
      <c r="FU110" s="166"/>
      <c r="FV110" s="166"/>
      <c r="FW110" s="917">
        <f>IF(FU110=0,0,(FV110-FU110)/FU110*100)</f>
        <v>0</v>
      </c>
      <c r="FX110" s="286"/>
      <c r="FY110" s="1659"/>
      <c r="FZ110" s="489" t="s">
        <v>2514</v>
      </c>
      <c r="GA110" s="489"/>
      <c r="GB110" s="489"/>
      <c r="GC110" s="489"/>
      <c r="GD110" s="489"/>
      <c r="GE110" s="1506"/>
      <c r="GF110" s="1501" cm="1" t="str">
        <f t="array" ref="GF110:GF110">GF109</f>
        <v>ТЭ.42.31656254.0001</v>
      </c>
      <c r="GG110" s="1501" t="s">
        <v>704</v>
      </c>
      <c r="GH110" s="1501" t="s">
        <v>2469</v>
      </c>
      <c r="GI110" s="1501" t="s">
        <v>796</v>
      </c>
      <c r="GJ110" s="1501" t="s">
        <v>2084</v>
      </c>
      <c r="GK110" s="1501"/>
      <c r="GL110" s="1501" t="s">
        <v>303</v>
      </c>
      <c r="GM110" s="1501" t="s">
        <v>2079</v>
      </c>
      <c r="GN110" s="1501" t="s">
        <v>2080</v>
      </c>
    </row>
    <row s="1751" customFormat="1" customHeight="1" ht="30.75" hidden="1">
      <c r="A111" s="371"/>
      <c r="B111" s="192" cm="1" t="str">
        <f t="array" ref="B111:B111">B110</f>
        <v>false</v>
      </c>
      <c r="C111" s="1659"/>
      <c r="D111" s="1659"/>
      <c r="E111" s="180">
        <v>32</v>
      </c>
      <c r="F111" s="175" cm="1" t="str">
        <f t="array" ref="F111:F111">OFFSET(G111,-1,-1)</f>
        <v>1</v>
      </c>
      <c r="G111" s="1659"/>
      <c r="H111" s="1659"/>
      <c r="I111" s="193" t="s">
        <v>2466</v>
      </c>
      <c r="J111" s="1659"/>
      <c r="K111" s="1659"/>
      <c r="L111" s="1659"/>
      <c r="M111" s="1659"/>
      <c r="N111" s="1659"/>
      <c r="O111" s="1659"/>
      <c r="P111" s="1659"/>
      <c r="Q111" s="1659"/>
      <c r="R111" s="1659"/>
      <c r="S111" s="1659"/>
      <c r="T111" s="753" cm="1" t="str">
        <f t="array" ref="T111:T111">T110</f>
        <v>false</v>
      </c>
      <c r="U111" s="1548"/>
      <c r="V111" s="1548"/>
      <c r="W111" s="1548"/>
      <c r="X111" s="1548"/>
      <c r="Y111" s="1548"/>
      <c r="Z111" s="1548"/>
      <c r="AA111" s="286"/>
      <c r="AB111" s="560" t="s">
        <v>2498</v>
      </c>
      <c r="AC111" s="333" t="s">
        <v>2131</v>
      </c>
      <c r="AD111" s="76"/>
      <c r="AE111" s="76"/>
      <c r="AF111" s="915">
        <f>IF(AD111=0,0,(AE111-AD111)/AD111*100)</f>
        <v>0</v>
      </c>
      <c r="AG111" s="76"/>
      <c r="AH111" s="76"/>
      <c r="AI111" s="915">
        <f>IF(AG111=0,0,(AH111-AG111)/AG111*100)</f>
        <v>0</v>
      </c>
      <c r="AJ111" s="76"/>
      <c r="AK111" s="76"/>
      <c r="AL111" s="915">
        <f>IF(AJ111=0,0,(AK111-AJ111)/AJ111*100)</f>
        <v>0</v>
      </c>
      <c r="AM111" s="76"/>
      <c r="AN111" s="76"/>
      <c r="AO111" s="915">
        <f>IF(AM111=0,0,(AN111-AM111)/AM111*100)</f>
        <v>0</v>
      </c>
      <c r="AP111" s="76"/>
      <c r="AQ111" s="76"/>
      <c r="AR111" s="915">
        <f>IF(AP111=0,0,(AQ111-AP111)/AP111*100)</f>
        <v>0</v>
      </c>
      <c r="AS111" s="76"/>
      <c r="AT111" s="76"/>
      <c r="AU111" s="915">
        <f>IF(AS111=0,0,(AT111-AS111)/AS111*100)</f>
        <v>0</v>
      </c>
      <c r="AV111" s="76"/>
      <c r="AW111" s="76"/>
      <c r="AX111" s="915">
        <f>IF(AV111=0,0,(AW111-AV111)/AV111*100)</f>
        <v>0</v>
      </c>
      <c r="AY111" s="76"/>
      <c r="AZ111" s="76"/>
      <c r="BA111" s="915">
        <f>IF(AY111=0,0,(AZ111-AY111)/AY111*100)</f>
        <v>0</v>
      </c>
      <c r="BB111" s="76"/>
      <c r="BC111" s="76"/>
      <c r="BD111" s="915">
        <f>IF(BB111=0,0,(BC111-BB111)/BB111*100)</f>
        <v>0</v>
      </c>
      <c r="BE111" s="76"/>
      <c r="BF111" s="76"/>
      <c r="BG111" s="915">
        <f>IF(BE111=0,0,(BF111-BE111)/BE111*100)</f>
        <v>0</v>
      </c>
      <c r="BH111" s="76"/>
      <c r="BI111" s="76"/>
      <c r="BJ111" s="915">
        <f>IF(BH111=0,0,(BI111-BH111)/BH111*100)</f>
        <v>0</v>
      </c>
      <c r="BK111" s="76"/>
      <c r="BL111" s="76"/>
      <c r="BM111" s="915">
        <f>IF(BK111=0,0,(BL111-BK111)/BK111*100)</f>
        <v>0</v>
      </c>
      <c r="BN111" s="76"/>
      <c r="BO111" s="76"/>
      <c r="BP111" s="915">
        <f>IF(BN111=0,0,(BO111-BN111)/BN111*100)</f>
        <v>0</v>
      </c>
      <c r="BQ111" s="76"/>
      <c r="BR111" s="76"/>
      <c r="BS111" s="915">
        <f>IF(BQ111=0,0,(BR111-BQ111)/BQ111*100)</f>
        <v>0</v>
      </c>
      <c r="BT111" s="76"/>
      <c r="BU111" s="76"/>
      <c r="BV111" s="915">
        <f>IF(BT111=0,0,(BU111-BT111)/BT111*100)</f>
        <v>0</v>
      </c>
      <c r="BW111" s="76"/>
      <c r="BX111" s="76"/>
      <c r="BY111" s="915">
        <f>IF(BW111=0,0,(BX111-BW111)/BW111*100)</f>
        <v>0</v>
      </c>
      <c r="BZ111" s="76"/>
      <c r="CA111" s="76"/>
      <c r="CB111" s="915">
        <f>IF(BZ111=0,0,(CA111-BZ111)/BZ111*100)</f>
        <v>0</v>
      </c>
      <c r="CC111" s="76"/>
      <c r="CD111" s="76"/>
      <c r="CE111" s="915">
        <f>IF(CC111=0,0,(CD111-CC111)/CC111*100)</f>
        <v>0</v>
      </c>
      <c r="CF111" s="76"/>
      <c r="CG111" s="76"/>
      <c r="CH111" s="915">
        <f>IF(CF111=0,0,(CG111-CF111)/CF111*100)</f>
        <v>0</v>
      </c>
      <c r="CI111" s="76"/>
      <c r="CJ111" s="76"/>
      <c r="CK111" s="915">
        <f>IF(CI111=0,0,(CJ111-CI111)/CI111*100)</f>
        <v>0</v>
      </c>
      <c r="CL111" s="76"/>
      <c r="CM111" s="76"/>
      <c r="CN111" s="915">
        <f>IF(CL111=0,0,(CM111-CL111)/CL111*100)</f>
        <v>0</v>
      </c>
      <c r="CO111" s="76"/>
      <c r="CP111" s="76"/>
      <c r="CQ111" s="915">
        <f>IF(CO111=0,0,(CP111-CO111)/CO111*100)</f>
        <v>0</v>
      </c>
      <c r="CR111" s="76"/>
      <c r="CS111" s="76"/>
      <c r="CT111" s="915">
        <f>IF(CR111=0,0,(CS111-CR111)/CR111*100)</f>
        <v>0</v>
      </c>
      <c r="CU111" s="76"/>
      <c r="CV111" s="76"/>
      <c r="CW111" s="915">
        <f>IF(CU111=0,0,(CV111-CU111)/CU111*100)</f>
        <v>0</v>
      </c>
      <c r="CX111" s="76"/>
      <c r="CY111" s="76"/>
      <c r="CZ111" s="915">
        <f>IF(CX111=0,0,(CY111-CX111)/CX111*100)</f>
        <v>0</v>
      </c>
      <c r="DA111" s="76"/>
      <c r="DB111" s="76"/>
      <c r="DC111" s="915">
        <f>IF(DA111=0,0,(DB111-DA111)/DA111*100)</f>
        <v>0</v>
      </c>
      <c r="DD111" s="76"/>
      <c r="DE111" s="76"/>
      <c r="DF111" s="915">
        <f>IF(DD111=0,0,(DE111-DD111)/DD111*100)</f>
        <v>0</v>
      </c>
      <c r="DG111" s="76"/>
      <c r="DH111" s="76"/>
      <c r="DI111" s="915">
        <f>IF(DG111=0,0,(DH111-DG111)/DG111*100)</f>
        <v>0</v>
      </c>
      <c r="DJ111" s="76"/>
      <c r="DK111" s="76"/>
      <c r="DL111" s="915">
        <f>IF(DJ111=0,0,(DK111-DJ111)/DJ111*100)</f>
        <v>0</v>
      </c>
      <c r="DM111" s="76"/>
      <c r="DN111" s="76"/>
      <c r="DO111" s="915">
        <f>IF(DM111=0,0,(DN111-DM111)/DM111*100)</f>
        <v>0</v>
      </c>
      <c r="DP111" s="76"/>
      <c r="DQ111" s="76"/>
      <c r="DR111" s="915">
        <f>IF(DP111=0,0,(DQ111-DP111)/DP111*100)</f>
        <v>0</v>
      </c>
      <c r="DS111" s="76"/>
      <c r="DT111" s="76"/>
      <c r="DU111" s="915">
        <f>IF(DS111=0,0,(DT111-DS111)/DS111*100)</f>
        <v>0</v>
      </c>
      <c r="DV111" s="76"/>
      <c r="DW111" s="76"/>
      <c r="DX111" s="915">
        <f>IF(DV111=0,0,(DW111-DV111)/DV111*100)</f>
        <v>0</v>
      </c>
      <c r="DY111" s="76"/>
      <c r="DZ111" s="76"/>
      <c r="EA111" s="915">
        <f>IF(DY111=0,0,(DZ111-DY111)/DY111*100)</f>
        <v>0</v>
      </c>
      <c r="EB111" s="76"/>
      <c r="EC111" s="76"/>
      <c r="ED111" s="915">
        <f>IF(EB111=0,0,(EC111-EB111)/EB111*100)</f>
        <v>0</v>
      </c>
      <c r="EE111" s="76"/>
      <c r="EF111" s="76"/>
      <c r="EG111" s="915">
        <f>IF(EE111=0,0,(EF111-EE111)/EE111*100)</f>
        <v>0</v>
      </c>
      <c r="EH111" s="76"/>
      <c r="EI111" s="76"/>
      <c r="EJ111" s="915">
        <f>IF(EH111=0,0,(EI111-EH111)/EH111*100)</f>
        <v>0</v>
      </c>
      <c r="EK111" s="76"/>
      <c r="EL111" s="76"/>
      <c r="EM111" s="915">
        <f>IF(EK111=0,0,(EL111-EK111)/EK111*100)</f>
        <v>0</v>
      </c>
      <c r="EN111" s="76"/>
      <c r="EO111" s="76"/>
      <c r="EP111" s="915">
        <f>IF(EN111=0,0,(EO111-EN111)/EN111*100)</f>
        <v>0</v>
      </c>
      <c r="EQ111" s="76"/>
      <c r="ER111" s="76"/>
      <c r="ES111" s="915">
        <f>IF(EQ111=0,0,(ER111-EQ111)/EQ111*100)</f>
        <v>0</v>
      </c>
      <c r="ET111" s="76"/>
      <c r="EU111" s="76"/>
      <c r="EV111" s="915">
        <f>IF(ET111=0,0,(EU111-ET111)/ET111*100)</f>
        <v>0</v>
      </c>
      <c r="EW111" s="76"/>
      <c r="EX111" s="76"/>
      <c r="EY111" s="915">
        <f>IF(EW111=0,0,(EX111-EW111)/EW111*100)</f>
        <v>0</v>
      </c>
      <c r="EZ111" s="76"/>
      <c r="FA111" s="76"/>
      <c r="FB111" s="915">
        <f>IF(EZ111=0,0,(FA111-EZ111)/EZ111*100)</f>
        <v>0</v>
      </c>
      <c r="FC111" s="76"/>
      <c r="FD111" s="76"/>
      <c r="FE111" s="915">
        <f>IF(FC111=0,0,(FD111-FC111)/FC111*100)</f>
        <v>0</v>
      </c>
      <c r="FF111" s="76"/>
      <c r="FG111" s="76"/>
      <c r="FH111" s="915">
        <f>IF(FF111=0,0,(FG111-FF111)/FF111*100)</f>
        <v>0</v>
      </c>
      <c r="FI111" s="76"/>
      <c r="FJ111" s="76"/>
      <c r="FK111" s="915">
        <f>IF(FI111=0,0,(FJ111-FI111)/FI111*100)</f>
        <v>0</v>
      </c>
      <c r="FL111" s="76"/>
      <c r="FM111" s="76"/>
      <c r="FN111" s="915">
        <f>IF(FL111=0,0,(FM111-FL111)/FL111*100)</f>
        <v>0</v>
      </c>
      <c r="FO111" s="76"/>
      <c r="FP111" s="76"/>
      <c r="FQ111" s="915">
        <f>IF(FO111=0,0,(FP111-FO111)/FO111*100)</f>
        <v>0</v>
      </c>
      <c r="FR111" s="76"/>
      <c r="FS111" s="76"/>
      <c r="FT111" s="915">
        <f>IF(FR111=0,0,(FS111-FR111)/FR111*100)</f>
        <v>0</v>
      </c>
      <c r="FU111" s="76"/>
      <c r="FV111" s="76"/>
      <c r="FW111" s="915">
        <f>IF(FU111=0,0,(FV111-FU111)/FU111*100)</f>
        <v>0</v>
      </c>
      <c r="FX111" s="286"/>
      <c r="FY111" s="1659"/>
      <c r="FZ111" s="489" t="s">
        <v>2515</v>
      </c>
      <c r="GA111" s="489"/>
      <c r="GB111" s="489"/>
      <c r="GC111" s="489"/>
      <c r="GD111" s="489"/>
      <c r="GE111" s="1506"/>
      <c r="GF111" s="1501" cm="1" t="str">
        <f t="array" ref="GF111:GF111">GF110</f>
        <v>ТЭ.42.31656254.0001</v>
      </c>
      <c r="GG111" s="1501" t="s">
        <v>704</v>
      </c>
      <c r="GH111" s="1501" t="s">
        <v>2469</v>
      </c>
      <c r="GI111" s="1501" t="s">
        <v>796</v>
      </c>
      <c r="GJ111" s="1501" t="s">
        <v>2084</v>
      </c>
      <c r="GK111" s="1501"/>
      <c r="GL111" s="1501" t="s">
        <v>303</v>
      </c>
      <c r="GM111" s="1501" t="s">
        <v>2500</v>
      </c>
      <c r="GN111" s="1501" t="s">
        <v>2501</v>
      </c>
    </row>
    <row s="1751" customFormat="1" customHeight="1" ht="15" hidden="1">
      <c r="A112" s="371"/>
      <c r="B112" s="192" cm="1" t="str">
        <f t="array" ref="B112:B112">B111</f>
        <v>false</v>
      </c>
      <c r="C112" s="1659"/>
      <c r="D112" s="1659"/>
      <c r="E112" s="180">
        <v>16</v>
      </c>
      <c r="F112" s="175" cm="1" t="str">
        <f t="array" ref="F112:F112">OFFSET(G112,-1,-1)</f>
        <v>1</v>
      </c>
      <c r="G112" s="1659"/>
      <c r="H112" s="1659"/>
      <c r="I112" s="193" t="s">
        <v>2466</v>
      </c>
      <c r="J112" s="1659"/>
      <c r="K112" s="1659"/>
      <c r="L112" s="1659"/>
      <c r="M112" s="1659"/>
      <c r="N112" s="1659"/>
      <c r="O112" s="1659"/>
      <c r="P112" s="1659"/>
      <c r="Q112" s="1659"/>
      <c r="R112" s="1659"/>
      <c r="S112" s="1659"/>
      <c r="T112" s="753" cm="1" t="str">
        <f t="array" ref="T112:T112">T111</f>
        <v>false</v>
      </c>
      <c r="U112" s="1548"/>
      <c r="V112" s="1548"/>
      <c r="W112" s="1548"/>
      <c r="X112" s="1548"/>
      <c r="Y112" s="1548"/>
      <c r="Z112" s="1548"/>
      <c r="AA112" s="286"/>
      <c r="AB112" s="560" t="s">
        <v>2502</v>
      </c>
      <c r="AC112" s="845" t="s">
        <v>752</v>
      </c>
      <c r="AD112" s="76"/>
      <c r="AE112" s="76"/>
      <c r="AF112" s="915">
        <f>IF(AD112=0,0,(AE112-AD112)/AD112*100)</f>
        <v>0</v>
      </c>
      <c r="AG112" s="76"/>
      <c r="AH112" s="76"/>
      <c r="AI112" s="915">
        <f>IF(AG112=0,0,(AH112-AG112)/AG112*100)</f>
        <v>0</v>
      </c>
      <c r="AJ112" s="76"/>
      <c r="AK112" s="76"/>
      <c r="AL112" s="915">
        <f>IF(AJ112=0,0,(AK112-AJ112)/AJ112*100)</f>
        <v>0</v>
      </c>
      <c r="AM112" s="76"/>
      <c r="AN112" s="76"/>
      <c r="AO112" s="915">
        <f>IF(AM112=0,0,(AN112-AM112)/AM112*100)</f>
        <v>0</v>
      </c>
      <c r="AP112" s="76"/>
      <c r="AQ112" s="76"/>
      <c r="AR112" s="915">
        <f>IF(AP112=0,0,(AQ112-AP112)/AP112*100)</f>
        <v>0</v>
      </c>
      <c r="AS112" s="76"/>
      <c r="AT112" s="76"/>
      <c r="AU112" s="915">
        <f>IF(AS112=0,0,(AT112-AS112)/AS112*100)</f>
        <v>0</v>
      </c>
      <c r="AV112" s="76"/>
      <c r="AW112" s="76"/>
      <c r="AX112" s="915">
        <f>IF(AV112=0,0,(AW112-AV112)/AV112*100)</f>
        <v>0</v>
      </c>
      <c r="AY112" s="76"/>
      <c r="AZ112" s="76"/>
      <c r="BA112" s="915">
        <f>IF(AY112=0,0,(AZ112-AY112)/AY112*100)</f>
        <v>0</v>
      </c>
      <c r="BB112" s="76"/>
      <c r="BC112" s="76"/>
      <c r="BD112" s="915">
        <f>IF(BB112=0,0,(BC112-BB112)/BB112*100)</f>
        <v>0</v>
      </c>
      <c r="BE112" s="76"/>
      <c r="BF112" s="76"/>
      <c r="BG112" s="915">
        <f>IF(BE112=0,0,(BF112-BE112)/BE112*100)</f>
        <v>0</v>
      </c>
      <c r="BH112" s="76"/>
      <c r="BI112" s="76"/>
      <c r="BJ112" s="915">
        <f>IF(BH112=0,0,(BI112-BH112)/BH112*100)</f>
        <v>0</v>
      </c>
      <c r="BK112" s="76"/>
      <c r="BL112" s="76"/>
      <c r="BM112" s="915">
        <f>IF(BK112=0,0,(BL112-BK112)/BK112*100)</f>
        <v>0</v>
      </c>
      <c r="BN112" s="76"/>
      <c r="BO112" s="76"/>
      <c r="BP112" s="915">
        <f>IF(BN112=0,0,(BO112-BN112)/BN112*100)</f>
        <v>0</v>
      </c>
      <c r="BQ112" s="76"/>
      <c r="BR112" s="76"/>
      <c r="BS112" s="915">
        <f>IF(BQ112=0,0,(BR112-BQ112)/BQ112*100)</f>
        <v>0</v>
      </c>
      <c r="BT112" s="76"/>
      <c r="BU112" s="76"/>
      <c r="BV112" s="915">
        <f>IF(BT112=0,0,(BU112-BT112)/BT112*100)</f>
        <v>0</v>
      </c>
      <c r="BW112" s="76"/>
      <c r="BX112" s="76"/>
      <c r="BY112" s="915">
        <f>IF(BW112=0,0,(BX112-BW112)/BW112*100)</f>
        <v>0</v>
      </c>
      <c r="BZ112" s="76"/>
      <c r="CA112" s="76"/>
      <c r="CB112" s="915">
        <f>IF(BZ112=0,0,(CA112-BZ112)/BZ112*100)</f>
        <v>0</v>
      </c>
      <c r="CC112" s="76"/>
      <c r="CD112" s="76"/>
      <c r="CE112" s="915">
        <f>IF(CC112=0,0,(CD112-CC112)/CC112*100)</f>
        <v>0</v>
      </c>
      <c r="CF112" s="76"/>
      <c r="CG112" s="76"/>
      <c r="CH112" s="915">
        <f>IF(CF112=0,0,(CG112-CF112)/CF112*100)</f>
        <v>0</v>
      </c>
      <c r="CI112" s="76"/>
      <c r="CJ112" s="76"/>
      <c r="CK112" s="915">
        <f>IF(CI112=0,0,(CJ112-CI112)/CI112*100)</f>
        <v>0</v>
      </c>
      <c r="CL112" s="76"/>
      <c r="CM112" s="76"/>
      <c r="CN112" s="915">
        <f>IF(CL112=0,0,(CM112-CL112)/CL112*100)</f>
        <v>0</v>
      </c>
      <c r="CO112" s="76"/>
      <c r="CP112" s="76"/>
      <c r="CQ112" s="915">
        <f>IF(CO112=0,0,(CP112-CO112)/CO112*100)</f>
        <v>0</v>
      </c>
      <c r="CR112" s="76"/>
      <c r="CS112" s="76"/>
      <c r="CT112" s="915">
        <f>IF(CR112=0,0,(CS112-CR112)/CR112*100)</f>
        <v>0</v>
      </c>
      <c r="CU112" s="76"/>
      <c r="CV112" s="76"/>
      <c r="CW112" s="915">
        <f>IF(CU112=0,0,(CV112-CU112)/CU112*100)</f>
        <v>0</v>
      </c>
      <c r="CX112" s="76"/>
      <c r="CY112" s="76"/>
      <c r="CZ112" s="915">
        <f>IF(CX112=0,0,(CY112-CX112)/CX112*100)</f>
        <v>0</v>
      </c>
      <c r="DA112" s="76"/>
      <c r="DB112" s="76"/>
      <c r="DC112" s="915">
        <f>IF(DA112=0,0,(DB112-DA112)/DA112*100)</f>
        <v>0</v>
      </c>
      <c r="DD112" s="76"/>
      <c r="DE112" s="76"/>
      <c r="DF112" s="915">
        <f>IF(DD112=0,0,(DE112-DD112)/DD112*100)</f>
        <v>0</v>
      </c>
      <c r="DG112" s="76"/>
      <c r="DH112" s="76"/>
      <c r="DI112" s="915">
        <f>IF(DG112=0,0,(DH112-DG112)/DG112*100)</f>
        <v>0</v>
      </c>
      <c r="DJ112" s="76"/>
      <c r="DK112" s="76"/>
      <c r="DL112" s="915">
        <f>IF(DJ112=0,0,(DK112-DJ112)/DJ112*100)</f>
        <v>0</v>
      </c>
      <c r="DM112" s="76"/>
      <c r="DN112" s="76"/>
      <c r="DO112" s="915">
        <f>IF(DM112=0,0,(DN112-DM112)/DM112*100)</f>
        <v>0</v>
      </c>
      <c r="DP112" s="76"/>
      <c r="DQ112" s="76"/>
      <c r="DR112" s="915">
        <f>IF(DP112=0,0,(DQ112-DP112)/DP112*100)</f>
        <v>0</v>
      </c>
      <c r="DS112" s="76"/>
      <c r="DT112" s="76"/>
      <c r="DU112" s="915">
        <f>IF(DS112=0,0,(DT112-DS112)/DS112*100)</f>
        <v>0</v>
      </c>
      <c r="DV112" s="76"/>
      <c r="DW112" s="76"/>
      <c r="DX112" s="915">
        <f>IF(DV112=0,0,(DW112-DV112)/DV112*100)</f>
        <v>0</v>
      </c>
      <c r="DY112" s="76"/>
      <c r="DZ112" s="76"/>
      <c r="EA112" s="915">
        <f>IF(DY112=0,0,(DZ112-DY112)/DY112*100)</f>
        <v>0</v>
      </c>
      <c r="EB112" s="76"/>
      <c r="EC112" s="76"/>
      <c r="ED112" s="915">
        <f>IF(EB112=0,0,(EC112-EB112)/EB112*100)</f>
        <v>0</v>
      </c>
      <c r="EE112" s="76"/>
      <c r="EF112" s="76"/>
      <c r="EG112" s="915">
        <f>IF(EE112=0,0,(EF112-EE112)/EE112*100)</f>
        <v>0</v>
      </c>
      <c r="EH112" s="76"/>
      <c r="EI112" s="76"/>
      <c r="EJ112" s="915">
        <f>IF(EH112=0,0,(EI112-EH112)/EH112*100)</f>
        <v>0</v>
      </c>
      <c r="EK112" s="76"/>
      <c r="EL112" s="76"/>
      <c r="EM112" s="915">
        <f>IF(EK112=0,0,(EL112-EK112)/EK112*100)</f>
        <v>0</v>
      </c>
      <c r="EN112" s="76"/>
      <c r="EO112" s="76"/>
      <c r="EP112" s="915">
        <f>IF(EN112=0,0,(EO112-EN112)/EN112*100)</f>
        <v>0</v>
      </c>
      <c r="EQ112" s="76"/>
      <c r="ER112" s="76"/>
      <c r="ES112" s="915">
        <f>IF(EQ112=0,0,(ER112-EQ112)/EQ112*100)</f>
        <v>0</v>
      </c>
      <c r="ET112" s="76"/>
      <c r="EU112" s="76"/>
      <c r="EV112" s="915">
        <f>IF(ET112=0,0,(EU112-ET112)/ET112*100)</f>
        <v>0</v>
      </c>
      <c r="EW112" s="76"/>
      <c r="EX112" s="76"/>
      <c r="EY112" s="915">
        <f>IF(EW112=0,0,(EX112-EW112)/EW112*100)</f>
        <v>0</v>
      </c>
      <c r="EZ112" s="76"/>
      <c r="FA112" s="76"/>
      <c r="FB112" s="915">
        <f>IF(EZ112=0,0,(FA112-EZ112)/EZ112*100)</f>
        <v>0</v>
      </c>
      <c r="FC112" s="76"/>
      <c r="FD112" s="76"/>
      <c r="FE112" s="915">
        <f>IF(FC112=0,0,(FD112-FC112)/FC112*100)</f>
        <v>0</v>
      </c>
      <c r="FF112" s="76"/>
      <c r="FG112" s="76"/>
      <c r="FH112" s="915">
        <f>IF(FF112=0,0,(FG112-FF112)/FF112*100)</f>
        <v>0</v>
      </c>
      <c r="FI112" s="76"/>
      <c r="FJ112" s="76"/>
      <c r="FK112" s="915">
        <f>IF(FI112=0,0,(FJ112-FI112)/FI112*100)</f>
        <v>0</v>
      </c>
      <c r="FL112" s="76"/>
      <c r="FM112" s="76"/>
      <c r="FN112" s="915">
        <f>IF(FL112=0,0,(FM112-FL112)/FL112*100)</f>
        <v>0</v>
      </c>
      <c r="FO112" s="76"/>
      <c r="FP112" s="76"/>
      <c r="FQ112" s="915">
        <f>IF(FO112=0,0,(FP112-FO112)/FO112*100)</f>
        <v>0</v>
      </c>
      <c r="FR112" s="76"/>
      <c r="FS112" s="76"/>
      <c r="FT112" s="915">
        <f>IF(FR112=0,0,(FS112-FR112)/FR112*100)</f>
        <v>0</v>
      </c>
      <c r="FU112" s="76"/>
      <c r="FV112" s="76"/>
      <c r="FW112" s="915">
        <f>IF(FU112=0,0,(FV112-FU112)/FU112*100)</f>
        <v>0</v>
      </c>
      <c r="FX112" s="286"/>
      <c r="FY112" s="1659"/>
      <c r="FZ112" s="489" t="s">
        <v>2516</v>
      </c>
      <c r="GA112" s="489"/>
      <c r="GB112" s="489"/>
      <c r="GC112" s="489"/>
      <c r="GD112" s="489"/>
      <c r="GE112" s="1506"/>
      <c r="GF112" s="1501" cm="1" t="str">
        <f t="array" ref="GF112:GF112">GF111</f>
        <v>ТЭ.42.31656254.0001</v>
      </c>
      <c r="GG112" s="1501" t="s">
        <v>704</v>
      </c>
      <c r="GH112" s="1501" t="s">
        <v>2469</v>
      </c>
      <c r="GI112" s="1501" t="s">
        <v>796</v>
      </c>
      <c r="GJ112" s="1501" t="s">
        <v>2084</v>
      </c>
      <c r="GK112" s="1501"/>
      <c r="GL112" s="1501" t="s">
        <v>303</v>
      </c>
      <c r="GM112" s="1501" t="s">
        <v>2504</v>
      </c>
      <c r="GN112" s="1501" t="s">
        <v>2505</v>
      </c>
    </row>
    <row s="1751" customFormat="1" customHeight="1" ht="15" hidden="1">
      <c r="A113" s="371"/>
      <c r="B113" s="192" cm="1" t="str">
        <f t="array" ref="B113:B113">B112</f>
        <v>false</v>
      </c>
      <c r="C113" s="1659"/>
      <c r="D113" s="1659"/>
      <c r="E113" s="180">
        <v>16</v>
      </c>
      <c r="F113" s="175" cm="1" t="str">
        <f t="array" ref="F113:F113">OFFSET(G113,-1,-1)</f>
        <v>1</v>
      </c>
      <c r="G113" s="1659"/>
      <c r="H113" s="1659"/>
      <c r="I113" s="1659"/>
      <c r="J113" s="1659"/>
      <c r="K113" s="1659"/>
      <c r="L113" s="1659"/>
      <c r="M113" s="1659"/>
      <c r="N113" s="1659"/>
      <c r="O113" s="1659"/>
      <c r="P113" s="1659"/>
      <c r="Q113" s="1659"/>
      <c r="R113" s="1659"/>
      <c r="S113" s="1659"/>
      <c r="T113" s="753" cm="1" t="str">
        <f t="array" ref="T113:T113">T112</f>
        <v>false</v>
      </c>
      <c r="U113" s="1548"/>
      <c r="V113" s="1548"/>
      <c r="W113" s="1548"/>
      <c r="X113" s="1548"/>
      <c r="Y113" s="1548"/>
      <c r="Z113" s="1548"/>
      <c r="AA113" s="286"/>
      <c r="AB113" s="909" t="s">
        <v>2473</v>
      </c>
      <c r="AC113" s="922"/>
      <c r="AD113" s="923"/>
      <c r="AE113" s="923"/>
      <c r="AF113" s="923"/>
      <c r="AG113" s="923"/>
      <c r="AH113" s="923"/>
      <c r="AI113" s="923"/>
      <c r="AJ113" s="923"/>
      <c r="AK113" s="923"/>
      <c r="AL113" s="923"/>
      <c r="AM113" s="923"/>
      <c r="AN113" s="923"/>
      <c r="AO113" s="923"/>
      <c r="AP113" s="923"/>
      <c r="AQ113" s="923"/>
      <c r="AR113" s="923"/>
      <c r="AS113" s="923"/>
      <c r="AT113" s="923"/>
      <c r="AU113" s="923"/>
      <c r="AV113" s="923"/>
      <c r="AW113" s="923"/>
      <c r="AX113" s="923"/>
      <c r="AY113" s="923"/>
      <c r="AZ113" s="923"/>
      <c r="BA113" s="923"/>
      <c r="BB113" s="923"/>
      <c r="BC113" s="923"/>
      <c r="BD113" s="923"/>
      <c r="BE113" s="923"/>
      <c r="BF113" s="923"/>
      <c r="BG113" s="923"/>
      <c r="BH113" s="923"/>
      <c r="BI113" s="923"/>
      <c r="BJ113" s="923"/>
      <c r="BK113" s="923"/>
      <c r="BL113" s="923"/>
      <c r="BM113" s="923"/>
      <c r="BN113" s="923"/>
      <c r="BO113" s="923"/>
      <c r="BP113" s="923"/>
      <c r="BQ113" s="923"/>
      <c r="BR113" s="923"/>
      <c r="BS113" s="923"/>
      <c r="BT113" s="923"/>
      <c r="BU113" s="923"/>
      <c r="BV113" s="923"/>
      <c r="BW113" s="923"/>
      <c r="BX113" s="923"/>
      <c r="BY113" s="923"/>
      <c r="BZ113" s="923"/>
      <c r="CA113" s="923"/>
      <c r="CB113" s="923"/>
      <c r="CC113" s="923"/>
      <c r="CD113" s="923"/>
      <c r="CE113" s="923"/>
      <c r="CF113" s="923"/>
      <c r="CG113" s="923"/>
      <c r="CH113" s="923"/>
      <c r="CI113" s="923"/>
      <c r="CJ113" s="923"/>
      <c r="CK113" s="923"/>
      <c r="CL113" s="923"/>
      <c r="CM113" s="923"/>
      <c r="CN113" s="923"/>
      <c r="CO113" s="923"/>
      <c r="CP113" s="923"/>
      <c r="CQ113" s="923"/>
      <c r="CR113" s="923"/>
      <c r="CS113" s="923"/>
      <c r="CT113" s="923"/>
      <c r="CU113" s="923"/>
      <c r="CV113" s="923"/>
      <c r="CW113" s="923"/>
      <c r="CX113" s="923"/>
      <c r="CY113" s="923"/>
      <c r="CZ113" s="923"/>
      <c r="DA113" s="923"/>
      <c r="DB113" s="923"/>
      <c r="DC113" s="923"/>
      <c r="DD113" s="923"/>
      <c r="DE113" s="923"/>
      <c r="DF113" s="923"/>
      <c r="DG113" s="923"/>
      <c r="DH113" s="923"/>
      <c r="DI113" s="923"/>
      <c r="DJ113" s="923"/>
      <c r="DK113" s="923"/>
      <c r="DL113" s="923"/>
      <c r="DM113" s="923"/>
      <c r="DN113" s="923"/>
      <c r="DO113" s="923"/>
      <c r="DP113" s="923"/>
      <c r="DQ113" s="923"/>
      <c r="DR113" s="923"/>
      <c r="DS113" s="923"/>
      <c r="DT113" s="923"/>
      <c r="DU113" s="923"/>
      <c r="DV113" s="923"/>
      <c r="DW113" s="923"/>
      <c r="DX113" s="923"/>
      <c r="DY113" s="923"/>
      <c r="DZ113" s="923"/>
      <c r="EA113" s="923"/>
      <c r="EB113" s="923"/>
      <c r="EC113" s="923"/>
      <c r="ED113" s="923"/>
      <c r="EE113" s="923"/>
      <c r="EF113" s="923"/>
      <c r="EG113" s="923"/>
      <c r="EH113" s="923"/>
      <c r="EI113" s="923"/>
      <c r="EJ113" s="923"/>
      <c r="EK113" s="923"/>
      <c r="EL113" s="923"/>
      <c r="EM113" s="923"/>
      <c r="EN113" s="923"/>
      <c r="EO113" s="923"/>
      <c r="EP113" s="923"/>
      <c r="EQ113" s="923"/>
      <c r="ER113" s="923"/>
      <c r="ES113" s="923"/>
      <c r="ET113" s="923"/>
      <c r="EU113" s="923"/>
      <c r="EV113" s="923"/>
      <c r="EW113" s="923"/>
      <c r="EX113" s="923"/>
      <c r="EY113" s="923"/>
      <c r="EZ113" s="923"/>
      <c r="FA113" s="923"/>
      <c r="FB113" s="923"/>
      <c r="FC113" s="923"/>
      <c r="FD113" s="923"/>
      <c r="FE113" s="923"/>
      <c r="FF113" s="923"/>
      <c r="FG113" s="923"/>
      <c r="FH113" s="923"/>
      <c r="FI113" s="923"/>
      <c r="FJ113" s="923"/>
      <c r="FK113" s="923"/>
      <c r="FL113" s="923"/>
      <c r="FM113" s="923"/>
      <c r="FN113" s="923"/>
      <c r="FO113" s="923"/>
      <c r="FP113" s="923"/>
      <c r="FQ113" s="923"/>
      <c r="FR113" s="923"/>
      <c r="FS113" s="923"/>
      <c r="FT113" s="923"/>
      <c r="FU113" s="923"/>
      <c r="FV113" s="923"/>
      <c r="FW113" s="924"/>
      <c r="FX113" s="286"/>
      <c r="FY113" s="1659"/>
      <c r="FZ113" s="1125"/>
      <c r="GA113" s="489"/>
      <c r="GB113" s="489"/>
      <c r="GC113" s="489"/>
      <c r="GD113" s="489"/>
      <c r="GE113" s="1506"/>
      <c r="GF113" s="1501" cm="1" t="str">
        <f t="array" ref="GF113:GF113">GF112</f>
        <v>ТЭ.42.31656254.0001</v>
      </c>
      <c r="GG113" s="1501"/>
      <c r="GH113" s="1501"/>
      <c r="GI113" s="1501"/>
      <c r="GJ113" s="1501"/>
      <c r="GK113" s="1501"/>
      <c r="GL113" s="1501" t="s">
        <v>176</v>
      </c>
      <c r="GM113" s="1501"/>
      <c r="GN113" s="1501"/>
    </row>
    <row s="1751" customFormat="1" customHeight="1" ht="15" hidden="1">
      <c r="A114" s="371"/>
      <c r="B114" s="192" cm="1" t="str">
        <f t="array" ref="B114:B114">B113</f>
        <v>false</v>
      </c>
      <c r="C114" s="1659"/>
      <c r="D114" s="1659"/>
      <c r="E114" s="180">
        <v>16</v>
      </c>
      <c r="F114" s="175" cm="1" t="str">
        <f t="array" ref="F114:F114">OFFSET(G114,-1,-1)</f>
        <v>1</v>
      </c>
      <c r="G114" s="1659"/>
      <c r="H114" s="1659"/>
      <c r="I114" s="193" t="s">
        <v>2472</v>
      </c>
      <c r="J114" s="1659"/>
      <c r="K114" s="1659"/>
      <c r="L114" s="1659"/>
      <c r="M114" s="1659"/>
      <c r="N114" s="1659"/>
      <c r="O114" s="1659"/>
      <c r="P114" s="1659"/>
      <c r="Q114" s="1659"/>
      <c r="R114" s="1659"/>
      <c r="S114" s="1659"/>
      <c r="T114" s="753" cm="1" t="str">
        <f t="array" ref="T114:T114">T113</f>
        <v>false</v>
      </c>
      <c r="U114" s="1548"/>
      <c r="V114" s="1548"/>
      <c r="W114" s="1548"/>
      <c r="X114" s="1548"/>
      <c r="Y114" s="1548"/>
      <c r="Z114" s="1548"/>
      <c r="AA114" s="286"/>
      <c r="AB114" s="560" t="s">
        <v>2490</v>
      </c>
      <c r="AC114" s="380" t="s">
        <v>1005</v>
      </c>
      <c r="AD114" s="76">
        <f>IF(AD116=0,0,(AD115*AD116+AD117*AD118*IF(god=2026,3,6))/AD116)</f>
        <v>0</v>
      </c>
      <c r="AE114" s="76">
        <f>IF(AE116=0,0,(AE115*AE116+AE117*AE118*IF(god=2026,3,6))/AE116)</f>
        <v>0</v>
      </c>
      <c r="AF114" s="915">
        <f>IF(AD114=0,0,(AE114-AD114)/AD114*100)</f>
        <v>0</v>
      </c>
      <c r="AG114" s="76">
        <f>IF(AG116=0,0,(AG115*AG116+AG117*AG118*IF(god=2025,3,6))/AG116)</f>
        <v>0</v>
      </c>
      <c r="AH114" s="76">
        <f>IF(AH116=0,0,(AH115*AH116+AH117*AH118*IF(god=2025,3,6))/AH116)</f>
        <v>0</v>
      </c>
      <c r="AI114" s="915">
        <f>IF(AG114=0,0,(AH114-AG114)/AG114*100)</f>
        <v>0</v>
      </c>
      <c r="AJ114" s="76">
        <f>IF(AJ116=0,0,(AJ115*AJ116+AJ117*AJ118*6)/AJ116)</f>
        <v>0</v>
      </c>
      <c r="AK114" s="76">
        <f>IF(AK116=0,0,(AK115*AK116+AK117*AK118*6)/AK116)</f>
        <v>0</v>
      </c>
      <c r="AL114" s="915">
        <f>IF(AJ114=0,0,(AK114-AJ114)/AJ114*100)</f>
        <v>0</v>
      </c>
      <c r="AM114" s="76">
        <f>IF(AM116=0,0,(AM115*AM116+AM117*AM118*6)/AM116)</f>
        <v>0</v>
      </c>
      <c r="AN114" s="76">
        <f>IF(AN116=0,0,(AN115*AN116+AN117*AN118*6)/AN116)</f>
        <v>0</v>
      </c>
      <c r="AO114" s="915">
        <f>IF(AM114=0,0,(AN114-AM114)/AM114*100)</f>
        <v>0</v>
      </c>
      <c r="AP114" s="76">
        <f>IF(AP116=0,0,(AP115*AP116+AP117*AP118*6)/AP116)</f>
        <v>0</v>
      </c>
      <c r="AQ114" s="76">
        <f>IF(AQ116=0,0,(AQ115*AQ116+AQ117*AQ118*6)/AQ116)</f>
        <v>0</v>
      </c>
      <c r="AR114" s="915">
        <f>IF(AP114=0,0,(AQ114-AP114)/AP114*100)</f>
        <v>0</v>
      </c>
      <c r="AS114" s="76">
        <f>IF(AS116=0,0,(AS115*AS116+AS117*AS118*6)/AS116)</f>
        <v>0</v>
      </c>
      <c r="AT114" s="76">
        <f>IF(AT116=0,0,(AT115*AT116+AT117*AT118*6)/AT116)</f>
        <v>0</v>
      </c>
      <c r="AU114" s="915">
        <f>IF(AS114=0,0,(AT114-AS114)/AS114*100)</f>
        <v>0</v>
      </c>
      <c r="AV114" s="76">
        <f>IF(AV116=0,0,(AV115*AV116+AV117*AV118*6)/AV116)</f>
        <v>0</v>
      </c>
      <c r="AW114" s="76">
        <f>IF(AW116=0,0,(AW115*AW116+AW117*AW118*6)/AW116)</f>
        <v>0</v>
      </c>
      <c r="AX114" s="915">
        <f>IF(AV114=0,0,(AW114-AV114)/AV114*100)</f>
        <v>0</v>
      </c>
      <c r="AY114" s="76">
        <f>IF(AY116=0,0,(AY115*AY116+AY117*AY118*6)/AY116)</f>
        <v>0</v>
      </c>
      <c r="AZ114" s="76">
        <f>IF(AZ116=0,0,(AZ115*AZ116+AZ117*AZ118*6)/AZ116)</f>
        <v>0</v>
      </c>
      <c r="BA114" s="915">
        <f>IF(AY114=0,0,(AZ114-AY114)/AY114*100)</f>
        <v>0</v>
      </c>
      <c r="BB114" s="76">
        <f>IF(BB116=0,0,(BB115*BB116+BB117*BB118*6)/BB116)</f>
        <v>0</v>
      </c>
      <c r="BC114" s="76">
        <f>IF(BC116=0,0,(BC115*BC116+BC117*BC118*6)/BC116)</f>
        <v>0</v>
      </c>
      <c r="BD114" s="915">
        <f>IF(BB114=0,0,(BC114-BB114)/BB114*100)</f>
        <v>0</v>
      </c>
      <c r="BE114" s="76">
        <f>IF(BE116=0,0,(BE115*BE116+BE117*BE118*6)/BE116)</f>
        <v>0</v>
      </c>
      <c r="BF114" s="76">
        <f>IF(BF116=0,0,(BF115*BF116+BF117*BF118*6)/BF116)</f>
        <v>0</v>
      </c>
      <c r="BG114" s="915">
        <f>IF(BE114=0,0,(BF114-BE114)/BE114*100)</f>
        <v>0</v>
      </c>
      <c r="BH114" s="76">
        <f>IF(BH116=0,0,(BH115*BH116+BH117*BH118*6)/BH116)</f>
        <v>0</v>
      </c>
      <c r="BI114" s="76">
        <f>IF(BI116=0,0,(BI115*BI116+BI117*BI118*6)/BI116)</f>
        <v>0</v>
      </c>
      <c r="BJ114" s="915">
        <f>IF(BH114=0,0,(BI114-BH114)/BH114*100)</f>
        <v>0</v>
      </c>
      <c r="BK114" s="76">
        <f>IF(BK116=0,0,(BK115*BK116+BK117*BK118*6)/BK116)</f>
        <v>0</v>
      </c>
      <c r="BL114" s="76">
        <f>IF(BL116=0,0,(BL115*BL116+BL117*BL118*6)/BL116)</f>
        <v>0</v>
      </c>
      <c r="BM114" s="915">
        <f>IF(BK114=0,0,(BL114-BK114)/BK114*100)</f>
        <v>0</v>
      </c>
      <c r="BN114" s="76">
        <f>IF(BN116=0,0,(BN115*BN116+BN117*BN118*6)/BN116)</f>
        <v>0</v>
      </c>
      <c r="BO114" s="76">
        <f>IF(BO116=0,0,(BO115*BO116+BO117*BO118*6)/BO116)</f>
        <v>0</v>
      </c>
      <c r="BP114" s="915">
        <f>IF(BN114=0,0,(BO114-BN114)/BN114*100)</f>
        <v>0</v>
      </c>
      <c r="BQ114" s="76">
        <f>IF(BQ116=0,0,(BQ115*BQ116+BQ117*BQ118*6)/BQ116)</f>
        <v>0</v>
      </c>
      <c r="BR114" s="76">
        <f>IF(BR116=0,0,(BR115*BR116+BR117*BR118*6)/BR116)</f>
        <v>0</v>
      </c>
      <c r="BS114" s="915">
        <f>IF(BQ114=0,0,(BR114-BQ114)/BQ114*100)</f>
        <v>0</v>
      </c>
      <c r="BT114" s="76">
        <f>IF(BT116=0,0,(BT115*BT116+BT117*BT118*6)/BT116)</f>
        <v>0</v>
      </c>
      <c r="BU114" s="76">
        <f>IF(BU116=0,0,(BU115*BU116+BU117*BU118*6)/BU116)</f>
        <v>0</v>
      </c>
      <c r="BV114" s="915">
        <f>IF(BT114=0,0,(BU114-BT114)/BT114*100)</f>
        <v>0</v>
      </c>
      <c r="BW114" s="76">
        <f>IF(BW116=0,0,(BW115*BW116+BW117*BW118*6)/BW116)</f>
        <v>0</v>
      </c>
      <c r="BX114" s="76">
        <f>IF(BX116=0,0,(BX115*BX116+BX117*BX118*6)/BX116)</f>
        <v>0</v>
      </c>
      <c r="BY114" s="915">
        <f>IF(BW114=0,0,(BX114-BW114)/BW114*100)</f>
        <v>0</v>
      </c>
      <c r="BZ114" s="76">
        <f>IF(BZ116=0,0,(BZ115*BZ116+BZ117*BZ118*6)/BZ116)</f>
        <v>0</v>
      </c>
      <c r="CA114" s="76">
        <f>IF(CA116=0,0,(CA115*CA116+CA117*CA118*6)/CA116)</f>
        <v>0</v>
      </c>
      <c r="CB114" s="915">
        <f>IF(BZ114=0,0,(CA114-BZ114)/BZ114*100)</f>
        <v>0</v>
      </c>
      <c r="CC114" s="76">
        <f>IF(CC116=0,0,(CC115*CC116+CC117*CC118*6)/CC116)</f>
        <v>0</v>
      </c>
      <c r="CD114" s="76">
        <f>IF(CD116=0,0,(CD115*CD116+CD117*CD118*6)/CD116)</f>
        <v>0</v>
      </c>
      <c r="CE114" s="915">
        <f>IF(CC114=0,0,(CD114-CC114)/CC114*100)</f>
        <v>0</v>
      </c>
      <c r="CF114" s="76">
        <f>IF(CF116=0,0,(CF115*CF116+CF117*CF118*6)/CF116)</f>
        <v>0</v>
      </c>
      <c r="CG114" s="76">
        <f>IF(CG116=0,0,(CG115*CG116+CG117*CG118*6)/CG116)</f>
        <v>0</v>
      </c>
      <c r="CH114" s="915">
        <f>IF(CF114=0,0,(CG114-CF114)/CF114*100)</f>
        <v>0</v>
      </c>
      <c r="CI114" s="76">
        <f>IF(CI116=0,0,(CI115*CI116+CI117*CI118*6)/CI116)</f>
        <v>0</v>
      </c>
      <c r="CJ114" s="76">
        <f>IF(CJ116=0,0,(CJ115*CJ116+CJ117*CJ118*6)/CJ116)</f>
        <v>0</v>
      </c>
      <c r="CK114" s="915">
        <f>IF(CI114=0,0,(CJ114-CI114)/CI114*100)</f>
        <v>0</v>
      </c>
      <c r="CL114" s="76">
        <f>IF(CL116=0,0,(CL115*CL116+CL117*CL118*6)/CL116)</f>
        <v>0</v>
      </c>
      <c r="CM114" s="76">
        <f>IF(CM116=0,0,(CM115*CM116+CM117*CM118*6)/CM116)</f>
        <v>0</v>
      </c>
      <c r="CN114" s="915">
        <f>IF(CL114=0,0,(CM114-CL114)/CL114*100)</f>
        <v>0</v>
      </c>
      <c r="CO114" s="76">
        <f>IF(CO116=0,0,(CO115*CO116+CO117*CO118*6)/CO116)</f>
        <v>0</v>
      </c>
      <c r="CP114" s="76">
        <f>IF(CP116=0,0,(CP115*CP116+CP117*CP118*6)/CP116)</f>
        <v>0</v>
      </c>
      <c r="CQ114" s="915">
        <f>IF(CO114=0,0,(CP114-CO114)/CO114*100)</f>
        <v>0</v>
      </c>
      <c r="CR114" s="76">
        <f>IF(CR116=0,0,(CR115*CR116+CR117*CR118*6)/CR116)</f>
        <v>0</v>
      </c>
      <c r="CS114" s="76">
        <f>IF(CS116=0,0,(CS115*CS116+CS117*CS118*6)/CS116)</f>
        <v>0</v>
      </c>
      <c r="CT114" s="915">
        <f>IF(CR114=0,0,(CS114-CR114)/CR114*100)</f>
        <v>0</v>
      </c>
      <c r="CU114" s="76">
        <f>IF(CU116=0,0,(CU115*CU116+CU117*CU118*6)/CU116)</f>
        <v>0</v>
      </c>
      <c r="CV114" s="76">
        <f>IF(CV116=0,0,(CV115*CV116+CV117*CV118*6)/CV116)</f>
        <v>0</v>
      </c>
      <c r="CW114" s="915">
        <f>IF(CU114=0,0,(CV114-CU114)/CU114*100)</f>
        <v>0</v>
      </c>
      <c r="CX114" s="76">
        <f>IF(CX116=0,0,(CX115*CX116+CX117*CX118*6)/CX116)</f>
        <v>0</v>
      </c>
      <c r="CY114" s="76">
        <f>IF(CY116=0,0,(CY115*CY116+CY117*CY118*6)/CY116)</f>
        <v>0</v>
      </c>
      <c r="CZ114" s="915">
        <f>IF(CX114=0,0,(CY114-CX114)/CX114*100)</f>
        <v>0</v>
      </c>
      <c r="DA114" s="76">
        <f>IF(DA116=0,0,(DA115*DA116+DA117*DA118*6)/DA116)</f>
        <v>0</v>
      </c>
      <c r="DB114" s="76">
        <f>IF(DB116=0,0,(DB115*DB116+DB117*DB118*6)/DB116)</f>
        <v>0</v>
      </c>
      <c r="DC114" s="915">
        <f>IF(DA114=0,0,(DB114-DA114)/DA114*100)</f>
        <v>0</v>
      </c>
      <c r="DD114" s="76">
        <f>IF(DD116=0,0,(DD115*DD116+DD117*DD118*6)/DD116)</f>
        <v>0</v>
      </c>
      <c r="DE114" s="76">
        <f>IF(DE116=0,0,(DE115*DE116+DE117*DE118*6)/DE116)</f>
        <v>0</v>
      </c>
      <c r="DF114" s="915">
        <f>IF(DD114=0,0,(DE114-DD114)/DD114*100)</f>
        <v>0</v>
      </c>
      <c r="DG114" s="76">
        <f>IF(DG116=0,0,(DG115*DG116+DG117*DG118*6)/DG116)</f>
        <v>0</v>
      </c>
      <c r="DH114" s="76">
        <f>IF(DH116=0,0,(DH115*DH116+DH117*DH118*6)/DH116)</f>
        <v>0</v>
      </c>
      <c r="DI114" s="915">
        <f>IF(DG114=0,0,(DH114-DG114)/DG114*100)</f>
        <v>0</v>
      </c>
      <c r="DJ114" s="76">
        <f>IF(DJ116=0,0,(DJ115*DJ116+DJ117*DJ118*6)/DJ116)</f>
        <v>0</v>
      </c>
      <c r="DK114" s="76">
        <f>IF(DK116=0,0,(DK115*DK116+DK117*DK118*6)/DK116)</f>
        <v>0</v>
      </c>
      <c r="DL114" s="915">
        <f>IF(DJ114=0,0,(DK114-DJ114)/DJ114*100)</f>
        <v>0</v>
      </c>
      <c r="DM114" s="76">
        <f>IF(DM116=0,0,(DM115*DM116+DM117*DM118*6)/DM116)</f>
        <v>0</v>
      </c>
      <c r="DN114" s="76">
        <f>IF(DN116=0,0,(DN115*DN116+DN117*DN118*6)/DN116)</f>
        <v>0</v>
      </c>
      <c r="DO114" s="915">
        <f>IF(DM114=0,0,(DN114-DM114)/DM114*100)</f>
        <v>0</v>
      </c>
      <c r="DP114" s="76">
        <f>IF(DP116=0,0,(DP115*DP116+DP117*DP118*6)/DP116)</f>
        <v>0</v>
      </c>
      <c r="DQ114" s="76">
        <f>IF(DQ116=0,0,(DQ115*DQ116+DQ117*DQ118*6)/DQ116)</f>
        <v>0</v>
      </c>
      <c r="DR114" s="915">
        <f>IF(DP114=0,0,(DQ114-DP114)/DP114*100)</f>
        <v>0</v>
      </c>
      <c r="DS114" s="76">
        <f>IF(DS116=0,0,(DS115*DS116+DS117*DS118*6)/DS116)</f>
        <v>0</v>
      </c>
      <c r="DT114" s="76">
        <f>IF(DT116=0,0,(DT115*DT116+DT117*DT118*6)/DT116)</f>
        <v>0</v>
      </c>
      <c r="DU114" s="915">
        <f>IF(DS114=0,0,(DT114-DS114)/DS114*100)</f>
        <v>0</v>
      </c>
      <c r="DV114" s="76">
        <f>IF(DV116=0,0,(DV115*DV116+DV117*DV118*6)/DV116)</f>
        <v>0</v>
      </c>
      <c r="DW114" s="76">
        <f>IF(DW116=0,0,(DW115*DW116+DW117*DW118*6)/DW116)</f>
        <v>0</v>
      </c>
      <c r="DX114" s="915">
        <f>IF(DV114=0,0,(DW114-DV114)/DV114*100)</f>
        <v>0</v>
      </c>
      <c r="DY114" s="76">
        <f>IF(DY116=0,0,(DY115*DY116+DY117*DY118*6)/DY116)</f>
        <v>0</v>
      </c>
      <c r="DZ114" s="76">
        <f>IF(DZ116=0,0,(DZ115*DZ116+DZ117*DZ118*6)/DZ116)</f>
        <v>0</v>
      </c>
      <c r="EA114" s="915">
        <f>IF(DY114=0,0,(DZ114-DY114)/DY114*100)</f>
        <v>0</v>
      </c>
      <c r="EB114" s="76">
        <f>IF(EB116=0,0,(EB115*EB116+EB117*EB118*6)/EB116)</f>
        <v>0</v>
      </c>
      <c r="EC114" s="76">
        <f>IF(EC116=0,0,(EC115*EC116+EC117*EC118*6)/EC116)</f>
        <v>0</v>
      </c>
      <c r="ED114" s="915">
        <f>IF(EB114=0,0,(EC114-EB114)/EB114*100)</f>
        <v>0</v>
      </c>
      <c r="EE114" s="76">
        <f>IF(EE116=0,0,(EE115*EE116+EE117*EE118*6)/EE116)</f>
        <v>0</v>
      </c>
      <c r="EF114" s="76">
        <f>IF(EF116=0,0,(EF115*EF116+EF117*EF118*6)/EF116)</f>
        <v>0</v>
      </c>
      <c r="EG114" s="915">
        <f>IF(EE114=0,0,(EF114-EE114)/EE114*100)</f>
        <v>0</v>
      </c>
      <c r="EH114" s="76">
        <f>IF(EH116=0,0,(EH115*EH116+EH117*EH118*6)/EH116)</f>
        <v>0</v>
      </c>
      <c r="EI114" s="76">
        <f>IF(EI116=0,0,(EI115*EI116+EI117*EI118*6)/EI116)</f>
        <v>0</v>
      </c>
      <c r="EJ114" s="915">
        <f>IF(EH114=0,0,(EI114-EH114)/EH114*100)</f>
        <v>0</v>
      </c>
      <c r="EK114" s="76">
        <f>IF(EK116=0,0,(EK115*EK116+EK117*EK118*6)/EK116)</f>
        <v>0</v>
      </c>
      <c r="EL114" s="76">
        <f>IF(EL116=0,0,(EL115*EL116+EL117*EL118*6)/EL116)</f>
        <v>0</v>
      </c>
      <c r="EM114" s="915">
        <f>IF(EK114=0,0,(EL114-EK114)/EK114*100)</f>
        <v>0</v>
      </c>
      <c r="EN114" s="76">
        <f>IF(EN116=0,0,(EN115*EN116+EN117*EN118*6)/EN116)</f>
        <v>0</v>
      </c>
      <c r="EO114" s="76">
        <f>IF(EO116=0,0,(EO115*EO116+EO117*EO118*6)/EO116)</f>
        <v>0</v>
      </c>
      <c r="EP114" s="915">
        <f>IF(EN114=0,0,(EO114-EN114)/EN114*100)</f>
        <v>0</v>
      </c>
      <c r="EQ114" s="76">
        <f>IF(EQ116=0,0,(EQ115*EQ116+EQ117*EQ118*6)/EQ116)</f>
        <v>0</v>
      </c>
      <c r="ER114" s="76">
        <f>IF(ER116=0,0,(ER115*ER116+ER117*ER118*6)/ER116)</f>
        <v>0</v>
      </c>
      <c r="ES114" s="915">
        <f>IF(EQ114=0,0,(ER114-EQ114)/EQ114*100)</f>
        <v>0</v>
      </c>
      <c r="ET114" s="76">
        <f>IF(ET116=0,0,(ET115*ET116+ET117*ET118*6)/ET116)</f>
        <v>0</v>
      </c>
      <c r="EU114" s="76">
        <f>IF(EU116=0,0,(EU115*EU116+EU117*EU118*6)/EU116)</f>
        <v>0</v>
      </c>
      <c r="EV114" s="915">
        <f>IF(ET114=0,0,(EU114-ET114)/ET114*100)</f>
        <v>0</v>
      </c>
      <c r="EW114" s="76">
        <f>IF(EW116=0,0,(EW115*EW116+EW117*EW118*6)/EW116)</f>
        <v>0</v>
      </c>
      <c r="EX114" s="76">
        <f>IF(EX116=0,0,(EX115*EX116+EX117*EX118*6)/EX116)</f>
        <v>0</v>
      </c>
      <c r="EY114" s="915">
        <f>IF(EW114=0,0,(EX114-EW114)/EW114*100)</f>
        <v>0</v>
      </c>
      <c r="EZ114" s="76">
        <f>IF(EZ116=0,0,(EZ115*EZ116+EZ117*EZ118*6)/EZ116)</f>
        <v>0</v>
      </c>
      <c r="FA114" s="76">
        <f>IF(FA116=0,0,(FA115*FA116+FA117*FA118*6)/FA116)</f>
        <v>0</v>
      </c>
      <c r="FB114" s="915">
        <f>IF(EZ114=0,0,(FA114-EZ114)/EZ114*100)</f>
        <v>0</v>
      </c>
      <c r="FC114" s="76">
        <f>IF(FC116=0,0,(FC115*FC116+FC117*FC118*6)/FC116)</f>
        <v>0</v>
      </c>
      <c r="FD114" s="76">
        <f>IF(FD116=0,0,(FD115*FD116+FD117*FD118*6)/FD116)</f>
        <v>0</v>
      </c>
      <c r="FE114" s="915">
        <f>IF(FC114=0,0,(FD114-FC114)/FC114*100)</f>
        <v>0</v>
      </c>
      <c r="FF114" s="76">
        <f>IF(FF116=0,0,(FF115*FF116+FF117*FF118*6)/FF116)</f>
        <v>0</v>
      </c>
      <c r="FG114" s="76">
        <f>IF(FG116=0,0,(FG115*FG116+FG117*FG118*6)/FG116)</f>
        <v>0</v>
      </c>
      <c r="FH114" s="915">
        <f>IF(FF114=0,0,(FG114-FF114)/FF114*100)</f>
        <v>0</v>
      </c>
      <c r="FI114" s="76">
        <f>IF(FI116=0,0,(FI115*FI116+FI117*FI118*6)/FI116)</f>
        <v>0</v>
      </c>
      <c r="FJ114" s="76">
        <f>IF(FJ116=0,0,(FJ115*FJ116+FJ117*FJ118*6)/FJ116)</f>
        <v>0</v>
      </c>
      <c r="FK114" s="915">
        <f>IF(FI114=0,0,(FJ114-FI114)/FI114*100)</f>
        <v>0</v>
      </c>
      <c r="FL114" s="76">
        <f>IF(FL116=0,0,(FL115*FL116+FL117*FL118*6)/FL116)</f>
        <v>0</v>
      </c>
      <c r="FM114" s="76">
        <f>IF(FM116=0,0,(FM115*FM116+FM117*FM118*6)/FM116)</f>
        <v>0</v>
      </c>
      <c r="FN114" s="915">
        <f>IF(FL114=0,0,(FM114-FL114)/FL114*100)</f>
        <v>0</v>
      </c>
      <c r="FO114" s="76">
        <f>IF(FO116=0,0,(FO115*FO116+FO117*FO118*6)/FO116)</f>
        <v>0</v>
      </c>
      <c r="FP114" s="76">
        <f>IF(FP116=0,0,(FP115*FP116+FP117*FP118*6)/FP116)</f>
        <v>0</v>
      </c>
      <c r="FQ114" s="915">
        <f>IF(FO114=0,0,(FP114-FO114)/FO114*100)</f>
        <v>0</v>
      </c>
      <c r="FR114" s="76">
        <f>IF(FR116=0,0,(FR115*FR116+FR117*FR118*6)/FR116)</f>
        <v>0</v>
      </c>
      <c r="FS114" s="76">
        <f>IF(FS116=0,0,(FS115*FS116+FS117*FS118*6)/FS116)</f>
        <v>0</v>
      </c>
      <c r="FT114" s="915">
        <f>IF(FR114=0,0,(FS114-FR114)/FR114*100)</f>
        <v>0</v>
      </c>
      <c r="FU114" s="76">
        <f>IF(FU116=0,0,(FU115*FU116+FU117*FU118*6)/FU116)</f>
        <v>0</v>
      </c>
      <c r="FV114" s="76">
        <f>IF(FV116=0,0,(FV115*FV116+FV117*FV118*6)/FV116)</f>
        <v>0</v>
      </c>
      <c r="FW114" s="915">
        <f>IF(FU114=0,0,(FV114-FU114)/FU114*100)</f>
        <v>0</v>
      </c>
      <c r="FX114" s="286"/>
      <c r="FY114" s="1659"/>
      <c r="FZ114" s="489" t="s">
        <v>2517</v>
      </c>
      <c r="GA114" s="489"/>
      <c r="GB114" s="489"/>
      <c r="GC114" s="489"/>
      <c r="GD114" s="489"/>
      <c r="GE114" s="1506"/>
      <c r="GF114" s="1501" cm="1" t="str">
        <f t="array" ref="GF114:GF114">GF113</f>
        <v>ТЭ.42.31656254.0001</v>
      </c>
      <c r="GG114" s="1501" t="s">
        <v>704</v>
      </c>
      <c r="GH114" s="1501" t="s">
        <v>2469</v>
      </c>
      <c r="GI114" s="1501" t="s">
        <v>797</v>
      </c>
      <c r="GJ114" s="1501"/>
      <c r="GK114" s="1501"/>
      <c r="GL114" s="1501" t="s">
        <v>303</v>
      </c>
      <c r="GM114" s="1501" t="s">
        <v>2492</v>
      </c>
      <c r="GN114" s="1501" t="s">
        <v>2493</v>
      </c>
    </row>
    <row s="1751" customFormat="1" customHeight="1" ht="15" hidden="1">
      <c r="A115" s="371"/>
      <c r="B115" s="192" cm="1" t="str">
        <f t="array" ref="B115:B115">B114</f>
        <v>false</v>
      </c>
      <c r="C115" s="1659"/>
      <c r="D115" s="1659"/>
      <c r="E115" s="180">
        <v>16</v>
      </c>
      <c r="F115" s="175" cm="1" t="str">
        <f t="array" ref="F115:F115">OFFSET(G115,-1,-1)</f>
        <v>1</v>
      </c>
      <c r="G115" s="1659"/>
      <c r="H115" s="1659"/>
      <c r="I115" s="193" t="s">
        <v>2472</v>
      </c>
      <c r="J115" s="1659"/>
      <c r="K115" s="1659"/>
      <c r="L115" s="1659"/>
      <c r="M115" s="1659"/>
      <c r="N115" s="1659"/>
      <c r="O115" s="1659"/>
      <c r="P115" s="1659"/>
      <c r="Q115" s="1659"/>
      <c r="R115" s="1659"/>
      <c r="S115" s="1659"/>
      <c r="T115" s="753" cm="1" t="str">
        <f t="array" ref="T115:T115">T114</f>
        <v>false</v>
      </c>
      <c r="U115" s="1548"/>
      <c r="V115" s="1548"/>
      <c r="W115" s="1548"/>
      <c r="X115" s="1548"/>
      <c r="Y115" s="1548"/>
      <c r="Z115" s="1548"/>
      <c r="AA115" s="286"/>
      <c r="AB115" s="560" t="s">
        <v>2494</v>
      </c>
      <c r="AC115" s="380" t="s">
        <v>1005</v>
      </c>
      <c r="AD115" s="76"/>
      <c r="AE115" s="76"/>
      <c r="AF115" s="915">
        <f>IF(AD115=0,0,(AE115-AD115)/AD115*100)</f>
        <v>0</v>
      </c>
      <c r="AG115" s="76"/>
      <c r="AH115" s="76"/>
      <c r="AI115" s="915">
        <f>IF(AG115=0,0,(AH115-AG115)/AG115*100)</f>
        <v>0</v>
      </c>
      <c r="AJ115" s="76"/>
      <c r="AK115" s="76"/>
      <c r="AL115" s="915">
        <f>IF(AJ115=0,0,(AK115-AJ115)/AJ115*100)</f>
        <v>0</v>
      </c>
      <c r="AM115" s="76"/>
      <c r="AN115" s="76"/>
      <c r="AO115" s="915">
        <f>IF(AM115=0,0,(AN115-AM115)/AM115*100)</f>
        <v>0</v>
      </c>
      <c r="AP115" s="76"/>
      <c r="AQ115" s="76"/>
      <c r="AR115" s="915">
        <f>IF(AP115=0,0,(AQ115-AP115)/AP115*100)</f>
        <v>0</v>
      </c>
      <c r="AS115" s="76"/>
      <c r="AT115" s="76"/>
      <c r="AU115" s="915">
        <f>IF(AS115=0,0,(AT115-AS115)/AS115*100)</f>
        <v>0</v>
      </c>
      <c r="AV115" s="76"/>
      <c r="AW115" s="76"/>
      <c r="AX115" s="915">
        <f>IF(AV115=0,0,(AW115-AV115)/AV115*100)</f>
        <v>0</v>
      </c>
      <c r="AY115" s="76"/>
      <c r="AZ115" s="76"/>
      <c r="BA115" s="915">
        <f>IF(AY115=0,0,(AZ115-AY115)/AY115*100)</f>
        <v>0</v>
      </c>
      <c r="BB115" s="76"/>
      <c r="BC115" s="76"/>
      <c r="BD115" s="915">
        <f>IF(BB115=0,0,(BC115-BB115)/BB115*100)</f>
        <v>0</v>
      </c>
      <c r="BE115" s="76"/>
      <c r="BF115" s="76"/>
      <c r="BG115" s="915">
        <f>IF(BE115=0,0,(BF115-BE115)/BE115*100)</f>
        <v>0</v>
      </c>
      <c r="BH115" s="76"/>
      <c r="BI115" s="76"/>
      <c r="BJ115" s="915">
        <f>IF(BH115=0,0,(BI115-BH115)/BH115*100)</f>
        <v>0</v>
      </c>
      <c r="BK115" s="76"/>
      <c r="BL115" s="76"/>
      <c r="BM115" s="915">
        <f>IF(BK115=0,0,(BL115-BK115)/BK115*100)</f>
        <v>0</v>
      </c>
      <c r="BN115" s="76"/>
      <c r="BO115" s="76"/>
      <c r="BP115" s="915">
        <f>IF(BN115=0,0,(BO115-BN115)/BN115*100)</f>
        <v>0</v>
      </c>
      <c r="BQ115" s="76"/>
      <c r="BR115" s="76"/>
      <c r="BS115" s="915">
        <f>IF(BQ115=0,0,(BR115-BQ115)/BQ115*100)</f>
        <v>0</v>
      </c>
      <c r="BT115" s="76"/>
      <c r="BU115" s="76"/>
      <c r="BV115" s="915">
        <f>IF(BT115=0,0,(BU115-BT115)/BT115*100)</f>
        <v>0</v>
      </c>
      <c r="BW115" s="76"/>
      <c r="BX115" s="76"/>
      <c r="BY115" s="915">
        <f>IF(BW115=0,0,(BX115-BW115)/BW115*100)</f>
        <v>0</v>
      </c>
      <c r="BZ115" s="76"/>
      <c r="CA115" s="76"/>
      <c r="CB115" s="915">
        <f>IF(BZ115=0,0,(CA115-BZ115)/BZ115*100)</f>
        <v>0</v>
      </c>
      <c r="CC115" s="76"/>
      <c r="CD115" s="76"/>
      <c r="CE115" s="915">
        <f>IF(CC115=0,0,(CD115-CC115)/CC115*100)</f>
        <v>0</v>
      </c>
      <c r="CF115" s="76"/>
      <c r="CG115" s="76"/>
      <c r="CH115" s="915">
        <f>IF(CF115=0,0,(CG115-CF115)/CF115*100)</f>
        <v>0</v>
      </c>
      <c r="CI115" s="76"/>
      <c r="CJ115" s="76"/>
      <c r="CK115" s="915">
        <f>IF(CI115=0,0,(CJ115-CI115)/CI115*100)</f>
        <v>0</v>
      </c>
      <c r="CL115" s="76"/>
      <c r="CM115" s="76"/>
      <c r="CN115" s="915">
        <f>IF(CL115=0,0,(CM115-CL115)/CL115*100)</f>
        <v>0</v>
      </c>
      <c r="CO115" s="76"/>
      <c r="CP115" s="76"/>
      <c r="CQ115" s="915">
        <f>IF(CO115=0,0,(CP115-CO115)/CO115*100)</f>
        <v>0</v>
      </c>
      <c r="CR115" s="76"/>
      <c r="CS115" s="76"/>
      <c r="CT115" s="915">
        <f>IF(CR115=0,0,(CS115-CR115)/CR115*100)</f>
        <v>0</v>
      </c>
      <c r="CU115" s="76"/>
      <c r="CV115" s="76"/>
      <c r="CW115" s="915">
        <f>IF(CU115=0,0,(CV115-CU115)/CU115*100)</f>
        <v>0</v>
      </c>
      <c r="CX115" s="76"/>
      <c r="CY115" s="76"/>
      <c r="CZ115" s="915">
        <f>IF(CX115=0,0,(CY115-CX115)/CX115*100)</f>
        <v>0</v>
      </c>
      <c r="DA115" s="76"/>
      <c r="DB115" s="76"/>
      <c r="DC115" s="915">
        <f>IF(DA115=0,0,(DB115-DA115)/DA115*100)</f>
        <v>0</v>
      </c>
      <c r="DD115" s="76"/>
      <c r="DE115" s="76"/>
      <c r="DF115" s="915">
        <f>IF(DD115=0,0,(DE115-DD115)/DD115*100)</f>
        <v>0</v>
      </c>
      <c r="DG115" s="76"/>
      <c r="DH115" s="76"/>
      <c r="DI115" s="915">
        <f>IF(DG115=0,0,(DH115-DG115)/DG115*100)</f>
        <v>0</v>
      </c>
      <c r="DJ115" s="76"/>
      <c r="DK115" s="76"/>
      <c r="DL115" s="915">
        <f>IF(DJ115=0,0,(DK115-DJ115)/DJ115*100)</f>
        <v>0</v>
      </c>
      <c r="DM115" s="76"/>
      <c r="DN115" s="76"/>
      <c r="DO115" s="915">
        <f>IF(DM115=0,0,(DN115-DM115)/DM115*100)</f>
        <v>0</v>
      </c>
      <c r="DP115" s="76"/>
      <c r="DQ115" s="76"/>
      <c r="DR115" s="915">
        <f>IF(DP115=0,0,(DQ115-DP115)/DP115*100)</f>
        <v>0</v>
      </c>
      <c r="DS115" s="76"/>
      <c r="DT115" s="76"/>
      <c r="DU115" s="915">
        <f>IF(DS115=0,0,(DT115-DS115)/DS115*100)</f>
        <v>0</v>
      </c>
      <c r="DV115" s="76"/>
      <c r="DW115" s="76"/>
      <c r="DX115" s="915">
        <f>IF(DV115=0,0,(DW115-DV115)/DV115*100)</f>
        <v>0</v>
      </c>
      <c r="DY115" s="76"/>
      <c r="DZ115" s="76"/>
      <c r="EA115" s="915">
        <f>IF(DY115=0,0,(DZ115-DY115)/DY115*100)</f>
        <v>0</v>
      </c>
      <c r="EB115" s="76"/>
      <c r="EC115" s="76"/>
      <c r="ED115" s="915">
        <f>IF(EB115=0,0,(EC115-EB115)/EB115*100)</f>
        <v>0</v>
      </c>
      <c r="EE115" s="76"/>
      <c r="EF115" s="76"/>
      <c r="EG115" s="915">
        <f>IF(EE115=0,0,(EF115-EE115)/EE115*100)</f>
        <v>0</v>
      </c>
      <c r="EH115" s="76"/>
      <c r="EI115" s="76"/>
      <c r="EJ115" s="915">
        <f>IF(EH115=0,0,(EI115-EH115)/EH115*100)</f>
        <v>0</v>
      </c>
      <c r="EK115" s="76"/>
      <c r="EL115" s="76"/>
      <c r="EM115" s="915">
        <f>IF(EK115=0,0,(EL115-EK115)/EK115*100)</f>
        <v>0</v>
      </c>
      <c r="EN115" s="76"/>
      <c r="EO115" s="76"/>
      <c r="EP115" s="915">
        <f>IF(EN115=0,0,(EO115-EN115)/EN115*100)</f>
        <v>0</v>
      </c>
      <c r="EQ115" s="76"/>
      <c r="ER115" s="76"/>
      <c r="ES115" s="915">
        <f>IF(EQ115=0,0,(ER115-EQ115)/EQ115*100)</f>
        <v>0</v>
      </c>
      <c r="ET115" s="76"/>
      <c r="EU115" s="76"/>
      <c r="EV115" s="915">
        <f>IF(ET115=0,0,(EU115-ET115)/ET115*100)</f>
        <v>0</v>
      </c>
      <c r="EW115" s="76"/>
      <c r="EX115" s="76"/>
      <c r="EY115" s="915">
        <f>IF(EW115=0,0,(EX115-EW115)/EW115*100)</f>
        <v>0</v>
      </c>
      <c r="EZ115" s="76"/>
      <c r="FA115" s="76"/>
      <c r="FB115" s="915">
        <f>IF(EZ115=0,0,(FA115-EZ115)/EZ115*100)</f>
        <v>0</v>
      </c>
      <c r="FC115" s="76"/>
      <c r="FD115" s="76"/>
      <c r="FE115" s="915">
        <f>IF(FC115=0,0,(FD115-FC115)/FC115*100)</f>
        <v>0</v>
      </c>
      <c r="FF115" s="76"/>
      <c r="FG115" s="76"/>
      <c r="FH115" s="915">
        <f>IF(FF115=0,0,(FG115-FF115)/FF115*100)</f>
        <v>0</v>
      </c>
      <c r="FI115" s="76"/>
      <c r="FJ115" s="76"/>
      <c r="FK115" s="915">
        <f>IF(FI115=0,0,(FJ115-FI115)/FI115*100)</f>
        <v>0</v>
      </c>
      <c r="FL115" s="76"/>
      <c r="FM115" s="76"/>
      <c r="FN115" s="915">
        <f>IF(FL115=0,0,(FM115-FL115)/FL115*100)</f>
        <v>0</v>
      </c>
      <c r="FO115" s="76"/>
      <c r="FP115" s="76"/>
      <c r="FQ115" s="915">
        <f>IF(FO115=0,0,(FP115-FO115)/FO115*100)</f>
        <v>0</v>
      </c>
      <c r="FR115" s="76"/>
      <c r="FS115" s="76"/>
      <c r="FT115" s="915">
        <f>IF(FR115=0,0,(FS115-FR115)/FR115*100)</f>
        <v>0</v>
      </c>
      <c r="FU115" s="76"/>
      <c r="FV115" s="76"/>
      <c r="FW115" s="915">
        <f>IF(FU115=0,0,(FV115-FU115)/FU115*100)</f>
        <v>0</v>
      </c>
      <c r="FX115" s="286"/>
      <c r="FY115" s="1659"/>
      <c r="FZ115" s="489" t="s">
        <v>2518</v>
      </c>
      <c r="GA115" s="489"/>
      <c r="GB115" s="489"/>
      <c r="GC115" s="489"/>
      <c r="GD115" s="489"/>
      <c r="GE115" s="1506"/>
      <c r="GF115" s="1501" cm="1" t="str">
        <f t="array" ref="GF115:GF115">GF114</f>
        <v>ТЭ.42.31656254.0001</v>
      </c>
      <c r="GG115" s="1501" t="s">
        <v>704</v>
      </c>
      <c r="GH115" s="1501" t="s">
        <v>2469</v>
      </c>
      <c r="GI115" s="1501" t="s">
        <v>797</v>
      </c>
      <c r="GJ115" s="1501"/>
      <c r="GK115" s="1501"/>
      <c r="GL115" s="1501" t="s">
        <v>303</v>
      </c>
      <c r="GM115" s="1501" t="s">
        <v>2118</v>
      </c>
      <c r="GN115" s="1501" t="s">
        <v>2119</v>
      </c>
    </row>
    <row s="1751" customFormat="1" customHeight="1" ht="15" hidden="1">
      <c r="A116" s="371"/>
      <c r="B116" s="192" cm="1" t="str">
        <f t="array" ref="B116:B116">B115</f>
        <v>false</v>
      </c>
      <c r="C116" s="1659"/>
      <c r="D116" s="1659"/>
      <c r="E116" s="180">
        <v>16</v>
      </c>
      <c r="F116" s="175" cm="1" t="str">
        <f t="array" ref="F116:F116">OFFSET(G116,-1,-1)</f>
        <v>1</v>
      </c>
      <c r="G116" s="1659"/>
      <c r="H116" s="1659"/>
      <c r="I116" s="193" t="s">
        <v>2472</v>
      </c>
      <c r="J116" s="1659"/>
      <c r="K116" s="1659"/>
      <c r="L116" s="1659"/>
      <c r="M116" s="1659"/>
      <c r="N116" s="1659"/>
      <c r="O116" s="1659"/>
      <c r="P116" s="1659"/>
      <c r="Q116" s="1659"/>
      <c r="R116" s="1659"/>
      <c r="S116" s="1659"/>
      <c r="T116" s="753" cm="1" t="str">
        <f t="array" ref="T116:T116">T115</f>
        <v>false</v>
      </c>
      <c r="U116" s="1548"/>
      <c r="V116" s="1548"/>
      <c r="W116" s="1548"/>
      <c r="X116" s="1548"/>
      <c r="Y116" s="1548"/>
      <c r="Z116" s="1548"/>
      <c r="AA116" s="286"/>
      <c r="AB116" s="560" t="s">
        <v>2496</v>
      </c>
      <c r="AC116" s="380" t="s">
        <v>629</v>
      </c>
      <c r="AD116" s="166"/>
      <c r="AE116" s="166"/>
      <c r="AF116" s="917">
        <f>IF(AD116=0,0,(AE116-AD116)/AD116*100)</f>
        <v>0</v>
      </c>
      <c r="AG116" s="166"/>
      <c r="AH116" s="166"/>
      <c r="AI116" s="917">
        <f>IF(AG116=0,0,(AH116-AG116)/AG116*100)</f>
        <v>0</v>
      </c>
      <c r="AJ116" s="166"/>
      <c r="AK116" s="166"/>
      <c r="AL116" s="917">
        <f>IF(AJ116=0,0,(AK116-AJ116)/AJ116*100)</f>
        <v>0</v>
      </c>
      <c r="AM116" s="166"/>
      <c r="AN116" s="166"/>
      <c r="AO116" s="917">
        <f>IF(AM116=0,0,(AN116-AM116)/AM116*100)</f>
        <v>0</v>
      </c>
      <c r="AP116" s="166"/>
      <c r="AQ116" s="166"/>
      <c r="AR116" s="917">
        <f>IF(AP116=0,0,(AQ116-AP116)/AP116*100)</f>
        <v>0</v>
      </c>
      <c r="AS116" s="166"/>
      <c r="AT116" s="166"/>
      <c r="AU116" s="917">
        <f>IF(AS116=0,0,(AT116-AS116)/AS116*100)</f>
        <v>0</v>
      </c>
      <c r="AV116" s="166"/>
      <c r="AW116" s="166"/>
      <c r="AX116" s="917">
        <f>IF(AV116=0,0,(AW116-AV116)/AV116*100)</f>
        <v>0</v>
      </c>
      <c r="AY116" s="166"/>
      <c r="AZ116" s="166"/>
      <c r="BA116" s="917">
        <f>IF(AY116=0,0,(AZ116-AY116)/AY116*100)</f>
        <v>0</v>
      </c>
      <c r="BB116" s="166"/>
      <c r="BC116" s="166"/>
      <c r="BD116" s="917">
        <f>IF(BB116=0,0,(BC116-BB116)/BB116*100)</f>
        <v>0</v>
      </c>
      <c r="BE116" s="166"/>
      <c r="BF116" s="166"/>
      <c r="BG116" s="917">
        <f>IF(BE116=0,0,(BF116-BE116)/BE116*100)</f>
        <v>0</v>
      </c>
      <c r="BH116" s="166"/>
      <c r="BI116" s="166"/>
      <c r="BJ116" s="917">
        <f>IF(BH116=0,0,(BI116-BH116)/BH116*100)</f>
        <v>0</v>
      </c>
      <c r="BK116" s="166"/>
      <c r="BL116" s="166"/>
      <c r="BM116" s="917">
        <f>IF(BK116=0,0,(BL116-BK116)/BK116*100)</f>
        <v>0</v>
      </c>
      <c r="BN116" s="166"/>
      <c r="BO116" s="166"/>
      <c r="BP116" s="917">
        <f>IF(BN116=0,0,(BO116-BN116)/BN116*100)</f>
        <v>0</v>
      </c>
      <c r="BQ116" s="166"/>
      <c r="BR116" s="166"/>
      <c r="BS116" s="917">
        <f>IF(BQ116=0,0,(BR116-BQ116)/BQ116*100)</f>
        <v>0</v>
      </c>
      <c r="BT116" s="166"/>
      <c r="BU116" s="166"/>
      <c r="BV116" s="917">
        <f>IF(BT116=0,0,(BU116-BT116)/BT116*100)</f>
        <v>0</v>
      </c>
      <c r="BW116" s="166"/>
      <c r="BX116" s="166"/>
      <c r="BY116" s="917">
        <f>IF(BW116=0,0,(BX116-BW116)/BW116*100)</f>
        <v>0</v>
      </c>
      <c r="BZ116" s="166"/>
      <c r="CA116" s="166"/>
      <c r="CB116" s="917">
        <f>IF(BZ116=0,0,(CA116-BZ116)/BZ116*100)</f>
        <v>0</v>
      </c>
      <c r="CC116" s="166"/>
      <c r="CD116" s="166"/>
      <c r="CE116" s="917">
        <f>IF(CC116=0,0,(CD116-CC116)/CC116*100)</f>
        <v>0</v>
      </c>
      <c r="CF116" s="166"/>
      <c r="CG116" s="166"/>
      <c r="CH116" s="917">
        <f>IF(CF116=0,0,(CG116-CF116)/CF116*100)</f>
        <v>0</v>
      </c>
      <c r="CI116" s="166"/>
      <c r="CJ116" s="166"/>
      <c r="CK116" s="917">
        <f>IF(CI116=0,0,(CJ116-CI116)/CI116*100)</f>
        <v>0</v>
      </c>
      <c r="CL116" s="166"/>
      <c r="CM116" s="166"/>
      <c r="CN116" s="917">
        <f>IF(CL116=0,0,(CM116-CL116)/CL116*100)</f>
        <v>0</v>
      </c>
      <c r="CO116" s="166"/>
      <c r="CP116" s="166"/>
      <c r="CQ116" s="917">
        <f>IF(CO116=0,0,(CP116-CO116)/CO116*100)</f>
        <v>0</v>
      </c>
      <c r="CR116" s="166"/>
      <c r="CS116" s="166"/>
      <c r="CT116" s="917">
        <f>IF(CR116=0,0,(CS116-CR116)/CR116*100)</f>
        <v>0</v>
      </c>
      <c r="CU116" s="166"/>
      <c r="CV116" s="166"/>
      <c r="CW116" s="917">
        <f>IF(CU116=0,0,(CV116-CU116)/CU116*100)</f>
        <v>0</v>
      </c>
      <c r="CX116" s="166"/>
      <c r="CY116" s="166"/>
      <c r="CZ116" s="917">
        <f>IF(CX116=0,0,(CY116-CX116)/CX116*100)</f>
        <v>0</v>
      </c>
      <c r="DA116" s="166"/>
      <c r="DB116" s="166"/>
      <c r="DC116" s="917">
        <f>IF(DA116=0,0,(DB116-DA116)/DA116*100)</f>
        <v>0</v>
      </c>
      <c r="DD116" s="166"/>
      <c r="DE116" s="166"/>
      <c r="DF116" s="917">
        <f>IF(DD116=0,0,(DE116-DD116)/DD116*100)</f>
        <v>0</v>
      </c>
      <c r="DG116" s="166"/>
      <c r="DH116" s="166"/>
      <c r="DI116" s="917">
        <f>IF(DG116=0,0,(DH116-DG116)/DG116*100)</f>
        <v>0</v>
      </c>
      <c r="DJ116" s="166"/>
      <c r="DK116" s="166"/>
      <c r="DL116" s="917">
        <f>IF(DJ116=0,0,(DK116-DJ116)/DJ116*100)</f>
        <v>0</v>
      </c>
      <c r="DM116" s="166"/>
      <c r="DN116" s="166"/>
      <c r="DO116" s="917">
        <f>IF(DM116=0,0,(DN116-DM116)/DM116*100)</f>
        <v>0</v>
      </c>
      <c r="DP116" s="166"/>
      <c r="DQ116" s="166"/>
      <c r="DR116" s="917">
        <f>IF(DP116=0,0,(DQ116-DP116)/DP116*100)</f>
        <v>0</v>
      </c>
      <c r="DS116" s="166"/>
      <c r="DT116" s="166"/>
      <c r="DU116" s="917">
        <f>IF(DS116=0,0,(DT116-DS116)/DS116*100)</f>
        <v>0</v>
      </c>
      <c r="DV116" s="166"/>
      <c r="DW116" s="166"/>
      <c r="DX116" s="917">
        <f>IF(DV116=0,0,(DW116-DV116)/DV116*100)</f>
        <v>0</v>
      </c>
      <c r="DY116" s="166"/>
      <c r="DZ116" s="166"/>
      <c r="EA116" s="917">
        <f>IF(DY116=0,0,(DZ116-DY116)/DY116*100)</f>
        <v>0</v>
      </c>
      <c r="EB116" s="166"/>
      <c r="EC116" s="166"/>
      <c r="ED116" s="917">
        <f>IF(EB116=0,0,(EC116-EB116)/EB116*100)</f>
        <v>0</v>
      </c>
      <c r="EE116" s="166"/>
      <c r="EF116" s="166"/>
      <c r="EG116" s="917">
        <f>IF(EE116=0,0,(EF116-EE116)/EE116*100)</f>
        <v>0</v>
      </c>
      <c r="EH116" s="166"/>
      <c r="EI116" s="166"/>
      <c r="EJ116" s="917">
        <f>IF(EH116=0,0,(EI116-EH116)/EH116*100)</f>
        <v>0</v>
      </c>
      <c r="EK116" s="166"/>
      <c r="EL116" s="166"/>
      <c r="EM116" s="917">
        <f>IF(EK116=0,0,(EL116-EK116)/EK116*100)</f>
        <v>0</v>
      </c>
      <c r="EN116" s="166"/>
      <c r="EO116" s="166"/>
      <c r="EP116" s="917">
        <f>IF(EN116=0,0,(EO116-EN116)/EN116*100)</f>
        <v>0</v>
      </c>
      <c r="EQ116" s="166"/>
      <c r="ER116" s="166"/>
      <c r="ES116" s="917">
        <f>IF(EQ116=0,0,(ER116-EQ116)/EQ116*100)</f>
        <v>0</v>
      </c>
      <c r="ET116" s="166"/>
      <c r="EU116" s="166"/>
      <c r="EV116" s="917">
        <f>IF(ET116=0,0,(EU116-ET116)/ET116*100)</f>
        <v>0</v>
      </c>
      <c r="EW116" s="166"/>
      <c r="EX116" s="166"/>
      <c r="EY116" s="917">
        <f>IF(EW116=0,0,(EX116-EW116)/EW116*100)</f>
        <v>0</v>
      </c>
      <c r="EZ116" s="166"/>
      <c r="FA116" s="166"/>
      <c r="FB116" s="917">
        <f>IF(EZ116=0,0,(FA116-EZ116)/EZ116*100)</f>
        <v>0</v>
      </c>
      <c r="FC116" s="166"/>
      <c r="FD116" s="166"/>
      <c r="FE116" s="917">
        <f>IF(FC116=0,0,(FD116-FC116)/FC116*100)</f>
        <v>0</v>
      </c>
      <c r="FF116" s="166"/>
      <c r="FG116" s="166"/>
      <c r="FH116" s="917">
        <f>IF(FF116=0,0,(FG116-FF116)/FF116*100)</f>
        <v>0</v>
      </c>
      <c r="FI116" s="166"/>
      <c r="FJ116" s="166"/>
      <c r="FK116" s="917">
        <f>IF(FI116=0,0,(FJ116-FI116)/FI116*100)</f>
        <v>0</v>
      </c>
      <c r="FL116" s="166"/>
      <c r="FM116" s="166"/>
      <c r="FN116" s="917">
        <f>IF(FL116=0,0,(FM116-FL116)/FL116*100)</f>
        <v>0</v>
      </c>
      <c r="FO116" s="166"/>
      <c r="FP116" s="166"/>
      <c r="FQ116" s="917">
        <f>IF(FO116=0,0,(FP116-FO116)/FO116*100)</f>
        <v>0</v>
      </c>
      <c r="FR116" s="166"/>
      <c r="FS116" s="166"/>
      <c r="FT116" s="917">
        <f>IF(FR116=0,0,(FS116-FR116)/FR116*100)</f>
        <v>0</v>
      </c>
      <c r="FU116" s="166"/>
      <c r="FV116" s="166"/>
      <c r="FW116" s="917">
        <f>IF(FU116=0,0,(FV116-FU116)/FU116*100)</f>
        <v>0</v>
      </c>
      <c r="FX116" s="286"/>
      <c r="FY116" s="1659"/>
      <c r="FZ116" s="489" t="s">
        <v>2519</v>
      </c>
      <c r="GA116" s="489"/>
      <c r="GB116" s="489"/>
      <c r="GC116" s="489"/>
      <c r="GD116" s="489"/>
      <c r="GE116" s="1506"/>
      <c r="GF116" s="1501" cm="1" t="str">
        <f t="array" ref="GF116:GF116">GF115</f>
        <v>ТЭ.42.31656254.0001</v>
      </c>
      <c r="GG116" s="1501" t="s">
        <v>704</v>
      </c>
      <c r="GH116" s="1501" t="s">
        <v>2469</v>
      </c>
      <c r="GI116" s="1501" t="s">
        <v>797</v>
      </c>
      <c r="GJ116" s="1501"/>
      <c r="GK116" s="1501"/>
      <c r="GL116" s="1501" t="s">
        <v>303</v>
      </c>
      <c r="GM116" s="1501" t="s">
        <v>2079</v>
      </c>
      <c r="GN116" s="1501" t="s">
        <v>2080</v>
      </c>
    </row>
    <row s="1751" customFormat="1" customHeight="1" ht="30.75" hidden="1">
      <c r="A117" s="371"/>
      <c r="B117" s="192" cm="1" t="str">
        <f t="array" ref="B117:B117">B116</f>
        <v>false</v>
      </c>
      <c r="C117" s="1659"/>
      <c r="D117" s="1659"/>
      <c r="E117" s="180">
        <v>32</v>
      </c>
      <c r="F117" s="175" cm="1" t="str">
        <f t="array" ref="F117:F117">OFFSET(G117,-1,-1)</f>
        <v>1</v>
      </c>
      <c r="G117" s="1659"/>
      <c r="H117" s="1659"/>
      <c r="I117" s="193" t="s">
        <v>2472</v>
      </c>
      <c r="J117" s="1659"/>
      <c r="K117" s="1659"/>
      <c r="L117" s="1659"/>
      <c r="M117" s="1659"/>
      <c r="N117" s="1659"/>
      <c r="O117" s="1659"/>
      <c r="P117" s="1659"/>
      <c r="Q117" s="1659"/>
      <c r="R117" s="1659"/>
      <c r="S117" s="1659"/>
      <c r="T117" s="753" cm="1" t="str">
        <f t="array" ref="T117:T117">T116</f>
        <v>false</v>
      </c>
      <c r="U117" s="1548"/>
      <c r="V117" s="1548"/>
      <c r="W117" s="1548"/>
      <c r="X117" s="1548"/>
      <c r="Y117" s="1548"/>
      <c r="Z117" s="1548"/>
      <c r="AA117" s="286"/>
      <c r="AB117" s="560" t="s">
        <v>2498</v>
      </c>
      <c r="AC117" s="333" t="s">
        <v>2131</v>
      </c>
      <c r="AD117" s="76"/>
      <c r="AE117" s="76"/>
      <c r="AF117" s="915">
        <f>IF(AD117=0,0,(AE117-AD117)/AD117*100)</f>
        <v>0</v>
      </c>
      <c r="AG117" s="76"/>
      <c r="AH117" s="76"/>
      <c r="AI117" s="915">
        <f>IF(AG117=0,0,(AH117-AG117)/AG117*100)</f>
        <v>0</v>
      </c>
      <c r="AJ117" s="76"/>
      <c r="AK117" s="76"/>
      <c r="AL117" s="915">
        <f>IF(AJ117=0,0,(AK117-AJ117)/AJ117*100)</f>
        <v>0</v>
      </c>
      <c r="AM117" s="76"/>
      <c r="AN117" s="76"/>
      <c r="AO117" s="915">
        <f>IF(AM117=0,0,(AN117-AM117)/AM117*100)</f>
        <v>0</v>
      </c>
      <c r="AP117" s="76"/>
      <c r="AQ117" s="76"/>
      <c r="AR117" s="915">
        <f>IF(AP117=0,0,(AQ117-AP117)/AP117*100)</f>
        <v>0</v>
      </c>
      <c r="AS117" s="76"/>
      <c r="AT117" s="76"/>
      <c r="AU117" s="915">
        <f>IF(AS117=0,0,(AT117-AS117)/AS117*100)</f>
        <v>0</v>
      </c>
      <c r="AV117" s="76"/>
      <c r="AW117" s="76"/>
      <c r="AX117" s="915">
        <f>IF(AV117=0,0,(AW117-AV117)/AV117*100)</f>
        <v>0</v>
      </c>
      <c r="AY117" s="76"/>
      <c r="AZ117" s="76"/>
      <c r="BA117" s="915">
        <f>IF(AY117=0,0,(AZ117-AY117)/AY117*100)</f>
        <v>0</v>
      </c>
      <c r="BB117" s="76"/>
      <c r="BC117" s="76"/>
      <c r="BD117" s="915">
        <f>IF(BB117=0,0,(BC117-BB117)/BB117*100)</f>
        <v>0</v>
      </c>
      <c r="BE117" s="76"/>
      <c r="BF117" s="76"/>
      <c r="BG117" s="915">
        <f>IF(BE117=0,0,(BF117-BE117)/BE117*100)</f>
        <v>0</v>
      </c>
      <c r="BH117" s="76"/>
      <c r="BI117" s="76"/>
      <c r="BJ117" s="915">
        <f>IF(BH117=0,0,(BI117-BH117)/BH117*100)</f>
        <v>0</v>
      </c>
      <c r="BK117" s="76"/>
      <c r="BL117" s="76"/>
      <c r="BM117" s="915">
        <f>IF(BK117=0,0,(BL117-BK117)/BK117*100)</f>
        <v>0</v>
      </c>
      <c r="BN117" s="76"/>
      <c r="BO117" s="76"/>
      <c r="BP117" s="915">
        <f>IF(BN117=0,0,(BO117-BN117)/BN117*100)</f>
        <v>0</v>
      </c>
      <c r="BQ117" s="76"/>
      <c r="BR117" s="76"/>
      <c r="BS117" s="915">
        <f>IF(BQ117=0,0,(BR117-BQ117)/BQ117*100)</f>
        <v>0</v>
      </c>
      <c r="BT117" s="76"/>
      <c r="BU117" s="76"/>
      <c r="BV117" s="915">
        <f>IF(BT117=0,0,(BU117-BT117)/BT117*100)</f>
        <v>0</v>
      </c>
      <c r="BW117" s="76"/>
      <c r="BX117" s="76"/>
      <c r="BY117" s="915">
        <f>IF(BW117=0,0,(BX117-BW117)/BW117*100)</f>
        <v>0</v>
      </c>
      <c r="BZ117" s="76"/>
      <c r="CA117" s="76"/>
      <c r="CB117" s="915">
        <f>IF(BZ117=0,0,(CA117-BZ117)/BZ117*100)</f>
        <v>0</v>
      </c>
      <c r="CC117" s="76"/>
      <c r="CD117" s="76"/>
      <c r="CE117" s="915">
        <f>IF(CC117=0,0,(CD117-CC117)/CC117*100)</f>
        <v>0</v>
      </c>
      <c r="CF117" s="76"/>
      <c r="CG117" s="76"/>
      <c r="CH117" s="915">
        <f>IF(CF117=0,0,(CG117-CF117)/CF117*100)</f>
        <v>0</v>
      </c>
      <c r="CI117" s="76"/>
      <c r="CJ117" s="76"/>
      <c r="CK117" s="915">
        <f>IF(CI117=0,0,(CJ117-CI117)/CI117*100)</f>
        <v>0</v>
      </c>
      <c r="CL117" s="76"/>
      <c r="CM117" s="76"/>
      <c r="CN117" s="915">
        <f>IF(CL117=0,0,(CM117-CL117)/CL117*100)</f>
        <v>0</v>
      </c>
      <c r="CO117" s="76"/>
      <c r="CP117" s="76"/>
      <c r="CQ117" s="915">
        <f>IF(CO117=0,0,(CP117-CO117)/CO117*100)</f>
        <v>0</v>
      </c>
      <c r="CR117" s="76"/>
      <c r="CS117" s="76"/>
      <c r="CT117" s="915">
        <f>IF(CR117=0,0,(CS117-CR117)/CR117*100)</f>
        <v>0</v>
      </c>
      <c r="CU117" s="76"/>
      <c r="CV117" s="76"/>
      <c r="CW117" s="915">
        <f>IF(CU117=0,0,(CV117-CU117)/CU117*100)</f>
        <v>0</v>
      </c>
      <c r="CX117" s="76"/>
      <c r="CY117" s="76"/>
      <c r="CZ117" s="915">
        <f>IF(CX117=0,0,(CY117-CX117)/CX117*100)</f>
        <v>0</v>
      </c>
      <c r="DA117" s="76"/>
      <c r="DB117" s="76"/>
      <c r="DC117" s="915">
        <f>IF(DA117=0,0,(DB117-DA117)/DA117*100)</f>
        <v>0</v>
      </c>
      <c r="DD117" s="76"/>
      <c r="DE117" s="76"/>
      <c r="DF117" s="915">
        <f>IF(DD117=0,0,(DE117-DD117)/DD117*100)</f>
        <v>0</v>
      </c>
      <c r="DG117" s="76"/>
      <c r="DH117" s="76"/>
      <c r="DI117" s="915">
        <f>IF(DG117=0,0,(DH117-DG117)/DG117*100)</f>
        <v>0</v>
      </c>
      <c r="DJ117" s="76"/>
      <c r="DK117" s="76"/>
      <c r="DL117" s="915">
        <f>IF(DJ117=0,0,(DK117-DJ117)/DJ117*100)</f>
        <v>0</v>
      </c>
      <c r="DM117" s="76"/>
      <c r="DN117" s="76"/>
      <c r="DO117" s="915">
        <f>IF(DM117=0,0,(DN117-DM117)/DM117*100)</f>
        <v>0</v>
      </c>
      <c r="DP117" s="76"/>
      <c r="DQ117" s="76"/>
      <c r="DR117" s="915">
        <f>IF(DP117=0,0,(DQ117-DP117)/DP117*100)</f>
        <v>0</v>
      </c>
      <c r="DS117" s="76"/>
      <c r="DT117" s="76"/>
      <c r="DU117" s="915">
        <f>IF(DS117=0,0,(DT117-DS117)/DS117*100)</f>
        <v>0</v>
      </c>
      <c r="DV117" s="76"/>
      <c r="DW117" s="76"/>
      <c r="DX117" s="915">
        <f>IF(DV117=0,0,(DW117-DV117)/DV117*100)</f>
        <v>0</v>
      </c>
      <c r="DY117" s="76"/>
      <c r="DZ117" s="76"/>
      <c r="EA117" s="915">
        <f>IF(DY117=0,0,(DZ117-DY117)/DY117*100)</f>
        <v>0</v>
      </c>
      <c r="EB117" s="76"/>
      <c r="EC117" s="76"/>
      <c r="ED117" s="915">
        <f>IF(EB117=0,0,(EC117-EB117)/EB117*100)</f>
        <v>0</v>
      </c>
      <c r="EE117" s="76"/>
      <c r="EF117" s="76"/>
      <c r="EG117" s="915">
        <f>IF(EE117=0,0,(EF117-EE117)/EE117*100)</f>
        <v>0</v>
      </c>
      <c r="EH117" s="76"/>
      <c r="EI117" s="76"/>
      <c r="EJ117" s="915">
        <f>IF(EH117=0,0,(EI117-EH117)/EH117*100)</f>
        <v>0</v>
      </c>
      <c r="EK117" s="76"/>
      <c r="EL117" s="76"/>
      <c r="EM117" s="915">
        <f>IF(EK117=0,0,(EL117-EK117)/EK117*100)</f>
        <v>0</v>
      </c>
      <c r="EN117" s="76"/>
      <c r="EO117" s="76"/>
      <c r="EP117" s="915">
        <f>IF(EN117=0,0,(EO117-EN117)/EN117*100)</f>
        <v>0</v>
      </c>
      <c r="EQ117" s="76"/>
      <c r="ER117" s="76"/>
      <c r="ES117" s="915">
        <f>IF(EQ117=0,0,(ER117-EQ117)/EQ117*100)</f>
        <v>0</v>
      </c>
      <c r="ET117" s="76"/>
      <c r="EU117" s="76"/>
      <c r="EV117" s="915">
        <f>IF(ET117=0,0,(EU117-ET117)/ET117*100)</f>
        <v>0</v>
      </c>
      <c r="EW117" s="76"/>
      <c r="EX117" s="76"/>
      <c r="EY117" s="915">
        <f>IF(EW117=0,0,(EX117-EW117)/EW117*100)</f>
        <v>0</v>
      </c>
      <c r="EZ117" s="76"/>
      <c r="FA117" s="76"/>
      <c r="FB117" s="915">
        <f>IF(EZ117=0,0,(FA117-EZ117)/EZ117*100)</f>
        <v>0</v>
      </c>
      <c r="FC117" s="76"/>
      <c r="FD117" s="76"/>
      <c r="FE117" s="915">
        <f>IF(FC117=0,0,(FD117-FC117)/FC117*100)</f>
        <v>0</v>
      </c>
      <c r="FF117" s="76"/>
      <c r="FG117" s="76"/>
      <c r="FH117" s="915">
        <f>IF(FF117=0,0,(FG117-FF117)/FF117*100)</f>
        <v>0</v>
      </c>
      <c r="FI117" s="76"/>
      <c r="FJ117" s="76"/>
      <c r="FK117" s="915">
        <f>IF(FI117=0,0,(FJ117-FI117)/FI117*100)</f>
        <v>0</v>
      </c>
      <c r="FL117" s="76"/>
      <c r="FM117" s="76"/>
      <c r="FN117" s="915">
        <f>IF(FL117=0,0,(FM117-FL117)/FL117*100)</f>
        <v>0</v>
      </c>
      <c r="FO117" s="76"/>
      <c r="FP117" s="76"/>
      <c r="FQ117" s="915">
        <f>IF(FO117=0,0,(FP117-FO117)/FO117*100)</f>
        <v>0</v>
      </c>
      <c r="FR117" s="76"/>
      <c r="FS117" s="76"/>
      <c r="FT117" s="915">
        <f>IF(FR117=0,0,(FS117-FR117)/FR117*100)</f>
        <v>0</v>
      </c>
      <c r="FU117" s="76"/>
      <c r="FV117" s="76"/>
      <c r="FW117" s="915">
        <f>IF(FU117=0,0,(FV117-FU117)/FU117*100)</f>
        <v>0</v>
      </c>
      <c r="FX117" s="286"/>
      <c r="FY117" s="1659"/>
      <c r="FZ117" s="489" t="s">
        <v>2520</v>
      </c>
      <c r="GA117" s="489"/>
      <c r="GB117" s="489"/>
      <c r="GC117" s="489"/>
      <c r="GD117" s="489"/>
      <c r="GE117" s="1506"/>
      <c r="GF117" s="1501" cm="1" t="str">
        <f t="array" ref="GF117:GF117">GF116</f>
        <v>ТЭ.42.31656254.0001</v>
      </c>
      <c r="GG117" s="1501" t="s">
        <v>704</v>
      </c>
      <c r="GH117" s="1501" t="s">
        <v>2469</v>
      </c>
      <c r="GI117" s="1501" t="s">
        <v>797</v>
      </c>
      <c r="GJ117" s="1501"/>
      <c r="GK117" s="1501"/>
      <c r="GL117" s="1501" t="s">
        <v>303</v>
      </c>
      <c r="GM117" s="1501" t="s">
        <v>2500</v>
      </c>
      <c r="GN117" s="1501" t="s">
        <v>2501</v>
      </c>
    </row>
    <row s="1751" customFormat="1" customHeight="1" ht="15" hidden="1">
      <c r="A118" s="371"/>
      <c r="B118" s="192" cm="1" t="str">
        <f t="array" ref="B118:B118">B117</f>
        <v>false</v>
      </c>
      <c r="C118" s="1659"/>
      <c r="D118" s="1659"/>
      <c r="E118" s="180">
        <v>16</v>
      </c>
      <c r="F118" s="175" cm="1" t="str">
        <f t="array" ref="F118:F118">OFFSET(G118,-1,-1)</f>
        <v>1</v>
      </c>
      <c r="G118" s="1659"/>
      <c r="H118" s="1659"/>
      <c r="I118" s="193" t="s">
        <v>2472</v>
      </c>
      <c r="J118" s="1659"/>
      <c r="K118" s="1659"/>
      <c r="L118" s="1659"/>
      <c r="M118" s="1659"/>
      <c r="N118" s="1659"/>
      <c r="O118" s="1659"/>
      <c r="P118" s="1659"/>
      <c r="Q118" s="1659"/>
      <c r="R118" s="1659"/>
      <c r="S118" s="1659"/>
      <c r="T118" s="753" cm="1" t="str">
        <f t="array" ref="T118:T118">T117</f>
        <v>false</v>
      </c>
      <c r="U118" s="1548"/>
      <c r="V118" s="1548"/>
      <c r="W118" s="1548"/>
      <c r="X118" s="1548"/>
      <c r="Y118" s="1548"/>
      <c r="Z118" s="1548"/>
      <c r="AA118" s="286"/>
      <c r="AB118" s="560" t="s">
        <v>2502</v>
      </c>
      <c r="AC118" s="845" t="s">
        <v>752</v>
      </c>
      <c r="AD118" s="76"/>
      <c r="AE118" s="76"/>
      <c r="AF118" s="915">
        <f>IF(AD118=0,0,(AE118-AD118)/AD118*100)</f>
        <v>0</v>
      </c>
      <c r="AG118" s="76"/>
      <c r="AH118" s="76"/>
      <c r="AI118" s="915">
        <f>IF(AG118=0,0,(AH118-AG118)/AG118*100)</f>
        <v>0</v>
      </c>
      <c r="AJ118" s="76"/>
      <c r="AK118" s="76"/>
      <c r="AL118" s="915">
        <f>IF(AJ118=0,0,(AK118-AJ118)/AJ118*100)</f>
        <v>0</v>
      </c>
      <c r="AM118" s="76"/>
      <c r="AN118" s="76"/>
      <c r="AO118" s="915">
        <f>IF(AM118=0,0,(AN118-AM118)/AM118*100)</f>
        <v>0</v>
      </c>
      <c r="AP118" s="76"/>
      <c r="AQ118" s="76"/>
      <c r="AR118" s="915">
        <f>IF(AP118=0,0,(AQ118-AP118)/AP118*100)</f>
        <v>0</v>
      </c>
      <c r="AS118" s="76"/>
      <c r="AT118" s="76"/>
      <c r="AU118" s="915">
        <f>IF(AS118=0,0,(AT118-AS118)/AS118*100)</f>
        <v>0</v>
      </c>
      <c r="AV118" s="76"/>
      <c r="AW118" s="76"/>
      <c r="AX118" s="915">
        <f>IF(AV118=0,0,(AW118-AV118)/AV118*100)</f>
        <v>0</v>
      </c>
      <c r="AY118" s="76"/>
      <c r="AZ118" s="76"/>
      <c r="BA118" s="915">
        <f>IF(AY118=0,0,(AZ118-AY118)/AY118*100)</f>
        <v>0</v>
      </c>
      <c r="BB118" s="76"/>
      <c r="BC118" s="76"/>
      <c r="BD118" s="915">
        <f>IF(BB118=0,0,(BC118-BB118)/BB118*100)</f>
        <v>0</v>
      </c>
      <c r="BE118" s="76"/>
      <c r="BF118" s="76"/>
      <c r="BG118" s="915">
        <f>IF(BE118=0,0,(BF118-BE118)/BE118*100)</f>
        <v>0</v>
      </c>
      <c r="BH118" s="76"/>
      <c r="BI118" s="76"/>
      <c r="BJ118" s="915">
        <f>IF(BH118=0,0,(BI118-BH118)/BH118*100)</f>
        <v>0</v>
      </c>
      <c r="BK118" s="76"/>
      <c r="BL118" s="76"/>
      <c r="BM118" s="915">
        <f>IF(BK118=0,0,(BL118-BK118)/BK118*100)</f>
        <v>0</v>
      </c>
      <c r="BN118" s="76"/>
      <c r="BO118" s="76"/>
      <c r="BP118" s="915">
        <f>IF(BN118=0,0,(BO118-BN118)/BN118*100)</f>
        <v>0</v>
      </c>
      <c r="BQ118" s="76"/>
      <c r="BR118" s="76"/>
      <c r="BS118" s="915">
        <f>IF(BQ118=0,0,(BR118-BQ118)/BQ118*100)</f>
        <v>0</v>
      </c>
      <c r="BT118" s="76"/>
      <c r="BU118" s="76"/>
      <c r="BV118" s="915">
        <f>IF(BT118=0,0,(BU118-BT118)/BT118*100)</f>
        <v>0</v>
      </c>
      <c r="BW118" s="76"/>
      <c r="BX118" s="76"/>
      <c r="BY118" s="915">
        <f>IF(BW118=0,0,(BX118-BW118)/BW118*100)</f>
        <v>0</v>
      </c>
      <c r="BZ118" s="76"/>
      <c r="CA118" s="76"/>
      <c r="CB118" s="915">
        <f>IF(BZ118=0,0,(CA118-BZ118)/BZ118*100)</f>
        <v>0</v>
      </c>
      <c r="CC118" s="76"/>
      <c r="CD118" s="76"/>
      <c r="CE118" s="915">
        <f>IF(CC118=0,0,(CD118-CC118)/CC118*100)</f>
        <v>0</v>
      </c>
      <c r="CF118" s="76"/>
      <c r="CG118" s="76"/>
      <c r="CH118" s="915">
        <f>IF(CF118=0,0,(CG118-CF118)/CF118*100)</f>
        <v>0</v>
      </c>
      <c r="CI118" s="76"/>
      <c r="CJ118" s="76"/>
      <c r="CK118" s="915">
        <f>IF(CI118=0,0,(CJ118-CI118)/CI118*100)</f>
        <v>0</v>
      </c>
      <c r="CL118" s="76"/>
      <c r="CM118" s="76"/>
      <c r="CN118" s="915">
        <f>IF(CL118=0,0,(CM118-CL118)/CL118*100)</f>
        <v>0</v>
      </c>
      <c r="CO118" s="76"/>
      <c r="CP118" s="76"/>
      <c r="CQ118" s="915">
        <f>IF(CO118=0,0,(CP118-CO118)/CO118*100)</f>
        <v>0</v>
      </c>
      <c r="CR118" s="76"/>
      <c r="CS118" s="76"/>
      <c r="CT118" s="915">
        <f>IF(CR118=0,0,(CS118-CR118)/CR118*100)</f>
        <v>0</v>
      </c>
      <c r="CU118" s="76"/>
      <c r="CV118" s="76"/>
      <c r="CW118" s="915">
        <f>IF(CU118=0,0,(CV118-CU118)/CU118*100)</f>
        <v>0</v>
      </c>
      <c r="CX118" s="76"/>
      <c r="CY118" s="76"/>
      <c r="CZ118" s="915">
        <f>IF(CX118=0,0,(CY118-CX118)/CX118*100)</f>
        <v>0</v>
      </c>
      <c r="DA118" s="76"/>
      <c r="DB118" s="76"/>
      <c r="DC118" s="915">
        <f>IF(DA118=0,0,(DB118-DA118)/DA118*100)</f>
        <v>0</v>
      </c>
      <c r="DD118" s="76"/>
      <c r="DE118" s="76"/>
      <c r="DF118" s="915">
        <f>IF(DD118=0,0,(DE118-DD118)/DD118*100)</f>
        <v>0</v>
      </c>
      <c r="DG118" s="76"/>
      <c r="DH118" s="76"/>
      <c r="DI118" s="915">
        <f>IF(DG118=0,0,(DH118-DG118)/DG118*100)</f>
        <v>0</v>
      </c>
      <c r="DJ118" s="76"/>
      <c r="DK118" s="76"/>
      <c r="DL118" s="915">
        <f>IF(DJ118=0,0,(DK118-DJ118)/DJ118*100)</f>
        <v>0</v>
      </c>
      <c r="DM118" s="76"/>
      <c r="DN118" s="76"/>
      <c r="DO118" s="915">
        <f>IF(DM118=0,0,(DN118-DM118)/DM118*100)</f>
        <v>0</v>
      </c>
      <c r="DP118" s="76"/>
      <c r="DQ118" s="76"/>
      <c r="DR118" s="915">
        <f>IF(DP118=0,0,(DQ118-DP118)/DP118*100)</f>
        <v>0</v>
      </c>
      <c r="DS118" s="76"/>
      <c r="DT118" s="76"/>
      <c r="DU118" s="915">
        <f>IF(DS118=0,0,(DT118-DS118)/DS118*100)</f>
        <v>0</v>
      </c>
      <c r="DV118" s="76"/>
      <c r="DW118" s="76"/>
      <c r="DX118" s="915">
        <f>IF(DV118=0,0,(DW118-DV118)/DV118*100)</f>
        <v>0</v>
      </c>
      <c r="DY118" s="76"/>
      <c r="DZ118" s="76"/>
      <c r="EA118" s="915">
        <f>IF(DY118=0,0,(DZ118-DY118)/DY118*100)</f>
        <v>0</v>
      </c>
      <c r="EB118" s="76"/>
      <c r="EC118" s="76"/>
      <c r="ED118" s="915">
        <f>IF(EB118=0,0,(EC118-EB118)/EB118*100)</f>
        <v>0</v>
      </c>
      <c r="EE118" s="76"/>
      <c r="EF118" s="76"/>
      <c r="EG118" s="915">
        <f>IF(EE118=0,0,(EF118-EE118)/EE118*100)</f>
        <v>0</v>
      </c>
      <c r="EH118" s="76"/>
      <c r="EI118" s="76"/>
      <c r="EJ118" s="915">
        <f>IF(EH118=0,0,(EI118-EH118)/EH118*100)</f>
        <v>0</v>
      </c>
      <c r="EK118" s="76"/>
      <c r="EL118" s="76"/>
      <c r="EM118" s="915">
        <f>IF(EK118=0,0,(EL118-EK118)/EK118*100)</f>
        <v>0</v>
      </c>
      <c r="EN118" s="76"/>
      <c r="EO118" s="76"/>
      <c r="EP118" s="915">
        <f>IF(EN118=0,0,(EO118-EN118)/EN118*100)</f>
        <v>0</v>
      </c>
      <c r="EQ118" s="76"/>
      <c r="ER118" s="76"/>
      <c r="ES118" s="915">
        <f>IF(EQ118=0,0,(ER118-EQ118)/EQ118*100)</f>
        <v>0</v>
      </c>
      <c r="ET118" s="76"/>
      <c r="EU118" s="76"/>
      <c r="EV118" s="915">
        <f>IF(ET118=0,0,(EU118-ET118)/ET118*100)</f>
        <v>0</v>
      </c>
      <c r="EW118" s="76"/>
      <c r="EX118" s="76"/>
      <c r="EY118" s="915">
        <f>IF(EW118=0,0,(EX118-EW118)/EW118*100)</f>
        <v>0</v>
      </c>
      <c r="EZ118" s="76"/>
      <c r="FA118" s="76"/>
      <c r="FB118" s="915">
        <f>IF(EZ118=0,0,(FA118-EZ118)/EZ118*100)</f>
        <v>0</v>
      </c>
      <c r="FC118" s="76"/>
      <c r="FD118" s="76"/>
      <c r="FE118" s="915">
        <f>IF(FC118=0,0,(FD118-FC118)/FC118*100)</f>
        <v>0</v>
      </c>
      <c r="FF118" s="76"/>
      <c r="FG118" s="76"/>
      <c r="FH118" s="915">
        <f>IF(FF118=0,0,(FG118-FF118)/FF118*100)</f>
        <v>0</v>
      </c>
      <c r="FI118" s="76"/>
      <c r="FJ118" s="76"/>
      <c r="FK118" s="915">
        <f>IF(FI118=0,0,(FJ118-FI118)/FI118*100)</f>
        <v>0</v>
      </c>
      <c r="FL118" s="76"/>
      <c r="FM118" s="76"/>
      <c r="FN118" s="915">
        <f>IF(FL118=0,0,(FM118-FL118)/FL118*100)</f>
        <v>0</v>
      </c>
      <c r="FO118" s="76"/>
      <c r="FP118" s="76"/>
      <c r="FQ118" s="915">
        <f>IF(FO118=0,0,(FP118-FO118)/FO118*100)</f>
        <v>0</v>
      </c>
      <c r="FR118" s="76"/>
      <c r="FS118" s="76"/>
      <c r="FT118" s="915">
        <f>IF(FR118=0,0,(FS118-FR118)/FR118*100)</f>
        <v>0</v>
      </c>
      <c r="FU118" s="76"/>
      <c r="FV118" s="76"/>
      <c r="FW118" s="915">
        <f>IF(FU118=0,0,(FV118-FU118)/FU118*100)</f>
        <v>0</v>
      </c>
      <c r="FX118" s="286"/>
      <c r="FY118" s="1659"/>
      <c r="FZ118" s="489" t="s">
        <v>2521</v>
      </c>
      <c r="GA118" s="489"/>
      <c r="GB118" s="489"/>
      <c r="GC118" s="489"/>
      <c r="GD118" s="489"/>
      <c r="GE118" s="1506"/>
      <c r="GF118" s="1501" cm="1" t="str">
        <f t="array" ref="GF118:GF118">GF117</f>
        <v>ТЭ.42.31656254.0001</v>
      </c>
      <c r="GG118" s="1501" t="s">
        <v>704</v>
      </c>
      <c r="GH118" s="1501" t="s">
        <v>2469</v>
      </c>
      <c r="GI118" s="1501" t="s">
        <v>797</v>
      </c>
      <c r="GJ118" s="1501"/>
      <c r="GK118" s="1501"/>
      <c r="GL118" s="1501" t="s">
        <v>303</v>
      </c>
      <c r="GM118" s="1501" t="s">
        <v>2504</v>
      </c>
      <c r="GN118" s="1501" t="s">
        <v>2505</v>
      </c>
    </row>
    <row s="1751" customFormat="1" customHeight="1" ht="15.75" hidden="1">
      <c r="A119" s="371"/>
      <c r="B119" s="1548"/>
      <c r="C119" s="1659"/>
      <c r="D119" s="1659"/>
      <c r="E119" s="965">
        <v>0</v>
      </c>
      <c r="F119" s="175" cm="1" t="str">
        <f t="array" ref="F119:F119">OFFSET(G119,-1,-1)</f>
        <v>1</v>
      </c>
      <c r="G119" s="1659"/>
      <c r="H119" s="1659"/>
      <c r="I119" s="1659"/>
      <c r="J119" s="1659"/>
      <c r="K119" s="1659"/>
      <c r="L119" s="1659"/>
      <c r="M119" s="1659"/>
      <c r="N119" s="1659"/>
      <c r="O119" s="1659"/>
      <c r="P119" s="1659"/>
      <c r="Q119" s="1659"/>
      <c r="R119" s="1659"/>
      <c r="S119" s="1659"/>
      <c r="T119" s="753" t="b">
        <v>0</v>
      </c>
      <c r="U119" s="1548"/>
      <c r="V119" s="1548"/>
      <c r="W119" s="1548"/>
      <c r="X119" s="1548"/>
      <c r="Y119" s="1548"/>
      <c r="Z119" s="1548"/>
      <c r="AA119" s="286"/>
      <c r="AB119" s="919" t="s">
        <v>191</v>
      </c>
      <c r="AC119" s="241"/>
      <c r="AD119" s="920"/>
      <c r="AE119" s="920"/>
      <c r="AF119" s="920"/>
      <c r="AG119" s="920"/>
      <c r="AH119" s="920"/>
      <c r="AI119" s="920"/>
      <c r="AJ119" s="920"/>
      <c r="AK119" s="920"/>
      <c r="AL119" s="920"/>
      <c r="AM119" s="920"/>
      <c r="AN119" s="920"/>
      <c r="AO119" s="920"/>
      <c r="AP119" s="920"/>
      <c r="AQ119" s="920"/>
      <c r="AR119" s="920"/>
      <c r="AS119" s="920"/>
      <c r="AT119" s="920"/>
      <c r="AU119" s="920"/>
      <c r="AV119" s="920"/>
      <c r="AW119" s="920"/>
      <c r="AX119" s="920"/>
      <c r="AY119" s="920"/>
      <c r="AZ119" s="920"/>
      <c r="BA119" s="920"/>
      <c r="BB119" s="920"/>
      <c r="BC119" s="920"/>
      <c r="BD119" s="920"/>
      <c r="BE119" s="920"/>
      <c r="BF119" s="920"/>
      <c r="BG119" s="920"/>
      <c r="BH119" s="920"/>
      <c r="BI119" s="920"/>
      <c r="BJ119" s="920"/>
      <c r="BK119" s="920"/>
      <c r="BL119" s="920"/>
      <c r="BM119" s="920"/>
      <c r="BN119" s="920"/>
      <c r="BO119" s="920"/>
      <c r="BP119" s="920"/>
      <c r="BQ119" s="920"/>
      <c r="BR119" s="920"/>
      <c r="BS119" s="920"/>
      <c r="BT119" s="920"/>
      <c r="BU119" s="920"/>
      <c r="BV119" s="920"/>
      <c r="BW119" s="920"/>
      <c r="BX119" s="920"/>
      <c r="BY119" s="920"/>
      <c r="BZ119" s="920"/>
      <c r="CA119" s="920"/>
      <c r="CB119" s="920"/>
      <c r="CC119" s="920"/>
      <c r="CD119" s="920"/>
      <c r="CE119" s="920"/>
      <c r="CF119" s="920"/>
      <c r="CG119" s="920"/>
      <c r="CH119" s="920"/>
      <c r="CI119" s="920"/>
      <c r="CJ119" s="920"/>
      <c r="CK119" s="920"/>
      <c r="CL119" s="920"/>
      <c r="CM119" s="920"/>
      <c r="CN119" s="920"/>
      <c r="CO119" s="920"/>
      <c r="CP119" s="920"/>
      <c r="CQ119" s="920"/>
      <c r="CR119" s="920"/>
      <c r="CS119" s="920"/>
      <c r="CT119" s="920"/>
      <c r="CU119" s="920"/>
      <c r="CV119" s="920"/>
      <c r="CW119" s="920"/>
      <c r="CX119" s="920"/>
      <c r="CY119" s="920"/>
      <c r="CZ119" s="920"/>
      <c r="DA119" s="920"/>
      <c r="DB119" s="920"/>
      <c r="DC119" s="920"/>
      <c r="DD119" s="920"/>
      <c r="DE119" s="920"/>
      <c r="DF119" s="920"/>
      <c r="DG119" s="920"/>
      <c r="DH119" s="920"/>
      <c r="DI119" s="920"/>
      <c r="DJ119" s="920"/>
      <c r="DK119" s="920"/>
      <c r="DL119" s="920"/>
      <c r="DM119" s="920"/>
      <c r="DN119" s="920"/>
      <c r="DO119" s="920"/>
      <c r="DP119" s="920"/>
      <c r="DQ119" s="920"/>
      <c r="DR119" s="920"/>
      <c r="DS119" s="920"/>
      <c r="DT119" s="920"/>
      <c r="DU119" s="920"/>
      <c r="DV119" s="920"/>
      <c r="DW119" s="920"/>
      <c r="DX119" s="920"/>
      <c r="DY119" s="920"/>
      <c r="DZ119" s="920"/>
      <c r="EA119" s="920"/>
      <c r="EB119" s="920"/>
      <c r="EC119" s="920"/>
      <c r="ED119" s="920"/>
      <c r="EE119" s="920"/>
      <c r="EF119" s="920"/>
      <c r="EG119" s="920"/>
      <c r="EH119" s="920"/>
      <c r="EI119" s="920"/>
      <c r="EJ119" s="920"/>
      <c r="EK119" s="920"/>
      <c r="EL119" s="920"/>
      <c r="EM119" s="920"/>
      <c r="EN119" s="920"/>
      <c r="EO119" s="920"/>
      <c r="EP119" s="920"/>
      <c r="EQ119" s="920"/>
      <c r="ER119" s="920"/>
      <c r="ES119" s="920"/>
      <c r="ET119" s="920"/>
      <c r="EU119" s="920"/>
      <c r="EV119" s="920"/>
      <c r="EW119" s="920"/>
      <c r="EX119" s="920"/>
      <c r="EY119" s="920"/>
      <c r="EZ119" s="920"/>
      <c r="FA119" s="920"/>
      <c r="FB119" s="920"/>
      <c r="FC119" s="920"/>
      <c r="FD119" s="920"/>
      <c r="FE119" s="920"/>
      <c r="FF119" s="920"/>
      <c r="FG119" s="920"/>
      <c r="FH119" s="920"/>
      <c r="FI119" s="920"/>
      <c r="FJ119" s="920"/>
      <c r="FK119" s="920"/>
      <c r="FL119" s="920"/>
      <c r="FM119" s="920"/>
      <c r="FN119" s="920"/>
      <c r="FO119" s="920"/>
      <c r="FP119" s="920"/>
      <c r="FQ119" s="920"/>
      <c r="FR119" s="920"/>
      <c r="FS119" s="920"/>
      <c r="FT119" s="920"/>
      <c r="FU119" s="920"/>
      <c r="FV119" s="920"/>
      <c r="FW119" s="242"/>
      <c r="FX119" s="286"/>
      <c r="FY119" s="1659"/>
      <c r="FZ119" s="1125"/>
      <c r="GA119" s="489"/>
      <c r="GB119" s="489"/>
      <c r="GC119" s="489"/>
      <c r="GD119" s="489"/>
      <c r="GE119" s="1506"/>
      <c r="GF119" s="1751"/>
      <c r="GG119" s="1751"/>
      <c r="GH119" s="1751"/>
      <c r="GI119" s="1751"/>
      <c r="GJ119" s="1751"/>
      <c r="GK119" s="1751"/>
      <c r="GL119" s="1751"/>
      <c r="GM119" s="1751"/>
      <c r="GN119" s="1751"/>
    </row>
    <row customHeight="1" ht="15.600000000000001">
      <c r="E120" s="180">
        <v>16</v>
      </c>
      <c r="U120" s="175" t="s">
        <v>191</v>
      </c>
      <c r="V120" s="176" t="s">
        <v>2522</v>
      </c>
      <c r="AB120" s="250"/>
      <c r="AC120" s="239"/>
      <c r="AD120" s="181"/>
      <c r="AE120" s="181"/>
      <c r="AF120" s="181"/>
      <c r="AG120" s="181"/>
      <c r="AH120" s="181"/>
      <c r="AI120" s="181"/>
      <c r="AJ120" s="181"/>
      <c r="AK120" s="181"/>
      <c r="AL120" s="181"/>
      <c r="AM120" s="181"/>
      <c r="AN120" s="181"/>
      <c r="AO120" s="181"/>
      <c r="AP120" s="181"/>
      <c r="AQ120" s="181"/>
      <c r="AR120" s="181"/>
      <c r="AS120" s="181"/>
      <c r="AT120" s="181"/>
      <c r="AU120" s="181"/>
      <c r="AV120" s="181"/>
      <c r="AW120" s="181"/>
      <c r="AX120" s="181"/>
      <c r="AY120" s="181"/>
      <c r="AZ120" s="181"/>
      <c r="BA120" s="181"/>
      <c r="BB120" s="181"/>
      <c r="BC120" s="181"/>
      <c r="BD120" s="181"/>
      <c r="BE120" s="181"/>
      <c r="BF120" s="181"/>
      <c r="BG120" s="181"/>
      <c r="BH120" s="181"/>
      <c r="BI120" s="181"/>
      <c r="BJ120" s="181"/>
      <c r="BK120" s="181"/>
      <c r="BL120" s="181"/>
      <c r="BM120" s="181"/>
      <c r="BN120" s="181"/>
      <c r="BO120" s="181"/>
      <c r="BP120" s="181"/>
      <c r="BQ120" s="181"/>
      <c r="BR120" s="181"/>
      <c r="BS120" s="181"/>
      <c r="BT120" s="181"/>
      <c r="BU120" s="181"/>
      <c r="BV120" s="181"/>
      <c r="BW120" s="181"/>
      <c r="BX120" s="181"/>
      <c r="BY120" s="181"/>
      <c r="BZ120" s="181"/>
      <c r="CA120" s="181"/>
      <c r="CB120" s="181"/>
      <c r="CC120" s="181"/>
      <c r="CD120" s="181"/>
      <c r="CE120" s="181"/>
      <c r="CF120" s="181"/>
      <c r="CG120" s="181"/>
      <c r="CH120" s="181"/>
      <c r="CI120" s="181"/>
      <c r="CJ120" s="181"/>
      <c r="CK120" s="181"/>
      <c r="CL120" s="181"/>
      <c r="CM120" s="181"/>
      <c r="CN120" s="181"/>
      <c r="CO120" s="181"/>
      <c r="CP120" s="181"/>
      <c r="CQ120" s="181"/>
      <c r="CR120" s="181"/>
      <c r="CS120" s="181"/>
      <c r="CT120" s="181"/>
      <c r="CU120" s="181"/>
      <c r="CV120" s="181"/>
      <c r="CW120" s="181"/>
      <c r="CX120" s="181"/>
      <c r="CY120" s="181"/>
      <c r="CZ120" s="181"/>
      <c r="DA120" s="181"/>
      <c r="DB120" s="181"/>
      <c r="DC120" s="181"/>
      <c r="DD120" s="181"/>
      <c r="DE120" s="181"/>
      <c r="DF120" s="181"/>
      <c r="DG120" s="181"/>
      <c r="DH120" s="181"/>
      <c r="DI120" s="181"/>
      <c r="DJ120" s="181"/>
      <c r="DK120" s="181"/>
      <c r="DL120" s="181"/>
      <c r="DM120" s="181"/>
      <c r="DN120" s="181"/>
      <c r="DO120" s="181"/>
      <c r="DP120" s="181"/>
      <c r="DQ120" s="181"/>
      <c r="DR120" s="181"/>
      <c r="DS120" s="181"/>
      <c r="DT120" s="181"/>
      <c r="DU120" s="181"/>
      <c r="DV120" s="181"/>
      <c r="DW120" s="181"/>
      <c r="DX120" s="181"/>
      <c r="DY120" s="181"/>
      <c r="DZ120" s="181"/>
      <c r="EA120" s="181"/>
      <c r="EB120" s="181"/>
      <c r="EC120" s="181"/>
      <c r="ED120" s="181"/>
      <c r="EE120" s="181"/>
      <c r="EF120" s="181"/>
      <c r="EG120" s="181"/>
      <c r="EH120" s="181"/>
      <c r="EI120" s="181"/>
      <c r="EJ120" s="181"/>
      <c r="EK120" s="181"/>
      <c r="EL120" s="181"/>
      <c r="EM120" s="181"/>
      <c r="EN120" s="181"/>
      <c r="EO120" s="181"/>
      <c r="EP120" s="181"/>
      <c r="EQ120" s="181"/>
      <c r="ER120" s="181"/>
      <c r="ES120" s="181"/>
      <c r="ET120" s="181"/>
      <c r="EU120" s="181"/>
      <c r="EV120" s="181"/>
      <c r="EW120" s="181"/>
      <c r="EX120" s="181"/>
      <c r="EY120" s="181"/>
      <c r="EZ120" s="181"/>
      <c r="FA120" s="181"/>
      <c r="FB120" s="181"/>
      <c r="FC120" s="181"/>
      <c r="FD120" s="181"/>
      <c r="FE120" s="181"/>
      <c r="FF120" s="181"/>
      <c r="FG120" s="181"/>
      <c r="FH120" s="181"/>
      <c r="FI120" s="181"/>
      <c r="FJ120" s="181"/>
      <c r="FK120" s="181"/>
      <c r="FL120" s="181"/>
      <c r="FM120" s="181"/>
      <c r="FN120" s="181"/>
      <c r="FO120" s="181"/>
      <c r="FP120" s="181"/>
      <c r="FQ120" s="181"/>
      <c r="FR120" s="181"/>
      <c r="FS120" s="181"/>
      <c r="FT120" s="181"/>
      <c r="FU120" s="181"/>
      <c r="FV120" s="181"/>
      <c r="FW120" s="181"/>
      <c r="GA120" s="489"/>
      <c r="GB120" s="489"/>
      <c r="GC120" s="489"/>
      <c r="GD120" s="489"/>
    </row>
    <row customHeight="1" ht="15.75" hidden="1">
      <c r="E121" s="965">
        <v>0</v>
      </c>
      <c r="AG121" s="286"/>
      <c r="AH121" s="286"/>
      <c r="AI121" s="286"/>
      <c r="AJ121" s="286"/>
      <c r="AK121" s="286"/>
      <c r="AL121" s="286"/>
      <c r="AM121" s="286"/>
      <c r="AN121" s="286"/>
      <c r="AO121" s="286"/>
      <c r="AP121" s="286"/>
      <c r="AQ121" s="286"/>
      <c r="AR121" s="286"/>
      <c r="AS121" s="286"/>
      <c r="AT121" s="286"/>
      <c r="AU121" s="286"/>
      <c r="AV121" s="286"/>
      <c r="AW121" s="286"/>
      <c r="AX121" s="286"/>
      <c r="AY121" s="286"/>
      <c r="AZ121" s="286"/>
      <c r="BA121" s="286"/>
      <c r="BB121" s="286"/>
      <c r="BC121" s="286"/>
      <c r="BD121" s="286"/>
      <c r="BE121" s="286"/>
      <c r="BF121" s="286"/>
      <c r="BG121" s="286"/>
      <c r="BH121" s="286"/>
      <c r="BI121" s="286"/>
      <c r="BJ121" s="286"/>
      <c r="BK121" s="286"/>
      <c r="BL121" s="286"/>
      <c r="BM121" s="286"/>
      <c r="BN121" s="286"/>
      <c r="BO121" s="286"/>
      <c r="BP121" s="286"/>
      <c r="BQ121" s="286"/>
      <c r="BR121" s="286"/>
      <c r="BS121" s="286"/>
      <c r="BT121" s="286"/>
      <c r="BU121" s="286"/>
      <c r="BV121" s="286"/>
      <c r="BW121" s="286"/>
      <c r="BX121" s="286"/>
      <c r="BY121" s="286"/>
      <c r="BZ121" s="286"/>
      <c r="CA121" s="286"/>
      <c r="CB121" s="286"/>
      <c r="CC121" s="286"/>
      <c r="CD121" s="286"/>
      <c r="CE121" s="286"/>
      <c r="CF121" s="286"/>
      <c r="CG121" s="286"/>
      <c r="CH121" s="286"/>
      <c r="CI121" s="286"/>
      <c r="CJ121" s="286"/>
      <c r="CK121" s="286"/>
      <c r="CL121" s="286"/>
      <c r="CM121" s="286"/>
      <c r="CN121" s="286"/>
      <c r="CO121" s="286"/>
      <c r="CP121" s="286"/>
      <c r="CQ121" s="286"/>
      <c r="CR121" s="286"/>
      <c r="CS121" s="286"/>
      <c r="CT121" s="286"/>
      <c r="CU121" s="286"/>
      <c r="CV121" s="286"/>
      <c r="CW121" s="286"/>
      <c r="CX121" s="286"/>
      <c r="CY121" s="286"/>
      <c r="CZ121" s="286"/>
      <c r="DA121" s="286"/>
      <c r="DB121" s="286"/>
      <c r="DC121" s="286"/>
      <c r="DD121" s="286"/>
      <c r="DE121" s="286"/>
      <c r="DF121" s="286"/>
      <c r="DG121" s="286"/>
      <c r="DH121" s="286"/>
      <c r="DI121" s="286"/>
      <c r="DJ121" s="286"/>
      <c r="DK121" s="286"/>
      <c r="DL121" s="286"/>
      <c r="DM121" s="286"/>
      <c r="DN121" s="286"/>
      <c r="DO121" s="286"/>
      <c r="DP121" s="286"/>
      <c r="DQ121" s="286"/>
      <c r="DR121" s="286"/>
      <c r="DS121" s="286"/>
      <c r="DT121" s="286"/>
      <c r="DU121" s="286"/>
      <c r="DV121" s="286"/>
      <c r="DW121" s="286"/>
      <c r="DX121" s="286"/>
      <c r="DY121" s="286"/>
      <c r="DZ121" s="286"/>
      <c r="EA121" s="286"/>
      <c r="EB121" s="286"/>
      <c r="EC121" s="286"/>
      <c r="ED121" s="286"/>
      <c r="EE121" s="286"/>
      <c r="EF121" s="286"/>
      <c r="EG121" s="286"/>
      <c r="EH121" s="286"/>
      <c r="EI121" s="286"/>
      <c r="EJ121" s="286"/>
      <c r="EK121" s="286"/>
      <c r="EL121" s="286"/>
      <c r="EM121" s="286"/>
      <c r="EN121" s="286"/>
      <c r="EO121" s="286"/>
      <c r="EP121" s="286"/>
      <c r="EQ121" s="286"/>
      <c r="ER121" s="286"/>
      <c r="ES121" s="286"/>
      <c r="ET121" s="286"/>
      <c r="EU121" s="286"/>
      <c r="EV121" s="286"/>
      <c r="EW121" s="286"/>
      <c r="EX121" s="286"/>
      <c r="EY121" s="286"/>
      <c r="EZ121" s="286"/>
      <c r="FA121" s="286"/>
      <c r="FB121" s="286"/>
      <c r="FC121" s="286"/>
      <c r="FD121" s="286"/>
      <c r="FE121" s="286"/>
      <c r="FF121" s="286"/>
      <c r="FG121" s="286"/>
      <c r="FH121" s="286"/>
      <c r="FI121" s="286"/>
      <c r="FJ121" s="286"/>
      <c r="FK121" s="286"/>
      <c r="FL121" s="286"/>
      <c r="FM121" s="286"/>
      <c r="FN121" s="286"/>
      <c r="FO121" s="286"/>
      <c r="FP121" s="286"/>
      <c r="FQ121" s="286"/>
      <c r="FR121" s="286"/>
      <c r="FS121" s="286"/>
      <c r="FT121" s="286"/>
      <c r="FU121" s="286"/>
      <c r="FV121" s="286"/>
      <c r="FW121" s="286"/>
      <c r="GA121" s="489"/>
      <c r="GB121" s="489"/>
      <c r="GC121" s="489"/>
      <c r="GD121" s="489"/>
    </row>
    <row customHeight="1" ht="15.600000000000001">
      <c r="E122" s="180">
        <v>16</v>
      </c>
      <c r="AB122" s="1653" t="s">
        <v>765</v>
      </c>
      <c r="AC122" s="1653"/>
      <c r="AD122" s="1653"/>
      <c r="AE122" s="1653"/>
      <c r="AF122" s="1653"/>
      <c r="AG122" s="1653"/>
      <c r="AH122" s="1653"/>
      <c r="AI122" s="1653"/>
      <c r="AJ122" s="1653"/>
      <c r="AK122" s="1653"/>
      <c r="AL122" s="1653"/>
      <c r="AM122" s="1653"/>
      <c r="AN122" s="1653"/>
      <c r="AO122" s="1653"/>
      <c r="AP122" s="1653"/>
      <c r="AQ122" s="1653"/>
      <c r="AR122" s="1653"/>
      <c r="AS122" s="1653"/>
      <c r="AT122" s="1653"/>
      <c r="AU122" s="1653"/>
      <c r="AV122" s="1653"/>
      <c r="AW122" s="1653"/>
      <c r="AX122" s="1653"/>
      <c r="AY122" s="1653"/>
      <c r="AZ122" s="1653"/>
      <c r="BA122" s="1653"/>
      <c r="BB122" s="1653"/>
      <c r="BC122" s="1653"/>
      <c r="BD122" s="1653"/>
      <c r="BE122" s="1653"/>
      <c r="BF122" s="1653"/>
      <c r="BG122" s="1653"/>
      <c r="BH122" s="286"/>
      <c r="BI122" s="286"/>
      <c r="BJ122" s="286"/>
      <c r="BK122" s="286"/>
      <c r="BL122" s="286"/>
      <c r="BM122" s="286"/>
      <c r="BN122" s="286"/>
      <c r="BO122" s="286"/>
      <c r="BP122" s="286"/>
      <c r="BQ122" s="286"/>
      <c r="BR122" s="286"/>
      <c r="BS122" s="286"/>
      <c r="BT122" s="286"/>
      <c r="BU122" s="286"/>
      <c r="BV122" s="286"/>
      <c r="BW122" s="286"/>
      <c r="BX122" s="286"/>
      <c r="BY122" s="286"/>
      <c r="BZ122" s="286"/>
      <c r="CA122" s="286"/>
      <c r="CB122" s="286"/>
      <c r="CC122" s="286"/>
      <c r="CD122" s="286"/>
      <c r="CE122" s="286"/>
      <c r="CF122" s="286"/>
      <c r="CG122" s="286"/>
      <c r="CH122" s="286"/>
      <c r="CI122" s="286"/>
      <c r="CJ122" s="286"/>
      <c r="CK122" s="286"/>
      <c r="CL122" s="286"/>
      <c r="CM122" s="286"/>
      <c r="CN122" s="286"/>
      <c r="CO122" s="286"/>
      <c r="CP122" s="286"/>
      <c r="CQ122" s="286"/>
      <c r="CR122" s="286"/>
      <c r="CS122" s="286"/>
      <c r="CT122" s="286"/>
      <c r="CU122" s="286"/>
      <c r="CV122" s="286"/>
      <c r="CW122" s="286"/>
      <c r="CX122" s="286"/>
      <c r="CY122" s="286"/>
      <c r="CZ122" s="286"/>
      <c r="DA122" s="286"/>
      <c r="DB122" s="286"/>
      <c r="DC122" s="286"/>
      <c r="DD122" s="286"/>
      <c r="DE122" s="286"/>
      <c r="DF122" s="286"/>
      <c r="DG122" s="286"/>
      <c r="DH122" s="286"/>
      <c r="DI122" s="286"/>
      <c r="DJ122" s="286"/>
      <c r="DK122" s="286"/>
      <c r="DL122" s="286"/>
      <c r="DM122" s="286"/>
      <c r="DN122" s="286"/>
      <c r="DO122" s="286"/>
      <c r="DP122" s="286"/>
      <c r="DQ122" s="286"/>
      <c r="DR122" s="286"/>
      <c r="DS122" s="286"/>
      <c r="DT122" s="286"/>
      <c r="DU122" s="286"/>
      <c r="DV122" s="286"/>
      <c r="DW122" s="286"/>
      <c r="DX122" s="286"/>
      <c r="DY122" s="286"/>
      <c r="DZ122" s="286"/>
      <c r="EA122" s="286"/>
      <c r="EB122" s="286"/>
      <c r="EC122" s="286"/>
      <c r="ED122" s="286"/>
      <c r="EE122" s="286"/>
      <c r="EF122" s="286"/>
      <c r="EG122" s="286"/>
      <c r="EH122" s="286"/>
      <c r="EI122" s="286"/>
      <c r="EJ122" s="286"/>
      <c r="EK122" s="286"/>
      <c r="EL122" s="286"/>
      <c r="EM122" s="286"/>
      <c r="EN122" s="286"/>
      <c r="EO122" s="286"/>
      <c r="EP122" s="286"/>
      <c r="EQ122" s="286"/>
      <c r="ER122" s="286"/>
      <c r="ES122" s="286"/>
      <c r="ET122" s="286"/>
      <c r="EU122" s="286"/>
      <c r="EV122" s="286"/>
      <c r="EW122" s="286"/>
      <c r="EX122" s="286"/>
      <c r="EY122" s="286"/>
      <c r="EZ122" s="286"/>
      <c r="FA122" s="286"/>
      <c r="FB122" s="286"/>
      <c r="FC122" s="286"/>
      <c r="FD122" s="286"/>
      <c r="FE122" s="286"/>
      <c r="FF122" s="286"/>
      <c r="FG122" s="286"/>
      <c r="FH122" s="286"/>
      <c r="FI122" s="286"/>
      <c r="FJ122" s="286"/>
      <c r="FK122" s="286"/>
      <c r="FL122" s="286"/>
      <c r="FM122" s="286"/>
      <c r="FN122" s="286"/>
      <c r="FO122" s="286"/>
      <c r="FP122" s="286"/>
      <c r="FQ122" s="286"/>
      <c r="FR122" s="286"/>
      <c r="FS122" s="286"/>
      <c r="FT122" s="286"/>
      <c r="FU122" s="286"/>
      <c r="FV122" s="286"/>
      <c r="FW122" s="286"/>
      <c r="GA122" s="489"/>
      <c r="GB122" s="489"/>
      <c r="GC122" s="489"/>
      <c r="GD122" s="489"/>
    </row>
    <row customHeight="1" ht="13.649999999999999">
      <c r="E123" s="180">
        <v>14</v>
      </c>
      <c r="AA123" s="477"/>
      <c r="AB123" s="1708"/>
      <c r="AC123" s="1708"/>
      <c r="AD123" s="1708"/>
      <c r="AE123" s="1708"/>
      <c r="AF123" s="1708"/>
      <c r="AG123" s="2423"/>
      <c r="AH123" s="2423"/>
      <c r="AI123" s="2423"/>
      <c r="AJ123" s="2423"/>
      <c r="AK123" s="2423"/>
      <c r="AL123" s="2423"/>
      <c r="AM123" s="2423"/>
      <c r="AN123" s="2423"/>
      <c r="AO123" s="2423"/>
      <c r="AP123" s="2423"/>
      <c r="AQ123" s="2423"/>
      <c r="AR123" s="2423"/>
      <c r="AS123" s="2423"/>
      <c r="AT123" s="2423"/>
      <c r="AU123" s="2423"/>
      <c r="AV123" s="2423"/>
      <c r="AW123" s="2423"/>
      <c r="AX123" s="2423"/>
      <c r="AY123" s="2423"/>
      <c r="AZ123" s="2423"/>
      <c r="BA123" s="2423"/>
      <c r="BB123" s="2423"/>
      <c r="BC123" s="2423"/>
      <c r="BD123" s="2423"/>
      <c r="BE123" s="2423"/>
      <c r="BF123" s="2423"/>
      <c r="BG123" s="2423"/>
      <c r="BH123" s="286"/>
      <c r="BI123" s="286"/>
      <c r="BJ123" s="286"/>
      <c r="BK123" s="286"/>
      <c r="BL123" s="286"/>
      <c r="BM123" s="286"/>
      <c r="BN123" s="286"/>
      <c r="BO123" s="286"/>
      <c r="BP123" s="286"/>
      <c r="BQ123" s="286"/>
      <c r="BR123" s="286"/>
      <c r="BS123" s="286"/>
      <c r="BT123" s="286"/>
      <c r="BU123" s="286"/>
      <c r="BV123" s="286"/>
      <c r="BW123" s="286"/>
      <c r="BX123" s="286"/>
      <c r="BY123" s="286"/>
      <c r="BZ123" s="286"/>
      <c r="CA123" s="286"/>
      <c r="CB123" s="286"/>
      <c r="CC123" s="286"/>
      <c r="CD123" s="286"/>
      <c r="CE123" s="286"/>
      <c r="CF123" s="286"/>
      <c r="CG123" s="286"/>
      <c r="CH123" s="286"/>
      <c r="CI123" s="286"/>
      <c r="CJ123" s="286"/>
      <c r="CK123" s="286"/>
      <c r="CL123" s="286"/>
      <c r="CM123" s="286"/>
      <c r="CN123" s="286"/>
      <c r="CO123" s="286"/>
      <c r="CP123" s="286"/>
      <c r="CQ123" s="286"/>
      <c r="CR123" s="286"/>
      <c r="CS123" s="286"/>
      <c r="CT123" s="286"/>
      <c r="CU123" s="286"/>
      <c r="CV123" s="286"/>
      <c r="CW123" s="286"/>
      <c r="CX123" s="286"/>
      <c r="CY123" s="286"/>
      <c r="CZ123" s="286"/>
      <c r="DA123" s="286"/>
      <c r="DB123" s="286"/>
      <c r="DC123" s="286"/>
      <c r="DD123" s="286"/>
      <c r="DE123" s="286"/>
      <c r="DF123" s="286"/>
      <c r="DG123" s="286"/>
      <c r="DH123" s="286"/>
      <c r="DI123" s="286"/>
      <c r="DJ123" s="286"/>
      <c r="DK123" s="286"/>
      <c r="DL123" s="286"/>
      <c r="DM123" s="286"/>
      <c r="DN123" s="286"/>
      <c r="DO123" s="286"/>
      <c r="DP123" s="286"/>
      <c r="DQ123" s="286"/>
      <c r="DR123" s="286"/>
      <c r="DS123" s="286"/>
      <c r="DT123" s="286"/>
      <c r="DU123" s="286"/>
      <c r="DV123" s="286"/>
      <c r="DW123" s="286"/>
      <c r="DX123" s="286"/>
      <c r="DY123" s="286"/>
      <c r="DZ123" s="286"/>
      <c r="EA123" s="286"/>
      <c r="EB123" s="286"/>
      <c r="EC123" s="286"/>
      <c r="ED123" s="286"/>
      <c r="EE123" s="286"/>
      <c r="EF123" s="286"/>
      <c r="EG123" s="286"/>
      <c r="EH123" s="286"/>
      <c r="EI123" s="286"/>
      <c r="EJ123" s="286"/>
      <c r="EK123" s="286"/>
      <c r="EL123" s="286"/>
      <c r="EM123" s="286"/>
      <c r="EN123" s="286"/>
      <c r="EO123" s="286"/>
      <c r="EP123" s="286"/>
      <c r="EQ123" s="286"/>
      <c r="ER123" s="286"/>
      <c r="ES123" s="286"/>
      <c r="ET123" s="286"/>
      <c r="EU123" s="286"/>
      <c r="EV123" s="286"/>
      <c r="EW123" s="286"/>
      <c r="EX123" s="286"/>
      <c r="EY123" s="286"/>
      <c r="EZ123" s="286"/>
      <c r="FA123" s="286"/>
      <c r="FB123" s="286"/>
      <c r="FC123" s="286"/>
      <c r="FD123" s="286"/>
      <c r="FE123" s="286"/>
      <c r="FF123" s="286"/>
      <c r="FG123" s="286"/>
      <c r="FH123" s="286"/>
      <c r="FI123" s="286"/>
      <c r="FJ123" s="286"/>
      <c r="FK123" s="286"/>
      <c r="FL123" s="286"/>
      <c r="FM123" s="286"/>
      <c r="FN123" s="286"/>
      <c r="FO123" s="286"/>
      <c r="FP123" s="286"/>
      <c r="FQ123" s="286"/>
      <c r="FR123" s="286"/>
      <c r="FS123" s="286"/>
      <c r="FT123" s="286"/>
      <c r="FU123" s="286"/>
      <c r="FV123" s="286"/>
      <c r="FW123" s="286"/>
      <c r="GA123" s="489"/>
      <c r="GB123" s="489"/>
      <c r="GC123" s="489"/>
      <c r="GD123" s="489"/>
    </row>
    <row customHeight="1" ht="13.649999999999999" hidden="1">
      <c r="A124" s="371"/>
      <c r="B124" s="1548"/>
      <c r="C124" s="1659"/>
      <c r="D124" s="1659"/>
      <c r="E124" s="180">
        <v>14</v>
      </c>
      <c r="F124" s="1548"/>
      <c r="G124" s="1659"/>
      <c r="H124" s="1659"/>
      <c r="I124" s="1659"/>
      <c r="J124" s="1659"/>
      <c r="K124" s="1659"/>
      <c r="L124" s="1659"/>
      <c r="M124" s="1659"/>
      <c r="N124" s="1659"/>
      <c r="O124" s="1659"/>
      <c r="P124" s="1659"/>
      <c r="Q124" s="1659"/>
      <c r="R124" s="1659"/>
      <c r="S124" s="1659"/>
      <c r="T124" s="753">
        <f>ROW(W124)&gt;ROW(W$124)</f>
        <v>0</v>
      </c>
      <c r="U124" s="1548"/>
      <c r="V124" s="1548"/>
      <c r="W124" s="175" t="s">
        <v>189</v>
      </c>
      <c r="X124" s="1548"/>
      <c r="Y124" s="1548"/>
      <c r="Z124" s="1548"/>
      <c r="AA124" s="477" t="s">
        <v>171</v>
      </c>
      <c r="AB124" s="2423"/>
      <c r="AC124" s="2423"/>
      <c r="AD124" s="2423"/>
      <c r="AE124" s="2423"/>
      <c r="AF124" s="2423"/>
      <c r="AG124" s="2423"/>
      <c r="AH124" s="2423"/>
      <c r="AI124" s="2423"/>
      <c r="AJ124" s="2423"/>
      <c r="AK124" s="2423"/>
      <c r="AL124" s="2423"/>
      <c r="AM124" s="2423"/>
      <c r="AN124" s="2423"/>
      <c r="AO124" s="2423"/>
      <c r="AP124" s="2423"/>
      <c r="AQ124" s="2423"/>
      <c r="AR124" s="2423"/>
      <c r="AS124" s="2423"/>
      <c r="AT124" s="2423"/>
      <c r="AU124" s="2423"/>
      <c r="AV124" s="2423"/>
      <c r="AW124" s="2423"/>
      <c r="AX124" s="2423"/>
      <c r="AY124" s="2423"/>
      <c r="AZ124" s="2423"/>
      <c r="BA124" s="2423"/>
      <c r="BB124" s="2423"/>
      <c r="BC124" s="2423"/>
      <c r="BD124" s="2423"/>
      <c r="BE124" s="2423"/>
      <c r="BF124" s="2423"/>
      <c r="BG124" s="2423"/>
      <c r="BH124" s="286"/>
      <c r="BI124" s="286"/>
      <c r="BJ124" s="286"/>
      <c r="BK124" s="286"/>
      <c r="BL124" s="286"/>
      <c r="BM124" s="286"/>
      <c r="BN124" s="286"/>
      <c r="BO124" s="286"/>
      <c r="BP124" s="286"/>
      <c r="BQ124" s="286"/>
      <c r="BR124" s="286"/>
      <c r="BS124" s="286"/>
      <c r="BT124" s="286"/>
      <c r="BU124" s="286"/>
      <c r="BV124" s="286"/>
      <c r="BW124" s="286"/>
      <c r="BX124" s="286"/>
      <c r="BY124" s="286"/>
      <c r="BZ124" s="286"/>
      <c r="CA124" s="286"/>
      <c r="CB124" s="286"/>
      <c r="CC124" s="286"/>
      <c r="CD124" s="286"/>
      <c r="CE124" s="286"/>
      <c r="CF124" s="286"/>
      <c r="CG124" s="286"/>
      <c r="CH124" s="286"/>
      <c r="CI124" s="286"/>
      <c r="CJ124" s="286"/>
      <c r="CK124" s="286"/>
      <c r="CL124" s="286"/>
      <c r="CM124" s="286"/>
      <c r="CN124" s="286"/>
      <c r="CO124" s="286"/>
      <c r="CP124" s="286"/>
      <c r="CQ124" s="286"/>
      <c r="CR124" s="286"/>
      <c r="CS124" s="286"/>
      <c r="CT124" s="286"/>
      <c r="CU124" s="286"/>
      <c r="CV124" s="286"/>
      <c r="CW124" s="286"/>
      <c r="CX124" s="286"/>
      <c r="CY124" s="286"/>
      <c r="CZ124" s="286"/>
      <c r="DA124" s="286"/>
      <c r="DB124" s="286"/>
      <c r="DC124" s="286"/>
      <c r="DD124" s="286"/>
      <c r="DE124" s="286"/>
      <c r="DF124" s="286"/>
      <c r="DG124" s="286"/>
      <c r="DH124" s="286"/>
      <c r="DI124" s="286"/>
      <c r="DJ124" s="286"/>
      <c r="DK124" s="286"/>
      <c r="DL124" s="286"/>
      <c r="DM124" s="286"/>
      <c r="DN124" s="286"/>
      <c r="DO124" s="286"/>
      <c r="DP124" s="286"/>
      <c r="DQ124" s="286"/>
      <c r="DR124" s="286"/>
      <c r="DS124" s="286"/>
      <c r="DT124" s="286"/>
      <c r="DU124" s="286"/>
      <c r="DV124" s="286"/>
      <c r="DW124" s="286"/>
      <c r="DX124" s="286"/>
      <c r="DY124" s="286"/>
      <c r="DZ124" s="286"/>
      <c r="EA124" s="286"/>
      <c r="EB124" s="286"/>
      <c r="EC124" s="286"/>
      <c r="ED124" s="286"/>
      <c r="EE124" s="286"/>
      <c r="EF124" s="286"/>
      <c r="EG124" s="286"/>
      <c r="EH124" s="286"/>
      <c r="EI124" s="286"/>
      <c r="EJ124" s="286"/>
      <c r="EK124" s="286"/>
      <c r="EL124" s="286"/>
      <c r="EM124" s="286"/>
      <c r="EN124" s="286"/>
      <c r="EO124" s="286"/>
      <c r="EP124" s="286"/>
      <c r="EQ124" s="286"/>
      <c r="ER124" s="286"/>
      <c r="ES124" s="286"/>
      <c r="ET124" s="286"/>
      <c r="EU124" s="286"/>
      <c r="EV124" s="286"/>
      <c r="EW124" s="286"/>
      <c r="EX124" s="286"/>
      <c r="EY124" s="286"/>
      <c r="EZ124" s="286"/>
      <c r="FA124" s="286"/>
      <c r="FB124" s="286"/>
      <c r="FC124" s="286"/>
      <c r="FD124" s="286"/>
      <c r="FE124" s="286"/>
      <c r="FF124" s="286"/>
      <c r="FG124" s="286"/>
      <c r="FH124" s="286"/>
      <c r="FI124" s="286"/>
      <c r="FJ124" s="286"/>
      <c r="FK124" s="286"/>
      <c r="FL124" s="286"/>
      <c r="FM124" s="286"/>
      <c r="FN124" s="286"/>
      <c r="FO124" s="286"/>
      <c r="FP124" s="286"/>
      <c r="FQ124" s="286"/>
      <c r="FR124" s="286"/>
      <c r="FS124" s="286"/>
      <c r="FT124" s="286"/>
      <c r="FU124" s="286"/>
      <c r="FV124" s="286"/>
      <c r="FW124" s="286"/>
      <c r="FX124" s="286"/>
      <c r="FY124" s="1659"/>
      <c r="FZ124" s="1125"/>
      <c r="GA124" s="489"/>
      <c r="GB124" s="489"/>
      <c r="GC124" s="489"/>
      <c r="GD124" s="489"/>
      <c r="GE124" s="1506"/>
      <c r="GF124" s="1752"/>
      <c r="GG124" s="1752"/>
      <c r="GH124" s="1752"/>
      <c r="GI124" s="1752"/>
      <c r="GJ124" s="1752"/>
      <c r="GK124" s="1752"/>
      <c r="GL124" s="1752"/>
      <c r="GM124" s="1752"/>
      <c r="GN124" s="1752"/>
    </row>
    <row customHeight="1" ht="14.625">
      <c r="E125" s="180">
        <v>15</v>
      </c>
      <c r="W125" s="176" t="s">
        <v>190</v>
      </c>
      <c r="AB125" s="1599" t="s">
        <v>766</v>
      </c>
      <c r="AC125" s="1600"/>
      <c r="AD125" s="480"/>
      <c r="AE125" s="480"/>
      <c r="AF125" s="480"/>
      <c r="AG125" s="480"/>
      <c r="AH125" s="480"/>
      <c r="AI125" s="480"/>
      <c r="AJ125" s="480"/>
      <c r="AK125" s="480"/>
      <c r="AL125" s="480"/>
      <c r="AM125" s="480"/>
      <c r="AN125" s="480"/>
      <c r="AO125" s="480"/>
      <c r="AP125" s="480"/>
      <c r="AQ125" s="480"/>
      <c r="AR125" s="480"/>
      <c r="AS125" s="480"/>
      <c r="AT125" s="480"/>
      <c r="AU125" s="480"/>
      <c r="AV125" s="480"/>
      <c r="AW125" s="480"/>
      <c r="AX125" s="480"/>
      <c r="AY125" s="480"/>
      <c r="AZ125" s="480"/>
      <c r="BA125" s="480"/>
      <c r="BB125" s="480"/>
      <c r="BC125" s="480"/>
      <c r="BD125" s="480"/>
      <c r="BE125" s="480"/>
      <c r="BF125" s="480"/>
      <c r="BG125" s="482"/>
      <c r="BH125" s="286"/>
      <c r="BI125" s="286"/>
      <c r="BJ125" s="286"/>
      <c r="BK125" s="286"/>
      <c r="BL125" s="286"/>
      <c r="BM125" s="286"/>
      <c r="BN125" s="286"/>
      <c r="BO125" s="286"/>
      <c r="BP125" s="286"/>
      <c r="BQ125" s="286"/>
      <c r="BR125" s="286"/>
      <c r="BS125" s="286"/>
      <c r="BT125" s="286"/>
      <c r="BU125" s="286"/>
      <c r="BV125" s="286"/>
      <c r="BW125" s="286"/>
      <c r="BX125" s="286"/>
      <c r="BY125" s="286"/>
      <c r="BZ125" s="286"/>
      <c r="CA125" s="286"/>
      <c r="CB125" s="286"/>
      <c r="CC125" s="286"/>
      <c r="CD125" s="286"/>
      <c r="CE125" s="286"/>
      <c r="CF125" s="286"/>
      <c r="CG125" s="286"/>
      <c r="CH125" s="286"/>
      <c r="CI125" s="286"/>
      <c r="CJ125" s="286"/>
      <c r="CK125" s="286"/>
      <c r="CL125" s="286"/>
      <c r="CM125" s="286"/>
      <c r="CN125" s="286"/>
      <c r="CO125" s="286"/>
      <c r="CP125" s="286"/>
      <c r="CQ125" s="286"/>
      <c r="CR125" s="286"/>
      <c r="CS125" s="286"/>
      <c r="CT125" s="286"/>
      <c r="CU125" s="286"/>
      <c r="CV125" s="286"/>
      <c r="CW125" s="286"/>
      <c r="CX125" s="286"/>
      <c r="CY125" s="286"/>
      <c r="CZ125" s="286"/>
      <c r="DA125" s="286"/>
      <c r="DB125" s="286"/>
      <c r="DC125" s="286"/>
      <c r="DD125" s="286"/>
      <c r="DE125" s="286"/>
      <c r="DF125" s="286"/>
      <c r="DG125" s="286"/>
      <c r="DH125" s="286"/>
      <c r="DI125" s="286"/>
      <c r="DJ125" s="286"/>
      <c r="DK125" s="286"/>
      <c r="DL125" s="286"/>
      <c r="DM125" s="286"/>
      <c r="DN125" s="286"/>
      <c r="DO125" s="286"/>
      <c r="DP125" s="286"/>
      <c r="DQ125" s="286"/>
      <c r="DR125" s="286"/>
      <c r="DS125" s="286"/>
      <c r="DT125" s="286"/>
      <c r="DU125" s="286"/>
      <c r="DV125" s="286"/>
      <c r="DW125" s="286"/>
      <c r="DX125" s="286"/>
      <c r="DY125" s="286"/>
      <c r="DZ125" s="286"/>
      <c r="EA125" s="286"/>
      <c r="EB125" s="286"/>
      <c r="EC125" s="286"/>
      <c r="ED125" s="286"/>
      <c r="EE125" s="286"/>
      <c r="EF125" s="286"/>
      <c r="EG125" s="286"/>
      <c r="EH125" s="286"/>
      <c r="EI125" s="286"/>
      <c r="EJ125" s="286"/>
      <c r="EK125" s="286"/>
      <c r="EL125" s="286"/>
      <c r="EM125" s="286"/>
      <c r="EN125" s="286"/>
      <c r="EO125" s="286"/>
      <c r="EP125" s="286"/>
      <c r="EQ125" s="286"/>
      <c r="ER125" s="286"/>
      <c r="ES125" s="286"/>
      <c r="ET125" s="286"/>
      <c r="EU125" s="286"/>
      <c r="EV125" s="286"/>
      <c r="EW125" s="286"/>
      <c r="EX125" s="286"/>
      <c r="EY125" s="286"/>
      <c r="EZ125" s="286"/>
      <c r="FA125" s="286"/>
      <c r="FB125" s="286"/>
      <c r="FC125" s="286"/>
      <c r="FD125" s="286"/>
      <c r="FE125" s="286"/>
      <c r="FF125" s="286"/>
      <c r="FG125" s="286"/>
      <c r="FH125" s="286"/>
      <c r="FI125" s="286"/>
      <c r="FJ125" s="286"/>
      <c r="FK125" s="286"/>
      <c r="FL125" s="286"/>
      <c r="FM125" s="286"/>
      <c r="FN125" s="286"/>
      <c r="FO125" s="286"/>
      <c r="FP125" s="286"/>
      <c r="FQ125" s="286"/>
      <c r="FR125" s="286"/>
      <c r="FS125" s="286"/>
      <c r="FT125" s="286"/>
      <c r="FU125" s="286"/>
      <c r="FV125" s="286"/>
      <c r="FW125" s="286"/>
      <c r="GA125" s="489"/>
      <c r="GB125" s="489"/>
      <c r="GC125" s="489"/>
      <c r="GD125" s="489"/>
    </row>
    <row customHeight="1" ht="11.25">
      <c r="AG126" s="286"/>
      <c r="AH126" s="286"/>
      <c r="AI126" s="286"/>
      <c r="AJ126" s="286"/>
      <c r="AK126" s="286"/>
      <c r="AL126" s="286"/>
      <c r="AM126" s="286"/>
      <c r="AN126" s="286"/>
      <c r="AO126" s="286"/>
      <c r="AP126" s="286"/>
      <c r="AQ126" s="286"/>
      <c r="AR126" s="286"/>
      <c r="AS126" s="286"/>
      <c r="AT126" s="286"/>
      <c r="AU126" s="286"/>
      <c r="AV126" s="286"/>
      <c r="AW126" s="286"/>
      <c r="AX126" s="286"/>
      <c r="AY126" s="286"/>
      <c r="AZ126" s="286"/>
      <c r="BA126" s="286"/>
      <c r="BB126" s="286"/>
      <c r="BC126" s="286"/>
      <c r="BD126" s="286"/>
      <c r="BE126" s="286"/>
      <c r="BF126" s="286"/>
      <c r="BG126" s="286"/>
      <c r="BH126" s="286"/>
      <c r="BI126" s="286"/>
      <c r="BJ126" s="286"/>
      <c r="BK126" s="286"/>
      <c r="BL126" s="286"/>
      <c r="BM126" s="286"/>
      <c r="BN126" s="286"/>
      <c r="BO126" s="286"/>
      <c r="BP126" s="286"/>
      <c r="BQ126" s="286"/>
      <c r="BR126" s="286"/>
      <c r="BS126" s="286"/>
      <c r="BT126" s="286"/>
      <c r="BU126" s="286"/>
      <c r="BV126" s="286"/>
      <c r="BW126" s="286"/>
      <c r="BX126" s="286"/>
      <c r="BY126" s="286"/>
      <c r="BZ126" s="286"/>
      <c r="CA126" s="286"/>
      <c r="CB126" s="286"/>
      <c r="CC126" s="286"/>
      <c r="CD126" s="286"/>
      <c r="CE126" s="286"/>
      <c r="CF126" s="286"/>
      <c r="CG126" s="286"/>
      <c r="CH126" s="286"/>
      <c r="CI126" s="286"/>
      <c r="CJ126" s="286"/>
      <c r="CK126" s="286"/>
      <c r="CL126" s="286"/>
      <c r="CM126" s="286"/>
      <c r="CN126" s="286"/>
      <c r="CO126" s="286"/>
      <c r="CP126" s="286"/>
      <c r="CQ126" s="286"/>
      <c r="CR126" s="286"/>
      <c r="CS126" s="286"/>
      <c r="CT126" s="286"/>
      <c r="CU126" s="286"/>
      <c r="CV126" s="286"/>
      <c r="CW126" s="286"/>
      <c r="CX126" s="286"/>
      <c r="CY126" s="286"/>
      <c r="CZ126" s="286"/>
      <c r="DA126" s="286"/>
      <c r="DB126" s="286"/>
      <c r="DC126" s="286"/>
      <c r="DD126" s="286"/>
      <c r="DE126" s="286"/>
      <c r="DF126" s="286"/>
      <c r="DG126" s="286"/>
      <c r="DH126" s="286"/>
      <c r="DI126" s="286"/>
      <c r="DJ126" s="286"/>
      <c r="DK126" s="286"/>
      <c r="DL126" s="286"/>
      <c r="DM126" s="286"/>
      <c r="DN126" s="286"/>
      <c r="DO126" s="286"/>
      <c r="DP126" s="286"/>
      <c r="DQ126" s="286"/>
      <c r="DR126" s="286"/>
      <c r="DS126" s="286"/>
      <c r="DT126" s="286"/>
      <c r="DU126" s="286"/>
      <c r="DV126" s="286"/>
      <c r="DW126" s="286"/>
      <c r="DX126" s="286"/>
      <c r="DY126" s="286"/>
      <c r="DZ126" s="286"/>
      <c r="EA126" s="286"/>
      <c r="EB126" s="286"/>
      <c r="EC126" s="286"/>
      <c r="ED126" s="286"/>
      <c r="EE126" s="286"/>
      <c r="EF126" s="286"/>
      <c r="EG126" s="286"/>
      <c r="EH126" s="286"/>
      <c r="EI126" s="286"/>
      <c r="EJ126" s="286"/>
      <c r="EK126" s="286"/>
      <c r="EL126" s="286"/>
      <c r="EM126" s="286"/>
      <c r="EN126" s="286"/>
      <c r="EO126" s="286"/>
      <c r="EP126" s="286"/>
      <c r="EQ126" s="286"/>
      <c r="ER126" s="286"/>
      <c r="ES126" s="286"/>
      <c r="ET126" s="286"/>
      <c r="EU126" s="286"/>
      <c r="EV126" s="286"/>
      <c r="EW126" s="286"/>
      <c r="EX126" s="286"/>
      <c r="EY126" s="286"/>
      <c r="EZ126" s="286"/>
      <c r="FA126" s="286"/>
      <c r="FB126" s="286"/>
      <c r="FC126" s="286"/>
      <c r="FD126" s="286"/>
      <c r="FE126" s="286"/>
      <c r="FF126" s="286"/>
      <c r="FG126" s="286"/>
      <c r="FH126" s="286"/>
      <c r="FI126" s="286"/>
      <c r="FJ126" s="286"/>
      <c r="FK126" s="286"/>
      <c r="FL126" s="286"/>
      <c r="FM126" s="286"/>
      <c r="FN126" s="286"/>
      <c r="FO126" s="286"/>
      <c r="FP126" s="286"/>
      <c r="FQ126" s="286"/>
      <c r="FR126" s="286"/>
      <c r="FS126" s="286"/>
      <c r="FT126" s="286"/>
      <c r="FU126" s="286"/>
      <c r="FV126" s="286"/>
      <c r="FW126" s="286"/>
      <c r="FX126" s="286"/>
      <c r="GA126" s="489"/>
      <c r="GB126" s="489"/>
      <c r="GC126" s="489"/>
      <c r="GD126" s="489"/>
    </row>
  </sheetData>
  <sheetProtection formatColumns="0" formatRows="0" insertRows="0" deleteColumns="0" deleteRows="0" sort="0" autoFilter="0" insertColumns="1"/>
  <mergeCells count="80">
    <mergeCell ref="Z28:Z73"/>
    <mergeCell ref="X28:X73"/>
    <mergeCell ref="AB28:AC28"/>
    <mergeCell ref="AB29:AC29"/>
    <mergeCell ref="AB30:AC30"/>
    <mergeCell ref="AB31:AC31"/>
    <mergeCell ref="Y45:Y46"/>
    <mergeCell ref="AA45:AA46"/>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BK25:BM25"/>
    <mergeCell ref="BN25:BP25"/>
    <mergeCell ref="BQ25:BS25"/>
    <mergeCell ref="BT25:BV25"/>
    <mergeCell ref="BW25:BY25"/>
    <mergeCell ref="BZ25:CB25"/>
    <mergeCell ref="CC25:CE25"/>
    <mergeCell ref="CF25:CH25"/>
    <mergeCell ref="CI25:CK25"/>
    <mergeCell ref="CL25:CN25"/>
    <mergeCell ref="CO25:CQ25"/>
    <mergeCell ref="CR25:CT25"/>
    <mergeCell ref="CU25:CW25"/>
    <mergeCell ref="CX25:CZ25"/>
    <mergeCell ref="DA25:DC25"/>
    <mergeCell ref="DD25:DF25"/>
    <mergeCell ref="DG25:DI25"/>
    <mergeCell ref="DJ25:DL25"/>
    <mergeCell ref="DM25:DO25"/>
    <mergeCell ref="EK25:EM25"/>
    <mergeCell ref="EN25:EP25"/>
    <mergeCell ref="EQ25:ES25"/>
    <mergeCell ref="DP25:DR25"/>
    <mergeCell ref="DS25:DU25"/>
    <mergeCell ref="DV25:DX25"/>
    <mergeCell ref="DY25:EA25"/>
    <mergeCell ref="EB25:ED25"/>
    <mergeCell ref="AD28:FW28"/>
    <mergeCell ref="AD29:FW29"/>
    <mergeCell ref="AD30:FW30"/>
    <mergeCell ref="AD31:FW31"/>
    <mergeCell ref="ET25:EV25"/>
    <mergeCell ref="FL25:FN25"/>
    <mergeCell ref="FO25:FQ25"/>
    <mergeCell ref="FR25:FT25"/>
    <mergeCell ref="FU25:FW25"/>
    <mergeCell ref="EW25:EY25"/>
    <mergeCell ref="EZ25:FB25"/>
    <mergeCell ref="FC25:FE25"/>
    <mergeCell ref="FF25:FH25"/>
    <mergeCell ref="FI25:FK25"/>
    <mergeCell ref="EE25:EG25"/>
    <mergeCell ref="EH25:EJ25"/>
    <mergeCell ref="Z74:Z119"/>
    <mergeCell ref="X74:X119"/>
    <mergeCell ref="AB74:AC74"/>
    <mergeCell ref="AB75:AC75"/>
    <mergeCell ref="AB76:AC76"/>
    <mergeCell ref="AB77:AC77"/>
    <mergeCell ref="Y91:Y92"/>
    <mergeCell ref="AA91:AA92"/>
    <mergeCell ref="AD74:FW74"/>
    <mergeCell ref="AD75:FW75"/>
    <mergeCell ref="AD76:FW76"/>
    <mergeCell ref="AD77:FW77"/>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909F98-1F19-1A18-360C-C99133DBB388}" mc:Ignorable="x14ac xr xr2 xr3">
  <sheetPr>
    <tabColor rgb="FF002060"/>
    <outlinePr summaryRight="0" summaryBelow="0"/>
  </sheetPr>
  <dimension ref="A1:AS136"/>
  <sheetViews>
    <sheetView showGridLines="0" workbookViewId="0">
      <pane xSplit="28" ySplit="28" topLeftCell="AC80" activePane="bottomRight" state="frozen"/>
      <selection pane="bottomLeft" activeCell="A29" sqref="A29"/>
      <selection pane="topRight" activeCell="AC1" sqref="AC1"/>
      <selection pane="bottomRight" activeCell="AD83" sqref="AD83"/>
    </sheetView>
  </sheetViews>
  <sheetFormatPr defaultColWidth="9.140625" customHeight="1" defaultRowHeight="11.25"/>
  <cols>
    <col min="1" max="1" style="371" width="3.57421875" hidden="1" customWidth="1"/>
    <col min="2" max="2" style="1548" width="6.421875" hidden="1" customWidth="1"/>
    <col min="3" max="4" style="1548" width="3.57421875" hidden="1" customWidth="1"/>
    <col min="5" max="5" style="1718" width="3.8515625" hidden="1" customWidth="1"/>
    <col min="6" max="6" style="1548" width="6.421875" hidden="1" customWidth="1"/>
    <col min="7" max="7" style="1659" width="3.7109375" hidden="1" customWidth="1"/>
    <col min="8" max="8" style="1548" width="5.57421875" hidden="1" customWidth="1"/>
    <col min="9" max="14" style="1548" width="3.57421875" hidden="1" customWidth="1"/>
    <col min="15" max="15" style="1548" width="4.421875" hidden="1" customWidth="1"/>
    <col min="16" max="16" style="1548" width="9.28125" hidden="1" customWidth="1"/>
    <col min="17" max="19" style="1548" width="3.57421875" hidden="1" customWidth="1"/>
    <col min="20" max="20" style="1548" width="7.8515625" hidden="1" customWidth="1"/>
    <col min="21" max="21" style="1548" width="6.00390625" hidden="1" customWidth="1"/>
    <col min="22" max="23" style="1548" width="6.28125" hidden="1" customWidth="1"/>
    <col min="24" max="25" style="1548" width="5.7109375" hidden="1" customWidth="1"/>
    <col min="26" max="26" style="1548" width="5.421875" hidden="1" customWidth="1"/>
    <col min="27" max="27" style="286" width="3.00390625" customWidth="1"/>
    <col min="28" max="28" style="389" width="15.00390625" customWidth="1"/>
    <col min="29" max="31" style="286" width="20.00390625" customWidth="1"/>
    <col min="32" max="35" style="286" width="24.00390625" customWidth="1"/>
    <col min="36" max="36" style="286" width="20.00390625" customWidth="1"/>
    <col min="37" max="37" style="1112" width="21.140625" hidden="1" customWidth="1"/>
    <col min="38" max="38" style="286" width="3.00390625" customWidth="1"/>
    <col min="39" max="39" style="1659" width="9.140625" hidden="1"/>
    <col min="40" max="40" style="1143" width="9.140625" hidden="1"/>
    <col min="41" max="41" style="1506" width="9.140625" hidden="1"/>
    <col min="42" max="45" width="9.140625" hidden="1"/>
  </cols>
  <sheetData>
    <row s="1548" customFormat="1" customHeight="1" ht="11.25" hidden="1">
      <c r="A1" s="371"/>
      <c r="F1" s="753" t="s">
        <v>84</v>
      </c>
      <c r="G1" s="193"/>
      <c r="T1" s="753" t="s">
        <v>85</v>
      </c>
      <c r="U1" s="753" t="s">
        <v>91</v>
      </c>
      <c r="V1" s="753" t="s">
        <v>86</v>
      </c>
      <c r="W1" s="753" t="s">
        <v>87</v>
      </c>
      <c r="X1" s="753" t="s">
        <v>88</v>
      </c>
      <c r="Y1" s="753" t="s">
        <v>89</v>
      </c>
      <c r="Z1" s="753" t="s">
        <v>93</v>
      </c>
      <c r="AA1" s="753" t="s">
        <v>90</v>
      </c>
      <c r="AB1" s="753" t="s">
        <v>92</v>
      </c>
      <c r="AK1" s="926"/>
      <c r="AN1" s="312" t="s">
        <v>403</v>
      </c>
      <c r="AP1" s="0" t="s">
        <v>94</v>
      </c>
      <c r="AQ1" s="0" t="s">
        <v>109</v>
      </c>
      <c r="AR1" s="0" t="s">
        <v>104</v>
      </c>
      <c r="AS1" s="0"/>
    </row>
    <row s="1548" customFormat="1" customHeight="1" ht="11.25" hidden="1">
      <c r="A2" s="371"/>
      <c r="B2" s="179" t="s">
        <v>16</v>
      </c>
      <c r="G2" s="193"/>
      <c r="AB2" s="176"/>
      <c r="AK2" s="926"/>
      <c r="AN2" s="312"/>
      <c r="AP2" s="0"/>
      <c r="AQ2" s="0"/>
      <c r="AR2" s="0"/>
      <c r="AS2" s="0"/>
    </row>
    <row s="1548" customFormat="1" customHeight="1" ht="11.25" hidden="1">
      <c r="A3" s="371"/>
      <c r="G3" s="193"/>
      <c r="AB3" s="176"/>
      <c r="AK3" s="926"/>
      <c r="AN3" s="312"/>
      <c r="AP3" s="0"/>
      <c r="AQ3" s="0"/>
      <c r="AR3" s="0"/>
      <c r="AS3" s="0"/>
    </row>
    <row s="1548" customFormat="1" customHeight="1" ht="11.25" hidden="1">
      <c r="A4" s="371"/>
      <c r="G4" s="193"/>
      <c r="AB4" s="176"/>
      <c r="AK4" s="926"/>
      <c r="AN4" s="312"/>
      <c r="AP4" s="0"/>
      <c r="AQ4" s="0"/>
      <c r="AR4" s="0"/>
      <c r="AS4" s="0"/>
    </row>
    <row s="1718" customFormat="1" customHeight="1" ht="11.25" hidden="1">
      <c r="A5" s="371"/>
      <c r="B5" s="175"/>
      <c r="C5" s="175"/>
      <c r="D5" s="175"/>
      <c r="E5" s="180" t="s">
        <v>17</v>
      </c>
      <c r="G5" s="194"/>
      <c r="AA5" s="180">
        <v>3</v>
      </c>
      <c r="AB5" s="284">
        <v>15</v>
      </c>
      <c r="AC5" s="180">
        <v>20</v>
      </c>
      <c r="AD5" s="180">
        <v>20</v>
      </c>
      <c r="AE5" s="180">
        <v>20</v>
      </c>
      <c r="AF5" s="180">
        <v>24</v>
      </c>
      <c r="AG5" s="180">
        <v>24</v>
      </c>
      <c r="AH5" s="180">
        <v>24</v>
      </c>
      <c r="AI5" s="180">
        <v>24</v>
      </c>
      <c r="AJ5" s="180">
        <v>20</v>
      </c>
      <c r="AK5" s="967">
        <v>0</v>
      </c>
      <c r="AL5" s="180">
        <v>3</v>
      </c>
      <c r="AN5" s="312"/>
      <c r="AP5" s="1729"/>
      <c r="AQ5" s="1729"/>
      <c r="AR5" s="1729"/>
      <c r="AS5" s="1729"/>
    </row>
    <row s="1548" customFormat="1" customHeight="1" ht="11.25" hidden="1">
      <c r="A6" s="371"/>
      <c r="E6" s="180"/>
      <c r="G6" s="193"/>
      <c r="AB6" s="176"/>
      <c r="AK6" s="926"/>
      <c r="AN6" s="312"/>
      <c r="AP6" s="0"/>
      <c r="AQ6" s="0"/>
      <c r="AR6" s="0"/>
      <c r="AS6" s="0"/>
    </row>
    <row customHeight="1" ht="11.25" hidden="1">
      <c r="F7" s="193"/>
      <c r="H7" s="193"/>
      <c r="I7" s="193"/>
      <c r="J7" s="193"/>
      <c r="K7" s="193"/>
      <c r="L7" s="193"/>
      <c r="M7" s="193"/>
      <c r="N7" s="193"/>
      <c r="O7" s="193"/>
      <c r="P7" s="193"/>
      <c r="Q7" s="193"/>
      <c r="R7" s="193"/>
      <c r="S7" s="193"/>
      <c r="T7" s="193"/>
      <c r="U7" s="193"/>
      <c r="V7" s="193"/>
      <c r="W7" s="193"/>
      <c r="X7" s="193"/>
      <c r="Y7" s="193"/>
      <c r="Z7" s="193"/>
      <c r="AA7" s="193"/>
      <c r="AB7" s="308"/>
      <c r="AC7" s="193"/>
      <c r="AD7" s="193"/>
      <c r="AE7" s="193"/>
      <c r="AF7" s="193"/>
      <c r="AG7" s="193"/>
      <c r="AH7" s="193"/>
      <c r="AI7" s="193"/>
      <c r="AJ7" s="193"/>
      <c r="AK7" s="1000"/>
      <c r="AL7" s="193"/>
    </row>
    <row customHeight="1" ht="11.25" hidden="1">
      <c r="F8" s="193"/>
      <c r="H8" s="193"/>
      <c r="I8" s="193"/>
      <c r="J8" s="193"/>
      <c r="K8" s="193"/>
      <c r="L8" s="193"/>
      <c r="M8" s="193"/>
      <c r="N8" s="193"/>
      <c r="O8" s="193"/>
      <c r="P8" s="193"/>
      <c r="Q8" s="193"/>
      <c r="R8" s="193"/>
      <c r="S8" s="193"/>
      <c r="T8" s="193"/>
      <c r="U8" s="193"/>
      <c r="V8" s="193"/>
      <c r="W8" s="193"/>
      <c r="X8" s="193"/>
      <c r="Y8" s="193"/>
      <c r="Z8" s="193"/>
      <c r="AA8" s="193"/>
      <c r="AB8" s="308"/>
      <c r="AC8" s="193"/>
      <c r="AD8" s="193"/>
      <c r="AE8" s="193"/>
      <c r="AF8" s="193"/>
      <c r="AG8" s="193"/>
      <c r="AH8" s="193"/>
      <c r="AI8" s="193"/>
      <c r="AJ8" s="193"/>
      <c r="AK8" s="1000"/>
      <c r="AL8" s="193"/>
    </row>
    <row s="1143" customFormat="1" customHeight="1" ht="11.25" hidden="1">
      <c r="A9" s="309" t="s">
        <v>336</v>
      </c>
      <c r="AC9" s="312" t="s">
        <v>2523</v>
      </c>
      <c r="AD9" s="312" t="s">
        <v>2524</v>
      </c>
      <c r="AE9" s="312" t="s">
        <v>2525</v>
      </c>
      <c r="AF9" s="312" t="s">
        <v>2526</v>
      </c>
      <c r="AG9" s="312" t="s">
        <v>2527</v>
      </c>
      <c r="AH9" s="312" t="s">
        <v>2528</v>
      </c>
      <c r="AI9" s="312" t="s">
        <v>2529</v>
      </c>
      <c r="AJ9" s="312" t="s">
        <v>2530</v>
      </c>
      <c r="AK9" s="1001"/>
      <c r="AP9" s="1730"/>
      <c r="AQ9" s="1730"/>
      <c r="AR9" s="1730"/>
      <c r="AS9" s="1730"/>
    </row>
    <row s="1548" customFormat="1" customHeight="1" ht="11.25" hidden="1">
      <c r="A10" s="371"/>
      <c r="E10" s="180"/>
      <c r="G10" s="193"/>
      <c r="AB10" s="176"/>
      <c r="AK10" s="926"/>
      <c r="AN10" s="312"/>
      <c r="AP10" s="0"/>
      <c r="AQ10" s="0"/>
      <c r="AR10" s="0"/>
      <c r="AS10" s="0"/>
    </row>
    <row customHeight="1" ht="11.25" hidden="1">
      <c r="A11" s="0" t="s">
        <v>1515</v>
      </c>
      <c r="AC11" s="0" t="s">
        <v>503</v>
      </c>
    </row>
    <row customHeight="1" ht="11.25" hidden="1">
      <c r="A12" s="0" t="s">
        <v>2531</v>
      </c>
      <c r="AH12" s="0" t="s">
        <v>2532</v>
      </c>
    </row>
    <row customHeight="1" ht="11.25" hidden="1">
      <c r="A13" s="0" t="s">
        <v>767</v>
      </c>
      <c r="AH13" s="0" t="s">
        <v>774</v>
      </c>
    </row>
    <row customHeight="1" ht="11.25" hidden="1">
      <c r="A14" s="0" t="s">
        <v>490</v>
      </c>
      <c r="AJ14" s="0" t="s">
        <v>1694</v>
      </c>
    </row>
    <row customHeight="1" ht="11.25" hidden="1">
      <c r="A15" s="0" t="s">
        <v>789</v>
      </c>
      <c r="AJ15" s="0" t="s">
        <v>1690</v>
      </c>
    </row>
    <row customHeight="1" ht="11.25" hidden="1">
      <c r="A16" s="0" t="s">
        <v>351</v>
      </c>
      <c r="AC16" s="0" t="s">
        <v>303</v>
      </c>
      <c r="AD16" s="0" t="s">
        <v>303</v>
      </c>
      <c r="AE16" s="0" t="s">
        <v>303</v>
      </c>
      <c r="AF16" s="0" t="s">
        <v>303</v>
      </c>
      <c r="AG16" s="0" t="s">
        <v>303</v>
      </c>
      <c r="AH16" s="0" t="s">
        <v>303</v>
      </c>
      <c r="AI16" s="0" t="s">
        <v>303</v>
      </c>
      <c r="AJ16" s="0" t="s">
        <v>303</v>
      </c>
    </row>
    <row customHeight="1" ht="11.25" hidden="1">
      <c r="A17" s="0" t="s">
        <v>352</v>
      </c>
      <c r="AC17" s="0" t="s">
        <v>1552</v>
      </c>
      <c r="AD17" s="0" t="s">
        <v>504</v>
      </c>
      <c r="AE17" s="0" t="s">
        <v>1836</v>
      </c>
      <c r="AF17" s="0" t="s">
        <v>868</v>
      </c>
      <c r="AG17" s="0" t="s">
        <v>2533</v>
      </c>
      <c r="AH17" s="0" t="s">
        <v>724</v>
      </c>
      <c r="AI17" s="0" t="s">
        <v>2534</v>
      </c>
      <c r="AJ17" s="0" t="s">
        <v>2535</v>
      </c>
    </row>
    <row customHeight="1" ht="11.25" hidden="1">
      <c r="A18" s="0" t="s">
        <v>379</v>
      </c>
      <c r="AC18" s="0" t="s">
        <v>2536</v>
      </c>
      <c r="AE18" s="0" t="s">
        <v>1837</v>
      </c>
      <c r="AF18" s="0" t="s">
        <v>869</v>
      </c>
      <c r="AG18" s="0" t="s">
        <v>2537</v>
      </c>
      <c r="AI18" s="0" t="s">
        <v>2538</v>
      </c>
      <c r="AJ18" s="0" t="s">
        <v>2539</v>
      </c>
    </row>
    <row s="1548" customFormat="1" customHeight="1" ht="11.25" hidden="1">
      <c r="A19" s="371"/>
      <c r="E19" s="180"/>
      <c r="G19" s="193"/>
      <c r="AB19" s="176"/>
      <c r="AK19" s="926"/>
      <c r="AN19" s="312"/>
      <c r="AP19" s="0"/>
      <c r="AQ19" s="0"/>
      <c r="AR19" s="0"/>
      <c r="AS19" s="0"/>
    </row>
    <row s="1548" customFormat="1" customHeight="1" ht="11.25" hidden="1">
      <c r="A20" s="371"/>
      <c r="E20" s="180"/>
      <c r="G20" s="193"/>
      <c r="AB20" s="176"/>
      <c r="AK20" s="926"/>
      <c r="AN20" s="312"/>
      <c r="AP20" s="0"/>
      <c r="AQ20" s="0"/>
      <c r="AR20" s="0"/>
      <c r="AS20" s="0"/>
    </row>
    <row customHeight="1" ht="14.625">
      <c r="E21" s="180">
        <v>15</v>
      </c>
      <c r="AA21" s="182"/>
      <c r="AB21" s="896" cm="1" t="str">
        <f t="array" ref="AB21:AB21">tpl_title</f>
        <v>Кемеровская область / 2027 / ООО "КК-ИНВЕСТ" (ИНН:1901133713, КПП:190101001) / ДПР: 2025-2027</v>
      </c>
    </row>
    <row s="1659" customFormat="1" customHeight="1" ht="23.400000000000002">
      <c r="A22" s="371"/>
      <c r="B22" s="175"/>
      <c r="C22" s="175"/>
      <c r="D22" s="175"/>
      <c r="E22" s="180">
        <v>24</v>
      </c>
      <c r="F22" s="175"/>
      <c r="H22" s="175"/>
      <c r="I22" s="175"/>
      <c r="J22" s="175"/>
      <c r="K22" s="175"/>
      <c r="L22" s="175"/>
      <c r="M22" s="175"/>
      <c r="N22" s="175"/>
      <c r="O22" s="175"/>
      <c r="P22" s="175"/>
      <c r="Q22" s="175"/>
      <c r="R22" s="175"/>
      <c r="S22" s="175"/>
      <c r="T22" s="175"/>
      <c r="U22" s="175"/>
      <c r="V22" s="175"/>
      <c r="W22" s="175"/>
      <c r="X22" s="175"/>
      <c r="Y22" s="175"/>
      <c r="Z22" s="175"/>
      <c r="AA22" s="181"/>
      <c r="AB22" s="547" t="s">
        <v>80</v>
      </c>
      <c r="AC22" s="548"/>
      <c r="AD22" s="548"/>
      <c r="AE22" s="548"/>
      <c r="AF22" s="548"/>
      <c r="AG22" s="548"/>
      <c r="AH22" s="548"/>
      <c r="AI22" s="548"/>
      <c r="AJ22" s="548"/>
      <c r="AK22" s="927"/>
      <c r="AL22" s="181"/>
      <c r="AN22" s="312"/>
      <c r="AP22" s="0"/>
      <c r="AQ22" s="0"/>
      <c r="AR22" s="0"/>
      <c r="AS22" s="0"/>
    </row>
    <row customHeight="1" ht="10.725000000000001">
      <c r="E23" s="180">
        <v>11</v>
      </c>
      <c r="AB23" s="285"/>
      <c r="AC23" s="285"/>
    </row>
    <row customHeight="1" ht="20.25" hidden="1">
      <c r="E24" s="965">
        <v>0</v>
      </c>
      <c r="AB24" s="1700"/>
      <c r="AC24" s="1700"/>
      <c r="AD24" s="1700"/>
      <c r="AE24" s="1700"/>
      <c r="AF24" s="285"/>
      <c r="AG24" s="285"/>
      <c r="AH24" s="285"/>
      <c r="AI24" s="285"/>
      <c r="AJ24" s="285"/>
      <c r="AK24" s="928"/>
    </row>
    <row customHeight="1" ht="10.725000000000001">
      <c r="E25" s="180">
        <v>11</v>
      </c>
      <c r="AB25" s="285"/>
      <c r="AC25" s="285"/>
      <c r="AK25" s="1112"/>
    </row>
    <row s="308" customFormat="1" customHeight="1" ht="21.450000000000003">
      <c r="A26" s="371"/>
      <c r="B26" s="176"/>
      <c r="C26" s="176"/>
      <c r="D26" s="176"/>
      <c r="E26" s="284">
        <v>22</v>
      </c>
      <c r="F26" s="176"/>
      <c r="H26" s="176"/>
      <c r="I26" s="176"/>
      <c r="J26" s="176"/>
      <c r="K26" s="176"/>
      <c r="L26" s="176"/>
      <c r="M26" s="176"/>
      <c r="N26" s="176"/>
      <c r="O26" s="176"/>
      <c r="P26" s="176"/>
      <c r="Q26" s="176"/>
      <c r="R26" s="176"/>
      <c r="S26" s="176"/>
      <c r="T26" s="176"/>
      <c r="U26" s="176"/>
      <c r="V26" s="176"/>
      <c r="W26" s="176"/>
      <c r="X26" s="176"/>
      <c r="Y26" s="176"/>
      <c r="Z26" s="176"/>
      <c r="AA26" s="285"/>
      <c r="AB26" s="1596" t="s">
        <v>305</v>
      </c>
      <c r="AC26" s="1588" t="s">
        <v>2540</v>
      </c>
      <c r="AD26" s="1588" t="s">
        <v>505</v>
      </c>
      <c r="AE26" s="1588" t="s">
        <v>2541</v>
      </c>
      <c r="AF26" s="1716" t="s">
        <v>2542</v>
      </c>
      <c r="AG26" s="1717"/>
      <c r="AH26" s="1717"/>
      <c r="AI26" s="1717"/>
      <c r="AJ26" s="1715" t="s">
        <v>2543</v>
      </c>
      <c r="AK26" s="1113"/>
      <c r="AL26" s="285"/>
      <c r="AN26" s="312"/>
      <c r="AP26" s="0"/>
      <c r="AQ26" s="0"/>
      <c r="AR26" s="0"/>
      <c r="AS26" s="0"/>
    </row>
    <row s="308" customFormat="1" customHeight="1" ht="80.925">
      <c r="A27" s="371"/>
      <c r="B27" s="176"/>
      <c r="C27" s="176"/>
      <c r="D27" s="176"/>
      <c r="E27" s="284">
        <v>83</v>
      </c>
      <c r="F27" s="176"/>
      <c r="H27" s="176"/>
      <c r="I27" s="176"/>
      <c r="J27" s="176"/>
      <c r="K27" s="176"/>
      <c r="L27" s="176"/>
      <c r="M27" s="176"/>
      <c r="N27" s="176"/>
      <c r="O27" s="176"/>
      <c r="P27" s="176"/>
      <c r="Q27" s="176"/>
      <c r="R27" s="176"/>
      <c r="S27" s="176"/>
      <c r="T27" s="176"/>
      <c r="U27" s="176"/>
      <c r="V27" s="176"/>
      <c r="W27" s="176"/>
      <c r="X27" s="176"/>
      <c r="Y27" s="176"/>
      <c r="Z27" s="176"/>
      <c r="AA27" s="285"/>
      <c r="AB27" s="1596"/>
      <c r="AC27" s="1588"/>
      <c r="AD27" s="1588"/>
      <c r="AE27" s="1588"/>
      <c r="AF27" s="327" t="s">
        <v>2544</v>
      </c>
      <c r="AG27" s="327" t="s">
        <v>2545</v>
      </c>
      <c r="AH27" s="327" t="s">
        <v>2546</v>
      </c>
      <c r="AI27" s="352" t="s">
        <v>2547</v>
      </c>
      <c r="AJ27" s="1715"/>
      <c r="AK27" s="1113"/>
      <c r="AL27" s="285"/>
      <c r="AN27" s="312"/>
      <c r="AP27" s="0"/>
      <c r="AQ27" s="0"/>
      <c r="AR27" s="0"/>
      <c r="AS27" s="0"/>
    </row>
    <row s="308" customFormat="1" customHeight="1" ht="19.5" hidden="1">
      <c r="A28" s="371"/>
      <c r="B28" s="176"/>
      <c r="C28" s="176"/>
      <c r="D28" s="176"/>
      <c r="E28" s="966">
        <v>0</v>
      </c>
      <c r="F28" s="176"/>
      <c r="H28" s="176"/>
      <c r="I28" s="176"/>
      <c r="J28" s="176"/>
      <c r="K28" s="176"/>
      <c r="L28" s="176"/>
      <c r="M28" s="176"/>
      <c r="N28" s="176"/>
      <c r="O28" s="176"/>
      <c r="P28" s="176"/>
      <c r="Q28" s="176"/>
      <c r="R28" s="176"/>
      <c r="S28" s="176"/>
      <c r="T28" s="176"/>
      <c r="U28" s="176"/>
      <c r="V28" s="176"/>
      <c r="W28" s="176"/>
      <c r="X28" s="176"/>
      <c r="Y28" s="176"/>
      <c r="Z28" s="176"/>
      <c r="AA28" s="285"/>
      <c r="AB28" s="929"/>
      <c r="AC28" s="333"/>
      <c r="AD28" s="333"/>
      <c r="AE28" s="333"/>
      <c r="AF28" s="333"/>
      <c r="AG28" s="333"/>
      <c r="AH28" s="333"/>
      <c r="AI28" s="333"/>
      <c r="AJ28" s="1115"/>
      <c r="AK28" s="1113"/>
      <c r="AL28" s="285"/>
      <c r="AN28" s="312"/>
      <c r="AP28" s="0"/>
      <c r="AQ28" s="0"/>
      <c r="AR28" s="0"/>
      <c r="AS28" s="0"/>
    </row>
    <row s="969" customFormat="1" customHeight="1" ht="16.575" hidden="1">
      <c r="E29" s="180">
        <v>17</v>
      </c>
      <c r="F29" s="175" cm="1" t="str">
        <f t="array" ref="F29:F29">X29</f>
        <v>0</v>
      </c>
      <c r="T29" s="753">
        <f>X29&gt;0</f>
        <v>0</v>
      </c>
      <c r="V29" s="175" t="s">
        <v>266</v>
      </c>
      <c r="X29" s="175">
        <v>0</v>
      </c>
      <c r="AB29" s="656" cm="1" t="str">
        <f t="array" ref="AB29:AB29">INDEX('Общие сведения'!$AG$169:$AG$202,MATCH($F29,'Общие сведения'!$Y$169:$Y$202,0))</f>
        <v>Тариф 0 (Теплоснабжение) - </v>
      </c>
      <c r="AC29" s="335"/>
      <c r="AD29" s="335"/>
      <c r="AE29" s="335"/>
      <c r="AF29" s="335"/>
      <c r="AG29" s="335"/>
      <c r="AH29" s="335"/>
      <c r="AI29" s="335"/>
      <c r="AJ29" s="1116"/>
      <c r="AN29" s="999"/>
    </row>
    <row s="1659" customFormat="1" customHeight="1" ht="16.575" hidden="1">
      <c r="B30" s="192">
        <f>H30&lt;first_year+PERIOD_LENGTH</f>
        <v>1</v>
      </c>
      <c r="E30" s="180">
        <v>17</v>
      </c>
      <c r="F30" s="175" cm="1" t="str">
        <f t="array" ref="F30:F30">F29</f>
        <v>0</v>
      </c>
      <c r="G30" s="193" t="s">
        <v>1549</v>
      </c>
      <c r="H30" s="175" cm="1" t="str">
        <f t="array" ref="H30:H30">first_year</f>
        <v>2025</v>
      </c>
      <c r="T30" s="753" cm="1" t="str">
        <f t="array" ref="T30:T30">T29</f>
        <v>false</v>
      </c>
      <c r="AB30" s="930" t="str">
        <f>H30&amp;" год"</f>
        <v>2025 год</v>
      </c>
      <c r="AC30" s="167" t="str">
        <f>IF(god=first_year,_xlfn.SUMIFS('Калькуляция (5.9)'!BD$26:BD$139,'Калькуляция (5.9)'!$F$26:$F$139,$F30,'Калькуляция (5.9)'!$G$26:$G$139,$G30),"")</f>
        <v/>
      </c>
      <c r="AD30" s="81"/>
      <c r="AE30" s="168"/>
      <c r="AF30" s="167"/>
      <c r="AG30" s="167"/>
      <c r="AH30" s="168"/>
      <c r="AI30" s="169"/>
      <c r="AJ30" s="170"/>
      <c r="AN30" s="312" cm="1" t="str">
        <f t="array" ref="AN30:AN30">H30</f>
        <v>2025</v>
      </c>
      <c r="AP30" s="0" cm="1" t="str">
        <f t="array" ref="AP30:AP30">INDEX('Общие сведения'!$N$170:$N$202,MATCH($F30,'Общие сведения'!$Y$170:$Y$202,0)+1)</f>
        <v>0</v>
      </c>
      <c r="AQ30" s="0" t="str">
        <f>"389.0."&amp;H30-2010&amp;"."</f>
        <v>389.0.15.</v>
      </c>
      <c r="AR30" s="0" t="s">
        <v>275</v>
      </c>
    </row>
    <row s="1659" customFormat="1" customHeight="1" ht="16.575" hidden="1">
      <c r="B31" s="192">
        <f>H31&lt;first_year+PERIOD_LENGTH</f>
        <v>1</v>
      </c>
      <c r="E31" s="180">
        <v>17</v>
      </c>
      <c r="F31" s="175" cm="1" t="str">
        <f t="array" ref="F31:F31">F30</f>
        <v>0</v>
      </c>
      <c r="H31" s="175">
        <f>first_year+1</f>
        <v>2026</v>
      </c>
      <c r="T31" s="753" cm="1" t="str">
        <f t="array" ref="T31:T31">T30</f>
        <v>false</v>
      </c>
      <c r="AB31" s="930" t="str">
        <f>H31&amp;" год"</f>
        <v>2026 год</v>
      </c>
      <c r="AC31" s="167"/>
      <c r="AD31" s="81">
        <f>_xlfn.IFERROR(_xlfn.SUMIFS(INDEX('Операционные (5.2)'!$BD$26:$BW$45,,MATCH($H31,'Операционные (5.2)'!$BD$9:$BW$9,0)),'Операционные (5.2)'!$F$26:$F$45,$F31,'Операционные (5.2)'!$G$26:$G$45,"ИОР"),0)</f>
        <v>0</v>
      </c>
      <c r="AE31" s="168"/>
      <c r="AF31" s="167"/>
      <c r="AG31" s="167"/>
      <c r="AH31" s="168"/>
      <c r="AI31" s="169"/>
      <c r="AJ31" s="170"/>
      <c r="AN31" s="312" cm="1" t="str">
        <f t="array" ref="AN31:AN31">H31</f>
        <v>2026</v>
      </c>
      <c r="AP31" s="0" cm="1" t="str">
        <f t="array" ref="AP31:AP31">AP30</f>
        <v>0</v>
      </c>
      <c r="AQ31" s="0" t="str">
        <f>"389.0."&amp;H31-2010&amp;"."</f>
        <v>389.0.16.</v>
      </c>
      <c r="AR31" s="0" t="s">
        <v>275</v>
      </c>
    </row>
    <row s="1659" customFormat="1" customHeight="1" ht="16.575" hidden="1">
      <c r="B32" s="192">
        <f>H32&lt;first_year+PERIOD_LENGTH</f>
        <v>1</v>
      </c>
      <c r="E32" s="180">
        <v>17</v>
      </c>
      <c r="F32" s="175" cm="1" t="str">
        <f t="array" ref="F32:F32">F31</f>
        <v>0</v>
      </c>
      <c r="H32" s="175">
        <f>first_year+2</f>
        <v>2027</v>
      </c>
      <c r="T32" s="753" cm="1" t="str">
        <f t="array" ref="T32:T32">T31</f>
        <v>false</v>
      </c>
      <c r="AB32" s="930" t="str">
        <f>H32&amp;" год"</f>
        <v>2027 год</v>
      </c>
      <c r="AC32" s="167"/>
      <c r="AD32" s="81">
        <f>_xlfn.IFERROR(_xlfn.SUMIFS(INDEX('Операционные (5.2)'!$BD$26:$BW$45,,MATCH($H32,'Операционные (5.2)'!$BD$9:$BW$9,0)),'Операционные (5.2)'!$F$26:$F$45,$F32,'Операционные (5.2)'!$G$26:$G$45,"ИОР"),0)</f>
        <v>1</v>
      </c>
      <c r="AE32" s="168"/>
      <c r="AF32" s="167"/>
      <c r="AG32" s="167"/>
      <c r="AH32" s="168"/>
      <c r="AI32" s="169"/>
      <c r="AJ32" s="170"/>
      <c r="AN32" s="312" cm="1" t="str">
        <f t="array" ref="AN32:AN32">H32</f>
        <v>2027</v>
      </c>
      <c r="AP32" s="0" cm="1" t="str">
        <f t="array" ref="AP32:AP32">AP31</f>
        <v>0</v>
      </c>
      <c r="AQ32" s="0" t="str">
        <f>"389.0."&amp;H32-2010&amp;"."</f>
        <v>389.0.17.</v>
      </c>
      <c r="AR32" s="0" t="s">
        <v>275</v>
      </c>
    </row>
    <row s="1659" customFormat="1" customHeight="1" ht="16.575" hidden="1">
      <c r="B33" s="192">
        <f>H33&lt;first_year+PERIOD_LENGTH</f>
        <v>0</v>
      </c>
      <c r="E33" s="180">
        <v>17</v>
      </c>
      <c r="F33" s="175" cm="1" t="str">
        <f t="array" ref="F33:F33">F32</f>
        <v>0</v>
      </c>
      <c r="H33" s="175">
        <f>first_year+3</f>
        <v>2028</v>
      </c>
      <c r="T33" s="753" cm="1" t="str">
        <f t="array" ref="T33:T33">T32</f>
        <v>false</v>
      </c>
      <c r="AB33" s="930" t="str">
        <f>H33&amp;" год"</f>
        <v>2028 год</v>
      </c>
      <c r="AC33" s="167"/>
      <c r="AD33" s="81">
        <f>_xlfn.IFERROR(_xlfn.SUMIFS(INDEX('Операционные (5.2)'!$BD$26:$BW$45,,MATCH($H33,'Операционные (5.2)'!$BD$9:$BW$9,0)),'Операционные (5.2)'!$F$26:$F$45,$F33,'Операционные (5.2)'!$G$26:$G$45,"ИОР"),0)</f>
        <v>1</v>
      </c>
      <c r="AE33" s="168"/>
      <c r="AF33" s="167"/>
      <c r="AG33" s="167"/>
      <c r="AH33" s="168"/>
      <c r="AI33" s="169"/>
      <c r="AJ33" s="170"/>
      <c r="AN33" s="312" cm="1" t="str">
        <f t="array" ref="AN33:AN33">H33</f>
        <v>2028</v>
      </c>
      <c r="AP33" s="0" cm="1" t="str">
        <f t="array" ref="AP33:AP33">AP32</f>
        <v>0</v>
      </c>
      <c r="AQ33" s="0" t="str">
        <f>"389.0."&amp;H33-2010&amp;"."</f>
        <v>389.0.18.</v>
      </c>
      <c r="AR33" s="0" t="s">
        <v>275</v>
      </c>
    </row>
    <row s="1659" customFormat="1" customHeight="1" ht="16.575" hidden="1">
      <c r="B34" s="192">
        <f>H34&lt;first_year+PERIOD_LENGTH</f>
        <v>0</v>
      </c>
      <c r="E34" s="180">
        <v>17</v>
      </c>
      <c r="F34" s="175" cm="1" t="str">
        <f t="array" ref="F34:F34">F33</f>
        <v>0</v>
      </c>
      <c r="H34" s="175">
        <f>first_year+4</f>
        <v>2029</v>
      </c>
      <c r="T34" s="753" cm="1" t="str">
        <f t="array" ref="T34:T34">T33</f>
        <v>false</v>
      </c>
      <c r="AB34" s="930" t="str">
        <f>H34&amp;" год"</f>
        <v>2029 год</v>
      </c>
      <c r="AC34" s="167"/>
      <c r="AD34" s="81">
        <f>_xlfn.IFERROR(_xlfn.SUMIFS(INDEX('Операционные (5.2)'!$BD$26:$BW$45,,MATCH($H34,'Операционные (5.2)'!$BD$9:$BW$9,0)),'Операционные (5.2)'!$F$26:$F$45,$F34,'Операционные (5.2)'!$G$26:$G$45,"ИОР"),0)</f>
        <v>1</v>
      </c>
      <c r="AE34" s="168"/>
      <c r="AF34" s="167"/>
      <c r="AG34" s="167"/>
      <c r="AH34" s="168"/>
      <c r="AI34" s="169"/>
      <c r="AJ34" s="170"/>
      <c r="AN34" s="312" cm="1" t="str">
        <f t="array" ref="AN34:AN34">H34</f>
        <v>2029</v>
      </c>
      <c r="AP34" s="0" cm="1" t="str">
        <f t="array" ref="AP34:AP34">AP33</f>
        <v>0</v>
      </c>
      <c r="AQ34" s="0" t="str">
        <f>"389.0."&amp;H34-2010&amp;"."</f>
        <v>389.0.19.</v>
      </c>
      <c r="AR34" s="0" t="s">
        <v>275</v>
      </c>
    </row>
    <row s="1659" customFormat="1" customHeight="1" ht="16.575" hidden="1">
      <c r="B35" s="192">
        <f>H35&lt;first_year+PERIOD_LENGTH</f>
        <v>0</v>
      </c>
      <c r="E35" s="180">
        <v>17</v>
      </c>
      <c r="F35" s="175" cm="1" t="str">
        <f t="array" ref="F35:F35">F34</f>
        <v>0</v>
      </c>
      <c r="H35" s="175">
        <f>first_year+5</f>
        <v>2030</v>
      </c>
      <c r="T35" s="753" cm="1" t="str">
        <f t="array" ref="T35:T35">T34</f>
        <v>false</v>
      </c>
      <c r="AB35" s="930" t="str">
        <f>H35&amp;" год"</f>
        <v>2030 год</v>
      </c>
      <c r="AC35" s="167"/>
      <c r="AD35" s="81">
        <f>_xlfn.IFERROR(_xlfn.SUMIFS(INDEX('Операционные (5.2)'!$BD$26:$BW$45,,MATCH($H35,'Операционные (5.2)'!$BD$9:$BW$9,0)),'Операционные (5.2)'!$F$26:$F$45,$F35,'Операционные (5.2)'!$G$26:$G$45,"ИОР"),0)</f>
        <v>1</v>
      </c>
      <c r="AE35" s="168"/>
      <c r="AF35" s="167"/>
      <c r="AG35" s="167"/>
      <c r="AH35" s="168"/>
      <c r="AI35" s="169"/>
      <c r="AJ35" s="170"/>
      <c r="AN35" s="312" cm="1" t="str">
        <f t="array" ref="AN35:AN35">H35</f>
        <v>2030</v>
      </c>
      <c r="AP35" s="0" cm="1" t="str">
        <f t="array" ref="AP35:AP35">AP34</f>
        <v>0</v>
      </c>
      <c r="AQ35" s="0" t="str">
        <f>"389.0."&amp;H35-2010&amp;"."</f>
        <v>389.0.20.</v>
      </c>
      <c r="AR35" s="0" t="s">
        <v>275</v>
      </c>
    </row>
    <row s="1659" customFormat="1" customHeight="1" ht="16.575" hidden="1">
      <c r="B36" s="192">
        <f>H36&lt;first_year+PERIOD_LENGTH</f>
        <v>0</v>
      </c>
      <c r="E36" s="180">
        <v>17</v>
      </c>
      <c r="F36" s="175" cm="1" t="str">
        <f t="array" ref="F36:F36">F35</f>
        <v>0</v>
      </c>
      <c r="H36" s="175">
        <f>first_year+6</f>
        <v>2031</v>
      </c>
      <c r="T36" s="753" cm="1" t="str">
        <f t="array" ref="T36:T36">T35</f>
        <v>false</v>
      </c>
      <c r="AB36" s="930" t="str">
        <f>H36&amp;" год"</f>
        <v>2031 год</v>
      </c>
      <c r="AC36" s="167"/>
      <c r="AD36" s="81">
        <f>_xlfn.IFERROR(_xlfn.SUMIFS(INDEX('Операционные (5.2)'!$BD$26:$BW$45,,MATCH($H36,'Операционные (5.2)'!$BD$9:$BW$9,0)),'Операционные (5.2)'!$F$26:$F$45,$F36,'Операционные (5.2)'!$G$26:$G$45,"ИОР"),0)</f>
        <v>1</v>
      </c>
      <c r="AE36" s="168"/>
      <c r="AF36" s="167"/>
      <c r="AG36" s="167"/>
      <c r="AH36" s="168"/>
      <c r="AI36" s="169"/>
      <c r="AJ36" s="170"/>
      <c r="AN36" s="312" cm="1" t="str">
        <f t="array" ref="AN36:AN36">H36</f>
        <v>2031</v>
      </c>
      <c r="AP36" s="0" cm="1" t="str">
        <f t="array" ref="AP36:AP36">AP35</f>
        <v>0</v>
      </c>
      <c r="AQ36" s="0" t="str">
        <f>"389.0."&amp;H36-2010&amp;"."</f>
        <v>389.0.21.</v>
      </c>
      <c r="AR36" s="0" t="s">
        <v>275</v>
      </c>
    </row>
    <row s="1659" customFormat="1" customHeight="1" ht="16.575" hidden="1">
      <c r="B37" s="192">
        <f>H37&lt;first_year+PERIOD_LENGTH</f>
        <v>0</v>
      </c>
      <c r="E37" s="180">
        <v>17</v>
      </c>
      <c r="F37" s="175" cm="1" t="str">
        <f t="array" ref="F37:F37">F36</f>
        <v>0</v>
      </c>
      <c r="H37" s="175">
        <f>first_year+7</f>
        <v>2032</v>
      </c>
      <c r="T37" s="753" cm="1" t="str">
        <f t="array" ref="T37:T37">T36</f>
        <v>false</v>
      </c>
      <c r="AB37" s="930" t="str">
        <f>H37&amp;" год"</f>
        <v>2032 год</v>
      </c>
      <c r="AC37" s="167"/>
      <c r="AD37" s="81">
        <f>_xlfn.IFERROR(_xlfn.SUMIFS(INDEX('Операционные (5.2)'!$BD$26:$BW$45,,MATCH($H37,'Операционные (5.2)'!$BD$9:$BW$9,0)),'Операционные (5.2)'!$F$26:$F$45,$F37,'Операционные (5.2)'!$G$26:$G$45,"ИОР"),0)</f>
        <v>1</v>
      </c>
      <c r="AE37" s="168"/>
      <c r="AF37" s="167"/>
      <c r="AG37" s="167"/>
      <c r="AH37" s="168"/>
      <c r="AI37" s="169"/>
      <c r="AJ37" s="170"/>
      <c r="AN37" s="312" cm="1" t="str">
        <f t="array" ref="AN37:AN37">H37</f>
        <v>2032</v>
      </c>
      <c r="AP37" s="0" cm="1" t="str">
        <f t="array" ref="AP37:AP37">AP36</f>
        <v>0</v>
      </c>
      <c r="AQ37" s="0" t="str">
        <f>"389.0."&amp;H37-2010&amp;"."</f>
        <v>389.0.22.</v>
      </c>
      <c r="AR37" s="0" t="s">
        <v>275</v>
      </c>
    </row>
    <row s="1659" customFormat="1" customHeight="1" ht="16.575" hidden="1">
      <c r="B38" s="192">
        <f>H38&lt;first_year+PERIOD_LENGTH</f>
        <v>0</v>
      </c>
      <c r="E38" s="180">
        <v>17</v>
      </c>
      <c r="F38" s="175" cm="1" t="str">
        <f t="array" ref="F38:F38">F37</f>
        <v>0</v>
      </c>
      <c r="H38" s="175">
        <f>first_year+8</f>
        <v>2033</v>
      </c>
      <c r="T38" s="753" cm="1" t="str">
        <f t="array" ref="T38:T38">T37</f>
        <v>false</v>
      </c>
      <c r="AB38" s="930" t="str">
        <f>H38&amp;" год"</f>
        <v>2033 год</v>
      </c>
      <c r="AC38" s="167"/>
      <c r="AD38" s="81">
        <f>_xlfn.IFERROR(_xlfn.SUMIFS(INDEX('Операционные (5.2)'!$BD$26:$BW$45,,MATCH($H38,'Операционные (5.2)'!$BD$9:$BW$9,0)),'Операционные (5.2)'!$F$26:$F$45,$F38,'Операционные (5.2)'!$G$26:$G$45,"ИОР"),0)</f>
        <v>1</v>
      </c>
      <c r="AE38" s="168"/>
      <c r="AF38" s="167"/>
      <c r="AG38" s="167"/>
      <c r="AH38" s="168"/>
      <c r="AI38" s="169"/>
      <c r="AJ38" s="170"/>
      <c r="AN38" s="312" cm="1" t="str">
        <f t="array" ref="AN38:AN38">H38</f>
        <v>2033</v>
      </c>
      <c r="AP38" s="0" cm="1" t="str">
        <f t="array" ref="AP38:AP38">AP37</f>
        <v>0</v>
      </c>
      <c r="AQ38" s="0" t="str">
        <f>"389.0."&amp;H38-2010&amp;"."</f>
        <v>389.0.23.</v>
      </c>
      <c r="AR38" s="0" t="s">
        <v>275</v>
      </c>
    </row>
    <row s="1659" customFormat="1" customHeight="1" ht="16.575" hidden="1">
      <c r="B39" s="192">
        <f>H39&lt;first_year+PERIOD_LENGTH</f>
        <v>0</v>
      </c>
      <c r="E39" s="180">
        <v>17</v>
      </c>
      <c r="F39" s="175" cm="1" t="str">
        <f t="array" ref="F39:F39">F38</f>
        <v>0</v>
      </c>
      <c r="H39" s="175">
        <f>first_year+9</f>
        <v>2034</v>
      </c>
      <c r="T39" s="753" cm="1" t="str">
        <f t="array" ref="T39:T39">T38</f>
        <v>false</v>
      </c>
      <c r="AB39" s="930" t="str">
        <f>H39&amp;" год"</f>
        <v>2034 год</v>
      </c>
      <c r="AC39" s="167"/>
      <c r="AD39" s="81">
        <f>_xlfn.IFERROR(_xlfn.SUMIFS(INDEX('Операционные (5.2)'!$BD$26:$BW$45,,MATCH($H39,'Операционные (5.2)'!$BD$9:$BW$9,0)),'Операционные (5.2)'!$F$26:$F$45,$F39,'Операционные (5.2)'!$G$26:$G$45,"ИОР"),0)</f>
        <v>1</v>
      </c>
      <c r="AE39" s="168"/>
      <c r="AF39" s="167"/>
      <c r="AG39" s="167"/>
      <c r="AH39" s="168"/>
      <c r="AI39" s="169"/>
      <c r="AJ39" s="170"/>
      <c r="AN39" s="312" cm="1" t="str">
        <f t="array" ref="AN39:AN39">H39</f>
        <v>2034</v>
      </c>
      <c r="AP39" s="0" cm="1" t="str">
        <f t="array" ref="AP39:AP39">AP38</f>
        <v>0</v>
      </c>
      <c r="AQ39" s="0" t="str">
        <f>"389.0."&amp;H39-2010&amp;"."</f>
        <v>389.0.24.</v>
      </c>
      <c r="AR39" s="0" t="s">
        <v>275</v>
      </c>
    </row>
    <row s="1659" customFormat="1" customHeight="1" ht="16.575" hidden="1">
      <c r="B40" s="192">
        <f>H40&lt;first_year+PERIOD_LENGTH</f>
        <v>0</v>
      </c>
      <c r="E40" s="180">
        <v>17</v>
      </c>
      <c r="F40" s="175" cm="1" t="str">
        <f t="array" ref="F40:F40">F39</f>
        <v>0</v>
      </c>
      <c r="H40" s="175">
        <f>first_year+10</f>
        <v>2035</v>
      </c>
      <c r="T40" s="753" cm="1" t="str">
        <f t="array" ref="T40:T40">T39</f>
        <v>false</v>
      </c>
      <c r="AB40" s="930" t="str">
        <f>H40&amp;" год"</f>
        <v>2035 год</v>
      </c>
      <c r="AC40" s="167"/>
      <c r="AD40" s="168"/>
      <c r="AE40" s="168"/>
      <c r="AF40" s="167"/>
      <c r="AG40" s="167"/>
      <c r="AH40" s="168"/>
      <c r="AI40" s="169"/>
      <c r="AJ40" s="170"/>
      <c r="AN40" s="312" cm="1" t="str">
        <f t="array" ref="AN40:AN40">H40</f>
        <v>2035</v>
      </c>
      <c r="AP40" s="0" cm="1" t="str">
        <f t="array" ref="AP40:AP40">AP39</f>
        <v>0</v>
      </c>
      <c r="AQ40" s="0" t="str">
        <f>"389.0."&amp;H40-2010&amp;"."</f>
        <v>389.0.25.</v>
      </c>
      <c r="AR40" s="0" t="s">
        <v>275</v>
      </c>
    </row>
    <row s="1659" customFormat="1" customHeight="1" ht="16.575" hidden="1">
      <c r="B41" s="192">
        <f>H41&lt;first_year+PERIOD_LENGTH</f>
        <v>0</v>
      </c>
      <c r="E41" s="180">
        <v>17</v>
      </c>
      <c r="F41" s="175" cm="1" t="str">
        <f t="array" ref="F41:F41">F40</f>
        <v>0</v>
      </c>
      <c r="H41" s="175">
        <f>first_year+11</f>
        <v>2036</v>
      </c>
      <c r="T41" s="753" cm="1" t="str">
        <f t="array" ref="T41:T41">T40</f>
        <v>false</v>
      </c>
      <c r="AB41" s="930" t="str">
        <f>H41&amp;" год"</f>
        <v>2036 год</v>
      </c>
      <c r="AC41" s="167"/>
      <c r="AD41" s="168"/>
      <c r="AE41" s="168"/>
      <c r="AF41" s="167"/>
      <c r="AG41" s="167"/>
      <c r="AH41" s="168"/>
      <c r="AI41" s="169"/>
      <c r="AJ41" s="170"/>
      <c r="AN41" s="312" cm="1" t="str">
        <f t="array" ref="AN41:AN41">H41</f>
        <v>2036</v>
      </c>
      <c r="AP41" s="0" cm="1" t="str">
        <f t="array" ref="AP41:AP41">AP40</f>
        <v>0</v>
      </c>
      <c r="AQ41" s="0" t="str">
        <f>"389.0."&amp;H41-2010&amp;"."</f>
        <v>389.0.26.</v>
      </c>
      <c r="AR41" s="0" t="s">
        <v>275</v>
      </c>
    </row>
    <row s="1659" customFormat="1" customHeight="1" ht="16.575" hidden="1">
      <c r="B42" s="192">
        <f>H42&lt;first_year+PERIOD_LENGTH</f>
        <v>0</v>
      </c>
      <c r="E42" s="180">
        <v>17</v>
      </c>
      <c r="F42" s="175" cm="1" t="str">
        <f t="array" ref="F42:F42">F41</f>
        <v>0</v>
      </c>
      <c r="H42" s="175">
        <f>first_year+12</f>
        <v>2037</v>
      </c>
      <c r="T42" s="753" cm="1" t="str">
        <f t="array" ref="T42:T42">T41</f>
        <v>false</v>
      </c>
      <c r="AB42" s="930" t="str">
        <f>H42&amp;" год"</f>
        <v>2037 год</v>
      </c>
      <c r="AC42" s="167"/>
      <c r="AD42" s="168"/>
      <c r="AE42" s="168"/>
      <c r="AF42" s="167"/>
      <c r="AG42" s="167"/>
      <c r="AH42" s="168"/>
      <c r="AI42" s="169"/>
      <c r="AJ42" s="170"/>
      <c r="AN42" s="312" cm="1" t="str">
        <f t="array" ref="AN42:AN42">H42</f>
        <v>2037</v>
      </c>
      <c r="AP42" s="0" cm="1" t="str">
        <f t="array" ref="AP42:AP42">AP41</f>
        <v>0</v>
      </c>
      <c r="AQ42" s="0" t="str">
        <f>"389.0."&amp;H42-2010&amp;"."</f>
        <v>389.0.27.</v>
      </c>
      <c r="AR42" s="0" t="s">
        <v>275</v>
      </c>
    </row>
    <row s="1659" customFormat="1" customHeight="1" ht="16.575" hidden="1">
      <c r="B43" s="192">
        <f>H43&lt;first_year+PERIOD_LENGTH</f>
        <v>0</v>
      </c>
      <c r="E43" s="180">
        <v>17</v>
      </c>
      <c r="F43" s="175" cm="1" t="str">
        <f t="array" ref="F43:F43">F42</f>
        <v>0</v>
      </c>
      <c r="H43" s="175">
        <f>first_year+13</f>
        <v>2038</v>
      </c>
      <c r="T43" s="753" cm="1" t="str">
        <f t="array" ref="T43:T43">T42</f>
        <v>false</v>
      </c>
      <c r="AB43" s="930" t="str">
        <f>H43&amp;" год"</f>
        <v>2038 год</v>
      </c>
      <c r="AC43" s="167"/>
      <c r="AD43" s="168"/>
      <c r="AE43" s="168"/>
      <c r="AF43" s="167"/>
      <c r="AG43" s="167"/>
      <c r="AH43" s="168"/>
      <c r="AI43" s="169"/>
      <c r="AJ43" s="170"/>
      <c r="AN43" s="312" cm="1" t="str">
        <f t="array" ref="AN43:AN43">H43</f>
        <v>2038</v>
      </c>
      <c r="AP43" s="0" cm="1" t="str">
        <f t="array" ref="AP43:AP43">AP42</f>
        <v>0</v>
      </c>
      <c r="AQ43" s="0" t="str">
        <f>"389.0."&amp;H43-2010&amp;"."</f>
        <v>389.0.28.</v>
      </c>
      <c r="AR43" s="0" t="s">
        <v>275</v>
      </c>
    </row>
    <row s="1659" customFormat="1" customHeight="1" ht="16.575" hidden="1">
      <c r="B44" s="192">
        <f>H44&lt;first_year+PERIOD_LENGTH</f>
        <v>0</v>
      </c>
      <c r="E44" s="180">
        <v>17</v>
      </c>
      <c r="F44" s="175" cm="1" t="str">
        <f t="array" ref="F44:F44">F43</f>
        <v>0</v>
      </c>
      <c r="H44" s="175">
        <f>first_year+14</f>
        <v>2039</v>
      </c>
      <c r="T44" s="753" cm="1" t="str">
        <f t="array" ref="T44:T44">T43</f>
        <v>false</v>
      </c>
      <c r="AB44" s="930" t="str">
        <f>H44&amp;" год"</f>
        <v>2039 год</v>
      </c>
      <c r="AC44" s="167"/>
      <c r="AD44" s="168"/>
      <c r="AE44" s="168"/>
      <c r="AF44" s="167"/>
      <c r="AG44" s="167"/>
      <c r="AH44" s="168"/>
      <c r="AI44" s="169"/>
      <c r="AJ44" s="170"/>
      <c r="AN44" s="312" cm="1" t="str">
        <f t="array" ref="AN44:AN44">H44</f>
        <v>2039</v>
      </c>
      <c r="AP44" s="0" cm="1" t="str">
        <f t="array" ref="AP44:AP44">AP43</f>
        <v>0</v>
      </c>
      <c r="AQ44" s="0" t="str">
        <f>"389.0."&amp;H44-2010&amp;"."</f>
        <v>389.0.29.</v>
      </c>
      <c r="AR44" s="0" t="s">
        <v>275</v>
      </c>
    </row>
    <row s="1659" customFormat="1" customHeight="1" ht="16.575" hidden="1">
      <c r="B45" s="192">
        <f>H45&lt;first_year+PERIOD_LENGTH</f>
        <v>0</v>
      </c>
      <c r="E45" s="180">
        <v>17</v>
      </c>
      <c r="F45" s="175" cm="1" t="str">
        <f t="array" ref="F45:F45">F44</f>
        <v>0</v>
      </c>
      <c r="H45" s="175">
        <f>first_year+15</f>
        <v>2040</v>
      </c>
      <c r="T45" s="753" cm="1" t="str">
        <f t="array" ref="T45:T45">T44</f>
        <v>false</v>
      </c>
      <c r="AB45" s="930" t="str">
        <f>H45&amp;" год"</f>
        <v>2040 год</v>
      </c>
      <c r="AC45" s="167"/>
      <c r="AD45" s="168"/>
      <c r="AE45" s="168"/>
      <c r="AF45" s="167"/>
      <c r="AG45" s="167"/>
      <c r="AH45" s="168"/>
      <c r="AI45" s="169"/>
      <c r="AJ45" s="170"/>
      <c r="AN45" s="312" cm="1" t="str">
        <f t="array" ref="AN45:AN45">H45</f>
        <v>2040</v>
      </c>
      <c r="AP45" s="0" cm="1" t="str">
        <f t="array" ref="AP45:AP45">AP44</f>
        <v>0</v>
      </c>
      <c r="AQ45" s="0" t="str">
        <f>"389.0."&amp;H45-2010&amp;"."</f>
        <v>389.0.30.</v>
      </c>
      <c r="AR45" s="0" t="s">
        <v>275</v>
      </c>
    </row>
    <row s="1659" customFormat="1" customHeight="1" ht="16.575" hidden="1">
      <c r="B46" s="192">
        <f>H46&lt;first_year+PERIOD_LENGTH</f>
        <v>0</v>
      </c>
      <c r="E46" s="180">
        <v>17</v>
      </c>
      <c r="F46" s="175" cm="1" t="str">
        <f t="array" ref="F46:F46">F45</f>
        <v>0</v>
      </c>
      <c r="H46" s="175">
        <f>first_year+16</f>
        <v>2041</v>
      </c>
      <c r="T46" s="753" cm="1" t="str">
        <f t="array" ref="T46:T46">T45</f>
        <v>false</v>
      </c>
      <c r="AB46" s="930" t="str">
        <f>H46&amp;" год"</f>
        <v>2041 год</v>
      </c>
      <c r="AC46" s="167"/>
      <c r="AD46" s="168"/>
      <c r="AE46" s="168"/>
      <c r="AF46" s="167"/>
      <c r="AG46" s="167"/>
      <c r="AH46" s="168"/>
      <c r="AI46" s="169"/>
      <c r="AJ46" s="170"/>
      <c r="AN46" s="312" cm="1" t="str">
        <f t="array" ref="AN46:AN46">H46</f>
        <v>2041</v>
      </c>
      <c r="AP46" s="0" cm="1" t="str">
        <f t="array" ref="AP46:AP46">AP45</f>
        <v>0</v>
      </c>
      <c r="AQ46" s="0" t="str">
        <f>"389.0."&amp;H46-2010&amp;"."</f>
        <v>389.0.31.</v>
      </c>
      <c r="AR46" s="0" t="s">
        <v>275</v>
      </c>
    </row>
    <row s="1659" customFormat="1" customHeight="1" ht="16.575" hidden="1">
      <c r="B47" s="192">
        <f>H47&lt;first_year+PERIOD_LENGTH</f>
        <v>0</v>
      </c>
      <c r="E47" s="180">
        <v>17</v>
      </c>
      <c r="F47" s="175" cm="1" t="str">
        <f t="array" ref="F47:F47">F46</f>
        <v>0</v>
      </c>
      <c r="H47" s="175">
        <f>first_year+17</f>
        <v>2042</v>
      </c>
      <c r="T47" s="753" cm="1" t="str">
        <f t="array" ref="T47:T47">T46</f>
        <v>false</v>
      </c>
      <c r="AB47" s="930" t="str">
        <f>H47&amp;" год"</f>
        <v>2042 год</v>
      </c>
      <c r="AC47" s="167"/>
      <c r="AD47" s="168"/>
      <c r="AE47" s="168"/>
      <c r="AF47" s="167"/>
      <c r="AG47" s="167"/>
      <c r="AH47" s="168"/>
      <c r="AI47" s="169"/>
      <c r="AJ47" s="170"/>
      <c r="AN47" s="312" cm="1" t="str">
        <f t="array" ref="AN47:AN47">H47</f>
        <v>2042</v>
      </c>
      <c r="AP47" s="0" cm="1" t="str">
        <f t="array" ref="AP47:AP47">AP46</f>
        <v>0</v>
      </c>
      <c r="AQ47" s="0" t="str">
        <f>"389.0."&amp;H47-2010&amp;"."</f>
        <v>389.0.32.</v>
      </c>
      <c r="AR47" s="0" t="s">
        <v>275</v>
      </c>
    </row>
    <row s="1659" customFormat="1" customHeight="1" ht="16.575" hidden="1">
      <c r="B48" s="192">
        <f>H48&lt;first_year+PERIOD_LENGTH</f>
        <v>0</v>
      </c>
      <c r="E48" s="180">
        <v>17</v>
      </c>
      <c r="F48" s="175" cm="1" t="str">
        <f t="array" ref="F48:F48">F47</f>
        <v>0</v>
      </c>
      <c r="H48" s="175">
        <f>first_year+18</f>
        <v>2043</v>
      </c>
      <c r="T48" s="753" cm="1" t="str">
        <f t="array" ref="T48:T48">T47</f>
        <v>false</v>
      </c>
      <c r="AB48" s="930" t="str">
        <f>H48&amp;" год"</f>
        <v>2043 год</v>
      </c>
      <c r="AC48" s="167"/>
      <c r="AD48" s="168"/>
      <c r="AE48" s="168"/>
      <c r="AF48" s="167"/>
      <c r="AG48" s="167"/>
      <c r="AH48" s="168"/>
      <c r="AI48" s="169"/>
      <c r="AJ48" s="170"/>
      <c r="AN48" s="312" cm="1" t="str">
        <f t="array" ref="AN48:AN48">H48</f>
        <v>2043</v>
      </c>
      <c r="AP48" s="0" cm="1" t="str">
        <f t="array" ref="AP48:AP48">AP47</f>
        <v>0</v>
      </c>
      <c r="AQ48" s="0" t="str">
        <f>"389.0."&amp;H48-2010&amp;"."</f>
        <v>389.0.33.</v>
      </c>
      <c r="AR48" s="0" t="s">
        <v>275</v>
      </c>
    </row>
    <row s="1659" customFormat="1" customHeight="1" ht="16.575" hidden="1">
      <c r="B49" s="192">
        <f>H49&lt;first_year+PERIOD_LENGTH</f>
        <v>0</v>
      </c>
      <c r="E49" s="180">
        <v>17</v>
      </c>
      <c r="F49" s="175" cm="1" t="str">
        <f t="array" ref="F49:F49">F48</f>
        <v>0</v>
      </c>
      <c r="H49" s="175">
        <f>first_year+19</f>
        <v>2044</v>
      </c>
      <c r="T49" s="753" cm="1" t="str">
        <f t="array" ref="T49:T49">T48</f>
        <v>false</v>
      </c>
      <c r="AB49" s="930" t="str">
        <f>H49&amp;" год"</f>
        <v>2044 год</v>
      </c>
      <c r="AC49" s="167"/>
      <c r="AD49" s="168"/>
      <c r="AE49" s="168"/>
      <c r="AF49" s="167"/>
      <c r="AG49" s="167"/>
      <c r="AH49" s="168"/>
      <c r="AI49" s="169"/>
      <c r="AJ49" s="170"/>
      <c r="AN49" s="312" cm="1" t="str">
        <f t="array" ref="AN49:AN49">H49</f>
        <v>2044</v>
      </c>
      <c r="AP49" s="0" cm="1" t="str">
        <f t="array" ref="AP49:AP49">AP48</f>
        <v>0</v>
      </c>
      <c r="AQ49" s="0" t="str">
        <f>"389.0."&amp;H49-2010&amp;"."</f>
        <v>389.0.34.</v>
      </c>
      <c r="AR49" s="0" t="s">
        <v>275</v>
      </c>
    </row>
    <row s="1659" customFormat="1" customHeight="1" ht="16.575" hidden="1">
      <c r="B50" s="192">
        <f>H50&lt;first_year+PERIOD_LENGTH</f>
        <v>0</v>
      </c>
      <c r="E50" s="180">
        <v>17</v>
      </c>
      <c r="F50" s="175" cm="1" t="str">
        <f t="array" ref="F50:F50">F49</f>
        <v>0</v>
      </c>
      <c r="H50" s="175">
        <f>first_year+20</f>
        <v>2045</v>
      </c>
      <c r="T50" s="753" cm="1" t="str">
        <f t="array" ref="T50:T50">T49</f>
        <v>false</v>
      </c>
      <c r="AB50" s="930" t="str">
        <f>H50&amp;" год"</f>
        <v>2045 год</v>
      </c>
      <c r="AC50" s="167"/>
      <c r="AD50" s="168"/>
      <c r="AE50" s="168"/>
      <c r="AF50" s="167"/>
      <c r="AG50" s="167"/>
      <c r="AH50" s="168"/>
      <c r="AI50" s="169"/>
      <c r="AJ50" s="170"/>
      <c r="AN50" s="312" cm="1" t="str">
        <f t="array" ref="AN50:AN50">H50</f>
        <v>2045</v>
      </c>
      <c r="AP50" s="0" cm="1" t="str">
        <f t="array" ref="AP50:AP50">AP49</f>
        <v>0</v>
      </c>
      <c r="AQ50" s="0" t="str">
        <f>"389.0."&amp;H50-2010&amp;"."</f>
        <v>389.0.35.</v>
      </c>
      <c r="AR50" s="0" t="s">
        <v>275</v>
      </c>
    </row>
    <row s="1659" customFormat="1" customHeight="1" ht="16.575" hidden="1">
      <c r="B51" s="192">
        <f>H51&lt;first_year+PERIOD_LENGTH</f>
        <v>0</v>
      </c>
      <c r="E51" s="180">
        <v>17</v>
      </c>
      <c r="F51" s="175" cm="1" t="str">
        <f t="array" ref="F51:F51">F50</f>
        <v>0</v>
      </c>
      <c r="H51" s="175">
        <f>first_year+21</f>
        <v>2046</v>
      </c>
      <c r="T51" s="753" cm="1" t="str">
        <f t="array" ref="T51:T51">T50</f>
        <v>false</v>
      </c>
      <c r="AB51" s="930" t="str">
        <f>H51&amp;" год"</f>
        <v>2046 год</v>
      </c>
      <c r="AC51" s="167"/>
      <c r="AD51" s="168"/>
      <c r="AE51" s="168"/>
      <c r="AF51" s="167"/>
      <c r="AG51" s="167"/>
      <c r="AH51" s="168"/>
      <c r="AI51" s="169"/>
      <c r="AJ51" s="170"/>
      <c r="AN51" s="312" cm="1" t="str">
        <f t="array" ref="AN51:AN51">H51</f>
        <v>2046</v>
      </c>
      <c r="AP51" s="0" cm="1" t="str">
        <f t="array" ref="AP51:AP51">AP50</f>
        <v>0</v>
      </c>
      <c r="AQ51" s="0" t="str">
        <f>"389.0."&amp;H51-2010&amp;"."</f>
        <v>389.0.36.</v>
      </c>
      <c r="AR51" s="0" t="s">
        <v>275</v>
      </c>
    </row>
    <row s="1659" customFormat="1" customHeight="1" ht="16.575" hidden="1">
      <c r="B52" s="192">
        <f>H52&lt;first_year+PERIOD_LENGTH</f>
        <v>0</v>
      </c>
      <c r="E52" s="180">
        <v>17</v>
      </c>
      <c r="F52" s="175" cm="1" t="str">
        <f t="array" ref="F52:F52">F51</f>
        <v>0</v>
      </c>
      <c r="H52" s="175">
        <f>first_year+22</f>
        <v>2047</v>
      </c>
      <c r="T52" s="753" cm="1" t="str">
        <f t="array" ref="T52:T52">T51</f>
        <v>false</v>
      </c>
      <c r="AB52" s="930" t="str">
        <f>H52&amp;" год"</f>
        <v>2047 год</v>
      </c>
      <c r="AC52" s="167"/>
      <c r="AD52" s="168"/>
      <c r="AE52" s="168"/>
      <c r="AF52" s="167"/>
      <c r="AG52" s="167"/>
      <c r="AH52" s="168"/>
      <c r="AI52" s="169"/>
      <c r="AJ52" s="170"/>
      <c r="AN52" s="312" cm="1" t="str">
        <f t="array" ref="AN52:AN52">H52</f>
        <v>2047</v>
      </c>
      <c r="AP52" s="0" cm="1" t="str">
        <f t="array" ref="AP52:AP52">AP51</f>
        <v>0</v>
      </c>
      <c r="AQ52" s="0" t="str">
        <f>"389.0."&amp;H52-2010&amp;"."</f>
        <v>389.0.37.</v>
      </c>
      <c r="AR52" s="0" t="s">
        <v>275</v>
      </c>
    </row>
    <row s="1659" customFormat="1" customHeight="1" ht="16.575" hidden="1">
      <c r="B53" s="192">
        <f>H53&lt;first_year+PERIOD_LENGTH</f>
        <v>0</v>
      </c>
      <c r="E53" s="180">
        <v>17</v>
      </c>
      <c r="F53" s="175" cm="1" t="str">
        <f t="array" ref="F53:F53">F52</f>
        <v>0</v>
      </c>
      <c r="H53" s="175">
        <f>first_year+23</f>
        <v>2048</v>
      </c>
      <c r="T53" s="753" cm="1" t="str">
        <f t="array" ref="T53:T53">T52</f>
        <v>false</v>
      </c>
      <c r="AB53" s="930" t="str">
        <f>H53&amp;" год"</f>
        <v>2048 год</v>
      </c>
      <c r="AC53" s="167"/>
      <c r="AD53" s="168"/>
      <c r="AE53" s="168"/>
      <c r="AF53" s="167"/>
      <c r="AG53" s="167"/>
      <c r="AH53" s="168"/>
      <c r="AI53" s="169"/>
      <c r="AJ53" s="170"/>
      <c r="AN53" s="312" cm="1" t="str">
        <f t="array" ref="AN53:AN53">H53</f>
        <v>2048</v>
      </c>
      <c r="AP53" s="0" cm="1" t="str">
        <f t="array" ref="AP53:AP53">AP52</f>
        <v>0</v>
      </c>
      <c r="AQ53" s="0" t="str">
        <f>"389.0."&amp;H53-2010&amp;"."</f>
        <v>389.0.38.</v>
      </c>
      <c r="AR53" s="0" t="s">
        <v>275</v>
      </c>
    </row>
    <row s="1659" customFormat="1" customHeight="1" ht="16.575" hidden="1">
      <c r="B54" s="192">
        <f>H54&lt;first_year+PERIOD_LENGTH</f>
        <v>0</v>
      </c>
      <c r="E54" s="180">
        <v>17</v>
      </c>
      <c r="F54" s="175" cm="1" t="str">
        <f t="array" ref="F54:F54">F53</f>
        <v>0</v>
      </c>
      <c r="H54" s="175">
        <f>first_year+24</f>
        <v>2049</v>
      </c>
      <c r="T54" s="753" cm="1" t="str">
        <f t="array" ref="T54:T54">T53</f>
        <v>false</v>
      </c>
      <c r="AB54" s="930" t="str">
        <f>H54&amp;" год"</f>
        <v>2049 год</v>
      </c>
      <c r="AC54" s="167"/>
      <c r="AD54" s="168"/>
      <c r="AE54" s="168"/>
      <c r="AF54" s="167"/>
      <c r="AG54" s="167"/>
      <c r="AH54" s="168"/>
      <c r="AI54" s="169"/>
      <c r="AJ54" s="170"/>
      <c r="AN54" s="312" cm="1" t="str">
        <f t="array" ref="AN54:AN54">H54</f>
        <v>2049</v>
      </c>
      <c r="AP54" s="0" cm="1" t="str">
        <f t="array" ref="AP54:AP54">AP53</f>
        <v>0</v>
      </c>
      <c r="AQ54" s="0" t="str">
        <f>"389.0."&amp;H54-2010&amp;"."</f>
        <v>389.0.39.</v>
      </c>
      <c r="AR54" s="0" t="s">
        <v>275</v>
      </c>
    </row>
    <row s="1659" customFormat="1" customHeight="1" ht="16.575" hidden="1">
      <c r="B55" s="192">
        <f>H55&lt;first_year+PERIOD_LENGTH</f>
        <v>0</v>
      </c>
      <c r="E55" s="180">
        <v>17</v>
      </c>
      <c r="F55" s="175" cm="1" t="str">
        <f t="array" ref="F55:F55">F54</f>
        <v>0</v>
      </c>
      <c r="H55" s="175">
        <f>first_year+25</f>
        <v>2050</v>
      </c>
      <c r="T55" s="753" cm="1" t="str">
        <f t="array" ref="T55:T55">T54</f>
        <v>false</v>
      </c>
      <c r="AB55" s="930" t="str">
        <f>H55&amp;" год"</f>
        <v>2050 год</v>
      </c>
      <c r="AC55" s="167"/>
      <c r="AD55" s="168"/>
      <c r="AE55" s="168"/>
      <c r="AF55" s="167"/>
      <c r="AG55" s="167"/>
      <c r="AH55" s="168"/>
      <c r="AI55" s="169"/>
      <c r="AJ55" s="170"/>
      <c r="AN55" s="312" cm="1" t="str">
        <f t="array" ref="AN55:AN55">H55</f>
        <v>2050</v>
      </c>
      <c r="AP55" s="0" cm="1" t="str">
        <f t="array" ref="AP55:AP55">AP54</f>
        <v>0</v>
      </c>
      <c r="AQ55" s="0" t="str">
        <f>"389.0."&amp;H55-2010&amp;"."</f>
        <v>389.0.40.</v>
      </c>
      <c r="AR55" s="0" t="s">
        <v>275</v>
      </c>
    </row>
    <row s="1659" customFormat="1" customHeight="1" ht="16.575" hidden="1">
      <c r="B56" s="192">
        <f>H56&lt;first_year+PERIOD_LENGTH</f>
        <v>0</v>
      </c>
      <c r="E56" s="180">
        <v>17</v>
      </c>
      <c r="F56" s="175" cm="1" t="str">
        <f t="array" ref="F56:F56">F55</f>
        <v>0</v>
      </c>
      <c r="H56" s="175">
        <f>first_year+26</f>
        <v>2051</v>
      </c>
      <c r="T56" s="753" cm="1" t="str">
        <f t="array" ref="T56:T56">T55</f>
        <v>false</v>
      </c>
      <c r="AB56" s="930" t="str">
        <f>H56&amp;" год"</f>
        <v>2051 год</v>
      </c>
      <c r="AC56" s="167"/>
      <c r="AD56" s="168"/>
      <c r="AE56" s="168"/>
      <c r="AF56" s="167"/>
      <c r="AG56" s="167"/>
      <c r="AH56" s="168"/>
      <c r="AI56" s="169"/>
      <c r="AJ56" s="170"/>
      <c r="AN56" s="312" cm="1" t="str">
        <f t="array" ref="AN56:AN56">H56</f>
        <v>2051</v>
      </c>
      <c r="AP56" s="0" cm="1" t="str">
        <f t="array" ref="AP56:AP56">AP55</f>
        <v>0</v>
      </c>
      <c r="AQ56" s="0" t="str">
        <f>"389.0."&amp;H56-2010&amp;"."</f>
        <v>389.0.41.</v>
      </c>
      <c r="AR56" s="0" t="s">
        <v>275</v>
      </c>
    </row>
    <row s="1659" customFormat="1" customHeight="1" ht="16.575" hidden="1">
      <c r="B57" s="192">
        <f>H57&lt;first_year+PERIOD_LENGTH</f>
        <v>0</v>
      </c>
      <c r="E57" s="180">
        <v>17</v>
      </c>
      <c r="F57" s="175" cm="1" t="str">
        <f t="array" ref="F57:F57">F56</f>
        <v>0</v>
      </c>
      <c r="H57" s="175">
        <f>first_year+27</f>
        <v>2052</v>
      </c>
      <c r="T57" s="753" cm="1" t="str">
        <f t="array" ref="T57:T57">T56</f>
        <v>false</v>
      </c>
      <c r="AB57" s="930" t="str">
        <f>H57&amp;" год"</f>
        <v>2052 год</v>
      </c>
      <c r="AC57" s="167"/>
      <c r="AD57" s="168"/>
      <c r="AE57" s="168"/>
      <c r="AF57" s="167"/>
      <c r="AG57" s="167"/>
      <c r="AH57" s="168"/>
      <c r="AI57" s="169"/>
      <c r="AJ57" s="170"/>
      <c r="AN57" s="312" cm="1" t="str">
        <f t="array" ref="AN57:AN57">H57</f>
        <v>2052</v>
      </c>
      <c r="AP57" s="0" cm="1" t="str">
        <f t="array" ref="AP57:AP57">AP56</f>
        <v>0</v>
      </c>
      <c r="AQ57" s="0" t="str">
        <f>"389.0."&amp;H57-2010&amp;"."</f>
        <v>389.0.42.</v>
      </c>
      <c r="AR57" s="0" t="s">
        <v>275</v>
      </c>
    </row>
    <row s="1659" customFormat="1" customHeight="1" ht="16.575" hidden="1">
      <c r="B58" s="192">
        <f>H58&lt;first_year+PERIOD_LENGTH</f>
        <v>0</v>
      </c>
      <c r="E58" s="180">
        <v>17</v>
      </c>
      <c r="F58" s="175" cm="1" t="str">
        <f t="array" ref="F58:F58">F57</f>
        <v>0</v>
      </c>
      <c r="H58" s="175">
        <f>first_year+28</f>
        <v>2053</v>
      </c>
      <c r="T58" s="753" cm="1" t="str">
        <f t="array" ref="T58:T58">T57</f>
        <v>false</v>
      </c>
      <c r="AB58" s="930" t="str">
        <f>H58&amp;" год"</f>
        <v>2053 год</v>
      </c>
      <c r="AC58" s="167"/>
      <c r="AD58" s="168"/>
      <c r="AE58" s="168"/>
      <c r="AF58" s="167"/>
      <c r="AG58" s="167"/>
      <c r="AH58" s="168"/>
      <c r="AI58" s="169"/>
      <c r="AJ58" s="170"/>
      <c r="AN58" s="312" cm="1" t="str">
        <f t="array" ref="AN58:AN58">H58</f>
        <v>2053</v>
      </c>
      <c r="AP58" s="0" cm="1" t="str">
        <f t="array" ref="AP58:AP58">AP57</f>
        <v>0</v>
      </c>
      <c r="AQ58" s="0" t="str">
        <f>"389.0."&amp;H58-2010&amp;"."</f>
        <v>389.0.43.</v>
      </c>
      <c r="AR58" s="0" t="s">
        <v>275</v>
      </c>
    </row>
    <row s="1659" customFormat="1" customHeight="1" ht="16.575" hidden="1">
      <c r="B59" s="192">
        <f>H59&lt;first_year+PERIOD_LENGTH</f>
        <v>0</v>
      </c>
      <c r="E59" s="180">
        <v>17</v>
      </c>
      <c r="F59" s="175" cm="1" t="str">
        <f t="array" ref="F59:F59">F58</f>
        <v>0</v>
      </c>
      <c r="H59" s="175">
        <f>first_year+29</f>
        <v>2054</v>
      </c>
      <c r="T59" s="753" cm="1" t="str">
        <f t="array" ref="T59:T59">T58</f>
        <v>false</v>
      </c>
      <c r="AB59" s="930" t="str">
        <f>H59&amp;" год"</f>
        <v>2054 год</v>
      </c>
      <c r="AC59" s="167"/>
      <c r="AD59" s="168"/>
      <c r="AE59" s="168"/>
      <c r="AF59" s="167"/>
      <c r="AG59" s="167"/>
      <c r="AH59" s="168"/>
      <c r="AI59" s="169"/>
      <c r="AJ59" s="170"/>
      <c r="AN59" s="312" cm="1" t="str">
        <f t="array" ref="AN59:AN59">H59</f>
        <v>2054</v>
      </c>
      <c r="AP59" s="0" cm="1" t="str">
        <f t="array" ref="AP59:AP59">AP58</f>
        <v>0</v>
      </c>
      <c r="AQ59" s="0" t="str">
        <f>"389.0."&amp;H59-2010&amp;"."</f>
        <v>389.0.44.</v>
      </c>
      <c r="AR59" s="0" t="s">
        <v>275</v>
      </c>
    </row>
    <row s="1659" customFormat="1" customHeight="1" ht="16.575" hidden="1">
      <c r="B60" s="192">
        <f>H60&lt;first_year+PERIOD_LENGTH</f>
        <v>0</v>
      </c>
      <c r="E60" s="180">
        <v>17</v>
      </c>
      <c r="F60" s="175" cm="1" t="str">
        <f t="array" ref="F60:F60">F59</f>
        <v>0</v>
      </c>
      <c r="H60" s="175">
        <f>first_year+30</f>
        <v>2055</v>
      </c>
      <c r="T60" s="753" cm="1" t="str">
        <f t="array" ref="T60:T60">T59</f>
        <v>false</v>
      </c>
      <c r="AB60" s="930" t="str">
        <f>H60&amp;" год"</f>
        <v>2055 год</v>
      </c>
      <c r="AC60" s="167"/>
      <c r="AD60" s="168"/>
      <c r="AE60" s="168"/>
      <c r="AF60" s="167"/>
      <c r="AG60" s="167"/>
      <c r="AH60" s="168"/>
      <c r="AI60" s="169"/>
      <c r="AJ60" s="170"/>
      <c r="AN60" s="312" cm="1" t="str">
        <f t="array" ref="AN60:AN60">H60</f>
        <v>2055</v>
      </c>
      <c r="AP60" s="0" cm="1" t="str">
        <f t="array" ref="AP60:AP60">AP59</f>
        <v>0</v>
      </c>
      <c r="AQ60" s="0" t="str">
        <f>"389.0."&amp;H60-2010&amp;"."</f>
        <v>389.0.45.</v>
      </c>
      <c r="AR60" s="0" t="s">
        <v>275</v>
      </c>
    </row>
    <row s="1659" customFormat="1" customHeight="1" ht="16.575" hidden="1">
      <c r="B61" s="192">
        <f>H61&lt;first_year+PERIOD_LENGTH</f>
        <v>0</v>
      </c>
      <c r="E61" s="180">
        <v>17</v>
      </c>
      <c r="F61" s="175" cm="1" t="str">
        <f t="array" ref="F61:F61">F60</f>
        <v>0</v>
      </c>
      <c r="H61" s="175">
        <f>first_year+31</f>
        <v>2056</v>
      </c>
      <c r="T61" s="753" cm="1" t="str">
        <f t="array" ref="T61:T61">T60</f>
        <v>false</v>
      </c>
      <c r="AB61" s="930" t="str">
        <f>H61&amp;" год"</f>
        <v>2056 год</v>
      </c>
      <c r="AC61" s="167"/>
      <c r="AD61" s="168"/>
      <c r="AE61" s="168"/>
      <c r="AF61" s="167"/>
      <c r="AG61" s="167"/>
      <c r="AH61" s="168"/>
      <c r="AI61" s="169"/>
      <c r="AJ61" s="170"/>
      <c r="AN61" s="312" cm="1" t="str">
        <f t="array" ref="AN61:AN61">H61</f>
        <v>2056</v>
      </c>
      <c r="AP61" s="0" cm="1" t="str">
        <f t="array" ref="AP61:AP61">AP60</f>
        <v>0</v>
      </c>
      <c r="AQ61" s="0" t="str">
        <f>"389.0."&amp;H61-2010&amp;"."</f>
        <v>389.0.46.</v>
      </c>
      <c r="AR61" s="0" t="s">
        <v>275</v>
      </c>
    </row>
    <row s="1659" customFormat="1" customHeight="1" ht="16.575" hidden="1">
      <c r="B62" s="192">
        <f>H62&lt;first_year+PERIOD_LENGTH</f>
        <v>0</v>
      </c>
      <c r="E62" s="180">
        <v>17</v>
      </c>
      <c r="F62" s="175" cm="1" t="str">
        <f t="array" ref="F62:F62">F61</f>
        <v>0</v>
      </c>
      <c r="H62" s="175">
        <f>first_year+32</f>
        <v>2057</v>
      </c>
      <c r="T62" s="753" cm="1" t="str">
        <f t="array" ref="T62:T62">T61</f>
        <v>false</v>
      </c>
      <c r="AB62" s="930" t="str">
        <f>H62&amp;" год"</f>
        <v>2057 год</v>
      </c>
      <c r="AC62" s="167"/>
      <c r="AD62" s="168"/>
      <c r="AE62" s="168"/>
      <c r="AF62" s="167"/>
      <c r="AG62" s="167"/>
      <c r="AH62" s="168"/>
      <c r="AI62" s="169"/>
      <c r="AJ62" s="170"/>
      <c r="AN62" s="312" cm="1" t="str">
        <f t="array" ref="AN62:AN62">H62</f>
        <v>2057</v>
      </c>
      <c r="AP62" s="0" cm="1" t="str">
        <f t="array" ref="AP62:AP62">AP61</f>
        <v>0</v>
      </c>
      <c r="AQ62" s="0" t="str">
        <f>"389.0."&amp;H62-2010&amp;"."</f>
        <v>389.0.47.</v>
      </c>
      <c r="AR62" s="0" t="s">
        <v>275</v>
      </c>
    </row>
    <row s="1659" customFormat="1" customHeight="1" ht="16.575" hidden="1">
      <c r="B63" s="192">
        <f>H63&lt;first_year+PERIOD_LENGTH</f>
        <v>0</v>
      </c>
      <c r="E63" s="180">
        <v>17</v>
      </c>
      <c r="F63" s="175" cm="1" t="str">
        <f t="array" ref="F63:F63">F62</f>
        <v>0</v>
      </c>
      <c r="H63" s="175">
        <f>first_year+33</f>
        <v>2058</v>
      </c>
      <c r="T63" s="753" cm="1" t="str">
        <f t="array" ref="T63:T63">T62</f>
        <v>false</v>
      </c>
      <c r="AB63" s="930" t="str">
        <f>H63&amp;" год"</f>
        <v>2058 год</v>
      </c>
      <c r="AC63" s="167"/>
      <c r="AD63" s="168"/>
      <c r="AE63" s="168"/>
      <c r="AF63" s="167"/>
      <c r="AG63" s="167"/>
      <c r="AH63" s="168"/>
      <c r="AI63" s="169"/>
      <c r="AJ63" s="170"/>
      <c r="AN63" s="312" cm="1" t="str">
        <f t="array" ref="AN63:AN63">H63</f>
        <v>2058</v>
      </c>
      <c r="AP63" s="0" cm="1" t="str">
        <f t="array" ref="AP63:AP63">AP62</f>
        <v>0</v>
      </c>
      <c r="AQ63" s="0" t="str">
        <f>"389.0."&amp;H63-2010&amp;"."</f>
        <v>389.0.48.</v>
      </c>
      <c r="AR63" s="0" t="s">
        <v>275</v>
      </c>
    </row>
    <row s="1659" customFormat="1" customHeight="1" ht="16.575" hidden="1">
      <c r="B64" s="192">
        <f>H64&lt;first_year+PERIOD_LENGTH</f>
        <v>0</v>
      </c>
      <c r="E64" s="180">
        <v>17</v>
      </c>
      <c r="F64" s="175" cm="1" t="str">
        <f t="array" ref="F64:F64">F63</f>
        <v>0</v>
      </c>
      <c r="H64" s="175">
        <f>first_year+34</f>
        <v>2059</v>
      </c>
      <c r="T64" s="753" cm="1" t="str">
        <f t="array" ref="T64:T64">T63</f>
        <v>false</v>
      </c>
      <c r="AB64" s="930" t="str">
        <f>H64&amp;" год"</f>
        <v>2059 год</v>
      </c>
      <c r="AC64" s="167"/>
      <c r="AD64" s="168"/>
      <c r="AE64" s="168"/>
      <c r="AF64" s="167"/>
      <c r="AG64" s="167"/>
      <c r="AH64" s="168"/>
      <c r="AI64" s="169"/>
      <c r="AJ64" s="170"/>
      <c r="AN64" s="312" cm="1" t="str">
        <f t="array" ref="AN64:AN64">H64</f>
        <v>2059</v>
      </c>
      <c r="AP64" s="0" cm="1" t="str">
        <f t="array" ref="AP64:AP64">AP63</f>
        <v>0</v>
      </c>
      <c r="AQ64" s="0" t="str">
        <f>"389.0."&amp;H64-2010&amp;"."</f>
        <v>389.0.49.</v>
      </c>
      <c r="AR64" s="0" t="s">
        <v>275</v>
      </c>
    </row>
    <row s="1659" customFormat="1" customHeight="1" ht="16.575" hidden="1">
      <c r="B65" s="192">
        <f>H65&lt;first_year+PERIOD_LENGTH</f>
        <v>0</v>
      </c>
      <c r="E65" s="180">
        <v>17</v>
      </c>
      <c r="F65" s="175" cm="1" t="str">
        <f t="array" ref="F65:F65">F64</f>
        <v>0</v>
      </c>
      <c r="H65" s="175">
        <f>first_year+35</f>
        <v>2060</v>
      </c>
      <c r="T65" s="753" cm="1" t="str">
        <f t="array" ref="T65:T65">T64</f>
        <v>false</v>
      </c>
      <c r="AB65" s="930" t="str">
        <f>H65&amp;" год"</f>
        <v>2060 год</v>
      </c>
      <c r="AC65" s="167"/>
      <c r="AD65" s="168"/>
      <c r="AE65" s="168"/>
      <c r="AF65" s="167"/>
      <c r="AG65" s="167"/>
      <c r="AH65" s="168"/>
      <c r="AI65" s="169"/>
      <c r="AJ65" s="170"/>
      <c r="AN65" s="312" cm="1" t="str">
        <f t="array" ref="AN65:AN65">H65</f>
        <v>2060</v>
      </c>
      <c r="AP65" s="0" cm="1" t="str">
        <f t="array" ref="AP65:AP65">AP64</f>
        <v>0</v>
      </c>
      <c r="AQ65" s="0" t="str">
        <f>"389.0."&amp;H65-2010&amp;"."</f>
        <v>389.0.50.</v>
      </c>
      <c r="AR65" s="0" t="s">
        <v>275</v>
      </c>
    </row>
    <row s="1659" customFormat="1" customHeight="1" ht="16.575" hidden="1">
      <c r="B66" s="192">
        <f>H66&lt;first_year+PERIOD_LENGTH</f>
        <v>0</v>
      </c>
      <c r="E66" s="180">
        <v>17</v>
      </c>
      <c r="F66" s="175" cm="1" t="str">
        <f t="array" ref="F66:F66">F65</f>
        <v>0</v>
      </c>
      <c r="H66" s="175">
        <f>first_year+36</f>
        <v>2061</v>
      </c>
      <c r="T66" s="753" cm="1" t="str">
        <f t="array" ref="T66:T66">T65</f>
        <v>false</v>
      </c>
      <c r="AB66" s="930" t="str">
        <f>H66&amp;" год"</f>
        <v>2061 год</v>
      </c>
      <c r="AC66" s="167"/>
      <c r="AD66" s="168"/>
      <c r="AE66" s="168"/>
      <c r="AF66" s="167"/>
      <c r="AG66" s="167"/>
      <c r="AH66" s="168"/>
      <c r="AI66" s="169"/>
      <c r="AJ66" s="170"/>
      <c r="AN66" s="312" cm="1" t="str">
        <f t="array" ref="AN66:AN66">H66</f>
        <v>2061</v>
      </c>
      <c r="AP66" s="0" cm="1" t="str">
        <f t="array" ref="AP66:AP66">AP65</f>
        <v>0</v>
      </c>
      <c r="AQ66" s="0" t="str">
        <f>"389.0."&amp;H66-2010&amp;"."</f>
        <v>389.0.51.</v>
      </c>
      <c r="AR66" s="0" t="s">
        <v>275</v>
      </c>
    </row>
    <row s="1659" customFormat="1" customHeight="1" ht="16.575" hidden="1">
      <c r="B67" s="192">
        <f>H67&lt;first_year+PERIOD_LENGTH</f>
        <v>0</v>
      </c>
      <c r="E67" s="180">
        <v>17</v>
      </c>
      <c r="F67" s="175" cm="1" t="str">
        <f t="array" ref="F67:F67">F66</f>
        <v>0</v>
      </c>
      <c r="H67" s="175">
        <f>first_year+37</f>
        <v>2062</v>
      </c>
      <c r="T67" s="753" cm="1" t="str">
        <f t="array" ref="T67:T67">T66</f>
        <v>false</v>
      </c>
      <c r="AB67" s="930" t="str">
        <f>H67&amp;" год"</f>
        <v>2062 год</v>
      </c>
      <c r="AC67" s="167"/>
      <c r="AD67" s="168"/>
      <c r="AE67" s="168"/>
      <c r="AF67" s="167"/>
      <c r="AG67" s="167"/>
      <c r="AH67" s="168"/>
      <c r="AI67" s="169"/>
      <c r="AJ67" s="170"/>
      <c r="AN67" s="312" cm="1" t="str">
        <f t="array" ref="AN67:AN67">H67</f>
        <v>2062</v>
      </c>
      <c r="AP67" s="0" cm="1" t="str">
        <f t="array" ref="AP67:AP67">AP66</f>
        <v>0</v>
      </c>
      <c r="AQ67" s="0" t="str">
        <f>"389.0."&amp;H67-2010&amp;"."</f>
        <v>389.0.52.</v>
      </c>
      <c r="AR67" s="0" t="s">
        <v>275</v>
      </c>
    </row>
    <row s="1659" customFormat="1" customHeight="1" ht="16.575" hidden="1">
      <c r="B68" s="192">
        <f>H68&lt;first_year+PERIOD_LENGTH</f>
        <v>0</v>
      </c>
      <c r="E68" s="180">
        <v>17</v>
      </c>
      <c r="F68" s="175" cm="1" t="str">
        <f t="array" ref="F68:F68">F67</f>
        <v>0</v>
      </c>
      <c r="H68" s="175">
        <f>first_year+38</f>
        <v>2063</v>
      </c>
      <c r="T68" s="753" cm="1" t="str">
        <f t="array" ref="T68:T68">T67</f>
        <v>false</v>
      </c>
      <c r="AB68" s="930" t="str">
        <f>H68&amp;" год"</f>
        <v>2063 год</v>
      </c>
      <c r="AC68" s="167"/>
      <c r="AD68" s="168"/>
      <c r="AE68" s="168"/>
      <c r="AF68" s="167"/>
      <c r="AG68" s="167"/>
      <c r="AH68" s="168"/>
      <c r="AI68" s="169"/>
      <c r="AJ68" s="170"/>
      <c r="AN68" s="312" cm="1" t="str">
        <f t="array" ref="AN68:AN68">H68</f>
        <v>2063</v>
      </c>
      <c r="AP68" s="0" cm="1" t="str">
        <f t="array" ref="AP68:AP68">AP67</f>
        <v>0</v>
      </c>
      <c r="AQ68" s="0" t="str">
        <f>"389.0."&amp;H68-2010&amp;"."</f>
        <v>389.0.53.</v>
      </c>
      <c r="AR68" s="0" t="s">
        <v>275</v>
      </c>
    </row>
    <row s="1659" customFormat="1" customHeight="1" ht="16.575" hidden="1">
      <c r="B69" s="192">
        <f>H69&lt;first_year+PERIOD_LENGTH</f>
        <v>0</v>
      </c>
      <c r="E69" s="180">
        <v>17</v>
      </c>
      <c r="F69" s="175" cm="1" t="str">
        <f t="array" ref="F69:F69">F68</f>
        <v>0</v>
      </c>
      <c r="H69" s="175">
        <f>first_year+39</f>
        <v>2064</v>
      </c>
      <c r="T69" s="753" cm="1" t="str">
        <f t="array" ref="T69:T69">T68</f>
        <v>false</v>
      </c>
      <c r="AB69" s="930" t="str">
        <f>H69&amp;" год"</f>
        <v>2064 год</v>
      </c>
      <c r="AC69" s="167"/>
      <c r="AD69" s="168"/>
      <c r="AE69" s="168"/>
      <c r="AF69" s="167"/>
      <c r="AG69" s="167"/>
      <c r="AH69" s="168"/>
      <c r="AI69" s="169"/>
      <c r="AJ69" s="170"/>
      <c r="AN69" s="312" cm="1" t="str">
        <f t="array" ref="AN69:AN69">H69</f>
        <v>2064</v>
      </c>
      <c r="AP69" s="0" cm="1" t="str">
        <f t="array" ref="AP69:AP69">AP68</f>
        <v>0</v>
      </c>
      <c r="AQ69" s="0" t="str">
        <f>"389.0."&amp;H69-2010&amp;"."</f>
        <v>389.0.54.</v>
      </c>
      <c r="AR69" s="0" t="s">
        <v>275</v>
      </c>
    </row>
    <row s="1659" customFormat="1" customHeight="1" ht="16.575" hidden="1">
      <c r="B70" s="192">
        <f>H70&lt;first_year+PERIOD_LENGTH</f>
        <v>0</v>
      </c>
      <c r="E70" s="180">
        <v>17</v>
      </c>
      <c r="F70" s="175" cm="1" t="str">
        <f t="array" ref="F70:F70">F69</f>
        <v>0</v>
      </c>
      <c r="H70" s="175">
        <f>first_year+40</f>
        <v>2065</v>
      </c>
      <c r="T70" s="753" cm="1" t="str">
        <f t="array" ref="T70:T70">T69</f>
        <v>false</v>
      </c>
      <c r="AB70" s="930" t="str">
        <f>H70&amp;" год"</f>
        <v>2065 год</v>
      </c>
      <c r="AC70" s="167"/>
      <c r="AD70" s="168"/>
      <c r="AE70" s="168"/>
      <c r="AF70" s="167"/>
      <c r="AG70" s="167"/>
      <c r="AH70" s="168"/>
      <c r="AI70" s="169"/>
      <c r="AJ70" s="170"/>
      <c r="AN70" s="312" cm="1" t="str">
        <f t="array" ref="AN70:AN70">H70</f>
        <v>2065</v>
      </c>
      <c r="AP70" s="0" cm="1" t="str">
        <f t="array" ref="AP70:AP70">AP69</f>
        <v>0</v>
      </c>
      <c r="AQ70" s="0" t="str">
        <f>"389.0."&amp;H70-2010&amp;"."</f>
        <v>389.0.55.</v>
      </c>
      <c r="AR70" s="0" t="s">
        <v>275</v>
      </c>
    </row>
    <row s="1659" customFormat="1" customHeight="1" ht="16.575" hidden="1">
      <c r="B71" s="192">
        <f>H71&lt;first_year+PERIOD_LENGTH</f>
        <v>0</v>
      </c>
      <c r="E71" s="180">
        <v>17</v>
      </c>
      <c r="F71" s="175" cm="1" t="str">
        <f t="array" ref="F71:F71">F70</f>
        <v>0</v>
      </c>
      <c r="H71" s="175">
        <f>first_year+41</f>
        <v>2066</v>
      </c>
      <c r="T71" s="753" cm="1" t="str">
        <f t="array" ref="T71:T71">T70</f>
        <v>false</v>
      </c>
      <c r="AB71" s="930" t="str">
        <f>H71&amp;" год"</f>
        <v>2066 год</v>
      </c>
      <c r="AC71" s="167"/>
      <c r="AD71" s="168"/>
      <c r="AE71" s="168"/>
      <c r="AF71" s="167"/>
      <c r="AG71" s="167"/>
      <c r="AH71" s="168"/>
      <c r="AI71" s="169"/>
      <c r="AJ71" s="170"/>
      <c r="AN71" s="312" cm="1" t="str">
        <f t="array" ref="AN71:AN71">H71</f>
        <v>2066</v>
      </c>
      <c r="AP71" s="0" cm="1" t="str">
        <f t="array" ref="AP71:AP71">AP70</f>
        <v>0</v>
      </c>
      <c r="AQ71" s="0" t="str">
        <f>"389.0."&amp;H71-2010&amp;"."</f>
        <v>389.0.56.</v>
      </c>
      <c r="AR71" s="0" t="s">
        <v>275</v>
      </c>
    </row>
    <row s="1659" customFormat="1" customHeight="1" ht="16.575" hidden="1">
      <c r="B72" s="192">
        <f>H72&lt;first_year+PERIOD_LENGTH</f>
        <v>0</v>
      </c>
      <c r="E72" s="180">
        <v>17</v>
      </c>
      <c r="F72" s="175" cm="1" t="str">
        <f t="array" ref="F72:F72">F71</f>
        <v>0</v>
      </c>
      <c r="H72" s="175">
        <f>first_year+42</f>
        <v>2067</v>
      </c>
      <c r="T72" s="753" cm="1" t="str">
        <f t="array" ref="T72:T72">T71</f>
        <v>false</v>
      </c>
      <c r="AB72" s="930" t="str">
        <f>H72&amp;" год"</f>
        <v>2067 год</v>
      </c>
      <c r="AC72" s="167"/>
      <c r="AD72" s="168"/>
      <c r="AE72" s="168"/>
      <c r="AF72" s="167"/>
      <c r="AG72" s="167"/>
      <c r="AH72" s="168"/>
      <c r="AI72" s="169"/>
      <c r="AJ72" s="170"/>
      <c r="AN72" s="312" cm="1" t="str">
        <f t="array" ref="AN72:AN72">H72</f>
        <v>2067</v>
      </c>
      <c r="AP72" s="0" cm="1" t="str">
        <f t="array" ref="AP72:AP72">AP71</f>
        <v>0</v>
      </c>
      <c r="AQ72" s="0" t="str">
        <f>"389.0."&amp;H72-2010&amp;"."</f>
        <v>389.0.57.</v>
      </c>
      <c r="AR72" s="0" t="s">
        <v>275</v>
      </c>
    </row>
    <row s="1659" customFormat="1" customHeight="1" ht="16.575" hidden="1">
      <c r="B73" s="192">
        <f>H73&lt;first_year+PERIOD_LENGTH</f>
        <v>0</v>
      </c>
      <c r="E73" s="180">
        <v>17</v>
      </c>
      <c r="F73" s="175" cm="1" t="str">
        <f t="array" ref="F73:F73">F72</f>
        <v>0</v>
      </c>
      <c r="H73" s="175">
        <f>first_year+43</f>
        <v>2068</v>
      </c>
      <c r="T73" s="753" cm="1" t="str">
        <f t="array" ref="T73:T73">T72</f>
        <v>false</v>
      </c>
      <c r="AB73" s="930" t="str">
        <f>H73&amp;" год"</f>
        <v>2068 год</v>
      </c>
      <c r="AC73" s="167"/>
      <c r="AD73" s="168"/>
      <c r="AE73" s="168"/>
      <c r="AF73" s="167"/>
      <c r="AG73" s="167"/>
      <c r="AH73" s="168"/>
      <c r="AI73" s="169"/>
      <c r="AJ73" s="170"/>
      <c r="AN73" s="312" cm="1" t="str">
        <f t="array" ref="AN73:AN73">H73</f>
        <v>2068</v>
      </c>
      <c r="AP73" s="0" cm="1" t="str">
        <f t="array" ref="AP73:AP73">AP72</f>
        <v>0</v>
      </c>
      <c r="AQ73" s="0" t="str">
        <f>"389.0."&amp;H73-2010&amp;"."</f>
        <v>389.0.58.</v>
      </c>
      <c r="AR73" s="0" t="s">
        <v>275</v>
      </c>
    </row>
    <row s="1659" customFormat="1" customHeight="1" ht="16.575" hidden="1">
      <c r="B74" s="192">
        <f>H74&lt;first_year+PERIOD_LENGTH</f>
        <v>0</v>
      </c>
      <c r="E74" s="180">
        <v>17</v>
      </c>
      <c r="F74" s="175" cm="1" t="str">
        <f t="array" ref="F74:F74">F73</f>
        <v>0</v>
      </c>
      <c r="H74" s="175">
        <f>first_year+44</f>
        <v>2069</v>
      </c>
      <c r="T74" s="753" cm="1" t="str">
        <f t="array" ref="T74:T74">T73</f>
        <v>false</v>
      </c>
      <c r="AB74" s="930" t="str">
        <f>H74&amp;" год"</f>
        <v>2069 год</v>
      </c>
      <c r="AC74" s="167"/>
      <c r="AD74" s="168"/>
      <c r="AE74" s="168"/>
      <c r="AF74" s="167"/>
      <c r="AG74" s="167"/>
      <c r="AH74" s="168"/>
      <c r="AI74" s="169"/>
      <c r="AJ74" s="170"/>
      <c r="AN74" s="312" cm="1" t="str">
        <f t="array" ref="AN74:AN74">H74</f>
        <v>2069</v>
      </c>
      <c r="AP74" s="0" cm="1" t="str">
        <f t="array" ref="AP74:AP74">AP73</f>
        <v>0</v>
      </c>
      <c r="AQ74" s="0" t="str">
        <f>"389.0."&amp;H74-2010&amp;"."</f>
        <v>389.0.59.</v>
      </c>
      <c r="AR74" s="0" t="s">
        <v>275</v>
      </c>
    </row>
    <row s="1659" customFormat="1" customHeight="1" ht="16.575" hidden="1">
      <c r="B75" s="192">
        <f>H75&lt;first_year+PERIOD_LENGTH</f>
        <v>0</v>
      </c>
      <c r="E75" s="180">
        <v>17</v>
      </c>
      <c r="F75" s="175" cm="1" t="str">
        <f t="array" ref="F75:F75">F74</f>
        <v>0</v>
      </c>
      <c r="H75" s="175">
        <f>first_year+45</f>
        <v>2070</v>
      </c>
      <c r="T75" s="753" cm="1" t="str">
        <f t="array" ref="T75:T75">T74</f>
        <v>false</v>
      </c>
      <c r="AB75" s="930" t="str">
        <f>H75&amp;" год"</f>
        <v>2070 год</v>
      </c>
      <c r="AC75" s="167"/>
      <c r="AD75" s="168"/>
      <c r="AE75" s="168"/>
      <c r="AF75" s="167"/>
      <c r="AG75" s="167"/>
      <c r="AH75" s="168"/>
      <c r="AI75" s="169"/>
      <c r="AJ75" s="170"/>
      <c r="AN75" s="312" cm="1" t="str">
        <f t="array" ref="AN75:AN75">H75</f>
        <v>2070</v>
      </c>
      <c r="AP75" s="0" cm="1" t="str">
        <f t="array" ref="AP75:AP75">AP74</f>
        <v>0</v>
      </c>
      <c r="AQ75" s="0" t="str">
        <f>"389.0."&amp;H75-2010&amp;"."</f>
        <v>389.0.60.</v>
      </c>
      <c r="AR75" s="0" t="s">
        <v>275</v>
      </c>
    </row>
    <row s="1659" customFormat="1" customHeight="1" ht="16.575" hidden="1">
      <c r="B76" s="192">
        <f>H76&lt;first_year+PERIOD_LENGTH</f>
        <v>0</v>
      </c>
      <c r="E76" s="180">
        <v>17</v>
      </c>
      <c r="F76" s="175" cm="1" t="str">
        <f t="array" ref="F76:F76">F75</f>
        <v>0</v>
      </c>
      <c r="H76" s="175">
        <f>first_year+46</f>
        <v>2071</v>
      </c>
      <c r="T76" s="753" cm="1" t="str">
        <f t="array" ref="T76:T76">T75</f>
        <v>false</v>
      </c>
      <c r="AB76" s="930" t="str">
        <f>H76&amp;" год"</f>
        <v>2071 год</v>
      </c>
      <c r="AC76" s="167"/>
      <c r="AD76" s="168"/>
      <c r="AE76" s="168"/>
      <c r="AF76" s="167"/>
      <c r="AG76" s="167"/>
      <c r="AH76" s="168"/>
      <c r="AI76" s="169"/>
      <c r="AJ76" s="170"/>
      <c r="AN76" s="312" cm="1" t="str">
        <f t="array" ref="AN76:AN76">H76</f>
        <v>2071</v>
      </c>
      <c r="AP76" s="0" cm="1" t="str">
        <f t="array" ref="AP76:AP76">AP75</f>
        <v>0</v>
      </c>
      <c r="AQ76" s="0" t="str">
        <f>"389.0."&amp;H76-2010&amp;"."</f>
        <v>389.0.61.</v>
      </c>
      <c r="AR76" s="0" t="s">
        <v>275</v>
      </c>
    </row>
    <row s="1659" customFormat="1" customHeight="1" ht="16.575" hidden="1">
      <c r="B77" s="192">
        <f>H77&lt;first_year+PERIOD_LENGTH</f>
        <v>0</v>
      </c>
      <c r="E77" s="180">
        <v>17</v>
      </c>
      <c r="F77" s="175" cm="1" t="str">
        <f t="array" ref="F77:F77">F76</f>
        <v>0</v>
      </c>
      <c r="H77" s="175">
        <f>first_year+47</f>
        <v>2072</v>
      </c>
      <c r="T77" s="753" cm="1" t="str">
        <f t="array" ref="T77:T77">T76</f>
        <v>false</v>
      </c>
      <c r="AB77" s="930" t="str">
        <f>H77&amp;" год"</f>
        <v>2072 год</v>
      </c>
      <c r="AC77" s="167"/>
      <c r="AD77" s="168"/>
      <c r="AE77" s="168"/>
      <c r="AF77" s="167"/>
      <c r="AG77" s="167"/>
      <c r="AH77" s="168"/>
      <c r="AI77" s="169"/>
      <c r="AJ77" s="170"/>
      <c r="AN77" s="312" cm="1" t="str">
        <f t="array" ref="AN77:AN77">H77</f>
        <v>2072</v>
      </c>
      <c r="AP77" s="0" cm="1" t="str">
        <f t="array" ref="AP77:AP77">AP76</f>
        <v>0</v>
      </c>
      <c r="AQ77" s="0" t="str">
        <f>"389.0."&amp;H77-2010&amp;"."</f>
        <v>389.0.62.</v>
      </c>
      <c r="AR77" s="0" t="s">
        <v>275</v>
      </c>
    </row>
    <row s="1659" customFormat="1" customHeight="1" ht="16.575" hidden="1">
      <c r="B78" s="192">
        <f>H78&lt;first_year+PERIOD_LENGTH</f>
        <v>0</v>
      </c>
      <c r="E78" s="180">
        <v>17</v>
      </c>
      <c r="F78" s="175" cm="1" t="str">
        <f t="array" ref="F78:F78">F77</f>
        <v>0</v>
      </c>
      <c r="H78" s="175">
        <f>first_year+48</f>
        <v>2073</v>
      </c>
      <c r="T78" s="753" cm="1" t="str">
        <f t="array" ref="T78:T78">T77</f>
        <v>false</v>
      </c>
      <c r="AB78" s="930" t="str">
        <f>H78&amp;" год"</f>
        <v>2073 год</v>
      </c>
      <c r="AC78" s="167"/>
      <c r="AD78" s="168"/>
      <c r="AE78" s="168"/>
      <c r="AF78" s="167"/>
      <c r="AG78" s="167"/>
      <c r="AH78" s="168"/>
      <c r="AI78" s="169"/>
      <c r="AJ78" s="170"/>
      <c r="AN78" s="312" cm="1" t="str">
        <f t="array" ref="AN78:AN78">H78</f>
        <v>2073</v>
      </c>
      <c r="AP78" s="0" cm="1" t="str">
        <f t="array" ref="AP78:AP78">AP77</f>
        <v>0</v>
      </c>
      <c r="AQ78" s="0" t="str">
        <f>"389.0."&amp;H78-2010&amp;"."</f>
        <v>389.0.63.</v>
      </c>
      <c r="AR78" s="0" t="s">
        <v>275</v>
      </c>
    </row>
    <row s="1659" customFormat="1" customHeight="1" ht="16.575" hidden="1">
      <c r="B79" s="192">
        <f>H79&lt;first_year+PERIOD_LENGTH</f>
        <v>0</v>
      </c>
      <c r="E79" s="180">
        <v>17</v>
      </c>
      <c r="F79" s="175" cm="1" t="str">
        <f t="array" ref="F79:F79">F78</f>
        <v>0</v>
      </c>
      <c r="H79" s="175">
        <f>first_year+49</f>
        <v>2074</v>
      </c>
      <c r="T79" s="753" cm="1" t="str">
        <f t="array" ref="T79:T79">T78</f>
        <v>false</v>
      </c>
      <c r="AB79" s="930" t="str">
        <f>H79&amp;" год"</f>
        <v>2074 год</v>
      </c>
      <c r="AC79" s="167"/>
      <c r="AD79" s="168"/>
      <c r="AE79" s="168"/>
      <c r="AF79" s="167"/>
      <c r="AG79" s="167"/>
      <c r="AH79" s="168"/>
      <c r="AI79" s="169"/>
      <c r="AJ79" s="170"/>
      <c r="AN79" s="312" cm="1" t="str">
        <f t="array" ref="AN79:AN79">H79</f>
        <v>2074</v>
      </c>
      <c r="AP79" s="0" cm="1" t="str">
        <f t="array" ref="AP79:AP79">AP78</f>
        <v>0</v>
      </c>
      <c r="AQ79" s="0" t="str">
        <f>"389.0."&amp;H79-2010&amp;"."</f>
        <v>389.0.64.</v>
      </c>
      <c r="AR79" s="0" t="s">
        <v>275</v>
      </c>
    </row>
    <row s="969" customFormat="1" customHeight="1" ht="16.5">
      <c r="A80" s="969"/>
      <c r="B80" s="969"/>
      <c r="C80" s="969"/>
      <c r="D80" s="969"/>
      <c r="E80" s="180">
        <v>17</v>
      </c>
      <c r="F80" s="175" cm="1" t="str">
        <f t="array" ref="F80:F80">X80</f>
        <v>1</v>
      </c>
      <c r="G80" s="969"/>
      <c r="H80" s="969"/>
      <c r="I80" s="969"/>
      <c r="J80" s="969"/>
      <c r="K80" s="969"/>
      <c r="L80" s="969"/>
      <c r="M80" s="969"/>
      <c r="N80" s="969"/>
      <c r="O80" s="969"/>
      <c r="P80" s="969"/>
      <c r="Q80" s="969"/>
      <c r="R80" s="969"/>
      <c r="S80" s="969"/>
      <c r="T80" s="753">
        <f>X80&gt;0</f>
        <v>1</v>
      </c>
      <c r="U80" s="969"/>
      <c r="V80" s="175" cm="1" t="str">
        <f t="array" ref="V80:V80">ТМ!$AB$74</f>
        <v>Тариф 1 (Теплоснабжение) - Тариф на тепловую энергию (мощность), поставляемую потребителям (Доп. признак не требуется)</v>
      </c>
      <c r="W80" s="969"/>
      <c r="X80" s="175" t="s">
        <v>308</v>
      </c>
      <c r="Y80" s="969"/>
      <c r="Z80" s="969"/>
      <c r="AA80" s="969"/>
      <c r="AB80" s="656" cm="1" t="str">
        <f t="array" ref="AB80:AB80">IF(ISBLANK(ТМ!$AB$74),"",ТМ!$AB$74)</f>
        <v>Тариф 1 (Теплоснабжение) - Тариф на тепловую энергию (мощность), поставляемую потребителям (Доп. признак не требуется)</v>
      </c>
      <c r="AC80" s="335"/>
      <c r="AD80" s="335"/>
      <c r="AE80" s="335"/>
      <c r="AF80" s="335"/>
      <c r="AG80" s="335"/>
      <c r="AH80" s="335"/>
      <c r="AI80" s="335"/>
      <c r="AJ80" s="1116"/>
      <c r="AK80" s="969"/>
      <c r="AL80" s="969"/>
      <c r="AM80" s="969"/>
      <c r="AN80" s="999"/>
      <c r="AO80" s="969"/>
      <c r="AP80" s="969"/>
      <c r="AQ80" s="969"/>
      <c r="AR80" s="969"/>
      <c r="AS80" s="969"/>
    </row>
    <row s="1659" customFormat="1" customHeight="1" ht="16.5">
      <c r="A81" s="1659"/>
      <c r="B81" s="192">
        <f>H81&lt;first_year+PERIOD_LENGTH</f>
        <v>1</v>
      </c>
      <c r="C81" s="1659"/>
      <c r="D81" s="1659"/>
      <c r="E81" s="180">
        <v>17</v>
      </c>
      <c r="F81" s="175" cm="1" t="str">
        <f t="array" ref="F81:F81">F80</f>
        <v>1</v>
      </c>
      <c r="G81" s="193" t="s">
        <v>1549</v>
      </c>
      <c r="H81" s="175" cm="1" t="str">
        <f t="array" ref="H81:H81">first_year</f>
        <v>2025</v>
      </c>
      <c r="I81" s="1659"/>
      <c r="J81" s="1659"/>
      <c r="K81" s="1659"/>
      <c r="L81" s="1659"/>
      <c r="M81" s="1659"/>
      <c r="N81" s="1659"/>
      <c r="O81" s="1659"/>
      <c r="P81" s="1659"/>
      <c r="Q81" s="1659"/>
      <c r="R81" s="1659"/>
      <c r="S81" s="1659"/>
      <c r="T81" s="753" cm="1" t="str">
        <f t="array" ref="T81:T81">T80</f>
        <v>true</v>
      </c>
      <c r="U81" s="1659"/>
      <c r="V81" s="1659"/>
      <c r="W81" s="1659"/>
      <c r="X81" s="1659"/>
      <c r="Y81" s="1659"/>
      <c r="Z81" s="1659"/>
      <c r="AA81" s="1659"/>
      <c r="AB81" s="930" t="str">
        <f>H81&amp;" год"</f>
        <v>2025 год</v>
      </c>
      <c r="AC81" s="2425" t="str">
        <f>IF(god=first_year,_xlfn.SUMIFS('Калькуляция (5.9)'!BD$26:BD$139,'Калькуляция (5.9)'!$F$26:$F$139,$F81,'Калькуляция (5.9)'!$G$26:$G$139,$G81),"")</f>
        <v/>
      </c>
      <c r="AD81" s="1892"/>
      <c r="AE81" s="2426"/>
      <c r="AF81" s="2425"/>
      <c r="AG81" s="2425"/>
      <c r="AH81" s="2426"/>
      <c r="AI81" s="2427"/>
      <c r="AJ81" s="2428"/>
      <c r="AK81" s="1659"/>
      <c r="AL81" s="1659"/>
      <c r="AM81" s="1659"/>
      <c r="AN81" s="312" cm="1" t="str">
        <f t="array" ref="AN81:AN81">H81</f>
        <v>2025</v>
      </c>
      <c r="AO81" s="1659"/>
      <c r="AP81" s="0" cm="1" t="str">
        <f t="array" ref="AP81:AP81">INDEX('Общие сведения'!$N$170:$N$202,MATCH($F81,'Общие сведения'!$Y$170:$Y$202,0)+1)</f>
        <v>ТЭ.42.31656254.0001</v>
      </c>
      <c r="AQ81" s="0" t="str">
        <f>"389.0."&amp;H81-2010&amp;"."</f>
        <v>389.0.15.</v>
      </c>
      <c r="AR81" s="0" t="s">
        <v>275</v>
      </c>
      <c r="AS81" s="1659"/>
    </row>
    <row s="1659" customFormat="1" customHeight="1" ht="16.5">
      <c r="A82" s="1659"/>
      <c r="B82" s="192">
        <f>H82&lt;first_year+PERIOD_LENGTH</f>
        <v>1</v>
      </c>
      <c r="C82" s="1659"/>
      <c r="D82" s="1659"/>
      <c r="E82" s="180">
        <v>17</v>
      </c>
      <c r="F82" s="175" cm="1" t="str">
        <f t="array" ref="F82:F82">F81</f>
        <v>1</v>
      </c>
      <c r="G82" s="1659"/>
      <c r="H82" s="175">
        <f>first_year+1</f>
        <v>2026</v>
      </c>
      <c r="I82" s="1659"/>
      <c r="J82" s="1659"/>
      <c r="K82" s="1659"/>
      <c r="L82" s="1659"/>
      <c r="M82" s="1659"/>
      <c r="N82" s="1659"/>
      <c r="O82" s="1659"/>
      <c r="P82" s="1659"/>
      <c r="Q82" s="1659"/>
      <c r="R82" s="1659"/>
      <c r="S82" s="1659"/>
      <c r="T82" s="753" cm="1" t="str">
        <f t="array" ref="T82:T82">T81</f>
        <v>true</v>
      </c>
      <c r="U82" s="1659"/>
      <c r="V82" s="1659"/>
      <c r="W82" s="1659"/>
      <c r="X82" s="1659"/>
      <c r="Y82" s="1659"/>
      <c r="Z82" s="1659"/>
      <c r="AA82" s="1659"/>
      <c r="AB82" s="930" t="str">
        <f>H82&amp;" год"</f>
        <v>2026 год</v>
      </c>
      <c r="AC82" s="2425"/>
      <c r="AD82" s="1892">
        <f>_xlfn.IFERROR(_xlfn.SUMIFS(INDEX('Операционные (5.2)'!$BD$26:$BW$45,,MATCH($H82,'Операционные (5.2)'!$BD$9:$BW$9,0)),'Операционные (5.2)'!$F$26:$F$45,$F82,'Операционные (5.2)'!$G$26:$G$45,"ИОР"),0)</f>
        <v>0</v>
      </c>
      <c r="AE82" s="2426"/>
      <c r="AF82" s="2425"/>
      <c r="AG82" s="2425"/>
      <c r="AH82" s="2426"/>
      <c r="AI82" s="2427"/>
      <c r="AJ82" s="2428"/>
      <c r="AK82" s="1659"/>
      <c r="AL82" s="1659"/>
      <c r="AM82" s="1659"/>
      <c r="AN82" s="312" cm="1" t="str">
        <f t="array" ref="AN82:AN82">H82</f>
        <v>2026</v>
      </c>
      <c r="AO82" s="1659"/>
      <c r="AP82" s="0" cm="1" t="str">
        <f t="array" ref="AP82:AP82">AP81</f>
        <v>ТЭ.42.31656254.0001</v>
      </c>
      <c r="AQ82" s="0" t="str">
        <f>"389.0."&amp;H82-2010&amp;"."</f>
        <v>389.0.16.</v>
      </c>
      <c r="AR82" s="0" t="s">
        <v>275</v>
      </c>
      <c r="AS82" s="1659"/>
    </row>
    <row s="1659" customFormat="1" customHeight="1" ht="16.5">
      <c r="A83" s="1659"/>
      <c r="B83" s="192">
        <f>H83&lt;first_year+PERIOD_LENGTH</f>
        <v>1</v>
      </c>
      <c r="C83" s="1659"/>
      <c r="D83" s="1659"/>
      <c r="E83" s="180">
        <v>17</v>
      </c>
      <c r="F83" s="175" cm="1" t="str">
        <f t="array" ref="F83:F83">F82</f>
        <v>1</v>
      </c>
      <c r="G83" s="1659"/>
      <c r="H83" s="175">
        <f>first_year+2</f>
        <v>2027</v>
      </c>
      <c r="I83" s="1659"/>
      <c r="J83" s="1659"/>
      <c r="K83" s="1659"/>
      <c r="L83" s="1659"/>
      <c r="M83" s="1659"/>
      <c r="N83" s="1659"/>
      <c r="O83" s="1659"/>
      <c r="P83" s="1659"/>
      <c r="Q83" s="1659"/>
      <c r="R83" s="1659"/>
      <c r="S83" s="1659"/>
      <c r="T83" s="753" cm="1" t="str">
        <f t="array" ref="T83:T83">T82</f>
        <v>true</v>
      </c>
      <c r="U83" s="1659"/>
      <c r="V83" s="1659"/>
      <c r="W83" s="1659"/>
      <c r="X83" s="1659"/>
      <c r="Y83" s="1659"/>
      <c r="Z83" s="1659"/>
      <c r="AA83" s="1659"/>
      <c r="AB83" s="930" t="str">
        <f>H83&amp;" год"</f>
        <v>2027 год</v>
      </c>
      <c r="AC83" s="2425"/>
      <c r="AD83" s="1892">
        <f>_xlfn.IFERROR(_xlfn.SUMIFS(INDEX('Операционные (5.2)'!$BD$26:$BW$45,,MATCH($H83,'Операционные (5.2)'!$BD$9:$BW$9,0)),'Операционные (5.2)'!$F$26:$F$45,$F83,'Операционные (5.2)'!$G$26:$G$45,"ИОР"),0)</f>
        <v>1</v>
      </c>
      <c r="AE83" s="2426"/>
      <c r="AF83" s="2425"/>
      <c r="AG83" s="2425"/>
      <c r="AH83" s="2426"/>
      <c r="AI83" s="2427"/>
      <c r="AJ83" s="2428"/>
      <c r="AK83" s="1659"/>
      <c r="AL83" s="1659"/>
      <c r="AM83" s="1659"/>
      <c r="AN83" s="312" cm="1" t="str">
        <f t="array" ref="AN83:AN83">H83</f>
        <v>2027</v>
      </c>
      <c r="AO83" s="1659"/>
      <c r="AP83" s="0" cm="1" t="str">
        <f t="array" ref="AP83:AP83">AP82</f>
        <v>ТЭ.42.31656254.0001</v>
      </c>
      <c r="AQ83" s="0" t="str">
        <f>"389.0."&amp;H83-2010&amp;"."</f>
        <v>389.0.17.</v>
      </c>
      <c r="AR83" s="0" t="s">
        <v>275</v>
      </c>
      <c r="AS83" s="1659"/>
    </row>
    <row s="1659" customFormat="1" customHeight="1" ht="16.5" hidden="1">
      <c r="A84" s="1659"/>
      <c r="B84" s="192">
        <f>H84&lt;first_year+PERIOD_LENGTH</f>
        <v>0</v>
      </c>
      <c r="C84" s="1659"/>
      <c r="D84" s="1659"/>
      <c r="E84" s="180">
        <v>17</v>
      </c>
      <c r="F84" s="175" cm="1" t="str">
        <f t="array" ref="F84:F84">F83</f>
        <v>1</v>
      </c>
      <c r="G84" s="1659"/>
      <c r="H84" s="175">
        <f>first_year+3</f>
        <v>2028</v>
      </c>
      <c r="I84" s="1659"/>
      <c r="J84" s="1659"/>
      <c r="K84" s="1659"/>
      <c r="L84" s="1659"/>
      <c r="M84" s="1659"/>
      <c r="N84" s="1659"/>
      <c r="O84" s="1659"/>
      <c r="P84" s="1659"/>
      <c r="Q84" s="1659"/>
      <c r="R84" s="1659"/>
      <c r="S84" s="1659"/>
      <c r="T84" s="753" cm="1" t="str">
        <f t="array" ref="T84:T84">T83</f>
        <v>true</v>
      </c>
      <c r="U84" s="1659"/>
      <c r="V84" s="1659"/>
      <c r="W84" s="1659"/>
      <c r="X84" s="1659"/>
      <c r="Y84" s="1659"/>
      <c r="Z84" s="1659"/>
      <c r="AA84" s="1659"/>
      <c r="AB84" s="930" t="str">
        <f>H84&amp;" год"</f>
        <v>2028 год</v>
      </c>
      <c r="AC84" s="167"/>
      <c r="AD84" s="81">
        <f>_xlfn.IFERROR(_xlfn.SUMIFS(INDEX('Операционные (5.2)'!$BD$26:$BW$45,,MATCH($H84,'Операционные (5.2)'!$BD$9:$BW$9,0)),'Операционные (5.2)'!$F$26:$F$45,$F84,'Операционные (5.2)'!$G$26:$G$45,"ИОР"),0)</f>
        <v>1</v>
      </c>
      <c r="AE84" s="168"/>
      <c r="AF84" s="167"/>
      <c r="AG84" s="167"/>
      <c r="AH84" s="168"/>
      <c r="AI84" s="169"/>
      <c r="AJ84" s="170"/>
      <c r="AK84" s="1659"/>
      <c r="AL84" s="1659"/>
      <c r="AM84" s="1659"/>
      <c r="AN84" s="312" cm="1" t="str">
        <f t="array" ref="AN84:AN84">H84</f>
        <v>2028</v>
      </c>
      <c r="AO84" s="1659"/>
      <c r="AP84" s="0" cm="1" t="str">
        <f t="array" ref="AP84:AP84">AP83</f>
        <v>ТЭ.42.31656254.0001</v>
      </c>
      <c r="AQ84" s="0" t="str">
        <f>"389.0."&amp;H84-2010&amp;"."</f>
        <v>389.0.18.</v>
      </c>
      <c r="AR84" s="0" t="s">
        <v>275</v>
      </c>
      <c r="AS84" s="1659"/>
    </row>
    <row s="1659" customFormat="1" customHeight="1" ht="16.5" hidden="1">
      <c r="A85" s="1659"/>
      <c r="B85" s="192">
        <f>H85&lt;first_year+PERIOD_LENGTH</f>
        <v>0</v>
      </c>
      <c r="C85" s="1659"/>
      <c r="D85" s="1659"/>
      <c r="E85" s="180">
        <v>17</v>
      </c>
      <c r="F85" s="175" cm="1" t="str">
        <f t="array" ref="F85:F85">F84</f>
        <v>1</v>
      </c>
      <c r="G85" s="1659"/>
      <c r="H85" s="175">
        <f>first_year+4</f>
        <v>2029</v>
      </c>
      <c r="I85" s="1659"/>
      <c r="J85" s="1659"/>
      <c r="K85" s="1659"/>
      <c r="L85" s="1659"/>
      <c r="M85" s="1659"/>
      <c r="N85" s="1659"/>
      <c r="O85" s="1659"/>
      <c r="P85" s="1659"/>
      <c r="Q85" s="1659"/>
      <c r="R85" s="1659"/>
      <c r="S85" s="1659"/>
      <c r="T85" s="753" cm="1" t="str">
        <f t="array" ref="T85:T85">T84</f>
        <v>true</v>
      </c>
      <c r="U85" s="1659"/>
      <c r="V85" s="1659"/>
      <c r="W85" s="1659"/>
      <c r="X85" s="1659"/>
      <c r="Y85" s="1659"/>
      <c r="Z85" s="1659"/>
      <c r="AA85" s="1659"/>
      <c r="AB85" s="930" t="str">
        <f>H85&amp;" год"</f>
        <v>2029 год</v>
      </c>
      <c r="AC85" s="167"/>
      <c r="AD85" s="81">
        <f>_xlfn.IFERROR(_xlfn.SUMIFS(INDEX('Операционные (5.2)'!$BD$26:$BW$45,,MATCH($H85,'Операционные (5.2)'!$BD$9:$BW$9,0)),'Операционные (5.2)'!$F$26:$F$45,$F85,'Операционные (5.2)'!$G$26:$G$45,"ИОР"),0)</f>
        <v>1</v>
      </c>
      <c r="AE85" s="168"/>
      <c r="AF85" s="167"/>
      <c r="AG85" s="167"/>
      <c r="AH85" s="168"/>
      <c r="AI85" s="169"/>
      <c r="AJ85" s="170"/>
      <c r="AK85" s="1659"/>
      <c r="AL85" s="1659"/>
      <c r="AM85" s="1659"/>
      <c r="AN85" s="312" cm="1" t="str">
        <f t="array" ref="AN85:AN85">H85</f>
        <v>2029</v>
      </c>
      <c r="AO85" s="1659"/>
      <c r="AP85" s="0" cm="1" t="str">
        <f t="array" ref="AP85:AP85">AP84</f>
        <v>ТЭ.42.31656254.0001</v>
      </c>
      <c r="AQ85" s="0" t="str">
        <f>"389.0."&amp;H85-2010&amp;"."</f>
        <v>389.0.19.</v>
      </c>
      <c r="AR85" s="0" t="s">
        <v>275</v>
      </c>
      <c r="AS85" s="1659"/>
    </row>
    <row s="1659" customFormat="1" customHeight="1" ht="16.5" hidden="1">
      <c r="A86" s="1659"/>
      <c r="B86" s="192">
        <f>H86&lt;first_year+PERIOD_LENGTH</f>
        <v>0</v>
      </c>
      <c r="C86" s="1659"/>
      <c r="D86" s="1659"/>
      <c r="E86" s="180">
        <v>17</v>
      </c>
      <c r="F86" s="175" cm="1" t="str">
        <f t="array" ref="F86:F86">F85</f>
        <v>1</v>
      </c>
      <c r="G86" s="1659"/>
      <c r="H86" s="175">
        <f>first_year+5</f>
        <v>2030</v>
      </c>
      <c r="I86" s="1659"/>
      <c r="J86" s="1659"/>
      <c r="K86" s="1659"/>
      <c r="L86" s="1659"/>
      <c r="M86" s="1659"/>
      <c r="N86" s="1659"/>
      <c r="O86" s="1659"/>
      <c r="P86" s="1659"/>
      <c r="Q86" s="1659"/>
      <c r="R86" s="1659"/>
      <c r="S86" s="1659"/>
      <c r="T86" s="753" cm="1" t="str">
        <f t="array" ref="T86:T86">T85</f>
        <v>true</v>
      </c>
      <c r="U86" s="1659"/>
      <c r="V86" s="1659"/>
      <c r="W86" s="1659"/>
      <c r="X86" s="1659"/>
      <c r="Y86" s="1659"/>
      <c r="Z86" s="1659"/>
      <c r="AA86" s="1659"/>
      <c r="AB86" s="930" t="str">
        <f>H86&amp;" год"</f>
        <v>2030 год</v>
      </c>
      <c r="AC86" s="167"/>
      <c r="AD86" s="81">
        <f>_xlfn.IFERROR(_xlfn.SUMIFS(INDEX('Операционные (5.2)'!$BD$26:$BW$45,,MATCH($H86,'Операционные (5.2)'!$BD$9:$BW$9,0)),'Операционные (5.2)'!$F$26:$F$45,$F86,'Операционные (5.2)'!$G$26:$G$45,"ИОР"),0)</f>
        <v>1</v>
      </c>
      <c r="AE86" s="168"/>
      <c r="AF86" s="167"/>
      <c r="AG86" s="167"/>
      <c r="AH86" s="168"/>
      <c r="AI86" s="169"/>
      <c r="AJ86" s="170"/>
      <c r="AK86" s="1659"/>
      <c r="AL86" s="1659"/>
      <c r="AM86" s="1659"/>
      <c r="AN86" s="312" cm="1" t="str">
        <f t="array" ref="AN86:AN86">H86</f>
        <v>2030</v>
      </c>
      <c r="AO86" s="1659"/>
      <c r="AP86" s="0" cm="1" t="str">
        <f t="array" ref="AP86:AP86">AP85</f>
        <v>ТЭ.42.31656254.0001</v>
      </c>
      <c r="AQ86" s="0" t="str">
        <f>"389.0."&amp;H86-2010&amp;"."</f>
        <v>389.0.20.</v>
      </c>
      <c r="AR86" s="0" t="s">
        <v>275</v>
      </c>
      <c r="AS86" s="1659"/>
    </row>
    <row s="1659" customFormat="1" customHeight="1" ht="16.5" hidden="1">
      <c r="A87" s="1659"/>
      <c r="B87" s="192">
        <f>H87&lt;first_year+PERIOD_LENGTH</f>
        <v>0</v>
      </c>
      <c r="C87" s="1659"/>
      <c r="D87" s="1659"/>
      <c r="E87" s="180">
        <v>17</v>
      </c>
      <c r="F87" s="175" cm="1" t="str">
        <f t="array" ref="F87:F87">F86</f>
        <v>1</v>
      </c>
      <c r="G87" s="1659"/>
      <c r="H87" s="175">
        <f>first_year+6</f>
        <v>2031</v>
      </c>
      <c r="I87" s="1659"/>
      <c r="J87" s="1659"/>
      <c r="K87" s="1659"/>
      <c r="L87" s="1659"/>
      <c r="M87" s="1659"/>
      <c r="N87" s="1659"/>
      <c r="O87" s="1659"/>
      <c r="P87" s="1659"/>
      <c r="Q87" s="1659"/>
      <c r="R87" s="1659"/>
      <c r="S87" s="1659"/>
      <c r="T87" s="753" cm="1" t="str">
        <f t="array" ref="T87:T87">T86</f>
        <v>true</v>
      </c>
      <c r="U87" s="1659"/>
      <c r="V87" s="1659"/>
      <c r="W87" s="1659"/>
      <c r="X87" s="1659"/>
      <c r="Y87" s="1659"/>
      <c r="Z87" s="1659"/>
      <c r="AA87" s="1659"/>
      <c r="AB87" s="930" t="str">
        <f>H87&amp;" год"</f>
        <v>2031 год</v>
      </c>
      <c r="AC87" s="167"/>
      <c r="AD87" s="81">
        <f>_xlfn.IFERROR(_xlfn.SUMIFS(INDEX('Операционные (5.2)'!$BD$26:$BW$45,,MATCH($H87,'Операционные (5.2)'!$BD$9:$BW$9,0)),'Операционные (5.2)'!$F$26:$F$45,$F87,'Операционные (5.2)'!$G$26:$G$45,"ИОР"),0)</f>
        <v>1</v>
      </c>
      <c r="AE87" s="168"/>
      <c r="AF87" s="167"/>
      <c r="AG87" s="167"/>
      <c r="AH87" s="168"/>
      <c r="AI87" s="169"/>
      <c r="AJ87" s="170"/>
      <c r="AK87" s="1659"/>
      <c r="AL87" s="1659"/>
      <c r="AM87" s="1659"/>
      <c r="AN87" s="312" cm="1" t="str">
        <f t="array" ref="AN87:AN87">H87</f>
        <v>2031</v>
      </c>
      <c r="AO87" s="1659"/>
      <c r="AP87" s="0" cm="1" t="str">
        <f t="array" ref="AP87:AP87">AP86</f>
        <v>ТЭ.42.31656254.0001</v>
      </c>
      <c r="AQ87" s="0" t="str">
        <f>"389.0."&amp;H87-2010&amp;"."</f>
        <v>389.0.21.</v>
      </c>
      <c r="AR87" s="0" t="s">
        <v>275</v>
      </c>
      <c r="AS87" s="1659"/>
    </row>
    <row s="1659" customFormat="1" customHeight="1" ht="16.5" hidden="1">
      <c r="A88" s="1659"/>
      <c r="B88" s="192">
        <f>H88&lt;first_year+PERIOD_LENGTH</f>
        <v>0</v>
      </c>
      <c r="C88" s="1659"/>
      <c r="D88" s="1659"/>
      <c r="E88" s="180">
        <v>17</v>
      </c>
      <c r="F88" s="175" cm="1" t="str">
        <f t="array" ref="F88:F88">F87</f>
        <v>1</v>
      </c>
      <c r="G88" s="1659"/>
      <c r="H88" s="175">
        <f>first_year+7</f>
        <v>2032</v>
      </c>
      <c r="I88" s="1659"/>
      <c r="J88" s="1659"/>
      <c r="K88" s="1659"/>
      <c r="L88" s="1659"/>
      <c r="M88" s="1659"/>
      <c r="N88" s="1659"/>
      <c r="O88" s="1659"/>
      <c r="P88" s="1659"/>
      <c r="Q88" s="1659"/>
      <c r="R88" s="1659"/>
      <c r="S88" s="1659"/>
      <c r="T88" s="753" cm="1" t="str">
        <f t="array" ref="T88:T88">T87</f>
        <v>true</v>
      </c>
      <c r="U88" s="1659"/>
      <c r="V88" s="1659"/>
      <c r="W88" s="1659"/>
      <c r="X88" s="1659"/>
      <c r="Y88" s="1659"/>
      <c r="Z88" s="1659"/>
      <c r="AA88" s="1659"/>
      <c r="AB88" s="930" t="str">
        <f>H88&amp;" год"</f>
        <v>2032 год</v>
      </c>
      <c r="AC88" s="167"/>
      <c r="AD88" s="81">
        <f>_xlfn.IFERROR(_xlfn.SUMIFS(INDEX('Операционные (5.2)'!$BD$26:$BW$45,,MATCH($H88,'Операционные (5.2)'!$BD$9:$BW$9,0)),'Операционные (5.2)'!$F$26:$F$45,$F88,'Операционные (5.2)'!$G$26:$G$45,"ИОР"),0)</f>
        <v>1</v>
      </c>
      <c r="AE88" s="168"/>
      <c r="AF88" s="167"/>
      <c r="AG88" s="167"/>
      <c r="AH88" s="168"/>
      <c r="AI88" s="169"/>
      <c r="AJ88" s="170"/>
      <c r="AK88" s="1659"/>
      <c r="AL88" s="1659"/>
      <c r="AM88" s="1659"/>
      <c r="AN88" s="312" cm="1" t="str">
        <f t="array" ref="AN88:AN88">H88</f>
        <v>2032</v>
      </c>
      <c r="AO88" s="1659"/>
      <c r="AP88" s="0" cm="1" t="str">
        <f t="array" ref="AP88:AP88">AP87</f>
        <v>ТЭ.42.31656254.0001</v>
      </c>
      <c r="AQ88" s="0" t="str">
        <f>"389.0."&amp;H88-2010&amp;"."</f>
        <v>389.0.22.</v>
      </c>
      <c r="AR88" s="0" t="s">
        <v>275</v>
      </c>
      <c r="AS88" s="1659"/>
    </row>
    <row s="1659" customFormat="1" customHeight="1" ht="16.5" hidden="1">
      <c r="A89" s="1659"/>
      <c r="B89" s="192">
        <f>H89&lt;first_year+PERIOD_LENGTH</f>
        <v>0</v>
      </c>
      <c r="C89" s="1659"/>
      <c r="D89" s="1659"/>
      <c r="E89" s="180">
        <v>17</v>
      </c>
      <c r="F89" s="175" cm="1" t="str">
        <f t="array" ref="F89:F89">F88</f>
        <v>1</v>
      </c>
      <c r="G89" s="1659"/>
      <c r="H89" s="175">
        <f>first_year+8</f>
        <v>2033</v>
      </c>
      <c r="I89" s="1659"/>
      <c r="J89" s="1659"/>
      <c r="K89" s="1659"/>
      <c r="L89" s="1659"/>
      <c r="M89" s="1659"/>
      <c r="N89" s="1659"/>
      <c r="O89" s="1659"/>
      <c r="P89" s="1659"/>
      <c r="Q89" s="1659"/>
      <c r="R89" s="1659"/>
      <c r="S89" s="1659"/>
      <c r="T89" s="753" cm="1" t="str">
        <f t="array" ref="T89:T89">T88</f>
        <v>true</v>
      </c>
      <c r="U89" s="1659"/>
      <c r="V89" s="1659"/>
      <c r="W89" s="1659"/>
      <c r="X89" s="1659"/>
      <c r="Y89" s="1659"/>
      <c r="Z89" s="1659"/>
      <c r="AA89" s="1659"/>
      <c r="AB89" s="930" t="str">
        <f>H89&amp;" год"</f>
        <v>2033 год</v>
      </c>
      <c r="AC89" s="167"/>
      <c r="AD89" s="81">
        <f>_xlfn.IFERROR(_xlfn.SUMIFS(INDEX('Операционные (5.2)'!$BD$26:$BW$45,,MATCH($H89,'Операционные (5.2)'!$BD$9:$BW$9,0)),'Операционные (5.2)'!$F$26:$F$45,$F89,'Операционные (5.2)'!$G$26:$G$45,"ИОР"),0)</f>
        <v>1</v>
      </c>
      <c r="AE89" s="168"/>
      <c r="AF89" s="167"/>
      <c r="AG89" s="167"/>
      <c r="AH89" s="168"/>
      <c r="AI89" s="169"/>
      <c r="AJ89" s="170"/>
      <c r="AK89" s="1659"/>
      <c r="AL89" s="1659"/>
      <c r="AM89" s="1659"/>
      <c r="AN89" s="312" cm="1" t="str">
        <f t="array" ref="AN89:AN89">H89</f>
        <v>2033</v>
      </c>
      <c r="AO89" s="1659"/>
      <c r="AP89" s="0" cm="1" t="str">
        <f t="array" ref="AP89:AP89">AP88</f>
        <v>ТЭ.42.31656254.0001</v>
      </c>
      <c r="AQ89" s="0" t="str">
        <f>"389.0."&amp;H89-2010&amp;"."</f>
        <v>389.0.23.</v>
      </c>
      <c r="AR89" s="0" t="s">
        <v>275</v>
      </c>
      <c r="AS89" s="1659"/>
    </row>
    <row s="1659" customFormat="1" customHeight="1" ht="16.5" hidden="1">
      <c r="A90" s="1659"/>
      <c r="B90" s="192">
        <f>H90&lt;first_year+PERIOD_LENGTH</f>
        <v>0</v>
      </c>
      <c r="C90" s="1659"/>
      <c r="D90" s="1659"/>
      <c r="E90" s="180">
        <v>17</v>
      </c>
      <c r="F90" s="175" cm="1" t="str">
        <f t="array" ref="F90:F90">F89</f>
        <v>1</v>
      </c>
      <c r="G90" s="1659"/>
      <c r="H90" s="175">
        <f>first_year+9</f>
        <v>2034</v>
      </c>
      <c r="I90" s="1659"/>
      <c r="J90" s="1659"/>
      <c r="K90" s="1659"/>
      <c r="L90" s="1659"/>
      <c r="M90" s="1659"/>
      <c r="N90" s="1659"/>
      <c r="O90" s="1659"/>
      <c r="P90" s="1659"/>
      <c r="Q90" s="1659"/>
      <c r="R90" s="1659"/>
      <c r="S90" s="1659"/>
      <c r="T90" s="753" cm="1" t="str">
        <f t="array" ref="T90:T90">T89</f>
        <v>true</v>
      </c>
      <c r="U90" s="1659"/>
      <c r="V90" s="1659"/>
      <c r="W90" s="1659"/>
      <c r="X90" s="1659"/>
      <c r="Y90" s="1659"/>
      <c r="Z90" s="1659"/>
      <c r="AA90" s="1659"/>
      <c r="AB90" s="930" t="str">
        <f>H90&amp;" год"</f>
        <v>2034 год</v>
      </c>
      <c r="AC90" s="167"/>
      <c r="AD90" s="81">
        <f>_xlfn.IFERROR(_xlfn.SUMIFS(INDEX('Операционные (5.2)'!$BD$26:$BW$45,,MATCH($H90,'Операционные (5.2)'!$BD$9:$BW$9,0)),'Операционные (5.2)'!$F$26:$F$45,$F90,'Операционные (5.2)'!$G$26:$G$45,"ИОР"),0)</f>
        <v>1</v>
      </c>
      <c r="AE90" s="168"/>
      <c r="AF90" s="167"/>
      <c r="AG90" s="167"/>
      <c r="AH90" s="168"/>
      <c r="AI90" s="169"/>
      <c r="AJ90" s="170"/>
      <c r="AK90" s="1659"/>
      <c r="AL90" s="1659"/>
      <c r="AM90" s="1659"/>
      <c r="AN90" s="312" cm="1" t="str">
        <f t="array" ref="AN90:AN90">H90</f>
        <v>2034</v>
      </c>
      <c r="AO90" s="1659"/>
      <c r="AP90" s="0" cm="1" t="str">
        <f t="array" ref="AP90:AP90">AP89</f>
        <v>ТЭ.42.31656254.0001</v>
      </c>
      <c r="AQ90" s="0" t="str">
        <f>"389.0."&amp;H90-2010&amp;"."</f>
        <v>389.0.24.</v>
      </c>
      <c r="AR90" s="0" t="s">
        <v>275</v>
      </c>
      <c r="AS90" s="1659"/>
    </row>
    <row s="1659" customFormat="1" customHeight="1" ht="16.5" hidden="1">
      <c r="A91" s="1659"/>
      <c r="B91" s="192">
        <f>H91&lt;first_year+PERIOD_LENGTH</f>
        <v>0</v>
      </c>
      <c r="C91" s="1659"/>
      <c r="D91" s="1659"/>
      <c r="E91" s="180">
        <v>17</v>
      </c>
      <c r="F91" s="175" cm="1" t="str">
        <f t="array" ref="F91:F91">F90</f>
        <v>1</v>
      </c>
      <c r="G91" s="1659"/>
      <c r="H91" s="175">
        <f>first_year+10</f>
        <v>2035</v>
      </c>
      <c r="I91" s="1659"/>
      <c r="J91" s="1659"/>
      <c r="K91" s="1659"/>
      <c r="L91" s="1659"/>
      <c r="M91" s="1659"/>
      <c r="N91" s="1659"/>
      <c r="O91" s="1659"/>
      <c r="P91" s="1659"/>
      <c r="Q91" s="1659"/>
      <c r="R91" s="1659"/>
      <c r="S91" s="1659"/>
      <c r="T91" s="753" cm="1" t="str">
        <f t="array" ref="T91:T91">T90</f>
        <v>true</v>
      </c>
      <c r="U91" s="1659"/>
      <c r="V91" s="1659"/>
      <c r="W91" s="1659"/>
      <c r="X91" s="1659"/>
      <c r="Y91" s="1659"/>
      <c r="Z91" s="1659"/>
      <c r="AA91" s="1659"/>
      <c r="AB91" s="930" t="str">
        <f>H91&amp;" год"</f>
        <v>2035 год</v>
      </c>
      <c r="AC91" s="167"/>
      <c r="AD91" s="168"/>
      <c r="AE91" s="168"/>
      <c r="AF91" s="167"/>
      <c r="AG91" s="167"/>
      <c r="AH91" s="168"/>
      <c r="AI91" s="169"/>
      <c r="AJ91" s="170"/>
      <c r="AK91" s="1659"/>
      <c r="AL91" s="1659"/>
      <c r="AM91" s="1659"/>
      <c r="AN91" s="312" cm="1" t="str">
        <f t="array" ref="AN91:AN91">H91</f>
        <v>2035</v>
      </c>
      <c r="AO91" s="1659"/>
      <c r="AP91" s="0" cm="1" t="str">
        <f t="array" ref="AP91:AP91">AP90</f>
        <v>ТЭ.42.31656254.0001</v>
      </c>
      <c r="AQ91" s="0" t="str">
        <f>"389.0."&amp;H91-2010&amp;"."</f>
        <v>389.0.25.</v>
      </c>
      <c r="AR91" s="0" t="s">
        <v>275</v>
      </c>
      <c r="AS91" s="1659"/>
    </row>
    <row s="1659" customFormat="1" customHeight="1" ht="16.5" hidden="1">
      <c r="A92" s="1659"/>
      <c r="B92" s="192">
        <f>H92&lt;first_year+PERIOD_LENGTH</f>
        <v>0</v>
      </c>
      <c r="C92" s="1659"/>
      <c r="D92" s="1659"/>
      <c r="E92" s="180">
        <v>17</v>
      </c>
      <c r="F92" s="175" cm="1" t="str">
        <f t="array" ref="F92:F92">F91</f>
        <v>1</v>
      </c>
      <c r="G92" s="1659"/>
      <c r="H92" s="175">
        <f>first_year+11</f>
        <v>2036</v>
      </c>
      <c r="I92" s="1659"/>
      <c r="J92" s="1659"/>
      <c r="K92" s="1659"/>
      <c r="L92" s="1659"/>
      <c r="M92" s="1659"/>
      <c r="N92" s="1659"/>
      <c r="O92" s="1659"/>
      <c r="P92" s="1659"/>
      <c r="Q92" s="1659"/>
      <c r="R92" s="1659"/>
      <c r="S92" s="1659"/>
      <c r="T92" s="753" cm="1" t="str">
        <f t="array" ref="T92:T92">T91</f>
        <v>true</v>
      </c>
      <c r="U92" s="1659"/>
      <c r="V92" s="1659"/>
      <c r="W92" s="1659"/>
      <c r="X92" s="1659"/>
      <c r="Y92" s="1659"/>
      <c r="Z92" s="1659"/>
      <c r="AA92" s="1659"/>
      <c r="AB92" s="930" t="str">
        <f>H92&amp;" год"</f>
        <v>2036 год</v>
      </c>
      <c r="AC92" s="167"/>
      <c r="AD92" s="168"/>
      <c r="AE92" s="168"/>
      <c r="AF92" s="167"/>
      <c r="AG92" s="167"/>
      <c r="AH92" s="168"/>
      <c r="AI92" s="169"/>
      <c r="AJ92" s="170"/>
      <c r="AK92" s="1659"/>
      <c r="AL92" s="1659"/>
      <c r="AM92" s="1659"/>
      <c r="AN92" s="312" cm="1" t="str">
        <f t="array" ref="AN92:AN92">H92</f>
        <v>2036</v>
      </c>
      <c r="AO92" s="1659"/>
      <c r="AP92" s="0" cm="1" t="str">
        <f t="array" ref="AP92:AP92">AP91</f>
        <v>ТЭ.42.31656254.0001</v>
      </c>
      <c r="AQ92" s="0" t="str">
        <f>"389.0."&amp;H92-2010&amp;"."</f>
        <v>389.0.26.</v>
      </c>
      <c r="AR92" s="0" t="s">
        <v>275</v>
      </c>
      <c r="AS92" s="1659"/>
    </row>
    <row s="1659" customFormat="1" customHeight="1" ht="16.5" hidden="1">
      <c r="A93" s="1659"/>
      <c r="B93" s="192">
        <f>H93&lt;first_year+PERIOD_LENGTH</f>
        <v>0</v>
      </c>
      <c r="C93" s="1659"/>
      <c r="D93" s="1659"/>
      <c r="E93" s="180">
        <v>17</v>
      </c>
      <c r="F93" s="175" cm="1" t="str">
        <f t="array" ref="F93:F93">F92</f>
        <v>1</v>
      </c>
      <c r="G93" s="1659"/>
      <c r="H93" s="175">
        <f>first_year+12</f>
        <v>2037</v>
      </c>
      <c r="I93" s="1659"/>
      <c r="J93" s="1659"/>
      <c r="K93" s="1659"/>
      <c r="L93" s="1659"/>
      <c r="M93" s="1659"/>
      <c r="N93" s="1659"/>
      <c r="O93" s="1659"/>
      <c r="P93" s="1659"/>
      <c r="Q93" s="1659"/>
      <c r="R93" s="1659"/>
      <c r="S93" s="1659"/>
      <c r="T93" s="753" cm="1" t="str">
        <f t="array" ref="T93:T93">T92</f>
        <v>true</v>
      </c>
      <c r="U93" s="1659"/>
      <c r="V93" s="1659"/>
      <c r="W93" s="1659"/>
      <c r="X93" s="1659"/>
      <c r="Y93" s="1659"/>
      <c r="Z93" s="1659"/>
      <c r="AA93" s="1659"/>
      <c r="AB93" s="930" t="str">
        <f>H93&amp;" год"</f>
        <v>2037 год</v>
      </c>
      <c r="AC93" s="167"/>
      <c r="AD93" s="168"/>
      <c r="AE93" s="168"/>
      <c r="AF93" s="167"/>
      <c r="AG93" s="167"/>
      <c r="AH93" s="168"/>
      <c r="AI93" s="169"/>
      <c r="AJ93" s="170"/>
      <c r="AK93" s="1659"/>
      <c r="AL93" s="1659"/>
      <c r="AM93" s="1659"/>
      <c r="AN93" s="312" cm="1" t="str">
        <f t="array" ref="AN93:AN93">H93</f>
        <v>2037</v>
      </c>
      <c r="AO93" s="1659"/>
      <c r="AP93" s="0" cm="1" t="str">
        <f t="array" ref="AP93:AP93">AP92</f>
        <v>ТЭ.42.31656254.0001</v>
      </c>
      <c r="AQ93" s="0" t="str">
        <f>"389.0."&amp;H93-2010&amp;"."</f>
        <v>389.0.27.</v>
      </c>
      <c r="AR93" s="0" t="s">
        <v>275</v>
      </c>
      <c r="AS93" s="1659"/>
    </row>
    <row s="1659" customFormat="1" customHeight="1" ht="16.5" hidden="1">
      <c r="A94" s="1659"/>
      <c r="B94" s="192">
        <f>H94&lt;first_year+PERIOD_LENGTH</f>
        <v>0</v>
      </c>
      <c r="C94" s="1659"/>
      <c r="D94" s="1659"/>
      <c r="E94" s="180">
        <v>17</v>
      </c>
      <c r="F94" s="175" cm="1" t="str">
        <f t="array" ref="F94:F94">F93</f>
        <v>1</v>
      </c>
      <c r="G94" s="1659"/>
      <c r="H94" s="175">
        <f>first_year+13</f>
        <v>2038</v>
      </c>
      <c r="I94" s="1659"/>
      <c r="J94" s="1659"/>
      <c r="K94" s="1659"/>
      <c r="L94" s="1659"/>
      <c r="M94" s="1659"/>
      <c r="N94" s="1659"/>
      <c r="O94" s="1659"/>
      <c r="P94" s="1659"/>
      <c r="Q94" s="1659"/>
      <c r="R94" s="1659"/>
      <c r="S94" s="1659"/>
      <c r="T94" s="753" cm="1" t="str">
        <f t="array" ref="T94:T94">T93</f>
        <v>true</v>
      </c>
      <c r="U94" s="1659"/>
      <c r="V94" s="1659"/>
      <c r="W94" s="1659"/>
      <c r="X94" s="1659"/>
      <c r="Y94" s="1659"/>
      <c r="Z94" s="1659"/>
      <c r="AA94" s="1659"/>
      <c r="AB94" s="930" t="str">
        <f>H94&amp;" год"</f>
        <v>2038 год</v>
      </c>
      <c r="AC94" s="167"/>
      <c r="AD94" s="168"/>
      <c r="AE94" s="168"/>
      <c r="AF94" s="167"/>
      <c r="AG94" s="167"/>
      <c r="AH94" s="168"/>
      <c r="AI94" s="169"/>
      <c r="AJ94" s="170"/>
      <c r="AK94" s="1659"/>
      <c r="AL94" s="1659"/>
      <c r="AM94" s="1659"/>
      <c r="AN94" s="312" cm="1" t="str">
        <f t="array" ref="AN94:AN94">H94</f>
        <v>2038</v>
      </c>
      <c r="AO94" s="1659"/>
      <c r="AP94" s="0" cm="1" t="str">
        <f t="array" ref="AP94:AP94">AP93</f>
        <v>ТЭ.42.31656254.0001</v>
      </c>
      <c r="AQ94" s="0" t="str">
        <f>"389.0."&amp;H94-2010&amp;"."</f>
        <v>389.0.28.</v>
      </c>
      <c r="AR94" s="0" t="s">
        <v>275</v>
      </c>
      <c r="AS94" s="1659"/>
    </row>
    <row s="1659" customFormat="1" customHeight="1" ht="16.5" hidden="1">
      <c r="A95" s="1659"/>
      <c r="B95" s="192">
        <f>H95&lt;first_year+PERIOD_LENGTH</f>
        <v>0</v>
      </c>
      <c r="C95" s="1659"/>
      <c r="D95" s="1659"/>
      <c r="E95" s="180">
        <v>17</v>
      </c>
      <c r="F95" s="175" cm="1" t="str">
        <f t="array" ref="F95:F95">F94</f>
        <v>1</v>
      </c>
      <c r="G95" s="1659"/>
      <c r="H95" s="175">
        <f>first_year+14</f>
        <v>2039</v>
      </c>
      <c r="I95" s="1659"/>
      <c r="J95" s="1659"/>
      <c r="K95" s="1659"/>
      <c r="L95" s="1659"/>
      <c r="M95" s="1659"/>
      <c r="N95" s="1659"/>
      <c r="O95" s="1659"/>
      <c r="P95" s="1659"/>
      <c r="Q95" s="1659"/>
      <c r="R95" s="1659"/>
      <c r="S95" s="1659"/>
      <c r="T95" s="753" cm="1" t="str">
        <f t="array" ref="T95:T95">T94</f>
        <v>true</v>
      </c>
      <c r="U95" s="1659"/>
      <c r="V95" s="1659"/>
      <c r="W95" s="1659"/>
      <c r="X95" s="1659"/>
      <c r="Y95" s="1659"/>
      <c r="Z95" s="1659"/>
      <c r="AA95" s="1659"/>
      <c r="AB95" s="930" t="str">
        <f>H95&amp;" год"</f>
        <v>2039 год</v>
      </c>
      <c r="AC95" s="167"/>
      <c r="AD95" s="168"/>
      <c r="AE95" s="168"/>
      <c r="AF95" s="167"/>
      <c r="AG95" s="167"/>
      <c r="AH95" s="168"/>
      <c r="AI95" s="169"/>
      <c r="AJ95" s="170"/>
      <c r="AK95" s="1659"/>
      <c r="AL95" s="1659"/>
      <c r="AM95" s="1659"/>
      <c r="AN95" s="312" cm="1" t="str">
        <f t="array" ref="AN95:AN95">H95</f>
        <v>2039</v>
      </c>
      <c r="AO95" s="1659"/>
      <c r="AP95" s="0" cm="1" t="str">
        <f t="array" ref="AP95:AP95">AP94</f>
        <v>ТЭ.42.31656254.0001</v>
      </c>
      <c r="AQ95" s="0" t="str">
        <f>"389.0."&amp;H95-2010&amp;"."</f>
        <v>389.0.29.</v>
      </c>
      <c r="AR95" s="0" t="s">
        <v>275</v>
      </c>
      <c r="AS95" s="1659"/>
    </row>
    <row s="1659" customFormat="1" customHeight="1" ht="16.5" hidden="1">
      <c r="A96" s="1659"/>
      <c r="B96" s="192">
        <f>H96&lt;first_year+PERIOD_LENGTH</f>
        <v>0</v>
      </c>
      <c r="C96" s="1659"/>
      <c r="D96" s="1659"/>
      <c r="E96" s="180">
        <v>17</v>
      </c>
      <c r="F96" s="175" cm="1" t="str">
        <f t="array" ref="F96:F96">F95</f>
        <v>1</v>
      </c>
      <c r="G96" s="1659"/>
      <c r="H96" s="175">
        <f>first_year+15</f>
        <v>2040</v>
      </c>
      <c r="I96" s="1659"/>
      <c r="J96" s="1659"/>
      <c r="K96" s="1659"/>
      <c r="L96" s="1659"/>
      <c r="M96" s="1659"/>
      <c r="N96" s="1659"/>
      <c r="O96" s="1659"/>
      <c r="P96" s="1659"/>
      <c r="Q96" s="1659"/>
      <c r="R96" s="1659"/>
      <c r="S96" s="1659"/>
      <c r="T96" s="753" cm="1" t="str">
        <f t="array" ref="T96:T96">T95</f>
        <v>true</v>
      </c>
      <c r="U96" s="1659"/>
      <c r="V96" s="1659"/>
      <c r="W96" s="1659"/>
      <c r="X96" s="1659"/>
      <c r="Y96" s="1659"/>
      <c r="Z96" s="1659"/>
      <c r="AA96" s="1659"/>
      <c r="AB96" s="930" t="str">
        <f>H96&amp;" год"</f>
        <v>2040 год</v>
      </c>
      <c r="AC96" s="167"/>
      <c r="AD96" s="168"/>
      <c r="AE96" s="168"/>
      <c r="AF96" s="167"/>
      <c r="AG96" s="167"/>
      <c r="AH96" s="168"/>
      <c r="AI96" s="169"/>
      <c r="AJ96" s="170"/>
      <c r="AK96" s="1659"/>
      <c r="AL96" s="1659"/>
      <c r="AM96" s="1659"/>
      <c r="AN96" s="312" cm="1" t="str">
        <f t="array" ref="AN96:AN96">H96</f>
        <v>2040</v>
      </c>
      <c r="AO96" s="1659"/>
      <c r="AP96" s="0" cm="1" t="str">
        <f t="array" ref="AP96:AP96">AP95</f>
        <v>ТЭ.42.31656254.0001</v>
      </c>
      <c r="AQ96" s="0" t="str">
        <f>"389.0."&amp;H96-2010&amp;"."</f>
        <v>389.0.30.</v>
      </c>
      <c r="AR96" s="0" t="s">
        <v>275</v>
      </c>
      <c r="AS96" s="1659"/>
    </row>
    <row s="1659" customFormat="1" customHeight="1" ht="16.5" hidden="1">
      <c r="A97" s="1659"/>
      <c r="B97" s="192">
        <f>H97&lt;first_year+PERIOD_LENGTH</f>
        <v>0</v>
      </c>
      <c r="C97" s="1659"/>
      <c r="D97" s="1659"/>
      <c r="E97" s="180">
        <v>17</v>
      </c>
      <c r="F97" s="175" cm="1" t="str">
        <f t="array" ref="F97:F97">F96</f>
        <v>1</v>
      </c>
      <c r="G97" s="1659"/>
      <c r="H97" s="175">
        <f>first_year+16</f>
        <v>2041</v>
      </c>
      <c r="I97" s="1659"/>
      <c r="J97" s="1659"/>
      <c r="K97" s="1659"/>
      <c r="L97" s="1659"/>
      <c r="M97" s="1659"/>
      <c r="N97" s="1659"/>
      <c r="O97" s="1659"/>
      <c r="P97" s="1659"/>
      <c r="Q97" s="1659"/>
      <c r="R97" s="1659"/>
      <c r="S97" s="1659"/>
      <c r="T97" s="753" cm="1" t="str">
        <f t="array" ref="T97:T97">T96</f>
        <v>true</v>
      </c>
      <c r="U97" s="1659"/>
      <c r="V97" s="1659"/>
      <c r="W97" s="1659"/>
      <c r="X97" s="1659"/>
      <c r="Y97" s="1659"/>
      <c r="Z97" s="1659"/>
      <c r="AA97" s="1659"/>
      <c r="AB97" s="930" t="str">
        <f>H97&amp;" год"</f>
        <v>2041 год</v>
      </c>
      <c r="AC97" s="167"/>
      <c r="AD97" s="168"/>
      <c r="AE97" s="168"/>
      <c r="AF97" s="167"/>
      <c r="AG97" s="167"/>
      <c r="AH97" s="168"/>
      <c r="AI97" s="169"/>
      <c r="AJ97" s="170"/>
      <c r="AK97" s="1659"/>
      <c r="AL97" s="1659"/>
      <c r="AM97" s="1659"/>
      <c r="AN97" s="312" cm="1" t="str">
        <f t="array" ref="AN97:AN97">H97</f>
        <v>2041</v>
      </c>
      <c r="AO97" s="1659"/>
      <c r="AP97" s="0" cm="1" t="str">
        <f t="array" ref="AP97:AP97">AP96</f>
        <v>ТЭ.42.31656254.0001</v>
      </c>
      <c r="AQ97" s="0" t="str">
        <f>"389.0."&amp;H97-2010&amp;"."</f>
        <v>389.0.31.</v>
      </c>
      <c r="AR97" s="0" t="s">
        <v>275</v>
      </c>
      <c r="AS97" s="1659"/>
    </row>
    <row s="1659" customFormat="1" customHeight="1" ht="16.5" hidden="1">
      <c r="A98" s="1659"/>
      <c r="B98" s="192">
        <f>H98&lt;first_year+PERIOD_LENGTH</f>
        <v>0</v>
      </c>
      <c r="C98" s="1659"/>
      <c r="D98" s="1659"/>
      <c r="E98" s="180">
        <v>17</v>
      </c>
      <c r="F98" s="175" cm="1" t="str">
        <f t="array" ref="F98:F98">F97</f>
        <v>1</v>
      </c>
      <c r="G98" s="1659"/>
      <c r="H98" s="175">
        <f>first_year+17</f>
        <v>2042</v>
      </c>
      <c r="I98" s="1659"/>
      <c r="J98" s="1659"/>
      <c r="K98" s="1659"/>
      <c r="L98" s="1659"/>
      <c r="M98" s="1659"/>
      <c r="N98" s="1659"/>
      <c r="O98" s="1659"/>
      <c r="P98" s="1659"/>
      <c r="Q98" s="1659"/>
      <c r="R98" s="1659"/>
      <c r="S98" s="1659"/>
      <c r="T98" s="753" cm="1" t="str">
        <f t="array" ref="T98:T98">T97</f>
        <v>true</v>
      </c>
      <c r="U98" s="1659"/>
      <c r="V98" s="1659"/>
      <c r="W98" s="1659"/>
      <c r="X98" s="1659"/>
      <c r="Y98" s="1659"/>
      <c r="Z98" s="1659"/>
      <c r="AA98" s="1659"/>
      <c r="AB98" s="930" t="str">
        <f>H98&amp;" год"</f>
        <v>2042 год</v>
      </c>
      <c r="AC98" s="167"/>
      <c r="AD98" s="168"/>
      <c r="AE98" s="168"/>
      <c r="AF98" s="167"/>
      <c r="AG98" s="167"/>
      <c r="AH98" s="168"/>
      <c r="AI98" s="169"/>
      <c r="AJ98" s="170"/>
      <c r="AK98" s="1659"/>
      <c r="AL98" s="1659"/>
      <c r="AM98" s="1659"/>
      <c r="AN98" s="312" cm="1" t="str">
        <f t="array" ref="AN98:AN98">H98</f>
        <v>2042</v>
      </c>
      <c r="AO98" s="1659"/>
      <c r="AP98" s="0" cm="1" t="str">
        <f t="array" ref="AP98:AP98">AP97</f>
        <v>ТЭ.42.31656254.0001</v>
      </c>
      <c r="AQ98" s="0" t="str">
        <f>"389.0."&amp;H98-2010&amp;"."</f>
        <v>389.0.32.</v>
      </c>
      <c r="AR98" s="0" t="s">
        <v>275</v>
      </c>
      <c r="AS98" s="1659"/>
    </row>
    <row s="1659" customFormat="1" customHeight="1" ht="16.5" hidden="1">
      <c r="A99" s="1659"/>
      <c r="B99" s="192">
        <f>H99&lt;first_year+PERIOD_LENGTH</f>
        <v>0</v>
      </c>
      <c r="C99" s="1659"/>
      <c r="D99" s="1659"/>
      <c r="E99" s="180">
        <v>17</v>
      </c>
      <c r="F99" s="175" cm="1" t="str">
        <f t="array" ref="F99:F99">F98</f>
        <v>1</v>
      </c>
      <c r="G99" s="1659"/>
      <c r="H99" s="175">
        <f>first_year+18</f>
        <v>2043</v>
      </c>
      <c r="I99" s="1659"/>
      <c r="J99" s="1659"/>
      <c r="K99" s="1659"/>
      <c r="L99" s="1659"/>
      <c r="M99" s="1659"/>
      <c r="N99" s="1659"/>
      <c r="O99" s="1659"/>
      <c r="P99" s="1659"/>
      <c r="Q99" s="1659"/>
      <c r="R99" s="1659"/>
      <c r="S99" s="1659"/>
      <c r="T99" s="753" cm="1" t="str">
        <f t="array" ref="T99:T99">T98</f>
        <v>true</v>
      </c>
      <c r="U99" s="1659"/>
      <c r="V99" s="1659"/>
      <c r="W99" s="1659"/>
      <c r="X99" s="1659"/>
      <c r="Y99" s="1659"/>
      <c r="Z99" s="1659"/>
      <c r="AA99" s="1659"/>
      <c r="AB99" s="930" t="str">
        <f>H99&amp;" год"</f>
        <v>2043 год</v>
      </c>
      <c r="AC99" s="167"/>
      <c r="AD99" s="168"/>
      <c r="AE99" s="168"/>
      <c r="AF99" s="167"/>
      <c r="AG99" s="167"/>
      <c r="AH99" s="168"/>
      <c r="AI99" s="169"/>
      <c r="AJ99" s="170"/>
      <c r="AK99" s="1659"/>
      <c r="AL99" s="1659"/>
      <c r="AM99" s="1659"/>
      <c r="AN99" s="312" cm="1" t="str">
        <f t="array" ref="AN99:AN99">H99</f>
        <v>2043</v>
      </c>
      <c r="AO99" s="1659"/>
      <c r="AP99" s="0" cm="1" t="str">
        <f t="array" ref="AP99:AP99">AP98</f>
        <v>ТЭ.42.31656254.0001</v>
      </c>
      <c r="AQ99" s="0" t="str">
        <f>"389.0."&amp;H99-2010&amp;"."</f>
        <v>389.0.33.</v>
      </c>
      <c r="AR99" s="0" t="s">
        <v>275</v>
      </c>
      <c r="AS99" s="1659"/>
    </row>
    <row s="1659" customFormat="1" customHeight="1" ht="16.5" hidden="1">
      <c r="A100" s="1659"/>
      <c r="B100" s="192">
        <f>H100&lt;first_year+PERIOD_LENGTH</f>
        <v>0</v>
      </c>
      <c r="C100" s="1659"/>
      <c r="D100" s="1659"/>
      <c r="E100" s="180">
        <v>17</v>
      </c>
      <c r="F100" s="175" cm="1" t="str">
        <f t="array" ref="F100:F100">F99</f>
        <v>1</v>
      </c>
      <c r="G100" s="1659"/>
      <c r="H100" s="175">
        <f>first_year+19</f>
        <v>2044</v>
      </c>
      <c r="I100" s="1659"/>
      <c r="J100" s="1659"/>
      <c r="K100" s="1659"/>
      <c r="L100" s="1659"/>
      <c r="M100" s="1659"/>
      <c r="N100" s="1659"/>
      <c r="O100" s="1659"/>
      <c r="P100" s="1659"/>
      <c r="Q100" s="1659"/>
      <c r="R100" s="1659"/>
      <c r="S100" s="1659"/>
      <c r="T100" s="753" cm="1" t="str">
        <f t="array" ref="T100:T100">T99</f>
        <v>true</v>
      </c>
      <c r="U100" s="1659"/>
      <c r="V100" s="1659"/>
      <c r="W100" s="1659"/>
      <c r="X100" s="1659"/>
      <c r="Y100" s="1659"/>
      <c r="Z100" s="1659"/>
      <c r="AA100" s="1659"/>
      <c r="AB100" s="930" t="str">
        <f>H100&amp;" год"</f>
        <v>2044 год</v>
      </c>
      <c r="AC100" s="167"/>
      <c r="AD100" s="168"/>
      <c r="AE100" s="168"/>
      <c r="AF100" s="167"/>
      <c r="AG100" s="167"/>
      <c r="AH100" s="168"/>
      <c r="AI100" s="169"/>
      <c r="AJ100" s="170"/>
      <c r="AK100" s="1659"/>
      <c r="AL100" s="1659"/>
      <c r="AM100" s="1659"/>
      <c r="AN100" s="312" cm="1" t="str">
        <f t="array" ref="AN100:AN100">H100</f>
        <v>2044</v>
      </c>
      <c r="AO100" s="1659"/>
      <c r="AP100" s="0" cm="1" t="str">
        <f t="array" ref="AP100:AP100">AP99</f>
        <v>ТЭ.42.31656254.0001</v>
      </c>
      <c r="AQ100" s="0" t="str">
        <f>"389.0."&amp;H100-2010&amp;"."</f>
        <v>389.0.34.</v>
      </c>
      <c r="AR100" s="0" t="s">
        <v>275</v>
      </c>
      <c r="AS100" s="1659"/>
    </row>
    <row s="1659" customFormat="1" customHeight="1" ht="16.5" hidden="1">
      <c r="A101" s="1659"/>
      <c r="B101" s="192">
        <f>H101&lt;first_year+PERIOD_LENGTH</f>
        <v>0</v>
      </c>
      <c r="C101" s="1659"/>
      <c r="D101" s="1659"/>
      <c r="E101" s="180">
        <v>17</v>
      </c>
      <c r="F101" s="175" cm="1" t="str">
        <f t="array" ref="F101:F101">F100</f>
        <v>1</v>
      </c>
      <c r="G101" s="1659"/>
      <c r="H101" s="175">
        <f>first_year+20</f>
        <v>2045</v>
      </c>
      <c r="I101" s="1659"/>
      <c r="J101" s="1659"/>
      <c r="K101" s="1659"/>
      <c r="L101" s="1659"/>
      <c r="M101" s="1659"/>
      <c r="N101" s="1659"/>
      <c r="O101" s="1659"/>
      <c r="P101" s="1659"/>
      <c r="Q101" s="1659"/>
      <c r="R101" s="1659"/>
      <c r="S101" s="1659"/>
      <c r="T101" s="753" cm="1" t="str">
        <f t="array" ref="T101:T101">T100</f>
        <v>true</v>
      </c>
      <c r="U101" s="1659"/>
      <c r="V101" s="1659"/>
      <c r="W101" s="1659"/>
      <c r="X101" s="1659"/>
      <c r="Y101" s="1659"/>
      <c r="Z101" s="1659"/>
      <c r="AA101" s="1659"/>
      <c r="AB101" s="930" t="str">
        <f>H101&amp;" год"</f>
        <v>2045 год</v>
      </c>
      <c r="AC101" s="167"/>
      <c r="AD101" s="168"/>
      <c r="AE101" s="168"/>
      <c r="AF101" s="167"/>
      <c r="AG101" s="167"/>
      <c r="AH101" s="168"/>
      <c r="AI101" s="169"/>
      <c r="AJ101" s="170"/>
      <c r="AK101" s="1659"/>
      <c r="AL101" s="1659"/>
      <c r="AM101" s="1659"/>
      <c r="AN101" s="312" cm="1" t="str">
        <f t="array" ref="AN101:AN101">H101</f>
        <v>2045</v>
      </c>
      <c r="AO101" s="1659"/>
      <c r="AP101" s="0" cm="1" t="str">
        <f t="array" ref="AP101:AP101">AP100</f>
        <v>ТЭ.42.31656254.0001</v>
      </c>
      <c r="AQ101" s="0" t="str">
        <f>"389.0."&amp;H101-2010&amp;"."</f>
        <v>389.0.35.</v>
      </c>
      <c r="AR101" s="0" t="s">
        <v>275</v>
      </c>
      <c r="AS101" s="1659"/>
    </row>
    <row s="1659" customFormat="1" customHeight="1" ht="16.5" hidden="1">
      <c r="A102" s="1659"/>
      <c r="B102" s="192">
        <f>H102&lt;first_year+PERIOD_LENGTH</f>
        <v>0</v>
      </c>
      <c r="C102" s="1659"/>
      <c r="D102" s="1659"/>
      <c r="E102" s="180">
        <v>17</v>
      </c>
      <c r="F102" s="175" cm="1" t="str">
        <f t="array" ref="F102:F102">F101</f>
        <v>1</v>
      </c>
      <c r="G102" s="1659"/>
      <c r="H102" s="175">
        <f>first_year+21</f>
        <v>2046</v>
      </c>
      <c r="I102" s="1659"/>
      <c r="J102" s="1659"/>
      <c r="K102" s="1659"/>
      <c r="L102" s="1659"/>
      <c r="M102" s="1659"/>
      <c r="N102" s="1659"/>
      <c r="O102" s="1659"/>
      <c r="P102" s="1659"/>
      <c r="Q102" s="1659"/>
      <c r="R102" s="1659"/>
      <c r="S102" s="1659"/>
      <c r="T102" s="753" cm="1" t="str">
        <f t="array" ref="T102:T102">T101</f>
        <v>true</v>
      </c>
      <c r="U102" s="1659"/>
      <c r="V102" s="1659"/>
      <c r="W102" s="1659"/>
      <c r="X102" s="1659"/>
      <c r="Y102" s="1659"/>
      <c r="Z102" s="1659"/>
      <c r="AA102" s="1659"/>
      <c r="AB102" s="930" t="str">
        <f>H102&amp;" год"</f>
        <v>2046 год</v>
      </c>
      <c r="AC102" s="167"/>
      <c r="AD102" s="168"/>
      <c r="AE102" s="168"/>
      <c r="AF102" s="167"/>
      <c r="AG102" s="167"/>
      <c r="AH102" s="168"/>
      <c r="AI102" s="169"/>
      <c r="AJ102" s="170"/>
      <c r="AK102" s="1659"/>
      <c r="AL102" s="1659"/>
      <c r="AM102" s="1659"/>
      <c r="AN102" s="312" cm="1" t="str">
        <f t="array" ref="AN102:AN102">H102</f>
        <v>2046</v>
      </c>
      <c r="AO102" s="1659"/>
      <c r="AP102" s="0" cm="1" t="str">
        <f t="array" ref="AP102:AP102">AP101</f>
        <v>ТЭ.42.31656254.0001</v>
      </c>
      <c r="AQ102" s="0" t="str">
        <f>"389.0."&amp;H102-2010&amp;"."</f>
        <v>389.0.36.</v>
      </c>
      <c r="AR102" s="0" t="s">
        <v>275</v>
      </c>
      <c r="AS102" s="1659"/>
    </row>
    <row s="1659" customFormat="1" customHeight="1" ht="16.5" hidden="1">
      <c r="A103" s="1659"/>
      <c r="B103" s="192">
        <f>H103&lt;first_year+PERIOD_LENGTH</f>
        <v>0</v>
      </c>
      <c r="C103" s="1659"/>
      <c r="D103" s="1659"/>
      <c r="E103" s="180">
        <v>17</v>
      </c>
      <c r="F103" s="175" cm="1" t="str">
        <f t="array" ref="F103:F103">F102</f>
        <v>1</v>
      </c>
      <c r="G103" s="1659"/>
      <c r="H103" s="175">
        <f>first_year+22</f>
        <v>2047</v>
      </c>
      <c r="I103" s="1659"/>
      <c r="J103" s="1659"/>
      <c r="K103" s="1659"/>
      <c r="L103" s="1659"/>
      <c r="M103" s="1659"/>
      <c r="N103" s="1659"/>
      <c r="O103" s="1659"/>
      <c r="P103" s="1659"/>
      <c r="Q103" s="1659"/>
      <c r="R103" s="1659"/>
      <c r="S103" s="1659"/>
      <c r="T103" s="753" cm="1" t="str">
        <f t="array" ref="T103:T103">T102</f>
        <v>true</v>
      </c>
      <c r="U103" s="1659"/>
      <c r="V103" s="1659"/>
      <c r="W103" s="1659"/>
      <c r="X103" s="1659"/>
      <c r="Y103" s="1659"/>
      <c r="Z103" s="1659"/>
      <c r="AA103" s="1659"/>
      <c r="AB103" s="930" t="str">
        <f>H103&amp;" год"</f>
        <v>2047 год</v>
      </c>
      <c r="AC103" s="167"/>
      <c r="AD103" s="168"/>
      <c r="AE103" s="168"/>
      <c r="AF103" s="167"/>
      <c r="AG103" s="167"/>
      <c r="AH103" s="168"/>
      <c r="AI103" s="169"/>
      <c r="AJ103" s="170"/>
      <c r="AK103" s="1659"/>
      <c r="AL103" s="1659"/>
      <c r="AM103" s="1659"/>
      <c r="AN103" s="312" cm="1" t="str">
        <f t="array" ref="AN103:AN103">H103</f>
        <v>2047</v>
      </c>
      <c r="AO103" s="1659"/>
      <c r="AP103" s="0" cm="1" t="str">
        <f t="array" ref="AP103:AP103">AP102</f>
        <v>ТЭ.42.31656254.0001</v>
      </c>
      <c r="AQ103" s="0" t="str">
        <f>"389.0."&amp;H103-2010&amp;"."</f>
        <v>389.0.37.</v>
      </c>
      <c r="AR103" s="0" t="s">
        <v>275</v>
      </c>
      <c r="AS103" s="1659"/>
    </row>
    <row s="1659" customFormat="1" customHeight="1" ht="16.5" hidden="1">
      <c r="A104" s="1659"/>
      <c r="B104" s="192">
        <f>H104&lt;first_year+PERIOD_LENGTH</f>
        <v>0</v>
      </c>
      <c r="C104" s="1659"/>
      <c r="D104" s="1659"/>
      <c r="E104" s="180">
        <v>17</v>
      </c>
      <c r="F104" s="175" cm="1" t="str">
        <f t="array" ref="F104:F104">F103</f>
        <v>1</v>
      </c>
      <c r="G104" s="1659"/>
      <c r="H104" s="175">
        <f>first_year+23</f>
        <v>2048</v>
      </c>
      <c r="I104" s="1659"/>
      <c r="J104" s="1659"/>
      <c r="K104" s="1659"/>
      <c r="L104" s="1659"/>
      <c r="M104" s="1659"/>
      <c r="N104" s="1659"/>
      <c r="O104" s="1659"/>
      <c r="P104" s="1659"/>
      <c r="Q104" s="1659"/>
      <c r="R104" s="1659"/>
      <c r="S104" s="1659"/>
      <c r="T104" s="753" cm="1" t="str">
        <f t="array" ref="T104:T104">T103</f>
        <v>true</v>
      </c>
      <c r="U104" s="1659"/>
      <c r="V104" s="1659"/>
      <c r="W104" s="1659"/>
      <c r="X104" s="1659"/>
      <c r="Y104" s="1659"/>
      <c r="Z104" s="1659"/>
      <c r="AA104" s="1659"/>
      <c r="AB104" s="930" t="str">
        <f>H104&amp;" год"</f>
        <v>2048 год</v>
      </c>
      <c r="AC104" s="167"/>
      <c r="AD104" s="168"/>
      <c r="AE104" s="168"/>
      <c r="AF104" s="167"/>
      <c r="AG104" s="167"/>
      <c r="AH104" s="168"/>
      <c r="AI104" s="169"/>
      <c r="AJ104" s="170"/>
      <c r="AK104" s="1659"/>
      <c r="AL104" s="1659"/>
      <c r="AM104" s="1659"/>
      <c r="AN104" s="312" cm="1" t="str">
        <f t="array" ref="AN104:AN104">H104</f>
        <v>2048</v>
      </c>
      <c r="AO104" s="1659"/>
      <c r="AP104" s="0" cm="1" t="str">
        <f t="array" ref="AP104:AP104">AP103</f>
        <v>ТЭ.42.31656254.0001</v>
      </c>
      <c r="AQ104" s="0" t="str">
        <f>"389.0."&amp;H104-2010&amp;"."</f>
        <v>389.0.38.</v>
      </c>
      <c r="AR104" s="0" t="s">
        <v>275</v>
      </c>
      <c r="AS104" s="1659"/>
    </row>
    <row s="1659" customFormat="1" customHeight="1" ht="16.5" hidden="1">
      <c r="A105" s="1659"/>
      <c r="B105" s="192">
        <f>H105&lt;first_year+PERIOD_LENGTH</f>
        <v>0</v>
      </c>
      <c r="C105" s="1659"/>
      <c r="D105" s="1659"/>
      <c r="E105" s="180">
        <v>17</v>
      </c>
      <c r="F105" s="175" cm="1" t="str">
        <f t="array" ref="F105:F105">F104</f>
        <v>1</v>
      </c>
      <c r="G105" s="1659"/>
      <c r="H105" s="175">
        <f>first_year+24</f>
        <v>2049</v>
      </c>
      <c r="I105" s="1659"/>
      <c r="J105" s="1659"/>
      <c r="K105" s="1659"/>
      <c r="L105" s="1659"/>
      <c r="M105" s="1659"/>
      <c r="N105" s="1659"/>
      <c r="O105" s="1659"/>
      <c r="P105" s="1659"/>
      <c r="Q105" s="1659"/>
      <c r="R105" s="1659"/>
      <c r="S105" s="1659"/>
      <c r="T105" s="753" cm="1" t="str">
        <f t="array" ref="T105:T105">T104</f>
        <v>true</v>
      </c>
      <c r="U105" s="1659"/>
      <c r="V105" s="1659"/>
      <c r="W105" s="1659"/>
      <c r="X105" s="1659"/>
      <c r="Y105" s="1659"/>
      <c r="Z105" s="1659"/>
      <c r="AA105" s="1659"/>
      <c r="AB105" s="930" t="str">
        <f>H105&amp;" год"</f>
        <v>2049 год</v>
      </c>
      <c r="AC105" s="167"/>
      <c r="AD105" s="168"/>
      <c r="AE105" s="168"/>
      <c r="AF105" s="167"/>
      <c r="AG105" s="167"/>
      <c r="AH105" s="168"/>
      <c r="AI105" s="169"/>
      <c r="AJ105" s="170"/>
      <c r="AK105" s="1659"/>
      <c r="AL105" s="1659"/>
      <c r="AM105" s="1659"/>
      <c r="AN105" s="312" cm="1" t="str">
        <f t="array" ref="AN105:AN105">H105</f>
        <v>2049</v>
      </c>
      <c r="AO105" s="1659"/>
      <c r="AP105" s="0" cm="1" t="str">
        <f t="array" ref="AP105:AP105">AP104</f>
        <v>ТЭ.42.31656254.0001</v>
      </c>
      <c r="AQ105" s="0" t="str">
        <f>"389.0."&amp;H105-2010&amp;"."</f>
        <v>389.0.39.</v>
      </c>
      <c r="AR105" s="0" t="s">
        <v>275</v>
      </c>
      <c r="AS105" s="1659"/>
    </row>
    <row s="1659" customFormat="1" customHeight="1" ht="16.5" hidden="1">
      <c r="A106" s="1659"/>
      <c r="B106" s="192">
        <f>H106&lt;first_year+PERIOD_LENGTH</f>
        <v>0</v>
      </c>
      <c r="C106" s="1659"/>
      <c r="D106" s="1659"/>
      <c r="E106" s="180">
        <v>17</v>
      </c>
      <c r="F106" s="175" cm="1" t="str">
        <f t="array" ref="F106:F106">F105</f>
        <v>1</v>
      </c>
      <c r="G106" s="1659"/>
      <c r="H106" s="175">
        <f>first_year+25</f>
        <v>2050</v>
      </c>
      <c r="I106" s="1659"/>
      <c r="J106" s="1659"/>
      <c r="K106" s="1659"/>
      <c r="L106" s="1659"/>
      <c r="M106" s="1659"/>
      <c r="N106" s="1659"/>
      <c r="O106" s="1659"/>
      <c r="P106" s="1659"/>
      <c r="Q106" s="1659"/>
      <c r="R106" s="1659"/>
      <c r="S106" s="1659"/>
      <c r="T106" s="753" cm="1" t="str">
        <f t="array" ref="T106:T106">T105</f>
        <v>true</v>
      </c>
      <c r="U106" s="1659"/>
      <c r="V106" s="1659"/>
      <c r="W106" s="1659"/>
      <c r="X106" s="1659"/>
      <c r="Y106" s="1659"/>
      <c r="Z106" s="1659"/>
      <c r="AA106" s="1659"/>
      <c r="AB106" s="930" t="str">
        <f>H106&amp;" год"</f>
        <v>2050 год</v>
      </c>
      <c r="AC106" s="167"/>
      <c r="AD106" s="168"/>
      <c r="AE106" s="168"/>
      <c r="AF106" s="167"/>
      <c r="AG106" s="167"/>
      <c r="AH106" s="168"/>
      <c r="AI106" s="169"/>
      <c r="AJ106" s="170"/>
      <c r="AK106" s="1659"/>
      <c r="AL106" s="1659"/>
      <c r="AM106" s="1659"/>
      <c r="AN106" s="312" cm="1" t="str">
        <f t="array" ref="AN106:AN106">H106</f>
        <v>2050</v>
      </c>
      <c r="AO106" s="1659"/>
      <c r="AP106" s="0" cm="1" t="str">
        <f t="array" ref="AP106:AP106">AP105</f>
        <v>ТЭ.42.31656254.0001</v>
      </c>
      <c r="AQ106" s="0" t="str">
        <f>"389.0."&amp;H106-2010&amp;"."</f>
        <v>389.0.40.</v>
      </c>
      <c r="AR106" s="0" t="s">
        <v>275</v>
      </c>
      <c r="AS106" s="1659"/>
    </row>
    <row s="1659" customFormat="1" customHeight="1" ht="16.5" hidden="1">
      <c r="A107" s="1659"/>
      <c r="B107" s="192">
        <f>H107&lt;first_year+PERIOD_LENGTH</f>
        <v>0</v>
      </c>
      <c r="C107" s="1659"/>
      <c r="D107" s="1659"/>
      <c r="E107" s="180">
        <v>17</v>
      </c>
      <c r="F107" s="175" cm="1" t="str">
        <f t="array" ref="F107:F107">F106</f>
        <v>1</v>
      </c>
      <c r="G107" s="1659"/>
      <c r="H107" s="175">
        <f>first_year+26</f>
        <v>2051</v>
      </c>
      <c r="I107" s="1659"/>
      <c r="J107" s="1659"/>
      <c r="K107" s="1659"/>
      <c r="L107" s="1659"/>
      <c r="M107" s="1659"/>
      <c r="N107" s="1659"/>
      <c r="O107" s="1659"/>
      <c r="P107" s="1659"/>
      <c r="Q107" s="1659"/>
      <c r="R107" s="1659"/>
      <c r="S107" s="1659"/>
      <c r="T107" s="753" cm="1" t="str">
        <f t="array" ref="T107:T107">T106</f>
        <v>true</v>
      </c>
      <c r="U107" s="1659"/>
      <c r="V107" s="1659"/>
      <c r="W107" s="1659"/>
      <c r="X107" s="1659"/>
      <c r="Y107" s="1659"/>
      <c r="Z107" s="1659"/>
      <c r="AA107" s="1659"/>
      <c r="AB107" s="930" t="str">
        <f>H107&amp;" год"</f>
        <v>2051 год</v>
      </c>
      <c r="AC107" s="167"/>
      <c r="AD107" s="168"/>
      <c r="AE107" s="168"/>
      <c r="AF107" s="167"/>
      <c r="AG107" s="167"/>
      <c r="AH107" s="168"/>
      <c r="AI107" s="169"/>
      <c r="AJ107" s="170"/>
      <c r="AK107" s="1659"/>
      <c r="AL107" s="1659"/>
      <c r="AM107" s="1659"/>
      <c r="AN107" s="312" cm="1" t="str">
        <f t="array" ref="AN107:AN107">H107</f>
        <v>2051</v>
      </c>
      <c r="AO107" s="1659"/>
      <c r="AP107" s="0" cm="1" t="str">
        <f t="array" ref="AP107:AP107">AP106</f>
        <v>ТЭ.42.31656254.0001</v>
      </c>
      <c r="AQ107" s="0" t="str">
        <f>"389.0."&amp;H107-2010&amp;"."</f>
        <v>389.0.41.</v>
      </c>
      <c r="AR107" s="0" t="s">
        <v>275</v>
      </c>
      <c r="AS107" s="1659"/>
    </row>
    <row s="1659" customFormat="1" customHeight="1" ht="16.5" hidden="1">
      <c r="A108" s="1659"/>
      <c r="B108" s="192">
        <f>H108&lt;first_year+PERIOD_LENGTH</f>
        <v>0</v>
      </c>
      <c r="C108" s="1659"/>
      <c r="D108" s="1659"/>
      <c r="E108" s="180">
        <v>17</v>
      </c>
      <c r="F108" s="175" cm="1" t="str">
        <f t="array" ref="F108:F108">F107</f>
        <v>1</v>
      </c>
      <c r="G108" s="1659"/>
      <c r="H108" s="175">
        <f>first_year+27</f>
        <v>2052</v>
      </c>
      <c r="I108" s="1659"/>
      <c r="J108" s="1659"/>
      <c r="K108" s="1659"/>
      <c r="L108" s="1659"/>
      <c r="M108" s="1659"/>
      <c r="N108" s="1659"/>
      <c r="O108" s="1659"/>
      <c r="P108" s="1659"/>
      <c r="Q108" s="1659"/>
      <c r="R108" s="1659"/>
      <c r="S108" s="1659"/>
      <c r="T108" s="753" cm="1" t="str">
        <f t="array" ref="T108:T108">T107</f>
        <v>true</v>
      </c>
      <c r="U108" s="1659"/>
      <c r="V108" s="1659"/>
      <c r="W108" s="1659"/>
      <c r="X108" s="1659"/>
      <c r="Y108" s="1659"/>
      <c r="Z108" s="1659"/>
      <c r="AA108" s="1659"/>
      <c r="AB108" s="930" t="str">
        <f>H108&amp;" год"</f>
        <v>2052 год</v>
      </c>
      <c r="AC108" s="167"/>
      <c r="AD108" s="168"/>
      <c r="AE108" s="168"/>
      <c r="AF108" s="167"/>
      <c r="AG108" s="167"/>
      <c r="AH108" s="168"/>
      <c r="AI108" s="169"/>
      <c r="AJ108" s="170"/>
      <c r="AK108" s="1659"/>
      <c r="AL108" s="1659"/>
      <c r="AM108" s="1659"/>
      <c r="AN108" s="312" cm="1" t="str">
        <f t="array" ref="AN108:AN108">H108</f>
        <v>2052</v>
      </c>
      <c r="AO108" s="1659"/>
      <c r="AP108" s="0" cm="1" t="str">
        <f t="array" ref="AP108:AP108">AP107</f>
        <v>ТЭ.42.31656254.0001</v>
      </c>
      <c r="AQ108" s="0" t="str">
        <f>"389.0."&amp;H108-2010&amp;"."</f>
        <v>389.0.42.</v>
      </c>
      <c r="AR108" s="0" t="s">
        <v>275</v>
      </c>
      <c r="AS108" s="1659"/>
    </row>
    <row s="1659" customFormat="1" customHeight="1" ht="16.5" hidden="1">
      <c r="A109" s="1659"/>
      <c r="B109" s="192">
        <f>H109&lt;first_year+PERIOD_LENGTH</f>
        <v>0</v>
      </c>
      <c r="C109" s="1659"/>
      <c r="D109" s="1659"/>
      <c r="E109" s="180">
        <v>17</v>
      </c>
      <c r="F109" s="175" cm="1" t="str">
        <f t="array" ref="F109:F109">F108</f>
        <v>1</v>
      </c>
      <c r="G109" s="1659"/>
      <c r="H109" s="175">
        <f>first_year+28</f>
        <v>2053</v>
      </c>
      <c r="I109" s="1659"/>
      <c r="J109" s="1659"/>
      <c r="K109" s="1659"/>
      <c r="L109" s="1659"/>
      <c r="M109" s="1659"/>
      <c r="N109" s="1659"/>
      <c r="O109" s="1659"/>
      <c r="P109" s="1659"/>
      <c r="Q109" s="1659"/>
      <c r="R109" s="1659"/>
      <c r="S109" s="1659"/>
      <c r="T109" s="753" cm="1" t="str">
        <f t="array" ref="T109:T109">T108</f>
        <v>true</v>
      </c>
      <c r="U109" s="1659"/>
      <c r="V109" s="1659"/>
      <c r="W109" s="1659"/>
      <c r="X109" s="1659"/>
      <c r="Y109" s="1659"/>
      <c r="Z109" s="1659"/>
      <c r="AA109" s="1659"/>
      <c r="AB109" s="930" t="str">
        <f>H109&amp;" год"</f>
        <v>2053 год</v>
      </c>
      <c r="AC109" s="167"/>
      <c r="AD109" s="168"/>
      <c r="AE109" s="168"/>
      <c r="AF109" s="167"/>
      <c r="AG109" s="167"/>
      <c r="AH109" s="168"/>
      <c r="AI109" s="169"/>
      <c r="AJ109" s="170"/>
      <c r="AK109" s="1659"/>
      <c r="AL109" s="1659"/>
      <c r="AM109" s="1659"/>
      <c r="AN109" s="312" cm="1" t="str">
        <f t="array" ref="AN109:AN109">H109</f>
        <v>2053</v>
      </c>
      <c r="AO109" s="1659"/>
      <c r="AP109" s="0" cm="1" t="str">
        <f t="array" ref="AP109:AP109">AP108</f>
        <v>ТЭ.42.31656254.0001</v>
      </c>
      <c r="AQ109" s="0" t="str">
        <f>"389.0."&amp;H109-2010&amp;"."</f>
        <v>389.0.43.</v>
      </c>
      <c r="AR109" s="0" t="s">
        <v>275</v>
      </c>
      <c r="AS109" s="1659"/>
    </row>
    <row s="1659" customFormat="1" customHeight="1" ht="16.5" hidden="1">
      <c r="A110" s="1659"/>
      <c r="B110" s="192">
        <f>H110&lt;first_year+PERIOD_LENGTH</f>
        <v>0</v>
      </c>
      <c r="C110" s="1659"/>
      <c r="D110" s="1659"/>
      <c r="E110" s="180">
        <v>17</v>
      </c>
      <c r="F110" s="175" cm="1" t="str">
        <f t="array" ref="F110:F110">F109</f>
        <v>1</v>
      </c>
      <c r="G110" s="1659"/>
      <c r="H110" s="175">
        <f>first_year+29</f>
        <v>2054</v>
      </c>
      <c r="I110" s="1659"/>
      <c r="J110" s="1659"/>
      <c r="K110" s="1659"/>
      <c r="L110" s="1659"/>
      <c r="M110" s="1659"/>
      <c r="N110" s="1659"/>
      <c r="O110" s="1659"/>
      <c r="P110" s="1659"/>
      <c r="Q110" s="1659"/>
      <c r="R110" s="1659"/>
      <c r="S110" s="1659"/>
      <c r="T110" s="753" cm="1" t="str">
        <f t="array" ref="T110:T110">T109</f>
        <v>true</v>
      </c>
      <c r="U110" s="1659"/>
      <c r="V110" s="1659"/>
      <c r="W110" s="1659"/>
      <c r="X110" s="1659"/>
      <c r="Y110" s="1659"/>
      <c r="Z110" s="1659"/>
      <c r="AA110" s="1659"/>
      <c r="AB110" s="930" t="str">
        <f>H110&amp;" год"</f>
        <v>2054 год</v>
      </c>
      <c r="AC110" s="167"/>
      <c r="AD110" s="168"/>
      <c r="AE110" s="168"/>
      <c r="AF110" s="167"/>
      <c r="AG110" s="167"/>
      <c r="AH110" s="168"/>
      <c r="AI110" s="169"/>
      <c r="AJ110" s="170"/>
      <c r="AK110" s="1659"/>
      <c r="AL110" s="1659"/>
      <c r="AM110" s="1659"/>
      <c r="AN110" s="312" cm="1" t="str">
        <f t="array" ref="AN110:AN110">H110</f>
        <v>2054</v>
      </c>
      <c r="AO110" s="1659"/>
      <c r="AP110" s="0" cm="1" t="str">
        <f t="array" ref="AP110:AP110">AP109</f>
        <v>ТЭ.42.31656254.0001</v>
      </c>
      <c r="AQ110" s="0" t="str">
        <f>"389.0."&amp;H110-2010&amp;"."</f>
        <v>389.0.44.</v>
      </c>
      <c r="AR110" s="0" t="s">
        <v>275</v>
      </c>
      <c r="AS110" s="1659"/>
    </row>
    <row s="1659" customFormat="1" customHeight="1" ht="16.5" hidden="1">
      <c r="A111" s="1659"/>
      <c r="B111" s="192">
        <f>H111&lt;first_year+PERIOD_LENGTH</f>
        <v>0</v>
      </c>
      <c r="C111" s="1659"/>
      <c r="D111" s="1659"/>
      <c r="E111" s="180">
        <v>17</v>
      </c>
      <c r="F111" s="175" cm="1" t="str">
        <f t="array" ref="F111:F111">F110</f>
        <v>1</v>
      </c>
      <c r="G111" s="1659"/>
      <c r="H111" s="175">
        <f>first_year+30</f>
        <v>2055</v>
      </c>
      <c r="I111" s="1659"/>
      <c r="J111" s="1659"/>
      <c r="K111" s="1659"/>
      <c r="L111" s="1659"/>
      <c r="M111" s="1659"/>
      <c r="N111" s="1659"/>
      <c r="O111" s="1659"/>
      <c r="P111" s="1659"/>
      <c r="Q111" s="1659"/>
      <c r="R111" s="1659"/>
      <c r="S111" s="1659"/>
      <c r="T111" s="753" cm="1" t="str">
        <f t="array" ref="T111:T111">T110</f>
        <v>true</v>
      </c>
      <c r="U111" s="1659"/>
      <c r="V111" s="1659"/>
      <c r="W111" s="1659"/>
      <c r="X111" s="1659"/>
      <c r="Y111" s="1659"/>
      <c r="Z111" s="1659"/>
      <c r="AA111" s="1659"/>
      <c r="AB111" s="930" t="str">
        <f>H111&amp;" год"</f>
        <v>2055 год</v>
      </c>
      <c r="AC111" s="167"/>
      <c r="AD111" s="168"/>
      <c r="AE111" s="168"/>
      <c r="AF111" s="167"/>
      <c r="AG111" s="167"/>
      <c r="AH111" s="168"/>
      <c r="AI111" s="169"/>
      <c r="AJ111" s="170"/>
      <c r="AK111" s="1659"/>
      <c r="AL111" s="1659"/>
      <c r="AM111" s="1659"/>
      <c r="AN111" s="312" cm="1" t="str">
        <f t="array" ref="AN111:AN111">H111</f>
        <v>2055</v>
      </c>
      <c r="AO111" s="1659"/>
      <c r="AP111" s="0" cm="1" t="str">
        <f t="array" ref="AP111:AP111">AP110</f>
        <v>ТЭ.42.31656254.0001</v>
      </c>
      <c r="AQ111" s="0" t="str">
        <f>"389.0."&amp;H111-2010&amp;"."</f>
        <v>389.0.45.</v>
      </c>
      <c r="AR111" s="0" t="s">
        <v>275</v>
      </c>
      <c r="AS111" s="1659"/>
    </row>
    <row s="1659" customFormat="1" customHeight="1" ht="16.5" hidden="1">
      <c r="A112" s="1659"/>
      <c r="B112" s="192">
        <f>H112&lt;first_year+PERIOD_LENGTH</f>
        <v>0</v>
      </c>
      <c r="C112" s="1659"/>
      <c r="D112" s="1659"/>
      <c r="E112" s="180">
        <v>17</v>
      </c>
      <c r="F112" s="175" cm="1" t="str">
        <f t="array" ref="F112:F112">F111</f>
        <v>1</v>
      </c>
      <c r="G112" s="1659"/>
      <c r="H112" s="175">
        <f>first_year+31</f>
        <v>2056</v>
      </c>
      <c r="I112" s="1659"/>
      <c r="J112" s="1659"/>
      <c r="K112" s="1659"/>
      <c r="L112" s="1659"/>
      <c r="M112" s="1659"/>
      <c r="N112" s="1659"/>
      <c r="O112" s="1659"/>
      <c r="P112" s="1659"/>
      <c r="Q112" s="1659"/>
      <c r="R112" s="1659"/>
      <c r="S112" s="1659"/>
      <c r="T112" s="753" cm="1" t="str">
        <f t="array" ref="T112:T112">T111</f>
        <v>true</v>
      </c>
      <c r="U112" s="1659"/>
      <c r="V112" s="1659"/>
      <c r="W112" s="1659"/>
      <c r="X112" s="1659"/>
      <c r="Y112" s="1659"/>
      <c r="Z112" s="1659"/>
      <c r="AA112" s="1659"/>
      <c r="AB112" s="930" t="str">
        <f>H112&amp;" год"</f>
        <v>2056 год</v>
      </c>
      <c r="AC112" s="167"/>
      <c r="AD112" s="168"/>
      <c r="AE112" s="168"/>
      <c r="AF112" s="167"/>
      <c r="AG112" s="167"/>
      <c r="AH112" s="168"/>
      <c r="AI112" s="169"/>
      <c r="AJ112" s="170"/>
      <c r="AK112" s="1659"/>
      <c r="AL112" s="1659"/>
      <c r="AM112" s="1659"/>
      <c r="AN112" s="312" cm="1" t="str">
        <f t="array" ref="AN112:AN112">H112</f>
        <v>2056</v>
      </c>
      <c r="AO112" s="1659"/>
      <c r="AP112" s="0" cm="1" t="str">
        <f t="array" ref="AP112:AP112">AP111</f>
        <v>ТЭ.42.31656254.0001</v>
      </c>
      <c r="AQ112" s="0" t="str">
        <f>"389.0."&amp;H112-2010&amp;"."</f>
        <v>389.0.46.</v>
      </c>
      <c r="AR112" s="0" t="s">
        <v>275</v>
      </c>
      <c r="AS112" s="1659"/>
    </row>
    <row s="1659" customFormat="1" customHeight="1" ht="16.5" hidden="1">
      <c r="A113" s="1659"/>
      <c r="B113" s="192">
        <f>H113&lt;first_year+PERIOD_LENGTH</f>
        <v>0</v>
      </c>
      <c r="C113" s="1659"/>
      <c r="D113" s="1659"/>
      <c r="E113" s="180">
        <v>17</v>
      </c>
      <c r="F113" s="175" cm="1" t="str">
        <f t="array" ref="F113:F113">F112</f>
        <v>1</v>
      </c>
      <c r="G113" s="1659"/>
      <c r="H113" s="175">
        <f>first_year+32</f>
        <v>2057</v>
      </c>
      <c r="I113" s="1659"/>
      <c r="J113" s="1659"/>
      <c r="K113" s="1659"/>
      <c r="L113" s="1659"/>
      <c r="M113" s="1659"/>
      <c r="N113" s="1659"/>
      <c r="O113" s="1659"/>
      <c r="P113" s="1659"/>
      <c r="Q113" s="1659"/>
      <c r="R113" s="1659"/>
      <c r="S113" s="1659"/>
      <c r="T113" s="753" cm="1" t="str">
        <f t="array" ref="T113:T113">T112</f>
        <v>true</v>
      </c>
      <c r="U113" s="1659"/>
      <c r="V113" s="1659"/>
      <c r="W113" s="1659"/>
      <c r="X113" s="1659"/>
      <c r="Y113" s="1659"/>
      <c r="Z113" s="1659"/>
      <c r="AA113" s="1659"/>
      <c r="AB113" s="930" t="str">
        <f>H113&amp;" год"</f>
        <v>2057 год</v>
      </c>
      <c r="AC113" s="167"/>
      <c r="AD113" s="168"/>
      <c r="AE113" s="168"/>
      <c r="AF113" s="167"/>
      <c r="AG113" s="167"/>
      <c r="AH113" s="168"/>
      <c r="AI113" s="169"/>
      <c r="AJ113" s="170"/>
      <c r="AK113" s="1659"/>
      <c r="AL113" s="1659"/>
      <c r="AM113" s="1659"/>
      <c r="AN113" s="312" cm="1" t="str">
        <f t="array" ref="AN113:AN113">H113</f>
        <v>2057</v>
      </c>
      <c r="AO113" s="1659"/>
      <c r="AP113" s="0" cm="1" t="str">
        <f t="array" ref="AP113:AP113">AP112</f>
        <v>ТЭ.42.31656254.0001</v>
      </c>
      <c r="AQ113" s="0" t="str">
        <f>"389.0."&amp;H113-2010&amp;"."</f>
        <v>389.0.47.</v>
      </c>
      <c r="AR113" s="0" t="s">
        <v>275</v>
      </c>
      <c r="AS113" s="1659"/>
    </row>
    <row s="1659" customFormat="1" customHeight="1" ht="16.5" hidden="1">
      <c r="A114" s="1659"/>
      <c r="B114" s="192">
        <f>H114&lt;first_year+PERIOD_LENGTH</f>
        <v>0</v>
      </c>
      <c r="C114" s="1659"/>
      <c r="D114" s="1659"/>
      <c r="E114" s="180">
        <v>17</v>
      </c>
      <c r="F114" s="175" cm="1" t="str">
        <f t="array" ref="F114:F114">F113</f>
        <v>1</v>
      </c>
      <c r="G114" s="1659"/>
      <c r="H114" s="175">
        <f>first_year+33</f>
        <v>2058</v>
      </c>
      <c r="I114" s="1659"/>
      <c r="J114" s="1659"/>
      <c r="K114" s="1659"/>
      <c r="L114" s="1659"/>
      <c r="M114" s="1659"/>
      <c r="N114" s="1659"/>
      <c r="O114" s="1659"/>
      <c r="P114" s="1659"/>
      <c r="Q114" s="1659"/>
      <c r="R114" s="1659"/>
      <c r="S114" s="1659"/>
      <c r="T114" s="753" cm="1" t="str">
        <f t="array" ref="T114:T114">T113</f>
        <v>true</v>
      </c>
      <c r="U114" s="1659"/>
      <c r="V114" s="1659"/>
      <c r="W114" s="1659"/>
      <c r="X114" s="1659"/>
      <c r="Y114" s="1659"/>
      <c r="Z114" s="1659"/>
      <c r="AA114" s="1659"/>
      <c r="AB114" s="930" t="str">
        <f>H114&amp;" год"</f>
        <v>2058 год</v>
      </c>
      <c r="AC114" s="167"/>
      <c r="AD114" s="168"/>
      <c r="AE114" s="168"/>
      <c r="AF114" s="167"/>
      <c r="AG114" s="167"/>
      <c r="AH114" s="168"/>
      <c r="AI114" s="169"/>
      <c r="AJ114" s="170"/>
      <c r="AK114" s="1659"/>
      <c r="AL114" s="1659"/>
      <c r="AM114" s="1659"/>
      <c r="AN114" s="312" cm="1" t="str">
        <f t="array" ref="AN114:AN114">H114</f>
        <v>2058</v>
      </c>
      <c r="AO114" s="1659"/>
      <c r="AP114" s="0" cm="1" t="str">
        <f t="array" ref="AP114:AP114">AP113</f>
        <v>ТЭ.42.31656254.0001</v>
      </c>
      <c r="AQ114" s="0" t="str">
        <f>"389.0."&amp;H114-2010&amp;"."</f>
        <v>389.0.48.</v>
      </c>
      <c r="AR114" s="0" t="s">
        <v>275</v>
      </c>
      <c r="AS114" s="1659"/>
    </row>
    <row s="1659" customFormat="1" customHeight="1" ht="16.5" hidden="1">
      <c r="A115" s="1659"/>
      <c r="B115" s="192">
        <f>H115&lt;first_year+PERIOD_LENGTH</f>
        <v>0</v>
      </c>
      <c r="C115" s="1659"/>
      <c r="D115" s="1659"/>
      <c r="E115" s="180">
        <v>17</v>
      </c>
      <c r="F115" s="175" cm="1" t="str">
        <f t="array" ref="F115:F115">F114</f>
        <v>1</v>
      </c>
      <c r="G115" s="1659"/>
      <c r="H115" s="175">
        <f>first_year+34</f>
        <v>2059</v>
      </c>
      <c r="I115" s="1659"/>
      <c r="J115" s="1659"/>
      <c r="K115" s="1659"/>
      <c r="L115" s="1659"/>
      <c r="M115" s="1659"/>
      <c r="N115" s="1659"/>
      <c r="O115" s="1659"/>
      <c r="P115" s="1659"/>
      <c r="Q115" s="1659"/>
      <c r="R115" s="1659"/>
      <c r="S115" s="1659"/>
      <c r="T115" s="753" cm="1" t="str">
        <f t="array" ref="T115:T115">T114</f>
        <v>true</v>
      </c>
      <c r="U115" s="1659"/>
      <c r="V115" s="1659"/>
      <c r="W115" s="1659"/>
      <c r="X115" s="1659"/>
      <c r="Y115" s="1659"/>
      <c r="Z115" s="1659"/>
      <c r="AA115" s="1659"/>
      <c r="AB115" s="930" t="str">
        <f>H115&amp;" год"</f>
        <v>2059 год</v>
      </c>
      <c r="AC115" s="167"/>
      <c r="AD115" s="168"/>
      <c r="AE115" s="168"/>
      <c r="AF115" s="167"/>
      <c r="AG115" s="167"/>
      <c r="AH115" s="168"/>
      <c r="AI115" s="169"/>
      <c r="AJ115" s="170"/>
      <c r="AK115" s="1659"/>
      <c r="AL115" s="1659"/>
      <c r="AM115" s="1659"/>
      <c r="AN115" s="312" cm="1" t="str">
        <f t="array" ref="AN115:AN115">H115</f>
        <v>2059</v>
      </c>
      <c r="AO115" s="1659"/>
      <c r="AP115" s="0" cm="1" t="str">
        <f t="array" ref="AP115:AP115">AP114</f>
        <v>ТЭ.42.31656254.0001</v>
      </c>
      <c r="AQ115" s="0" t="str">
        <f>"389.0."&amp;H115-2010&amp;"."</f>
        <v>389.0.49.</v>
      </c>
      <c r="AR115" s="0" t="s">
        <v>275</v>
      </c>
      <c r="AS115" s="1659"/>
    </row>
    <row s="1659" customFormat="1" customHeight="1" ht="16.5" hidden="1">
      <c r="A116" s="1659"/>
      <c r="B116" s="192">
        <f>H116&lt;first_year+PERIOD_LENGTH</f>
        <v>0</v>
      </c>
      <c r="C116" s="1659"/>
      <c r="D116" s="1659"/>
      <c r="E116" s="180">
        <v>17</v>
      </c>
      <c r="F116" s="175" cm="1" t="str">
        <f t="array" ref="F116:F116">F115</f>
        <v>1</v>
      </c>
      <c r="G116" s="1659"/>
      <c r="H116" s="175">
        <f>first_year+35</f>
        <v>2060</v>
      </c>
      <c r="I116" s="1659"/>
      <c r="J116" s="1659"/>
      <c r="K116" s="1659"/>
      <c r="L116" s="1659"/>
      <c r="M116" s="1659"/>
      <c r="N116" s="1659"/>
      <c r="O116" s="1659"/>
      <c r="P116" s="1659"/>
      <c r="Q116" s="1659"/>
      <c r="R116" s="1659"/>
      <c r="S116" s="1659"/>
      <c r="T116" s="753" cm="1" t="str">
        <f t="array" ref="T116:T116">T115</f>
        <v>true</v>
      </c>
      <c r="U116" s="1659"/>
      <c r="V116" s="1659"/>
      <c r="W116" s="1659"/>
      <c r="X116" s="1659"/>
      <c r="Y116" s="1659"/>
      <c r="Z116" s="1659"/>
      <c r="AA116" s="1659"/>
      <c r="AB116" s="930" t="str">
        <f>H116&amp;" год"</f>
        <v>2060 год</v>
      </c>
      <c r="AC116" s="167"/>
      <c r="AD116" s="168"/>
      <c r="AE116" s="168"/>
      <c r="AF116" s="167"/>
      <c r="AG116" s="167"/>
      <c r="AH116" s="168"/>
      <c r="AI116" s="169"/>
      <c r="AJ116" s="170"/>
      <c r="AK116" s="1659"/>
      <c r="AL116" s="1659"/>
      <c r="AM116" s="1659"/>
      <c r="AN116" s="312" cm="1" t="str">
        <f t="array" ref="AN116:AN116">H116</f>
        <v>2060</v>
      </c>
      <c r="AO116" s="1659"/>
      <c r="AP116" s="0" cm="1" t="str">
        <f t="array" ref="AP116:AP116">AP115</f>
        <v>ТЭ.42.31656254.0001</v>
      </c>
      <c r="AQ116" s="0" t="str">
        <f>"389.0."&amp;H116-2010&amp;"."</f>
        <v>389.0.50.</v>
      </c>
      <c r="AR116" s="0" t="s">
        <v>275</v>
      </c>
      <c r="AS116" s="1659"/>
    </row>
    <row s="1659" customFormat="1" customHeight="1" ht="16.5" hidden="1">
      <c r="A117" s="1659"/>
      <c r="B117" s="192">
        <f>H117&lt;first_year+PERIOD_LENGTH</f>
        <v>0</v>
      </c>
      <c r="C117" s="1659"/>
      <c r="D117" s="1659"/>
      <c r="E117" s="180">
        <v>17</v>
      </c>
      <c r="F117" s="175" cm="1" t="str">
        <f t="array" ref="F117:F117">F116</f>
        <v>1</v>
      </c>
      <c r="G117" s="1659"/>
      <c r="H117" s="175">
        <f>first_year+36</f>
        <v>2061</v>
      </c>
      <c r="I117" s="1659"/>
      <c r="J117" s="1659"/>
      <c r="K117" s="1659"/>
      <c r="L117" s="1659"/>
      <c r="M117" s="1659"/>
      <c r="N117" s="1659"/>
      <c r="O117" s="1659"/>
      <c r="P117" s="1659"/>
      <c r="Q117" s="1659"/>
      <c r="R117" s="1659"/>
      <c r="S117" s="1659"/>
      <c r="T117" s="753" cm="1" t="str">
        <f t="array" ref="T117:T117">T116</f>
        <v>true</v>
      </c>
      <c r="U117" s="1659"/>
      <c r="V117" s="1659"/>
      <c r="W117" s="1659"/>
      <c r="X117" s="1659"/>
      <c r="Y117" s="1659"/>
      <c r="Z117" s="1659"/>
      <c r="AA117" s="1659"/>
      <c r="AB117" s="930" t="str">
        <f>H117&amp;" год"</f>
        <v>2061 год</v>
      </c>
      <c r="AC117" s="167"/>
      <c r="AD117" s="168"/>
      <c r="AE117" s="168"/>
      <c r="AF117" s="167"/>
      <c r="AG117" s="167"/>
      <c r="AH117" s="168"/>
      <c r="AI117" s="169"/>
      <c r="AJ117" s="170"/>
      <c r="AK117" s="1659"/>
      <c r="AL117" s="1659"/>
      <c r="AM117" s="1659"/>
      <c r="AN117" s="312" cm="1" t="str">
        <f t="array" ref="AN117:AN117">H117</f>
        <v>2061</v>
      </c>
      <c r="AO117" s="1659"/>
      <c r="AP117" s="0" cm="1" t="str">
        <f t="array" ref="AP117:AP117">AP116</f>
        <v>ТЭ.42.31656254.0001</v>
      </c>
      <c r="AQ117" s="0" t="str">
        <f>"389.0."&amp;H117-2010&amp;"."</f>
        <v>389.0.51.</v>
      </c>
      <c r="AR117" s="0" t="s">
        <v>275</v>
      </c>
      <c r="AS117" s="1659"/>
    </row>
    <row s="1659" customFormat="1" customHeight="1" ht="16.5" hidden="1">
      <c r="A118" s="1659"/>
      <c r="B118" s="192">
        <f>H118&lt;first_year+PERIOD_LENGTH</f>
        <v>0</v>
      </c>
      <c r="C118" s="1659"/>
      <c r="D118" s="1659"/>
      <c r="E118" s="180">
        <v>17</v>
      </c>
      <c r="F118" s="175" cm="1" t="str">
        <f t="array" ref="F118:F118">F117</f>
        <v>1</v>
      </c>
      <c r="G118" s="1659"/>
      <c r="H118" s="175">
        <f>first_year+37</f>
        <v>2062</v>
      </c>
      <c r="I118" s="1659"/>
      <c r="J118" s="1659"/>
      <c r="K118" s="1659"/>
      <c r="L118" s="1659"/>
      <c r="M118" s="1659"/>
      <c r="N118" s="1659"/>
      <c r="O118" s="1659"/>
      <c r="P118" s="1659"/>
      <c r="Q118" s="1659"/>
      <c r="R118" s="1659"/>
      <c r="S118" s="1659"/>
      <c r="T118" s="753" cm="1" t="str">
        <f t="array" ref="T118:T118">T117</f>
        <v>true</v>
      </c>
      <c r="U118" s="1659"/>
      <c r="V118" s="1659"/>
      <c r="W118" s="1659"/>
      <c r="X118" s="1659"/>
      <c r="Y118" s="1659"/>
      <c r="Z118" s="1659"/>
      <c r="AA118" s="1659"/>
      <c r="AB118" s="930" t="str">
        <f>H118&amp;" год"</f>
        <v>2062 год</v>
      </c>
      <c r="AC118" s="167"/>
      <c r="AD118" s="168"/>
      <c r="AE118" s="168"/>
      <c r="AF118" s="167"/>
      <c r="AG118" s="167"/>
      <c r="AH118" s="168"/>
      <c r="AI118" s="169"/>
      <c r="AJ118" s="170"/>
      <c r="AK118" s="1659"/>
      <c r="AL118" s="1659"/>
      <c r="AM118" s="1659"/>
      <c r="AN118" s="312" cm="1" t="str">
        <f t="array" ref="AN118:AN118">H118</f>
        <v>2062</v>
      </c>
      <c r="AO118" s="1659"/>
      <c r="AP118" s="0" cm="1" t="str">
        <f t="array" ref="AP118:AP118">AP117</f>
        <v>ТЭ.42.31656254.0001</v>
      </c>
      <c r="AQ118" s="0" t="str">
        <f>"389.0."&amp;H118-2010&amp;"."</f>
        <v>389.0.52.</v>
      </c>
      <c r="AR118" s="0" t="s">
        <v>275</v>
      </c>
      <c r="AS118" s="1659"/>
    </row>
    <row s="1659" customFormat="1" customHeight="1" ht="16.5" hidden="1">
      <c r="A119" s="1659"/>
      <c r="B119" s="192">
        <f>H119&lt;first_year+PERIOD_LENGTH</f>
        <v>0</v>
      </c>
      <c r="C119" s="1659"/>
      <c r="D119" s="1659"/>
      <c r="E119" s="180">
        <v>17</v>
      </c>
      <c r="F119" s="175" cm="1" t="str">
        <f t="array" ref="F119:F119">F118</f>
        <v>1</v>
      </c>
      <c r="G119" s="1659"/>
      <c r="H119" s="175">
        <f>first_year+38</f>
        <v>2063</v>
      </c>
      <c r="I119" s="1659"/>
      <c r="J119" s="1659"/>
      <c r="K119" s="1659"/>
      <c r="L119" s="1659"/>
      <c r="M119" s="1659"/>
      <c r="N119" s="1659"/>
      <c r="O119" s="1659"/>
      <c r="P119" s="1659"/>
      <c r="Q119" s="1659"/>
      <c r="R119" s="1659"/>
      <c r="S119" s="1659"/>
      <c r="T119" s="753" cm="1" t="str">
        <f t="array" ref="T119:T119">T118</f>
        <v>true</v>
      </c>
      <c r="U119" s="1659"/>
      <c r="V119" s="1659"/>
      <c r="W119" s="1659"/>
      <c r="X119" s="1659"/>
      <c r="Y119" s="1659"/>
      <c r="Z119" s="1659"/>
      <c r="AA119" s="1659"/>
      <c r="AB119" s="930" t="str">
        <f>H119&amp;" год"</f>
        <v>2063 год</v>
      </c>
      <c r="AC119" s="167"/>
      <c r="AD119" s="168"/>
      <c r="AE119" s="168"/>
      <c r="AF119" s="167"/>
      <c r="AG119" s="167"/>
      <c r="AH119" s="168"/>
      <c r="AI119" s="169"/>
      <c r="AJ119" s="170"/>
      <c r="AK119" s="1659"/>
      <c r="AL119" s="1659"/>
      <c r="AM119" s="1659"/>
      <c r="AN119" s="312" cm="1" t="str">
        <f t="array" ref="AN119:AN119">H119</f>
        <v>2063</v>
      </c>
      <c r="AO119" s="1659"/>
      <c r="AP119" s="0" cm="1" t="str">
        <f t="array" ref="AP119:AP119">AP118</f>
        <v>ТЭ.42.31656254.0001</v>
      </c>
      <c r="AQ119" s="0" t="str">
        <f>"389.0."&amp;H119-2010&amp;"."</f>
        <v>389.0.53.</v>
      </c>
      <c r="AR119" s="0" t="s">
        <v>275</v>
      </c>
      <c r="AS119" s="1659"/>
    </row>
    <row s="1659" customFormat="1" customHeight="1" ht="16.5" hidden="1">
      <c r="A120" s="1659"/>
      <c r="B120" s="192">
        <f>H120&lt;first_year+PERIOD_LENGTH</f>
        <v>0</v>
      </c>
      <c r="C120" s="1659"/>
      <c r="D120" s="1659"/>
      <c r="E120" s="180">
        <v>17</v>
      </c>
      <c r="F120" s="175" cm="1" t="str">
        <f t="array" ref="F120:F120">F119</f>
        <v>1</v>
      </c>
      <c r="G120" s="1659"/>
      <c r="H120" s="175">
        <f>first_year+39</f>
        <v>2064</v>
      </c>
      <c r="I120" s="1659"/>
      <c r="J120" s="1659"/>
      <c r="K120" s="1659"/>
      <c r="L120" s="1659"/>
      <c r="M120" s="1659"/>
      <c r="N120" s="1659"/>
      <c r="O120" s="1659"/>
      <c r="P120" s="1659"/>
      <c r="Q120" s="1659"/>
      <c r="R120" s="1659"/>
      <c r="S120" s="1659"/>
      <c r="T120" s="753" cm="1" t="str">
        <f t="array" ref="T120:T120">T119</f>
        <v>true</v>
      </c>
      <c r="U120" s="1659"/>
      <c r="V120" s="1659"/>
      <c r="W120" s="1659"/>
      <c r="X120" s="1659"/>
      <c r="Y120" s="1659"/>
      <c r="Z120" s="1659"/>
      <c r="AA120" s="1659"/>
      <c r="AB120" s="930" t="str">
        <f>H120&amp;" год"</f>
        <v>2064 год</v>
      </c>
      <c r="AC120" s="167"/>
      <c r="AD120" s="168"/>
      <c r="AE120" s="168"/>
      <c r="AF120" s="167"/>
      <c r="AG120" s="167"/>
      <c r="AH120" s="168"/>
      <c r="AI120" s="169"/>
      <c r="AJ120" s="170"/>
      <c r="AK120" s="1659"/>
      <c r="AL120" s="1659"/>
      <c r="AM120" s="1659"/>
      <c r="AN120" s="312" cm="1" t="str">
        <f t="array" ref="AN120:AN120">H120</f>
        <v>2064</v>
      </c>
      <c r="AO120" s="1659"/>
      <c r="AP120" s="0" cm="1" t="str">
        <f t="array" ref="AP120:AP120">AP119</f>
        <v>ТЭ.42.31656254.0001</v>
      </c>
      <c r="AQ120" s="0" t="str">
        <f>"389.0."&amp;H120-2010&amp;"."</f>
        <v>389.0.54.</v>
      </c>
      <c r="AR120" s="0" t="s">
        <v>275</v>
      </c>
      <c r="AS120" s="1659"/>
    </row>
    <row s="1659" customFormat="1" customHeight="1" ht="16.5" hidden="1">
      <c r="A121" s="1659"/>
      <c r="B121" s="192">
        <f>H121&lt;first_year+PERIOD_LENGTH</f>
        <v>0</v>
      </c>
      <c r="C121" s="1659"/>
      <c r="D121" s="1659"/>
      <c r="E121" s="180">
        <v>17</v>
      </c>
      <c r="F121" s="175" cm="1" t="str">
        <f t="array" ref="F121:F121">F120</f>
        <v>1</v>
      </c>
      <c r="G121" s="1659"/>
      <c r="H121" s="175">
        <f>first_year+40</f>
        <v>2065</v>
      </c>
      <c r="I121" s="1659"/>
      <c r="J121" s="1659"/>
      <c r="K121" s="1659"/>
      <c r="L121" s="1659"/>
      <c r="M121" s="1659"/>
      <c r="N121" s="1659"/>
      <c r="O121" s="1659"/>
      <c r="P121" s="1659"/>
      <c r="Q121" s="1659"/>
      <c r="R121" s="1659"/>
      <c r="S121" s="1659"/>
      <c r="T121" s="753" cm="1" t="str">
        <f t="array" ref="T121:T121">T120</f>
        <v>true</v>
      </c>
      <c r="U121" s="1659"/>
      <c r="V121" s="1659"/>
      <c r="W121" s="1659"/>
      <c r="X121" s="1659"/>
      <c r="Y121" s="1659"/>
      <c r="Z121" s="1659"/>
      <c r="AA121" s="1659"/>
      <c r="AB121" s="930" t="str">
        <f>H121&amp;" год"</f>
        <v>2065 год</v>
      </c>
      <c r="AC121" s="167"/>
      <c r="AD121" s="168"/>
      <c r="AE121" s="168"/>
      <c r="AF121" s="167"/>
      <c r="AG121" s="167"/>
      <c r="AH121" s="168"/>
      <c r="AI121" s="169"/>
      <c r="AJ121" s="170"/>
      <c r="AK121" s="1659"/>
      <c r="AL121" s="1659"/>
      <c r="AM121" s="1659"/>
      <c r="AN121" s="312" cm="1" t="str">
        <f t="array" ref="AN121:AN121">H121</f>
        <v>2065</v>
      </c>
      <c r="AO121" s="1659"/>
      <c r="AP121" s="0" cm="1" t="str">
        <f t="array" ref="AP121:AP121">AP120</f>
        <v>ТЭ.42.31656254.0001</v>
      </c>
      <c r="AQ121" s="0" t="str">
        <f>"389.0."&amp;H121-2010&amp;"."</f>
        <v>389.0.55.</v>
      </c>
      <c r="AR121" s="0" t="s">
        <v>275</v>
      </c>
      <c r="AS121" s="1659"/>
    </row>
    <row s="1659" customFormat="1" customHeight="1" ht="16.5" hidden="1">
      <c r="A122" s="1659"/>
      <c r="B122" s="192">
        <f>H122&lt;first_year+PERIOD_LENGTH</f>
        <v>0</v>
      </c>
      <c r="C122" s="1659"/>
      <c r="D122" s="1659"/>
      <c r="E122" s="180">
        <v>17</v>
      </c>
      <c r="F122" s="175" cm="1" t="str">
        <f t="array" ref="F122:F122">F121</f>
        <v>1</v>
      </c>
      <c r="G122" s="1659"/>
      <c r="H122" s="175">
        <f>first_year+41</f>
        <v>2066</v>
      </c>
      <c r="I122" s="1659"/>
      <c r="J122" s="1659"/>
      <c r="K122" s="1659"/>
      <c r="L122" s="1659"/>
      <c r="M122" s="1659"/>
      <c r="N122" s="1659"/>
      <c r="O122" s="1659"/>
      <c r="P122" s="1659"/>
      <c r="Q122" s="1659"/>
      <c r="R122" s="1659"/>
      <c r="S122" s="1659"/>
      <c r="T122" s="753" cm="1" t="str">
        <f t="array" ref="T122:T122">T121</f>
        <v>true</v>
      </c>
      <c r="U122" s="1659"/>
      <c r="V122" s="1659"/>
      <c r="W122" s="1659"/>
      <c r="X122" s="1659"/>
      <c r="Y122" s="1659"/>
      <c r="Z122" s="1659"/>
      <c r="AA122" s="1659"/>
      <c r="AB122" s="930" t="str">
        <f>H122&amp;" год"</f>
        <v>2066 год</v>
      </c>
      <c r="AC122" s="167"/>
      <c r="AD122" s="168"/>
      <c r="AE122" s="168"/>
      <c r="AF122" s="167"/>
      <c r="AG122" s="167"/>
      <c r="AH122" s="168"/>
      <c r="AI122" s="169"/>
      <c r="AJ122" s="170"/>
      <c r="AK122" s="1659"/>
      <c r="AL122" s="1659"/>
      <c r="AM122" s="1659"/>
      <c r="AN122" s="312" cm="1" t="str">
        <f t="array" ref="AN122:AN122">H122</f>
        <v>2066</v>
      </c>
      <c r="AO122" s="1659"/>
      <c r="AP122" s="0" cm="1" t="str">
        <f t="array" ref="AP122:AP122">AP121</f>
        <v>ТЭ.42.31656254.0001</v>
      </c>
      <c r="AQ122" s="0" t="str">
        <f>"389.0."&amp;H122-2010&amp;"."</f>
        <v>389.0.56.</v>
      </c>
      <c r="AR122" s="0" t="s">
        <v>275</v>
      </c>
      <c r="AS122" s="1659"/>
    </row>
    <row s="1659" customFormat="1" customHeight="1" ht="16.5" hidden="1">
      <c r="A123" s="1659"/>
      <c r="B123" s="192">
        <f>H123&lt;first_year+PERIOD_LENGTH</f>
        <v>0</v>
      </c>
      <c r="C123" s="1659"/>
      <c r="D123" s="1659"/>
      <c r="E123" s="180">
        <v>17</v>
      </c>
      <c r="F123" s="175" cm="1" t="str">
        <f t="array" ref="F123:F123">F122</f>
        <v>1</v>
      </c>
      <c r="G123" s="1659"/>
      <c r="H123" s="175">
        <f>first_year+42</f>
        <v>2067</v>
      </c>
      <c r="I123" s="1659"/>
      <c r="J123" s="1659"/>
      <c r="K123" s="1659"/>
      <c r="L123" s="1659"/>
      <c r="M123" s="1659"/>
      <c r="N123" s="1659"/>
      <c r="O123" s="1659"/>
      <c r="P123" s="1659"/>
      <c r="Q123" s="1659"/>
      <c r="R123" s="1659"/>
      <c r="S123" s="1659"/>
      <c r="T123" s="753" cm="1" t="str">
        <f t="array" ref="T123:T123">T122</f>
        <v>true</v>
      </c>
      <c r="U123" s="1659"/>
      <c r="V123" s="1659"/>
      <c r="W123" s="1659"/>
      <c r="X123" s="1659"/>
      <c r="Y123" s="1659"/>
      <c r="Z123" s="1659"/>
      <c r="AA123" s="1659"/>
      <c r="AB123" s="930" t="str">
        <f>H123&amp;" год"</f>
        <v>2067 год</v>
      </c>
      <c r="AC123" s="167"/>
      <c r="AD123" s="168"/>
      <c r="AE123" s="168"/>
      <c r="AF123" s="167"/>
      <c r="AG123" s="167"/>
      <c r="AH123" s="168"/>
      <c r="AI123" s="169"/>
      <c r="AJ123" s="170"/>
      <c r="AK123" s="1659"/>
      <c r="AL123" s="1659"/>
      <c r="AM123" s="1659"/>
      <c r="AN123" s="312" cm="1" t="str">
        <f t="array" ref="AN123:AN123">H123</f>
        <v>2067</v>
      </c>
      <c r="AO123" s="1659"/>
      <c r="AP123" s="0" cm="1" t="str">
        <f t="array" ref="AP123:AP123">AP122</f>
        <v>ТЭ.42.31656254.0001</v>
      </c>
      <c r="AQ123" s="0" t="str">
        <f>"389.0."&amp;H123-2010&amp;"."</f>
        <v>389.0.57.</v>
      </c>
      <c r="AR123" s="0" t="s">
        <v>275</v>
      </c>
      <c r="AS123" s="1659"/>
    </row>
    <row s="1659" customFormat="1" customHeight="1" ht="16.5" hidden="1">
      <c r="A124" s="1659"/>
      <c r="B124" s="192">
        <f>H124&lt;first_year+PERIOD_LENGTH</f>
        <v>0</v>
      </c>
      <c r="C124" s="1659"/>
      <c r="D124" s="1659"/>
      <c r="E124" s="180">
        <v>17</v>
      </c>
      <c r="F124" s="175" cm="1" t="str">
        <f t="array" ref="F124:F124">F123</f>
        <v>1</v>
      </c>
      <c r="G124" s="1659"/>
      <c r="H124" s="175">
        <f>first_year+43</f>
        <v>2068</v>
      </c>
      <c r="I124" s="1659"/>
      <c r="J124" s="1659"/>
      <c r="K124" s="1659"/>
      <c r="L124" s="1659"/>
      <c r="M124" s="1659"/>
      <c r="N124" s="1659"/>
      <c r="O124" s="1659"/>
      <c r="P124" s="1659"/>
      <c r="Q124" s="1659"/>
      <c r="R124" s="1659"/>
      <c r="S124" s="1659"/>
      <c r="T124" s="753" cm="1" t="str">
        <f t="array" ref="T124:T124">T123</f>
        <v>true</v>
      </c>
      <c r="U124" s="1659"/>
      <c r="V124" s="1659"/>
      <c r="W124" s="1659"/>
      <c r="X124" s="1659"/>
      <c r="Y124" s="1659"/>
      <c r="Z124" s="1659"/>
      <c r="AA124" s="1659"/>
      <c r="AB124" s="930" t="str">
        <f>H124&amp;" год"</f>
        <v>2068 год</v>
      </c>
      <c r="AC124" s="167"/>
      <c r="AD124" s="168"/>
      <c r="AE124" s="168"/>
      <c r="AF124" s="167"/>
      <c r="AG124" s="167"/>
      <c r="AH124" s="168"/>
      <c r="AI124" s="169"/>
      <c r="AJ124" s="170"/>
      <c r="AK124" s="1659"/>
      <c r="AL124" s="1659"/>
      <c r="AM124" s="1659"/>
      <c r="AN124" s="312" cm="1" t="str">
        <f t="array" ref="AN124:AN124">H124</f>
        <v>2068</v>
      </c>
      <c r="AO124" s="1659"/>
      <c r="AP124" s="0" cm="1" t="str">
        <f t="array" ref="AP124:AP124">AP123</f>
        <v>ТЭ.42.31656254.0001</v>
      </c>
      <c r="AQ124" s="0" t="str">
        <f>"389.0."&amp;H124-2010&amp;"."</f>
        <v>389.0.58.</v>
      </c>
      <c r="AR124" s="0" t="s">
        <v>275</v>
      </c>
      <c r="AS124" s="1659"/>
    </row>
    <row s="1659" customFormat="1" customHeight="1" ht="16.5" hidden="1">
      <c r="A125" s="1659"/>
      <c r="B125" s="192">
        <f>H125&lt;first_year+PERIOD_LENGTH</f>
        <v>0</v>
      </c>
      <c r="C125" s="1659"/>
      <c r="D125" s="1659"/>
      <c r="E125" s="180">
        <v>17</v>
      </c>
      <c r="F125" s="175" cm="1" t="str">
        <f t="array" ref="F125:F125">F124</f>
        <v>1</v>
      </c>
      <c r="G125" s="1659"/>
      <c r="H125" s="175">
        <f>first_year+44</f>
        <v>2069</v>
      </c>
      <c r="I125" s="1659"/>
      <c r="J125" s="1659"/>
      <c r="K125" s="1659"/>
      <c r="L125" s="1659"/>
      <c r="M125" s="1659"/>
      <c r="N125" s="1659"/>
      <c r="O125" s="1659"/>
      <c r="P125" s="1659"/>
      <c r="Q125" s="1659"/>
      <c r="R125" s="1659"/>
      <c r="S125" s="1659"/>
      <c r="T125" s="753" cm="1" t="str">
        <f t="array" ref="T125:T125">T124</f>
        <v>true</v>
      </c>
      <c r="U125" s="1659"/>
      <c r="V125" s="1659"/>
      <c r="W125" s="1659"/>
      <c r="X125" s="1659"/>
      <c r="Y125" s="1659"/>
      <c r="Z125" s="1659"/>
      <c r="AA125" s="1659"/>
      <c r="AB125" s="930" t="str">
        <f>H125&amp;" год"</f>
        <v>2069 год</v>
      </c>
      <c r="AC125" s="167"/>
      <c r="AD125" s="168"/>
      <c r="AE125" s="168"/>
      <c r="AF125" s="167"/>
      <c r="AG125" s="167"/>
      <c r="AH125" s="168"/>
      <c r="AI125" s="169"/>
      <c r="AJ125" s="170"/>
      <c r="AK125" s="1659"/>
      <c r="AL125" s="1659"/>
      <c r="AM125" s="1659"/>
      <c r="AN125" s="312" cm="1" t="str">
        <f t="array" ref="AN125:AN125">H125</f>
        <v>2069</v>
      </c>
      <c r="AO125" s="1659"/>
      <c r="AP125" s="0" cm="1" t="str">
        <f t="array" ref="AP125:AP125">AP124</f>
        <v>ТЭ.42.31656254.0001</v>
      </c>
      <c r="AQ125" s="0" t="str">
        <f>"389.0."&amp;H125-2010&amp;"."</f>
        <v>389.0.59.</v>
      </c>
      <c r="AR125" s="0" t="s">
        <v>275</v>
      </c>
      <c r="AS125" s="1659"/>
    </row>
    <row s="1659" customFormat="1" customHeight="1" ht="16.5" hidden="1">
      <c r="A126" s="1659"/>
      <c r="B126" s="192">
        <f>H126&lt;first_year+PERIOD_LENGTH</f>
        <v>0</v>
      </c>
      <c r="C126" s="1659"/>
      <c r="D126" s="1659"/>
      <c r="E126" s="180">
        <v>17</v>
      </c>
      <c r="F126" s="175" cm="1" t="str">
        <f t="array" ref="F126:F126">F125</f>
        <v>1</v>
      </c>
      <c r="G126" s="1659"/>
      <c r="H126" s="175">
        <f>first_year+45</f>
        <v>2070</v>
      </c>
      <c r="I126" s="1659"/>
      <c r="J126" s="1659"/>
      <c r="K126" s="1659"/>
      <c r="L126" s="1659"/>
      <c r="M126" s="1659"/>
      <c r="N126" s="1659"/>
      <c r="O126" s="1659"/>
      <c r="P126" s="1659"/>
      <c r="Q126" s="1659"/>
      <c r="R126" s="1659"/>
      <c r="S126" s="1659"/>
      <c r="T126" s="753" cm="1" t="str">
        <f t="array" ref="T126:T126">T125</f>
        <v>true</v>
      </c>
      <c r="U126" s="1659"/>
      <c r="V126" s="1659"/>
      <c r="W126" s="1659"/>
      <c r="X126" s="1659"/>
      <c r="Y126" s="1659"/>
      <c r="Z126" s="1659"/>
      <c r="AA126" s="1659"/>
      <c r="AB126" s="930" t="str">
        <f>H126&amp;" год"</f>
        <v>2070 год</v>
      </c>
      <c r="AC126" s="167"/>
      <c r="AD126" s="168"/>
      <c r="AE126" s="168"/>
      <c r="AF126" s="167"/>
      <c r="AG126" s="167"/>
      <c r="AH126" s="168"/>
      <c r="AI126" s="169"/>
      <c r="AJ126" s="170"/>
      <c r="AK126" s="1659"/>
      <c r="AL126" s="1659"/>
      <c r="AM126" s="1659"/>
      <c r="AN126" s="312" cm="1" t="str">
        <f t="array" ref="AN126:AN126">H126</f>
        <v>2070</v>
      </c>
      <c r="AO126" s="1659"/>
      <c r="AP126" s="0" cm="1" t="str">
        <f t="array" ref="AP126:AP126">AP125</f>
        <v>ТЭ.42.31656254.0001</v>
      </c>
      <c r="AQ126" s="0" t="str">
        <f>"389.0."&amp;H126-2010&amp;"."</f>
        <v>389.0.60.</v>
      </c>
      <c r="AR126" s="0" t="s">
        <v>275</v>
      </c>
      <c r="AS126" s="1659"/>
    </row>
    <row s="1659" customFormat="1" customHeight="1" ht="16.5" hidden="1">
      <c r="A127" s="1659"/>
      <c r="B127" s="192">
        <f>H127&lt;first_year+PERIOD_LENGTH</f>
        <v>0</v>
      </c>
      <c r="C127" s="1659"/>
      <c r="D127" s="1659"/>
      <c r="E127" s="180">
        <v>17</v>
      </c>
      <c r="F127" s="175" cm="1" t="str">
        <f t="array" ref="F127:F127">F126</f>
        <v>1</v>
      </c>
      <c r="G127" s="1659"/>
      <c r="H127" s="175">
        <f>first_year+46</f>
        <v>2071</v>
      </c>
      <c r="I127" s="1659"/>
      <c r="J127" s="1659"/>
      <c r="K127" s="1659"/>
      <c r="L127" s="1659"/>
      <c r="M127" s="1659"/>
      <c r="N127" s="1659"/>
      <c r="O127" s="1659"/>
      <c r="P127" s="1659"/>
      <c r="Q127" s="1659"/>
      <c r="R127" s="1659"/>
      <c r="S127" s="1659"/>
      <c r="T127" s="753" cm="1" t="str">
        <f t="array" ref="T127:T127">T126</f>
        <v>true</v>
      </c>
      <c r="U127" s="1659"/>
      <c r="V127" s="1659"/>
      <c r="W127" s="1659"/>
      <c r="X127" s="1659"/>
      <c r="Y127" s="1659"/>
      <c r="Z127" s="1659"/>
      <c r="AA127" s="1659"/>
      <c r="AB127" s="930" t="str">
        <f>H127&amp;" год"</f>
        <v>2071 год</v>
      </c>
      <c r="AC127" s="167"/>
      <c r="AD127" s="168"/>
      <c r="AE127" s="168"/>
      <c r="AF127" s="167"/>
      <c r="AG127" s="167"/>
      <c r="AH127" s="168"/>
      <c r="AI127" s="169"/>
      <c r="AJ127" s="170"/>
      <c r="AK127" s="1659"/>
      <c r="AL127" s="1659"/>
      <c r="AM127" s="1659"/>
      <c r="AN127" s="312" cm="1" t="str">
        <f t="array" ref="AN127:AN127">H127</f>
        <v>2071</v>
      </c>
      <c r="AO127" s="1659"/>
      <c r="AP127" s="0" cm="1" t="str">
        <f t="array" ref="AP127:AP127">AP126</f>
        <v>ТЭ.42.31656254.0001</v>
      </c>
      <c r="AQ127" s="0" t="str">
        <f>"389.0."&amp;H127-2010&amp;"."</f>
        <v>389.0.61.</v>
      </c>
      <c r="AR127" s="0" t="s">
        <v>275</v>
      </c>
      <c r="AS127" s="1659"/>
    </row>
    <row s="1659" customFormat="1" customHeight="1" ht="16.5" hidden="1">
      <c r="A128" s="1659"/>
      <c r="B128" s="192">
        <f>H128&lt;first_year+PERIOD_LENGTH</f>
        <v>0</v>
      </c>
      <c r="C128" s="1659"/>
      <c r="D128" s="1659"/>
      <c r="E128" s="180">
        <v>17</v>
      </c>
      <c r="F128" s="175" cm="1" t="str">
        <f t="array" ref="F128:F128">F127</f>
        <v>1</v>
      </c>
      <c r="G128" s="1659"/>
      <c r="H128" s="175">
        <f>first_year+47</f>
        <v>2072</v>
      </c>
      <c r="I128" s="1659"/>
      <c r="J128" s="1659"/>
      <c r="K128" s="1659"/>
      <c r="L128" s="1659"/>
      <c r="M128" s="1659"/>
      <c r="N128" s="1659"/>
      <c r="O128" s="1659"/>
      <c r="P128" s="1659"/>
      <c r="Q128" s="1659"/>
      <c r="R128" s="1659"/>
      <c r="S128" s="1659"/>
      <c r="T128" s="753" cm="1" t="str">
        <f t="array" ref="T128:T128">T127</f>
        <v>true</v>
      </c>
      <c r="U128" s="1659"/>
      <c r="V128" s="1659"/>
      <c r="W128" s="1659"/>
      <c r="X128" s="1659"/>
      <c r="Y128" s="1659"/>
      <c r="Z128" s="1659"/>
      <c r="AA128" s="1659"/>
      <c r="AB128" s="930" t="str">
        <f>H128&amp;" год"</f>
        <v>2072 год</v>
      </c>
      <c r="AC128" s="167"/>
      <c r="AD128" s="168"/>
      <c r="AE128" s="168"/>
      <c r="AF128" s="167"/>
      <c r="AG128" s="167"/>
      <c r="AH128" s="168"/>
      <c r="AI128" s="169"/>
      <c r="AJ128" s="170"/>
      <c r="AK128" s="1659"/>
      <c r="AL128" s="1659"/>
      <c r="AM128" s="1659"/>
      <c r="AN128" s="312" cm="1" t="str">
        <f t="array" ref="AN128:AN128">H128</f>
        <v>2072</v>
      </c>
      <c r="AO128" s="1659"/>
      <c r="AP128" s="0" cm="1" t="str">
        <f t="array" ref="AP128:AP128">AP127</f>
        <v>ТЭ.42.31656254.0001</v>
      </c>
      <c r="AQ128" s="0" t="str">
        <f>"389.0."&amp;H128-2010&amp;"."</f>
        <v>389.0.62.</v>
      </c>
      <c r="AR128" s="0" t="s">
        <v>275</v>
      </c>
      <c r="AS128" s="1659"/>
    </row>
    <row s="1659" customFormat="1" customHeight="1" ht="16.5" hidden="1">
      <c r="A129" s="1659"/>
      <c r="B129" s="192">
        <f>H129&lt;first_year+PERIOD_LENGTH</f>
        <v>0</v>
      </c>
      <c r="C129" s="1659"/>
      <c r="D129" s="1659"/>
      <c r="E129" s="180">
        <v>17</v>
      </c>
      <c r="F129" s="175" cm="1" t="str">
        <f t="array" ref="F129:F129">F128</f>
        <v>1</v>
      </c>
      <c r="G129" s="1659"/>
      <c r="H129" s="175">
        <f>first_year+48</f>
        <v>2073</v>
      </c>
      <c r="I129" s="1659"/>
      <c r="J129" s="1659"/>
      <c r="K129" s="1659"/>
      <c r="L129" s="1659"/>
      <c r="M129" s="1659"/>
      <c r="N129" s="1659"/>
      <c r="O129" s="1659"/>
      <c r="P129" s="1659"/>
      <c r="Q129" s="1659"/>
      <c r="R129" s="1659"/>
      <c r="S129" s="1659"/>
      <c r="T129" s="753" cm="1" t="str">
        <f t="array" ref="T129:T129">T128</f>
        <v>true</v>
      </c>
      <c r="U129" s="1659"/>
      <c r="V129" s="1659"/>
      <c r="W129" s="1659"/>
      <c r="X129" s="1659"/>
      <c r="Y129" s="1659"/>
      <c r="Z129" s="1659"/>
      <c r="AA129" s="1659"/>
      <c r="AB129" s="930" t="str">
        <f>H129&amp;" год"</f>
        <v>2073 год</v>
      </c>
      <c r="AC129" s="167"/>
      <c r="AD129" s="168"/>
      <c r="AE129" s="168"/>
      <c r="AF129" s="167"/>
      <c r="AG129" s="167"/>
      <c r="AH129" s="168"/>
      <c r="AI129" s="169"/>
      <c r="AJ129" s="170"/>
      <c r="AK129" s="1659"/>
      <c r="AL129" s="1659"/>
      <c r="AM129" s="1659"/>
      <c r="AN129" s="312" cm="1" t="str">
        <f t="array" ref="AN129:AN129">H129</f>
        <v>2073</v>
      </c>
      <c r="AO129" s="1659"/>
      <c r="AP129" s="0" cm="1" t="str">
        <f t="array" ref="AP129:AP129">AP128</f>
        <v>ТЭ.42.31656254.0001</v>
      </c>
      <c r="AQ129" s="0" t="str">
        <f>"389.0."&amp;H129-2010&amp;"."</f>
        <v>389.0.63.</v>
      </c>
      <c r="AR129" s="0" t="s">
        <v>275</v>
      </c>
      <c r="AS129" s="1659"/>
    </row>
    <row s="1659" customFormat="1" customHeight="1" ht="16.5" hidden="1">
      <c r="A130" s="1659"/>
      <c r="B130" s="192">
        <f>H130&lt;first_year+PERIOD_LENGTH</f>
        <v>0</v>
      </c>
      <c r="C130" s="1659"/>
      <c r="D130" s="1659"/>
      <c r="E130" s="180">
        <v>17</v>
      </c>
      <c r="F130" s="175" cm="1" t="str">
        <f t="array" ref="F130:F130">F129</f>
        <v>1</v>
      </c>
      <c r="G130" s="1659"/>
      <c r="H130" s="175">
        <f>first_year+49</f>
        <v>2074</v>
      </c>
      <c r="I130" s="1659"/>
      <c r="J130" s="1659"/>
      <c r="K130" s="1659"/>
      <c r="L130" s="1659"/>
      <c r="M130" s="1659"/>
      <c r="N130" s="1659"/>
      <c r="O130" s="1659"/>
      <c r="P130" s="1659"/>
      <c r="Q130" s="1659"/>
      <c r="R130" s="1659"/>
      <c r="S130" s="1659"/>
      <c r="T130" s="753" cm="1" t="str">
        <f t="array" ref="T130:T130">T129</f>
        <v>true</v>
      </c>
      <c r="U130" s="1659"/>
      <c r="V130" s="1659"/>
      <c r="W130" s="1659"/>
      <c r="X130" s="1659"/>
      <c r="Y130" s="1659"/>
      <c r="Z130" s="1659"/>
      <c r="AA130" s="1659"/>
      <c r="AB130" s="930" t="str">
        <f>H130&amp;" год"</f>
        <v>2074 год</v>
      </c>
      <c r="AC130" s="167"/>
      <c r="AD130" s="168"/>
      <c r="AE130" s="168"/>
      <c r="AF130" s="167"/>
      <c r="AG130" s="167"/>
      <c r="AH130" s="168"/>
      <c r="AI130" s="169"/>
      <c r="AJ130" s="170"/>
      <c r="AK130" s="1659"/>
      <c r="AL130" s="1659"/>
      <c r="AM130" s="1659"/>
      <c r="AN130" s="312" cm="1" t="str">
        <f t="array" ref="AN130:AN130">H130</f>
        <v>2074</v>
      </c>
      <c r="AO130" s="1659"/>
      <c r="AP130" s="0" cm="1" t="str">
        <f t="array" ref="AP130:AP130">AP129</f>
        <v>ТЭ.42.31656254.0001</v>
      </c>
      <c r="AQ130" s="0" t="str">
        <f>"389.0."&amp;H130-2010&amp;"."</f>
        <v>389.0.64.</v>
      </c>
      <c r="AR130" s="0" t="s">
        <v>275</v>
      </c>
      <c r="AS130" s="1659"/>
    </row>
    <row customHeight="1" ht="11.700000000000001">
      <c r="E131" s="180">
        <v>12</v>
      </c>
      <c r="U131" s="175" t="s">
        <v>191</v>
      </c>
      <c r="V131" s="176" t="s">
        <v>2548</v>
      </c>
    </row>
    <row customHeight="1" ht="14.625">
      <c r="E132" s="180">
        <v>15</v>
      </c>
      <c r="AB132" s="1601" t="s">
        <v>765</v>
      </c>
      <c r="AC132" s="1601"/>
      <c r="AD132" s="1601"/>
      <c r="AE132" s="1601"/>
      <c r="AF132" s="1601"/>
      <c r="AG132" s="1601"/>
      <c r="AH132" s="1601"/>
      <c r="AI132" s="1601"/>
      <c r="AJ132" s="1601"/>
      <c r="AK132" s="1601"/>
    </row>
    <row customHeight="1" ht="14.625">
      <c r="E133" s="180">
        <v>15</v>
      </c>
      <c r="AA133" s="477"/>
      <c r="AB133" s="1714"/>
      <c r="AC133" s="1714"/>
      <c r="AD133" s="1714"/>
      <c r="AE133" s="1714"/>
      <c r="AF133" s="1714"/>
      <c r="AG133" s="1714"/>
      <c r="AH133" s="1714"/>
      <c r="AI133" s="1714"/>
      <c r="AJ133" s="1714"/>
      <c r="AK133" s="1714"/>
    </row>
    <row customHeight="1" ht="14.625" hidden="1">
      <c r="A134" s="371"/>
      <c r="B134" s="1548"/>
      <c r="C134" s="1548"/>
      <c r="D134" s="1548"/>
      <c r="E134" s="180">
        <v>15</v>
      </c>
      <c r="F134" s="1548"/>
      <c r="G134" s="1659"/>
      <c r="H134" s="1548"/>
      <c r="I134" s="1548"/>
      <c r="J134" s="1548"/>
      <c r="K134" s="1548"/>
      <c r="L134" s="1548"/>
      <c r="M134" s="1548"/>
      <c r="N134" s="1548"/>
      <c r="O134" s="1548"/>
      <c r="P134" s="1548"/>
      <c r="Q134" s="1548"/>
      <c r="R134" s="1548"/>
      <c r="S134" s="1548"/>
      <c r="T134" s="753">
        <f>ROW(W134)&gt;ROW(W$134)</f>
        <v>0</v>
      </c>
      <c r="U134" s="1548"/>
      <c r="V134" s="1548"/>
      <c r="W134" s="175" t="s">
        <v>189</v>
      </c>
      <c r="X134" s="1548"/>
      <c r="Y134" s="1548"/>
      <c r="Z134" s="1548"/>
      <c r="AA134" s="477" t="s">
        <v>171</v>
      </c>
      <c r="AB134" s="2429"/>
      <c r="AC134" s="2429"/>
      <c r="AD134" s="2429"/>
      <c r="AE134" s="2429"/>
      <c r="AF134" s="2429"/>
      <c r="AG134" s="2429"/>
      <c r="AH134" s="2429"/>
      <c r="AI134" s="2429"/>
      <c r="AJ134" s="2429"/>
      <c r="AK134" s="2429"/>
      <c r="AL134" s="286"/>
      <c r="AM134" s="1659"/>
      <c r="AN134" s="1143"/>
      <c r="AO134" s="1506"/>
      <c r="AP134" s="1752"/>
      <c r="AQ134" s="1752"/>
      <c r="AR134" s="1752"/>
      <c r="AS134" s="1752"/>
    </row>
    <row customHeight="1" ht="14.625">
      <c r="E135" s="180">
        <v>15</v>
      </c>
      <c r="W135" s="176" t="s">
        <v>190</v>
      </c>
      <c r="AB135" s="1712" t="s">
        <v>766</v>
      </c>
      <c r="AC135" s="1713"/>
      <c r="AD135" s="1118"/>
      <c r="AE135" s="1118"/>
      <c r="AF135" s="1118"/>
      <c r="AG135" s="1118"/>
      <c r="AH135" s="1118"/>
      <c r="AI135" s="1118"/>
      <c r="AJ135" s="1118"/>
      <c r="AK135" s="1119"/>
    </row>
    <row customHeight="1" ht="11.25">
      <c r="AL136" s="286"/>
    </row>
  </sheetData>
  <sheetProtection formatColumns="0" formatRows="0" insertRows="0" deleteColumns="0" deleteRows="0" sort="0" autoFilter="0" insertColumns="1"/>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16C0EA-5108-4FC8-569A-6164C75DC748}" mc:Ignorable="x14ac xr xr2 xr3">
  <sheetPr>
    <tabColor rgb="FFD3DBDB"/>
    <pageSetUpPr fitToPage="1"/>
  </sheetPr>
  <dimension ref="A1:AC36"/>
  <sheetViews>
    <sheetView topLeftCell="AA21" showGridLines="0" workbookViewId="0">
      <selection activeCell="AA21" sqref="AA21"/>
    </sheetView>
  </sheetViews>
  <sheetFormatPr defaultColWidth="9.140625" customHeight="1" defaultRowHeight="11.25"/>
  <cols>
    <col min="1" max="1" style="371" width="3.57421875" hidden="1" customWidth="1"/>
    <col min="2" max="2" style="1548" width="3.00390625" hidden="1" customWidth="1"/>
    <col min="3" max="4" style="1548" width="3.57421875" hidden="1" customWidth="1"/>
    <col min="5" max="5" style="1718" width="3.8515625" hidden="1" customWidth="1"/>
    <col min="6" max="21" style="1548" width="3.57421875" hidden="1" customWidth="1"/>
    <col min="22" max="22" style="1548" width="6.00390625" hidden="1" customWidth="1"/>
    <col min="23" max="23" style="1548" width="3.57421875" hidden="1" customWidth="1"/>
    <col min="24" max="25" style="1548" width="6.28125" hidden="1" customWidth="1"/>
    <col min="26" max="26" style="1548" width="5.7109375" hidden="1" customWidth="1"/>
    <col min="27" max="27" style="183" width="3.00390625" customWidth="1"/>
    <col min="28" max="28" style="183" width="94.00390625" customWidth="1"/>
    <col min="29" max="29" style="183" width="3.00390625" customWidth="1"/>
  </cols>
  <sheetData>
    <row s="1548" customFormat="1" customHeight="1" ht="11.25" hidden="1">
      <c r="A1" s="371"/>
      <c r="X1" s="753" t="s">
        <v>85</v>
      </c>
      <c r="Y1" s="753" t="s">
        <v>86</v>
      </c>
      <c r="Z1" s="753" t="s">
        <v>88</v>
      </c>
      <c r="AA1" s="753" t="s">
        <v>93</v>
      </c>
      <c r="AB1" s="753" t="s">
        <v>91</v>
      </c>
    </row>
    <row s="1548" customFormat="1" customHeight="1" ht="11.25" hidden="1">
      <c r="A2" s="371"/>
      <c r="B2" s="179" t="s">
        <v>16</v>
      </c>
    </row>
    <row s="1548" customFormat="1" customHeight="1" ht="11.25" hidden="1">
      <c r="A3" s="371"/>
    </row>
    <row s="1548" customFormat="1" customHeight="1" ht="11.25" hidden="1">
      <c r="A4" s="371"/>
    </row>
    <row s="1718" customFormat="1" customHeight="1" ht="11.25" hidden="1">
      <c r="A5" s="371"/>
      <c r="B5" s="175"/>
      <c r="C5" s="175"/>
      <c r="D5" s="175"/>
      <c r="E5" s="180" t="s">
        <v>17</v>
      </c>
      <c r="AA5" s="180">
        <v>3</v>
      </c>
      <c r="AB5" s="180">
        <v>94</v>
      </c>
      <c r="AC5" s="180">
        <v>3</v>
      </c>
    </row>
    <row s="1548" customFormat="1" customHeight="1" ht="11.25" hidden="1">
      <c r="A6" s="371"/>
      <c r="E6" s="180"/>
    </row>
    <row s="1659" customFormat="1" customHeight="1" ht="11.25" hidden="1">
      <c r="A7" s="371"/>
      <c r="B7" s="175"/>
      <c r="C7" s="175"/>
      <c r="D7" s="175"/>
      <c r="E7" s="180"/>
    </row>
    <row s="1659" customFormat="1" customHeight="1" ht="11.25" hidden="1">
      <c r="A8" s="371"/>
      <c r="B8" s="175"/>
      <c r="C8" s="175"/>
      <c r="D8" s="175"/>
      <c r="E8" s="180"/>
    </row>
    <row s="1548" customFormat="1" customHeight="1" ht="11.25" hidden="1">
      <c r="A9" s="371"/>
      <c r="E9" s="180"/>
    </row>
    <row s="1548" customFormat="1" customHeight="1" ht="11.25" hidden="1">
      <c r="A10" s="371"/>
      <c r="E10" s="180"/>
    </row>
    <row s="1548" customFormat="1" customHeight="1" ht="11.25" hidden="1">
      <c r="A11" s="371"/>
      <c r="E11" s="180"/>
    </row>
    <row s="1548" customFormat="1" customHeight="1" ht="11.25" hidden="1">
      <c r="A12" s="371"/>
      <c r="E12" s="180"/>
    </row>
    <row s="1548" customFormat="1" customHeight="1" ht="11.25" hidden="1">
      <c r="A13" s="371"/>
      <c r="E13" s="180"/>
    </row>
    <row s="1548" customFormat="1" customHeight="1" ht="11.25" hidden="1">
      <c r="A14" s="371"/>
      <c r="E14" s="180"/>
    </row>
    <row s="1548" customFormat="1" customHeight="1" ht="11.25" hidden="1">
      <c r="A15" s="371"/>
      <c r="E15" s="180"/>
    </row>
    <row s="1548" customFormat="1" customHeight="1" ht="11.25" hidden="1">
      <c r="A16" s="371"/>
      <c r="E16" s="180"/>
    </row>
    <row s="1548" customFormat="1" customHeight="1" ht="11.25" hidden="1">
      <c r="A17" s="371"/>
      <c r="E17" s="180"/>
    </row>
    <row s="1548" customFormat="1" customHeight="1" ht="11.25" hidden="1">
      <c r="A18" s="371"/>
      <c r="E18" s="180"/>
    </row>
    <row s="1548" customFormat="1" customHeight="1" ht="11.25" hidden="1">
      <c r="A19" s="371"/>
      <c r="E19" s="180"/>
    </row>
    <row s="1548" customFormat="1" customHeight="1" ht="11.25" hidden="1">
      <c r="A20" s="371"/>
      <c r="E20" s="180"/>
    </row>
    <row customHeight="1" ht="10.725000000000001">
      <c r="E21" s="180">
        <v>11</v>
      </c>
      <c r="AA21" s="182"/>
      <c r="AB21" s="933"/>
    </row>
    <row customHeight="1" ht="19.5">
      <c r="E22" s="180">
        <v>20</v>
      </c>
      <c r="AA22" s="933"/>
      <c r="AB22" s="934" t="s">
        <v>414</v>
      </c>
    </row>
    <row customHeight="1" ht="10.725000000000001">
      <c r="E23" s="180">
        <v>11</v>
      </c>
      <c r="AA23" s="933"/>
      <c r="AB23" s="933"/>
    </row>
    <row customHeight="1" ht="19.5">
      <c r="E24" s="180">
        <v>20</v>
      </c>
      <c r="AA24" s="933"/>
      <c r="AB24" s="935"/>
    </row>
    <row customHeight="1" ht="19.5">
      <c r="E25" s="180">
        <v>20</v>
      </c>
      <c r="V25" s="176"/>
      <c r="W25" s="176"/>
      <c r="X25" s="176"/>
      <c r="Z25" s="176"/>
      <c r="AA25" s="933"/>
      <c r="AB25" s="935"/>
    </row>
    <row customHeight="1" ht="19.5">
      <c r="E26" s="180">
        <v>20</v>
      </c>
      <c r="Z26" s="176"/>
      <c r="AA26" s="933"/>
      <c r="AB26" s="935"/>
    </row>
    <row customHeight="1" ht="19.5">
      <c r="E27" s="180">
        <v>20</v>
      </c>
      <c r="Z27" s="176"/>
      <c r="AA27" s="933"/>
      <c r="AB27" s="935"/>
    </row>
    <row customHeight="1" ht="19.5">
      <c r="E28" s="180">
        <v>20</v>
      </c>
      <c r="Z28" s="176"/>
      <c r="AA28" s="933"/>
      <c r="AB28" s="935"/>
    </row>
    <row customHeight="1" ht="19.5">
      <c r="E29" s="180">
        <v>20</v>
      </c>
      <c r="Z29" s="176"/>
      <c r="AA29" s="933"/>
      <c r="AB29" s="935"/>
    </row>
    <row customHeight="1" ht="19.5">
      <c r="E30" s="180">
        <v>20</v>
      </c>
      <c r="Z30" s="176"/>
      <c r="AA30" s="933"/>
      <c r="AB30" s="935"/>
    </row>
    <row customHeight="1" ht="19.5">
      <c r="E31" s="180">
        <v>20</v>
      </c>
      <c r="Z31" s="176"/>
      <c r="AA31" s="933"/>
      <c r="AB31" s="935"/>
    </row>
    <row customHeight="1" ht="19.5">
      <c r="E32" s="180">
        <v>20</v>
      </c>
      <c r="Z32" s="176"/>
      <c r="AA32" s="933"/>
      <c r="AB32" s="935"/>
    </row>
    <row customHeight="1" ht="19.5">
      <c r="E33" s="180">
        <v>20</v>
      </c>
      <c r="Y33" s="176"/>
      <c r="Z33" s="176"/>
      <c r="AA33" s="933"/>
      <c r="AB33" s="935"/>
    </row>
    <row customHeight="1" ht="19.5" hidden="1">
      <c r="A34" s="371"/>
      <c r="B34" s="1548"/>
      <c r="C34" s="1548"/>
      <c r="D34" s="1548"/>
      <c r="E34" s="180">
        <v>20</v>
      </c>
      <c r="F34" s="1548"/>
      <c r="G34" s="1548"/>
      <c r="H34" s="1548"/>
      <c r="I34" s="1548"/>
      <c r="J34" s="1548"/>
      <c r="K34" s="1548"/>
      <c r="L34" s="1548"/>
      <c r="M34" s="1548"/>
      <c r="N34" s="1548"/>
      <c r="O34" s="1548"/>
      <c r="P34" s="1548"/>
      <c r="Q34" s="1548"/>
      <c r="R34" s="1548"/>
      <c r="S34" s="1548"/>
      <c r="T34" s="1548"/>
      <c r="U34" s="1548"/>
      <c r="V34" s="1548"/>
      <c r="W34" s="1548"/>
      <c r="X34" s="753">
        <f>Z34&gt;0</f>
        <v>0</v>
      </c>
      <c r="Y34" s="175" t="s">
        <v>266</v>
      </c>
      <c r="Z34" s="175">
        <v>0</v>
      </c>
      <c r="AA34" s="477" t="s">
        <v>171</v>
      </c>
      <c r="AB34" s="2430"/>
      <c r="AC34" s="183"/>
    </row>
    <row customHeight="1" ht="10.725000000000001">
      <c r="E35" s="180">
        <v>11</v>
      </c>
      <c r="Y35" s="176" t="s">
        <v>190</v>
      </c>
      <c r="AB35" s="937" t="s">
        <v>191</v>
      </c>
    </row>
    <row customHeight="1" ht="11.25">
      <c r="AC36" s="183"/>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3C03B8-CD26-3AC8-BDD8-550474AF6A98}" mc:Ignorable="x14ac xr xr2 xr3">
  <sheetPr>
    <tabColor rgb="FFFFCC99"/>
  </sheetPr>
  <dimension ref="A1:AC179"/>
  <sheetViews>
    <sheetView topLeftCell="A1" showGridLines="0" workbookViewId="0">
      <selection activeCell="A1" sqref="A1"/>
    </sheetView>
  </sheetViews>
  <sheetFormatPr defaultColWidth="9.140625" customHeight="1" defaultRowHeight="12"/>
  <cols>
    <col min="1" max="1" style="1110" width="42.7109375" customWidth="1"/>
    <col min="2" max="2" style="1727" width="6.7109375" customWidth="1"/>
    <col min="3" max="3" style="1751" width="40.7109375" customWidth="1"/>
    <col min="4" max="4" style="1727" width="12.7109375" customWidth="1"/>
    <col min="5" max="6" style="1727" width="3.7109375" customWidth="1"/>
    <col min="7" max="7" style="1727" width="23.7109375" customWidth="1"/>
    <col min="8" max="9" style="1727" width="3.7109375" customWidth="1"/>
    <col min="10" max="10" style="1727" width="4.7109375" customWidth="1"/>
    <col min="11" max="11" style="1727" width="40.7109375" customWidth="1"/>
    <col min="12" max="12" style="1727" width="4.7109375" customWidth="1"/>
    <col min="13" max="13" style="1727" width="18.57421875" customWidth="1"/>
    <col min="14" max="15" style="1727" width="4.7109375" customWidth="1"/>
    <col min="16" max="16" style="1727" width="16.57421875" customWidth="1"/>
    <col min="17" max="18" style="1727" width="12.57421875" customWidth="1"/>
    <col min="19" max="19" style="1727" width="14.57421875" customWidth="1"/>
    <col min="20" max="20" style="1727" width="18.8515625" customWidth="1"/>
    <col min="21" max="21" style="1727" width="19.28125" customWidth="1"/>
    <col min="22" max="22" style="1727" width="39.140625" customWidth="1"/>
    <col min="23" max="23" style="1727" width="41.7109375" customWidth="1"/>
    <col min="24" max="24" style="1727" width="54.8515625" customWidth="1"/>
    <col min="25" max="26" style="1727" width="22.8515625" customWidth="1"/>
    <col min="27" max="27" style="1727" width="9.140625"/>
    <col min="28" max="28" style="1727" width="29.7109375" customWidth="1"/>
    <col min="29" max="29" style="1727" width="15.57421875" customWidth="1"/>
  </cols>
  <sheetData>
    <row customHeight="1" ht="12">
      <c r="A1" s="1109" t="s">
        <v>2549</v>
      </c>
      <c r="B1" s="938" t="s">
        <v>2550</v>
      </c>
      <c r="D1" s="939" t="s">
        <v>2551</v>
      </c>
      <c r="E1" s="259"/>
      <c r="F1" s="259"/>
      <c r="G1" s="939" t="s">
        <v>2552</v>
      </c>
      <c r="H1" s="259"/>
      <c r="I1" s="259"/>
      <c r="J1" s="259"/>
      <c r="K1" s="939" t="s">
        <v>2553</v>
      </c>
      <c r="L1" s="200"/>
      <c r="M1" s="939" t="s">
        <v>2554</v>
      </c>
      <c r="N1" s="259"/>
      <c r="O1" s="200"/>
      <c r="P1" s="939" t="s">
        <v>2555</v>
      </c>
      <c r="Q1" s="939" t="s">
        <v>2556</v>
      </c>
      <c r="R1" s="939" t="s">
        <v>2557</v>
      </c>
      <c r="S1" s="939" t="s">
        <v>2558</v>
      </c>
      <c r="T1" s="939" t="s">
        <v>2559</v>
      </c>
      <c r="U1" s="939" t="s">
        <v>2560</v>
      </c>
      <c r="V1" s="940" t="s">
        <v>2561</v>
      </c>
      <c r="W1" s="940" t="s">
        <v>2562</v>
      </c>
      <c r="X1" s="940" t="s">
        <v>2563</v>
      </c>
      <c r="Y1" s="940" t="s">
        <v>2564</v>
      </c>
      <c r="Z1" s="940" t="s">
        <v>2565</v>
      </c>
      <c r="AA1" s="938"/>
      <c r="AB1" s="940" t="s">
        <v>2566</v>
      </c>
      <c r="AC1" s="940" t="s">
        <v>2567</v>
      </c>
    </row>
    <row customHeight="1" ht="12">
      <c r="A2" s="1109" t="s">
        <v>2568</v>
      </c>
      <c r="B2" s="938" t="s">
        <v>2569</v>
      </c>
      <c r="D2" s="941" t="s">
        <v>2570</v>
      </c>
      <c r="E2" s="262"/>
      <c r="F2" s="262"/>
      <c r="G2" s="941" t="s">
        <v>167</v>
      </c>
      <c r="H2" s="262"/>
      <c r="I2" s="262"/>
      <c r="J2" s="262"/>
      <c r="K2" s="942" t="s">
        <v>118</v>
      </c>
      <c r="L2" s="262"/>
      <c r="M2" s="943" t="s">
        <v>2571</v>
      </c>
      <c r="N2" s="262"/>
      <c r="O2" s="262"/>
      <c r="P2" s="941">
        <v>2025</v>
      </c>
      <c r="Q2" s="941">
        <v>2012</v>
      </c>
      <c r="R2" s="941" t="s">
        <v>2572</v>
      </c>
      <c r="S2" s="941">
        <v>3</v>
      </c>
      <c r="T2" s="944" t="s">
        <v>2573</v>
      </c>
      <c r="U2" s="944" t="s">
        <v>311</v>
      </c>
      <c r="V2" s="945" t="s">
        <v>2574</v>
      </c>
      <c r="W2" s="945" t="s">
        <v>2575</v>
      </c>
      <c r="X2" s="945" t="s">
        <v>2576</v>
      </c>
      <c r="Y2" s="945" t="s">
        <v>2577</v>
      </c>
      <c r="Z2" s="945" t="s">
        <v>2577</v>
      </c>
      <c r="AA2" s="938"/>
      <c r="AB2" s="946" t="s">
        <v>2578</v>
      </c>
      <c r="AC2" s="947" t="s">
        <v>2579</v>
      </c>
    </row>
    <row customHeight="1" ht="12">
      <c r="A3" s="1109" t="s">
        <v>2580</v>
      </c>
      <c r="B3" s="938" t="s">
        <v>2581</v>
      </c>
      <c r="D3" s="259"/>
      <c r="E3" s="262"/>
      <c r="F3" s="262"/>
      <c r="G3" s="941" t="s">
        <v>158</v>
      </c>
      <c r="H3" s="262"/>
      <c r="I3" s="262"/>
      <c r="J3" s="262"/>
      <c r="K3" s="942" t="s">
        <v>2582</v>
      </c>
      <c r="L3" s="262"/>
      <c r="M3" s="262"/>
      <c r="N3" s="262"/>
      <c r="O3" s="262"/>
      <c r="P3" s="941">
        <v>2026</v>
      </c>
      <c r="Q3" s="941">
        <v>2013</v>
      </c>
      <c r="R3" s="941" t="s">
        <v>2583</v>
      </c>
      <c r="S3" s="941">
        <v>4</v>
      </c>
      <c r="T3" s="944" t="s">
        <v>2584</v>
      </c>
      <c r="U3" s="944" t="s">
        <v>1092</v>
      </c>
      <c r="V3" s="945" t="s">
        <v>2585</v>
      </c>
      <c r="W3" s="945" t="s">
        <v>2586</v>
      </c>
      <c r="X3" s="945" t="s">
        <v>2587</v>
      </c>
      <c r="Y3" s="945" t="s">
        <v>2588</v>
      </c>
      <c r="Z3" s="945" t="s">
        <v>2589</v>
      </c>
      <c r="AA3" s="938"/>
      <c r="AB3" s="946" t="s">
        <v>2590</v>
      </c>
      <c r="AC3" s="947" t="s">
        <v>2579</v>
      </c>
    </row>
    <row customHeight="1" ht="12">
      <c r="A4" s="1109" t="s">
        <v>2591</v>
      </c>
      <c r="B4" s="938" t="s">
        <v>2592</v>
      </c>
      <c r="D4" s="259"/>
      <c r="E4" s="262"/>
      <c r="F4" s="262"/>
      <c r="G4" s="262"/>
      <c r="H4" s="262"/>
      <c r="I4" s="262"/>
      <c r="J4" s="262"/>
      <c r="K4" s="942" t="s">
        <v>2593</v>
      </c>
      <c r="L4" s="262"/>
      <c r="M4" s="939" t="s">
        <v>2594</v>
      </c>
      <c r="N4" s="262"/>
      <c r="O4" s="262"/>
      <c r="P4" s="262"/>
      <c r="Q4" s="941">
        <v>2014</v>
      </c>
      <c r="R4" s="941" t="s">
        <v>2595</v>
      </c>
      <c r="S4" s="941">
        <v>5</v>
      </c>
      <c r="T4" s="938"/>
      <c r="U4" s="938"/>
      <c r="V4" s="945" t="s">
        <v>2596</v>
      </c>
      <c r="W4" s="938"/>
      <c r="X4" s="945" t="s">
        <v>2597</v>
      </c>
      <c r="Y4" s="948" t="s">
        <v>2589</v>
      </c>
      <c r="Z4" s="945" t="s">
        <v>2598</v>
      </c>
      <c r="AA4" s="938"/>
      <c r="AB4" s="946" t="s">
        <v>2599</v>
      </c>
      <c r="AC4" s="947" t="s">
        <v>2579</v>
      </c>
    </row>
    <row customHeight="1" ht="12">
      <c r="A5" s="1109" t="s">
        <v>2600</v>
      </c>
      <c r="B5" s="938" t="s">
        <v>2601</v>
      </c>
      <c r="D5" s="939" t="s">
        <v>2602</v>
      </c>
      <c r="E5" s="262"/>
      <c r="F5" s="262"/>
      <c r="G5" s="939" t="s">
        <v>2603</v>
      </c>
      <c r="H5" s="262"/>
      <c r="I5" s="262"/>
      <c r="J5" s="262"/>
      <c r="K5" s="942" t="s">
        <v>2604</v>
      </c>
      <c r="L5" s="262"/>
      <c r="M5" s="943">
        <v>1.2</v>
      </c>
      <c r="N5" s="262"/>
      <c r="O5" s="262"/>
      <c r="P5" s="262"/>
      <c r="Q5" s="941">
        <v>2015</v>
      </c>
      <c r="R5" s="941" t="s">
        <v>2605</v>
      </c>
      <c r="S5" s="941">
        <v>6</v>
      </c>
      <c r="T5" s="938"/>
      <c r="U5" s="938"/>
      <c r="V5" s="940" t="s">
        <v>2606</v>
      </c>
      <c r="W5" s="940" t="s">
        <v>2607</v>
      </c>
      <c r="X5" s="945" t="s">
        <v>2608</v>
      </c>
      <c r="Y5" s="945" t="s">
        <v>2598</v>
      </c>
      <c r="Z5" s="945" t="s">
        <v>2609</v>
      </c>
      <c r="AA5" s="938"/>
      <c r="AB5" s="946" t="s">
        <v>2610</v>
      </c>
      <c r="AC5" s="947" t="s">
        <v>2579</v>
      </c>
    </row>
    <row customHeight="1" ht="12">
      <c r="A6" s="1109" t="s">
        <v>2611</v>
      </c>
      <c r="B6" s="938" t="s">
        <v>2612</v>
      </c>
      <c r="D6" s="941">
        <v>552</v>
      </c>
      <c r="E6" s="262"/>
      <c r="F6" s="262"/>
      <c r="G6" s="939" t="s">
        <v>2613</v>
      </c>
      <c r="H6" s="262"/>
      <c r="I6" s="262"/>
      <c r="J6" s="262"/>
      <c r="K6" s="262"/>
      <c r="L6" s="262"/>
      <c r="M6" s="262"/>
      <c r="N6" s="262"/>
      <c r="O6" s="262"/>
      <c r="P6" s="262"/>
      <c r="Q6" s="941">
        <v>2016</v>
      </c>
      <c r="R6" s="941" t="s">
        <v>2614</v>
      </c>
      <c r="S6" s="941">
        <v>7</v>
      </c>
      <c r="T6" s="938"/>
      <c r="U6" s="938"/>
      <c r="V6" s="945" t="s">
        <v>2615</v>
      </c>
      <c r="W6" s="949" t="s">
        <v>2616</v>
      </c>
      <c r="X6" s="945" t="s">
        <v>2617</v>
      </c>
      <c r="Y6" s="945" t="s">
        <v>2609</v>
      </c>
      <c r="Z6" s="945" t="s">
        <v>1121</v>
      </c>
      <c r="AA6" s="938"/>
      <c r="AB6" s="946" t="s">
        <v>2618</v>
      </c>
      <c r="AC6" s="947" t="s">
        <v>2579</v>
      </c>
    </row>
    <row customHeight="1" ht="12">
      <c r="A7" s="1109" t="s">
        <v>2619</v>
      </c>
      <c r="B7" s="938" t="s">
        <v>2620</v>
      </c>
      <c r="D7" s="259"/>
      <c r="E7" s="262"/>
      <c r="F7" s="262"/>
      <c r="G7" s="950" t="s">
        <v>2621</v>
      </c>
      <c r="H7" s="262"/>
      <c r="I7" s="262"/>
      <c r="J7" s="262"/>
      <c r="K7" s="939" t="s">
        <v>2622</v>
      </c>
      <c r="L7" s="262"/>
      <c r="M7" s="939" t="s">
        <v>2623</v>
      </c>
      <c r="N7" s="262"/>
      <c r="O7" s="262"/>
      <c r="P7" s="262"/>
      <c r="Q7" s="941">
        <v>2017</v>
      </c>
      <c r="R7" s="941" t="s">
        <v>2624</v>
      </c>
      <c r="S7" s="941">
        <v>8</v>
      </c>
      <c r="T7" s="938"/>
      <c r="U7" s="938"/>
      <c r="V7" s="945" t="s">
        <v>2625</v>
      </c>
      <c r="W7" s="938"/>
      <c r="X7" s="945" t="s">
        <v>2626</v>
      </c>
      <c r="Y7" s="945" t="s">
        <v>1121</v>
      </c>
      <c r="Z7" s="945" t="s">
        <v>2627</v>
      </c>
      <c r="AA7" s="938"/>
      <c r="AB7" s="946" t="s">
        <v>2628</v>
      </c>
      <c r="AC7" s="947" t="s">
        <v>2579</v>
      </c>
    </row>
    <row customHeight="1" ht="12">
      <c r="A8" s="1109" t="s">
        <v>2629</v>
      </c>
      <c r="B8" s="938" t="s">
        <v>2630</v>
      </c>
      <c r="D8" s="259"/>
      <c r="E8" s="262"/>
      <c r="F8" s="262"/>
      <c r="G8" s="950" t="s">
        <v>2631</v>
      </c>
      <c r="H8" s="262"/>
      <c r="I8" s="262"/>
      <c r="J8" s="262"/>
      <c r="K8" s="951" t="s">
        <v>165</v>
      </c>
      <c r="L8" s="262"/>
      <c r="M8" s="943">
        <v>2021</v>
      </c>
      <c r="N8" s="262"/>
      <c r="O8" s="262"/>
      <c r="P8" s="262"/>
      <c r="Q8" s="941">
        <v>2018</v>
      </c>
      <c r="R8" s="941" t="s">
        <v>2632</v>
      </c>
      <c r="S8" s="941">
        <v>9</v>
      </c>
      <c r="T8" s="938"/>
      <c r="U8" s="938"/>
      <c r="V8" s="945" t="s">
        <v>2633</v>
      </c>
      <c r="W8" s="938"/>
      <c r="X8" s="945" t="s">
        <v>2634</v>
      </c>
      <c r="Y8" s="945" t="s">
        <v>2627</v>
      </c>
      <c r="Z8" s="945" t="s">
        <v>2635</v>
      </c>
      <c r="AA8" s="938"/>
      <c r="AB8" s="946" t="s">
        <v>2636</v>
      </c>
      <c r="AC8" s="947" t="s">
        <v>2579</v>
      </c>
    </row>
    <row customHeight="1" ht="12">
      <c r="A9" s="1109" t="s">
        <v>2637</v>
      </c>
      <c r="B9" s="938" t="s">
        <v>2638</v>
      </c>
      <c r="D9" s="939" t="s">
        <v>2639</v>
      </c>
      <c r="E9" s="262"/>
      <c r="F9" s="262"/>
      <c r="G9" s="950" t="s">
        <v>2640</v>
      </c>
      <c r="H9" s="262"/>
      <c r="I9" s="262"/>
      <c r="J9" s="262"/>
      <c r="K9" s="951" t="s">
        <v>2641</v>
      </c>
      <c r="L9" s="262"/>
      <c r="M9" s="262"/>
      <c r="N9" s="262"/>
      <c r="O9" s="262"/>
      <c r="P9" s="262"/>
      <c r="Q9" s="941">
        <v>2019</v>
      </c>
      <c r="R9" s="941" t="s">
        <v>2642</v>
      </c>
      <c r="S9" s="941">
        <v>10</v>
      </c>
      <c r="T9" s="938"/>
      <c r="U9" s="938"/>
      <c r="V9" s="945" t="s">
        <v>2643</v>
      </c>
      <c r="W9" s="938"/>
      <c r="X9" s="945" t="s">
        <v>2644</v>
      </c>
      <c r="Y9" s="938"/>
      <c r="Z9" s="938"/>
      <c r="AA9" s="938"/>
      <c r="AB9" s="946" t="s">
        <v>2645</v>
      </c>
      <c r="AC9" s="947" t="s">
        <v>2579</v>
      </c>
    </row>
    <row customHeight="1" ht="12">
      <c r="A10" s="1109" t="s">
        <v>2646</v>
      </c>
      <c r="B10" s="938" t="s">
        <v>2647</v>
      </c>
      <c r="D10" s="941">
        <v>476113</v>
      </c>
      <c r="E10" s="262"/>
      <c r="F10" s="262"/>
      <c r="G10" s="952"/>
      <c r="H10" s="262"/>
      <c r="I10" s="262"/>
      <c r="J10" s="262"/>
      <c r="K10" s="262"/>
      <c r="L10" s="262"/>
      <c r="M10" s="939" t="s">
        <v>2648</v>
      </c>
      <c r="N10" s="262"/>
      <c r="O10" s="262"/>
      <c r="P10" s="262"/>
      <c r="Q10" s="941">
        <v>2020</v>
      </c>
      <c r="R10" s="941" t="s">
        <v>2649</v>
      </c>
      <c r="S10" s="941">
        <v>11</v>
      </c>
      <c r="T10" s="938"/>
      <c r="U10" s="938"/>
      <c r="V10" s="945" t="s">
        <v>2650</v>
      </c>
      <c r="W10" s="938"/>
      <c r="X10" s="945" t="s">
        <v>2651</v>
      </c>
      <c r="Y10" s="938"/>
      <c r="Z10" s="938"/>
      <c r="AA10" s="938"/>
      <c r="AB10" s="946" t="s">
        <v>2652</v>
      </c>
      <c r="AC10" s="947" t="s">
        <v>2579</v>
      </c>
    </row>
    <row customHeight="1" ht="12">
      <c r="A11" s="1109" t="s">
        <v>2653</v>
      </c>
      <c r="B11" s="938" t="s">
        <v>2654</v>
      </c>
      <c r="D11" s="259"/>
      <c r="E11" s="262"/>
      <c r="F11" s="262"/>
      <c r="G11" s="939" t="s">
        <v>2655</v>
      </c>
      <c r="H11" s="262"/>
      <c r="I11" s="262"/>
      <c r="J11" s="262"/>
      <c r="K11" s="939" t="s">
        <v>2656</v>
      </c>
      <c r="L11" s="262"/>
      <c r="M11" s="943" t="str">
        <f>"01.01."&amp;PERIOD</f>
        <v>01.01.2021</v>
      </c>
      <c r="N11" s="262"/>
      <c r="O11" s="262"/>
      <c r="P11" s="262"/>
      <c r="Q11" s="941">
        <v>2021</v>
      </c>
      <c r="R11" s="941" t="s">
        <v>2657</v>
      </c>
      <c r="S11" s="941">
        <v>12</v>
      </c>
      <c r="T11" s="938"/>
      <c r="U11" s="938"/>
      <c r="V11" s="945" t="s">
        <v>2658</v>
      </c>
      <c r="W11" s="938"/>
      <c r="X11" s="945" t="s">
        <v>2659</v>
      </c>
      <c r="Y11" s="938"/>
      <c r="Z11" s="938"/>
      <c r="AA11" s="938"/>
      <c r="AB11" s="946" t="s">
        <v>2660</v>
      </c>
      <c r="AC11" s="947" t="s">
        <v>2579</v>
      </c>
    </row>
    <row customHeight="1" ht="12">
      <c r="A12" s="1109" t="s">
        <v>2661</v>
      </c>
      <c r="B12" s="938" t="s">
        <v>2662</v>
      </c>
      <c r="D12" s="259"/>
      <c r="E12" s="262"/>
      <c r="F12" s="262"/>
      <c r="G12" s="939" t="s">
        <v>2663</v>
      </c>
      <c r="H12" s="262"/>
      <c r="I12" s="262"/>
      <c r="J12" s="262"/>
      <c r="K12" s="953" t="s">
        <v>309</v>
      </c>
      <c r="L12" s="262"/>
      <c r="M12" s="943" t="str">
        <f>"31.12."&amp;PERIOD</f>
        <v>31.12.2021</v>
      </c>
      <c r="N12" s="262"/>
      <c r="O12" s="262"/>
      <c r="P12" s="262"/>
      <c r="Q12" s="941">
        <v>2022</v>
      </c>
      <c r="R12" s="941" t="s">
        <v>2664</v>
      </c>
      <c r="S12" s="941">
        <v>13</v>
      </c>
      <c r="T12" s="938"/>
      <c r="U12" s="938"/>
      <c r="V12" s="938"/>
      <c r="W12" s="938"/>
      <c r="X12" s="945" t="s">
        <v>2665</v>
      </c>
      <c r="Y12" s="938"/>
      <c r="Z12" s="938"/>
      <c r="AA12" s="938"/>
      <c r="AB12" s="946" t="s">
        <v>2666</v>
      </c>
      <c r="AC12" s="947" t="s">
        <v>2579</v>
      </c>
    </row>
    <row customHeight="1" ht="12">
      <c r="A13" s="1109" t="s">
        <v>2667</v>
      </c>
      <c r="B13" s="938" t="s">
        <v>2668</v>
      </c>
      <c r="D13" s="259"/>
      <c r="E13" s="262"/>
      <c r="F13" s="262"/>
      <c r="G13" s="950" t="s">
        <v>2669</v>
      </c>
      <c r="H13" s="262"/>
      <c r="I13" s="262"/>
      <c r="J13" s="262"/>
      <c r="K13" s="953" t="s">
        <v>2670</v>
      </c>
      <c r="L13" s="262"/>
      <c r="M13" s="262"/>
      <c r="N13" s="262"/>
      <c r="O13" s="262"/>
      <c r="P13" s="262"/>
      <c r="Q13" s="941">
        <v>2023</v>
      </c>
      <c r="R13" s="941" t="s">
        <v>2671</v>
      </c>
      <c r="S13" s="941">
        <v>14</v>
      </c>
      <c r="T13" s="938"/>
      <c r="U13" s="938"/>
      <c r="V13" s="938"/>
      <c r="W13" s="938"/>
      <c r="X13" s="945" t="s">
        <v>2672</v>
      </c>
      <c r="Y13" s="938"/>
      <c r="Z13" s="938"/>
      <c r="AA13" s="938"/>
      <c r="AB13" s="946" t="s">
        <v>2673</v>
      </c>
      <c r="AC13" s="947" t="s">
        <v>2579</v>
      </c>
    </row>
    <row customHeight="1" ht="12">
      <c r="A14" s="1109" t="s">
        <v>2674</v>
      </c>
      <c r="B14" s="938" t="s">
        <v>2675</v>
      </c>
      <c r="D14" s="259"/>
      <c r="E14" s="262"/>
      <c r="F14" s="262"/>
      <c r="G14" s="950" t="s">
        <v>2676</v>
      </c>
      <c r="H14" s="262"/>
      <c r="I14" s="262"/>
      <c r="J14" s="262"/>
      <c r="K14" s="953" t="s">
        <v>2677</v>
      </c>
      <c r="L14" s="262"/>
      <c r="M14" s="939" t="s">
        <v>2678</v>
      </c>
      <c r="N14" s="262"/>
      <c r="O14" s="262"/>
      <c r="P14" s="262"/>
      <c r="Q14" s="941">
        <v>2024</v>
      </c>
      <c r="R14" s="262"/>
      <c r="S14" s="941">
        <v>15</v>
      </c>
      <c r="T14" s="938"/>
      <c r="U14" s="938"/>
      <c r="V14" s="938"/>
      <c r="W14" s="938"/>
      <c r="X14" s="945" t="s">
        <v>2679</v>
      </c>
      <c r="Y14" s="938"/>
      <c r="Z14" s="938"/>
      <c r="AA14" s="938"/>
      <c r="AB14" s="946" t="s">
        <v>2680</v>
      </c>
      <c r="AC14" s="947" t="s">
        <v>2579</v>
      </c>
    </row>
    <row customHeight="1" ht="12">
      <c r="A15" s="1109" t="s">
        <v>2681</v>
      </c>
      <c r="B15" s="938" t="s">
        <v>2682</v>
      </c>
      <c r="D15" s="259"/>
      <c r="E15" s="262"/>
      <c r="F15" s="262"/>
      <c r="G15" s="950" t="s">
        <v>2683</v>
      </c>
      <c r="H15" s="262"/>
      <c r="I15" s="262"/>
      <c r="J15" s="262"/>
      <c r="K15" s="953" t="s">
        <v>2684</v>
      </c>
      <c r="L15" s="262"/>
      <c r="M15" s="943" t="str">
        <f>"01.01."&amp;PERIOD</f>
        <v>01.01.2021</v>
      </c>
      <c r="N15" s="262"/>
      <c r="O15" s="262"/>
      <c r="P15" s="262"/>
      <c r="Q15" s="941">
        <v>2025</v>
      </c>
      <c r="R15" s="262"/>
      <c r="S15" s="941">
        <v>16</v>
      </c>
      <c r="T15" s="938"/>
      <c r="U15" s="938"/>
      <c r="V15" s="938"/>
      <c r="W15" s="938"/>
      <c r="X15" s="938"/>
      <c r="Y15" s="938"/>
      <c r="Z15" s="938"/>
      <c r="AA15" s="938"/>
      <c r="AB15" s="946" t="s">
        <v>2685</v>
      </c>
      <c r="AC15" s="947" t="s">
        <v>2579</v>
      </c>
    </row>
    <row customHeight="1" ht="12">
      <c r="A16" s="1109" t="s">
        <v>2686</v>
      </c>
      <c r="B16" s="938" t="s">
        <v>2687</v>
      </c>
      <c r="D16" s="259"/>
      <c r="E16" s="262"/>
      <c r="F16" s="262"/>
      <c r="G16" s="950" t="s">
        <v>162</v>
      </c>
      <c r="H16" s="262"/>
      <c r="I16" s="262"/>
      <c r="J16" s="262"/>
      <c r="K16" s="953" t="s">
        <v>2688</v>
      </c>
      <c r="L16" s="262"/>
      <c r="M16" s="943" t="str">
        <f>"31.12."&amp;PERIOD</f>
        <v>31.12.2021</v>
      </c>
      <c r="N16" s="262"/>
      <c r="O16" s="262"/>
      <c r="P16" s="262"/>
      <c r="Q16" s="941">
        <v>2026</v>
      </c>
      <c r="R16" s="262"/>
      <c r="S16" s="941">
        <v>17</v>
      </c>
      <c r="T16" s="938"/>
      <c r="U16" s="938"/>
      <c r="V16" s="938"/>
      <c r="W16" s="938"/>
      <c r="X16" s="940" t="s">
        <v>2689</v>
      </c>
      <c r="Y16" s="938"/>
      <c r="Z16" s="938"/>
      <c r="AA16" s="938"/>
      <c r="AB16" s="946" t="s">
        <v>2690</v>
      </c>
      <c r="AC16" s="947" t="s">
        <v>2579</v>
      </c>
    </row>
    <row customHeight="1" ht="12">
      <c r="A17" s="1109" t="s">
        <v>2691</v>
      </c>
      <c r="B17" s="938" t="s">
        <v>2692</v>
      </c>
      <c r="D17" s="259"/>
      <c r="E17" s="262"/>
      <c r="F17" s="262"/>
      <c r="G17" s="262"/>
      <c r="H17" s="262"/>
      <c r="I17" s="262"/>
      <c r="J17" s="262"/>
      <c r="K17" s="262"/>
      <c r="L17" s="262"/>
      <c r="M17" s="582"/>
      <c r="N17" s="262"/>
      <c r="O17" s="262"/>
      <c r="P17" s="262"/>
      <c r="Q17" s="941">
        <v>2027</v>
      </c>
      <c r="R17" s="262"/>
      <c r="S17" s="941">
        <v>18</v>
      </c>
      <c r="T17" s="938"/>
      <c r="U17" s="938"/>
      <c r="V17" s="938"/>
      <c r="W17" s="938"/>
      <c r="X17" s="945" t="s">
        <v>2693</v>
      </c>
      <c r="Y17" s="938"/>
      <c r="Z17" s="938"/>
      <c r="AA17" s="938"/>
      <c r="AB17" s="947" t="s">
        <v>2694</v>
      </c>
      <c r="AC17" s="947" t="s">
        <v>2579</v>
      </c>
    </row>
    <row customHeight="1" ht="12">
      <c r="A18" s="1109" t="s">
        <v>2695</v>
      </c>
      <c r="B18" s="938" t="s">
        <v>2696</v>
      </c>
      <c r="D18" s="259"/>
      <c r="E18" s="262"/>
      <c r="F18" s="262"/>
      <c r="G18" s="262"/>
      <c r="H18" s="262"/>
      <c r="I18" s="262"/>
      <c r="J18" s="262"/>
      <c r="K18" s="939" t="s">
        <v>2697</v>
      </c>
      <c r="L18" s="262"/>
      <c r="M18" s="939" t="s">
        <v>2698</v>
      </c>
      <c r="N18" s="262"/>
      <c r="O18" s="262"/>
      <c r="P18" s="262"/>
      <c r="Q18" s="941">
        <v>2028</v>
      </c>
      <c r="R18" s="262"/>
      <c r="S18" s="941">
        <v>19</v>
      </c>
      <c r="T18" s="938"/>
      <c r="U18" s="938"/>
      <c r="V18" s="938"/>
      <c r="W18" s="938"/>
      <c r="X18" s="945" t="s">
        <v>2699</v>
      </c>
      <c r="Y18" s="938"/>
      <c r="Z18" s="938"/>
      <c r="AA18" s="938"/>
      <c r="AB18" s="947" t="s">
        <v>2700</v>
      </c>
      <c r="AC18" s="947" t="s">
        <v>2579</v>
      </c>
    </row>
    <row customHeight="1" ht="12">
      <c r="A19" s="1109" t="s">
        <v>2701</v>
      </c>
      <c r="B19" s="938" t="s">
        <v>2702</v>
      </c>
      <c r="D19" s="259"/>
      <c r="E19" s="262"/>
      <c r="F19" s="262"/>
      <c r="G19" s="262"/>
      <c r="H19" s="262"/>
      <c r="I19" s="262"/>
      <c r="J19" s="262"/>
      <c r="K19" s="951" t="s">
        <v>310</v>
      </c>
      <c r="L19" s="262"/>
      <c r="M19" s="943" t="str">
        <f>"01.01."&amp;PERIOD</f>
        <v>01.01.2021</v>
      </c>
      <c r="N19" s="262"/>
      <c r="O19" s="262"/>
      <c r="P19" s="262"/>
      <c r="Q19" s="941">
        <v>2029</v>
      </c>
      <c r="R19" s="262"/>
      <c r="S19" s="941">
        <v>20</v>
      </c>
      <c r="T19" s="938"/>
      <c r="U19" s="938"/>
      <c r="V19" s="938"/>
      <c r="W19" s="938"/>
      <c r="X19" s="945" t="s">
        <v>2703</v>
      </c>
      <c r="Y19" s="938"/>
      <c r="Z19" s="938"/>
      <c r="AA19" s="938"/>
      <c r="AB19" s="947" t="s">
        <v>2704</v>
      </c>
      <c r="AC19" s="947" t="s">
        <v>2579</v>
      </c>
    </row>
    <row customHeight="1" ht="12">
      <c r="A20" s="1109" t="s">
        <v>2705</v>
      </c>
      <c r="B20" s="938" t="s">
        <v>2706</v>
      </c>
      <c r="D20" s="259"/>
      <c r="E20" s="262"/>
      <c r="F20" s="262"/>
      <c r="G20" s="262"/>
      <c r="H20" s="262"/>
      <c r="I20" s="262"/>
      <c r="J20" s="262"/>
      <c r="K20" s="951" t="s">
        <v>2707</v>
      </c>
      <c r="L20" s="262"/>
      <c r="M20" s="943" t="str">
        <f>"31.12."&amp;PERIOD</f>
        <v>31.12.2021</v>
      </c>
      <c r="N20" s="262"/>
      <c r="O20" s="262"/>
      <c r="P20" s="262"/>
      <c r="Q20" s="941">
        <v>2030</v>
      </c>
      <c r="R20" s="262"/>
      <c r="S20" s="941">
        <v>21</v>
      </c>
      <c r="T20" s="938"/>
      <c r="U20" s="938"/>
      <c r="V20" s="938"/>
      <c r="W20" s="938"/>
      <c r="X20" s="945" t="s">
        <v>260</v>
      </c>
      <c r="Y20" s="938"/>
      <c r="Z20" s="938"/>
      <c r="AA20" s="938"/>
      <c r="AB20" s="947" t="s">
        <v>2708</v>
      </c>
      <c r="AC20" s="947" t="s">
        <v>2579</v>
      </c>
    </row>
    <row customHeight="1" ht="12">
      <c r="A21" s="1109" t="s">
        <v>2709</v>
      </c>
      <c r="B21" s="938" t="s">
        <v>2710</v>
      </c>
      <c r="D21" s="259"/>
      <c r="E21" s="262"/>
      <c r="F21" s="262"/>
      <c r="G21" s="262"/>
      <c r="H21" s="262"/>
      <c r="I21" s="262"/>
      <c r="J21" s="262"/>
      <c r="K21" s="951" t="s">
        <v>2711</v>
      </c>
      <c r="L21" s="262"/>
      <c r="M21" s="262"/>
      <c r="N21" s="262"/>
      <c r="O21" s="262"/>
      <c r="P21" s="262"/>
      <c r="Q21" s="262"/>
      <c r="R21" s="262"/>
      <c r="S21" s="941">
        <v>22</v>
      </c>
      <c r="T21" s="938"/>
      <c r="U21" s="938"/>
      <c r="V21" s="938"/>
      <c r="W21" s="938"/>
      <c r="X21" s="945" t="s">
        <v>2712</v>
      </c>
      <c r="Y21" s="938"/>
      <c r="Z21" s="938"/>
      <c r="AA21" s="938"/>
      <c r="AB21" s="947" t="s">
        <v>2713</v>
      </c>
      <c r="AC21" s="947" t="s">
        <v>2714</v>
      </c>
    </row>
    <row customHeight="1" ht="12">
      <c r="A22" s="1109" t="s">
        <v>2715</v>
      </c>
      <c r="B22" s="938" t="s">
        <v>2716</v>
      </c>
      <c r="D22" s="259"/>
      <c r="E22" s="262"/>
      <c r="F22" s="262"/>
      <c r="G22" s="262"/>
      <c r="H22" s="262"/>
      <c r="I22" s="262"/>
      <c r="J22" s="262"/>
      <c r="K22" s="262"/>
      <c r="L22" s="262"/>
      <c r="M22" s="262"/>
      <c r="N22" s="262"/>
      <c r="O22" s="262"/>
      <c r="P22" s="262"/>
      <c r="Q22" s="262"/>
      <c r="R22" s="262"/>
      <c r="S22" s="941">
        <v>23</v>
      </c>
      <c r="T22" s="938"/>
      <c r="U22" s="938"/>
      <c r="V22" s="938"/>
      <c r="W22" s="938"/>
      <c r="X22" s="945" t="s">
        <v>2717</v>
      </c>
      <c r="Y22" s="938"/>
      <c r="Z22" s="938"/>
      <c r="AA22" s="938"/>
      <c r="AB22" s="947" t="s">
        <v>2718</v>
      </c>
      <c r="AC22" s="947" t="s">
        <v>2714</v>
      </c>
    </row>
    <row customHeight="1" ht="12">
      <c r="A23" s="1109" t="s">
        <v>2719</v>
      </c>
      <c r="B23" s="938" t="s">
        <v>2720</v>
      </c>
      <c r="D23" s="259"/>
      <c r="E23" s="262"/>
      <c r="F23" s="262"/>
      <c r="G23" s="262"/>
      <c r="H23" s="262"/>
      <c r="I23" s="262"/>
      <c r="J23" s="262"/>
      <c r="K23" s="939" t="s">
        <v>2721</v>
      </c>
      <c r="L23" s="262"/>
      <c r="M23" s="262"/>
      <c r="N23" s="262"/>
      <c r="O23" s="262"/>
      <c r="P23" s="262"/>
      <c r="Q23" s="262"/>
      <c r="R23" s="262"/>
      <c r="S23" s="941">
        <v>24</v>
      </c>
      <c r="T23" s="938"/>
      <c r="U23" s="938"/>
      <c r="V23" s="938"/>
      <c r="W23" s="938"/>
      <c r="X23" s="945" t="s">
        <v>2722</v>
      </c>
      <c r="Y23" s="938"/>
      <c r="Z23" s="938"/>
      <c r="AA23" s="938"/>
      <c r="AB23" s="946" t="s">
        <v>2723</v>
      </c>
      <c r="AC23" s="947" t="s">
        <v>2714</v>
      </c>
    </row>
    <row customHeight="1" ht="12">
      <c r="A24" s="1109" t="s">
        <v>2724</v>
      </c>
      <c r="B24" s="938" t="s">
        <v>2725</v>
      </c>
      <c r="D24" s="259"/>
      <c r="E24" s="262"/>
      <c r="F24" s="262"/>
      <c r="G24" s="262"/>
      <c r="H24" s="262"/>
      <c r="I24" s="262"/>
      <c r="J24" s="262"/>
      <c r="K24" s="942" t="s">
        <v>2726</v>
      </c>
      <c r="L24" s="262"/>
      <c r="M24" s="262"/>
      <c r="N24" s="262"/>
      <c r="O24" s="262"/>
      <c r="P24" s="262"/>
      <c r="Q24" s="262"/>
      <c r="R24" s="262"/>
      <c r="S24" s="941">
        <v>25</v>
      </c>
      <c r="T24" s="938"/>
      <c r="U24" s="938"/>
      <c r="V24" s="938"/>
      <c r="W24" s="938"/>
      <c r="X24" s="945" t="s">
        <v>2727</v>
      </c>
      <c r="Y24" s="938"/>
      <c r="Z24" s="938"/>
      <c r="AA24" s="938"/>
      <c r="AB24" s="946" t="s">
        <v>2728</v>
      </c>
      <c r="AC24" s="947" t="s">
        <v>2714</v>
      </c>
    </row>
    <row customHeight="1" ht="12">
      <c r="A25" s="1109" t="s">
        <v>2729</v>
      </c>
      <c r="B25" s="938" t="s">
        <v>2730</v>
      </c>
      <c r="D25" s="259"/>
      <c r="E25" s="262"/>
      <c r="F25" s="262"/>
      <c r="G25" s="262"/>
      <c r="H25" s="262"/>
      <c r="I25" s="262"/>
      <c r="J25" s="262"/>
      <c r="K25" s="942" t="s">
        <v>2731</v>
      </c>
      <c r="L25" s="262"/>
      <c r="M25" s="262"/>
      <c r="N25" s="262"/>
      <c r="O25" s="262"/>
      <c r="P25" s="262"/>
      <c r="Q25" s="262"/>
      <c r="R25" s="262"/>
      <c r="S25" s="941">
        <v>26</v>
      </c>
      <c r="T25" s="938"/>
      <c r="U25" s="938"/>
      <c r="V25" s="938"/>
      <c r="W25" s="938"/>
      <c r="X25" s="945" t="s">
        <v>2732</v>
      </c>
      <c r="Y25" s="938"/>
      <c r="Z25" s="938"/>
      <c r="AA25" s="938"/>
      <c r="AB25" s="946" t="s">
        <v>2733</v>
      </c>
      <c r="AC25" s="947" t="s">
        <v>2714</v>
      </c>
    </row>
    <row customHeight="1" ht="12">
      <c r="A26" s="1109" t="s">
        <v>116</v>
      </c>
      <c r="B26" s="938" t="s">
        <v>2734</v>
      </c>
      <c r="D26" s="259"/>
      <c r="E26" s="262"/>
      <c r="F26" s="262"/>
      <c r="G26" s="262"/>
      <c r="H26" s="262"/>
      <c r="I26" s="262"/>
      <c r="J26" s="262"/>
      <c r="K26" s="942" t="s">
        <v>312</v>
      </c>
      <c r="L26" s="262"/>
      <c r="M26" s="262"/>
      <c r="N26" s="262"/>
      <c r="O26" s="262"/>
      <c r="P26" s="262"/>
      <c r="Q26" s="262"/>
      <c r="R26" s="262"/>
      <c r="S26" s="941">
        <v>27</v>
      </c>
      <c r="T26" s="938"/>
      <c r="U26" s="938"/>
      <c r="V26" s="938"/>
      <c r="W26" s="938"/>
      <c r="X26" s="945" t="s">
        <v>2735</v>
      </c>
      <c r="Y26" s="938"/>
      <c r="Z26" s="938"/>
      <c r="AA26" s="938"/>
      <c r="AB26" s="946" t="s">
        <v>2736</v>
      </c>
      <c r="AC26" s="947" t="s">
        <v>2714</v>
      </c>
    </row>
    <row customHeight="1" ht="12">
      <c r="A27" s="1109" t="s">
        <v>2737</v>
      </c>
      <c r="B27" s="938" t="s">
        <v>2738</v>
      </c>
      <c r="D27" s="259"/>
      <c r="E27" s="262"/>
      <c r="F27" s="262"/>
      <c r="G27" s="262"/>
      <c r="H27" s="262"/>
      <c r="I27" s="262"/>
      <c r="J27" s="262"/>
      <c r="K27" s="942" t="s">
        <v>2739</v>
      </c>
      <c r="L27" s="262"/>
      <c r="M27" s="262"/>
      <c r="N27" s="262"/>
      <c r="O27" s="262"/>
      <c r="P27" s="262"/>
      <c r="Q27" s="262"/>
      <c r="R27" s="262"/>
      <c r="S27" s="941">
        <v>28</v>
      </c>
      <c r="T27" s="938"/>
      <c r="U27" s="938"/>
      <c r="V27" s="938"/>
      <c r="W27" s="938"/>
      <c r="X27" s="945" t="s">
        <v>2740</v>
      </c>
      <c r="Y27" s="938"/>
      <c r="Z27" s="938"/>
      <c r="AA27" s="938"/>
      <c r="AB27" s="946" t="s">
        <v>2741</v>
      </c>
      <c r="AC27" s="947" t="s">
        <v>2714</v>
      </c>
    </row>
    <row customHeight="1" ht="12">
      <c r="A28" s="1109" t="s">
        <v>2742</v>
      </c>
      <c r="B28" s="938" t="s">
        <v>2743</v>
      </c>
      <c r="D28" s="259"/>
      <c r="E28" s="262"/>
      <c r="F28" s="262"/>
      <c r="G28" s="262"/>
      <c r="H28" s="262"/>
      <c r="I28" s="262"/>
      <c r="J28" s="262"/>
      <c r="K28" s="942" t="s">
        <v>2744</v>
      </c>
      <c r="L28" s="262"/>
      <c r="M28" s="262"/>
      <c r="N28" s="262"/>
      <c r="O28" s="262"/>
      <c r="P28" s="262"/>
      <c r="Q28" s="262"/>
      <c r="R28" s="262"/>
      <c r="S28" s="941">
        <v>29</v>
      </c>
      <c r="T28" s="938"/>
      <c r="U28" s="938"/>
      <c r="V28" s="938"/>
      <c r="W28" s="938"/>
      <c r="X28" s="945" t="s">
        <v>2745</v>
      </c>
      <c r="Y28" s="938"/>
      <c r="Z28" s="938"/>
      <c r="AA28" s="938"/>
      <c r="AB28" s="946" t="s">
        <v>2746</v>
      </c>
      <c r="AC28" s="947" t="s">
        <v>2714</v>
      </c>
    </row>
    <row customHeight="1" ht="12">
      <c r="A29" s="1109" t="s">
        <v>2747</v>
      </c>
      <c r="B29" s="938" t="s">
        <v>2748</v>
      </c>
      <c r="D29" s="259"/>
      <c r="E29" s="262"/>
      <c r="F29" s="262"/>
      <c r="G29" s="262"/>
      <c r="H29" s="262"/>
      <c r="I29" s="262"/>
      <c r="J29" s="262"/>
      <c r="K29" s="262"/>
      <c r="L29" s="262"/>
      <c r="M29" s="262"/>
      <c r="N29" s="262"/>
      <c r="O29" s="262"/>
      <c r="P29" s="262"/>
      <c r="Q29" s="262"/>
      <c r="R29" s="262"/>
      <c r="S29" s="941">
        <v>30</v>
      </c>
      <c r="T29" s="938"/>
      <c r="U29" s="938"/>
      <c r="V29" s="938"/>
      <c r="W29" s="938"/>
      <c r="X29" s="945" t="s">
        <v>2749</v>
      </c>
      <c r="Y29" s="938"/>
      <c r="Z29" s="938"/>
      <c r="AA29" s="938"/>
      <c r="AB29" s="946" t="s">
        <v>2750</v>
      </c>
      <c r="AC29" s="947" t="s">
        <v>2714</v>
      </c>
    </row>
    <row customHeight="1" ht="12">
      <c r="A30" s="1109" t="s">
        <v>2751</v>
      </c>
      <c r="B30" s="938" t="s">
        <v>2752</v>
      </c>
      <c r="D30" s="259"/>
      <c r="E30" s="262"/>
      <c r="F30" s="262"/>
      <c r="G30" s="262"/>
      <c r="H30" s="262"/>
      <c r="I30" s="262"/>
      <c r="J30" s="262"/>
      <c r="K30" s="939" t="s">
        <v>2753</v>
      </c>
      <c r="L30" s="262"/>
      <c r="M30" s="262"/>
      <c r="N30" s="262"/>
      <c r="O30" s="262"/>
      <c r="P30" s="262"/>
      <c r="Q30" s="262"/>
      <c r="R30" s="262"/>
      <c r="S30" s="941">
        <v>31</v>
      </c>
      <c r="T30" s="938"/>
      <c r="U30" s="938"/>
      <c r="V30" s="938"/>
      <c r="W30" s="938"/>
      <c r="X30" s="945" t="s">
        <v>2754</v>
      </c>
      <c r="Y30" s="938"/>
      <c r="Z30" s="938"/>
      <c r="AA30" s="938"/>
      <c r="AB30" s="946" t="s">
        <v>2755</v>
      </c>
      <c r="AC30" s="947" t="s">
        <v>2714</v>
      </c>
    </row>
    <row customHeight="1" ht="12">
      <c r="A31" s="1109" t="s">
        <v>2756</v>
      </c>
      <c r="B31" s="938" t="s">
        <v>2757</v>
      </c>
      <c r="D31" s="259"/>
      <c r="E31" s="262"/>
      <c r="F31" s="262"/>
      <c r="G31" s="262"/>
      <c r="H31" s="262"/>
      <c r="I31" s="262"/>
      <c r="J31" s="262"/>
      <c r="K31" s="942" t="s">
        <v>2758</v>
      </c>
      <c r="L31" s="262"/>
      <c r="M31" s="262"/>
      <c r="N31" s="262"/>
      <c r="O31" s="262"/>
      <c r="P31" s="262"/>
      <c r="Q31" s="262"/>
      <c r="R31" s="262"/>
      <c r="S31" s="941">
        <v>32</v>
      </c>
      <c r="T31" s="938"/>
      <c r="U31" s="938"/>
      <c r="V31" s="938"/>
      <c r="W31" s="938"/>
      <c r="X31" s="945" t="s">
        <v>2759</v>
      </c>
      <c r="Y31" s="938"/>
      <c r="Z31" s="938"/>
      <c r="AA31" s="938"/>
      <c r="AB31" s="946" t="s">
        <v>2760</v>
      </c>
      <c r="AC31" s="947" t="s">
        <v>2714</v>
      </c>
    </row>
    <row customHeight="1" ht="12">
      <c r="A32" s="1109" t="s">
        <v>2761</v>
      </c>
      <c r="B32" s="938" t="s">
        <v>2762</v>
      </c>
      <c r="D32" s="259"/>
      <c r="E32" s="262"/>
      <c r="F32" s="262"/>
      <c r="G32" s="262"/>
      <c r="H32" s="262"/>
      <c r="I32" s="262"/>
      <c r="J32" s="262"/>
      <c r="K32" s="942" t="s">
        <v>2763</v>
      </c>
      <c r="L32" s="262"/>
      <c r="M32" s="262"/>
      <c r="N32" s="262"/>
      <c r="O32" s="262"/>
      <c r="P32" s="262"/>
      <c r="Q32" s="262"/>
      <c r="R32" s="262"/>
      <c r="S32" s="941">
        <v>33</v>
      </c>
      <c r="T32" s="938"/>
      <c r="U32" s="938"/>
      <c r="V32" s="938"/>
      <c r="W32" s="938"/>
      <c r="X32" s="945" t="s">
        <v>2764</v>
      </c>
      <c r="Y32" s="938"/>
      <c r="Z32" s="938"/>
      <c r="AA32" s="938"/>
      <c r="AB32" s="946" t="s">
        <v>2765</v>
      </c>
      <c r="AC32" s="947" t="s">
        <v>2714</v>
      </c>
    </row>
    <row customHeight="1" ht="12">
      <c r="A33" s="1109" t="s">
        <v>2766</v>
      </c>
      <c r="B33" s="938" t="s">
        <v>2767</v>
      </c>
      <c r="D33" s="259"/>
      <c r="E33" s="262"/>
      <c r="F33" s="262"/>
      <c r="G33" s="262"/>
      <c r="H33" s="262"/>
      <c r="I33" s="262"/>
      <c r="J33" s="262"/>
      <c r="K33" s="942" t="s">
        <v>2768</v>
      </c>
      <c r="L33" s="262"/>
      <c r="M33" s="262"/>
      <c r="N33" s="262"/>
      <c r="O33" s="262"/>
      <c r="P33" s="262"/>
      <c r="Q33" s="262"/>
      <c r="R33" s="262"/>
      <c r="S33" s="941">
        <v>34</v>
      </c>
      <c r="T33" s="938"/>
      <c r="U33" s="938"/>
      <c r="V33" s="938"/>
      <c r="W33" s="938"/>
      <c r="X33" s="945" t="s">
        <v>2769</v>
      </c>
      <c r="Y33" s="938"/>
      <c r="Z33" s="938"/>
      <c r="AA33" s="938"/>
      <c r="AB33" s="947" t="s">
        <v>2770</v>
      </c>
      <c r="AC33" s="947" t="s">
        <v>2714</v>
      </c>
    </row>
    <row customHeight="1" ht="12">
      <c r="A34" s="1109" t="s">
        <v>2771</v>
      </c>
      <c r="B34" s="938" t="s">
        <v>2772</v>
      </c>
      <c r="D34" s="259"/>
      <c r="E34" s="262"/>
      <c r="F34" s="262"/>
      <c r="G34" s="262"/>
      <c r="H34" s="262"/>
      <c r="I34" s="262"/>
      <c r="J34" s="262"/>
      <c r="K34" s="262"/>
      <c r="L34" s="262"/>
      <c r="M34" s="262"/>
      <c r="N34" s="262"/>
      <c r="O34" s="262"/>
      <c r="P34" s="262"/>
      <c r="Q34" s="262"/>
      <c r="R34" s="262"/>
      <c r="S34" s="941">
        <v>35</v>
      </c>
      <c r="T34" s="938"/>
      <c r="U34" s="938"/>
      <c r="V34" s="938"/>
      <c r="W34" s="938"/>
      <c r="X34" s="945" t="s">
        <v>2773</v>
      </c>
      <c r="Y34" s="938"/>
      <c r="Z34" s="938"/>
      <c r="AA34" s="938"/>
      <c r="AB34" s="947" t="s">
        <v>2774</v>
      </c>
      <c r="AC34" s="947" t="s">
        <v>2714</v>
      </c>
    </row>
    <row customHeight="1" ht="12">
      <c r="A35" s="1109" t="s">
        <v>2775</v>
      </c>
      <c r="B35" s="938" t="s">
        <v>2776</v>
      </c>
      <c r="D35" s="259"/>
      <c r="E35" s="262"/>
      <c r="F35" s="262"/>
      <c r="G35" s="262"/>
      <c r="H35" s="262"/>
      <c r="I35" s="262"/>
      <c r="J35" s="262"/>
      <c r="K35" s="262"/>
      <c r="L35" s="262"/>
      <c r="M35" s="262"/>
      <c r="N35" s="262"/>
      <c r="O35" s="262"/>
      <c r="P35" s="262"/>
      <c r="Q35" s="262"/>
      <c r="R35" s="262"/>
      <c r="S35" s="941">
        <v>36</v>
      </c>
      <c r="T35" s="938"/>
      <c r="U35" s="938"/>
      <c r="V35" s="938"/>
      <c r="W35" s="938"/>
      <c r="X35" s="945" t="s">
        <v>2777</v>
      </c>
      <c r="Y35" s="938"/>
      <c r="Z35" s="938"/>
      <c r="AA35" s="938"/>
      <c r="AB35" s="947" t="s">
        <v>2778</v>
      </c>
      <c r="AC35" s="947" t="s">
        <v>2714</v>
      </c>
    </row>
    <row customHeight="1" ht="12">
      <c r="A36" s="1109" t="s">
        <v>2779</v>
      </c>
      <c r="B36" s="938" t="s">
        <v>2780</v>
      </c>
      <c r="D36" s="259"/>
      <c r="E36" s="262"/>
      <c r="F36" s="262"/>
      <c r="G36" s="262"/>
      <c r="H36" s="262"/>
      <c r="I36" s="262"/>
      <c r="J36" s="262"/>
      <c r="K36" s="262"/>
      <c r="L36" s="262"/>
      <c r="M36" s="262"/>
      <c r="N36" s="262"/>
      <c r="O36" s="262"/>
      <c r="P36" s="262"/>
      <c r="Q36" s="262"/>
      <c r="R36" s="262"/>
      <c r="S36" s="941">
        <v>37</v>
      </c>
      <c r="T36" s="938"/>
      <c r="U36" s="938"/>
      <c r="V36" s="938"/>
      <c r="W36" s="938"/>
      <c r="X36" s="945" t="s">
        <v>2781</v>
      </c>
      <c r="Y36" s="938"/>
      <c r="Z36" s="938"/>
      <c r="AA36" s="938"/>
      <c r="AB36" s="947" t="s">
        <v>2782</v>
      </c>
      <c r="AC36" s="947" t="s">
        <v>2714</v>
      </c>
    </row>
    <row customHeight="1" ht="12">
      <c r="A37" s="1109" t="s">
        <v>2783</v>
      </c>
      <c r="B37" s="938" t="s">
        <v>2784</v>
      </c>
      <c r="D37" s="259"/>
      <c r="E37" s="262"/>
      <c r="F37" s="262"/>
      <c r="G37" s="262"/>
      <c r="H37" s="262"/>
      <c r="I37" s="262"/>
      <c r="J37" s="262"/>
      <c r="K37" s="262"/>
      <c r="L37" s="262"/>
      <c r="M37" s="262"/>
      <c r="N37" s="262"/>
      <c r="O37" s="262"/>
      <c r="P37" s="262"/>
      <c r="Q37" s="262"/>
      <c r="R37" s="262"/>
      <c r="S37" s="941">
        <v>38</v>
      </c>
      <c r="T37" s="938"/>
      <c r="U37" s="938"/>
      <c r="V37" s="938"/>
      <c r="W37" s="938"/>
      <c r="X37" s="938"/>
      <c r="Y37" s="938"/>
      <c r="Z37" s="938"/>
      <c r="AA37" s="938"/>
      <c r="AB37" s="947" t="s">
        <v>1010</v>
      </c>
      <c r="AC37" s="947" t="s">
        <v>2714</v>
      </c>
    </row>
    <row customHeight="1" ht="12">
      <c r="A38" s="1109" t="s">
        <v>2785</v>
      </c>
      <c r="B38" s="938" t="s">
        <v>2786</v>
      </c>
      <c r="D38" s="259"/>
      <c r="E38" s="262"/>
      <c r="F38" s="262"/>
      <c r="G38" s="262"/>
      <c r="H38" s="262"/>
      <c r="I38" s="262"/>
      <c r="J38" s="262"/>
      <c r="K38" s="939" t="s">
        <v>2787</v>
      </c>
      <c r="L38" s="262"/>
      <c r="M38" s="262"/>
      <c r="N38" s="262"/>
      <c r="O38" s="262"/>
      <c r="P38" s="262"/>
      <c r="Q38" s="262"/>
      <c r="R38" s="262"/>
      <c r="S38" s="941">
        <v>39</v>
      </c>
      <c r="T38" s="938"/>
      <c r="U38" s="938"/>
      <c r="V38" s="938"/>
      <c r="W38" s="938"/>
      <c r="X38" s="938"/>
      <c r="Y38" s="938"/>
      <c r="Z38" s="938"/>
      <c r="AA38" s="938"/>
      <c r="AB38" s="947" t="s">
        <v>2788</v>
      </c>
      <c r="AC38" s="947" t="s">
        <v>2714</v>
      </c>
    </row>
    <row customHeight="1" ht="12">
      <c r="A39" s="1109" t="s">
        <v>2789</v>
      </c>
      <c r="B39" s="938" t="s">
        <v>2790</v>
      </c>
      <c r="D39" s="259"/>
      <c r="E39" s="262"/>
      <c r="F39" s="262"/>
      <c r="G39" s="262"/>
      <c r="H39" s="262"/>
      <c r="I39" s="262"/>
      <c r="J39" s="262"/>
      <c r="K39" s="950" t="s">
        <v>2791</v>
      </c>
      <c r="L39" s="262"/>
      <c r="M39" s="262"/>
      <c r="N39" s="262"/>
      <c r="O39" s="262"/>
      <c r="P39" s="262"/>
      <c r="Q39" s="262"/>
      <c r="R39" s="262"/>
      <c r="S39" s="941">
        <v>40</v>
      </c>
      <c r="T39" s="938"/>
      <c r="U39" s="938"/>
      <c r="V39" s="938"/>
      <c r="W39" s="938"/>
      <c r="X39" s="938"/>
      <c r="Y39" s="938"/>
      <c r="Z39" s="938"/>
      <c r="AA39" s="938"/>
      <c r="AB39" s="947" t="s">
        <v>2792</v>
      </c>
      <c r="AC39" s="947" t="s">
        <v>2714</v>
      </c>
    </row>
    <row customHeight="1" ht="12">
      <c r="A40" s="1109" t="s">
        <v>2793</v>
      </c>
      <c r="B40" s="938" t="s">
        <v>2794</v>
      </c>
      <c r="D40" s="259"/>
      <c r="E40" s="262"/>
      <c r="F40" s="262"/>
      <c r="G40" s="262"/>
      <c r="H40" s="262"/>
      <c r="I40" s="262"/>
      <c r="J40" s="262"/>
      <c r="K40" s="950" t="s">
        <v>2795</v>
      </c>
      <c r="L40" s="262"/>
      <c r="M40" s="262"/>
      <c r="N40" s="262"/>
      <c r="O40" s="262"/>
      <c r="P40" s="262"/>
      <c r="Q40" s="262"/>
      <c r="R40" s="262"/>
      <c r="S40" s="941">
        <v>41</v>
      </c>
      <c r="T40" s="938"/>
      <c r="U40" s="938"/>
      <c r="V40" s="938"/>
      <c r="W40" s="938"/>
      <c r="X40" s="938"/>
      <c r="Y40" s="938"/>
      <c r="Z40" s="938"/>
      <c r="AA40" s="938"/>
      <c r="AB40" s="947" t="s">
        <v>2796</v>
      </c>
      <c r="AC40" s="947" t="s">
        <v>2714</v>
      </c>
    </row>
    <row customHeight="1" ht="12">
      <c r="A41" s="1109" t="s">
        <v>2797</v>
      </c>
      <c r="B41" s="938" t="s">
        <v>2798</v>
      </c>
      <c r="D41" s="259"/>
      <c r="E41" s="262"/>
      <c r="F41" s="262"/>
      <c r="G41" s="262"/>
      <c r="H41" s="262"/>
      <c r="I41" s="262"/>
      <c r="J41" s="262"/>
      <c r="K41" s="950" t="s">
        <v>2799</v>
      </c>
      <c r="L41" s="262"/>
      <c r="M41" s="262"/>
      <c r="N41" s="262"/>
      <c r="O41" s="262"/>
      <c r="P41" s="262"/>
      <c r="Q41" s="262"/>
      <c r="R41" s="262"/>
      <c r="S41" s="941">
        <v>42</v>
      </c>
      <c r="T41" s="938"/>
      <c r="U41" s="938"/>
      <c r="V41" s="938"/>
      <c r="W41" s="938"/>
      <c r="X41" s="938"/>
      <c r="Y41" s="938"/>
      <c r="Z41" s="938"/>
      <c r="AA41" s="938"/>
      <c r="AB41" s="947" t="s">
        <v>2800</v>
      </c>
      <c r="AC41" s="947" t="s">
        <v>2714</v>
      </c>
    </row>
    <row customHeight="1" ht="12">
      <c r="A42" s="1109" t="s">
        <v>2801</v>
      </c>
      <c r="B42" s="938" t="s">
        <v>2802</v>
      </c>
      <c r="D42" s="259"/>
      <c r="E42" s="262"/>
      <c r="F42" s="262"/>
      <c r="G42" s="262"/>
      <c r="H42" s="262"/>
      <c r="I42" s="262"/>
      <c r="J42" s="262"/>
      <c r="K42" s="950" t="s">
        <v>2803</v>
      </c>
      <c r="L42" s="262"/>
      <c r="M42" s="262"/>
      <c r="N42" s="262"/>
      <c r="O42" s="262"/>
      <c r="P42" s="262"/>
      <c r="Q42" s="262"/>
      <c r="R42" s="262"/>
      <c r="S42" s="941">
        <v>43</v>
      </c>
      <c r="T42" s="938"/>
      <c r="U42" s="938"/>
      <c r="V42" s="938"/>
      <c r="W42" s="938"/>
      <c r="X42" s="938"/>
      <c r="Y42" s="938"/>
      <c r="Z42" s="938"/>
      <c r="AA42" s="938"/>
      <c r="AB42" s="947" t="s">
        <v>2804</v>
      </c>
      <c r="AC42" s="947" t="s">
        <v>2714</v>
      </c>
    </row>
    <row customHeight="1" ht="12">
      <c r="A43" s="1109" t="s">
        <v>2805</v>
      </c>
      <c r="B43" s="938" t="s">
        <v>2806</v>
      </c>
      <c r="D43" s="259"/>
      <c r="E43" s="262"/>
      <c r="F43" s="262"/>
      <c r="G43" s="262"/>
      <c r="H43" s="262"/>
      <c r="I43" s="262"/>
      <c r="J43" s="262"/>
      <c r="K43" s="262"/>
      <c r="L43" s="262"/>
      <c r="M43" s="262"/>
      <c r="N43" s="262"/>
      <c r="O43" s="262"/>
      <c r="P43" s="262"/>
      <c r="Q43" s="262"/>
      <c r="R43" s="262"/>
      <c r="S43" s="941">
        <v>44</v>
      </c>
      <c r="T43" s="938"/>
      <c r="U43" s="938"/>
      <c r="V43" s="938"/>
      <c r="W43" s="938"/>
      <c r="X43" s="938"/>
      <c r="Y43" s="938"/>
      <c r="Z43" s="938"/>
      <c r="AA43" s="938"/>
      <c r="AB43" s="947" t="s">
        <v>2807</v>
      </c>
      <c r="AC43" s="947" t="s">
        <v>2808</v>
      </c>
    </row>
    <row customHeight="1" ht="12">
      <c r="A44" s="1109" t="s">
        <v>2809</v>
      </c>
      <c r="B44" s="938" t="s">
        <v>2810</v>
      </c>
      <c r="D44" s="259"/>
      <c r="E44" s="262"/>
      <c r="F44" s="262"/>
      <c r="G44" s="262"/>
      <c r="H44" s="262"/>
      <c r="I44" s="262"/>
      <c r="J44" s="262"/>
      <c r="K44" s="262"/>
      <c r="L44" s="262"/>
      <c r="M44" s="262"/>
      <c r="N44" s="262"/>
      <c r="O44" s="262"/>
      <c r="P44" s="262"/>
      <c r="Q44" s="262"/>
      <c r="R44" s="262"/>
      <c r="S44" s="941">
        <v>45</v>
      </c>
      <c r="T44" s="938"/>
      <c r="U44" s="938"/>
      <c r="V44" s="938"/>
      <c r="W44" s="938"/>
      <c r="X44" s="938"/>
      <c r="Y44" s="938"/>
      <c r="Z44" s="938"/>
      <c r="AA44" s="938"/>
      <c r="AB44" s="947" t="s">
        <v>2811</v>
      </c>
      <c r="AC44" s="947" t="s">
        <v>2812</v>
      </c>
    </row>
    <row customHeight="1" ht="12">
      <c r="A45" s="1109" t="s">
        <v>2813</v>
      </c>
      <c r="B45" s="938" t="s">
        <v>2814</v>
      </c>
      <c r="D45" s="259"/>
      <c r="E45" s="262"/>
      <c r="F45" s="262"/>
      <c r="G45" s="262"/>
      <c r="H45" s="262"/>
      <c r="I45" s="262"/>
      <c r="J45" s="262"/>
      <c r="K45" s="939" t="s">
        <v>2815</v>
      </c>
      <c r="L45" s="262"/>
      <c r="M45" s="262"/>
      <c r="N45" s="262"/>
      <c r="O45" s="262"/>
      <c r="P45" s="262"/>
      <c r="Q45" s="262"/>
      <c r="R45" s="262"/>
      <c r="S45" s="941">
        <v>46</v>
      </c>
      <c r="T45" s="938"/>
      <c r="U45" s="938"/>
      <c r="V45" s="938"/>
      <c r="W45" s="938"/>
      <c r="X45" s="938"/>
      <c r="Y45" s="938"/>
      <c r="Z45" s="938"/>
      <c r="AA45" s="938"/>
      <c r="AB45" s="947" t="s">
        <v>2816</v>
      </c>
      <c r="AC45" s="947" t="s">
        <v>2714</v>
      </c>
    </row>
    <row customHeight="1" ht="12">
      <c r="A46" s="1109" t="s">
        <v>2817</v>
      </c>
      <c r="B46" s="938" t="s">
        <v>2818</v>
      </c>
      <c r="D46" s="259"/>
      <c r="E46" s="262"/>
      <c r="F46" s="262"/>
      <c r="G46" s="262"/>
      <c r="H46" s="262"/>
      <c r="I46" s="262"/>
      <c r="J46" s="262"/>
      <c r="K46" s="950" t="s">
        <v>260</v>
      </c>
      <c r="L46" s="262"/>
      <c r="M46" s="262"/>
      <c r="N46" s="262"/>
      <c r="O46" s="262"/>
      <c r="P46" s="262"/>
      <c r="Q46" s="262"/>
      <c r="R46" s="262"/>
      <c r="S46" s="941">
        <v>47</v>
      </c>
      <c r="T46" s="938"/>
      <c r="U46" s="938"/>
      <c r="V46" s="938"/>
      <c r="W46" s="938"/>
      <c r="X46" s="938"/>
      <c r="Y46" s="938"/>
      <c r="Z46" s="938"/>
      <c r="AA46" s="938"/>
      <c r="AB46" s="947" t="s">
        <v>2819</v>
      </c>
      <c r="AC46" s="947" t="s">
        <v>2714</v>
      </c>
    </row>
    <row customHeight="1" ht="12">
      <c r="A47" s="1109" t="s">
        <v>2820</v>
      </c>
      <c r="B47" s="938" t="s">
        <v>2821</v>
      </c>
      <c r="D47" s="259"/>
      <c r="E47" s="262"/>
      <c r="F47" s="262"/>
      <c r="G47" s="262"/>
      <c r="H47" s="262"/>
      <c r="I47" s="262"/>
      <c r="J47" s="262"/>
      <c r="K47" s="950" t="s">
        <v>2712</v>
      </c>
      <c r="L47" s="262"/>
      <c r="M47" s="262"/>
      <c r="N47" s="262"/>
      <c r="O47" s="262"/>
      <c r="P47" s="262"/>
      <c r="Q47" s="262"/>
      <c r="R47" s="262"/>
      <c r="S47" s="941">
        <v>48</v>
      </c>
      <c r="T47" s="938"/>
      <c r="U47" s="938"/>
      <c r="V47" s="938"/>
      <c r="W47" s="938"/>
      <c r="X47" s="938"/>
      <c r="Y47" s="938"/>
      <c r="Z47" s="938"/>
      <c r="AA47" s="938"/>
      <c r="AB47" s="947" t="s">
        <v>2822</v>
      </c>
      <c r="AC47" s="947" t="s">
        <v>2714</v>
      </c>
    </row>
    <row customHeight="1" ht="12">
      <c r="A48" s="1109" t="s">
        <v>2823</v>
      </c>
      <c r="B48" s="938" t="s">
        <v>2824</v>
      </c>
      <c r="D48" s="259"/>
      <c r="E48" s="262"/>
      <c r="F48" s="262"/>
      <c r="G48" s="262"/>
      <c r="H48" s="262"/>
      <c r="I48" s="262"/>
      <c r="J48" s="262"/>
      <c r="K48" s="950" t="s">
        <v>2717</v>
      </c>
      <c r="L48" s="262"/>
      <c r="M48" s="262"/>
      <c r="N48" s="262"/>
      <c r="O48" s="262"/>
      <c r="P48" s="262"/>
      <c r="Q48" s="262"/>
      <c r="R48" s="262"/>
      <c r="S48" s="941">
        <v>49</v>
      </c>
      <c r="T48" s="938"/>
      <c r="U48" s="938"/>
      <c r="V48" s="938"/>
      <c r="W48" s="938"/>
      <c r="X48" s="938"/>
      <c r="Y48" s="938"/>
      <c r="Z48" s="938"/>
      <c r="AA48" s="938"/>
      <c r="AB48" s="947" t="s">
        <v>2825</v>
      </c>
      <c r="AC48" s="947" t="s">
        <v>2714</v>
      </c>
    </row>
    <row customHeight="1" ht="12">
      <c r="A49" s="1109" t="s">
        <v>2826</v>
      </c>
      <c r="B49" s="938" t="s">
        <v>2827</v>
      </c>
      <c r="D49" s="259"/>
      <c r="E49" s="262"/>
      <c r="F49" s="262"/>
      <c r="G49" s="262"/>
      <c r="H49" s="262"/>
      <c r="I49" s="262"/>
      <c r="J49" s="262"/>
      <c r="K49" s="950" t="s">
        <v>2722</v>
      </c>
      <c r="L49" s="262"/>
      <c r="M49" s="262"/>
      <c r="N49" s="262"/>
      <c r="O49" s="262"/>
      <c r="P49" s="262"/>
      <c r="Q49" s="262"/>
      <c r="R49" s="262"/>
      <c r="S49" s="941">
        <v>50</v>
      </c>
      <c r="T49" s="938"/>
      <c r="U49" s="938"/>
      <c r="V49" s="938"/>
      <c r="W49" s="938"/>
      <c r="X49" s="938"/>
      <c r="Y49" s="938"/>
      <c r="Z49" s="938"/>
      <c r="AA49" s="938"/>
      <c r="AB49" s="947" t="s">
        <v>2828</v>
      </c>
      <c r="AC49" s="947" t="s">
        <v>2714</v>
      </c>
    </row>
    <row customHeight="1" ht="12">
      <c r="A50" s="1109" t="s">
        <v>2829</v>
      </c>
      <c r="B50" s="938" t="s">
        <v>2830</v>
      </c>
      <c r="D50" s="259"/>
      <c r="E50" s="262"/>
      <c r="F50" s="262"/>
      <c r="G50" s="262"/>
      <c r="H50" s="262"/>
      <c r="I50" s="262"/>
      <c r="J50" s="262"/>
      <c r="K50" s="950" t="s">
        <v>196</v>
      </c>
      <c r="L50" s="262"/>
      <c r="M50" s="262"/>
      <c r="N50" s="262"/>
      <c r="O50" s="262"/>
      <c r="P50" s="262"/>
      <c r="Q50" s="262"/>
      <c r="R50" s="262"/>
      <c r="S50" s="938"/>
      <c r="T50" s="938"/>
      <c r="U50" s="938"/>
      <c r="V50" s="938"/>
      <c r="W50" s="938"/>
      <c r="X50" s="938"/>
      <c r="Y50" s="938"/>
      <c r="Z50" s="938"/>
      <c r="AA50" s="938"/>
      <c r="AB50" s="947" t="s">
        <v>2831</v>
      </c>
      <c r="AC50" s="947" t="s">
        <v>2714</v>
      </c>
    </row>
    <row customHeight="1" ht="12">
      <c r="A51" s="1109" t="s">
        <v>2832</v>
      </c>
      <c r="B51" s="938" t="s">
        <v>2833</v>
      </c>
      <c r="D51" s="259"/>
      <c r="E51" s="262"/>
      <c r="F51" s="262"/>
      <c r="G51" s="262"/>
      <c r="H51" s="262"/>
      <c r="I51" s="262"/>
      <c r="J51" s="262"/>
      <c r="K51" s="950" t="s">
        <v>2703</v>
      </c>
      <c r="L51" s="262"/>
      <c r="M51" s="262"/>
      <c r="N51" s="262"/>
      <c r="O51" s="262"/>
      <c r="P51" s="262"/>
      <c r="Q51" s="262"/>
      <c r="R51" s="262"/>
      <c r="S51" s="938"/>
      <c r="T51" s="938"/>
      <c r="U51" s="938"/>
      <c r="V51" s="938"/>
      <c r="W51" s="938"/>
      <c r="X51" s="938"/>
      <c r="Y51" s="938"/>
      <c r="Z51" s="938"/>
      <c r="AA51" s="938"/>
      <c r="AB51" s="947" t="s">
        <v>2834</v>
      </c>
      <c r="AC51" s="947" t="s">
        <v>2714</v>
      </c>
    </row>
    <row customHeight="1" ht="12">
      <c r="A52" s="1109" t="s">
        <v>2835</v>
      </c>
      <c r="B52" s="938" t="s">
        <v>2836</v>
      </c>
      <c r="D52" s="259"/>
      <c r="E52" s="262"/>
      <c r="F52" s="262"/>
      <c r="G52" s="262"/>
      <c r="H52" s="262"/>
      <c r="I52" s="262"/>
      <c r="J52" s="262"/>
      <c r="K52" s="950" t="s">
        <v>2837</v>
      </c>
      <c r="L52" s="262"/>
      <c r="M52" s="262"/>
      <c r="N52" s="262"/>
      <c r="O52" s="262"/>
      <c r="P52" s="262"/>
      <c r="Q52" s="262"/>
      <c r="R52" s="262"/>
      <c r="S52" s="938"/>
      <c r="T52" s="938"/>
      <c r="U52" s="938"/>
      <c r="V52" s="938"/>
      <c r="W52" s="938"/>
      <c r="X52" s="938"/>
      <c r="Y52" s="938"/>
      <c r="Z52" s="938"/>
      <c r="AA52" s="938"/>
      <c r="AB52" s="947" t="s">
        <v>2838</v>
      </c>
      <c r="AC52" s="947" t="s">
        <v>2714</v>
      </c>
    </row>
    <row customHeight="1" ht="12">
      <c r="A53" s="1109" t="s">
        <v>2839</v>
      </c>
      <c r="B53" s="938" t="s">
        <v>2840</v>
      </c>
      <c r="D53" s="259"/>
      <c r="E53" s="262"/>
      <c r="F53" s="262"/>
      <c r="G53" s="262"/>
      <c r="H53" s="262"/>
      <c r="I53" s="262"/>
      <c r="J53" s="262"/>
      <c r="K53" s="262"/>
      <c r="L53" s="262"/>
      <c r="M53" s="262"/>
      <c r="N53" s="262"/>
      <c r="O53" s="262"/>
      <c r="P53" s="262"/>
      <c r="Q53" s="262"/>
      <c r="R53" s="262"/>
      <c r="S53" s="938"/>
      <c r="T53" s="938"/>
      <c r="U53" s="938"/>
      <c r="V53" s="938"/>
      <c r="W53" s="938"/>
      <c r="X53" s="938"/>
      <c r="Y53" s="938"/>
      <c r="Z53" s="938"/>
      <c r="AA53" s="938"/>
      <c r="AB53" s="947" t="s">
        <v>2841</v>
      </c>
      <c r="AC53" s="947" t="s">
        <v>2579</v>
      </c>
    </row>
    <row customHeight="1" ht="12">
      <c r="A54" s="1109" t="s">
        <v>2842</v>
      </c>
      <c r="B54" s="938" t="s">
        <v>2843</v>
      </c>
      <c r="D54" s="259"/>
      <c r="E54" s="262"/>
      <c r="F54" s="262"/>
      <c r="G54" s="262"/>
      <c r="H54" s="262"/>
      <c r="I54" s="262"/>
      <c r="J54" s="262"/>
      <c r="K54" s="262"/>
      <c r="L54" s="262"/>
      <c r="M54" s="262"/>
      <c r="N54" s="262"/>
      <c r="O54" s="262"/>
      <c r="P54" s="262"/>
      <c r="Q54" s="262"/>
      <c r="R54" s="262"/>
      <c r="S54" s="938"/>
      <c r="T54" s="938"/>
      <c r="U54" s="938"/>
      <c r="V54" s="938"/>
      <c r="W54" s="938"/>
      <c r="X54" s="938"/>
      <c r="Y54" s="938"/>
      <c r="Z54" s="938"/>
      <c r="AA54" s="938"/>
      <c r="AB54" s="946" t="s">
        <v>2844</v>
      </c>
      <c r="AC54" s="947" t="s">
        <v>2579</v>
      </c>
    </row>
    <row customHeight="1" ht="12">
      <c r="A55" s="1109" t="s">
        <v>2845</v>
      </c>
      <c r="B55" s="938" t="s">
        <v>2846</v>
      </c>
      <c r="D55" s="259"/>
      <c r="E55" s="262"/>
      <c r="F55" s="262"/>
      <c r="G55" s="262"/>
      <c r="H55" s="262"/>
      <c r="I55" s="262"/>
      <c r="J55" s="262"/>
      <c r="K55" s="262"/>
      <c r="L55" s="262"/>
      <c r="M55" s="262"/>
      <c r="N55" s="262"/>
      <c r="O55" s="262"/>
      <c r="P55" s="262"/>
      <c r="Q55" s="262"/>
      <c r="R55" s="262"/>
      <c r="S55" s="938"/>
      <c r="T55" s="938"/>
      <c r="U55" s="938"/>
      <c r="V55" s="938"/>
      <c r="W55" s="938"/>
      <c r="X55" s="938"/>
      <c r="Y55" s="938"/>
      <c r="Z55" s="938"/>
      <c r="AA55" s="938"/>
      <c r="AB55" s="946" t="s">
        <v>2847</v>
      </c>
      <c r="AC55" s="947" t="s">
        <v>2714</v>
      </c>
    </row>
    <row customHeight="1" ht="12">
      <c r="A56" s="1109" t="s">
        <v>2848</v>
      </c>
      <c r="B56" s="938" t="s">
        <v>2849</v>
      </c>
      <c r="D56" s="259"/>
      <c r="E56" s="262"/>
      <c r="F56" s="262"/>
      <c r="G56" s="262"/>
      <c r="H56" s="262"/>
      <c r="I56" s="262"/>
      <c r="J56" s="262"/>
      <c r="K56" s="262"/>
      <c r="L56" s="262"/>
      <c r="M56" s="262"/>
      <c r="N56" s="262"/>
      <c r="O56" s="262"/>
      <c r="P56" s="262"/>
      <c r="Q56" s="262"/>
      <c r="R56" s="262"/>
      <c r="S56" s="938"/>
      <c r="T56" s="938"/>
      <c r="U56" s="938"/>
      <c r="V56" s="938"/>
      <c r="W56" s="938"/>
      <c r="X56" s="938"/>
      <c r="Y56" s="938"/>
      <c r="Z56" s="938"/>
      <c r="AA56" s="938"/>
      <c r="AB56" s="946" t="s">
        <v>2850</v>
      </c>
      <c r="AC56" s="947" t="s">
        <v>2714</v>
      </c>
    </row>
    <row customHeight="1" ht="12">
      <c r="A57" s="1109" t="s">
        <v>2851</v>
      </c>
      <c r="B57" s="938" t="s">
        <v>2852</v>
      </c>
      <c r="D57" s="259"/>
      <c r="E57" s="262"/>
      <c r="F57" s="262"/>
      <c r="G57" s="262"/>
      <c r="H57" s="262"/>
      <c r="I57" s="262"/>
      <c r="J57" s="262"/>
      <c r="K57" s="262"/>
      <c r="L57" s="262"/>
      <c r="M57" s="262"/>
      <c r="N57" s="262"/>
      <c r="O57" s="262"/>
      <c r="P57" s="262"/>
      <c r="Q57" s="262"/>
      <c r="R57" s="262"/>
      <c r="S57" s="938"/>
      <c r="T57" s="938"/>
      <c r="U57" s="938"/>
      <c r="V57" s="938"/>
      <c r="W57" s="938"/>
      <c r="X57" s="938"/>
      <c r="Y57" s="938"/>
      <c r="Z57" s="938"/>
      <c r="AA57" s="938"/>
      <c r="AB57" s="946" t="s">
        <v>2853</v>
      </c>
      <c r="AC57" s="947" t="s">
        <v>2579</v>
      </c>
    </row>
    <row customHeight="1" ht="12">
      <c r="A58" s="1109" t="s">
        <v>2854</v>
      </c>
      <c r="B58" s="938" t="s">
        <v>2855</v>
      </c>
      <c r="D58" s="259"/>
      <c r="E58" s="262"/>
      <c r="F58" s="262"/>
      <c r="G58" s="262"/>
      <c r="H58" s="262"/>
      <c r="I58" s="262"/>
      <c r="J58" s="262"/>
      <c r="K58" s="262"/>
      <c r="L58" s="262"/>
      <c r="M58" s="262"/>
      <c r="N58" s="262"/>
      <c r="O58" s="262"/>
      <c r="P58" s="262"/>
      <c r="Q58" s="262"/>
      <c r="R58" s="262"/>
      <c r="S58" s="938"/>
      <c r="T58" s="938"/>
      <c r="U58" s="938"/>
      <c r="V58" s="938"/>
      <c r="W58" s="938"/>
      <c r="X58" s="938"/>
      <c r="Y58" s="938"/>
      <c r="Z58" s="938"/>
      <c r="AA58" s="938"/>
      <c r="AB58" s="938"/>
      <c r="AC58" s="938"/>
    </row>
    <row customHeight="1" ht="12">
      <c r="A59" s="1109" t="s">
        <v>2856</v>
      </c>
      <c r="B59" s="938" t="s">
        <v>2857</v>
      </c>
      <c r="D59" s="259"/>
      <c r="E59" s="262"/>
      <c r="F59" s="262"/>
      <c r="G59" s="262"/>
      <c r="H59" s="262"/>
      <c r="I59" s="262"/>
      <c r="J59" s="262"/>
      <c r="K59" s="262"/>
      <c r="L59" s="262"/>
      <c r="M59" s="262"/>
      <c r="N59" s="262"/>
      <c r="O59" s="262"/>
      <c r="P59" s="262"/>
      <c r="Q59" s="262"/>
      <c r="R59" s="262"/>
      <c r="S59" s="938"/>
      <c r="T59" s="938"/>
      <c r="U59" s="938"/>
      <c r="V59" s="938"/>
      <c r="W59" s="938"/>
      <c r="X59" s="938"/>
      <c r="Y59" s="938"/>
      <c r="Z59" s="938"/>
      <c r="AA59" s="938"/>
      <c r="AB59" s="938"/>
      <c r="AC59" s="938"/>
    </row>
    <row customHeight="1" ht="12">
      <c r="A60" s="1109" t="s">
        <v>2858</v>
      </c>
      <c r="B60" s="938" t="s">
        <v>2859</v>
      </c>
      <c r="D60" s="259"/>
      <c r="E60" s="262"/>
      <c r="F60" s="262"/>
      <c r="G60" s="262"/>
      <c r="H60" s="262"/>
      <c r="I60" s="262"/>
      <c r="J60" s="262"/>
      <c r="K60" s="262"/>
      <c r="L60" s="262"/>
      <c r="M60" s="262"/>
      <c r="N60" s="262"/>
      <c r="O60" s="262"/>
      <c r="P60" s="262"/>
      <c r="Q60" s="262"/>
      <c r="R60" s="262"/>
      <c r="S60" s="938"/>
      <c r="T60" s="938"/>
      <c r="U60" s="938"/>
      <c r="V60" s="938"/>
      <c r="W60" s="938"/>
      <c r="X60" s="938"/>
      <c r="Y60" s="938"/>
      <c r="Z60" s="938"/>
      <c r="AA60" s="938"/>
      <c r="AB60" s="938"/>
      <c r="AC60" s="938"/>
    </row>
    <row customHeight="1" ht="12">
      <c r="A61" s="1109" t="s">
        <v>2860</v>
      </c>
      <c r="B61" s="938" t="s">
        <v>2861</v>
      </c>
      <c r="D61" s="259"/>
      <c r="E61" s="262"/>
      <c r="F61" s="262"/>
      <c r="G61" s="262"/>
      <c r="H61" s="262"/>
      <c r="I61" s="262"/>
      <c r="J61" s="262"/>
      <c r="K61" s="262"/>
      <c r="L61" s="262"/>
      <c r="M61" s="262"/>
      <c r="N61" s="262"/>
      <c r="O61" s="262"/>
      <c r="P61" s="262"/>
      <c r="Q61" s="262"/>
      <c r="R61" s="262"/>
      <c r="S61" s="938"/>
      <c r="T61" s="938"/>
      <c r="U61" s="938"/>
      <c r="V61" s="938"/>
      <c r="W61" s="938"/>
      <c r="X61" s="938"/>
      <c r="Y61" s="938"/>
      <c r="Z61" s="938"/>
      <c r="AA61" s="938"/>
      <c r="AB61" s="938"/>
      <c r="AC61" s="938"/>
    </row>
    <row customHeight="1" ht="12">
      <c r="A62" s="1109" t="s">
        <v>2862</v>
      </c>
      <c r="B62" s="938" t="s">
        <v>2863</v>
      </c>
      <c r="D62" s="259"/>
      <c r="E62" s="262"/>
      <c r="F62" s="262"/>
      <c r="G62" s="262"/>
      <c r="H62" s="262"/>
      <c r="I62" s="262"/>
      <c r="J62" s="262"/>
      <c r="K62" s="262"/>
      <c r="L62" s="262"/>
      <c r="M62" s="262"/>
      <c r="N62" s="262"/>
      <c r="O62" s="262"/>
      <c r="P62" s="262"/>
      <c r="Q62" s="262"/>
      <c r="R62" s="262"/>
      <c r="S62" s="938"/>
      <c r="T62" s="938"/>
      <c r="U62" s="938"/>
      <c r="V62" s="938"/>
      <c r="W62" s="938"/>
      <c r="X62" s="938"/>
      <c r="Y62" s="938"/>
      <c r="Z62" s="938"/>
      <c r="AA62" s="938"/>
      <c r="AB62" s="938"/>
      <c r="AC62" s="938"/>
    </row>
    <row customHeight="1" ht="12">
      <c r="A63" s="1109" t="s">
        <v>2864</v>
      </c>
      <c r="B63" s="938" t="s">
        <v>2865</v>
      </c>
      <c r="D63" s="259"/>
      <c r="E63" s="262"/>
      <c r="F63" s="262"/>
      <c r="G63" s="262"/>
      <c r="H63" s="262"/>
      <c r="I63" s="262"/>
      <c r="J63" s="262"/>
      <c r="K63" s="262"/>
      <c r="L63" s="262"/>
      <c r="M63" s="262"/>
      <c r="N63" s="262"/>
      <c r="O63" s="262"/>
      <c r="P63" s="262"/>
      <c r="Q63" s="262"/>
      <c r="R63" s="262"/>
      <c r="S63" s="938"/>
      <c r="T63" s="938"/>
      <c r="U63" s="938"/>
      <c r="V63" s="938"/>
      <c r="W63" s="938"/>
      <c r="X63" s="938"/>
      <c r="Y63" s="938"/>
      <c r="Z63" s="938"/>
      <c r="AA63" s="938"/>
      <c r="AB63" s="938"/>
      <c r="AC63" s="938"/>
    </row>
    <row customHeight="1" ht="12">
      <c r="A64" s="1109" t="s">
        <v>2866</v>
      </c>
      <c r="B64" s="938" t="s">
        <v>2867</v>
      </c>
      <c r="D64" s="259"/>
      <c r="E64" s="262"/>
      <c r="F64" s="262"/>
      <c r="G64" s="262"/>
      <c r="H64" s="262"/>
      <c r="I64" s="262"/>
      <c r="J64" s="262"/>
      <c r="K64" s="262"/>
      <c r="L64" s="262"/>
      <c r="M64" s="262"/>
      <c r="N64" s="262"/>
      <c r="O64" s="262"/>
      <c r="P64" s="262"/>
      <c r="Q64" s="262"/>
      <c r="R64" s="262"/>
      <c r="S64" s="938"/>
      <c r="T64" s="938"/>
      <c r="U64" s="938"/>
      <c r="V64" s="938"/>
      <c r="W64" s="938"/>
      <c r="X64" s="938"/>
      <c r="Y64" s="938"/>
      <c r="Z64" s="938"/>
      <c r="AA64" s="938"/>
      <c r="AB64" s="938"/>
      <c r="AC64" s="938"/>
    </row>
    <row customHeight="1" ht="12">
      <c r="A65" s="1109" t="s">
        <v>2868</v>
      </c>
      <c r="B65" s="938" t="s">
        <v>2869</v>
      </c>
      <c r="D65" s="259"/>
      <c r="E65" s="262"/>
      <c r="F65" s="262"/>
      <c r="G65" s="262"/>
      <c r="H65" s="262"/>
      <c r="I65" s="262"/>
      <c r="J65" s="262"/>
      <c r="K65" s="262"/>
      <c r="L65" s="262"/>
      <c r="M65" s="262"/>
      <c r="N65" s="262"/>
      <c r="O65" s="262"/>
      <c r="P65" s="262"/>
      <c r="Q65" s="262"/>
      <c r="R65" s="262"/>
      <c r="S65" s="938"/>
      <c r="T65" s="938"/>
      <c r="U65" s="938"/>
      <c r="V65" s="938"/>
      <c r="W65" s="938"/>
      <c r="X65" s="938"/>
      <c r="Y65" s="938"/>
      <c r="Z65" s="938"/>
      <c r="AA65" s="938"/>
      <c r="AB65" s="938"/>
      <c r="AC65" s="938"/>
    </row>
    <row customHeight="1" ht="12">
      <c r="A66" s="1109" t="s">
        <v>2870</v>
      </c>
      <c r="B66" s="938" t="s">
        <v>2871</v>
      </c>
      <c r="D66" s="259"/>
      <c r="E66" s="262"/>
      <c r="F66" s="262"/>
      <c r="G66" s="262"/>
      <c r="H66" s="262"/>
      <c r="I66" s="262"/>
      <c r="J66" s="262"/>
      <c r="K66" s="262"/>
      <c r="L66" s="262"/>
      <c r="M66" s="262"/>
      <c r="N66" s="262"/>
      <c r="O66" s="262"/>
      <c r="P66" s="262"/>
      <c r="Q66" s="262"/>
      <c r="R66" s="262"/>
      <c r="S66" s="938"/>
      <c r="T66" s="938"/>
      <c r="U66" s="938"/>
      <c r="V66" s="938"/>
      <c r="W66" s="938"/>
      <c r="X66" s="938"/>
      <c r="Y66" s="938"/>
      <c r="Z66" s="938"/>
      <c r="AA66" s="938"/>
      <c r="AB66" s="938"/>
      <c r="AC66" s="938"/>
    </row>
    <row customHeight="1" ht="12">
      <c r="A67" s="1109" t="s">
        <v>2872</v>
      </c>
      <c r="B67" s="938" t="s">
        <v>2873</v>
      </c>
      <c r="D67" s="259"/>
      <c r="E67" s="262"/>
      <c r="F67" s="262"/>
      <c r="G67" s="262"/>
      <c r="H67" s="262"/>
      <c r="I67" s="262"/>
      <c r="J67" s="262"/>
      <c r="K67" s="262"/>
      <c r="L67" s="262"/>
      <c r="M67" s="262"/>
      <c r="N67" s="262"/>
      <c r="O67" s="262"/>
      <c r="P67" s="262"/>
      <c r="Q67" s="262"/>
      <c r="R67" s="262"/>
      <c r="S67" s="938"/>
      <c r="T67" s="938"/>
      <c r="U67" s="938"/>
      <c r="V67" s="938"/>
      <c r="W67" s="938"/>
      <c r="X67" s="938"/>
      <c r="Y67" s="938"/>
      <c r="Z67" s="938"/>
      <c r="AA67" s="938"/>
      <c r="AB67" s="938"/>
      <c r="AC67" s="938"/>
    </row>
    <row customHeight="1" ht="12">
      <c r="A68" s="1109" t="s">
        <v>2874</v>
      </c>
      <c r="B68" s="938" t="s">
        <v>2875</v>
      </c>
      <c r="D68" s="259"/>
      <c r="E68" s="262"/>
      <c r="F68" s="262"/>
      <c r="G68" s="262"/>
      <c r="H68" s="262"/>
      <c r="I68" s="262"/>
      <c r="J68" s="262"/>
      <c r="K68" s="262"/>
      <c r="L68" s="262"/>
      <c r="M68" s="262"/>
      <c r="N68" s="262"/>
      <c r="O68" s="262"/>
      <c r="P68" s="262"/>
      <c r="Q68" s="262"/>
      <c r="R68" s="262"/>
      <c r="S68" s="938"/>
      <c r="T68" s="938"/>
      <c r="U68" s="938"/>
      <c r="V68" s="938"/>
      <c r="W68" s="938"/>
      <c r="X68" s="938"/>
      <c r="Y68" s="938"/>
      <c r="Z68" s="938"/>
      <c r="AA68" s="938"/>
      <c r="AB68" s="938"/>
      <c r="AC68" s="938"/>
    </row>
    <row customHeight="1" ht="12">
      <c r="A69" s="1109" t="s">
        <v>2876</v>
      </c>
      <c r="B69" s="938" t="s">
        <v>2877</v>
      </c>
      <c r="D69" s="259"/>
      <c r="E69" s="262"/>
      <c r="F69" s="262"/>
      <c r="G69" s="262"/>
      <c r="H69" s="262"/>
      <c r="I69" s="262"/>
      <c r="J69" s="262"/>
      <c r="K69" s="262"/>
      <c r="L69" s="262"/>
      <c r="M69" s="262"/>
      <c r="N69" s="262"/>
      <c r="O69" s="262"/>
      <c r="P69" s="262"/>
      <c r="Q69" s="262"/>
      <c r="R69" s="262"/>
      <c r="S69" s="938"/>
      <c r="T69" s="938"/>
      <c r="U69" s="938"/>
      <c r="V69" s="938"/>
      <c r="W69" s="938"/>
      <c r="X69" s="938"/>
      <c r="Y69" s="938"/>
      <c r="Z69" s="938"/>
      <c r="AA69" s="938"/>
      <c r="AB69" s="938"/>
      <c r="AC69" s="938"/>
    </row>
    <row customHeight="1" ht="12">
      <c r="A70" s="1109" t="s">
        <v>2878</v>
      </c>
      <c r="B70" s="938" t="s">
        <v>2879</v>
      </c>
      <c r="D70" s="259"/>
      <c r="E70" s="262"/>
      <c r="F70" s="262"/>
      <c r="G70" s="262"/>
      <c r="H70" s="262"/>
      <c r="I70" s="262"/>
      <c r="J70" s="262"/>
      <c r="K70" s="262"/>
      <c r="L70" s="262"/>
      <c r="M70" s="262"/>
      <c r="N70" s="262"/>
      <c r="O70" s="262"/>
      <c r="P70" s="262"/>
      <c r="Q70" s="262"/>
      <c r="R70" s="262"/>
      <c r="S70" s="938"/>
      <c r="T70" s="938"/>
      <c r="U70" s="938"/>
      <c r="V70" s="938"/>
      <c r="W70" s="938"/>
      <c r="X70" s="938"/>
      <c r="Y70" s="938"/>
      <c r="Z70" s="938"/>
      <c r="AA70" s="938"/>
      <c r="AB70" s="938"/>
      <c r="AC70" s="938"/>
    </row>
    <row customHeight="1" ht="12">
      <c r="A71" s="1109" t="s">
        <v>2880</v>
      </c>
      <c r="B71" s="938" t="s">
        <v>2881</v>
      </c>
      <c r="D71" s="259"/>
      <c r="E71" s="262"/>
      <c r="F71" s="262"/>
      <c r="G71" s="262"/>
      <c r="H71" s="262"/>
      <c r="I71" s="262"/>
      <c r="J71" s="262"/>
      <c r="K71" s="262"/>
      <c r="L71" s="262"/>
      <c r="M71" s="262"/>
      <c r="N71" s="262"/>
      <c r="O71" s="262"/>
      <c r="P71" s="262"/>
      <c r="Q71" s="262"/>
      <c r="R71" s="262"/>
      <c r="S71" s="938"/>
      <c r="T71" s="938"/>
      <c r="U71" s="938"/>
      <c r="V71" s="938"/>
      <c r="W71" s="938"/>
      <c r="X71" s="938"/>
      <c r="Y71" s="938"/>
      <c r="Z71" s="938"/>
      <c r="AA71" s="938"/>
      <c r="AB71" s="938"/>
      <c r="AC71" s="938"/>
    </row>
    <row customHeight="1" ht="12">
      <c r="A72" s="1109" t="s">
        <v>2882</v>
      </c>
      <c r="B72" s="938" t="s">
        <v>2883</v>
      </c>
      <c r="D72" s="259"/>
      <c r="E72" s="262"/>
      <c r="F72" s="262"/>
      <c r="G72" s="262"/>
      <c r="H72" s="262"/>
      <c r="I72" s="262"/>
      <c r="J72" s="262"/>
      <c r="K72" s="262"/>
      <c r="L72" s="262"/>
      <c r="M72" s="262"/>
      <c r="N72" s="262"/>
      <c r="O72" s="262"/>
      <c r="P72" s="262"/>
      <c r="Q72" s="262"/>
      <c r="R72" s="262"/>
      <c r="S72" s="938"/>
      <c r="T72" s="938"/>
      <c r="U72" s="938"/>
      <c r="V72" s="938"/>
      <c r="W72" s="938"/>
      <c r="X72" s="938"/>
      <c r="Y72" s="938"/>
      <c r="Z72" s="938"/>
      <c r="AA72" s="938"/>
      <c r="AB72" s="938"/>
      <c r="AC72" s="938"/>
    </row>
    <row customHeight="1" ht="12">
      <c r="A73" s="1109" t="s">
        <v>2884</v>
      </c>
      <c r="B73" s="938" t="s">
        <v>2885</v>
      </c>
      <c r="D73" s="259"/>
      <c r="E73" s="262"/>
      <c r="F73" s="262"/>
      <c r="G73" s="262"/>
      <c r="H73" s="262"/>
      <c r="I73" s="262"/>
      <c r="J73" s="262"/>
      <c r="K73" s="262"/>
      <c r="L73" s="262"/>
      <c r="M73" s="262"/>
      <c r="N73" s="262"/>
      <c r="O73" s="262"/>
      <c r="P73" s="262"/>
      <c r="Q73" s="262"/>
      <c r="R73" s="262"/>
      <c r="S73" s="938"/>
      <c r="T73" s="938"/>
      <c r="U73" s="938"/>
      <c r="V73" s="938"/>
      <c r="W73" s="938"/>
      <c r="X73" s="938"/>
      <c r="Y73" s="938"/>
      <c r="Z73" s="938"/>
      <c r="AA73" s="938"/>
      <c r="AB73" s="938"/>
      <c r="AC73" s="938"/>
    </row>
    <row customHeight="1" ht="12">
      <c r="A74" s="1109" t="s">
        <v>2886</v>
      </c>
      <c r="B74" s="938" t="s">
        <v>2887</v>
      </c>
      <c r="D74" s="259"/>
      <c r="E74" s="262"/>
      <c r="F74" s="262"/>
      <c r="G74" s="262"/>
      <c r="H74" s="262"/>
      <c r="I74" s="262"/>
      <c r="J74" s="262"/>
      <c r="K74" s="262"/>
      <c r="L74" s="262"/>
      <c r="M74" s="262"/>
      <c r="N74" s="262"/>
      <c r="O74" s="262"/>
      <c r="P74" s="262"/>
      <c r="Q74" s="262"/>
      <c r="R74" s="262"/>
      <c r="S74" s="938"/>
      <c r="T74" s="938"/>
      <c r="U74" s="938"/>
      <c r="V74" s="938"/>
      <c r="W74" s="938"/>
      <c r="X74" s="938"/>
      <c r="Y74" s="938"/>
      <c r="Z74" s="938"/>
      <c r="AA74" s="938"/>
      <c r="AB74" s="938"/>
      <c r="AC74" s="938"/>
    </row>
    <row customHeight="1" ht="12">
      <c r="A75" s="1109" t="s">
        <v>2888</v>
      </c>
      <c r="B75" s="938" t="s">
        <v>2889</v>
      </c>
      <c r="D75" s="259"/>
      <c r="E75" s="262"/>
      <c r="F75" s="262"/>
      <c r="G75" s="262"/>
      <c r="H75" s="262"/>
      <c r="I75" s="262"/>
      <c r="J75" s="262"/>
      <c r="K75" s="262"/>
      <c r="L75" s="262"/>
      <c r="M75" s="262"/>
      <c r="N75" s="262"/>
      <c r="O75" s="262"/>
      <c r="P75" s="262"/>
      <c r="Q75" s="262"/>
      <c r="R75" s="262"/>
      <c r="S75" s="938"/>
      <c r="T75" s="938"/>
      <c r="U75" s="938"/>
      <c r="V75" s="938"/>
      <c r="W75" s="938"/>
      <c r="X75" s="938"/>
      <c r="Y75" s="938"/>
      <c r="Z75" s="938"/>
      <c r="AA75" s="938"/>
      <c r="AB75" s="938"/>
      <c r="AC75" s="938"/>
    </row>
    <row customHeight="1" ht="12">
      <c r="A76" s="1109" t="s">
        <v>2890</v>
      </c>
      <c r="B76" s="938" t="s">
        <v>2891</v>
      </c>
      <c r="D76" s="259"/>
      <c r="E76" s="262"/>
      <c r="F76" s="262"/>
      <c r="G76" s="262"/>
      <c r="H76" s="262"/>
      <c r="I76" s="262"/>
      <c r="J76" s="262"/>
      <c r="K76" s="262"/>
      <c r="L76" s="262"/>
      <c r="M76" s="262"/>
      <c r="N76" s="262"/>
      <c r="O76" s="262"/>
      <c r="P76" s="262"/>
      <c r="Q76" s="262"/>
      <c r="R76" s="262"/>
      <c r="S76" s="938"/>
      <c r="T76" s="938"/>
      <c r="U76" s="938"/>
      <c r="V76" s="938"/>
      <c r="W76" s="938"/>
      <c r="X76" s="938"/>
      <c r="Y76" s="938"/>
      <c r="Z76" s="938"/>
      <c r="AA76" s="938"/>
      <c r="AB76" s="938"/>
      <c r="AC76" s="938"/>
    </row>
    <row customHeight="1" ht="12">
      <c r="A77" s="1109" t="s">
        <v>2892</v>
      </c>
      <c r="B77" s="938" t="s">
        <v>2893</v>
      </c>
      <c r="D77" s="259"/>
      <c r="E77" s="262"/>
      <c r="F77" s="262"/>
      <c r="G77" s="262"/>
      <c r="H77" s="262"/>
      <c r="I77" s="262"/>
      <c r="J77" s="262"/>
      <c r="K77" s="262"/>
      <c r="L77" s="262"/>
      <c r="M77" s="262"/>
      <c r="N77" s="262"/>
      <c r="O77" s="262"/>
      <c r="P77" s="262"/>
      <c r="Q77" s="262"/>
      <c r="R77" s="262"/>
      <c r="S77" s="938"/>
      <c r="T77" s="938"/>
      <c r="U77" s="938"/>
      <c r="V77" s="938"/>
      <c r="W77" s="938"/>
      <c r="X77" s="938"/>
      <c r="Y77" s="938"/>
      <c r="Z77" s="938"/>
      <c r="AA77" s="938"/>
      <c r="AB77" s="938"/>
      <c r="AC77" s="938"/>
    </row>
    <row customHeight="1" ht="12">
      <c r="A78" s="1109" t="s">
        <v>2894</v>
      </c>
      <c r="B78" s="938" t="s">
        <v>2895</v>
      </c>
      <c r="D78" s="259"/>
      <c r="E78" s="262"/>
      <c r="F78" s="262"/>
      <c r="G78" s="262"/>
      <c r="H78" s="262"/>
      <c r="I78" s="262"/>
      <c r="J78" s="262"/>
      <c r="K78" s="262"/>
      <c r="L78" s="262"/>
      <c r="M78" s="262"/>
      <c r="N78" s="262"/>
      <c r="O78" s="262"/>
      <c r="P78" s="262"/>
      <c r="Q78" s="262"/>
      <c r="R78" s="262"/>
      <c r="S78" s="938"/>
      <c r="T78" s="938"/>
      <c r="U78" s="938"/>
      <c r="V78" s="938"/>
      <c r="W78" s="938"/>
      <c r="X78" s="938"/>
      <c r="Y78" s="938"/>
      <c r="Z78" s="938"/>
      <c r="AA78" s="938"/>
      <c r="AB78" s="938"/>
      <c r="AC78" s="938"/>
    </row>
    <row customHeight="1" ht="12">
      <c r="A79" s="1109" t="s">
        <v>2896</v>
      </c>
      <c r="B79" s="938" t="s">
        <v>2897</v>
      </c>
      <c r="D79" s="259"/>
      <c r="E79" s="262"/>
      <c r="F79" s="262"/>
      <c r="G79" s="262"/>
      <c r="H79" s="262"/>
      <c r="I79" s="262"/>
      <c r="J79" s="262"/>
      <c r="K79" s="262"/>
      <c r="L79" s="262"/>
      <c r="M79" s="262"/>
      <c r="N79" s="262"/>
      <c r="O79" s="262"/>
      <c r="P79" s="262"/>
      <c r="Q79" s="262"/>
      <c r="R79" s="262"/>
      <c r="S79" s="938"/>
      <c r="T79" s="938"/>
      <c r="U79" s="938"/>
      <c r="V79" s="938"/>
      <c r="W79" s="938"/>
      <c r="X79" s="938"/>
      <c r="Y79" s="938"/>
      <c r="Z79" s="938"/>
      <c r="AA79" s="938"/>
      <c r="AB79" s="938"/>
      <c r="AC79" s="938"/>
    </row>
    <row customHeight="1" ht="12">
      <c r="A80" s="1109" t="s">
        <v>2898</v>
      </c>
      <c r="B80" s="938" t="s">
        <v>2899</v>
      </c>
      <c r="D80" s="259"/>
      <c r="E80" s="262"/>
      <c r="F80" s="262"/>
      <c r="G80" s="262"/>
      <c r="H80" s="262"/>
      <c r="I80" s="262"/>
      <c r="J80" s="262"/>
      <c r="K80" s="262"/>
      <c r="L80" s="262"/>
      <c r="M80" s="262"/>
      <c r="N80" s="262"/>
      <c r="O80" s="262"/>
      <c r="P80" s="262"/>
      <c r="Q80" s="262"/>
      <c r="R80" s="262"/>
      <c r="S80" s="938"/>
      <c r="T80" s="938"/>
      <c r="U80" s="938"/>
      <c r="V80" s="938"/>
      <c r="W80" s="938"/>
      <c r="X80" s="938"/>
      <c r="Y80" s="938"/>
      <c r="Z80" s="938"/>
      <c r="AA80" s="938"/>
      <c r="AB80" s="938"/>
      <c r="AC80" s="938"/>
    </row>
    <row customHeight="1" ht="12">
      <c r="A81" s="1109" t="s">
        <v>2900</v>
      </c>
      <c r="B81" s="938" t="s">
        <v>2901</v>
      </c>
      <c r="D81" s="259"/>
      <c r="E81" s="262"/>
      <c r="F81" s="262"/>
      <c r="G81" s="262"/>
      <c r="H81" s="262"/>
      <c r="I81" s="262"/>
      <c r="J81" s="262"/>
      <c r="K81" s="262"/>
      <c r="L81" s="262"/>
      <c r="M81" s="262"/>
      <c r="N81" s="262"/>
      <c r="O81" s="262"/>
      <c r="P81" s="262"/>
      <c r="Q81" s="262"/>
      <c r="R81" s="262"/>
      <c r="S81" s="938"/>
      <c r="T81" s="938"/>
      <c r="U81" s="938"/>
      <c r="V81" s="938"/>
      <c r="W81" s="938"/>
      <c r="X81" s="938"/>
      <c r="Y81" s="938"/>
      <c r="Z81" s="938"/>
      <c r="AA81" s="938"/>
      <c r="AB81" s="938"/>
      <c r="AC81" s="938"/>
    </row>
    <row customHeight="1" ht="12">
      <c r="A82" s="1109" t="s">
        <v>2902</v>
      </c>
      <c r="B82" s="938" t="s">
        <v>2903</v>
      </c>
      <c r="D82" s="259"/>
      <c r="E82" s="262"/>
      <c r="F82" s="262"/>
      <c r="G82" s="262"/>
      <c r="H82" s="262"/>
      <c r="I82" s="262"/>
      <c r="J82" s="262"/>
      <c r="K82" s="262"/>
      <c r="L82" s="262"/>
      <c r="M82" s="262"/>
      <c r="N82" s="262"/>
      <c r="O82" s="262"/>
      <c r="P82" s="262"/>
      <c r="Q82" s="262"/>
      <c r="R82" s="262"/>
      <c r="S82" s="938"/>
      <c r="T82" s="938"/>
      <c r="U82" s="938"/>
      <c r="V82" s="938"/>
      <c r="W82" s="938"/>
      <c r="X82" s="938"/>
      <c r="Y82" s="938"/>
      <c r="Z82" s="938"/>
      <c r="AA82" s="938"/>
      <c r="AB82" s="938"/>
      <c r="AC82" s="938"/>
    </row>
    <row customHeight="1" ht="12">
      <c r="A83" s="1109" t="s">
        <v>2904</v>
      </c>
      <c r="B83" s="938" t="s">
        <v>2905</v>
      </c>
      <c r="D83" s="259"/>
      <c r="E83" s="262"/>
      <c r="F83" s="262"/>
      <c r="G83" s="262"/>
      <c r="H83" s="262"/>
      <c r="I83" s="262"/>
      <c r="J83" s="262"/>
      <c r="K83" s="262"/>
      <c r="L83" s="262"/>
      <c r="M83" s="262"/>
      <c r="N83" s="262"/>
      <c r="O83" s="262"/>
      <c r="P83" s="262"/>
      <c r="Q83" s="262"/>
      <c r="R83" s="262"/>
      <c r="S83" s="938"/>
      <c r="T83" s="938"/>
      <c r="U83" s="938"/>
      <c r="V83" s="938"/>
      <c r="W83" s="938"/>
      <c r="X83" s="938"/>
      <c r="Y83" s="938"/>
      <c r="Z83" s="938"/>
      <c r="AA83" s="938"/>
      <c r="AB83" s="938"/>
      <c r="AC83" s="938"/>
    </row>
    <row customHeight="1" ht="12">
      <c r="A84" s="1109" t="s">
        <v>2906</v>
      </c>
      <c r="B84" s="938" t="s">
        <v>2907</v>
      </c>
      <c r="D84" s="259"/>
      <c r="E84" s="262"/>
      <c r="F84" s="262"/>
      <c r="G84" s="262"/>
      <c r="H84" s="262"/>
      <c r="I84" s="262"/>
      <c r="J84" s="262"/>
      <c r="K84" s="262"/>
      <c r="L84" s="262"/>
      <c r="M84" s="262"/>
      <c r="N84" s="262"/>
      <c r="O84" s="262"/>
      <c r="P84" s="262"/>
      <c r="Q84" s="262"/>
      <c r="R84" s="262"/>
      <c r="S84" s="938"/>
      <c r="T84" s="938"/>
      <c r="U84" s="938"/>
      <c r="V84" s="938"/>
      <c r="W84" s="938"/>
      <c r="X84" s="938"/>
      <c r="Y84" s="938"/>
      <c r="Z84" s="938"/>
      <c r="AA84" s="938"/>
      <c r="AB84" s="938"/>
      <c r="AC84" s="938"/>
    </row>
    <row customHeight="1" ht="12">
      <c r="A85" s="1109" t="s">
        <v>2908</v>
      </c>
      <c r="B85" s="938" t="s">
        <v>2909</v>
      </c>
      <c r="D85" s="259"/>
      <c r="E85" s="262"/>
      <c r="F85" s="262"/>
      <c r="G85" s="262"/>
      <c r="H85" s="262"/>
      <c r="I85" s="262"/>
      <c r="J85" s="262"/>
      <c r="K85" s="262"/>
      <c r="L85" s="262"/>
      <c r="M85" s="262"/>
      <c r="N85" s="262"/>
      <c r="O85" s="262"/>
      <c r="P85" s="262"/>
      <c r="Q85" s="262"/>
      <c r="R85" s="262"/>
      <c r="S85" s="938"/>
      <c r="T85" s="938"/>
      <c r="U85" s="938"/>
      <c r="V85" s="938"/>
      <c r="W85" s="938"/>
      <c r="X85" s="938"/>
      <c r="Y85" s="938"/>
      <c r="Z85" s="938"/>
      <c r="AA85" s="938"/>
      <c r="AB85" s="938"/>
      <c r="AC85" s="938"/>
    </row>
    <row customHeight="1" ht="12">
      <c r="A86" s="1109" t="s">
        <v>2910</v>
      </c>
      <c r="B86" s="938" t="s">
        <v>2911</v>
      </c>
      <c r="D86" s="259"/>
      <c r="E86" s="262"/>
      <c r="F86" s="262"/>
      <c r="G86" s="262"/>
      <c r="H86" s="262"/>
      <c r="I86" s="262"/>
      <c r="J86" s="262"/>
      <c r="K86" s="262"/>
      <c r="L86" s="262"/>
      <c r="M86" s="262"/>
      <c r="N86" s="262"/>
      <c r="O86" s="262"/>
      <c r="P86" s="262"/>
      <c r="Q86" s="262"/>
      <c r="R86" s="262"/>
      <c r="S86" s="938"/>
      <c r="T86" s="938"/>
      <c r="U86" s="938"/>
      <c r="V86" s="938"/>
      <c r="W86" s="938"/>
      <c r="X86" s="938"/>
      <c r="Y86" s="938"/>
      <c r="Z86" s="938"/>
      <c r="AA86" s="938"/>
      <c r="AB86" s="938"/>
      <c r="AC86" s="938"/>
    </row>
    <row customHeight="1" ht="12">
      <c r="A87" s="1109" t="s">
        <v>2912</v>
      </c>
      <c r="B87" s="938" t="s">
        <v>2913</v>
      </c>
      <c r="D87" s="259"/>
      <c r="E87" s="262"/>
      <c r="F87" s="262"/>
      <c r="G87" s="262"/>
      <c r="H87" s="262"/>
      <c r="I87" s="262"/>
      <c r="J87" s="262"/>
      <c r="K87" s="262"/>
      <c r="L87" s="262"/>
      <c r="M87" s="262"/>
      <c r="N87" s="262"/>
      <c r="O87" s="262"/>
      <c r="P87" s="262"/>
      <c r="Q87" s="262"/>
      <c r="R87" s="262"/>
      <c r="S87" s="938"/>
      <c r="T87" s="938"/>
      <c r="U87" s="938"/>
      <c r="V87" s="938"/>
      <c r="W87" s="938"/>
      <c r="X87" s="938"/>
      <c r="Y87" s="938"/>
      <c r="Z87" s="938"/>
      <c r="AA87" s="938"/>
      <c r="AB87" s="938"/>
      <c r="AC87" s="938"/>
    </row>
    <row customHeight="1" ht="12">
      <c r="A88" s="1109" t="s">
        <v>2914</v>
      </c>
      <c r="B88" s="938" t="s">
        <v>2915</v>
      </c>
      <c r="D88" s="259"/>
      <c r="E88" s="262"/>
      <c r="F88" s="262"/>
      <c r="G88" s="262"/>
      <c r="H88" s="262"/>
      <c r="I88" s="262"/>
      <c r="J88" s="262"/>
      <c r="K88" s="262"/>
      <c r="L88" s="262"/>
      <c r="M88" s="262"/>
      <c r="N88" s="262"/>
      <c r="O88" s="262"/>
      <c r="P88" s="262"/>
      <c r="Q88" s="262"/>
      <c r="R88" s="262"/>
      <c r="S88" s="938"/>
      <c r="T88" s="938"/>
      <c r="U88" s="938"/>
      <c r="V88" s="938"/>
      <c r="W88" s="938"/>
      <c r="X88" s="938"/>
      <c r="Y88" s="938"/>
      <c r="Z88" s="938"/>
      <c r="AA88" s="938"/>
      <c r="AB88" s="938"/>
      <c r="AC88" s="938"/>
    </row>
    <row customHeight="1" ht="12">
      <c r="A89" s="1109" t="s">
        <v>2916</v>
      </c>
      <c r="B89" s="938" t="s">
        <v>2917</v>
      </c>
      <c r="D89" s="259"/>
      <c r="E89" s="262"/>
      <c r="F89" s="262"/>
      <c r="G89" s="262"/>
      <c r="H89" s="262"/>
      <c r="I89" s="262"/>
      <c r="J89" s="262"/>
      <c r="K89" s="262"/>
      <c r="L89" s="262"/>
      <c r="M89" s="262"/>
      <c r="N89" s="262"/>
      <c r="O89" s="262"/>
      <c r="P89" s="262"/>
      <c r="Q89" s="262"/>
      <c r="R89" s="262"/>
      <c r="S89" s="938"/>
      <c r="T89" s="938"/>
      <c r="U89" s="938"/>
      <c r="V89" s="938"/>
      <c r="W89" s="938"/>
      <c r="X89" s="938"/>
      <c r="Y89" s="938"/>
      <c r="Z89" s="938"/>
      <c r="AA89" s="938"/>
      <c r="AB89" s="938"/>
      <c r="AC89" s="938"/>
    </row>
    <row customHeight="1" ht="12">
      <c r="A90" s="1109" t="s">
        <v>2918</v>
      </c>
      <c r="B90" s="938" t="s">
        <v>2919</v>
      </c>
      <c r="D90" s="259"/>
      <c r="E90" s="262"/>
      <c r="F90" s="262"/>
      <c r="G90" s="262"/>
      <c r="H90" s="262"/>
      <c r="I90" s="262"/>
      <c r="J90" s="262"/>
      <c r="K90" s="262"/>
      <c r="L90" s="262"/>
      <c r="M90" s="262"/>
      <c r="N90" s="262"/>
      <c r="O90" s="262"/>
      <c r="P90" s="262"/>
      <c r="Q90" s="262"/>
      <c r="R90" s="262"/>
      <c r="S90" s="938"/>
      <c r="T90" s="938"/>
      <c r="U90" s="938"/>
      <c r="V90" s="938"/>
      <c r="W90" s="938"/>
      <c r="X90" s="938"/>
      <c r="Y90" s="938"/>
      <c r="Z90" s="938"/>
      <c r="AA90" s="938"/>
      <c r="AB90" s="938"/>
      <c r="AC90" s="938"/>
    </row>
    <row customHeight="1" ht="12">
      <c r="A91" s="1109"/>
      <c r="B91" s="938"/>
      <c r="D91" s="259"/>
      <c r="E91" s="262"/>
      <c r="F91" s="262"/>
      <c r="G91" s="262"/>
      <c r="H91" s="262"/>
      <c r="I91" s="262"/>
      <c r="J91" s="262"/>
      <c r="K91" s="262"/>
      <c r="L91" s="262"/>
      <c r="M91" s="262"/>
      <c r="N91" s="262"/>
      <c r="O91" s="262"/>
      <c r="P91" s="262"/>
      <c r="Q91" s="262"/>
      <c r="R91" s="262"/>
      <c r="S91" s="938"/>
      <c r="T91" s="938"/>
      <c r="U91" s="938"/>
      <c r="V91" s="938"/>
      <c r="W91" s="938"/>
      <c r="X91" s="938"/>
      <c r="Y91" s="938"/>
      <c r="Z91" s="938"/>
      <c r="AA91" s="938"/>
      <c r="AB91" s="938"/>
      <c r="AC91" s="938"/>
    </row>
    <row customHeight="1" ht="12">
      <c r="A92" s="1109"/>
      <c r="B92" s="938"/>
      <c r="D92" s="259"/>
      <c r="E92" s="262"/>
      <c r="F92" s="262"/>
      <c r="G92" s="262"/>
      <c r="H92" s="262"/>
      <c r="I92" s="262"/>
      <c r="J92" s="262"/>
      <c r="K92" s="262"/>
      <c r="L92" s="262"/>
      <c r="M92" s="262"/>
      <c r="N92" s="262"/>
      <c r="O92" s="262"/>
      <c r="P92" s="262"/>
      <c r="Q92" s="262"/>
      <c r="R92" s="262"/>
      <c r="S92" s="938"/>
      <c r="T92" s="938"/>
      <c r="U92" s="938"/>
      <c r="V92" s="938"/>
      <c r="W92" s="938"/>
      <c r="X92" s="938"/>
      <c r="Y92" s="938"/>
      <c r="Z92" s="938"/>
      <c r="AA92" s="938"/>
      <c r="AB92" s="938"/>
      <c r="AC92" s="938"/>
    </row>
    <row customHeight="1" ht="12">
      <c r="A93" s="1109"/>
      <c r="B93" s="938"/>
      <c r="D93" s="259"/>
      <c r="E93" s="262"/>
      <c r="F93" s="262"/>
      <c r="G93" s="262"/>
      <c r="H93" s="262"/>
      <c r="I93" s="262"/>
      <c r="J93" s="262"/>
      <c r="K93" s="262"/>
      <c r="L93" s="262"/>
      <c r="M93" s="262"/>
      <c r="N93" s="262"/>
      <c r="O93" s="262"/>
      <c r="P93" s="262"/>
      <c r="Q93" s="262"/>
      <c r="R93" s="262"/>
      <c r="S93" s="938"/>
      <c r="T93" s="938"/>
      <c r="U93" s="938"/>
      <c r="V93" s="938"/>
      <c r="W93" s="938"/>
      <c r="X93" s="938"/>
      <c r="Y93" s="938"/>
      <c r="Z93" s="938"/>
      <c r="AA93" s="938"/>
      <c r="AB93" s="938"/>
      <c r="AC93" s="938"/>
    </row>
    <row customHeight="1" ht="12">
      <c r="A94" s="1109" t="s">
        <v>2549</v>
      </c>
      <c r="B94" s="938" t="s">
        <v>2920</v>
      </c>
      <c r="D94" s="259"/>
      <c r="E94" s="262"/>
      <c r="F94" s="262"/>
      <c r="G94" s="262"/>
      <c r="H94" s="262"/>
      <c r="I94" s="262"/>
      <c r="J94" s="262"/>
      <c r="K94" s="262"/>
      <c r="L94" s="262"/>
      <c r="M94" s="262"/>
      <c r="N94" s="262"/>
      <c r="O94" s="262"/>
      <c r="P94" s="262"/>
      <c r="Q94" s="262"/>
      <c r="R94" s="262"/>
      <c r="S94" s="938"/>
      <c r="T94" s="938"/>
      <c r="U94" s="938"/>
      <c r="V94" s="938"/>
      <c r="W94" s="938"/>
      <c r="X94" s="938"/>
      <c r="Y94" s="938"/>
      <c r="Z94" s="938"/>
      <c r="AA94" s="938"/>
      <c r="AB94" s="938"/>
      <c r="AC94" s="938"/>
    </row>
    <row customHeight="1" ht="12">
      <c r="A95" s="1109" t="s">
        <v>2568</v>
      </c>
      <c r="B95" s="938" t="s">
        <v>2921</v>
      </c>
      <c r="D95" s="259"/>
      <c r="E95" s="262"/>
      <c r="F95" s="262"/>
      <c r="G95" s="262"/>
      <c r="H95" s="262"/>
      <c r="I95" s="262"/>
      <c r="J95" s="262"/>
      <c r="K95" s="262"/>
      <c r="L95" s="262"/>
      <c r="M95" s="262"/>
      <c r="N95" s="262"/>
      <c r="O95" s="262"/>
      <c r="P95" s="262"/>
      <c r="Q95" s="262"/>
      <c r="R95" s="262"/>
      <c r="S95" s="938"/>
      <c r="T95" s="938"/>
      <c r="U95" s="938"/>
      <c r="V95" s="938"/>
      <c r="W95" s="938"/>
      <c r="X95" s="938"/>
      <c r="Y95" s="938"/>
      <c r="Z95" s="938"/>
      <c r="AA95" s="938"/>
      <c r="AB95" s="938"/>
      <c r="AC95" s="938"/>
    </row>
    <row customHeight="1" ht="12">
      <c r="A96" s="1109" t="s">
        <v>2580</v>
      </c>
      <c r="B96" s="938" t="s">
        <v>2922</v>
      </c>
      <c r="D96" s="259"/>
      <c r="E96" s="262"/>
      <c r="F96" s="262"/>
      <c r="G96" s="262"/>
      <c r="H96" s="262"/>
      <c r="I96" s="262"/>
      <c r="J96" s="262"/>
      <c r="K96" s="262"/>
      <c r="L96" s="262"/>
      <c r="M96" s="262"/>
      <c r="N96" s="262"/>
      <c r="O96" s="262"/>
      <c r="P96" s="262"/>
      <c r="Q96" s="262"/>
      <c r="R96" s="262"/>
      <c r="S96" s="938"/>
      <c r="T96" s="938"/>
      <c r="U96" s="938"/>
      <c r="V96" s="938"/>
      <c r="W96" s="938"/>
      <c r="X96" s="938"/>
      <c r="Y96" s="938"/>
      <c r="Z96" s="938"/>
      <c r="AA96" s="938"/>
      <c r="AB96" s="938"/>
      <c r="AC96" s="938"/>
    </row>
    <row customHeight="1" ht="12">
      <c r="A97" s="1109" t="s">
        <v>2591</v>
      </c>
      <c r="B97" s="938" t="s">
        <v>2923</v>
      </c>
      <c r="D97" s="259"/>
      <c r="E97" s="262"/>
      <c r="F97" s="262"/>
      <c r="G97" s="262"/>
      <c r="H97" s="262"/>
      <c r="I97" s="262"/>
      <c r="J97" s="262"/>
      <c r="K97" s="262"/>
      <c r="L97" s="262"/>
      <c r="M97" s="262"/>
      <c r="N97" s="262"/>
      <c r="O97" s="262"/>
      <c r="P97" s="262"/>
      <c r="Q97" s="262"/>
      <c r="R97" s="262"/>
      <c r="S97" s="938"/>
      <c r="T97" s="938"/>
      <c r="U97" s="938"/>
      <c r="V97" s="938"/>
      <c r="W97" s="938"/>
      <c r="X97" s="938"/>
      <c r="Y97" s="938"/>
      <c r="Z97" s="938"/>
      <c r="AA97" s="938"/>
      <c r="AB97" s="938"/>
      <c r="AC97" s="938"/>
    </row>
    <row customHeight="1" ht="12">
      <c r="A98" s="1109" t="s">
        <v>2600</v>
      </c>
      <c r="B98" s="938" t="s">
        <v>2924</v>
      </c>
      <c r="D98" s="259"/>
      <c r="E98" s="262"/>
      <c r="F98" s="262"/>
      <c r="G98" s="262"/>
      <c r="H98" s="262"/>
      <c r="I98" s="262"/>
      <c r="J98" s="262"/>
      <c r="K98" s="262"/>
      <c r="L98" s="262"/>
      <c r="M98" s="262"/>
      <c r="N98" s="262"/>
      <c r="O98" s="262"/>
      <c r="P98" s="262"/>
      <c r="Q98" s="262"/>
      <c r="R98" s="262"/>
      <c r="S98" s="938"/>
      <c r="T98" s="938"/>
      <c r="U98" s="938"/>
      <c r="V98" s="938"/>
      <c r="W98" s="938"/>
      <c r="X98" s="938"/>
      <c r="Y98" s="938"/>
      <c r="Z98" s="938"/>
      <c r="AA98" s="938"/>
      <c r="AB98" s="938"/>
      <c r="AC98" s="938"/>
    </row>
    <row customHeight="1" ht="12">
      <c r="A99" s="1109" t="s">
        <v>2611</v>
      </c>
      <c r="B99" s="938" t="s">
        <v>2925</v>
      </c>
      <c r="D99" s="259"/>
      <c r="E99" s="262"/>
      <c r="F99" s="262"/>
      <c r="G99" s="262"/>
      <c r="H99" s="262"/>
      <c r="I99" s="262"/>
      <c r="J99" s="262"/>
      <c r="K99" s="262"/>
      <c r="L99" s="262"/>
      <c r="M99" s="262"/>
      <c r="N99" s="262"/>
      <c r="O99" s="262"/>
      <c r="P99" s="262"/>
      <c r="Q99" s="262"/>
      <c r="R99" s="262"/>
      <c r="S99" s="938"/>
      <c r="T99" s="938"/>
      <c r="U99" s="938"/>
      <c r="V99" s="938"/>
      <c r="W99" s="938"/>
      <c r="X99" s="938"/>
      <c r="Y99" s="938"/>
      <c r="Z99" s="938"/>
      <c r="AA99" s="938"/>
      <c r="AB99" s="938"/>
      <c r="AC99" s="938"/>
    </row>
    <row customHeight="1" ht="12">
      <c r="A100" s="1109" t="s">
        <v>2619</v>
      </c>
      <c r="B100" s="938" t="s">
        <v>2926</v>
      </c>
      <c r="D100" s="259"/>
      <c r="E100" s="262"/>
      <c r="F100" s="262"/>
      <c r="G100" s="262"/>
      <c r="H100" s="262"/>
      <c r="I100" s="262"/>
      <c r="J100" s="262"/>
      <c r="K100" s="262"/>
      <c r="L100" s="262"/>
      <c r="M100" s="262"/>
      <c r="N100" s="262"/>
      <c r="O100" s="954"/>
      <c r="P100" s="262"/>
      <c r="Q100" s="262"/>
      <c r="R100" s="262"/>
      <c r="S100" s="938"/>
      <c r="T100" s="938"/>
      <c r="U100" s="938"/>
      <c r="V100" s="938"/>
      <c r="W100" s="938"/>
      <c r="X100" s="938"/>
      <c r="Y100" s="938"/>
      <c r="Z100" s="938"/>
      <c r="AA100" s="938"/>
      <c r="AB100" s="938"/>
      <c r="AC100" s="938"/>
    </row>
    <row customHeight="1" ht="12">
      <c r="A101" s="1109" t="s">
        <v>2629</v>
      </c>
      <c r="B101" s="938" t="s">
        <v>2927</v>
      </c>
      <c r="D101" s="259"/>
      <c r="E101" s="262"/>
      <c r="F101" s="262"/>
      <c r="G101" s="262"/>
      <c r="H101" s="262"/>
      <c r="I101" s="262"/>
      <c r="J101" s="262"/>
      <c r="K101" s="262"/>
      <c r="L101" s="262"/>
      <c r="M101" s="262"/>
      <c r="N101" s="262"/>
      <c r="O101" s="954"/>
      <c r="P101" s="262"/>
      <c r="Q101" s="262"/>
      <c r="R101" s="262"/>
      <c r="S101" s="938"/>
      <c r="T101" s="938"/>
      <c r="U101" s="938"/>
      <c r="V101" s="938"/>
      <c r="W101" s="938"/>
      <c r="X101" s="938"/>
      <c r="Y101" s="938"/>
      <c r="Z101" s="938"/>
      <c r="AA101" s="938"/>
      <c r="AB101" s="938"/>
      <c r="AC101" s="938"/>
    </row>
    <row customHeight="1" ht="12">
      <c r="A102" s="1109" t="s">
        <v>2637</v>
      </c>
      <c r="B102" s="938" t="s">
        <v>2928</v>
      </c>
      <c r="D102" s="259"/>
      <c r="E102" s="262"/>
      <c r="F102" s="262"/>
      <c r="G102" s="262"/>
      <c r="H102" s="262"/>
      <c r="I102" s="262"/>
      <c r="J102" s="262"/>
      <c r="K102" s="262"/>
      <c r="L102" s="262"/>
      <c r="M102" s="262"/>
      <c r="N102" s="262"/>
      <c r="O102" s="954"/>
      <c r="P102" s="262"/>
      <c r="Q102" s="262"/>
      <c r="R102" s="262"/>
      <c r="S102" s="938"/>
      <c r="T102" s="938"/>
      <c r="U102" s="938"/>
      <c r="V102" s="938"/>
      <c r="W102" s="938"/>
      <c r="X102" s="938"/>
      <c r="Y102" s="938"/>
      <c r="Z102" s="938"/>
      <c r="AA102" s="938"/>
      <c r="AB102" s="938"/>
      <c r="AC102" s="938"/>
    </row>
    <row customHeight="1" ht="12">
      <c r="A103" s="1109" t="s">
        <v>2646</v>
      </c>
      <c r="B103" s="938" t="s">
        <v>2929</v>
      </c>
      <c r="D103" s="259"/>
      <c r="E103" s="262"/>
      <c r="F103" s="262"/>
      <c r="G103" s="262"/>
      <c r="H103" s="262"/>
      <c r="I103" s="262"/>
      <c r="J103" s="262"/>
      <c r="K103" s="262"/>
      <c r="L103" s="262"/>
      <c r="M103" s="262"/>
      <c r="N103" s="262"/>
      <c r="O103" s="954"/>
      <c r="P103" s="262"/>
      <c r="Q103" s="262"/>
      <c r="R103" s="262"/>
      <c r="S103" s="938"/>
      <c r="T103" s="938"/>
      <c r="U103" s="938"/>
      <c r="V103" s="938"/>
      <c r="W103" s="938"/>
      <c r="X103" s="938"/>
      <c r="Y103" s="938"/>
      <c r="Z103" s="938"/>
      <c r="AA103" s="938"/>
      <c r="AB103" s="938"/>
      <c r="AC103" s="938"/>
    </row>
    <row customHeight="1" ht="12">
      <c r="A104" s="1109" t="s">
        <v>2653</v>
      </c>
      <c r="B104" s="938" t="s">
        <v>2930</v>
      </c>
      <c r="D104" s="259"/>
      <c r="E104" s="262"/>
      <c r="F104" s="262"/>
      <c r="G104" s="262"/>
      <c r="H104" s="262"/>
      <c r="I104" s="262"/>
      <c r="J104" s="262"/>
      <c r="K104" s="262"/>
      <c r="L104" s="262"/>
      <c r="M104" s="262"/>
      <c r="N104" s="262"/>
      <c r="O104" s="954"/>
      <c r="P104" s="262"/>
      <c r="Q104" s="262"/>
      <c r="R104" s="262"/>
      <c r="S104" s="938"/>
      <c r="T104" s="938"/>
      <c r="U104" s="938"/>
      <c r="V104" s="938"/>
      <c r="W104" s="938"/>
      <c r="X104" s="938"/>
      <c r="Y104" s="938"/>
      <c r="Z104" s="938"/>
      <c r="AA104" s="938"/>
      <c r="AB104" s="938"/>
      <c r="AC104" s="938"/>
    </row>
    <row customHeight="1" ht="12">
      <c r="A105" s="1109" t="s">
        <v>2931</v>
      </c>
      <c r="B105" s="938" t="s">
        <v>2932</v>
      </c>
      <c r="D105" s="259"/>
      <c r="E105" s="262"/>
      <c r="F105" s="262"/>
      <c r="G105" s="262"/>
      <c r="H105" s="262"/>
      <c r="I105" s="262"/>
      <c r="J105" s="262"/>
      <c r="K105" s="262"/>
      <c r="L105" s="262"/>
      <c r="M105" s="262"/>
      <c r="N105" s="262"/>
      <c r="O105" s="954"/>
      <c r="P105" s="262"/>
      <c r="Q105" s="262"/>
      <c r="R105" s="262"/>
      <c r="S105" s="938"/>
      <c r="T105" s="938"/>
      <c r="U105" s="938"/>
      <c r="V105" s="938"/>
      <c r="W105" s="938"/>
      <c r="X105" s="938"/>
      <c r="Y105" s="938"/>
      <c r="Z105" s="938"/>
      <c r="AA105" s="938"/>
      <c r="AB105" s="938"/>
      <c r="AC105" s="938"/>
    </row>
    <row customHeight="1" ht="12">
      <c r="A106" s="1109" t="s">
        <v>2933</v>
      </c>
      <c r="B106" s="938" t="s">
        <v>2934</v>
      </c>
      <c r="D106" s="259"/>
      <c r="E106" s="262"/>
      <c r="F106" s="262"/>
      <c r="G106" s="262"/>
      <c r="H106" s="262"/>
      <c r="I106" s="262"/>
      <c r="J106" s="262"/>
      <c r="K106" s="262"/>
      <c r="L106" s="262"/>
      <c r="M106" s="262"/>
      <c r="N106" s="262"/>
      <c r="O106" s="954"/>
      <c r="P106" s="262"/>
      <c r="Q106" s="262"/>
      <c r="R106" s="262"/>
      <c r="S106" s="938"/>
      <c r="T106" s="938"/>
      <c r="U106" s="938"/>
      <c r="V106" s="938"/>
      <c r="W106" s="938"/>
      <c r="X106" s="938"/>
      <c r="Y106" s="938"/>
      <c r="Z106" s="938"/>
      <c r="AA106" s="938"/>
      <c r="AB106" s="938"/>
      <c r="AC106" s="938"/>
    </row>
    <row customHeight="1" ht="12">
      <c r="A107" s="1109" t="s">
        <v>2935</v>
      </c>
      <c r="B107" s="938" t="s">
        <v>2936</v>
      </c>
      <c r="D107" s="259"/>
      <c r="E107" s="262"/>
      <c r="F107" s="262"/>
      <c r="G107" s="262"/>
      <c r="H107" s="262"/>
      <c r="I107" s="262"/>
      <c r="J107" s="262"/>
      <c r="K107" s="262"/>
      <c r="L107" s="262"/>
      <c r="M107" s="262"/>
      <c r="N107" s="262"/>
      <c r="O107" s="954"/>
      <c r="P107" s="262"/>
      <c r="Q107" s="262"/>
      <c r="R107" s="262"/>
      <c r="S107" s="938"/>
      <c r="T107" s="938"/>
      <c r="U107" s="938"/>
      <c r="V107" s="938"/>
      <c r="W107" s="938"/>
      <c r="X107" s="938"/>
      <c r="Y107" s="938"/>
      <c r="Z107" s="938"/>
      <c r="AA107" s="938"/>
      <c r="AB107" s="938"/>
      <c r="AC107" s="938"/>
    </row>
    <row customHeight="1" ht="12">
      <c r="A108" s="1109" t="s">
        <v>2686</v>
      </c>
      <c r="B108" s="938" t="s">
        <v>2937</v>
      </c>
      <c r="D108" s="259"/>
      <c r="E108" s="262"/>
      <c r="F108" s="262"/>
      <c r="G108" s="262"/>
      <c r="H108" s="262"/>
      <c r="I108" s="262"/>
      <c r="J108" s="262"/>
      <c r="K108" s="262"/>
      <c r="L108" s="262"/>
      <c r="M108" s="954"/>
      <c r="N108" s="262"/>
      <c r="O108" s="954"/>
      <c r="P108" s="262"/>
      <c r="Q108" s="262"/>
      <c r="R108" s="262"/>
      <c r="S108" s="938"/>
      <c r="T108" s="938"/>
      <c r="U108" s="938"/>
      <c r="V108" s="938"/>
      <c r="W108" s="938"/>
      <c r="X108" s="938"/>
      <c r="Y108" s="938"/>
      <c r="Z108" s="938"/>
      <c r="AA108" s="938"/>
      <c r="AB108" s="938"/>
      <c r="AC108" s="938"/>
    </row>
    <row customHeight="1" ht="12">
      <c r="A109" s="1109" t="s">
        <v>2691</v>
      </c>
      <c r="B109" s="938" t="s">
        <v>2938</v>
      </c>
      <c r="D109" s="259"/>
      <c r="E109" s="262"/>
      <c r="F109" s="262"/>
      <c r="G109" s="262"/>
      <c r="H109" s="262"/>
      <c r="I109" s="262"/>
      <c r="J109" s="262"/>
      <c r="K109" s="262"/>
      <c r="L109" s="262"/>
      <c r="M109" s="954"/>
      <c r="N109" s="262"/>
      <c r="O109" s="954"/>
      <c r="P109" s="262"/>
      <c r="Q109" s="262"/>
      <c r="R109" s="262"/>
      <c r="S109" s="938"/>
      <c r="T109" s="938"/>
      <c r="U109" s="938"/>
      <c r="V109" s="938"/>
      <c r="W109" s="938"/>
      <c r="X109" s="938"/>
      <c r="Y109" s="938"/>
      <c r="Z109" s="938"/>
      <c r="AA109" s="938"/>
      <c r="AB109" s="938"/>
      <c r="AC109" s="938"/>
    </row>
    <row customHeight="1" ht="12">
      <c r="A110" s="1109" t="s">
        <v>2701</v>
      </c>
      <c r="B110" s="938" t="s">
        <v>2939</v>
      </c>
      <c r="D110" s="259"/>
      <c r="E110" s="262"/>
      <c r="F110" s="262"/>
      <c r="G110" s="262"/>
      <c r="H110" s="262"/>
      <c r="I110" s="262"/>
      <c r="J110" s="262"/>
      <c r="K110" s="262"/>
      <c r="L110" s="262"/>
      <c r="M110" s="954"/>
      <c r="N110" s="262"/>
      <c r="O110" s="954"/>
      <c r="P110" s="262"/>
      <c r="Q110" s="262"/>
      <c r="R110" s="262"/>
      <c r="S110" s="938"/>
      <c r="T110" s="938"/>
      <c r="U110" s="938"/>
      <c r="V110" s="938"/>
      <c r="W110" s="938"/>
      <c r="X110" s="938"/>
      <c r="Y110" s="938"/>
      <c r="Z110" s="938"/>
      <c r="AA110" s="938"/>
      <c r="AB110" s="938"/>
      <c r="AC110" s="938"/>
    </row>
    <row customHeight="1" ht="12">
      <c r="A111" s="1109" t="s">
        <v>2705</v>
      </c>
      <c r="B111" s="938" t="s">
        <v>2940</v>
      </c>
      <c r="D111" s="259"/>
      <c r="E111" s="262"/>
      <c r="F111" s="262"/>
      <c r="G111" s="262"/>
      <c r="H111" s="262"/>
      <c r="I111" s="262"/>
      <c r="J111" s="262"/>
      <c r="K111" s="262"/>
      <c r="L111" s="262"/>
      <c r="M111" s="954"/>
      <c r="N111" s="262"/>
      <c r="O111" s="954"/>
      <c r="P111" s="262"/>
      <c r="Q111" s="262"/>
      <c r="R111" s="262"/>
      <c r="S111" s="938"/>
      <c r="T111" s="938"/>
      <c r="U111" s="938"/>
      <c r="V111" s="938"/>
      <c r="W111" s="938"/>
      <c r="X111" s="938"/>
      <c r="Y111" s="938"/>
      <c r="Z111" s="938"/>
      <c r="AA111" s="938"/>
      <c r="AB111" s="938"/>
      <c r="AC111" s="938"/>
    </row>
    <row customHeight="1" ht="12">
      <c r="A112" s="1109" t="s">
        <v>2709</v>
      </c>
      <c r="B112" s="938" t="s">
        <v>2941</v>
      </c>
      <c r="D112" s="259"/>
      <c r="E112" s="262"/>
      <c r="F112" s="262"/>
      <c r="G112" s="262"/>
      <c r="H112" s="262"/>
      <c r="I112" s="262"/>
      <c r="J112" s="262"/>
      <c r="K112" s="262"/>
      <c r="L112" s="262"/>
      <c r="M112" s="954"/>
      <c r="N112" s="262"/>
      <c r="O112" s="954"/>
      <c r="P112" s="262"/>
      <c r="Q112" s="262"/>
      <c r="R112" s="262"/>
      <c r="S112" s="938"/>
      <c r="T112" s="938"/>
      <c r="U112" s="938"/>
      <c r="V112" s="938"/>
      <c r="W112" s="938"/>
      <c r="X112" s="938"/>
      <c r="Y112" s="938"/>
      <c r="Z112" s="938"/>
      <c r="AA112" s="938"/>
      <c r="AB112" s="938"/>
      <c r="AC112" s="938"/>
    </row>
    <row customHeight="1" ht="12">
      <c r="A113" s="1109" t="s">
        <v>2715</v>
      </c>
      <c r="B113" s="938" t="s">
        <v>2942</v>
      </c>
      <c r="D113" s="259"/>
      <c r="E113" s="262"/>
      <c r="F113" s="262"/>
      <c r="G113" s="262"/>
      <c r="H113" s="262"/>
      <c r="I113" s="262"/>
      <c r="J113" s="262"/>
      <c r="K113" s="262"/>
      <c r="L113" s="262"/>
      <c r="M113" s="954"/>
      <c r="N113" s="262"/>
      <c r="O113" s="954"/>
      <c r="P113" s="262"/>
      <c r="Q113" s="262"/>
      <c r="R113" s="262"/>
      <c r="S113" s="938"/>
      <c r="T113" s="938"/>
      <c r="U113" s="938"/>
      <c r="V113" s="938"/>
      <c r="W113" s="938"/>
      <c r="X113" s="938"/>
      <c r="Y113" s="938"/>
      <c r="Z113" s="938"/>
      <c r="AA113" s="938"/>
      <c r="AB113" s="938"/>
      <c r="AC113" s="938"/>
    </row>
    <row customHeight="1" ht="12">
      <c r="A114" s="1109" t="s">
        <v>2719</v>
      </c>
      <c r="B114" s="938" t="s">
        <v>2943</v>
      </c>
      <c r="D114" s="259"/>
      <c r="E114" s="262"/>
      <c r="F114" s="262"/>
      <c r="G114" s="262"/>
      <c r="H114" s="262"/>
      <c r="I114" s="262"/>
      <c r="J114" s="262"/>
      <c r="K114" s="262"/>
      <c r="L114" s="262"/>
      <c r="M114" s="954"/>
      <c r="N114" s="262"/>
      <c r="O114" s="954"/>
      <c r="P114" s="262"/>
      <c r="Q114" s="262"/>
      <c r="R114" s="262"/>
      <c r="S114" s="938"/>
      <c r="T114" s="938"/>
      <c r="U114" s="938"/>
      <c r="V114" s="938"/>
      <c r="W114" s="938"/>
      <c r="X114" s="938"/>
      <c r="Y114" s="938"/>
      <c r="Z114" s="938"/>
      <c r="AA114" s="938"/>
      <c r="AB114" s="938"/>
      <c r="AC114" s="938"/>
    </row>
    <row customHeight="1" ht="12">
      <c r="A115" s="1109" t="s">
        <v>2724</v>
      </c>
      <c r="B115" s="938" t="s">
        <v>2944</v>
      </c>
      <c r="D115" s="259"/>
      <c r="E115" s="262"/>
      <c r="F115" s="262"/>
      <c r="G115" s="262"/>
      <c r="H115" s="262"/>
      <c r="I115" s="262"/>
      <c r="J115" s="262"/>
      <c r="K115" s="262"/>
      <c r="L115" s="262"/>
      <c r="M115" s="954"/>
      <c r="N115" s="262"/>
      <c r="O115" s="954"/>
      <c r="P115" s="262"/>
      <c r="Q115" s="262"/>
      <c r="R115" s="262"/>
      <c r="S115" s="938"/>
      <c r="T115" s="938"/>
      <c r="U115" s="938"/>
      <c r="V115" s="938"/>
      <c r="W115" s="938"/>
      <c r="X115" s="938"/>
      <c r="Y115" s="938"/>
      <c r="Z115" s="938"/>
      <c r="AA115" s="938"/>
      <c r="AB115" s="938"/>
      <c r="AC115" s="938"/>
    </row>
    <row customHeight="1" ht="12">
      <c r="A116" s="1109" t="s">
        <v>2729</v>
      </c>
      <c r="B116" s="938" t="s">
        <v>2945</v>
      </c>
      <c r="D116" s="259"/>
      <c r="E116" s="262"/>
      <c r="F116" s="262"/>
      <c r="G116" s="262"/>
      <c r="H116" s="262"/>
      <c r="I116" s="262"/>
      <c r="J116" s="262"/>
      <c r="K116" s="262"/>
      <c r="L116" s="262"/>
      <c r="M116" s="954"/>
      <c r="N116" s="262"/>
      <c r="O116" s="954"/>
      <c r="P116" s="262"/>
      <c r="Q116" s="262"/>
      <c r="R116" s="262"/>
      <c r="S116" s="938"/>
      <c r="T116" s="938"/>
      <c r="U116" s="938"/>
      <c r="V116" s="938"/>
      <c r="W116" s="938"/>
      <c r="X116" s="938"/>
      <c r="Y116" s="938"/>
      <c r="Z116" s="938"/>
      <c r="AA116" s="938"/>
      <c r="AB116" s="938"/>
      <c r="AC116" s="938"/>
    </row>
    <row customHeight="1" ht="12">
      <c r="A117" s="1109" t="s">
        <v>116</v>
      </c>
      <c r="B117" s="938" t="s">
        <v>2946</v>
      </c>
      <c r="D117" s="259"/>
      <c r="E117" s="262"/>
      <c r="F117" s="262"/>
      <c r="G117" s="262"/>
      <c r="H117" s="262"/>
      <c r="I117" s="262"/>
      <c r="J117" s="262"/>
      <c r="K117" s="262"/>
      <c r="L117" s="262"/>
      <c r="M117" s="954"/>
      <c r="N117" s="262"/>
      <c r="O117" s="954"/>
      <c r="P117" s="262"/>
      <c r="Q117" s="262"/>
      <c r="R117" s="262"/>
      <c r="S117" s="938"/>
      <c r="T117" s="938"/>
      <c r="U117" s="938"/>
      <c r="V117" s="938"/>
      <c r="W117" s="938"/>
      <c r="X117" s="938"/>
      <c r="Y117" s="938"/>
      <c r="Z117" s="938"/>
      <c r="AA117" s="938"/>
      <c r="AB117" s="938"/>
      <c r="AC117" s="938"/>
    </row>
    <row customHeight="1" ht="12">
      <c r="A118" s="1109" t="s">
        <v>2737</v>
      </c>
      <c r="B118" s="938" t="s">
        <v>2947</v>
      </c>
      <c r="D118" s="259"/>
      <c r="E118" s="262"/>
      <c r="F118" s="262"/>
      <c r="G118" s="262"/>
      <c r="H118" s="262"/>
      <c r="I118" s="262"/>
      <c r="J118" s="262"/>
      <c r="K118" s="262"/>
      <c r="L118" s="262"/>
      <c r="M118" s="954"/>
      <c r="N118" s="262"/>
      <c r="O118" s="954"/>
      <c r="P118" s="262"/>
      <c r="Q118" s="262"/>
      <c r="R118" s="262"/>
      <c r="S118" s="938"/>
      <c r="T118" s="938"/>
      <c r="U118" s="938"/>
      <c r="V118" s="938"/>
      <c r="W118" s="938"/>
      <c r="X118" s="938"/>
      <c r="Y118" s="938"/>
      <c r="Z118" s="938"/>
      <c r="AA118" s="938"/>
      <c r="AB118" s="938"/>
      <c r="AC118" s="938"/>
    </row>
    <row customHeight="1" ht="12">
      <c r="A119" s="1109" t="s">
        <v>2742</v>
      </c>
      <c r="B119" s="938" t="s">
        <v>2948</v>
      </c>
      <c r="D119" s="259"/>
      <c r="E119" s="262"/>
      <c r="F119" s="262"/>
      <c r="G119" s="262"/>
      <c r="H119" s="262"/>
      <c r="I119" s="262"/>
      <c r="J119" s="262"/>
      <c r="K119" s="262"/>
      <c r="L119" s="262"/>
      <c r="M119" s="954"/>
      <c r="N119" s="262"/>
      <c r="O119" s="954"/>
      <c r="P119" s="262"/>
      <c r="Q119" s="262"/>
      <c r="R119" s="262"/>
      <c r="S119" s="938"/>
      <c r="T119" s="938"/>
      <c r="U119" s="938"/>
      <c r="V119" s="938"/>
      <c r="W119" s="938"/>
      <c r="X119" s="938"/>
      <c r="Y119" s="938"/>
      <c r="Z119" s="938"/>
      <c r="AA119" s="938"/>
      <c r="AB119" s="938"/>
      <c r="AC119" s="938"/>
    </row>
    <row customHeight="1" ht="12">
      <c r="A120" s="1109" t="s">
        <v>2747</v>
      </c>
      <c r="B120" s="938" t="s">
        <v>2949</v>
      </c>
      <c r="D120" s="259"/>
      <c r="E120" s="262"/>
      <c r="F120" s="262"/>
      <c r="G120" s="262"/>
      <c r="H120" s="262"/>
      <c r="I120" s="262"/>
      <c r="J120" s="262"/>
      <c r="K120" s="262"/>
      <c r="L120" s="262"/>
      <c r="M120" s="954"/>
      <c r="N120" s="262"/>
      <c r="O120" s="954"/>
      <c r="P120" s="262"/>
      <c r="Q120" s="262"/>
      <c r="R120" s="262"/>
      <c r="S120" s="938"/>
      <c r="T120" s="938"/>
      <c r="U120" s="938"/>
      <c r="V120" s="938"/>
      <c r="W120" s="938"/>
      <c r="X120" s="938"/>
      <c r="Y120" s="938"/>
      <c r="Z120" s="938"/>
      <c r="AA120" s="938"/>
      <c r="AB120" s="938"/>
      <c r="AC120" s="938"/>
    </row>
    <row customHeight="1" ht="12">
      <c r="A121" s="1109" t="s">
        <v>2751</v>
      </c>
      <c r="B121" s="938" t="s">
        <v>2950</v>
      </c>
      <c r="D121" s="259"/>
      <c r="E121" s="262"/>
      <c r="F121" s="262"/>
      <c r="G121" s="262"/>
      <c r="H121" s="262"/>
      <c r="I121" s="262"/>
      <c r="J121" s="262"/>
      <c r="K121" s="262"/>
      <c r="L121" s="262"/>
      <c r="M121" s="954"/>
      <c r="N121" s="262"/>
      <c r="O121" s="954"/>
      <c r="P121" s="262"/>
      <c r="Q121" s="262"/>
      <c r="R121" s="262"/>
      <c r="S121" s="938"/>
      <c r="T121" s="938"/>
      <c r="U121" s="938"/>
      <c r="V121" s="938"/>
      <c r="W121" s="938"/>
      <c r="X121" s="938"/>
      <c r="Y121" s="938"/>
      <c r="Z121" s="938"/>
      <c r="AA121" s="938"/>
      <c r="AB121" s="938"/>
      <c r="AC121" s="938"/>
    </row>
    <row customHeight="1" ht="12">
      <c r="A122" s="1109" t="s">
        <v>2756</v>
      </c>
      <c r="B122" s="938" t="s">
        <v>2951</v>
      </c>
      <c r="D122" s="259"/>
      <c r="E122" s="262"/>
      <c r="F122" s="262"/>
      <c r="G122" s="262"/>
      <c r="H122" s="262"/>
      <c r="I122" s="262"/>
      <c r="J122" s="262"/>
      <c r="K122" s="262"/>
      <c r="L122" s="262"/>
      <c r="M122" s="954"/>
      <c r="N122" s="262"/>
      <c r="O122" s="954"/>
      <c r="P122" s="262"/>
      <c r="Q122" s="262"/>
      <c r="R122" s="262"/>
      <c r="S122" s="938"/>
      <c r="T122" s="938"/>
      <c r="U122" s="938"/>
      <c r="V122" s="938"/>
      <c r="W122" s="938"/>
      <c r="X122" s="938"/>
      <c r="Y122" s="938"/>
      <c r="Z122" s="938"/>
      <c r="AA122" s="938"/>
      <c r="AB122" s="938"/>
      <c r="AC122" s="938"/>
    </row>
    <row customHeight="1" ht="12">
      <c r="A123" s="1109" t="s">
        <v>2761</v>
      </c>
      <c r="B123" s="938" t="s">
        <v>2952</v>
      </c>
      <c r="D123" s="259"/>
      <c r="E123" s="262"/>
      <c r="F123" s="262"/>
      <c r="G123" s="262"/>
      <c r="H123" s="262"/>
      <c r="I123" s="262"/>
      <c r="J123" s="262"/>
      <c r="K123" s="262"/>
      <c r="L123" s="262"/>
      <c r="M123" s="954"/>
      <c r="N123" s="262"/>
      <c r="O123" s="954"/>
      <c r="P123" s="262"/>
      <c r="Q123" s="262"/>
      <c r="R123" s="262"/>
      <c r="S123" s="938"/>
      <c r="T123" s="938"/>
      <c r="U123" s="938"/>
      <c r="V123" s="938"/>
      <c r="W123" s="938"/>
      <c r="X123" s="938"/>
      <c r="Y123" s="938"/>
      <c r="Z123" s="938"/>
      <c r="AA123" s="938"/>
      <c r="AB123" s="938"/>
      <c r="AC123" s="938"/>
    </row>
    <row customHeight="1" ht="12">
      <c r="A124" s="1109" t="s">
        <v>2766</v>
      </c>
      <c r="B124" s="938" t="s">
        <v>2953</v>
      </c>
      <c r="D124" s="259"/>
      <c r="E124" s="262"/>
      <c r="F124" s="262"/>
      <c r="G124" s="262"/>
      <c r="H124" s="262"/>
      <c r="I124" s="262"/>
      <c r="J124" s="262"/>
      <c r="K124" s="262"/>
      <c r="L124" s="262"/>
      <c r="M124" s="954"/>
      <c r="N124" s="262"/>
      <c r="O124" s="954"/>
      <c r="P124" s="262"/>
      <c r="Q124" s="262"/>
      <c r="R124" s="262"/>
      <c r="S124" s="938"/>
      <c r="T124" s="938"/>
      <c r="U124" s="938"/>
      <c r="V124" s="938"/>
      <c r="W124" s="938"/>
      <c r="X124" s="938"/>
      <c r="Y124" s="938"/>
      <c r="Z124" s="938"/>
      <c r="AA124" s="938"/>
      <c r="AB124" s="938"/>
      <c r="AC124" s="938"/>
    </row>
    <row customHeight="1" ht="12">
      <c r="A125" s="1109" t="s">
        <v>2771</v>
      </c>
      <c r="B125" s="938" t="s">
        <v>2954</v>
      </c>
      <c r="D125" s="259"/>
      <c r="E125" s="262"/>
      <c r="F125" s="262"/>
      <c r="G125" s="262"/>
      <c r="H125" s="262"/>
      <c r="I125" s="262"/>
      <c r="J125" s="262"/>
      <c r="K125" s="262"/>
      <c r="L125" s="262"/>
      <c r="M125" s="954"/>
      <c r="N125" s="262"/>
      <c r="O125" s="954"/>
      <c r="P125" s="262"/>
      <c r="Q125" s="262"/>
      <c r="R125" s="262"/>
      <c r="S125" s="938"/>
      <c r="T125" s="938"/>
      <c r="U125" s="938"/>
      <c r="V125" s="938"/>
      <c r="W125" s="938"/>
      <c r="X125" s="938"/>
      <c r="Y125" s="938"/>
      <c r="Z125" s="938"/>
      <c r="AA125" s="938"/>
      <c r="AB125" s="938"/>
      <c r="AC125" s="938"/>
    </row>
    <row customHeight="1" ht="12">
      <c r="A126" s="1109" t="s">
        <v>2779</v>
      </c>
      <c r="B126" s="938" t="s">
        <v>2955</v>
      </c>
      <c r="D126" s="259"/>
      <c r="E126" s="262"/>
      <c r="F126" s="262"/>
      <c r="G126" s="262"/>
      <c r="H126" s="262"/>
      <c r="I126" s="262"/>
      <c r="J126" s="262"/>
      <c r="K126" s="262"/>
      <c r="L126" s="262"/>
      <c r="M126" s="954"/>
      <c r="N126" s="262"/>
      <c r="O126" s="954"/>
      <c r="P126" s="262"/>
      <c r="Q126" s="262"/>
      <c r="R126" s="262"/>
      <c r="S126" s="938"/>
      <c r="T126" s="938"/>
      <c r="U126" s="938"/>
      <c r="V126" s="938"/>
      <c r="W126" s="938"/>
      <c r="X126" s="938"/>
      <c r="Y126" s="938"/>
      <c r="Z126" s="938"/>
      <c r="AA126" s="938"/>
      <c r="AB126" s="938"/>
      <c r="AC126" s="938"/>
    </row>
    <row customHeight="1" ht="12">
      <c r="A127" s="1109" t="s">
        <v>2783</v>
      </c>
      <c r="B127" s="938" t="s">
        <v>2956</v>
      </c>
      <c r="D127" s="259"/>
      <c r="E127" s="262"/>
      <c r="F127" s="262"/>
      <c r="G127" s="262"/>
      <c r="H127" s="262"/>
      <c r="I127" s="262"/>
      <c r="J127" s="262"/>
      <c r="K127" s="262"/>
      <c r="L127" s="262"/>
      <c r="M127" s="954"/>
      <c r="N127" s="262"/>
      <c r="O127" s="954"/>
      <c r="P127" s="262"/>
      <c r="Q127" s="262"/>
      <c r="R127" s="262"/>
      <c r="S127" s="938"/>
      <c r="T127" s="938"/>
      <c r="U127" s="938"/>
      <c r="V127" s="938"/>
      <c r="W127" s="938"/>
      <c r="X127" s="938"/>
      <c r="Y127" s="938"/>
      <c r="Z127" s="938"/>
      <c r="AA127" s="938"/>
      <c r="AB127" s="938"/>
      <c r="AC127" s="938"/>
    </row>
    <row customHeight="1" ht="12">
      <c r="A128" s="1109" t="s">
        <v>2785</v>
      </c>
      <c r="B128" s="938" t="s">
        <v>2957</v>
      </c>
      <c r="D128" s="259"/>
      <c r="E128" s="262"/>
      <c r="F128" s="262"/>
      <c r="G128" s="262"/>
      <c r="H128" s="262"/>
      <c r="I128" s="262"/>
      <c r="J128" s="262"/>
      <c r="K128" s="262"/>
      <c r="L128" s="262"/>
      <c r="M128" s="954"/>
      <c r="N128" s="262"/>
      <c r="O128" s="954"/>
      <c r="P128" s="262"/>
      <c r="Q128" s="262"/>
      <c r="R128" s="262"/>
      <c r="S128" s="938"/>
      <c r="T128" s="938"/>
      <c r="U128" s="938"/>
      <c r="V128" s="938"/>
      <c r="W128" s="938"/>
      <c r="X128" s="938"/>
      <c r="Y128" s="938"/>
      <c r="Z128" s="938"/>
      <c r="AA128" s="938"/>
      <c r="AB128" s="938"/>
      <c r="AC128" s="938"/>
    </row>
    <row customHeight="1" ht="12">
      <c r="A129" s="1109" t="s">
        <v>2789</v>
      </c>
      <c r="B129" s="938" t="s">
        <v>2958</v>
      </c>
      <c r="D129" s="259"/>
      <c r="E129" s="262"/>
      <c r="F129" s="262"/>
      <c r="G129" s="262"/>
      <c r="H129" s="262"/>
      <c r="I129" s="262"/>
      <c r="J129" s="262"/>
      <c r="K129" s="262"/>
      <c r="L129" s="262"/>
      <c r="M129" s="954"/>
      <c r="N129" s="262"/>
      <c r="O129" s="954"/>
      <c r="P129" s="262"/>
      <c r="Q129" s="262"/>
      <c r="R129" s="262"/>
      <c r="S129" s="938"/>
      <c r="T129" s="938"/>
      <c r="U129" s="938"/>
      <c r="V129" s="938"/>
      <c r="W129" s="938"/>
      <c r="X129" s="938"/>
      <c r="Y129" s="938"/>
      <c r="Z129" s="938"/>
      <c r="AA129" s="938"/>
      <c r="AB129" s="938"/>
      <c r="AC129" s="938"/>
    </row>
    <row customHeight="1" ht="12">
      <c r="A130" s="1109" t="s">
        <v>2793</v>
      </c>
      <c r="B130" s="938" t="s">
        <v>2959</v>
      </c>
      <c r="D130" s="259"/>
      <c r="E130" s="262"/>
      <c r="F130" s="262"/>
      <c r="G130" s="262"/>
      <c r="H130" s="262"/>
      <c r="I130" s="262"/>
      <c r="J130" s="262"/>
      <c r="K130" s="262"/>
      <c r="L130" s="954"/>
      <c r="M130" s="954"/>
      <c r="N130" s="262"/>
      <c r="O130" s="262"/>
      <c r="P130" s="262"/>
      <c r="Q130" s="262"/>
      <c r="R130" s="262"/>
      <c r="S130" s="938"/>
      <c r="T130" s="938"/>
      <c r="U130" s="938"/>
      <c r="V130" s="938"/>
      <c r="W130" s="938"/>
      <c r="X130" s="938"/>
      <c r="Y130" s="938"/>
      <c r="Z130" s="938"/>
      <c r="AA130" s="938"/>
      <c r="AB130" s="938"/>
      <c r="AC130" s="938"/>
    </row>
    <row customHeight="1" ht="12">
      <c r="A131" s="1109" t="s">
        <v>2797</v>
      </c>
      <c r="B131" s="938" t="s">
        <v>2960</v>
      </c>
      <c r="D131" s="259"/>
      <c r="E131" s="262"/>
      <c r="F131" s="262"/>
      <c r="G131" s="262"/>
      <c r="H131" s="262"/>
      <c r="I131" s="262"/>
      <c r="J131" s="262"/>
      <c r="K131" s="262"/>
      <c r="L131" s="954"/>
      <c r="M131" s="954"/>
      <c r="N131" s="262"/>
      <c r="O131" s="262"/>
      <c r="P131" s="262"/>
      <c r="Q131" s="262"/>
      <c r="R131" s="262"/>
      <c r="S131" s="938"/>
      <c r="T131" s="938"/>
      <c r="U131" s="938"/>
      <c r="V131" s="938"/>
      <c r="W131" s="938"/>
      <c r="X131" s="938"/>
      <c r="Y131" s="938"/>
      <c r="Z131" s="938"/>
      <c r="AA131" s="938"/>
      <c r="AB131" s="938"/>
      <c r="AC131" s="938"/>
    </row>
    <row customHeight="1" ht="12">
      <c r="A132" s="1109" t="s">
        <v>2801</v>
      </c>
      <c r="B132" s="938" t="s">
        <v>2961</v>
      </c>
      <c r="D132" s="259"/>
      <c r="E132" s="262"/>
      <c r="F132" s="262"/>
      <c r="G132" s="262"/>
      <c r="H132" s="262"/>
      <c r="I132" s="262"/>
      <c r="J132" s="262"/>
      <c r="K132" s="262"/>
      <c r="L132" s="954"/>
      <c r="M132" s="954"/>
      <c r="N132" s="262"/>
      <c r="O132" s="262"/>
      <c r="P132" s="262"/>
      <c r="Q132" s="262"/>
      <c r="R132" s="262"/>
      <c r="S132" s="938"/>
      <c r="T132" s="938"/>
      <c r="U132" s="938"/>
      <c r="V132" s="938"/>
      <c r="W132" s="938"/>
      <c r="X132" s="938"/>
      <c r="Y132" s="938"/>
      <c r="Z132" s="938"/>
      <c r="AA132" s="938"/>
      <c r="AB132" s="938"/>
      <c r="AC132" s="938"/>
    </row>
    <row customHeight="1" ht="12">
      <c r="A133" s="1109" t="s">
        <v>2805</v>
      </c>
      <c r="B133" s="938" t="s">
        <v>2962</v>
      </c>
      <c r="D133" s="259"/>
      <c r="E133" s="262"/>
      <c r="F133" s="262"/>
      <c r="G133" s="262"/>
      <c r="H133" s="262"/>
      <c r="I133" s="262"/>
      <c r="J133" s="262"/>
      <c r="K133" s="262"/>
      <c r="L133" s="954"/>
      <c r="M133" s="954"/>
      <c r="N133" s="262"/>
      <c r="O133" s="262"/>
      <c r="P133" s="262"/>
      <c r="Q133" s="262"/>
      <c r="R133" s="262"/>
      <c r="S133" s="938"/>
      <c r="T133" s="938"/>
      <c r="U133" s="938"/>
      <c r="V133" s="938"/>
      <c r="W133" s="938"/>
      <c r="X133" s="938"/>
      <c r="Y133" s="938"/>
      <c r="Z133" s="938"/>
      <c r="AA133" s="938"/>
      <c r="AB133" s="938"/>
      <c r="AC133" s="938"/>
    </row>
    <row customHeight="1" ht="12">
      <c r="A134" s="1109" t="s">
        <v>2809</v>
      </c>
      <c r="B134" s="938" t="s">
        <v>2963</v>
      </c>
      <c r="D134" s="259"/>
      <c r="E134" s="262"/>
      <c r="F134" s="262"/>
      <c r="G134" s="262"/>
      <c r="H134" s="262"/>
      <c r="I134" s="262"/>
      <c r="J134" s="262"/>
      <c r="K134" s="262"/>
      <c r="L134" s="954"/>
      <c r="M134" s="954"/>
      <c r="N134" s="262"/>
      <c r="O134" s="262"/>
      <c r="P134" s="262"/>
      <c r="Q134" s="262"/>
      <c r="R134" s="262"/>
      <c r="S134" s="938"/>
      <c r="T134" s="938"/>
      <c r="U134" s="938"/>
      <c r="V134" s="938"/>
      <c r="W134" s="938"/>
      <c r="X134" s="938"/>
      <c r="Y134" s="938"/>
      <c r="Z134" s="938"/>
      <c r="AA134" s="938"/>
      <c r="AB134" s="938"/>
      <c r="AC134" s="938"/>
    </row>
    <row customHeight="1" ht="12">
      <c r="A135" s="1109" t="s">
        <v>2813</v>
      </c>
      <c r="B135" s="938" t="s">
        <v>2964</v>
      </c>
      <c r="D135" s="259"/>
      <c r="E135" s="262"/>
      <c r="F135" s="262"/>
      <c r="G135" s="262"/>
      <c r="H135" s="262"/>
      <c r="I135" s="262"/>
      <c r="J135" s="262"/>
      <c r="K135" s="954"/>
      <c r="L135" s="954"/>
      <c r="M135" s="954"/>
      <c r="N135" s="262"/>
      <c r="O135" s="262"/>
      <c r="P135" s="262"/>
      <c r="Q135" s="262"/>
      <c r="R135" s="262"/>
      <c r="S135" s="938"/>
      <c r="T135" s="938"/>
      <c r="U135" s="938"/>
      <c r="V135" s="938"/>
      <c r="W135" s="938"/>
      <c r="X135" s="938"/>
      <c r="Y135" s="938"/>
      <c r="Z135" s="938"/>
      <c r="AA135" s="938"/>
      <c r="AB135" s="938"/>
      <c r="AC135" s="938"/>
    </row>
    <row customHeight="1" ht="12">
      <c r="A136" s="1109" t="s">
        <v>2817</v>
      </c>
      <c r="B136" s="938" t="s">
        <v>2965</v>
      </c>
      <c r="D136" s="259"/>
      <c r="E136" s="262"/>
      <c r="F136" s="262"/>
      <c r="G136" s="262"/>
      <c r="H136" s="262"/>
      <c r="I136" s="262"/>
      <c r="J136" s="262"/>
      <c r="K136" s="954"/>
      <c r="L136" s="954"/>
      <c r="M136" s="954"/>
      <c r="N136" s="262"/>
      <c r="O136" s="262"/>
      <c r="P136" s="262"/>
      <c r="Q136" s="262"/>
      <c r="R136" s="262"/>
      <c r="S136" s="938"/>
      <c r="T136" s="938"/>
      <c r="U136" s="938"/>
      <c r="V136" s="938"/>
      <c r="W136" s="938"/>
      <c r="X136" s="938"/>
      <c r="Y136" s="938"/>
      <c r="Z136" s="938"/>
      <c r="AA136" s="938"/>
      <c r="AB136" s="938"/>
      <c r="AC136" s="938"/>
    </row>
    <row customHeight="1" ht="12">
      <c r="A137" s="1109" t="s">
        <v>2820</v>
      </c>
      <c r="B137" s="938" t="s">
        <v>2966</v>
      </c>
      <c r="D137" s="259"/>
      <c r="E137" s="262"/>
      <c r="F137" s="262"/>
      <c r="G137" s="262"/>
      <c r="H137" s="262"/>
      <c r="I137" s="262"/>
      <c r="J137" s="262"/>
      <c r="K137" s="954"/>
      <c r="L137" s="954"/>
      <c r="M137" s="954"/>
      <c r="N137" s="262"/>
      <c r="O137" s="262"/>
      <c r="P137" s="262"/>
      <c r="Q137" s="262"/>
      <c r="R137" s="262"/>
      <c r="S137" s="938"/>
      <c r="T137" s="938"/>
      <c r="U137" s="938"/>
      <c r="V137" s="938"/>
      <c r="W137" s="938"/>
      <c r="X137" s="938"/>
      <c r="Y137" s="938"/>
      <c r="Z137" s="938"/>
      <c r="AA137" s="938"/>
      <c r="AB137" s="938"/>
      <c r="AC137" s="938"/>
    </row>
    <row customHeight="1" ht="12">
      <c r="A138" s="1109" t="s">
        <v>2823</v>
      </c>
      <c r="B138" s="938" t="s">
        <v>2967</v>
      </c>
      <c r="D138" s="259"/>
      <c r="E138" s="262"/>
      <c r="F138" s="262"/>
      <c r="G138" s="262"/>
      <c r="H138" s="262"/>
      <c r="I138" s="262"/>
      <c r="J138" s="262"/>
      <c r="K138" s="954"/>
      <c r="L138" s="954"/>
      <c r="M138" s="954"/>
      <c r="N138" s="262"/>
      <c r="O138" s="262"/>
      <c r="P138" s="262"/>
      <c r="Q138" s="262"/>
      <c r="R138" s="262"/>
      <c r="S138" s="938"/>
      <c r="T138" s="938"/>
      <c r="U138" s="938"/>
      <c r="V138" s="938"/>
      <c r="W138" s="938"/>
      <c r="X138" s="938"/>
      <c r="Y138" s="938"/>
      <c r="Z138" s="938"/>
      <c r="AA138" s="938"/>
      <c r="AB138" s="938"/>
      <c r="AC138" s="938"/>
    </row>
    <row customHeight="1" ht="12">
      <c r="A139" s="1109" t="s">
        <v>2826</v>
      </c>
      <c r="B139" s="938" t="s">
        <v>2968</v>
      </c>
      <c r="D139" s="259"/>
      <c r="E139" s="262"/>
      <c r="F139" s="262"/>
      <c r="G139" s="262"/>
      <c r="H139" s="262"/>
      <c r="I139" s="262"/>
      <c r="J139" s="262"/>
      <c r="K139" s="954"/>
      <c r="L139" s="954"/>
      <c r="M139" s="954"/>
      <c r="N139" s="262"/>
      <c r="O139" s="262"/>
      <c r="P139" s="262"/>
      <c r="Q139" s="262"/>
      <c r="R139" s="262"/>
      <c r="S139" s="938"/>
      <c r="T139" s="938"/>
      <c r="U139" s="938"/>
      <c r="V139" s="938"/>
      <c r="W139" s="938"/>
      <c r="X139" s="938"/>
      <c r="Y139" s="938"/>
      <c r="Z139" s="938"/>
      <c r="AA139" s="938"/>
      <c r="AB139" s="938"/>
      <c r="AC139" s="938"/>
    </row>
    <row customHeight="1" ht="12">
      <c r="A140" s="1109" t="s">
        <v>2829</v>
      </c>
      <c r="B140" s="938" t="s">
        <v>2969</v>
      </c>
      <c r="D140" s="259"/>
      <c r="E140" s="262"/>
      <c r="F140" s="262"/>
      <c r="G140" s="262"/>
      <c r="H140" s="262"/>
      <c r="I140" s="262"/>
      <c r="J140" s="262"/>
      <c r="K140" s="954"/>
      <c r="L140" s="954"/>
      <c r="M140" s="954"/>
      <c r="N140" s="262"/>
      <c r="O140" s="262"/>
      <c r="P140" s="262"/>
      <c r="Q140" s="262"/>
      <c r="R140" s="262"/>
      <c r="S140" s="938"/>
      <c r="T140" s="938"/>
      <c r="U140" s="938"/>
      <c r="V140" s="938"/>
      <c r="W140" s="938"/>
      <c r="X140" s="938"/>
      <c r="Y140" s="938"/>
      <c r="Z140" s="938"/>
      <c r="AA140" s="938"/>
      <c r="AB140" s="938"/>
      <c r="AC140" s="938"/>
    </row>
    <row customHeight="1" ht="12">
      <c r="A141" s="1109" t="s">
        <v>2832</v>
      </c>
      <c r="B141" s="938" t="s">
        <v>2970</v>
      </c>
      <c r="D141" s="259"/>
      <c r="E141" s="262"/>
      <c r="F141" s="262"/>
      <c r="G141" s="262"/>
      <c r="H141" s="262"/>
      <c r="I141" s="262"/>
      <c r="J141" s="262"/>
      <c r="K141" s="954"/>
      <c r="L141" s="954"/>
      <c r="M141" s="954"/>
      <c r="N141" s="262"/>
      <c r="O141" s="262"/>
      <c r="P141" s="262"/>
      <c r="Q141" s="262"/>
      <c r="R141" s="262"/>
      <c r="S141" s="938"/>
      <c r="T141" s="938"/>
      <c r="U141" s="938"/>
      <c r="V141" s="938"/>
      <c r="W141" s="938"/>
      <c r="X141" s="938"/>
      <c r="Y141" s="938"/>
      <c r="Z141" s="938"/>
      <c r="AA141" s="938"/>
      <c r="AB141" s="938"/>
      <c r="AC141" s="938"/>
    </row>
    <row customHeight="1" ht="12">
      <c r="A142" s="1109" t="s">
        <v>2835</v>
      </c>
      <c r="B142" s="938" t="s">
        <v>2971</v>
      </c>
      <c r="D142" s="259"/>
      <c r="E142" s="262"/>
      <c r="F142" s="262"/>
      <c r="G142" s="262"/>
      <c r="H142" s="262"/>
      <c r="I142" s="262"/>
      <c r="J142" s="262"/>
      <c r="K142" s="954"/>
      <c r="L142" s="954"/>
      <c r="M142" s="954"/>
      <c r="N142" s="262"/>
      <c r="O142" s="262"/>
      <c r="P142" s="262"/>
      <c r="Q142" s="262"/>
      <c r="R142" s="262"/>
      <c r="S142" s="938"/>
      <c r="T142" s="938"/>
      <c r="U142" s="938"/>
      <c r="V142" s="938"/>
      <c r="W142" s="938"/>
      <c r="X142" s="938"/>
      <c r="Y142" s="938"/>
      <c r="Z142" s="938"/>
      <c r="AA142" s="938"/>
      <c r="AB142" s="938"/>
      <c r="AC142" s="938"/>
    </row>
    <row customHeight="1" ht="12">
      <c r="A143" s="1109" t="s">
        <v>2839</v>
      </c>
      <c r="B143" s="938" t="s">
        <v>2972</v>
      </c>
      <c r="D143" s="259"/>
      <c r="E143" s="262"/>
      <c r="F143" s="262"/>
      <c r="G143" s="262"/>
      <c r="H143" s="262"/>
      <c r="I143" s="262"/>
      <c r="J143" s="262"/>
      <c r="K143" s="954"/>
      <c r="L143" s="954"/>
      <c r="M143" s="954"/>
      <c r="N143" s="262"/>
      <c r="O143" s="262"/>
      <c r="P143" s="262"/>
      <c r="Q143" s="262"/>
      <c r="R143" s="262"/>
      <c r="S143" s="938"/>
      <c r="T143" s="938"/>
      <c r="U143" s="938"/>
      <c r="V143" s="938"/>
      <c r="W143" s="938"/>
      <c r="X143" s="938"/>
      <c r="Y143" s="938"/>
      <c r="Z143" s="938"/>
      <c r="AA143" s="938"/>
      <c r="AB143" s="938"/>
      <c r="AC143" s="938"/>
    </row>
    <row customHeight="1" ht="12">
      <c r="A144" s="1109" t="s">
        <v>2842</v>
      </c>
      <c r="B144" s="938" t="s">
        <v>2973</v>
      </c>
      <c r="D144" s="259"/>
      <c r="E144" s="262"/>
      <c r="F144" s="262"/>
      <c r="G144" s="262"/>
      <c r="H144" s="262"/>
      <c r="I144" s="262"/>
      <c r="J144" s="262"/>
      <c r="K144" s="954"/>
      <c r="L144" s="954"/>
      <c r="M144" s="954"/>
      <c r="N144" s="262"/>
      <c r="O144" s="262"/>
      <c r="P144" s="262"/>
      <c r="Q144" s="262"/>
      <c r="R144" s="262"/>
      <c r="S144" s="938"/>
      <c r="T144" s="938"/>
      <c r="U144" s="938"/>
      <c r="V144" s="938"/>
      <c r="W144" s="938"/>
      <c r="X144" s="938"/>
      <c r="Y144" s="938"/>
      <c r="Z144" s="938"/>
      <c r="AA144" s="938"/>
      <c r="AB144" s="938"/>
      <c r="AC144" s="938"/>
    </row>
    <row customHeight="1" ht="12">
      <c r="A145" s="1109" t="s">
        <v>2845</v>
      </c>
      <c r="B145" s="938" t="s">
        <v>2974</v>
      </c>
      <c r="D145" s="259"/>
      <c r="E145" s="262"/>
      <c r="F145" s="262"/>
      <c r="G145" s="262"/>
      <c r="H145" s="262"/>
      <c r="I145" s="262"/>
      <c r="J145" s="262"/>
      <c r="K145" s="954"/>
      <c r="L145" s="954"/>
      <c r="M145" s="954"/>
      <c r="N145" s="262"/>
      <c r="O145" s="262"/>
      <c r="P145" s="262"/>
      <c r="Q145" s="938"/>
      <c r="R145" s="262"/>
      <c r="S145" s="938"/>
      <c r="T145" s="938"/>
      <c r="U145" s="938"/>
      <c r="V145" s="938"/>
      <c r="W145" s="938"/>
      <c r="X145" s="938"/>
      <c r="Y145" s="938"/>
      <c r="Z145" s="938"/>
      <c r="AA145" s="938"/>
      <c r="AB145" s="938"/>
      <c r="AC145" s="938"/>
    </row>
    <row customHeight="1" ht="12">
      <c r="A146" s="1109" t="s">
        <v>2848</v>
      </c>
      <c r="B146" s="938" t="s">
        <v>2975</v>
      </c>
      <c r="D146" s="259"/>
      <c r="E146" s="262"/>
      <c r="F146" s="262"/>
      <c r="G146" s="262"/>
      <c r="H146" s="262"/>
      <c r="I146" s="262"/>
      <c r="J146" s="262"/>
      <c r="K146" s="954"/>
      <c r="L146" s="954"/>
      <c r="M146" s="954"/>
      <c r="N146" s="262"/>
      <c r="O146" s="262"/>
      <c r="P146" s="262"/>
      <c r="Q146" s="938"/>
      <c r="R146" s="262"/>
      <c r="S146" s="938"/>
      <c r="T146" s="938"/>
      <c r="U146" s="938"/>
      <c r="V146" s="938"/>
      <c r="W146" s="938"/>
      <c r="X146" s="938"/>
      <c r="Y146" s="938"/>
      <c r="Z146" s="938"/>
      <c r="AA146" s="938"/>
      <c r="AB146" s="938"/>
      <c r="AC146" s="938"/>
    </row>
    <row customHeight="1" ht="12">
      <c r="A147" s="1109" t="s">
        <v>2851</v>
      </c>
      <c r="B147" s="938" t="s">
        <v>2976</v>
      </c>
      <c r="D147" s="259"/>
      <c r="E147" s="262"/>
      <c r="F147" s="262"/>
      <c r="G147" s="262"/>
      <c r="H147" s="262"/>
      <c r="I147" s="262"/>
      <c r="J147" s="262"/>
      <c r="K147" s="954"/>
      <c r="L147" s="954"/>
      <c r="M147" s="954"/>
      <c r="N147" s="262"/>
      <c r="O147" s="262"/>
      <c r="P147" s="262"/>
      <c r="Q147" s="938"/>
      <c r="R147" s="262"/>
      <c r="S147" s="938"/>
      <c r="T147" s="938"/>
      <c r="U147" s="938"/>
      <c r="V147" s="938"/>
      <c r="W147" s="938"/>
      <c r="X147" s="938"/>
      <c r="Y147" s="938"/>
      <c r="Z147" s="938"/>
      <c r="AA147" s="938"/>
      <c r="AB147" s="938"/>
      <c r="AC147" s="938"/>
    </row>
    <row customHeight="1" ht="12">
      <c r="A148" s="1109" t="s">
        <v>2854</v>
      </c>
      <c r="B148" s="938" t="s">
        <v>2977</v>
      </c>
      <c r="D148" s="259"/>
      <c r="E148" s="262"/>
      <c r="F148" s="262"/>
      <c r="G148" s="262"/>
      <c r="H148" s="262"/>
      <c r="I148" s="262"/>
      <c r="J148" s="262"/>
      <c r="K148" s="954"/>
      <c r="L148" s="954"/>
      <c r="M148" s="954"/>
      <c r="N148" s="262"/>
      <c r="O148" s="262"/>
      <c r="P148" s="262"/>
      <c r="Q148" s="938"/>
      <c r="R148" s="262"/>
      <c r="S148" s="938"/>
      <c r="T148" s="938"/>
      <c r="U148" s="938"/>
      <c r="V148" s="938"/>
      <c r="W148" s="938"/>
      <c r="X148" s="938"/>
      <c r="Y148" s="938"/>
      <c r="Z148" s="938"/>
      <c r="AA148" s="938"/>
      <c r="AB148" s="938"/>
      <c r="AC148" s="938"/>
    </row>
    <row customHeight="1" ht="12">
      <c r="A149" s="1109" t="s">
        <v>2856</v>
      </c>
      <c r="B149" s="938" t="s">
        <v>2978</v>
      </c>
      <c r="D149" s="259"/>
      <c r="E149" s="262"/>
      <c r="F149" s="262"/>
      <c r="G149" s="262"/>
      <c r="H149" s="262"/>
      <c r="I149" s="262"/>
      <c r="J149" s="262"/>
      <c r="K149" s="954"/>
      <c r="L149" s="954"/>
      <c r="M149" s="954"/>
      <c r="N149" s="262"/>
      <c r="O149" s="262"/>
      <c r="P149" s="262"/>
      <c r="Q149" s="938"/>
      <c r="R149" s="262"/>
      <c r="S149" s="938"/>
      <c r="T149" s="938"/>
      <c r="U149" s="938"/>
      <c r="V149" s="938"/>
      <c r="W149" s="938"/>
      <c r="X149" s="938"/>
      <c r="Y149" s="938"/>
      <c r="Z149" s="938"/>
      <c r="AA149" s="938"/>
      <c r="AB149" s="938"/>
      <c r="AC149" s="938"/>
    </row>
    <row customHeight="1" ht="12">
      <c r="A150" s="1109" t="s">
        <v>2858</v>
      </c>
      <c r="B150" s="938" t="s">
        <v>2979</v>
      </c>
      <c r="D150" s="259"/>
      <c r="E150" s="262"/>
      <c r="F150" s="262"/>
      <c r="G150" s="262"/>
      <c r="H150" s="262"/>
      <c r="I150" s="262"/>
      <c r="J150" s="262"/>
      <c r="K150" s="954"/>
      <c r="L150" s="954"/>
      <c r="M150" s="954"/>
      <c r="N150" s="262"/>
      <c r="O150" s="262"/>
      <c r="P150" s="262"/>
      <c r="Q150" s="938"/>
      <c r="R150" s="262"/>
      <c r="S150" s="938"/>
      <c r="T150" s="938"/>
      <c r="U150" s="938"/>
      <c r="V150" s="938"/>
      <c r="W150" s="938"/>
      <c r="X150" s="938"/>
      <c r="Y150" s="938"/>
      <c r="Z150" s="938"/>
      <c r="AA150" s="938"/>
      <c r="AB150" s="938"/>
      <c r="AC150" s="938"/>
    </row>
    <row customHeight="1" ht="12">
      <c r="A151" s="1109" t="s">
        <v>2860</v>
      </c>
      <c r="B151" s="938" t="s">
        <v>2980</v>
      </c>
      <c r="D151" s="259"/>
      <c r="E151" s="262"/>
      <c r="F151" s="262"/>
      <c r="G151" s="262"/>
      <c r="H151" s="262"/>
      <c r="I151" s="262"/>
      <c r="J151" s="262"/>
      <c r="K151" s="954"/>
      <c r="L151" s="954"/>
      <c r="M151" s="954"/>
      <c r="N151" s="262"/>
      <c r="O151" s="262"/>
      <c r="P151" s="262"/>
      <c r="Q151" s="938"/>
      <c r="R151" s="262"/>
      <c r="S151" s="938"/>
      <c r="T151" s="938"/>
      <c r="U151" s="938"/>
      <c r="V151" s="938"/>
      <c r="W151" s="938"/>
      <c r="X151" s="938"/>
      <c r="Y151" s="938"/>
      <c r="Z151" s="938"/>
      <c r="AA151" s="938"/>
      <c r="AB151" s="938"/>
      <c r="AC151" s="938"/>
    </row>
    <row customHeight="1" ht="12">
      <c r="A152" s="1109" t="s">
        <v>2862</v>
      </c>
      <c r="B152" s="938" t="s">
        <v>2981</v>
      </c>
      <c r="D152" s="259"/>
      <c r="E152" s="262"/>
      <c r="F152" s="262"/>
      <c r="G152" s="262"/>
      <c r="H152" s="262"/>
      <c r="I152" s="262"/>
      <c r="J152" s="262"/>
      <c r="K152" s="954"/>
      <c r="L152" s="954"/>
      <c r="M152" s="954"/>
      <c r="N152" s="262"/>
      <c r="O152" s="262"/>
      <c r="P152" s="262"/>
      <c r="Q152" s="938"/>
      <c r="R152" s="262"/>
      <c r="S152" s="938"/>
      <c r="T152" s="938"/>
      <c r="U152" s="938"/>
      <c r="V152" s="938"/>
      <c r="W152" s="938"/>
      <c r="X152" s="938"/>
      <c r="Y152" s="938"/>
      <c r="Z152" s="938"/>
      <c r="AA152" s="938"/>
      <c r="AB152" s="938"/>
      <c r="AC152" s="938"/>
    </row>
    <row customHeight="1" ht="12">
      <c r="A153" s="1109" t="s">
        <v>2864</v>
      </c>
      <c r="B153" s="938" t="s">
        <v>2982</v>
      </c>
      <c r="D153" s="259"/>
      <c r="E153" s="262"/>
      <c r="F153" s="262"/>
      <c r="G153" s="262"/>
      <c r="H153" s="262"/>
      <c r="I153" s="262"/>
      <c r="J153" s="262"/>
      <c r="K153" s="954"/>
      <c r="L153" s="954"/>
      <c r="M153" s="954"/>
      <c r="N153" s="262"/>
      <c r="O153" s="262"/>
      <c r="P153" s="262"/>
      <c r="Q153" s="938"/>
      <c r="R153" s="262"/>
      <c r="S153" s="938"/>
      <c r="T153" s="938"/>
      <c r="U153" s="938"/>
      <c r="V153" s="938"/>
      <c r="W153" s="938"/>
      <c r="X153" s="938"/>
      <c r="Y153" s="938"/>
      <c r="Z153" s="938"/>
      <c r="AA153" s="938"/>
      <c r="AB153" s="938"/>
      <c r="AC153" s="938"/>
    </row>
    <row customHeight="1" ht="12">
      <c r="A154" s="1109" t="s">
        <v>2866</v>
      </c>
      <c r="B154" s="938" t="s">
        <v>2983</v>
      </c>
      <c r="D154" s="259"/>
      <c r="E154" s="262"/>
      <c r="F154" s="262"/>
      <c r="G154" s="262"/>
      <c r="H154" s="262"/>
      <c r="I154" s="262"/>
      <c r="J154" s="262"/>
      <c r="K154" s="954"/>
      <c r="L154" s="954"/>
      <c r="M154" s="954"/>
      <c r="N154" s="262"/>
      <c r="O154" s="262"/>
      <c r="P154" s="262"/>
      <c r="Q154" s="938"/>
      <c r="R154" s="262"/>
      <c r="S154" s="938"/>
      <c r="T154" s="938"/>
      <c r="U154" s="938"/>
      <c r="V154" s="938"/>
      <c r="W154" s="938"/>
      <c r="X154" s="938"/>
      <c r="Y154" s="938"/>
      <c r="Z154" s="938"/>
      <c r="AA154" s="938"/>
      <c r="AB154" s="938"/>
      <c r="AC154" s="938"/>
    </row>
    <row customHeight="1" ht="12">
      <c r="A155" s="1109" t="s">
        <v>2868</v>
      </c>
      <c r="B155" s="938" t="s">
        <v>2984</v>
      </c>
      <c r="D155" s="259"/>
      <c r="E155" s="262"/>
      <c r="F155" s="262"/>
      <c r="G155" s="262"/>
      <c r="H155" s="262"/>
      <c r="I155" s="262"/>
      <c r="J155" s="262"/>
      <c r="K155" s="954"/>
      <c r="L155" s="954"/>
      <c r="M155" s="954"/>
      <c r="N155" s="262"/>
      <c r="O155" s="262"/>
      <c r="P155" s="262"/>
      <c r="Q155" s="938"/>
      <c r="R155" s="262"/>
      <c r="S155" s="938"/>
      <c r="T155" s="938"/>
      <c r="U155" s="938"/>
      <c r="V155" s="938"/>
      <c r="W155" s="938"/>
      <c r="X155" s="938"/>
      <c r="Y155" s="938"/>
      <c r="Z155" s="938"/>
      <c r="AA155" s="938"/>
      <c r="AB155" s="938"/>
      <c r="AC155" s="938"/>
    </row>
    <row customHeight="1" ht="12">
      <c r="A156" s="1109" t="s">
        <v>2870</v>
      </c>
      <c r="B156" s="938" t="s">
        <v>2985</v>
      </c>
      <c r="D156" s="259"/>
      <c r="E156" s="262"/>
      <c r="F156" s="262"/>
      <c r="G156" s="262"/>
      <c r="H156" s="262"/>
      <c r="I156" s="262"/>
      <c r="J156" s="262"/>
      <c r="K156" s="954"/>
      <c r="L156" s="954"/>
      <c r="M156" s="954"/>
      <c r="N156" s="262"/>
      <c r="O156" s="262"/>
      <c r="P156" s="262"/>
      <c r="Q156" s="938"/>
      <c r="R156" s="262"/>
      <c r="S156" s="938"/>
      <c r="T156" s="938"/>
      <c r="U156" s="938"/>
      <c r="V156" s="938"/>
      <c r="W156" s="938"/>
      <c r="X156" s="938"/>
      <c r="Y156" s="938"/>
      <c r="Z156" s="938"/>
      <c r="AA156" s="938"/>
      <c r="AB156" s="938"/>
      <c r="AC156" s="938"/>
    </row>
    <row customHeight="1" ht="12">
      <c r="A157" s="1109" t="s">
        <v>2872</v>
      </c>
      <c r="B157" s="938" t="s">
        <v>2986</v>
      </c>
      <c r="D157" s="259"/>
      <c r="E157" s="262"/>
      <c r="F157" s="262"/>
      <c r="G157" s="262"/>
      <c r="H157" s="262"/>
      <c r="I157" s="262"/>
      <c r="J157" s="262"/>
      <c r="K157" s="954"/>
      <c r="L157" s="954"/>
      <c r="M157" s="954"/>
      <c r="N157" s="262"/>
      <c r="O157" s="262"/>
      <c r="P157" s="262"/>
      <c r="Q157" s="938"/>
      <c r="R157" s="262"/>
      <c r="S157" s="938"/>
      <c r="T157" s="938"/>
      <c r="U157" s="938"/>
      <c r="V157" s="938"/>
      <c r="W157" s="938"/>
      <c r="X157" s="938"/>
      <c r="Y157" s="938"/>
      <c r="Z157" s="938"/>
      <c r="AA157" s="938"/>
      <c r="AB157" s="938"/>
      <c r="AC157" s="938"/>
    </row>
    <row customHeight="1" ht="12">
      <c r="A158" s="1109" t="s">
        <v>2874</v>
      </c>
      <c r="B158" s="938" t="s">
        <v>2987</v>
      </c>
      <c r="D158" s="259"/>
      <c r="E158" s="262"/>
      <c r="F158" s="262"/>
      <c r="G158" s="262"/>
      <c r="H158" s="262"/>
      <c r="I158" s="262"/>
      <c r="J158" s="262"/>
      <c r="K158" s="954"/>
      <c r="L158" s="954"/>
      <c r="M158" s="954"/>
      <c r="N158" s="262"/>
      <c r="O158" s="262"/>
      <c r="P158" s="262"/>
      <c r="Q158" s="938"/>
      <c r="R158" s="262"/>
      <c r="S158" s="938"/>
      <c r="T158" s="938"/>
      <c r="U158" s="938"/>
      <c r="V158" s="938"/>
      <c r="W158" s="938"/>
      <c r="X158" s="938"/>
      <c r="Y158" s="938"/>
      <c r="Z158" s="938"/>
      <c r="AA158" s="938"/>
      <c r="AB158" s="938"/>
      <c r="AC158" s="938"/>
    </row>
    <row customHeight="1" ht="12">
      <c r="A159" s="1109" t="s">
        <v>2876</v>
      </c>
      <c r="B159" s="938" t="s">
        <v>2988</v>
      </c>
      <c r="D159" s="259"/>
      <c r="E159" s="262"/>
      <c r="F159" s="262"/>
      <c r="G159" s="262"/>
      <c r="H159" s="262"/>
      <c r="I159" s="262"/>
      <c r="J159" s="262"/>
      <c r="K159" s="954"/>
      <c r="L159" s="954"/>
      <c r="M159" s="954"/>
      <c r="N159" s="262"/>
      <c r="O159" s="262"/>
      <c r="P159" s="262"/>
      <c r="Q159" s="938"/>
      <c r="R159" s="262"/>
      <c r="S159" s="938"/>
      <c r="T159" s="938"/>
      <c r="U159" s="938"/>
      <c r="V159" s="938"/>
      <c r="W159" s="938"/>
      <c r="X159" s="938"/>
      <c r="Y159" s="938"/>
      <c r="Z159" s="938"/>
      <c r="AA159" s="938"/>
      <c r="AB159" s="938"/>
      <c r="AC159" s="938"/>
    </row>
    <row customHeight="1" ht="12">
      <c r="A160" s="1109" t="s">
        <v>2878</v>
      </c>
      <c r="B160" s="938" t="s">
        <v>2989</v>
      </c>
      <c r="D160" s="259"/>
      <c r="E160" s="262"/>
      <c r="F160" s="262"/>
      <c r="G160" s="262"/>
      <c r="H160" s="262"/>
      <c r="I160" s="262"/>
      <c r="J160" s="262"/>
      <c r="K160" s="954"/>
      <c r="L160" s="954"/>
      <c r="M160" s="954"/>
      <c r="N160" s="262"/>
      <c r="O160" s="262"/>
      <c r="P160" s="262"/>
      <c r="Q160" s="938"/>
      <c r="R160" s="262"/>
      <c r="S160" s="938"/>
      <c r="T160" s="938"/>
      <c r="U160" s="938"/>
      <c r="V160" s="938"/>
      <c r="W160" s="938"/>
      <c r="X160" s="938"/>
      <c r="Y160" s="938"/>
      <c r="Z160" s="938"/>
      <c r="AA160" s="938"/>
      <c r="AB160" s="938"/>
      <c r="AC160" s="938"/>
    </row>
    <row customHeight="1" ht="12">
      <c r="A161" s="1109" t="s">
        <v>2880</v>
      </c>
      <c r="B161" s="938" t="s">
        <v>2990</v>
      </c>
      <c r="D161" s="259"/>
      <c r="E161" s="262"/>
      <c r="F161" s="262"/>
      <c r="G161" s="262"/>
      <c r="H161" s="262"/>
      <c r="I161" s="262"/>
      <c r="J161" s="262"/>
      <c r="K161" s="954"/>
      <c r="L161" s="954"/>
      <c r="M161" s="954"/>
      <c r="N161" s="262"/>
      <c r="O161" s="262"/>
      <c r="P161" s="262"/>
      <c r="Q161" s="938"/>
      <c r="R161" s="262"/>
      <c r="S161" s="938"/>
      <c r="T161" s="938"/>
      <c r="U161" s="938"/>
      <c r="V161" s="938"/>
      <c r="W161" s="938"/>
      <c r="X161" s="938"/>
      <c r="Y161" s="938"/>
      <c r="Z161" s="938"/>
      <c r="AA161" s="938"/>
      <c r="AB161" s="938"/>
      <c r="AC161" s="938"/>
    </row>
    <row customHeight="1" ht="12">
      <c r="A162" s="1109" t="s">
        <v>2882</v>
      </c>
      <c r="B162" s="938" t="s">
        <v>2991</v>
      </c>
      <c r="D162" s="259"/>
      <c r="E162" s="262"/>
      <c r="F162" s="262"/>
      <c r="G162" s="262"/>
      <c r="H162" s="262"/>
      <c r="I162" s="262"/>
      <c r="J162" s="262"/>
      <c r="K162" s="954"/>
      <c r="L162" s="954"/>
      <c r="M162" s="954"/>
      <c r="N162" s="262"/>
      <c r="O162" s="262"/>
      <c r="P162" s="262"/>
      <c r="Q162" s="938"/>
      <c r="R162" s="262"/>
      <c r="S162" s="938"/>
      <c r="T162" s="938"/>
      <c r="U162" s="938"/>
      <c r="V162" s="938"/>
      <c r="W162" s="938"/>
      <c r="X162" s="938"/>
      <c r="Y162" s="938"/>
      <c r="Z162" s="938"/>
      <c r="AA162" s="938"/>
      <c r="AB162" s="938"/>
      <c r="AC162" s="938"/>
    </row>
    <row customHeight="1" ht="12">
      <c r="A163" s="1109" t="s">
        <v>2884</v>
      </c>
      <c r="B163" s="938" t="s">
        <v>2992</v>
      </c>
      <c r="D163" s="259"/>
      <c r="E163" s="262"/>
      <c r="F163" s="262"/>
      <c r="G163" s="262"/>
      <c r="H163" s="262"/>
      <c r="I163" s="262"/>
      <c r="J163" s="262"/>
      <c r="K163" s="954"/>
      <c r="L163" s="954"/>
      <c r="M163" s="954"/>
      <c r="N163" s="262"/>
      <c r="O163" s="262"/>
      <c r="P163" s="262"/>
      <c r="Q163" s="938"/>
      <c r="R163" s="262"/>
      <c r="S163" s="938"/>
      <c r="T163" s="938"/>
      <c r="U163" s="938"/>
      <c r="V163" s="938"/>
      <c r="W163" s="938"/>
      <c r="X163" s="938"/>
      <c r="Y163" s="938"/>
      <c r="Z163" s="938"/>
      <c r="AA163" s="938"/>
      <c r="AB163" s="938"/>
      <c r="AC163" s="938"/>
    </row>
    <row customHeight="1" ht="12">
      <c r="A164" s="1109" t="s">
        <v>2886</v>
      </c>
      <c r="B164" s="938" t="s">
        <v>2993</v>
      </c>
      <c r="D164" s="259"/>
      <c r="E164" s="262"/>
      <c r="F164" s="262"/>
      <c r="G164" s="262"/>
      <c r="H164" s="262"/>
      <c r="I164" s="262"/>
      <c r="J164" s="262"/>
      <c r="K164" s="938"/>
      <c r="L164" s="954"/>
      <c r="M164" s="954"/>
      <c r="N164" s="262"/>
      <c r="O164" s="262"/>
      <c r="P164" s="262"/>
      <c r="Q164" s="938"/>
      <c r="R164" s="262"/>
      <c r="S164" s="938"/>
      <c r="T164" s="938"/>
      <c r="U164" s="938"/>
      <c r="V164" s="938"/>
      <c r="W164" s="938"/>
      <c r="X164" s="938"/>
      <c r="Y164" s="938"/>
      <c r="Z164" s="938"/>
      <c r="AA164" s="938"/>
      <c r="AB164" s="938"/>
      <c r="AC164" s="938"/>
    </row>
    <row customHeight="1" ht="12">
      <c r="A165" s="1109" t="s">
        <v>2888</v>
      </c>
      <c r="B165" s="938" t="s">
        <v>2994</v>
      </c>
      <c r="D165" s="259"/>
      <c r="E165" s="262"/>
      <c r="F165" s="262"/>
      <c r="G165" s="262"/>
      <c r="H165" s="262"/>
      <c r="I165" s="262"/>
      <c r="J165" s="262"/>
      <c r="K165" s="938"/>
      <c r="L165" s="954"/>
      <c r="M165" s="954"/>
      <c r="N165" s="262"/>
      <c r="O165" s="262"/>
      <c r="P165" s="262"/>
      <c r="Q165" s="938"/>
      <c r="R165" s="262"/>
      <c r="S165" s="938"/>
      <c r="T165" s="938"/>
      <c r="U165" s="938"/>
      <c r="V165" s="938"/>
      <c r="W165" s="938"/>
      <c r="X165" s="938"/>
      <c r="Y165" s="938"/>
      <c r="Z165" s="938"/>
      <c r="AA165" s="938"/>
      <c r="AB165" s="938"/>
      <c r="AC165" s="938"/>
    </row>
    <row customHeight="1" ht="12">
      <c r="A166" s="1109" t="s">
        <v>2890</v>
      </c>
      <c r="B166" s="938" t="s">
        <v>2995</v>
      </c>
      <c r="D166" s="259"/>
      <c r="E166" s="262"/>
      <c r="F166" s="262"/>
      <c r="G166" s="262"/>
      <c r="H166" s="262"/>
      <c r="I166" s="262"/>
      <c r="J166" s="262"/>
      <c r="K166" s="938"/>
      <c r="L166" s="954"/>
      <c r="M166" s="954"/>
      <c r="N166" s="262"/>
      <c r="O166" s="262"/>
      <c r="P166" s="262"/>
      <c r="Q166" s="938"/>
      <c r="R166" s="262"/>
      <c r="S166" s="938"/>
      <c r="T166" s="938"/>
      <c r="U166" s="938"/>
      <c r="V166" s="938"/>
      <c r="W166" s="938"/>
      <c r="X166" s="938"/>
      <c r="Y166" s="938"/>
      <c r="Z166" s="938"/>
      <c r="AA166" s="938"/>
      <c r="AB166" s="938"/>
      <c r="AC166" s="938"/>
    </row>
    <row customHeight="1" ht="12">
      <c r="A167" s="1109" t="s">
        <v>2892</v>
      </c>
      <c r="B167" s="938" t="s">
        <v>2996</v>
      </c>
      <c r="D167" s="259"/>
      <c r="E167" s="262"/>
      <c r="F167" s="262"/>
      <c r="G167" s="262"/>
      <c r="H167" s="262"/>
      <c r="I167" s="262"/>
      <c r="J167" s="262"/>
      <c r="K167" s="938"/>
      <c r="L167" s="954"/>
      <c r="M167" s="954"/>
      <c r="N167" s="262"/>
      <c r="O167" s="262"/>
      <c r="P167" s="262"/>
      <c r="Q167" s="938"/>
      <c r="R167" s="262"/>
      <c r="S167" s="938"/>
      <c r="T167" s="938"/>
      <c r="U167" s="938"/>
      <c r="V167" s="938"/>
      <c r="W167" s="938"/>
      <c r="X167" s="938"/>
      <c r="Y167" s="938"/>
      <c r="Z167" s="938"/>
      <c r="AA167" s="938"/>
      <c r="AB167" s="938"/>
      <c r="AC167" s="938"/>
    </row>
    <row customHeight="1" ht="12">
      <c r="A168" s="1109" t="s">
        <v>2894</v>
      </c>
      <c r="B168" s="938" t="s">
        <v>2997</v>
      </c>
      <c r="D168" s="259"/>
      <c r="E168" s="262"/>
      <c r="F168" s="262"/>
      <c r="G168" s="262"/>
      <c r="H168" s="262"/>
      <c r="I168" s="262"/>
      <c r="J168" s="262"/>
      <c r="K168" s="938"/>
      <c r="L168" s="954"/>
      <c r="M168" s="954"/>
      <c r="N168" s="262"/>
      <c r="O168" s="262"/>
      <c r="P168" s="262"/>
      <c r="Q168" s="938"/>
      <c r="R168" s="262"/>
      <c r="S168" s="938"/>
      <c r="T168" s="938"/>
      <c r="U168" s="938"/>
      <c r="V168" s="938"/>
      <c r="W168" s="938"/>
      <c r="X168" s="938"/>
      <c r="Y168" s="938"/>
      <c r="Z168" s="938"/>
      <c r="AA168" s="938"/>
      <c r="AB168" s="938"/>
      <c r="AC168" s="938"/>
    </row>
    <row customHeight="1" ht="12">
      <c r="A169" s="1109" t="s">
        <v>2896</v>
      </c>
      <c r="B169" s="938" t="s">
        <v>2998</v>
      </c>
      <c r="D169" s="259"/>
      <c r="E169" s="262"/>
      <c r="F169" s="262"/>
      <c r="G169" s="938"/>
      <c r="H169" s="262"/>
      <c r="I169" s="262"/>
      <c r="J169" s="262"/>
      <c r="K169" s="938"/>
      <c r="L169" s="954"/>
      <c r="M169" s="954"/>
      <c r="N169" s="262"/>
      <c r="O169" s="262"/>
      <c r="P169" s="262"/>
      <c r="Q169" s="938"/>
      <c r="R169" s="262"/>
      <c r="S169" s="938"/>
      <c r="T169" s="938"/>
      <c r="U169" s="938"/>
      <c r="V169" s="938"/>
      <c r="W169" s="938"/>
      <c r="X169" s="938"/>
      <c r="Y169" s="938"/>
      <c r="Z169" s="938"/>
      <c r="AA169" s="938"/>
      <c r="AB169" s="938"/>
      <c r="AC169" s="938"/>
    </row>
    <row customHeight="1" ht="12">
      <c r="A170" s="1109" t="s">
        <v>2898</v>
      </c>
      <c r="B170" s="938" t="s">
        <v>2999</v>
      </c>
      <c r="D170" s="259"/>
      <c r="E170" s="262"/>
      <c r="F170" s="262"/>
      <c r="G170" s="938"/>
      <c r="H170" s="262"/>
      <c r="I170" s="262"/>
      <c r="J170" s="262"/>
      <c r="K170" s="938"/>
      <c r="L170" s="954"/>
      <c r="M170" s="954"/>
      <c r="N170" s="262"/>
      <c r="O170" s="262"/>
      <c r="P170" s="262"/>
      <c r="Q170" s="938"/>
      <c r="R170" s="262"/>
      <c r="S170" s="938"/>
      <c r="T170" s="938"/>
      <c r="U170" s="938"/>
      <c r="V170" s="938"/>
      <c r="W170" s="938"/>
      <c r="X170" s="938"/>
      <c r="Y170" s="938"/>
      <c r="Z170" s="938"/>
      <c r="AA170" s="938"/>
      <c r="AB170" s="938"/>
      <c r="AC170" s="938"/>
    </row>
    <row customHeight="1" ht="12">
      <c r="A171" s="1109" t="s">
        <v>2900</v>
      </c>
      <c r="B171" s="938" t="s">
        <v>3000</v>
      </c>
      <c r="D171" s="259"/>
      <c r="E171" s="262"/>
      <c r="F171" s="262"/>
      <c r="G171" s="938"/>
      <c r="H171" s="262"/>
      <c r="I171" s="262"/>
      <c r="J171" s="262"/>
      <c r="K171" s="938"/>
      <c r="L171" s="954"/>
      <c r="M171" s="954"/>
      <c r="N171" s="262"/>
      <c r="O171" s="262"/>
      <c r="P171" s="262"/>
      <c r="Q171" s="938"/>
      <c r="R171" s="262"/>
      <c r="S171" s="938"/>
      <c r="T171" s="938"/>
      <c r="U171" s="938"/>
      <c r="V171" s="938"/>
      <c r="W171" s="938"/>
      <c r="X171" s="938"/>
      <c r="Y171" s="938"/>
      <c r="Z171" s="938"/>
      <c r="AA171" s="938"/>
      <c r="AB171" s="938"/>
      <c r="AC171" s="938"/>
    </row>
    <row customHeight="1" ht="12">
      <c r="A172" s="1109" t="s">
        <v>2902</v>
      </c>
      <c r="B172" s="938" t="s">
        <v>3001</v>
      </c>
      <c r="D172" s="259"/>
      <c r="E172" s="262"/>
      <c r="F172" s="262"/>
      <c r="G172" s="938"/>
      <c r="H172" s="262"/>
      <c r="I172" s="262"/>
      <c r="J172" s="262"/>
      <c r="K172" s="938"/>
      <c r="L172" s="954"/>
      <c r="M172" s="954"/>
      <c r="N172" s="262"/>
      <c r="O172" s="262"/>
      <c r="P172" s="262"/>
      <c r="Q172" s="938"/>
      <c r="R172" s="262"/>
      <c r="S172" s="938"/>
      <c r="T172" s="938"/>
      <c r="U172" s="938"/>
      <c r="V172" s="938"/>
      <c r="W172" s="938"/>
      <c r="X172" s="938"/>
      <c r="Y172" s="938"/>
      <c r="Z172" s="938"/>
      <c r="AA172" s="938"/>
      <c r="AB172" s="938"/>
      <c r="AC172" s="938"/>
    </row>
    <row customHeight="1" ht="12">
      <c r="A173" s="1109" t="s">
        <v>2904</v>
      </c>
      <c r="B173" s="938" t="s">
        <v>3002</v>
      </c>
      <c r="D173" s="259"/>
      <c r="E173" s="262"/>
      <c r="F173" s="262"/>
      <c r="G173" s="938"/>
      <c r="H173" s="262"/>
      <c r="I173" s="262"/>
      <c r="J173" s="262"/>
      <c r="K173" s="938"/>
      <c r="L173" s="954"/>
      <c r="M173" s="954"/>
      <c r="N173" s="262"/>
      <c r="O173" s="262"/>
      <c r="P173" s="262"/>
      <c r="Q173" s="938"/>
      <c r="R173" s="262"/>
      <c r="S173" s="938"/>
      <c r="T173" s="938"/>
      <c r="U173" s="938"/>
      <c r="V173" s="938"/>
      <c r="W173" s="938"/>
      <c r="X173" s="938"/>
      <c r="Y173" s="938"/>
      <c r="Z173" s="938"/>
      <c r="AA173" s="938"/>
      <c r="AB173" s="938"/>
      <c r="AC173" s="938"/>
    </row>
    <row customHeight="1" ht="12">
      <c r="A174" s="1109" t="s">
        <v>2908</v>
      </c>
      <c r="B174" s="938" t="s">
        <v>3003</v>
      </c>
      <c r="D174" s="259"/>
      <c r="E174" s="262"/>
      <c r="F174" s="262"/>
      <c r="G174" s="938"/>
      <c r="H174" s="262"/>
      <c r="I174" s="262"/>
      <c r="J174" s="262"/>
      <c r="K174" s="938"/>
      <c r="L174" s="954"/>
      <c r="M174" s="954"/>
      <c r="N174" s="262"/>
      <c r="O174" s="262"/>
      <c r="P174" s="262"/>
      <c r="Q174" s="938"/>
      <c r="R174" s="262"/>
      <c r="S174" s="938"/>
      <c r="T174" s="938"/>
      <c r="U174" s="938"/>
      <c r="V174" s="938"/>
      <c r="W174" s="938"/>
      <c r="X174" s="938"/>
      <c r="Y174" s="938"/>
      <c r="Z174" s="938"/>
      <c r="AA174" s="938"/>
      <c r="AB174" s="938"/>
      <c r="AC174" s="938"/>
    </row>
    <row customHeight="1" ht="12">
      <c r="A175" s="1109" t="s">
        <v>2910</v>
      </c>
      <c r="B175" s="938" t="s">
        <v>3004</v>
      </c>
      <c r="D175" s="259"/>
      <c r="E175" s="262"/>
      <c r="F175" s="262"/>
      <c r="G175" s="938"/>
      <c r="H175" s="262"/>
      <c r="I175" s="262"/>
      <c r="J175" s="262"/>
      <c r="K175" s="938"/>
      <c r="L175" s="954"/>
      <c r="M175" s="954"/>
      <c r="N175" s="262"/>
      <c r="O175" s="262"/>
      <c r="P175" s="262"/>
      <c r="Q175" s="938"/>
      <c r="R175" s="262"/>
      <c r="S175" s="938"/>
      <c r="T175" s="938"/>
      <c r="U175" s="938"/>
      <c r="V175" s="938"/>
      <c r="W175" s="938"/>
      <c r="X175" s="938"/>
      <c r="Y175" s="938"/>
      <c r="Z175" s="938"/>
      <c r="AA175" s="938"/>
      <c r="AB175" s="938"/>
      <c r="AC175" s="938"/>
    </row>
    <row customHeight="1" ht="12">
      <c r="A176" s="1109" t="s">
        <v>2912</v>
      </c>
      <c r="B176" s="938" t="s">
        <v>3005</v>
      </c>
      <c r="D176" s="938"/>
      <c r="E176" s="938"/>
      <c r="F176" s="938"/>
      <c r="G176" s="938"/>
      <c r="H176" s="938"/>
      <c r="I176" s="938"/>
      <c r="J176" s="938"/>
      <c r="K176" s="938"/>
      <c r="L176" s="938"/>
      <c r="M176" s="938"/>
      <c r="N176" s="938"/>
      <c r="O176" s="938"/>
      <c r="P176" s="938"/>
      <c r="Q176" s="938"/>
      <c r="R176" s="938"/>
      <c r="S176" s="938"/>
      <c r="T176" s="938"/>
      <c r="U176" s="938"/>
      <c r="V176" s="938"/>
      <c r="W176" s="938"/>
      <c r="X176" s="938"/>
      <c r="Y176" s="938"/>
      <c r="Z176" s="938"/>
      <c r="AA176" s="938"/>
      <c r="AB176" s="938"/>
      <c r="AC176" s="938"/>
    </row>
    <row customHeight="1" ht="12">
      <c r="A177" s="1109" t="s">
        <v>2914</v>
      </c>
      <c r="B177" s="938" t="s">
        <v>3006</v>
      </c>
      <c r="D177" s="938"/>
      <c r="E177" s="938"/>
      <c r="F177" s="938"/>
      <c r="G177" s="938"/>
      <c r="H177" s="938"/>
      <c r="I177" s="938"/>
      <c r="J177" s="938"/>
      <c r="K177" s="938"/>
      <c r="L177" s="938"/>
      <c r="M177" s="938"/>
      <c r="N177" s="938"/>
      <c r="O177" s="938"/>
      <c r="P177" s="938"/>
      <c r="Q177" s="938"/>
      <c r="R177" s="938"/>
      <c r="S177" s="938"/>
      <c r="T177" s="938"/>
      <c r="U177" s="938"/>
      <c r="V177" s="938"/>
      <c r="W177" s="938"/>
      <c r="X177" s="938"/>
      <c r="Y177" s="938"/>
      <c r="Z177" s="938"/>
      <c r="AA177" s="938"/>
      <c r="AB177" s="938"/>
      <c r="AC177" s="938"/>
    </row>
    <row customHeight="1" ht="12">
      <c r="A178" s="1109" t="s">
        <v>2916</v>
      </c>
      <c r="B178" s="938" t="s">
        <v>3007</v>
      </c>
      <c r="D178" s="938"/>
      <c r="E178" s="938"/>
      <c r="F178" s="938"/>
      <c r="G178" s="938"/>
      <c r="H178" s="938"/>
      <c r="I178" s="938"/>
      <c r="J178" s="938"/>
      <c r="K178" s="938"/>
      <c r="L178" s="938"/>
      <c r="M178" s="938"/>
      <c r="N178" s="938"/>
      <c r="O178" s="938"/>
      <c r="P178" s="938"/>
      <c r="Q178" s="938"/>
      <c r="R178" s="938"/>
      <c r="S178" s="938"/>
      <c r="T178" s="938"/>
      <c r="U178" s="938"/>
      <c r="V178" s="938"/>
      <c r="W178" s="938"/>
      <c r="X178" s="938"/>
      <c r="Y178" s="938"/>
      <c r="Z178" s="938"/>
      <c r="AA178" s="938"/>
      <c r="AB178" s="938"/>
      <c r="AC178" s="938"/>
    </row>
    <row customHeight="1" ht="12">
      <c r="A179" s="1109" t="s">
        <v>2918</v>
      </c>
      <c r="B179" s="938" t="s">
        <v>3008</v>
      </c>
      <c r="D179" s="938"/>
      <c r="E179" s="938"/>
      <c r="F179" s="938"/>
      <c r="G179" s="938"/>
      <c r="H179" s="938"/>
      <c r="I179" s="938"/>
      <c r="J179" s="938"/>
      <c r="K179" s="938"/>
      <c r="L179" s="938"/>
      <c r="M179" s="938"/>
      <c r="N179" s="938"/>
      <c r="O179" s="938"/>
      <c r="P179" s="938"/>
      <c r="Q179" s="938"/>
      <c r="R179" s="938"/>
      <c r="S179" s="938"/>
      <c r="T179" s="938"/>
      <c r="U179" s="938"/>
      <c r="V179" s="938"/>
      <c r="W179" s="938"/>
      <c r="X179" s="938"/>
      <c r="Y179" s="938"/>
      <c r="Z179" s="938"/>
      <c r="AA179" s="938"/>
      <c r="AB179" s="938"/>
      <c r="AC179" s="938"/>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1DB2B8-E2E8-CDB3-EC5D-9F7A341D5B08}" mc:Ignorable="x14ac xr xr2 xr3">
  <sheetPr>
    <tabColor rgb="FFFFCC99"/>
  </sheetPr>
  <dimension ref="A1:CV3"/>
  <sheetViews>
    <sheetView topLeftCell="A1" showGridLines="0" workbookViewId="0">
      <selection activeCell="A1" sqref="A1"/>
    </sheetView>
  </sheetViews>
  <sheetFormatPr defaultColWidth="9.00390625" customHeight="1" defaultRowHeight="11.25"/>
  <cols>
    <col min="1" max="1" style="1104" width="9.00390625"/>
  </cols>
  <sheetData>
    <row customHeight="1" ht="11.25">
      <c r="A1" s="1104" t="s">
        <v>3009</v>
      </c>
      <c r="B1" s="0" t="s">
        <v>3010</v>
      </c>
      <c r="C1" s="0" t="s">
        <v>3011</v>
      </c>
      <c r="D1" s="0" t="s">
        <v>3012</v>
      </c>
      <c r="E1" s="0" t="s">
        <v>3013</v>
      </c>
      <c r="F1" s="0" t="s">
        <v>3014</v>
      </c>
      <c r="G1" s="0" t="s">
        <v>3015</v>
      </c>
      <c r="H1" s="0" t="s">
        <v>3016</v>
      </c>
      <c r="I1" s="0" t="s">
        <v>3017</v>
      </c>
      <c r="J1" s="0" t="s">
        <v>3018</v>
      </c>
      <c r="K1" s="0" t="s">
        <v>3019</v>
      </c>
      <c r="L1" s="0" t="s">
        <v>3020</v>
      </c>
      <c r="M1" s="0" t="s">
        <v>3021</v>
      </c>
      <c r="N1" s="0" t="s">
        <v>3022</v>
      </c>
      <c r="O1" s="0" t="s">
        <v>3023</v>
      </c>
      <c r="P1" s="0" t="s">
        <v>3024</v>
      </c>
      <c r="Q1" s="0" t="s">
        <v>3025</v>
      </c>
      <c r="R1" s="0" t="s">
        <v>3026</v>
      </c>
      <c r="S1" s="0" t="s">
        <v>3027</v>
      </c>
      <c r="T1" s="0" t="s">
        <v>3028</v>
      </c>
      <c r="U1" s="0" t="s">
        <v>3029</v>
      </c>
      <c r="V1" s="0" t="s">
        <v>3030</v>
      </c>
      <c r="W1" s="0" t="s">
        <v>3031</v>
      </c>
      <c r="X1" s="0" t="s">
        <v>3032</v>
      </c>
      <c r="Y1" s="0" t="s">
        <v>3033</v>
      </c>
      <c r="Z1" s="0" t="s">
        <v>3034</v>
      </c>
      <c r="AA1" s="0" t="s">
        <v>3035</v>
      </c>
      <c r="AB1" s="0" t="s">
        <v>3036</v>
      </c>
      <c r="AC1" s="0" t="s">
        <v>3037</v>
      </c>
      <c r="AD1" s="0" t="s">
        <v>3038</v>
      </c>
      <c r="AE1" s="0" t="s">
        <v>3039</v>
      </c>
      <c r="AF1" s="0" t="s">
        <v>3040</v>
      </c>
      <c r="AG1" s="0" t="s">
        <v>3041</v>
      </c>
      <c r="AH1" s="0" t="s">
        <v>3042</v>
      </c>
      <c r="AI1" s="0" t="s">
        <v>3043</v>
      </c>
      <c r="AJ1" s="0" t="s">
        <v>3044</v>
      </c>
      <c r="AK1" s="0" t="s">
        <v>3045</v>
      </c>
      <c r="AL1" s="0" t="s">
        <v>3046</v>
      </c>
      <c r="AM1" s="0" t="s">
        <v>3047</v>
      </c>
      <c r="AN1" s="0" t="s">
        <v>3048</v>
      </c>
      <c r="AO1" s="0" t="s">
        <v>3049</v>
      </c>
      <c r="AP1" s="0" t="s">
        <v>3050</v>
      </c>
      <c r="AQ1" s="0" t="s">
        <v>3051</v>
      </c>
      <c r="AR1" s="0" t="s">
        <v>3052</v>
      </c>
      <c r="AS1" s="0" t="s">
        <v>3053</v>
      </c>
      <c r="AT1" s="0" t="s">
        <v>3054</v>
      </c>
      <c r="AU1" s="0" t="s">
        <v>3055</v>
      </c>
      <c r="AV1" s="0" t="s">
        <v>3056</v>
      </c>
      <c r="AW1" s="0" t="s">
        <v>3057</v>
      </c>
      <c r="AX1" s="0" t="s">
        <v>3058</v>
      </c>
      <c r="AY1" s="0" t="s">
        <v>3059</v>
      </c>
      <c r="AZ1" s="0" t="s">
        <v>3060</v>
      </c>
      <c r="BA1" s="0" t="s">
        <v>3061</v>
      </c>
      <c r="BB1" s="0" t="s">
        <v>3062</v>
      </c>
      <c r="BC1" s="0" t="s">
        <v>3063</v>
      </c>
      <c r="BD1" s="0" t="s">
        <v>3064</v>
      </c>
      <c r="BE1" s="0" t="s">
        <v>3065</v>
      </c>
      <c r="BF1" s="0" t="s">
        <v>3066</v>
      </c>
      <c r="BG1" s="0" t="s">
        <v>3067</v>
      </c>
      <c r="BH1" s="0" t="s">
        <v>3068</v>
      </c>
      <c r="BI1" s="0" t="s">
        <v>3069</v>
      </c>
      <c r="BJ1" s="0" t="s">
        <v>3070</v>
      </c>
      <c r="BK1" s="0" t="s">
        <v>3071</v>
      </c>
      <c r="BL1" s="0" t="s">
        <v>3072</v>
      </c>
      <c r="BM1" s="0" t="s">
        <v>3073</v>
      </c>
      <c r="BN1" s="0" t="s">
        <v>3074</v>
      </c>
      <c r="BO1" s="0" t="s">
        <v>3075</v>
      </c>
      <c r="BP1" s="0" t="s">
        <v>3076</v>
      </c>
      <c r="BQ1" s="0" t="s">
        <v>3077</v>
      </c>
      <c r="BR1" s="0" t="s">
        <v>3078</v>
      </c>
      <c r="BS1" s="0" t="s">
        <v>3079</v>
      </c>
      <c r="BT1" s="0" t="s">
        <v>3080</v>
      </c>
      <c r="BU1" s="0" t="s">
        <v>3081</v>
      </c>
      <c r="BV1" s="0" t="s">
        <v>3082</v>
      </c>
      <c r="BW1" s="0" t="s">
        <v>3083</v>
      </c>
      <c r="BX1" s="0" t="s">
        <v>3084</v>
      </c>
      <c r="BY1" s="0" t="s">
        <v>3085</v>
      </c>
      <c r="BZ1" s="0" t="s">
        <v>3086</v>
      </c>
      <c r="CA1" s="0" t="s">
        <v>3087</v>
      </c>
      <c r="CB1" s="0" t="s">
        <v>3088</v>
      </c>
      <c r="CC1" s="0" t="s">
        <v>3089</v>
      </c>
      <c r="CD1" s="0" t="s">
        <v>3090</v>
      </c>
      <c r="CE1" s="0" t="s">
        <v>3091</v>
      </c>
      <c r="CF1" s="0" t="s">
        <v>3092</v>
      </c>
      <c r="CG1" s="0" t="s">
        <v>3093</v>
      </c>
      <c r="CH1" s="0" t="s">
        <v>3094</v>
      </c>
      <c r="CI1" s="0" t="s">
        <v>3095</v>
      </c>
      <c r="CJ1" s="0" t="s">
        <v>3096</v>
      </c>
      <c r="CK1" s="0" t="s">
        <v>3097</v>
      </c>
      <c r="CL1" s="0" t="s">
        <v>3098</v>
      </c>
      <c r="CM1" s="0" t="s">
        <v>3099</v>
      </c>
      <c r="CN1" s="0" t="s">
        <v>3100</v>
      </c>
      <c r="CO1" s="0" t="s">
        <v>3101</v>
      </c>
      <c r="CP1" s="0" t="s">
        <v>3102</v>
      </c>
      <c r="CQ1" s="0" t="s">
        <v>3103</v>
      </c>
      <c r="CR1" s="0" t="s">
        <v>3104</v>
      </c>
      <c r="CS1" s="0" t="s">
        <v>3105</v>
      </c>
      <c r="CT1" s="0" t="s">
        <v>3106</v>
      </c>
      <c r="CU1" s="0" t="s">
        <v>3107</v>
      </c>
      <c r="CV1" s="0" t="s">
        <v>3108</v>
      </c>
    </row>
    <row customHeight="1" ht="11.25">
      <c r="A2" s="1104" t="s">
        <v>176</v>
      </c>
      <c r="B2" s="0" t="s">
        <v>176</v>
      </c>
      <c r="C2" s="0" t="s">
        <v>176</v>
      </c>
      <c r="D2" s="0" t="s">
        <v>176</v>
      </c>
      <c r="E2" s="0" t="s">
        <v>3109</v>
      </c>
      <c r="F2" s="0" t="s">
        <v>176</v>
      </c>
      <c r="G2" s="0" t="s">
        <v>176</v>
      </c>
      <c r="H2" s="0" t="s">
        <v>3110</v>
      </c>
      <c r="I2" s="0" t="s">
        <v>176</v>
      </c>
      <c r="J2" s="0" t="s">
        <v>176</v>
      </c>
      <c r="K2" s="0" t="s">
        <v>393</v>
      </c>
      <c r="L2" s="0" t="s">
        <v>176</v>
      </c>
      <c r="M2" s="0" t="s">
        <v>116</v>
      </c>
      <c r="N2" s="0" t="s">
        <v>176</v>
      </c>
      <c r="O2" s="0" t="s">
        <v>3111</v>
      </c>
      <c r="P2" s="0" t="s">
        <v>176</v>
      </c>
      <c r="Q2" s="0" t="s">
        <v>158</v>
      </c>
      <c r="R2" s="0" t="s">
        <v>167</v>
      </c>
      <c r="S2" s="0" t="s">
        <v>167</v>
      </c>
      <c r="T2" s="0" t="s">
        <v>364</v>
      </c>
      <c r="U2" s="0" t="s">
        <v>364</v>
      </c>
      <c r="V2" s="0" t="s">
        <v>365</v>
      </c>
      <c r="W2" s="0" t="s">
        <v>3112</v>
      </c>
      <c r="X2" s="0" t="s">
        <v>3113</v>
      </c>
      <c r="Y2" s="0" t="s">
        <v>3114</v>
      </c>
      <c r="Z2" s="0" t="s">
        <v>3115</v>
      </c>
      <c r="AA2" s="0" t="s">
        <v>3116</v>
      </c>
      <c r="AB2" s="0" t="s">
        <v>3117</v>
      </c>
      <c r="AC2" s="0" t="s">
        <v>308</v>
      </c>
      <c r="AD2" s="0" t="s">
        <v>3118</v>
      </c>
      <c r="AE2" s="0" t="s">
        <v>3119</v>
      </c>
      <c r="AF2" s="0" t="s">
        <v>3120</v>
      </c>
      <c r="AG2" s="0" t="s">
        <v>3121</v>
      </c>
      <c r="AH2" s="0" t="s">
        <v>3122</v>
      </c>
      <c r="AI2" s="0" t="s">
        <v>3123</v>
      </c>
      <c r="AJ2" s="0" t="s">
        <v>3124</v>
      </c>
      <c r="AK2" s="0" t="s">
        <v>3125</v>
      </c>
      <c r="AL2" s="0" t="s">
        <v>3126</v>
      </c>
      <c r="AM2" s="0" t="s">
        <v>308</v>
      </c>
      <c r="AN2" s="0" t="s">
        <v>3127</v>
      </c>
      <c r="AO2" s="0" t="s">
        <v>3128</v>
      </c>
      <c r="AP2" s="0" t="s">
        <v>3129</v>
      </c>
      <c r="AQ2" s="0" t="s">
        <v>3130</v>
      </c>
      <c r="AR2" s="0" t="s">
        <v>176</v>
      </c>
      <c r="AS2" s="0" t="s">
        <v>176</v>
      </c>
      <c r="AT2" s="0" t="s">
        <v>176</v>
      </c>
      <c r="AU2" s="0" t="s">
        <v>176</v>
      </c>
      <c r="AV2" s="0" t="s">
        <v>176</v>
      </c>
      <c r="AW2" s="0" t="s">
        <v>3130</v>
      </c>
      <c r="AX2" s="0" t="s">
        <v>176</v>
      </c>
      <c r="AY2" s="0" t="s">
        <v>176</v>
      </c>
      <c r="AZ2" s="0" t="s">
        <v>176</v>
      </c>
      <c r="BA2" s="0" t="s">
        <v>176</v>
      </c>
      <c r="BB2" s="0" t="s">
        <v>176</v>
      </c>
      <c r="BC2" s="0" t="s">
        <v>3131</v>
      </c>
      <c r="BD2" s="0" t="s">
        <v>176</v>
      </c>
      <c r="BE2" s="0" t="s">
        <v>176</v>
      </c>
      <c r="BF2" s="0" t="s">
        <v>176</v>
      </c>
      <c r="BG2" s="0" t="s">
        <v>176</v>
      </c>
      <c r="BH2" s="0" t="s">
        <v>176</v>
      </c>
      <c r="BI2" s="0" t="s">
        <v>3131</v>
      </c>
      <c r="BJ2" s="0" t="s">
        <v>176</v>
      </c>
      <c r="BK2" s="0" t="s">
        <v>176</v>
      </c>
      <c r="BL2" s="0" t="s">
        <v>176</v>
      </c>
      <c r="BM2" s="0" t="s">
        <v>176</v>
      </c>
      <c r="BN2" s="0" t="s">
        <v>176</v>
      </c>
      <c r="BO2" s="0" t="s">
        <v>3132</v>
      </c>
      <c r="BP2" s="0" t="s">
        <v>176</v>
      </c>
      <c r="BQ2" s="0" t="s">
        <v>176</v>
      </c>
      <c r="BR2" s="0" t="s">
        <v>176</v>
      </c>
      <c r="BS2" s="0" t="s">
        <v>176</v>
      </c>
      <c r="BT2" s="0" t="s">
        <v>176</v>
      </c>
      <c r="BU2" s="0" t="s">
        <v>3132</v>
      </c>
      <c r="BV2" s="0" t="s">
        <v>176</v>
      </c>
      <c r="BW2" s="0" t="s">
        <v>176</v>
      </c>
      <c r="BX2" s="0" t="s">
        <v>176</v>
      </c>
      <c r="BY2" s="0" t="s">
        <v>176</v>
      </c>
      <c r="BZ2" s="0" t="s">
        <v>176</v>
      </c>
      <c r="CA2" s="0" t="s">
        <v>3133</v>
      </c>
      <c r="CB2" s="0" t="s">
        <v>176</v>
      </c>
      <c r="CC2" s="0" t="s">
        <v>176</v>
      </c>
      <c r="CD2" s="0" t="s">
        <v>176</v>
      </c>
      <c r="CE2" s="0" t="s">
        <v>176</v>
      </c>
      <c r="CF2" s="0" t="s">
        <v>176</v>
      </c>
      <c r="CG2" s="0" t="s">
        <v>3133</v>
      </c>
      <c r="CH2" s="0" t="s">
        <v>176</v>
      </c>
      <c r="CI2" s="0" t="s">
        <v>176</v>
      </c>
      <c r="CJ2" s="0" t="s">
        <v>176</v>
      </c>
      <c r="CK2" s="0" t="s">
        <v>176</v>
      </c>
      <c r="CL2" s="0" t="s">
        <v>176</v>
      </c>
      <c r="CM2" s="0" t="s">
        <v>3124</v>
      </c>
      <c r="CN2" s="0" t="s">
        <v>3134</v>
      </c>
      <c r="CO2" s="0" t="s">
        <v>3135</v>
      </c>
      <c r="CP2" s="0" t="s">
        <v>3136</v>
      </c>
      <c r="CQ2" s="0" t="s">
        <v>397</v>
      </c>
      <c r="CR2" s="0" t="s">
        <v>396</v>
      </c>
      <c r="CS2" s="0" t="s">
        <v>398</v>
      </c>
      <c r="CT2" s="0" t="s">
        <v>3133</v>
      </c>
      <c r="CU2" s="0" t="s">
        <v>394</v>
      </c>
      <c r="CV2" s="0" t="s">
        <v>395</v>
      </c>
    </row>
    <row customHeight="1" ht="11.25">
      <c r="A3" s="1104" t="s">
        <v>176</v>
      </c>
      <c r="B3" s="0" t="s">
        <v>176</v>
      </c>
      <c r="C3" s="0" t="s">
        <v>176</v>
      </c>
      <c r="D3" s="0" t="s">
        <v>176</v>
      </c>
      <c r="E3" s="0" t="s">
        <v>3109</v>
      </c>
      <c r="F3" s="0" t="s">
        <v>176</v>
      </c>
      <c r="G3" s="0" t="s">
        <v>176</v>
      </c>
      <c r="H3" s="0" t="s">
        <v>3110</v>
      </c>
      <c r="I3" s="0" t="s">
        <v>176</v>
      </c>
      <c r="J3" s="0" t="s">
        <v>176</v>
      </c>
      <c r="K3" s="0" t="s">
        <v>393</v>
      </c>
      <c r="L3" s="0" t="s">
        <v>176</v>
      </c>
      <c r="M3" s="0" t="s">
        <v>116</v>
      </c>
      <c r="N3" s="0" t="s">
        <v>176</v>
      </c>
      <c r="O3" s="0" t="s">
        <v>3111</v>
      </c>
      <c r="P3" s="0" t="s">
        <v>176</v>
      </c>
      <c r="Q3" s="0" t="s">
        <v>158</v>
      </c>
      <c r="R3" s="0" t="s">
        <v>167</v>
      </c>
      <c r="S3" s="0" t="s">
        <v>167</v>
      </c>
      <c r="T3" s="0" t="s">
        <v>364</v>
      </c>
      <c r="U3" s="0" t="s">
        <v>364</v>
      </c>
      <c r="V3" s="0" t="s">
        <v>365</v>
      </c>
      <c r="W3" s="0" t="s">
        <v>3112</v>
      </c>
      <c r="X3" s="0" t="s">
        <v>3113</v>
      </c>
      <c r="Y3" s="0" t="s">
        <v>3114</v>
      </c>
      <c r="Z3" s="0" t="s">
        <v>3115</v>
      </c>
      <c r="AA3" s="0" t="s">
        <v>3116</v>
      </c>
      <c r="AB3" s="0" t="s">
        <v>3117</v>
      </c>
      <c r="AC3" s="0" t="s">
        <v>308</v>
      </c>
      <c r="AD3" s="0" t="s">
        <v>3118</v>
      </c>
      <c r="AE3" s="0" t="s">
        <v>3119</v>
      </c>
      <c r="AF3" s="0" t="s">
        <v>3120</v>
      </c>
      <c r="AG3" s="0" t="s">
        <v>3121</v>
      </c>
      <c r="AH3" s="0" t="s">
        <v>3122</v>
      </c>
      <c r="AI3" s="0" t="s">
        <v>3123</v>
      </c>
      <c r="AJ3" s="0" t="s">
        <v>3124</v>
      </c>
      <c r="AK3" s="0" t="s">
        <v>3125</v>
      </c>
      <c r="AL3" s="0" t="s">
        <v>3126</v>
      </c>
      <c r="AM3" s="0" t="s">
        <v>308</v>
      </c>
      <c r="AN3" s="0" t="s">
        <v>3127</v>
      </c>
      <c r="AO3" s="0" t="s">
        <v>3128</v>
      </c>
      <c r="AP3" s="0" t="s">
        <v>3129</v>
      </c>
      <c r="AQ3" s="0" t="s">
        <v>3130</v>
      </c>
      <c r="AR3" s="0" t="s">
        <v>176</v>
      </c>
      <c r="AS3" s="0" t="s">
        <v>176</v>
      </c>
      <c r="AT3" s="0" t="s">
        <v>176</v>
      </c>
      <c r="AU3" s="0" t="s">
        <v>176</v>
      </c>
      <c r="AV3" s="0" t="s">
        <v>176</v>
      </c>
      <c r="AW3" s="0" t="s">
        <v>3130</v>
      </c>
      <c r="AX3" s="0" t="s">
        <v>176</v>
      </c>
      <c r="AY3" s="0" t="s">
        <v>176</v>
      </c>
      <c r="AZ3" s="0" t="s">
        <v>176</v>
      </c>
      <c r="BA3" s="0" t="s">
        <v>176</v>
      </c>
      <c r="BB3" s="0" t="s">
        <v>176</v>
      </c>
      <c r="BC3" s="0" t="s">
        <v>3131</v>
      </c>
      <c r="BD3" s="0" t="s">
        <v>176</v>
      </c>
      <c r="BE3" s="0" t="s">
        <v>176</v>
      </c>
      <c r="BF3" s="0" t="s">
        <v>176</v>
      </c>
      <c r="BG3" s="0" t="s">
        <v>176</v>
      </c>
      <c r="BH3" s="0" t="s">
        <v>176</v>
      </c>
      <c r="BI3" s="0" t="s">
        <v>3131</v>
      </c>
      <c r="BJ3" s="0" t="s">
        <v>176</v>
      </c>
      <c r="BK3" s="0" t="s">
        <v>176</v>
      </c>
      <c r="BL3" s="0" t="s">
        <v>176</v>
      </c>
      <c r="BM3" s="0" t="s">
        <v>176</v>
      </c>
      <c r="BN3" s="0" t="s">
        <v>176</v>
      </c>
      <c r="BO3" s="0" t="s">
        <v>3132</v>
      </c>
      <c r="BP3" s="0" t="s">
        <v>176</v>
      </c>
      <c r="BQ3" s="0" t="s">
        <v>176</v>
      </c>
      <c r="BR3" s="0" t="s">
        <v>176</v>
      </c>
      <c r="BS3" s="0" t="s">
        <v>176</v>
      </c>
      <c r="BT3" s="0" t="s">
        <v>176</v>
      </c>
      <c r="BU3" s="0" t="s">
        <v>3132</v>
      </c>
      <c r="BV3" s="0" t="s">
        <v>176</v>
      </c>
      <c r="BW3" s="0" t="s">
        <v>176</v>
      </c>
      <c r="BX3" s="0" t="s">
        <v>176</v>
      </c>
      <c r="BY3" s="0" t="s">
        <v>176</v>
      </c>
      <c r="BZ3" s="0" t="s">
        <v>176</v>
      </c>
      <c r="CA3" s="0" t="s">
        <v>3133</v>
      </c>
      <c r="CB3" s="0" t="s">
        <v>176</v>
      </c>
      <c r="CC3" s="0" t="s">
        <v>176</v>
      </c>
      <c r="CD3" s="0" t="s">
        <v>176</v>
      </c>
      <c r="CE3" s="0" t="s">
        <v>176</v>
      </c>
      <c r="CF3" s="0" t="s">
        <v>176</v>
      </c>
      <c r="CG3" s="0" t="s">
        <v>3133</v>
      </c>
      <c r="CH3" s="0" t="s">
        <v>176</v>
      </c>
      <c r="CI3" s="0" t="s">
        <v>176</v>
      </c>
      <c r="CJ3" s="0" t="s">
        <v>176</v>
      </c>
      <c r="CK3" s="0" t="s">
        <v>176</v>
      </c>
      <c r="CL3" s="0" t="s">
        <v>176</v>
      </c>
      <c r="CM3" s="0" t="s">
        <v>3124</v>
      </c>
      <c r="CN3" s="0" t="s">
        <v>3134</v>
      </c>
      <c r="CO3" s="0" t="s">
        <v>3135</v>
      </c>
      <c r="CP3" s="0" t="s">
        <v>3136</v>
      </c>
      <c r="CQ3" s="0" t="s">
        <v>397</v>
      </c>
      <c r="CR3" s="0" t="s">
        <v>396</v>
      </c>
      <c r="CS3" s="0" t="s">
        <v>398</v>
      </c>
      <c r="CT3" s="0" t="s">
        <v>3133</v>
      </c>
      <c r="CU3" s="0" t="s">
        <v>3137</v>
      </c>
      <c r="CV3" s="0" t="s">
        <v>395</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E7EF81-E918-7032-9688-41A44530DD38}" mc:Ignorable="x14ac xr xr2 xr3">
  <sheetPr>
    <tabColor rgb="FFFFCC99"/>
  </sheetPr>
  <dimension ref="A1:C2"/>
  <sheetViews>
    <sheetView topLeftCell="A1" showGridLines="0" workbookViewId="0">
      <selection activeCell="A1" sqref="A1"/>
    </sheetView>
  </sheetViews>
  <sheetFormatPr defaultColWidth="9.00390625" customHeight="1" defaultRowHeight="11.25"/>
  <cols>
    <col min="1" max="1" style="1104" width="9.00390625"/>
  </cols>
  <sheetData>
    <row customHeight="1" ht="11.25">
      <c r="A1" s="1104" t="s">
        <v>3138</v>
      </c>
      <c r="B1" s="0" t="s">
        <v>3139</v>
      </c>
      <c r="C1" s="0" t="s">
        <v>3140</v>
      </c>
    </row>
    <row customHeight="1" ht="11.25">
      <c r="A2" s="1104" t="s">
        <v>364</v>
      </c>
      <c r="B2" s="0" t="s">
        <v>364</v>
      </c>
      <c r="C2" s="0" t="s">
        <v>365</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2B27E8-0AF8-1BF8-2AAC-3C2C831AFED8}" mc:Ignorable="x14ac xr xr2 xr3">
  <sheetPr>
    <tabColor rgb="FFFFCC99"/>
  </sheetPr>
  <dimension ref="A1:S326"/>
  <sheetViews>
    <sheetView topLeftCell="A1" showGridLines="0" workbookViewId="0">
      <selection activeCell="A1" sqref="A1"/>
    </sheetView>
  </sheetViews>
  <sheetFormatPr defaultColWidth="9.140625" customHeight="1" defaultRowHeight="11.25"/>
  <cols>
    <col min="1" max="1" style="1104" width="9.140625"/>
  </cols>
  <sheetData>
    <row customHeight="1" ht="11.25">
      <c r="A1" s="1104" t="s">
        <v>3141</v>
      </c>
      <c r="B1" s="0" t="s">
        <v>3142</v>
      </c>
      <c r="C1" s="0" t="s">
        <v>3143</v>
      </c>
      <c r="D1" s="0" t="s">
        <v>3144</v>
      </c>
      <c r="E1" s="0" t="s">
        <v>3145</v>
      </c>
      <c r="F1" s="0" t="s">
        <v>3146</v>
      </c>
      <c r="G1" s="0" t="s">
        <v>3147</v>
      </c>
      <c r="H1" s="0" t="s">
        <v>3148</v>
      </c>
      <c r="I1" s="0" t="s">
        <v>3149</v>
      </c>
      <c r="J1" s="0" t="s">
        <v>3150</v>
      </c>
      <c r="K1" s="0" t="s">
        <v>3151</v>
      </c>
      <c r="L1" s="0" t="s">
        <v>3152</v>
      </c>
      <c r="M1" s="0" t="s">
        <v>3153</v>
      </c>
      <c r="N1" s="0" t="s">
        <v>3154</v>
      </c>
      <c r="O1" s="0" t="s">
        <v>3155</v>
      </c>
      <c r="P1" s="0" t="s">
        <v>3156</v>
      </c>
      <c r="Q1" s="0" t="s">
        <v>3157</v>
      </c>
      <c r="R1" s="0" t="s">
        <v>3158</v>
      </c>
      <c r="S1" s="0" t="s">
        <v>3159</v>
      </c>
    </row>
    <row customHeight="1" ht="11.25">
      <c r="A2" s="1104">
        <v>2655</v>
      </c>
      <c r="B2" s="0" t="s">
        <v>116</v>
      </c>
      <c r="C2" s="0">
        <v>28976938</v>
      </c>
      <c r="D2" s="0" t="s">
        <v>3160</v>
      </c>
      <c r="E2" s="0" t="s">
        <v>3161</v>
      </c>
      <c r="F2" s="0" t="s">
        <v>3162</v>
      </c>
      <c r="G2" s="0" t="s">
        <v>3163</v>
      </c>
      <c r="H2" s="0" t="s">
        <v>3164</v>
      </c>
      <c r="I2" s="0" t="s">
        <v>3165</v>
      </c>
      <c r="J2" s="0" t="s">
        <v>3166</v>
      </c>
      <c r="K2" s="0" t="s">
        <v>3167</v>
      </c>
      <c r="L2" s="0" t="s">
        <v>3168</v>
      </c>
      <c r="M2" s="0" t="s">
        <v>3169</v>
      </c>
      <c r="N2" s="0" t="s">
        <v>3170</v>
      </c>
      <c r="O2" s="0" t="s">
        <v>3171</v>
      </c>
      <c r="P2" s="0" t="s">
        <v>3172</v>
      </c>
      <c r="Q2" s="0" t="s">
        <v>3173</v>
      </c>
      <c r="R2" s="0" t="b">
        <v>0</v>
      </c>
      <c r="S2" s="0" t="s">
        <v>3174</v>
      </c>
    </row>
    <row customHeight="1" ht="11.25">
      <c r="A3" s="1104">
        <v>2655</v>
      </c>
      <c r="B3" s="0" t="s">
        <v>116</v>
      </c>
      <c r="C3" s="0">
        <v>27804990</v>
      </c>
      <c r="D3" s="0" t="s">
        <v>3175</v>
      </c>
      <c r="E3" s="0" t="s">
        <v>3176</v>
      </c>
      <c r="F3" s="0" t="s">
        <v>3177</v>
      </c>
      <c r="G3" s="0" t="s">
        <v>3178</v>
      </c>
      <c r="H3" s="0" t="s">
        <v>3179</v>
      </c>
      <c r="I3" s="0" t="s">
        <v>3180</v>
      </c>
      <c r="J3" s="0" t="s">
        <v>3166</v>
      </c>
      <c r="K3" s="0" t="s">
        <v>3181</v>
      </c>
      <c r="L3" s="0" t="s">
        <v>3182</v>
      </c>
      <c r="M3" s="0" t="s">
        <v>3183</v>
      </c>
      <c r="N3" s="0" t="s">
        <v>3184</v>
      </c>
      <c r="O3" s="0" t="s">
        <v>3185</v>
      </c>
      <c r="P3" s="0" t="s">
        <v>3186</v>
      </c>
      <c r="Q3" s="0" t="s">
        <v>3187</v>
      </c>
      <c r="R3" s="0" t="b">
        <v>0</v>
      </c>
      <c r="S3" s="0" t="s">
        <v>3174</v>
      </c>
    </row>
    <row customHeight="1" ht="11.25">
      <c r="A4" s="1104">
        <v>2655</v>
      </c>
      <c r="B4" s="0" t="s">
        <v>116</v>
      </c>
      <c r="C4" s="0">
        <v>27804826</v>
      </c>
      <c r="D4" s="0" t="s">
        <v>3188</v>
      </c>
      <c r="E4" s="0" t="s">
        <v>3189</v>
      </c>
      <c r="F4" s="0" t="s">
        <v>3190</v>
      </c>
      <c r="G4" s="0" t="s">
        <v>3191</v>
      </c>
      <c r="H4" s="0" t="s">
        <v>3192</v>
      </c>
      <c r="I4" s="0" t="s">
        <v>3193</v>
      </c>
      <c r="J4" s="0" t="s">
        <v>3166</v>
      </c>
      <c r="K4" s="0" t="s">
        <v>3194</v>
      </c>
      <c r="L4" s="0" t="s">
        <v>3182</v>
      </c>
      <c r="M4" s="0" t="s">
        <v>3195</v>
      </c>
      <c r="N4" s="0" t="s">
        <v>3196</v>
      </c>
      <c r="O4" s="0" t="s">
        <v>3197</v>
      </c>
      <c r="P4" s="0" t="s">
        <v>3186</v>
      </c>
      <c r="Q4" s="0" t="s">
        <v>3198</v>
      </c>
      <c r="R4" s="0" t="b">
        <v>0</v>
      </c>
      <c r="S4" s="0" t="s">
        <v>3174</v>
      </c>
    </row>
    <row customHeight="1" ht="11.25">
      <c r="A5" s="1104">
        <v>2655</v>
      </c>
      <c r="B5" s="0" t="s">
        <v>116</v>
      </c>
      <c r="C5" s="0">
        <v>26356963</v>
      </c>
      <c r="D5" s="0" t="s">
        <v>3199</v>
      </c>
      <c r="E5" s="0" t="s">
        <v>3200</v>
      </c>
      <c r="F5" s="0" t="s">
        <v>3201</v>
      </c>
      <c r="G5" s="0" t="s">
        <v>3202</v>
      </c>
      <c r="H5" s="0" t="s">
        <v>3203</v>
      </c>
      <c r="I5" s="0" t="s">
        <v>176</v>
      </c>
      <c r="J5" s="0" t="s">
        <v>3166</v>
      </c>
      <c r="K5" s="0" t="s">
        <v>3204</v>
      </c>
      <c r="L5" s="0" t="s">
        <v>3204</v>
      </c>
      <c r="M5" s="0" t="s">
        <v>3205</v>
      </c>
      <c r="N5" s="0" t="s">
        <v>3206</v>
      </c>
      <c r="O5" s="0" t="s">
        <v>3207</v>
      </c>
      <c r="P5" s="0" t="s">
        <v>3208</v>
      </c>
      <c r="Q5" s="0" t="s">
        <v>3209</v>
      </c>
      <c r="R5" s="0" t="b">
        <v>0</v>
      </c>
      <c r="S5" s="0" t="s">
        <v>3174</v>
      </c>
    </row>
    <row customHeight="1" ht="11.25">
      <c r="A6" s="1104">
        <v>2655</v>
      </c>
      <c r="B6" s="0" t="s">
        <v>116</v>
      </c>
      <c r="C6" s="0">
        <v>26322889</v>
      </c>
      <c r="D6" s="0" t="s">
        <v>3210</v>
      </c>
      <c r="E6" s="0" t="s">
        <v>3211</v>
      </c>
      <c r="F6" s="0" t="s">
        <v>3212</v>
      </c>
      <c r="G6" s="0" t="s">
        <v>3213</v>
      </c>
      <c r="H6" s="0" t="s">
        <v>3214</v>
      </c>
      <c r="I6" s="0" t="s">
        <v>3215</v>
      </c>
      <c r="J6" s="0" t="s">
        <v>3166</v>
      </c>
      <c r="K6" s="0" t="s">
        <v>3216</v>
      </c>
      <c r="L6" s="0" t="s">
        <v>3217</v>
      </c>
      <c r="M6" s="0" t="s">
        <v>3218</v>
      </c>
      <c r="N6" s="0" t="s">
        <v>3219</v>
      </c>
      <c r="O6" s="0" t="s">
        <v>3220</v>
      </c>
      <c r="P6" s="0" t="s">
        <v>3221</v>
      </c>
      <c r="Q6" s="0" t="s">
        <v>3222</v>
      </c>
      <c r="R6" s="0" t="b">
        <v>0</v>
      </c>
      <c r="S6" s="0" t="s">
        <v>3174</v>
      </c>
    </row>
    <row customHeight="1" ht="11.25">
      <c r="A7" s="1104">
        <v>2655</v>
      </c>
      <c r="B7" s="0" t="s">
        <v>116</v>
      </c>
      <c r="C7" s="0">
        <v>26427149</v>
      </c>
      <c r="D7" s="0" t="s">
        <v>3223</v>
      </c>
      <c r="E7" s="0" t="s">
        <v>3224</v>
      </c>
      <c r="F7" s="0" t="s">
        <v>3162</v>
      </c>
      <c r="G7" s="0" t="s">
        <v>3225</v>
      </c>
      <c r="H7" s="0" t="s">
        <v>3164</v>
      </c>
      <c r="I7" s="0" t="s">
        <v>3165</v>
      </c>
      <c r="J7" s="0" t="s">
        <v>3166</v>
      </c>
      <c r="K7" s="0" t="s">
        <v>3226</v>
      </c>
      <c r="L7" s="0" t="s">
        <v>3227</v>
      </c>
      <c r="M7" s="0" t="s">
        <v>3228</v>
      </c>
      <c r="N7" s="0" t="s">
        <v>3229</v>
      </c>
      <c r="O7" s="0" t="s">
        <v>3230</v>
      </c>
      <c r="P7" s="0" t="s">
        <v>3231</v>
      </c>
      <c r="Q7" s="0" t="s">
        <v>3232</v>
      </c>
      <c r="R7" s="0" t="b">
        <v>0</v>
      </c>
      <c r="S7" s="0" t="s">
        <v>3174</v>
      </c>
    </row>
    <row customHeight="1" ht="11.25">
      <c r="A8" s="1104">
        <v>2655</v>
      </c>
      <c r="B8" s="0" t="s">
        <v>116</v>
      </c>
      <c r="C8" s="0">
        <v>27295125</v>
      </c>
      <c r="D8" s="0" t="s">
        <v>3233</v>
      </c>
      <c r="E8" s="0" t="s">
        <v>3234</v>
      </c>
      <c r="F8" s="0" t="s">
        <v>3235</v>
      </c>
      <c r="G8" s="0" t="s">
        <v>3236</v>
      </c>
      <c r="H8" s="0" t="s">
        <v>3237</v>
      </c>
      <c r="I8" s="0" t="s">
        <v>3238</v>
      </c>
      <c r="J8" s="0" t="s">
        <v>3239</v>
      </c>
      <c r="K8" s="0" t="s">
        <v>3240</v>
      </c>
      <c r="L8" s="0" t="s">
        <v>3240</v>
      </c>
      <c r="M8" s="0" t="s">
        <v>3241</v>
      </c>
      <c r="N8" s="0" t="s">
        <v>3242</v>
      </c>
      <c r="O8" s="0" t="s">
        <v>3243</v>
      </c>
      <c r="P8" s="0" t="s">
        <v>3208</v>
      </c>
      <c r="Q8" s="0" t="s">
        <v>176</v>
      </c>
      <c r="R8" s="0" t="b">
        <v>0</v>
      </c>
      <c r="S8" s="0" t="s">
        <v>3174</v>
      </c>
    </row>
    <row customHeight="1" ht="11.25">
      <c r="A9" s="1104">
        <v>2655</v>
      </c>
      <c r="B9" s="0" t="s">
        <v>116</v>
      </c>
      <c r="C9" s="0">
        <v>26824672</v>
      </c>
      <c r="D9" s="0" t="s">
        <v>3244</v>
      </c>
      <c r="E9" s="0" t="s">
        <v>3245</v>
      </c>
      <c r="F9" s="0" t="s">
        <v>3246</v>
      </c>
      <c r="G9" s="0" t="s">
        <v>3247</v>
      </c>
      <c r="H9" s="0" t="s">
        <v>3248</v>
      </c>
      <c r="I9" s="0" t="s">
        <v>176</v>
      </c>
      <c r="J9" s="0" t="s">
        <v>3239</v>
      </c>
      <c r="K9" s="0" t="s">
        <v>3249</v>
      </c>
      <c r="L9" s="0" t="s">
        <v>3250</v>
      </c>
      <c r="M9" s="0" t="s">
        <v>3251</v>
      </c>
      <c r="N9" s="0" t="s">
        <v>3252</v>
      </c>
      <c r="O9" s="0" t="s">
        <v>176</v>
      </c>
      <c r="P9" s="0" t="s">
        <v>3253</v>
      </c>
      <c r="Q9" s="0" t="s">
        <v>176</v>
      </c>
      <c r="R9" s="0" t="b">
        <v>0</v>
      </c>
      <c r="S9" s="0" t="s">
        <v>3174</v>
      </c>
    </row>
    <row customHeight="1" ht="11.25">
      <c r="A10" s="1104">
        <v>2655</v>
      </c>
      <c r="B10" s="0" t="s">
        <v>116</v>
      </c>
      <c r="C10" s="0">
        <v>31826293</v>
      </c>
      <c r="D10" s="0" t="s">
        <v>3254</v>
      </c>
      <c r="E10" s="0" t="s">
        <v>3255</v>
      </c>
      <c r="F10" s="0" t="s">
        <v>3256</v>
      </c>
      <c r="G10" s="0" t="s">
        <v>3257</v>
      </c>
      <c r="H10" s="0" t="s">
        <v>3258</v>
      </c>
      <c r="I10" s="0" t="s">
        <v>3259</v>
      </c>
      <c r="K10" s="0" t="s">
        <v>3260</v>
      </c>
      <c r="L10" s="0" t="s">
        <v>3261</v>
      </c>
      <c r="M10" s="0" t="s">
        <v>3262</v>
      </c>
      <c r="N10" s="0" t="s">
        <v>3263</v>
      </c>
      <c r="O10" s="0" t="s">
        <v>3264</v>
      </c>
      <c r="P10" s="0" t="s">
        <v>3265</v>
      </c>
      <c r="Q10" s="0" t="s">
        <v>176</v>
      </c>
      <c r="R10" s="0" t="b">
        <v>0</v>
      </c>
      <c r="S10" s="0" t="s">
        <v>3174</v>
      </c>
    </row>
    <row customHeight="1" ht="11.25">
      <c r="A11" s="1104">
        <v>2655</v>
      </c>
      <c r="B11" s="0" t="s">
        <v>116</v>
      </c>
      <c r="C11" s="0">
        <v>26322867</v>
      </c>
      <c r="D11" s="0" t="s">
        <v>3266</v>
      </c>
      <c r="E11" s="0" t="s">
        <v>3267</v>
      </c>
      <c r="F11" s="0" t="s">
        <v>3268</v>
      </c>
      <c r="G11" s="0" t="s">
        <v>3213</v>
      </c>
      <c r="H11" s="0" t="s">
        <v>3269</v>
      </c>
      <c r="I11" s="0" t="s">
        <v>3270</v>
      </c>
      <c r="J11" s="0" t="s">
        <v>3166</v>
      </c>
      <c r="K11" s="0" t="s">
        <v>3271</v>
      </c>
      <c r="L11" s="0" t="s">
        <v>3271</v>
      </c>
      <c r="M11" s="0" t="s">
        <v>3272</v>
      </c>
      <c r="N11" s="0" t="s">
        <v>3273</v>
      </c>
      <c r="O11" s="0" t="s">
        <v>3274</v>
      </c>
      <c r="P11" s="0" t="s">
        <v>3208</v>
      </c>
      <c r="Q11" s="0" t="s">
        <v>3275</v>
      </c>
      <c r="R11" s="0" t="b">
        <v>0</v>
      </c>
      <c r="S11" s="0" t="s">
        <v>3174</v>
      </c>
    </row>
    <row customHeight="1" ht="11.25">
      <c r="A12" s="1104">
        <v>2655</v>
      </c>
      <c r="B12" s="0" t="s">
        <v>116</v>
      </c>
      <c r="C12" s="0">
        <v>26824651</v>
      </c>
      <c r="D12" s="0" t="s">
        <v>3276</v>
      </c>
      <c r="E12" s="0" t="s">
        <v>3277</v>
      </c>
      <c r="F12" s="0" t="s">
        <v>3246</v>
      </c>
      <c r="G12" s="0" t="s">
        <v>3278</v>
      </c>
      <c r="H12" s="0" t="s">
        <v>3248</v>
      </c>
      <c r="I12" s="0" t="s">
        <v>176</v>
      </c>
      <c r="J12" s="0" t="s">
        <v>3166</v>
      </c>
      <c r="K12" s="0" t="s">
        <v>3279</v>
      </c>
      <c r="L12" s="0" t="s">
        <v>3280</v>
      </c>
      <c r="M12" s="0" t="s">
        <v>3281</v>
      </c>
      <c r="N12" s="0" t="s">
        <v>3282</v>
      </c>
      <c r="O12" s="0" t="s">
        <v>3283</v>
      </c>
      <c r="P12" s="0" t="s">
        <v>3284</v>
      </c>
      <c r="Q12" s="0" t="s">
        <v>176</v>
      </c>
      <c r="R12" s="0" t="b">
        <v>0</v>
      </c>
      <c r="S12" s="0" t="s">
        <v>3174</v>
      </c>
    </row>
    <row customHeight="1" ht="11.25">
      <c r="A13" s="1104">
        <v>2655</v>
      </c>
      <c r="B13" s="0" t="s">
        <v>116</v>
      </c>
      <c r="C13" s="0">
        <v>26824396</v>
      </c>
      <c r="D13" s="0" t="s">
        <v>3285</v>
      </c>
      <c r="E13" s="0" t="s">
        <v>3286</v>
      </c>
      <c r="F13" s="0" t="s">
        <v>3246</v>
      </c>
      <c r="G13" s="0" t="s">
        <v>3287</v>
      </c>
      <c r="H13" s="0" t="s">
        <v>3248</v>
      </c>
      <c r="I13" s="0" t="s">
        <v>176</v>
      </c>
      <c r="J13" s="0" t="s">
        <v>3239</v>
      </c>
      <c r="K13" s="0" t="s">
        <v>3288</v>
      </c>
      <c r="L13" s="0" t="s">
        <v>3288</v>
      </c>
      <c r="M13" s="0" t="s">
        <v>3289</v>
      </c>
      <c r="N13" s="0" t="s">
        <v>176</v>
      </c>
      <c r="O13" s="0" t="s">
        <v>3290</v>
      </c>
      <c r="P13" s="0" t="s">
        <v>3284</v>
      </c>
      <c r="Q13" s="0" t="s">
        <v>176</v>
      </c>
      <c r="R13" s="0" t="b">
        <v>0</v>
      </c>
      <c r="S13" s="0" t="s">
        <v>3174</v>
      </c>
    </row>
    <row customHeight="1" ht="11.25">
      <c r="A14" s="1104">
        <v>2655</v>
      </c>
      <c r="B14" s="0" t="s">
        <v>116</v>
      </c>
      <c r="C14" s="0">
        <v>31232672</v>
      </c>
      <c r="D14" s="0" t="s">
        <v>3291</v>
      </c>
      <c r="E14" s="0" t="s">
        <v>3292</v>
      </c>
      <c r="F14" s="0" t="s">
        <v>3293</v>
      </c>
      <c r="G14" s="0" t="s">
        <v>3294</v>
      </c>
      <c r="H14" s="0" t="s">
        <v>3295</v>
      </c>
      <c r="I14" s="0" t="s">
        <v>3296</v>
      </c>
      <c r="J14" s="0" t="s">
        <v>3297</v>
      </c>
      <c r="K14" s="0" t="s">
        <v>3298</v>
      </c>
      <c r="L14" s="0" t="s">
        <v>3298</v>
      </c>
      <c r="M14" s="0" t="s">
        <v>3299</v>
      </c>
      <c r="N14" s="0" t="s">
        <v>3300</v>
      </c>
      <c r="O14" s="0" t="s">
        <v>3301</v>
      </c>
      <c r="P14" s="0" t="s">
        <v>153</v>
      </c>
      <c r="Q14" s="0" t="s">
        <v>176</v>
      </c>
      <c r="R14" s="0" t="b">
        <v>0</v>
      </c>
      <c r="S14" s="0" t="s">
        <v>3174</v>
      </c>
    </row>
    <row customHeight="1" ht="11.25">
      <c r="A15" s="1104">
        <v>2655</v>
      </c>
      <c r="B15" s="0" t="s">
        <v>116</v>
      </c>
      <c r="C15" s="0">
        <v>31387447</v>
      </c>
      <c r="D15" s="0" t="s">
        <v>3302</v>
      </c>
      <c r="E15" s="0" t="s">
        <v>3303</v>
      </c>
      <c r="F15" s="0" t="s">
        <v>3304</v>
      </c>
      <c r="G15" s="0" t="s">
        <v>3305</v>
      </c>
      <c r="H15" s="0" t="s">
        <v>3306</v>
      </c>
      <c r="I15" s="0" t="s">
        <v>3307</v>
      </c>
      <c r="J15" s="0" t="s">
        <v>3308</v>
      </c>
      <c r="K15" s="0" t="s">
        <v>3309</v>
      </c>
      <c r="L15" s="0" t="s">
        <v>3309</v>
      </c>
      <c r="M15" s="0" t="s">
        <v>3310</v>
      </c>
      <c r="N15" s="0" t="s">
        <v>3311</v>
      </c>
      <c r="O15" s="0" t="s">
        <v>3312</v>
      </c>
      <c r="P15" s="0" t="s">
        <v>153</v>
      </c>
      <c r="Q15" s="0" t="s">
        <v>176</v>
      </c>
      <c r="R15" s="0" t="b">
        <v>0</v>
      </c>
      <c r="S15" s="0" t="s">
        <v>3174</v>
      </c>
    </row>
    <row customHeight="1" ht="11.25">
      <c r="A16" s="1104">
        <v>2655</v>
      </c>
      <c r="B16" s="0" t="s">
        <v>116</v>
      </c>
      <c r="C16" s="0">
        <v>31905805</v>
      </c>
      <c r="D16" s="0" t="s">
        <v>3313</v>
      </c>
      <c r="E16" s="0" t="s">
        <v>3314</v>
      </c>
      <c r="F16" s="0" t="s">
        <v>3315</v>
      </c>
      <c r="G16" s="0" t="s">
        <v>3316</v>
      </c>
      <c r="H16" s="0" t="s">
        <v>3317</v>
      </c>
      <c r="I16" s="0" t="s">
        <v>3318</v>
      </c>
      <c r="K16" s="0" t="s">
        <v>3319</v>
      </c>
      <c r="L16" s="0" t="s">
        <v>3319</v>
      </c>
      <c r="M16" s="0" t="s">
        <v>3320</v>
      </c>
      <c r="N16" s="0" t="s">
        <v>3321</v>
      </c>
      <c r="O16" s="0" t="s">
        <v>3322</v>
      </c>
      <c r="P16" s="0" t="s">
        <v>3323</v>
      </c>
      <c r="Q16" s="0" t="s">
        <v>176</v>
      </c>
      <c r="R16" s="0" t="b">
        <v>0</v>
      </c>
      <c r="S16" s="0" t="s">
        <v>3174</v>
      </c>
    </row>
    <row customHeight="1" ht="11.25">
      <c r="A17" s="1104">
        <v>2655</v>
      </c>
      <c r="B17" s="0" t="s">
        <v>116</v>
      </c>
      <c r="C17" s="0">
        <v>30808700</v>
      </c>
      <c r="D17" s="0" t="s">
        <v>3324</v>
      </c>
      <c r="E17" s="0" t="s">
        <v>3325</v>
      </c>
      <c r="F17" s="0" t="s">
        <v>3326</v>
      </c>
      <c r="G17" s="0" t="s">
        <v>3247</v>
      </c>
      <c r="H17" s="0" t="s">
        <v>3327</v>
      </c>
      <c r="I17" s="0" t="s">
        <v>3328</v>
      </c>
      <c r="J17" s="0" t="s">
        <v>3308</v>
      </c>
      <c r="K17" s="0" t="s">
        <v>3329</v>
      </c>
      <c r="L17" s="0" t="s">
        <v>3330</v>
      </c>
      <c r="M17" s="0" t="s">
        <v>3331</v>
      </c>
      <c r="N17" s="0" t="s">
        <v>3332</v>
      </c>
      <c r="O17" s="0" t="s">
        <v>3333</v>
      </c>
      <c r="P17" s="0" t="s">
        <v>3334</v>
      </c>
      <c r="Q17" s="0" t="s">
        <v>3335</v>
      </c>
      <c r="R17" s="0" t="b">
        <v>1</v>
      </c>
      <c r="S17" s="0" t="s">
        <v>3174</v>
      </c>
    </row>
    <row customHeight="1" ht="11.25">
      <c r="A18" s="1104">
        <v>2655</v>
      </c>
      <c r="B18" s="0" t="s">
        <v>116</v>
      </c>
      <c r="C18" s="0">
        <v>31319221</v>
      </c>
      <c r="D18" s="0" t="s">
        <v>3336</v>
      </c>
      <c r="E18" s="0" t="s">
        <v>3337</v>
      </c>
      <c r="F18" s="0" t="s">
        <v>3338</v>
      </c>
      <c r="G18" s="0" t="s">
        <v>3305</v>
      </c>
      <c r="H18" s="0" t="s">
        <v>3339</v>
      </c>
      <c r="I18" s="0" t="s">
        <v>3340</v>
      </c>
      <c r="J18" s="0" t="s">
        <v>3297</v>
      </c>
      <c r="K18" s="0" t="s">
        <v>3341</v>
      </c>
      <c r="L18" s="0" t="s">
        <v>3341</v>
      </c>
      <c r="M18" s="0" t="s">
        <v>3342</v>
      </c>
      <c r="N18" s="0" t="s">
        <v>3343</v>
      </c>
      <c r="O18" s="0" t="s">
        <v>3344</v>
      </c>
      <c r="P18" s="0" t="s">
        <v>153</v>
      </c>
      <c r="Q18" s="0" t="s">
        <v>3345</v>
      </c>
      <c r="R18" s="0" t="b">
        <v>0</v>
      </c>
      <c r="S18" s="0" t="s">
        <v>3174</v>
      </c>
    </row>
    <row customHeight="1" ht="11.25">
      <c r="A19" s="1104">
        <v>2655</v>
      </c>
      <c r="B19" s="0" t="s">
        <v>116</v>
      </c>
      <c r="C19" s="0">
        <v>31419990</v>
      </c>
      <c r="D19" s="0" t="s">
        <v>3346</v>
      </c>
      <c r="E19" s="0" t="s">
        <v>3347</v>
      </c>
      <c r="F19" s="0" t="s">
        <v>3348</v>
      </c>
      <c r="G19" s="0" t="s">
        <v>3316</v>
      </c>
      <c r="H19" s="0" t="s">
        <v>3349</v>
      </c>
      <c r="I19" s="0" t="s">
        <v>3350</v>
      </c>
      <c r="J19" s="0" t="s">
        <v>3297</v>
      </c>
      <c r="K19" s="0" t="s">
        <v>3351</v>
      </c>
      <c r="L19" s="0" t="s">
        <v>3351</v>
      </c>
      <c r="M19" s="0" t="s">
        <v>3352</v>
      </c>
      <c r="N19" s="0" t="s">
        <v>3353</v>
      </c>
      <c r="O19" s="0" t="s">
        <v>3354</v>
      </c>
      <c r="P19" s="0" t="s">
        <v>153</v>
      </c>
      <c r="Q19" s="0" t="s">
        <v>3355</v>
      </c>
      <c r="R19" s="0" t="b">
        <v>0</v>
      </c>
      <c r="S19" s="0" t="s">
        <v>3174</v>
      </c>
    </row>
    <row customHeight="1" ht="11.25">
      <c r="A20" s="1104">
        <v>2655</v>
      </c>
      <c r="B20" s="0" t="s">
        <v>116</v>
      </c>
      <c r="C20" s="0">
        <v>31343443</v>
      </c>
      <c r="D20" s="0" t="s">
        <v>3356</v>
      </c>
      <c r="E20" s="0" t="s">
        <v>3357</v>
      </c>
      <c r="F20" s="0" t="s">
        <v>3358</v>
      </c>
      <c r="G20" s="0" t="s">
        <v>3247</v>
      </c>
      <c r="H20" s="0" t="s">
        <v>3359</v>
      </c>
      <c r="I20" s="0" t="s">
        <v>3360</v>
      </c>
      <c r="J20" s="0" t="s">
        <v>3297</v>
      </c>
      <c r="K20" s="0" t="s">
        <v>3361</v>
      </c>
      <c r="L20" s="0" t="s">
        <v>3361</v>
      </c>
      <c r="M20" s="0" t="s">
        <v>3362</v>
      </c>
      <c r="N20" s="0" t="s">
        <v>3363</v>
      </c>
      <c r="O20" s="0" t="s">
        <v>3364</v>
      </c>
      <c r="P20" s="0" t="s">
        <v>3334</v>
      </c>
      <c r="Q20" s="0" t="s">
        <v>3365</v>
      </c>
      <c r="R20" s="0" t="b">
        <v>0</v>
      </c>
      <c r="S20" s="0" t="s">
        <v>3174</v>
      </c>
    </row>
    <row customHeight="1" ht="11.25">
      <c r="A21" s="1104">
        <v>2655</v>
      </c>
      <c r="B21" s="0" t="s">
        <v>116</v>
      </c>
      <c r="C21" s="0">
        <v>31367841</v>
      </c>
      <c r="D21" s="0" t="s">
        <v>3366</v>
      </c>
      <c r="E21" s="0" t="s">
        <v>3367</v>
      </c>
      <c r="F21" s="0" t="s">
        <v>3368</v>
      </c>
      <c r="G21" s="0" t="s">
        <v>3369</v>
      </c>
      <c r="H21" s="0" t="s">
        <v>3370</v>
      </c>
      <c r="I21" s="0" t="s">
        <v>3371</v>
      </c>
      <c r="J21" s="0" t="s">
        <v>3308</v>
      </c>
      <c r="K21" s="0" t="s">
        <v>3372</v>
      </c>
      <c r="L21" s="0" t="s">
        <v>3372</v>
      </c>
      <c r="M21" s="0" t="s">
        <v>176</v>
      </c>
      <c r="N21" s="0" t="s">
        <v>3373</v>
      </c>
      <c r="O21" s="0" t="s">
        <v>3374</v>
      </c>
      <c r="P21" s="0" t="s">
        <v>153</v>
      </c>
      <c r="Q21" s="0" t="s">
        <v>176</v>
      </c>
      <c r="R21" s="0" t="b">
        <v>0</v>
      </c>
      <c r="S21" s="0" t="s">
        <v>3174</v>
      </c>
    </row>
    <row customHeight="1" ht="11.25">
      <c r="A22" s="1104">
        <v>2655</v>
      </c>
      <c r="B22" s="0" t="s">
        <v>116</v>
      </c>
      <c r="C22" s="0">
        <v>31087651</v>
      </c>
      <c r="D22" s="0" t="s">
        <v>3375</v>
      </c>
      <c r="E22" s="0" t="s">
        <v>3376</v>
      </c>
      <c r="F22" s="0" t="s">
        <v>3377</v>
      </c>
      <c r="G22" s="0" t="s">
        <v>3378</v>
      </c>
      <c r="H22" s="0" t="s">
        <v>3379</v>
      </c>
      <c r="I22" s="0" t="s">
        <v>3380</v>
      </c>
      <c r="J22" s="0" t="s">
        <v>3297</v>
      </c>
      <c r="K22" s="0" t="s">
        <v>3381</v>
      </c>
      <c r="L22" s="0" t="s">
        <v>3381</v>
      </c>
      <c r="M22" s="0" t="s">
        <v>3382</v>
      </c>
      <c r="N22" s="0" t="s">
        <v>3383</v>
      </c>
      <c r="O22" s="0" t="s">
        <v>3384</v>
      </c>
      <c r="R22" s="0" t="b">
        <v>0</v>
      </c>
      <c r="S22" s="0" t="s">
        <v>3174</v>
      </c>
    </row>
    <row customHeight="1" ht="11.25">
      <c r="A23" s="1104">
        <v>2655</v>
      </c>
      <c r="B23" s="0" t="s">
        <v>116</v>
      </c>
      <c r="C23" s="0">
        <v>31367862</v>
      </c>
      <c r="D23" s="0" t="s">
        <v>3385</v>
      </c>
      <c r="E23" s="0" t="s">
        <v>3386</v>
      </c>
      <c r="F23" s="0" t="s">
        <v>3387</v>
      </c>
      <c r="G23" s="0" t="s">
        <v>3369</v>
      </c>
      <c r="H23" s="0" t="s">
        <v>3388</v>
      </c>
      <c r="I23" s="0" t="s">
        <v>3389</v>
      </c>
      <c r="J23" s="0" t="s">
        <v>3297</v>
      </c>
      <c r="K23" s="0" t="s">
        <v>3390</v>
      </c>
      <c r="L23" s="0" t="s">
        <v>3390</v>
      </c>
      <c r="M23" s="0" t="s">
        <v>176</v>
      </c>
      <c r="N23" s="0" t="s">
        <v>3391</v>
      </c>
      <c r="O23" s="0" t="s">
        <v>3392</v>
      </c>
      <c r="P23" s="0" t="s">
        <v>153</v>
      </c>
      <c r="Q23" s="0" t="s">
        <v>176</v>
      </c>
      <c r="R23" s="0" t="b">
        <v>0</v>
      </c>
      <c r="S23" s="0" t="s">
        <v>3174</v>
      </c>
    </row>
    <row customHeight="1" ht="11.25">
      <c r="A24" s="1104">
        <v>2655</v>
      </c>
      <c r="B24" s="0" t="s">
        <v>116</v>
      </c>
      <c r="C24" s="0">
        <v>26486390</v>
      </c>
      <c r="D24" s="0" t="s">
        <v>3393</v>
      </c>
      <c r="E24" s="0" t="s">
        <v>3394</v>
      </c>
      <c r="F24" s="0" t="s">
        <v>3395</v>
      </c>
      <c r="G24" s="0" t="s">
        <v>3396</v>
      </c>
      <c r="H24" s="0" t="s">
        <v>3397</v>
      </c>
      <c r="I24" s="0" t="s">
        <v>3398</v>
      </c>
      <c r="J24" s="0" t="s">
        <v>3308</v>
      </c>
      <c r="K24" s="0" t="s">
        <v>3399</v>
      </c>
      <c r="L24" s="0" t="s">
        <v>3399</v>
      </c>
      <c r="M24" s="0" t="s">
        <v>3400</v>
      </c>
      <c r="N24" s="0" t="s">
        <v>3401</v>
      </c>
      <c r="O24" s="0" t="s">
        <v>3402</v>
      </c>
      <c r="P24" s="0" t="s">
        <v>153</v>
      </c>
      <c r="Q24" s="0" t="s">
        <v>3403</v>
      </c>
      <c r="R24" s="0" t="b">
        <v>0</v>
      </c>
      <c r="S24" s="0" t="s">
        <v>3174</v>
      </c>
    </row>
    <row customHeight="1" ht="11.25">
      <c r="A25" s="1104">
        <v>2655</v>
      </c>
      <c r="B25" s="0" t="s">
        <v>116</v>
      </c>
      <c r="C25" s="0">
        <v>27977465</v>
      </c>
      <c r="D25" s="0" t="s">
        <v>3404</v>
      </c>
      <c r="E25" s="0" t="s">
        <v>3405</v>
      </c>
      <c r="F25" s="0" t="s">
        <v>3406</v>
      </c>
      <c r="G25" s="0" t="s">
        <v>3407</v>
      </c>
      <c r="H25" s="0" t="s">
        <v>3408</v>
      </c>
      <c r="I25" s="0" t="s">
        <v>3409</v>
      </c>
      <c r="K25" s="0" t="s">
        <v>3410</v>
      </c>
      <c r="L25" s="0" t="s">
        <v>3410</v>
      </c>
      <c r="M25" s="0" t="s">
        <v>3411</v>
      </c>
      <c r="N25" s="0" t="s">
        <v>3412</v>
      </c>
      <c r="O25" s="0" t="s">
        <v>3413</v>
      </c>
      <c r="P25" s="0" t="s">
        <v>3334</v>
      </c>
      <c r="Q25" s="0" t="s">
        <v>3414</v>
      </c>
      <c r="R25" s="0" t="b">
        <v>0</v>
      </c>
      <c r="S25" s="0" t="s">
        <v>3174</v>
      </c>
    </row>
    <row customHeight="1" ht="11.25">
      <c r="A26" s="1104">
        <v>2655</v>
      </c>
      <c r="B26" s="0" t="s">
        <v>116</v>
      </c>
      <c r="C26" s="0">
        <v>31003143</v>
      </c>
      <c r="D26" s="0" t="s">
        <v>3415</v>
      </c>
      <c r="E26" s="0" t="s">
        <v>3416</v>
      </c>
      <c r="F26" s="0" t="s">
        <v>3417</v>
      </c>
      <c r="G26" s="0" t="s">
        <v>3407</v>
      </c>
      <c r="H26" s="0" t="s">
        <v>3418</v>
      </c>
      <c r="I26" s="0" t="s">
        <v>3419</v>
      </c>
      <c r="J26" s="0" t="s">
        <v>3308</v>
      </c>
      <c r="K26" s="0" t="s">
        <v>3420</v>
      </c>
      <c r="L26" s="0" t="s">
        <v>3421</v>
      </c>
      <c r="M26" s="0" t="s">
        <v>3422</v>
      </c>
      <c r="N26" s="0" t="s">
        <v>3423</v>
      </c>
      <c r="O26" s="0" t="s">
        <v>3424</v>
      </c>
      <c r="P26" s="0" t="s">
        <v>153</v>
      </c>
      <c r="Q26" s="0" t="s">
        <v>176</v>
      </c>
      <c r="R26" s="0" t="b">
        <v>1</v>
      </c>
      <c r="S26" s="0" t="s">
        <v>3174</v>
      </c>
    </row>
    <row customHeight="1" ht="11.25">
      <c r="A27" s="1104">
        <v>2655</v>
      </c>
      <c r="B27" s="0" t="s">
        <v>116</v>
      </c>
      <c r="C27" s="0">
        <v>31308226</v>
      </c>
      <c r="D27" s="0" t="s">
        <v>3425</v>
      </c>
      <c r="E27" s="0" t="s">
        <v>3426</v>
      </c>
      <c r="F27" s="0" t="s">
        <v>3427</v>
      </c>
      <c r="G27" s="0" t="s">
        <v>3428</v>
      </c>
      <c r="H27" s="0" t="s">
        <v>3429</v>
      </c>
      <c r="I27" s="0" t="s">
        <v>3430</v>
      </c>
      <c r="J27" s="0" t="s">
        <v>3308</v>
      </c>
      <c r="K27" s="0" t="s">
        <v>3431</v>
      </c>
      <c r="L27" s="0" t="s">
        <v>3431</v>
      </c>
      <c r="M27" s="0" t="s">
        <v>3432</v>
      </c>
      <c r="N27" s="0" t="s">
        <v>3433</v>
      </c>
      <c r="O27" s="0" t="s">
        <v>3434</v>
      </c>
      <c r="P27" s="0" t="s">
        <v>3334</v>
      </c>
      <c r="Q27" s="0" t="s">
        <v>176</v>
      </c>
      <c r="R27" s="0" t="b">
        <v>1</v>
      </c>
      <c r="S27" s="0" t="s">
        <v>3174</v>
      </c>
    </row>
    <row customHeight="1" ht="11.25">
      <c r="A28" s="1104">
        <v>2655</v>
      </c>
      <c r="B28" s="0" t="s">
        <v>116</v>
      </c>
      <c r="C28" s="0">
        <v>31284269</v>
      </c>
      <c r="D28" s="0" t="s">
        <v>3435</v>
      </c>
      <c r="E28" s="0" t="s">
        <v>3436</v>
      </c>
      <c r="F28" s="0" t="s">
        <v>3437</v>
      </c>
      <c r="G28" s="0" t="s">
        <v>3378</v>
      </c>
      <c r="H28" s="0" t="s">
        <v>3438</v>
      </c>
      <c r="I28" s="0" t="s">
        <v>3439</v>
      </c>
      <c r="J28" s="0" t="s">
        <v>3308</v>
      </c>
      <c r="K28" s="0" t="s">
        <v>3440</v>
      </c>
      <c r="L28" s="0" t="s">
        <v>3441</v>
      </c>
      <c r="M28" s="0" t="s">
        <v>3442</v>
      </c>
      <c r="N28" s="0" t="s">
        <v>3443</v>
      </c>
      <c r="O28" s="0" t="s">
        <v>3444</v>
      </c>
      <c r="P28" s="0" t="s">
        <v>153</v>
      </c>
      <c r="Q28" s="0" t="s">
        <v>176</v>
      </c>
      <c r="R28" s="0" t="b">
        <v>0</v>
      </c>
      <c r="S28" s="0" t="s">
        <v>3174</v>
      </c>
    </row>
    <row customHeight="1" ht="11.25">
      <c r="A29" s="1104">
        <v>2655</v>
      </c>
      <c r="B29" s="0" t="s">
        <v>116</v>
      </c>
      <c r="C29" s="0">
        <v>31241680</v>
      </c>
      <c r="D29" s="0" t="s">
        <v>3445</v>
      </c>
      <c r="E29" s="0" t="s">
        <v>3446</v>
      </c>
      <c r="F29" s="0" t="s">
        <v>3447</v>
      </c>
      <c r="G29" s="0" t="s">
        <v>3316</v>
      </c>
      <c r="H29" s="0" t="s">
        <v>3448</v>
      </c>
      <c r="I29" s="0" t="s">
        <v>3449</v>
      </c>
      <c r="J29" s="0" t="s">
        <v>3308</v>
      </c>
      <c r="K29" s="0" t="s">
        <v>3450</v>
      </c>
      <c r="L29" s="0" t="s">
        <v>3450</v>
      </c>
      <c r="M29" s="0" t="s">
        <v>3451</v>
      </c>
      <c r="N29" s="0" t="s">
        <v>3452</v>
      </c>
      <c r="O29" s="0" t="s">
        <v>3453</v>
      </c>
      <c r="P29" s="0" t="s">
        <v>3334</v>
      </c>
      <c r="Q29" s="0" t="s">
        <v>3454</v>
      </c>
      <c r="R29" s="0" t="b">
        <v>0</v>
      </c>
      <c r="S29" s="0" t="s">
        <v>3174</v>
      </c>
    </row>
    <row customHeight="1" ht="11.25">
      <c r="A30" s="1104">
        <v>2655</v>
      </c>
      <c r="B30" s="0" t="s">
        <v>116</v>
      </c>
      <c r="C30" s="0">
        <v>31579664</v>
      </c>
      <c r="D30" s="0" t="s">
        <v>3455</v>
      </c>
      <c r="E30" s="0" t="s">
        <v>3456</v>
      </c>
      <c r="F30" s="0" t="s">
        <v>3457</v>
      </c>
      <c r="G30" s="0" t="s">
        <v>3247</v>
      </c>
      <c r="H30" s="0" t="s">
        <v>3458</v>
      </c>
      <c r="I30" s="0" t="s">
        <v>3459</v>
      </c>
      <c r="K30" s="0" t="s">
        <v>3460</v>
      </c>
      <c r="L30" s="0" t="s">
        <v>3461</v>
      </c>
      <c r="M30" s="0" t="s">
        <v>3462</v>
      </c>
      <c r="N30" s="0" t="s">
        <v>3463</v>
      </c>
      <c r="O30" s="0" t="s">
        <v>3464</v>
      </c>
      <c r="P30" s="0" t="s">
        <v>153</v>
      </c>
      <c r="Q30" s="0" t="s">
        <v>3463</v>
      </c>
      <c r="R30" s="0" t="b">
        <v>1</v>
      </c>
      <c r="S30" s="0" t="s">
        <v>3174</v>
      </c>
    </row>
    <row customHeight="1" ht="11.25">
      <c r="A31" s="1104">
        <v>2655</v>
      </c>
      <c r="B31" s="0" t="s">
        <v>116</v>
      </c>
      <c r="C31" s="0">
        <v>26322895</v>
      </c>
      <c r="D31" s="0" t="s">
        <v>3465</v>
      </c>
      <c r="E31" s="0" t="s">
        <v>3466</v>
      </c>
      <c r="F31" s="0" t="s">
        <v>3467</v>
      </c>
      <c r="G31" s="0" t="s">
        <v>3178</v>
      </c>
      <c r="H31" s="0" t="s">
        <v>3468</v>
      </c>
      <c r="I31" s="0" t="s">
        <v>3469</v>
      </c>
      <c r="J31" s="0" t="s">
        <v>3239</v>
      </c>
      <c r="K31" s="0" t="s">
        <v>3470</v>
      </c>
      <c r="L31" s="0" t="s">
        <v>3470</v>
      </c>
      <c r="M31" s="0" t="s">
        <v>3471</v>
      </c>
      <c r="N31" s="0" t="s">
        <v>3472</v>
      </c>
      <c r="O31" s="0" t="s">
        <v>3473</v>
      </c>
      <c r="P31" s="0" t="s">
        <v>3208</v>
      </c>
      <c r="Q31" s="0" t="s">
        <v>3474</v>
      </c>
      <c r="R31" s="0" t="b">
        <v>0</v>
      </c>
      <c r="S31" s="0" t="s">
        <v>3174</v>
      </c>
    </row>
    <row customHeight="1" ht="11.25">
      <c r="A32" s="1104">
        <v>2655</v>
      </c>
      <c r="B32" s="0" t="s">
        <v>116</v>
      </c>
      <c r="C32" s="0">
        <v>28119331</v>
      </c>
      <c r="D32" s="0" t="s">
        <v>3475</v>
      </c>
      <c r="E32" s="0" t="s">
        <v>3476</v>
      </c>
      <c r="F32" s="0" t="s">
        <v>3477</v>
      </c>
      <c r="G32" s="0" t="s">
        <v>3178</v>
      </c>
      <c r="H32" s="0" t="s">
        <v>3478</v>
      </c>
      <c r="I32" s="0" t="s">
        <v>176</v>
      </c>
      <c r="J32" s="0" t="s">
        <v>141</v>
      </c>
      <c r="K32" s="0" t="s">
        <v>3479</v>
      </c>
      <c r="L32" s="0" t="s">
        <v>3479</v>
      </c>
      <c r="M32" s="0" t="s">
        <v>3480</v>
      </c>
      <c r="N32" s="0" t="s">
        <v>176</v>
      </c>
      <c r="O32" s="0" t="s">
        <v>3481</v>
      </c>
      <c r="P32" s="0" t="s">
        <v>3334</v>
      </c>
      <c r="Q32" s="0" t="s">
        <v>176</v>
      </c>
      <c r="R32" s="0" t="b">
        <v>1</v>
      </c>
      <c r="S32" s="0" t="s">
        <v>3174</v>
      </c>
    </row>
    <row customHeight="1" ht="11.25">
      <c r="A33" s="1104">
        <v>2655</v>
      </c>
      <c r="B33" s="0" t="s">
        <v>116</v>
      </c>
      <c r="C33" s="0">
        <v>31775146</v>
      </c>
      <c r="D33" s="0" t="s">
        <v>3482</v>
      </c>
      <c r="E33" s="0" t="s">
        <v>3483</v>
      </c>
      <c r="F33" s="0" t="s">
        <v>3484</v>
      </c>
      <c r="G33" s="0" t="s">
        <v>3485</v>
      </c>
      <c r="H33" s="0" t="s">
        <v>3486</v>
      </c>
      <c r="I33" s="0" t="s">
        <v>3487</v>
      </c>
      <c r="K33" s="0" t="s">
        <v>3488</v>
      </c>
      <c r="L33" s="0" t="s">
        <v>3488</v>
      </c>
      <c r="M33" s="0" t="s">
        <v>3489</v>
      </c>
      <c r="N33" s="0" t="s">
        <v>3490</v>
      </c>
      <c r="O33" s="0" t="s">
        <v>3491</v>
      </c>
      <c r="P33" s="0" t="s">
        <v>3334</v>
      </c>
      <c r="Q33" s="0" t="s">
        <v>176</v>
      </c>
      <c r="R33" s="0" t="b">
        <v>1</v>
      </c>
      <c r="S33" s="0" t="s">
        <v>3174</v>
      </c>
    </row>
    <row customHeight="1" ht="11.25">
      <c r="A34" s="1104">
        <v>2655</v>
      </c>
      <c r="B34" s="0" t="s">
        <v>116</v>
      </c>
      <c r="C34" s="0">
        <v>28869965</v>
      </c>
      <c r="D34" s="0" t="s">
        <v>3492</v>
      </c>
      <c r="E34" s="0" t="s">
        <v>3493</v>
      </c>
      <c r="F34" s="0" t="s">
        <v>3494</v>
      </c>
      <c r="G34" s="0" t="s">
        <v>3294</v>
      </c>
      <c r="H34" s="0" t="s">
        <v>3495</v>
      </c>
      <c r="I34" s="0" t="s">
        <v>176</v>
      </c>
      <c r="J34" s="0" t="s">
        <v>141</v>
      </c>
      <c r="K34" s="0" t="s">
        <v>3496</v>
      </c>
      <c r="L34" s="0" t="s">
        <v>3496</v>
      </c>
      <c r="M34" s="0" t="s">
        <v>3497</v>
      </c>
      <c r="N34" s="0" t="s">
        <v>3498</v>
      </c>
      <c r="O34" s="0" t="s">
        <v>3499</v>
      </c>
      <c r="P34" s="0" t="s">
        <v>3208</v>
      </c>
      <c r="Q34" s="0" t="s">
        <v>3500</v>
      </c>
      <c r="R34" s="0" t="b">
        <v>0</v>
      </c>
      <c r="S34" s="0" t="s">
        <v>3174</v>
      </c>
    </row>
    <row customHeight="1" ht="11.25">
      <c r="A35" s="1104">
        <v>2655</v>
      </c>
      <c r="B35" s="0" t="s">
        <v>116</v>
      </c>
      <c r="C35" s="0">
        <v>31356597</v>
      </c>
      <c r="D35" s="0" t="s">
        <v>3501</v>
      </c>
      <c r="E35" s="0" t="s">
        <v>3502</v>
      </c>
      <c r="F35" s="0" t="s">
        <v>3503</v>
      </c>
      <c r="G35" s="0" t="s">
        <v>3378</v>
      </c>
      <c r="H35" s="0" t="s">
        <v>3504</v>
      </c>
      <c r="I35" s="0" t="s">
        <v>3505</v>
      </c>
      <c r="J35" s="0" t="s">
        <v>141</v>
      </c>
      <c r="K35" s="0" t="s">
        <v>3506</v>
      </c>
      <c r="L35" s="0" t="s">
        <v>3506</v>
      </c>
      <c r="M35" s="0" t="s">
        <v>3507</v>
      </c>
      <c r="N35" s="0" t="s">
        <v>3508</v>
      </c>
      <c r="O35" s="0" t="s">
        <v>3509</v>
      </c>
      <c r="P35" s="0" t="s">
        <v>3510</v>
      </c>
      <c r="Q35" s="0" t="s">
        <v>176</v>
      </c>
      <c r="R35" s="0" t="b">
        <v>0</v>
      </c>
      <c r="S35" s="0" t="s">
        <v>3174</v>
      </c>
    </row>
    <row customHeight="1" ht="11.25">
      <c r="A36" s="1104">
        <v>2655</v>
      </c>
      <c r="B36" s="0" t="s">
        <v>116</v>
      </c>
      <c r="C36" s="0">
        <v>28136671</v>
      </c>
      <c r="D36" s="0" t="s">
        <v>3511</v>
      </c>
      <c r="E36" s="0" t="s">
        <v>3512</v>
      </c>
      <c r="F36" s="0" t="s">
        <v>3513</v>
      </c>
      <c r="G36" s="0" t="s">
        <v>3514</v>
      </c>
      <c r="H36" s="0" t="s">
        <v>3515</v>
      </c>
      <c r="I36" s="0" t="s">
        <v>3516</v>
      </c>
      <c r="J36" s="0" t="s">
        <v>141</v>
      </c>
      <c r="K36" s="0" t="s">
        <v>3517</v>
      </c>
      <c r="L36" s="0" t="s">
        <v>3518</v>
      </c>
      <c r="M36" s="0" t="s">
        <v>3519</v>
      </c>
      <c r="N36" s="0" t="s">
        <v>3520</v>
      </c>
      <c r="O36" s="0" t="s">
        <v>3521</v>
      </c>
      <c r="P36" s="0" t="s">
        <v>3186</v>
      </c>
      <c r="Q36" s="0" t="s">
        <v>176</v>
      </c>
      <c r="R36" s="0" t="b">
        <v>1</v>
      </c>
      <c r="S36" s="0" t="s">
        <v>3174</v>
      </c>
    </row>
    <row customHeight="1" ht="11.25">
      <c r="A37" s="1104">
        <v>2655</v>
      </c>
      <c r="B37" s="0" t="s">
        <v>116</v>
      </c>
      <c r="C37" s="0">
        <v>30854705</v>
      </c>
      <c r="D37" s="0" t="s">
        <v>3522</v>
      </c>
      <c r="E37" s="0" t="s">
        <v>3523</v>
      </c>
      <c r="F37" s="0" t="s">
        <v>3524</v>
      </c>
      <c r="G37" s="0" t="s">
        <v>3202</v>
      </c>
      <c r="H37" s="0" t="s">
        <v>3525</v>
      </c>
      <c r="I37" s="0" t="s">
        <v>3526</v>
      </c>
      <c r="J37" s="0" t="s">
        <v>141</v>
      </c>
      <c r="K37" s="0" t="s">
        <v>3527</v>
      </c>
      <c r="L37" s="0" t="s">
        <v>3527</v>
      </c>
      <c r="M37" s="0" t="s">
        <v>3528</v>
      </c>
      <c r="N37" s="0" t="s">
        <v>3529</v>
      </c>
      <c r="O37" s="0" t="s">
        <v>3530</v>
      </c>
      <c r="P37" s="0" t="s">
        <v>3208</v>
      </c>
      <c r="Q37" s="0" t="s">
        <v>158</v>
      </c>
      <c r="R37" s="0" t="b">
        <v>0</v>
      </c>
      <c r="S37" s="0" t="s">
        <v>3174</v>
      </c>
    </row>
    <row customHeight="1" ht="11.25">
      <c r="A38" s="1104">
        <v>2655</v>
      </c>
      <c r="B38" s="0" t="s">
        <v>116</v>
      </c>
      <c r="C38" s="0">
        <v>31656254</v>
      </c>
      <c r="D38" s="0" t="s">
        <v>126</v>
      </c>
      <c r="E38" s="0" t="s">
        <v>129</v>
      </c>
      <c r="F38" s="0" t="s">
        <v>135</v>
      </c>
      <c r="G38" s="0" t="s">
        <v>137</v>
      </c>
      <c r="H38" s="0" t="s">
        <v>133</v>
      </c>
      <c r="I38" s="0" t="s">
        <v>139</v>
      </c>
      <c r="K38" s="0" t="s">
        <v>145</v>
      </c>
      <c r="L38" s="0" t="s">
        <v>143</v>
      </c>
      <c r="M38" s="0" t="s">
        <v>147</v>
      </c>
      <c r="N38" s="0" t="s">
        <v>149</v>
      </c>
      <c r="O38" s="0" t="s">
        <v>151</v>
      </c>
      <c r="P38" s="0" t="s">
        <v>153</v>
      </c>
      <c r="Q38" s="0" t="s">
        <v>155</v>
      </c>
      <c r="R38" s="0" t="b">
        <v>0</v>
      </c>
      <c r="S38" s="0" t="s">
        <v>3174</v>
      </c>
    </row>
    <row customHeight="1" ht="11.25">
      <c r="A39" s="1104">
        <v>2655</v>
      </c>
      <c r="B39" s="0" t="s">
        <v>116</v>
      </c>
      <c r="C39" s="0">
        <v>31424033</v>
      </c>
      <c r="D39" s="0" t="s">
        <v>3531</v>
      </c>
      <c r="E39" s="0" t="s">
        <v>3532</v>
      </c>
      <c r="F39" s="0" t="s">
        <v>3533</v>
      </c>
      <c r="G39" s="0" t="s">
        <v>3534</v>
      </c>
      <c r="H39" s="0" t="s">
        <v>3535</v>
      </c>
      <c r="I39" s="0" t="s">
        <v>176</v>
      </c>
      <c r="J39" s="0" t="s">
        <v>141</v>
      </c>
      <c r="K39" s="0" t="s">
        <v>3536</v>
      </c>
      <c r="L39" s="0" t="s">
        <v>3537</v>
      </c>
      <c r="M39" s="0" t="s">
        <v>3183</v>
      </c>
      <c r="N39" s="0" t="s">
        <v>3538</v>
      </c>
      <c r="O39" s="0" t="s">
        <v>3539</v>
      </c>
      <c r="P39" s="0" t="s">
        <v>153</v>
      </c>
      <c r="Q39" s="0" t="s">
        <v>3540</v>
      </c>
      <c r="R39" s="0" t="b">
        <v>0</v>
      </c>
      <c r="S39" s="0" t="s">
        <v>3174</v>
      </c>
    </row>
    <row customHeight="1" ht="11.25">
      <c r="A40" s="1104">
        <v>2655</v>
      </c>
      <c r="B40" s="0" t="s">
        <v>116</v>
      </c>
      <c r="C40" s="0">
        <v>26428026</v>
      </c>
      <c r="D40" s="0" t="s">
        <v>3541</v>
      </c>
      <c r="E40" s="0" t="s">
        <v>3542</v>
      </c>
      <c r="F40" s="0" t="s">
        <v>3543</v>
      </c>
      <c r="G40" s="0" t="s">
        <v>3544</v>
      </c>
      <c r="H40" s="0" t="s">
        <v>3545</v>
      </c>
      <c r="I40" s="0" t="s">
        <v>176</v>
      </c>
      <c r="K40" s="0" t="s">
        <v>3546</v>
      </c>
      <c r="L40" s="0" t="s">
        <v>3546</v>
      </c>
      <c r="M40" s="0" t="s">
        <v>3547</v>
      </c>
      <c r="N40" s="0" t="s">
        <v>3548</v>
      </c>
      <c r="O40" s="0" t="s">
        <v>3549</v>
      </c>
      <c r="P40" s="0" t="s">
        <v>153</v>
      </c>
      <c r="Q40" s="0" t="s">
        <v>176</v>
      </c>
      <c r="R40" s="0" t="b">
        <v>1</v>
      </c>
      <c r="S40" s="0" t="s">
        <v>3174</v>
      </c>
    </row>
    <row customHeight="1" ht="11.25">
      <c r="A41" s="1104">
        <v>2655</v>
      </c>
      <c r="B41" s="0" t="s">
        <v>116</v>
      </c>
      <c r="C41" s="0">
        <v>28151808</v>
      </c>
      <c r="D41" s="0" t="s">
        <v>3550</v>
      </c>
      <c r="E41" s="0" t="s">
        <v>3551</v>
      </c>
      <c r="F41" s="0" t="s">
        <v>3552</v>
      </c>
      <c r="G41" s="0" t="s">
        <v>3247</v>
      </c>
      <c r="H41" s="0" t="s">
        <v>3553</v>
      </c>
      <c r="I41" s="0" t="s">
        <v>3554</v>
      </c>
      <c r="J41" s="0" t="s">
        <v>141</v>
      </c>
      <c r="K41" s="0" t="s">
        <v>3555</v>
      </c>
      <c r="L41" s="0" t="s">
        <v>3556</v>
      </c>
      <c r="M41" s="0" t="s">
        <v>3557</v>
      </c>
      <c r="N41" s="0" t="s">
        <v>3558</v>
      </c>
      <c r="O41" s="0" t="s">
        <v>3559</v>
      </c>
      <c r="P41" s="0" t="s">
        <v>3208</v>
      </c>
      <c r="Q41" s="0" t="s">
        <v>176</v>
      </c>
      <c r="R41" s="0" t="b">
        <v>1</v>
      </c>
      <c r="S41" s="0" t="s">
        <v>3174</v>
      </c>
    </row>
    <row customHeight="1" ht="11.25">
      <c r="A42" s="1104">
        <v>2655</v>
      </c>
      <c r="B42" s="0" t="s">
        <v>116</v>
      </c>
      <c r="C42" s="0">
        <v>31739633</v>
      </c>
      <c r="D42" s="0" t="s">
        <v>3560</v>
      </c>
      <c r="E42" s="0" t="s">
        <v>3561</v>
      </c>
      <c r="F42" s="0" t="s">
        <v>3562</v>
      </c>
      <c r="G42" s="0" t="s">
        <v>3563</v>
      </c>
      <c r="H42" s="0" t="s">
        <v>3564</v>
      </c>
      <c r="I42" s="0" t="s">
        <v>3565</v>
      </c>
      <c r="K42" s="0" t="s">
        <v>3566</v>
      </c>
      <c r="L42" s="0" t="s">
        <v>3566</v>
      </c>
      <c r="M42" s="0" t="s">
        <v>3567</v>
      </c>
      <c r="N42" s="0" t="s">
        <v>3568</v>
      </c>
      <c r="O42" s="0" t="s">
        <v>3569</v>
      </c>
      <c r="P42" s="0" t="s">
        <v>3334</v>
      </c>
      <c r="Q42" s="0" t="s">
        <v>176</v>
      </c>
      <c r="R42" s="0" t="b">
        <v>0</v>
      </c>
      <c r="S42" s="0" t="s">
        <v>3174</v>
      </c>
    </row>
    <row customHeight="1" ht="11.25">
      <c r="A43" s="1104">
        <v>2655</v>
      </c>
      <c r="B43" s="0" t="s">
        <v>116</v>
      </c>
      <c r="C43" s="0">
        <v>31541617</v>
      </c>
      <c r="D43" s="0" t="s">
        <v>3570</v>
      </c>
      <c r="E43" s="0" t="s">
        <v>3571</v>
      </c>
      <c r="F43" s="0" t="s">
        <v>3572</v>
      </c>
      <c r="G43" s="0" t="s">
        <v>3573</v>
      </c>
      <c r="H43" s="0" t="s">
        <v>3574</v>
      </c>
      <c r="I43" s="0" t="s">
        <v>3575</v>
      </c>
      <c r="K43" s="0" t="s">
        <v>3576</v>
      </c>
      <c r="L43" s="0" t="s">
        <v>3576</v>
      </c>
      <c r="M43" s="0" t="s">
        <v>3577</v>
      </c>
      <c r="N43" s="0" t="s">
        <v>3578</v>
      </c>
      <c r="O43" s="0" t="s">
        <v>3579</v>
      </c>
      <c r="P43" s="0" t="s">
        <v>3334</v>
      </c>
      <c r="Q43" s="0" t="s">
        <v>176</v>
      </c>
      <c r="R43" s="0" t="b">
        <v>1</v>
      </c>
      <c r="S43" s="0" t="s">
        <v>3174</v>
      </c>
    </row>
    <row customHeight="1" ht="11.25">
      <c r="A44" s="1104">
        <v>2655</v>
      </c>
      <c r="B44" s="0" t="s">
        <v>116</v>
      </c>
      <c r="C44" s="0">
        <v>26356987</v>
      </c>
      <c r="D44" s="0" t="s">
        <v>3580</v>
      </c>
      <c r="E44" s="0" t="s">
        <v>3581</v>
      </c>
      <c r="F44" s="0" t="s">
        <v>3582</v>
      </c>
      <c r="G44" s="0" t="s">
        <v>3583</v>
      </c>
      <c r="H44" s="0" t="s">
        <v>3584</v>
      </c>
      <c r="I44" s="0" t="s">
        <v>3585</v>
      </c>
      <c r="J44" s="0" t="s">
        <v>141</v>
      </c>
      <c r="K44" s="0" t="s">
        <v>3586</v>
      </c>
      <c r="L44" s="0" t="s">
        <v>3586</v>
      </c>
      <c r="M44" s="0" t="s">
        <v>3587</v>
      </c>
      <c r="N44" s="0" t="s">
        <v>3588</v>
      </c>
      <c r="O44" s="0" t="s">
        <v>3589</v>
      </c>
      <c r="P44" s="0" t="s">
        <v>3334</v>
      </c>
      <c r="Q44" s="0" t="s">
        <v>3590</v>
      </c>
      <c r="R44" s="0" t="b">
        <v>0</v>
      </c>
      <c r="S44" s="0" t="s">
        <v>3174</v>
      </c>
    </row>
    <row customHeight="1" ht="11.25">
      <c r="A45" s="1104">
        <v>2655</v>
      </c>
      <c r="B45" s="0" t="s">
        <v>116</v>
      </c>
      <c r="C45" s="0">
        <v>26356891</v>
      </c>
      <c r="D45" s="0" t="s">
        <v>3591</v>
      </c>
      <c r="E45" s="0" t="s">
        <v>3592</v>
      </c>
      <c r="F45" s="0" t="s">
        <v>3593</v>
      </c>
      <c r="G45" s="0" t="s">
        <v>3407</v>
      </c>
      <c r="H45" s="0" t="s">
        <v>3594</v>
      </c>
      <c r="I45" s="0" t="s">
        <v>3595</v>
      </c>
      <c r="J45" s="0" t="s">
        <v>141</v>
      </c>
      <c r="K45" s="0" t="s">
        <v>3596</v>
      </c>
      <c r="L45" s="0" t="s">
        <v>3596</v>
      </c>
      <c r="M45" s="0" t="s">
        <v>3597</v>
      </c>
      <c r="N45" s="0" t="s">
        <v>3598</v>
      </c>
      <c r="O45" s="0" t="s">
        <v>3599</v>
      </c>
      <c r="P45" s="0" t="s">
        <v>153</v>
      </c>
      <c r="Q45" s="0" t="s">
        <v>176</v>
      </c>
      <c r="R45" s="0" t="b">
        <v>0</v>
      </c>
      <c r="S45" s="0" t="s">
        <v>3174</v>
      </c>
    </row>
    <row customHeight="1" ht="11.25">
      <c r="A46" s="1104">
        <v>2655</v>
      </c>
      <c r="B46" s="0" t="s">
        <v>116</v>
      </c>
      <c r="C46" s="0">
        <v>31241637</v>
      </c>
      <c r="D46" s="0" t="s">
        <v>3600</v>
      </c>
      <c r="E46" s="0" t="s">
        <v>3601</v>
      </c>
      <c r="F46" s="0" t="s">
        <v>3602</v>
      </c>
      <c r="G46" s="0" t="s">
        <v>3428</v>
      </c>
      <c r="H46" s="0" t="s">
        <v>3603</v>
      </c>
      <c r="I46" s="0" t="s">
        <v>3604</v>
      </c>
      <c r="J46" s="0" t="s">
        <v>141</v>
      </c>
      <c r="K46" s="0" t="s">
        <v>3605</v>
      </c>
      <c r="L46" s="0" t="s">
        <v>3605</v>
      </c>
      <c r="M46" s="0" t="s">
        <v>3606</v>
      </c>
      <c r="N46" s="0" t="s">
        <v>176</v>
      </c>
      <c r="O46" s="0" t="s">
        <v>3607</v>
      </c>
      <c r="P46" s="0" t="s">
        <v>3334</v>
      </c>
      <c r="Q46" s="0" t="s">
        <v>176</v>
      </c>
      <c r="R46" s="0" t="b">
        <v>0</v>
      </c>
      <c r="S46" s="0" t="s">
        <v>3174</v>
      </c>
    </row>
    <row customHeight="1" ht="11.25">
      <c r="A47" s="1104">
        <v>2655</v>
      </c>
      <c r="B47" s="0" t="s">
        <v>116</v>
      </c>
      <c r="C47" s="0">
        <v>26356937</v>
      </c>
      <c r="D47" s="0" t="s">
        <v>3608</v>
      </c>
      <c r="E47" s="0" t="s">
        <v>3609</v>
      </c>
      <c r="F47" s="0" t="s">
        <v>3610</v>
      </c>
      <c r="G47" s="0" t="s">
        <v>3485</v>
      </c>
      <c r="H47" s="0" t="s">
        <v>3611</v>
      </c>
      <c r="I47" s="0" t="s">
        <v>3612</v>
      </c>
      <c r="J47" s="0" t="s">
        <v>141</v>
      </c>
      <c r="K47" s="0" t="s">
        <v>3613</v>
      </c>
      <c r="L47" s="0" t="s">
        <v>3613</v>
      </c>
      <c r="M47" s="0" t="s">
        <v>3614</v>
      </c>
      <c r="N47" s="0" t="s">
        <v>3615</v>
      </c>
      <c r="O47" s="0" t="s">
        <v>3616</v>
      </c>
      <c r="P47" s="0" t="s">
        <v>3334</v>
      </c>
      <c r="Q47" s="0" t="s">
        <v>3617</v>
      </c>
      <c r="R47" s="0" t="b">
        <v>0</v>
      </c>
      <c r="S47" s="0" t="s">
        <v>3174</v>
      </c>
    </row>
    <row customHeight="1" ht="11.25">
      <c r="A48" s="1104">
        <v>2655</v>
      </c>
      <c r="B48" s="0" t="s">
        <v>116</v>
      </c>
      <c r="C48" s="0">
        <v>33000834</v>
      </c>
      <c r="D48" s="0" t="s">
        <v>3618</v>
      </c>
      <c r="E48" s="0" t="s">
        <v>3619</v>
      </c>
      <c r="F48" s="0" t="s">
        <v>3620</v>
      </c>
      <c r="G48" s="0" t="s">
        <v>3316</v>
      </c>
      <c r="H48" s="0" t="s">
        <v>3621</v>
      </c>
      <c r="I48" s="0" t="s">
        <v>3622</v>
      </c>
      <c r="K48" s="0" t="s">
        <v>3623</v>
      </c>
      <c r="L48" s="0" t="s">
        <v>3623</v>
      </c>
      <c r="M48" s="0" t="s">
        <v>3624</v>
      </c>
      <c r="N48" s="0" t="s">
        <v>3373</v>
      </c>
      <c r="O48" s="0" t="s">
        <v>3625</v>
      </c>
      <c r="P48" s="0" t="s">
        <v>153</v>
      </c>
      <c r="Q48" s="0" t="s">
        <v>3626</v>
      </c>
      <c r="R48" s="0" t="b">
        <v>0</v>
      </c>
      <c r="S48" s="0" t="s">
        <v>3174</v>
      </c>
    </row>
    <row customHeight="1" ht="11.25">
      <c r="A49" s="1104">
        <v>2655</v>
      </c>
      <c r="B49" s="0" t="s">
        <v>116</v>
      </c>
      <c r="C49" s="0">
        <v>31770754</v>
      </c>
      <c r="D49" s="0" t="s">
        <v>3627</v>
      </c>
      <c r="E49" s="0" t="s">
        <v>3628</v>
      </c>
      <c r="F49" s="0" t="s">
        <v>3629</v>
      </c>
      <c r="G49" s="0" t="s">
        <v>3563</v>
      </c>
      <c r="H49" s="0" t="s">
        <v>3630</v>
      </c>
      <c r="I49" s="0" t="s">
        <v>3631</v>
      </c>
      <c r="K49" s="0" t="s">
        <v>3632</v>
      </c>
      <c r="L49" s="0" t="s">
        <v>3633</v>
      </c>
      <c r="M49" s="0" t="s">
        <v>3634</v>
      </c>
      <c r="N49" s="0" t="s">
        <v>3635</v>
      </c>
      <c r="O49" s="0" t="s">
        <v>3636</v>
      </c>
      <c r="P49" s="0" t="s">
        <v>153</v>
      </c>
      <c r="Q49" s="0" t="s">
        <v>176</v>
      </c>
      <c r="R49" s="0" t="b">
        <v>1</v>
      </c>
      <c r="S49" s="0" t="s">
        <v>3174</v>
      </c>
    </row>
    <row customHeight="1" ht="11.25">
      <c r="A50" s="1104">
        <v>2655</v>
      </c>
      <c r="B50" s="0" t="s">
        <v>116</v>
      </c>
      <c r="C50" s="0">
        <v>31528492</v>
      </c>
      <c r="D50" s="0" t="s">
        <v>3637</v>
      </c>
      <c r="E50" s="0" t="s">
        <v>3638</v>
      </c>
      <c r="F50" s="0" t="s">
        <v>3639</v>
      </c>
      <c r="G50" s="0" t="s">
        <v>3428</v>
      </c>
      <c r="H50" s="0" t="s">
        <v>3640</v>
      </c>
      <c r="I50" s="0" t="s">
        <v>3641</v>
      </c>
      <c r="K50" s="0" t="s">
        <v>3642</v>
      </c>
      <c r="L50" s="0" t="s">
        <v>3642</v>
      </c>
      <c r="M50" s="0" t="s">
        <v>3643</v>
      </c>
      <c r="N50" s="0" t="s">
        <v>3644</v>
      </c>
      <c r="O50" s="0" t="s">
        <v>3645</v>
      </c>
      <c r="P50" s="0" t="s">
        <v>3186</v>
      </c>
      <c r="Q50" s="0" t="s">
        <v>176</v>
      </c>
      <c r="R50" s="0" t="b">
        <v>0</v>
      </c>
      <c r="S50" s="0" t="s">
        <v>3174</v>
      </c>
    </row>
    <row customHeight="1" ht="11.25">
      <c r="A51" s="1104">
        <v>2655</v>
      </c>
      <c r="B51" s="0" t="s">
        <v>116</v>
      </c>
      <c r="C51" s="0">
        <v>28270293</v>
      </c>
      <c r="D51" s="0" t="s">
        <v>3646</v>
      </c>
      <c r="E51" s="0" t="s">
        <v>3647</v>
      </c>
      <c r="F51" s="0" t="s">
        <v>3648</v>
      </c>
      <c r="G51" s="0" t="s">
        <v>3407</v>
      </c>
      <c r="H51" s="0" t="s">
        <v>3649</v>
      </c>
      <c r="I51" s="0" t="s">
        <v>3650</v>
      </c>
      <c r="J51" s="0" t="s">
        <v>141</v>
      </c>
      <c r="K51" s="0" t="s">
        <v>3651</v>
      </c>
      <c r="L51" s="0" t="s">
        <v>3651</v>
      </c>
      <c r="M51" s="0" t="s">
        <v>3652</v>
      </c>
      <c r="N51" s="0" t="s">
        <v>3653</v>
      </c>
      <c r="O51" s="0" t="s">
        <v>3654</v>
      </c>
      <c r="P51" s="0" t="s">
        <v>3208</v>
      </c>
      <c r="Q51" s="0" t="s">
        <v>176</v>
      </c>
      <c r="R51" s="0" t="b">
        <v>0</v>
      </c>
      <c r="S51" s="0" t="s">
        <v>3174</v>
      </c>
    </row>
    <row customHeight="1" ht="11.25">
      <c r="A52" s="1104">
        <v>2655</v>
      </c>
      <c r="B52" s="0" t="s">
        <v>116</v>
      </c>
      <c r="C52" s="0">
        <v>28873362</v>
      </c>
      <c r="D52" s="0" t="s">
        <v>3655</v>
      </c>
      <c r="E52" s="0" t="s">
        <v>3656</v>
      </c>
      <c r="F52" s="0" t="s">
        <v>3657</v>
      </c>
      <c r="G52" s="0" t="s">
        <v>3178</v>
      </c>
      <c r="H52" s="0" t="s">
        <v>3658</v>
      </c>
      <c r="I52" s="0" t="s">
        <v>3659</v>
      </c>
      <c r="J52" s="0" t="s">
        <v>141</v>
      </c>
      <c r="K52" s="0" t="s">
        <v>3660</v>
      </c>
      <c r="L52" s="0" t="s">
        <v>3660</v>
      </c>
      <c r="M52" s="0" t="s">
        <v>3661</v>
      </c>
      <c r="N52" s="0" t="s">
        <v>3662</v>
      </c>
      <c r="O52" s="0" t="s">
        <v>3663</v>
      </c>
      <c r="P52" s="0" t="s">
        <v>153</v>
      </c>
      <c r="Q52" s="0" t="s">
        <v>3664</v>
      </c>
      <c r="R52" s="0" t="b">
        <v>0</v>
      </c>
      <c r="S52" s="0" t="s">
        <v>3174</v>
      </c>
    </row>
    <row customHeight="1" ht="11.25">
      <c r="A53" s="1104">
        <v>2655</v>
      </c>
      <c r="B53" s="0" t="s">
        <v>116</v>
      </c>
      <c r="C53" s="0">
        <v>28976681</v>
      </c>
      <c r="D53" s="0" t="s">
        <v>3665</v>
      </c>
      <c r="E53" s="0" t="s">
        <v>3666</v>
      </c>
      <c r="F53" s="0" t="s">
        <v>3667</v>
      </c>
      <c r="G53" s="0" t="s">
        <v>3407</v>
      </c>
      <c r="H53" s="0" t="s">
        <v>3668</v>
      </c>
      <c r="I53" s="0" t="s">
        <v>3669</v>
      </c>
      <c r="J53" s="0" t="s">
        <v>141</v>
      </c>
      <c r="K53" s="0" t="s">
        <v>3670</v>
      </c>
      <c r="L53" s="0" t="s">
        <v>3670</v>
      </c>
      <c r="M53" s="0" t="s">
        <v>3671</v>
      </c>
      <c r="N53" s="0" t="s">
        <v>3672</v>
      </c>
      <c r="O53" s="0" t="s">
        <v>3673</v>
      </c>
      <c r="P53" s="0" t="s">
        <v>153</v>
      </c>
      <c r="Q53" s="0" t="s">
        <v>176</v>
      </c>
      <c r="R53" s="0" t="b">
        <v>1</v>
      </c>
      <c r="S53" s="0" t="s">
        <v>3174</v>
      </c>
    </row>
    <row customHeight="1" ht="11.25">
      <c r="A54" s="1104">
        <v>2655</v>
      </c>
      <c r="B54" s="0" t="s">
        <v>116</v>
      </c>
      <c r="C54" s="0">
        <v>30992391</v>
      </c>
      <c r="D54" s="0" t="s">
        <v>3674</v>
      </c>
      <c r="E54" s="0" t="s">
        <v>3675</v>
      </c>
      <c r="F54" s="0" t="s">
        <v>3676</v>
      </c>
      <c r="G54" s="0" t="s">
        <v>3294</v>
      </c>
      <c r="H54" s="0" t="s">
        <v>3677</v>
      </c>
      <c r="I54" s="0" t="s">
        <v>3678</v>
      </c>
      <c r="J54" s="0" t="s">
        <v>141</v>
      </c>
      <c r="K54" s="0" t="s">
        <v>3679</v>
      </c>
      <c r="L54" s="0" t="s">
        <v>3680</v>
      </c>
      <c r="M54" s="0" t="s">
        <v>3681</v>
      </c>
      <c r="N54" s="0" t="s">
        <v>3682</v>
      </c>
      <c r="O54" s="0" t="s">
        <v>3683</v>
      </c>
      <c r="P54" s="0" t="s">
        <v>153</v>
      </c>
      <c r="Q54" s="0" t="s">
        <v>3684</v>
      </c>
      <c r="R54" s="0" t="b">
        <v>0</v>
      </c>
      <c r="S54" s="0" t="s">
        <v>3174</v>
      </c>
    </row>
    <row customHeight="1" ht="11.25">
      <c r="A55" s="1104">
        <v>2655</v>
      </c>
      <c r="B55" s="0" t="s">
        <v>116</v>
      </c>
      <c r="C55" s="0">
        <v>26853991</v>
      </c>
      <c r="D55" s="0" t="s">
        <v>3685</v>
      </c>
      <c r="E55" s="0" t="s">
        <v>3686</v>
      </c>
      <c r="F55" s="0" t="s">
        <v>3687</v>
      </c>
      <c r="G55" s="0" t="s">
        <v>3688</v>
      </c>
      <c r="H55" s="0" t="s">
        <v>3689</v>
      </c>
      <c r="I55" s="0" t="s">
        <v>3690</v>
      </c>
      <c r="J55" s="0" t="s">
        <v>3166</v>
      </c>
      <c r="K55" s="0" t="s">
        <v>3691</v>
      </c>
      <c r="L55" s="0" t="s">
        <v>3692</v>
      </c>
      <c r="M55" s="0" t="s">
        <v>3693</v>
      </c>
      <c r="N55" s="0" t="s">
        <v>3694</v>
      </c>
      <c r="O55" s="0" t="s">
        <v>3695</v>
      </c>
      <c r="P55" s="0" t="s">
        <v>3208</v>
      </c>
      <c r="Q55" s="0" t="s">
        <v>176</v>
      </c>
      <c r="R55" s="0" t="b">
        <v>0</v>
      </c>
      <c r="S55" s="0" t="s">
        <v>3174</v>
      </c>
    </row>
    <row customHeight="1" ht="11.25">
      <c r="A56" s="1104">
        <v>2655</v>
      </c>
      <c r="B56" s="0" t="s">
        <v>116</v>
      </c>
      <c r="C56" s="0">
        <v>31908312</v>
      </c>
      <c r="D56" s="0" t="s">
        <v>3685</v>
      </c>
      <c r="E56" s="0" t="s">
        <v>3696</v>
      </c>
      <c r="F56" s="0" t="s">
        <v>3687</v>
      </c>
      <c r="G56" s="0" t="s">
        <v>3688</v>
      </c>
      <c r="H56" s="0" t="s">
        <v>3689</v>
      </c>
      <c r="I56" s="0" t="s">
        <v>3690</v>
      </c>
      <c r="K56" s="0" t="s">
        <v>3697</v>
      </c>
      <c r="L56" s="0" t="s">
        <v>3697</v>
      </c>
      <c r="M56" s="0" t="s">
        <v>3698</v>
      </c>
      <c r="N56" s="0" t="s">
        <v>3699</v>
      </c>
      <c r="O56" s="0" t="s">
        <v>3700</v>
      </c>
      <c r="P56" s="0" t="s">
        <v>176</v>
      </c>
      <c r="Q56" s="0" t="s">
        <v>3701</v>
      </c>
      <c r="R56" s="0" t="b">
        <v>0</v>
      </c>
      <c r="S56" s="0" t="s">
        <v>3174</v>
      </c>
    </row>
    <row customHeight="1" ht="11.25">
      <c r="A57" s="1104">
        <v>2655</v>
      </c>
      <c r="B57" s="0" t="s">
        <v>116</v>
      </c>
      <c r="C57" s="0">
        <v>30808511</v>
      </c>
      <c r="D57" s="0" t="s">
        <v>3702</v>
      </c>
      <c r="E57" s="0" t="s">
        <v>3702</v>
      </c>
      <c r="F57" s="0" t="s">
        <v>3703</v>
      </c>
      <c r="G57" s="0" t="s">
        <v>3704</v>
      </c>
      <c r="H57" s="0" t="s">
        <v>3705</v>
      </c>
      <c r="I57" s="0" t="s">
        <v>3706</v>
      </c>
      <c r="J57" s="0" t="s">
        <v>3707</v>
      </c>
      <c r="K57" s="0" t="s">
        <v>3708</v>
      </c>
      <c r="L57" s="0" t="s">
        <v>3709</v>
      </c>
      <c r="M57" s="0" t="s">
        <v>3710</v>
      </c>
      <c r="N57" s="0" t="s">
        <v>3711</v>
      </c>
      <c r="O57" s="0" t="s">
        <v>3712</v>
      </c>
      <c r="P57" s="0" t="s">
        <v>153</v>
      </c>
      <c r="Q57" s="0" t="s">
        <v>3711</v>
      </c>
      <c r="R57" s="0" t="b">
        <v>0</v>
      </c>
      <c r="S57" s="0" t="s">
        <v>3174</v>
      </c>
    </row>
    <row customHeight="1" ht="11.25">
      <c r="A58" s="1104">
        <v>2655</v>
      </c>
      <c r="B58" s="0" t="s">
        <v>116</v>
      </c>
      <c r="C58" s="0">
        <v>26520873</v>
      </c>
      <c r="D58" s="0" t="s">
        <v>3713</v>
      </c>
      <c r="E58" s="0" t="s">
        <v>3714</v>
      </c>
      <c r="F58" s="0" t="s">
        <v>3703</v>
      </c>
      <c r="G58" s="0" t="s">
        <v>3715</v>
      </c>
      <c r="H58" s="0" t="s">
        <v>3705</v>
      </c>
      <c r="I58" s="0" t="s">
        <v>3716</v>
      </c>
      <c r="J58" s="0" t="s">
        <v>3707</v>
      </c>
      <c r="K58" s="0" t="s">
        <v>3717</v>
      </c>
      <c r="L58" s="0" t="s">
        <v>3718</v>
      </c>
      <c r="M58" s="0" t="s">
        <v>3719</v>
      </c>
      <c r="N58" s="0" t="s">
        <v>3720</v>
      </c>
      <c r="O58" s="0" t="s">
        <v>3721</v>
      </c>
      <c r="P58" s="0" t="s">
        <v>153</v>
      </c>
      <c r="Q58" s="0" t="s">
        <v>3722</v>
      </c>
      <c r="R58" s="0" t="b">
        <v>0</v>
      </c>
      <c r="S58" s="0" t="s">
        <v>3174</v>
      </c>
    </row>
    <row customHeight="1" ht="11.25">
      <c r="A59" s="1104">
        <v>2655</v>
      </c>
      <c r="B59" s="0" t="s">
        <v>116</v>
      </c>
      <c r="C59" s="0">
        <v>30984255</v>
      </c>
      <c r="D59" s="0" t="s">
        <v>3723</v>
      </c>
      <c r="E59" s="0" t="s">
        <v>3724</v>
      </c>
      <c r="F59" s="0" t="s">
        <v>3725</v>
      </c>
      <c r="G59" s="0" t="s">
        <v>3247</v>
      </c>
      <c r="H59" s="0" t="s">
        <v>3726</v>
      </c>
      <c r="I59" s="0" t="s">
        <v>3727</v>
      </c>
      <c r="J59" s="0" t="s">
        <v>3728</v>
      </c>
      <c r="K59" s="0" t="s">
        <v>3729</v>
      </c>
      <c r="L59" s="0" t="s">
        <v>3729</v>
      </c>
      <c r="M59" s="0" t="s">
        <v>3730</v>
      </c>
      <c r="N59" s="0" t="s">
        <v>3731</v>
      </c>
      <c r="O59" s="0" t="s">
        <v>3732</v>
      </c>
      <c r="P59" s="0" t="s">
        <v>3733</v>
      </c>
      <c r="Q59" s="0" t="s">
        <v>176</v>
      </c>
      <c r="R59" s="0" t="b">
        <v>0</v>
      </c>
      <c r="S59" s="0" t="s">
        <v>3174</v>
      </c>
    </row>
    <row customHeight="1" ht="11.25">
      <c r="A60" s="1104">
        <v>2655</v>
      </c>
      <c r="B60" s="0" t="s">
        <v>116</v>
      </c>
      <c r="C60" s="0">
        <v>28976938</v>
      </c>
      <c r="D60" s="0" t="s">
        <v>3160</v>
      </c>
      <c r="E60" s="0" t="s">
        <v>3161</v>
      </c>
      <c r="F60" s="0" t="s">
        <v>3162</v>
      </c>
      <c r="G60" s="0" t="s">
        <v>3163</v>
      </c>
      <c r="H60" s="0" t="s">
        <v>3164</v>
      </c>
      <c r="I60" s="0" t="s">
        <v>3165</v>
      </c>
      <c r="J60" s="0" t="s">
        <v>3166</v>
      </c>
      <c r="K60" s="0" t="s">
        <v>3167</v>
      </c>
      <c r="L60" s="0" t="s">
        <v>3168</v>
      </c>
      <c r="M60" s="0" t="s">
        <v>3169</v>
      </c>
      <c r="N60" s="0" t="s">
        <v>3170</v>
      </c>
      <c r="O60" s="0" t="s">
        <v>3171</v>
      </c>
      <c r="P60" s="0" t="s">
        <v>3172</v>
      </c>
      <c r="Q60" s="0" t="s">
        <v>3173</v>
      </c>
      <c r="R60" s="0" t="b">
        <v>0</v>
      </c>
      <c r="S60" s="0" t="s">
        <v>3734</v>
      </c>
    </row>
    <row customHeight="1" ht="11.25">
      <c r="A61" s="1104">
        <v>2655</v>
      </c>
      <c r="B61" s="0" t="s">
        <v>116</v>
      </c>
      <c r="C61" s="0">
        <v>26356915</v>
      </c>
      <c r="D61" s="0" t="s">
        <v>3735</v>
      </c>
      <c r="E61" s="0" t="s">
        <v>3736</v>
      </c>
      <c r="F61" s="0" t="s">
        <v>3737</v>
      </c>
      <c r="G61" s="0" t="s">
        <v>3396</v>
      </c>
      <c r="H61" s="0" t="s">
        <v>3738</v>
      </c>
      <c r="I61" s="0" t="s">
        <v>3739</v>
      </c>
      <c r="J61" s="0" t="s">
        <v>3166</v>
      </c>
      <c r="K61" s="0" t="s">
        <v>3740</v>
      </c>
      <c r="L61" s="0" t="s">
        <v>3740</v>
      </c>
      <c r="M61" s="0" t="s">
        <v>3741</v>
      </c>
      <c r="N61" s="0" t="s">
        <v>3742</v>
      </c>
      <c r="O61" s="0" t="s">
        <v>3743</v>
      </c>
      <c r="P61" s="0" t="s">
        <v>3208</v>
      </c>
      <c r="Q61" s="0" t="s">
        <v>158</v>
      </c>
      <c r="R61" s="0" t="b">
        <v>0</v>
      </c>
      <c r="S61" s="0" t="s">
        <v>3734</v>
      </c>
    </row>
    <row customHeight="1" ht="11.25">
      <c r="A62" s="1104">
        <v>2655</v>
      </c>
      <c r="B62" s="0" t="s">
        <v>116</v>
      </c>
      <c r="C62" s="0">
        <v>27857950</v>
      </c>
      <c r="D62" s="0" t="s">
        <v>3744</v>
      </c>
      <c r="E62" s="0" t="s">
        <v>3745</v>
      </c>
      <c r="F62" s="0" t="s">
        <v>3746</v>
      </c>
      <c r="G62" s="0" t="s">
        <v>3583</v>
      </c>
      <c r="H62" s="0" t="s">
        <v>3747</v>
      </c>
      <c r="I62" s="0" t="s">
        <v>3748</v>
      </c>
      <c r="J62" s="0" t="s">
        <v>3166</v>
      </c>
      <c r="K62" s="0" t="s">
        <v>3749</v>
      </c>
      <c r="L62" s="0" t="s">
        <v>3749</v>
      </c>
      <c r="M62" s="0" t="s">
        <v>3750</v>
      </c>
      <c r="N62" s="0" t="s">
        <v>3751</v>
      </c>
      <c r="O62" s="0" t="s">
        <v>3752</v>
      </c>
      <c r="P62" s="0" t="s">
        <v>3334</v>
      </c>
      <c r="Q62" s="0" t="s">
        <v>176</v>
      </c>
      <c r="R62" s="0" t="b">
        <v>1</v>
      </c>
      <c r="S62" s="0" t="s">
        <v>3734</v>
      </c>
    </row>
    <row customHeight="1" ht="11.25">
      <c r="A63" s="1104">
        <v>2655</v>
      </c>
      <c r="B63" s="0" t="s">
        <v>116</v>
      </c>
      <c r="C63" s="0">
        <v>26356963</v>
      </c>
      <c r="D63" s="0" t="s">
        <v>3199</v>
      </c>
      <c r="E63" s="0" t="s">
        <v>3200</v>
      </c>
      <c r="F63" s="0" t="s">
        <v>3201</v>
      </c>
      <c r="G63" s="0" t="s">
        <v>3202</v>
      </c>
      <c r="H63" s="0" t="s">
        <v>3203</v>
      </c>
      <c r="I63" s="0" t="s">
        <v>176</v>
      </c>
      <c r="J63" s="0" t="s">
        <v>3166</v>
      </c>
      <c r="K63" s="0" t="s">
        <v>3204</v>
      </c>
      <c r="L63" s="0" t="s">
        <v>3204</v>
      </c>
      <c r="M63" s="0" t="s">
        <v>3205</v>
      </c>
      <c r="N63" s="0" t="s">
        <v>3206</v>
      </c>
      <c r="O63" s="0" t="s">
        <v>3207</v>
      </c>
      <c r="P63" s="0" t="s">
        <v>3208</v>
      </c>
      <c r="Q63" s="0" t="s">
        <v>3209</v>
      </c>
      <c r="R63" s="0" t="b">
        <v>0</v>
      </c>
      <c r="S63" s="0" t="s">
        <v>3734</v>
      </c>
    </row>
    <row customHeight="1" ht="11.25">
      <c r="A64" s="1104">
        <v>2655</v>
      </c>
      <c r="B64" s="0" t="s">
        <v>116</v>
      </c>
      <c r="C64" s="0">
        <v>31833446</v>
      </c>
      <c r="D64" s="0" t="s">
        <v>3753</v>
      </c>
      <c r="E64" s="0" t="s">
        <v>3754</v>
      </c>
      <c r="F64" s="0" t="s">
        <v>3755</v>
      </c>
      <c r="G64" s="0" t="s">
        <v>3178</v>
      </c>
      <c r="H64" s="0" t="s">
        <v>3756</v>
      </c>
      <c r="I64" s="0" t="s">
        <v>176</v>
      </c>
      <c r="K64" s="0" t="s">
        <v>3757</v>
      </c>
      <c r="L64" s="0" t="s">
        <v>3757</v>
      </c>
      <c r="M64" s="0" t="s">
        <v>3758</v>
      </c>
      <c r="N64" s="0" t="s">
        <v>3759</v>
      </c>
      <c r="O64" s="0" t="s">
        <v>3760</v>
      </c>
      <c r="P64" s="0" t="s">
        <v>3186</v>
      </c>
      <c r="Q64" s="0" t="s">
        <v>3761</v>
      </c>
      <c r="R64" s="0" t="b">
        <v>0</v>
      </c>
      <c r="S64" s="0" t="s">
        <v>3734</v>
      </c>
    </row>
    <row customHeight="1" ht="11.25">
      <c r="A65" s="1104">
        <v>2655</v>
      </c>
      <c r="B65" s="0" t="s">
        <v>116</v>
      </c>
      <c r="C65" s="0">
        <v>27820148</v>
      </c>
      <c r="D65" s="0" t="s">
        <v>3762</v>
      </c>
      <c r="E65" s="0" t="s">
        <v>3763</v>
      </c>
      <c r="F65" s="0" t="s">
        <v>3764</v>
      </c>
      <c r="G65" s="0" t="s">
        <v>3485</v>
      </c>
      <c r="H65" s="0" t="s">
        <v>3765</v>
      </c>
      <c r="I65" s="0" t="s">
        <v>3766</v>
      </c>
      <c r="J65" s="0" t="s">
        <v>3166</v>
      </c>
      <c r="K65" s="0" t="s">
        <v>3767</v>
      </c>
      <c r="L65" s="0" t="s">
        <v>3767</v>
      </c>
      <c r="M65" s="0" t="s">
        <v>3768</v>
      </c>
      <c r="N65" s="0" t="s">
        <v>3769</v>
      </c>
      <c r="O65" s="0" t="s">
        <v>3770</v>
      </c>
      <c r="P65" s="0" t="s">
        <v>3771</v>
      </c>
      <c r="Q65" s="0" t="s">
        <v>3772</v>
      </c>
      <c r="R65" s="0" t="b">
        <v>0</v>
      </c>
      <c r="S65" s="0" t="s">
        <v>3734</v>
      </c>
    </row>
    <row customHeight="1" ht="11.25">
      <c r="A66" s="1104">
        <v>2655</v>
      </c>
      <c r="B66" s="0" t="s">
        <v>116</v>
      </c>
      <c r="C66" s="0">
        <v>26322867</v>
      </c>
      <c r="D66" s="0" t="s">
        <v>3266</v>
      </c>
      <c r="E66" s="0" t="s">
        <v>3267</v>
      </c>
      <c r="F66" s="0" t="s">
        <v>3268</v>
      </c>
      <c r="G66" s="0" t="s">
        <v>3213</v>
      </c>
      <c r="H66" s="0" t="s">
        <v>3269</v>
      </c>
      <c r="I66" s="0" t="s">
        <v>3270</v>
      </c>
      <c r="J66" s="0" t="s">
        <v>3166</v>
      </c>
      <c r="K66" s="0" t="s">
        <v>3271</v>
      </c>
      <c r="L66" s="0" t="s">
        <v>3271</v>
      </c>
      <c r="M66" s="0" t="s">
        <v>3272</v>
      </c>
      <c r="N66" s="0" t="s">
        <v>3273</v>
      </c>
      <c r="O66" s="0" t="s">
        <v>3274</v>
      </c>
      <c r="P66" s="0" t="s">
        <v>3208</v>
      </c>
      <c r="Q66" s="0" t="s">
        <v>3275</v>
      </c>
      <c r="R66" s="0" t="b">
        <v>0</v>
      </c>
      <c r="S66" s="0" t="s">
        <v>3734</v>
      </c>
    </row>
    <row customHeight="1" ht="11.25">
      <c r="A67" s="1104">
        <v>2655</v>
      </c>
      <c r="B67" s="0" t="s">
        <v>116</v>
      </c>
      <c r="C67" s="0">
        <v>26824396</v>
      </c>
      <c r="D67" s="0" t="s">
        <v>3285</v>
      </c>
      <c r="E67" s="0" t="s">
        <v>3286</v>
      </c>
      <c r="F67" s="0" t="s">
        <v>3246</v>
      </c>
      <c r="G67" s="0" t="s">
        <v>3287</v>
      </c>
      <c r="H67" s="0" t="s">
        <v>3248</v>
      </c>
      <c r="I67" s="0" t="s">
        <v>176</v>
      </c>
      <c r="J67" s="0" t="s">
        <v>3239</v>
      </c>
      <c r="K67" s="0" t="s">
        <v>3288</v>
      </c>
      <c r="L67" s="0" t="s">
        <v>3288</v>
      </c>
      <c r="M67" s="0" t="s">
        <v>3289</v>
      </c>
      <c r="N67" s="0" t="s">
        <v>176</v>
      </c>
      <c r="O67" s="0" t="s">
        <v>3290</v>
      </c>
      <c r="P67" s="0" t="s">
        <v>3284</v>
      </c>
      <c r="Q67" s="0" t="s">
        <v>176</v>
      </c>
      <c r="R67" s="0" t="b">
        <v>0</v>
      </c>
      <c r="S67" s="0" t="s">
        <v>3734</v>
      </c>
    </row>
    <row customHeight="1" ht="11.25">
      <c r="A68" s="1104">
        <v>2655</v>
      </c>
      <c r="B68" s="0" t="s">
        <v>116</v>
      </c>
      <c r="C68" s="0">
        <v>30365193</v>
      </c>
      <c r="D68" s="0" t="s">
        <v>3773</v>
      </c>
      <c r="E68" s="0" t="s">
        <v>3774</v>
      </c>
      <c r="F68" s="0" t="s">
        <v>3775</v>
      </c>
      <c r="G68" s="0" t="s">
        <v>3178</v>
      </c>
      <c r="H68" s="0" t="s">
        <v>3776</v>
      </c>
      <c r="I68" s="0" t="s">
        <v>176</v>
      </c>
      <c r="J68" s="0" t="s">
        <v>3777</v>
      </c>
      <c r="K68" s="0" t="s">
        <v>3778</v>
      </c>
      <c r="L68" s="0" t="s">
        <v>3778</v>
      </c>
      <c r="M68" s="0" t="s">
        <v>176</v>
      </c>
      <c r="N68" s="0" t="s">
        <v>176</v>
      </c>
      <c r="O68" s="0" t="s">
        <v>3779</v>
      </c>
      <c r="P68" s="0" t="s">
        <v>3780</v>
      </c>
      <c r="Q68" s="0" t="s">
        <v>176</v>
      </c>
      <c r="R68" s="0" t="b">
        <v>0</v>
      </c>
      <c r="S68" s="0" t="s">
        <v>3734</v>
      </c>
    </row>
    <row customHeight="1" ht="11.25">
      <c r="A69" s="1104">
        <v>2655</v>
      </c>
      <c r="B69" s="0" t="s">
        <v>116</v>
      </c>
      <c r="C69" s="0">
        <v>31232672</v>
      </c>
      <c r="D69" s="0" t="s">
        <v>3291</v>
      </c>
      <c r="E69" s="0" t="s">
        <v>3292</v>
      </c>
      <c r="F69" s="0" t="s">
        <v>3293</v>
      </c>
      <c r="G69" s="0" t="s">
        <v>3294</v>
      </c>
      <c r="H69" s="0" t="s">
        <v>3295</v>
      </c>
      <c r="I69" s="0" t="s">
        <v>3296</v>
      </c>
      <c r="J69" s="0" t="s">
        <v>3297</v>
      </c>
      <c r="K69" s="0" t="s">
        <v>3298</v>
      </c>
      <c r="L69" s="0" t="s">
        <v>3298</v>
      </c>
      <c r="M69" s="0" t="s">
        <v>3299</v>
      </c>
      <c r="N69" s="0" t="s">
        <v>3300</v>
      </c>
      <c r="O69" s="0" t="s">
        <v>3301</v>
      </c>
      <c r="P69" s="0" t="s">
        <v>153</v>
      </c>
      <c r="Q69" s="0" t="s">
        <v>176</v>
      </c>
      <c r="R69" s="0" t="b">
        <v>0</v>
      </c>
      <c r="S69" s="0" t="s">
        <v>3734</v>
      </c>
    </row>
    <row customHeight="1" ht="11.25">
      <c r="A70" s="1104">
        <v>2655</v>
      </c>
      <c r="B70" s="0" t="s">
        <v>116</v>
      </c>
      <c r="C70" s="0">
        <v>27978231</v>
      </c>
      <c r="D70" s="0" t="s">
        <v>3781</v>
      </c>
      <c r="E70" s="0" t="s">
        <v>3782</v>
      </c>
      <c r="F70" s="0" t="s">
        <v>3783</v>
      </c>
      <c r="G70" s="0" t="s">
        <v>3378</v>
      </c>
      <c r="H70" s="0" t="s">
        <v>3784</v>
      </c>
      <c r="I70" s="0" t="s">
        <v>3785</v>
      </c>
      <c r="J70" s="0" t="s">
        <v>3297</v>
      </c>
      <c r="K70" s="0" t="s">
        <v>3786</v>
      </c>
      <c r="L70" s="0" t="s">
        <v>3787</v>
      </c>
      <c r="M70" s="0" t="s">
        <v>3788</v>
      </c>
      <c r="N70" s="0" t="s">
        <v>3789</v>
      </c>
      <c r="O70" s="0" t="s">
        <v>3790</v>
      </c>
      <c r="P70" s="0" t="s">
        <v>153</v>
      </c>
      <c r="Q70" s="0" t="s">
        <v>176</v>
      </c>
      <c r="R70" s="0" t="b">
        <v>0</v>
      </c>
      <c r="S70" s="0" t="s">
        <v>3734</v>
      </c>
    </row>
    <row customHeight="1" ht="11.25">
      <c r="A71" s="1104">
        <v>2655</v>
      </c>
      <c r="B71" s="0" t="s">
        <v>116</v>
      </c>
      <c r="C71" s="0">
        <v>30808700</v>
      </c>
      <c r="D71" s="0" t="s">
        <v>3324</v>
      </c>
      <c r="E71" s="0" t="s">
        <v>3325</v>
      </c>
      <c r="F71" s="0" t="s">
        <v>3326</v>
      </c>
      <c r="G71" s="0" t="s">
        <v>3247</v>
      </c>
      <c r="H71" s="0" t="s">
        <v>3327</v>
      </c>
      <c r="I71" s="0" t="s">
        <v>3328</v>
      </c>
      <c r="J71" s="0" t="s">
        <v>3308</v>
      </c>
      <c r="K71" s="0" t="s">
        <v>3329</v>
      </c>
      <c r="L71" s="0" t="s">
        <v>3330</v>
      </c>
      <c r="M71" s="0" t="s">
        <v>3331</v>
      </c>
      <c r="N71" s="0" t="s">
        <v>3332</v>
      </c>
      <c r="O71" s="0" t="s">
        <v>3333</v>
      </c>
      <c r="P71" s="0" t="s">
        <v>3334</v>
      </c>
      <c r="Q71" s="0" t="s">
        <v>3335</v>
      </c>
      <c r="R71" s="0" t="b">
        <v>1</v>
      </c>
      <c r="S71" s="0" t="s">
        <v>3734</v>
      </c>
    </row>
    <row customHeight="1" ht="11.25">
      <c r="A72" s="1104">
        <v>2655</v>
      </c>
      <c r="B72" s="0" t="s">
        <v>116</v>
      </c>
      <c r="C72" s="0">
        <v>31319221</v>
      </c>
      <c r="D72" s="0" t="s">
        <v>3336</v>
      </c>
      <c r="E72" s="0" t="s">
        <v>3337</v>
      </c>
      <c r="F72" s="0" t="s">
        <v>3338</v>
      </c>
      <c r="G72" s="0" t="s">
        <v>3305</v>
      </c>
      <c r="H72" s="0" t="s">
        <v>3339</v>
      </c>
      <c r="I72" s="0" t="s">
        <v>3340</v>
      </c>
      <c r="J72" s="0" t="s">
        <v>3297</v>
      </c>
      <c r="K72" s="0" t="s">
        <v>3341</v>
      </c>
      <c r="L72" s="0" t="s">
        <v>3341</v>
      </c>
      <c r="M72" s="0" t="s">
        <v>3342</v>
      </c>
      <c r="N72" s="0" t="s">
        <v>3343</v>
      </c>
      <c r="O72" s="0" t="s">
        <v>3344</v>
      </c>
      <c r="P72" s="0" t="s">
        <v>153</v>
      </c>
      <c r="Q72" s="0" t="s">
        <v>3345</v>
      </c>
      <c r="R72" s="0" t="b">
        <v>0</v>
      </c>
      <c r="S72" s="0" t="s">
        <v>3734</v>
      </c>
    </row>
    <row customHeight="1" ht="11.25">
      <c r="A73" s="1104">
        <v>2655</v>
      </c>
      <c r="B73" s="0" t="s">
        <v>116</v>
      </c>
      <c r="C73" s="0">
        <v>31419990</v>
      </c>
      <c r="D73" s="0" t="s">
        <v>3346</v>
      </c>
      <c r="E73" s="0" t="s">
        <v>3347</v>
      </c>
      <c r="F73" s="0" t="s">
        <v>3348</v>
      </c>
      <c r="G73" s="0" t="s">
        <v>3316</v>
      </c>
      <c r="H73" s="0" t="s">
        <v>3349</v>
      </c>
      <c r="I73" s="0" t="s">
        <v>3350</v>
      </c>
      <c r="J73" s="0" t="s">
        <v>3297</v>
      </c>
      <c r="K73" s="0" t="s">
        <v>3351</v>
      </c>
      <c r="L73" s="0" t="s">
        <v>3351</v>
      </c>
      <c r="M73" s="0" t="s">
        <v>3352</v>
      </c>
      <c r="N73" s="0" t="s">
        <v>3353</v>
      </c>
      <c r="O73" s="0" t="s">
        <v>3354</v>
      </c>
      <c r="P73" s="0" t="s">
        <v>153</v>
      </c>
      <c r="Q73" s="0" t="s">
        <v>3355</v>
      </c>
      <c r="R73" s="0" t="b">
        <v>0</v>
      </c>
      <c r="S73" s="0" t="s">
        <v>3734</v>
      </c>
    </row>
    <row customHeight="1" ht="11.25">
      <c r="A74" s="1104">
        <v>2655</v>
      </c>
      <c r="B74" s="0" t="s">
        <v>116</v>
      </c>
      <c r="C74" s="0">
        <v>31343443</v>
      </c>
      <c r="D74" s="0" t="s">
        <v>3356</v>
      </c>
      <c r="E74" s="0" t="s">
        <v>3357</v>
      </c>
      <c r="F74" s="0" t="s">
        <v>3358</v>
      </c>
      <c r="G74" s="0" t="s">
        <v>3247</v>
      </c>
      <c r="H74" s="0" t="s">
        <v>3359</v>
      </c>
      <c r="I74" s="0" t="s">
        <v>3360</v>
      </c>
      <c r="J74" s="0" t="s">
        <v>3297</v>
      </c>
      <c r="K74" s="0" t="s">
        <v>3361</v>
      </c>
      <c r="L74" s="0" t="s">
        <v>3361</v>
      </c>
      <c r="M74" s="0" t="s">
        <v>3362</v>
      </c>
      <c r="N74" s="0" t="s">
        <v>3363</v>
      </c>
      <c r="O74" s="0" t="s">
        <v>3364</v>
      </c>
      <c r="P74" s="0" t="s">
        <v>3334</v>
      </c>
      <c r="Q74" s="0" t="s">
        <v>3365</v>
      </c>
      <c r="R74" s="0" t="b">
        <v>0</v>
      </c>
      <c r="S74" s="0" t="s">
        <v>3734</v>
      </c>
    </row>
    <row customHeight="1" ht="11.25">
      <c r="A75" s="1104">
        <v>2655</v>
      </c>
      <c r="B75" s="0" t="s">
        <v>116</v>
      </c>
      <c r="C75" s="0">
        <v>31367841</v>
      </c>
      <c r="D75" s="0" t="s">
        <v>3366</v>
      </c>
      <c r="E75" s="0" t="s">
        <v>3367</v>
      </c>
      <c r="F75" s="0" t="s">
        <v>3368</v>
      </c>
      <c r="G75" s="0" t="s">
        <v>3369</v>
      </c>
      <c r="H75" s="0" t="s">
        <v>3370</v>
      </c>
      <c r="I75" s="0" t="s">
        <v>3371</v>
      </c>
      <c r="J75" s="0" t="s">
        <v>3308</v>
      </c>
      <c r="K75" s="0" t="s">
        <v>3372</v>
      </c>
      <c r="L75" s="0" t="s">
        <v>3372</v>
      </c>
      <c r="M75" s="0" t="s">
        <v>176</v>
      </c>
      <c r="N75" s="0" t="s">
        <v>3373</v>
      </c>
      <c r="O75" s="0" t="s">
        <v>3374</v>
      </c>
      <c r="P75" s="0" t="s">
        <v>153</v>
      </c>
      <c r="Q75" s="0" t="s">
        <v>176</v>
      </c>
      <c r="R75" s="0" t="b">
        <v>0</v>
      </c>
      <c r="S75" s="0" t="s">
        <v>3734</v>
      </c>
    </row>
    <row customHeight="1" ht="11.25">
      <c r="A76" s="1104">
        <v>2655</v>
      </c>
      <c r="B76" s="0" t="s">
        <v>116</v>
      </c>
      <c r="C76" s="0">
        <v>31087651</v>
      </c>
      <c r="D76" s="0" t="s">
        <v>3375</v>
      </c>
      <c r="E76" s="0" t="s">
        <v>3376</v>
      </c>
      <c r="F76" s="0" t="s">
        <v>3377</v>
      </c>
      <c r="G76" s="0" t="s">
        <v>3378</v>
      </c>
      <c r="H76" s="0" t="s">
        <v>3379</v>
      </c>
      <c r="I76" s="0" t="s">
        <v>3380</v>
      </c>
      <c r="J76" s="0" t="s">
        <v>3297</v>
      </c>
      <c r="K76" s="0" t="s">
        <v>3381</v>
      </c>
      <c r="L76" s="0" t="s">
        <v>3381</v>
      </c>
      <c r="M76" s="0" t="s">
        <v>3382</v>
      </c>
      <c r="N76" s="0" t="s">
        <v>3383</v>
      </c>
      <c r="O76" s="0" t="s">
        <v>3384</v>
      </c>
      <c r="R76" s="0" t="b">
        <v>0</v>
      </c>
      <c r="S76" s="0" t="s">
        <v>3734</v>
      </c>
    </row>
    <row customHeight="1" ht="11.25">
      <c r="A77" s="1104">
        <v>2655</v>
      </c>
      <c r="B77" s="0" t="s">
        <v>116</v>
      </c>
      <c r="C77" s="0">
        <v>31367862</v>
      </c>
      <c r="D77" s="0" t="s">
        <v>3385</v>
      </c>
      <c r="E77" s="0" t="s">
        <v>3386</v>
      </c>
      <c r="F77" s="0" t="s">
        <v>3387</v>
      </c>
      <c r="G77" s="0" t="s">
        <v>3369</v>
      </c>
      <c r="H77" s="0" t="s">
        <v>3388</v>
      </c>
      <c r="I77" s="0" t="s">
        <v>3389</v>
      </c>
      <c r="J77" s="0" t="s">
        <v>3297</v>
      </c>
      <c r="K77" s="0" t="s">
        <v>3390</v>
      </c>
      <c r="L77" s="0" t="s">
        <v>3390</v>
      </c>
      <c r="M77" s="0" t="s">
        <v>176</v>
      </c>
      <c r="N77" s="0" t="s">
        <v>3391</v>
      </c>
      <c r="O77" s="0" t="s">
        <v>3392</v>
      </c>
      <c r="P77" s="0" t="s">
        <v>153</v>
      </c>
      <c r="Q77" s="0" t="s">
        <v>176</v>
      </c>
      <c r="R77" s="0" t="b">
        <v>0</v>
      </c>
      <c r="S77" s="0" t="s">
        <v>3734</v>
      </c>
    </row>
    <row customHeight="1" ht="11.25">
      <c r="A78" s="1104">
        <v>2655</v>
      </c>
      <c r="B78" s="0" t="s">
        <v>116</v>
      </c>
      <c r="C78" s="0">
        <v>31329806</v>
      </c>
      <c r="D78" s="0" t="s">
        <v>3791</v>
      </c>
      <c r="E78" s="0" t="s">
        <v>3792</v>
      </c>
      <c r="F78" s="0" t="s">
        <v>3793</v>
      </c>
      <c r="G78" s="0" t="s">
        <v>3202</v>
      </c>
      <c r="H78" s="0" t="s">
        <v>3794</v>
      </c>
      <c r="I78" s="0" t="s">
        <v>3795</v>
      </c>
      <c r="J78" s="0" t="s">
        <v>3308</v>
      </c>
      <c r="K78" s="0" t="s">
        <v>3796</v>
      </c>
      <c r="L78" s="0" t="s">
        <v>3796</v>
      </c>
      <c r="M78" s="0" t="s">
        <v>3797</v>
      </c>
      <c r="N78" s="0" t="s">
        <v>3798</v>
      </c>
      <c r="O78" s="0" t="s">
        <v>3799</v>
      </c>
      <c r="P78" s="0" t="s">
        <v>153</v>
      </c>
      <c r="Q78" s="0" t="s">
        <v>3800</v>
      </c>
      <c r="R78" s="0" t="b">
        <v>0</v>
      </c>
      <c r="S78" s="0" t="s">
        <v>3734</v>
      </c>
    </row>
    <row customHeight="1" ht="11.25">
      <c r="A79" s="1104">
        <v>2655</v>
      </c>
      <c r="B79" s="0" t="s">
        <v>116</v>
      </c>
      <c r="C79" s="0">
        <v>31003143</v>
      </c>
      <c r="D79" s="0" t="s">
        <v>3415</v>
      </c>
      <c r="E79" s="0" t="s">
        <v>3416</v>
      </c>
      <c r="F79" s="0" t="s">
        <v>3417</v>
      </c>
      <c r="G79" s="0" t="s">
        <v>3407</v>
      </c>
      <c r="H79" s="0" t="s">
        <v>3418</v>
      </c>
      <c r="I79" s="0" t="s">
        <v>3419</v>
      </c>
      <c r="J79" s="0" t="s">
        <v>3308</v>
      </c>
      <c r="K79" s="0" t="s">
        <v>3420</v>
      </c>
      <c r="L79" s="0" t="s">
        <v>3421</v>
      </c>
      <c r="M79" s="0" t="s">
        <v>3422</v>
      </c>
      <c r="N79" s="0" t="s">
        <v>3423</v>
      </c>
      <c r="O79" s="0" t="s">
        <v>3424</v>
      </c>
      <c r="P79" s="0" t="s">
        <v>153</v>
      </c>
      <c r="Q79" s="0" t="s">
        <v>176</v>
      </c>
      <c r="R79" s="0" t="b">
        <v>1</v>
      </c>
      <c r="S79" s="0" t="s">
        <v>3734</v>
      </c>
    </row>
    <row customHeight="1" ht="11.25">
      <c r="A80" s="1104">
        <v>2655</v>
      </c>
      <c r="B80" s="0" t="s">
        <v>116</v>
      </c>
      <c r="C80" s="0">
        <v>31308226</v>
      </c>
      <c r="D80" s="0" t="s">
        <v>3425</v>
      </c>
      <c r="E80" s="0" t="s">
        <v>3426</v>
      </c>
      <c r="F80" s="0" t="s">
        <v>3427</v>
      </c>
      <c r="G80" s="0" t="s">
        <v>3428</v>
      </c>
      <c r="H80" s="0" t="s">
        <v>3429</v>
      </c>
      <c r="I80" s="0" t="s">
        <v>3430</v>
      </c>
      <c r="J80" s="0" t="s">
        <v>3308</v>
      </c>
      <c r="K80" s="0" t="s">
        <v>3431</v>
      </c>
      <c r="L80" s="0" t="s">
        <v>3431</v>
      </c>
      <c r="M80" s="0" t="s">
        <v>3432</v>
      </c>
      <c r="N80" s="0" t="s">
        <v>3433</v>
      </c>
      <c r="O80" s="0" t="s">
        <v>3434</v>
      </c>
      <c r="P80" s="0" t="s">
        <v>3334</v>
      </c>
      <c r="Q80" s="0" t="s">
        <v>176</v>
      </c>
      <c r="R80" s="0" t="b">
        <v>1</v>
      </c>
      <c r="S80" s="0" t="s">
        <v>3734</v>
      </c>
    </row>
    <row customHeight="1" ht="11.25">
      <c r="A81" s="1104">
        <v>2655</v>
      </c>
      <c r="B81" s="0" t="s">
        <v>116</v>
      </c>
      <c r="C81" s="0">
        <v>31284269</v>
      </c>
      <c r="D81" s="0" t="s">
        <v>3435</v>
      </c>
      <c r="E81" s="0" t="s">
        <v>3436</v>
      </c>
      <c r="F81" s="0" t="s">
        <v>3437</v>
      </c>
      <c r="G81" s="0" t="s">
        <v>3378</v>
      </c>
      <c r="H81" s="0" t="s">
        <v>3438</v>
      </c>
      <c r="I81" s="0" t="s">
        <v>3439</v>
      </c>
      <c r="J81" s="0" t="s">
        <v>3308</v>
      </c>
      <c r="K81" s="0" t="s">
        <v>3440</v>
      </c>
      <c r="L81" s="0" t="s">
        <v>3441</v>
      </c>
      <c r="M81" s="0" t="s">
        <v>3442</v>
      </c>
      <c r="N81" s="0" t="s">
        <v>3443</v>
      </c>
      <c r="O81" s="0" t="s">
        <v>3444</v>
      </c>
      <c r="P81" s="0" t="s">
        <v>153</v>
      </c>
      <c r="Q81" s="0" t="s">
        <v>176</v>
      </c>
      <c r="R81" s="0" t="b">
        <v>0</v>
      </c>
      <c r="S81" s="0" t="s">
        <v>3734</v>
      </c>
    </row>
    <row customHeight="1" ht="11.25">
      <c r="A82" s="1104">
        <v>2655</v>
      </c>
      <c r="B82" s="0" t="s">
        <v>116</v>
      </c>
      <c r="C82" s="0">
        <v>31241680</v>
      </c>
      <c r="D82" s="0" t="s">
        <v>3445</v>
      </c>
      <c r="E82" s="0" t="s">
        <v>3446</v>
      </c>
      <c r="F82" s="0" t="s">
        <v>3447</v>
      </c>
      <c r="G82" s="0" t="s">
        <v>3316</v>
      </c>
      <c r="H82" s="0" t="s">
        <v>3448</v>
      </c>
      <c r="I82" s="0" t="s">
        <v>3449</v>
      </c>
      <c r="J82" s="0" t="s">
        <v>3308</v>
      </c>
      <c r="K82" s="0" t="s">
        <v>3450</v>
      </c>
      <c r="L82" s="0" t="s">
        <v>3450</v>
      </c>
      <c r="M82" s="0" t="s">
        <v>3451</v>
      </c>
      <c r="N82" s="0" t="s">
        <v>3452</v>
      </c>
      <c r="O82" s="0" t="s">
        <v>3453</v>
      </c>
      <c r="P82" s="0" t="s">
        <v>3334</v>
      </c>
      <c r="Q82" s="0" t="s">
        <v>3454</v>
      </c>
      <c r="R82" s="0" t="b">
        <v>0</v>
      </c>
      <c r="S82" s="0" t="s">
        <v>3734</v>
      </c>
    </row>
    <row customHeight="1" ht="11.25">
      <c r="A83" s="1104">
        <v>2655</v>
      </c>
      <c r="B83" s="0" t="s">
        <v>116</v>
      </c>
      <c r="C83" s="0">
        <v>31579664</v>
      </c>
      <c r="D83" s="0" t="s">
        <v>3455</v>
      </c>
      <c r="E83" s="0" t="s">
        <v>3456</v>
      </c>
      <c r="F83" s="0" t="s">
        <v>3457</v>
      </c>
      <c r="G83" s="0" t="s">
        <v>3247</v>
      </c>
      <c r="H83" s="0" t="s">
        <v>3458</v>
      </c>
      <c r="I83" s="0" t="s">
        <v>3459</v>
      </c>
      <c r="K83" s="0" t="s">
        <v>3460</v>
      </c>
      <c r="L83" s="0" t="s">
        <v>3461</v>
      </c>
      <c r="M83" s="0" t="s">
        <v>3462</v>
      </c>
      <c r="N83" s="0" t="s">
        <v>3463</v>
      </c>
      <c r="O83" s="0" t="s">
        <v>3464</v>
      </c>
      <c r="P83" s="0" t="s">
        <v>153</v>
      </c>
      <c r="Q83" s="0" t="s">
        <v>3463</v>
      </c>
      <c r="R83" s="0" t="b">
        <v>1</v>
      </c>
      <c r="S83" s="0" t="s">
        <v>3734</v>
      </c>
    </row>
    <row customHeight="1" ht="11.25">
      <c r="A84" s="1104">
        <v>2655</v>
      </c>
      <c r="B84" s="0" t="s">
        <v>116</v>
      </c>
      <c r="C84" s="0">
        <v>26322895</v>
      </c>
      <c r="D84" s="0" t="s">
        <v>3465</v>
      </c>
      <c r="E84" s="0" t="s">
        <v>3466</v>
      </c>
      <c r="F84" s="0" t="s">
        <v>3467</v>
      </c>
      <c r="G84" s="0" t="s">
        <v>3178</v>
      </c>
      <c r="H84" s="0" t="s">
        <v>3468</v>
      </c>
      <c r="I84" s="0" t="s">
        <v>3469</v>
      </c>
      <c r="J84" s="0" t="s">
        <v>3239</v>
      </c>
      <c r="K84" s="0" t="s">
        <v>3470</v>
      </c>
      <c r="L84" s="0" t="s">
        <v>3470</v>
      </c>
      <c r="M84" s="0" t="s">
        <v>3471</v>
      </c>
      <c r="N84" s="0" t="s">
        <v>3472</v>
      </c>
      <c r="O84" s="0" t="s">
        <v>3473</v>
      </c>
      <c r="P84" s="0" t="s">
        <v>3208</v>
      </c>
      <c r="Q84" s="0" t="s">
        <v>3474</v>
      </c>
      <c r="R84" s="0" t="b">
        <v>0</v>
      </c>
      <c r="S84" s="0" t="s">
        <v>3734</v>
      </c>
    </row>
    <row customHeight="1" ht="11.25">
      <c r="A85" s="1104">
        <v>2655</v>
      </c>
      <c r="B85" s="0" t="s">
        <v>116</v>
      </c>
      <c r="C85" s="0">
        <v>27784286</v>
      </c>
      <c r="D85" s="0" t="s">
        <v>3801</v>
      </c>
      <c r="E85" s="0" t="s">
        <v>3802</v>
      </c>
      <c r="F85" s="0" t="s">
        <v>3803</v>
      </c>
      <c r="G85" s="0" t="s">
        <v>3428</v>
      </c>
      <c r="H85" s="0" t="s">
        <v>3804</v>
      </c>
      <c r="I85" s="0" t="s">
        <v>3805</v>
      </c>
      <c r="K85" s="0" t="s">
        <v>3806</v>
      </c>
      <c r="L85" s="0" t="s">
        <v>3806</v>
      </c>
      <c r="M85" s="0" t="s">
        <v>3807</v>
      </c>
      <c r="N85" s="0" t="s">
        <v>3808</v>
      </c>
      <c r="O85" s="0" t="s">
        <v>3809</v>
      </c>
      <c r="P85" s="0" t="s">
        <v>3208</v>
      </c>
      <c r="Q85" s="0" t="s">
        <v>3810</v>
      </c>
      <c r="R85" s="0" t="b">
        <v>0</v>
      </c>
      <c r="S85" s="0" t="s">
        <v>3734</v>
      </c>
    </row>
    <row customHeight="1" ht="11.25">
      <c r="A86" s="1104">
        <v>2655</v>
      </c>
      <c r="B86" s="0" t="s">
        <v>116</v>
      </c>
      <c r="C86" s="0">
        <v>26428076</v>
      </c>
      <c r="D86" s="0" t="s">
        <v>3811</v>
      </c>
      <c r="E86" s="0" t="s">
        <v>3812</v>
      </c>
      <c r="F86" s="0" t="s">
        <v>3813</v>
      </c>
      <c r="G86" s="0" t="s">
        <v>3407</v>
      </c>
      <c r="H86" s="0" t="s">
        <v>3814</v>
      </c>
      <c r="I86" s="0" t="s">
        <v>176</v>
      </c>
      <c r="K86" s="0" t="s">
        <v>3815</v>
      </c>
      <c r="L86" s="0" t="s">
        <v>3815</v>
      </c>
      <c r="M86" s="0" t="s">
        <v>3816</v>
      </c>
      <c r="N86" s="0" t="s">
        <v>3817</v>
      </c>
      <c r="O86" s="0" t="s">
        <v>176</v>
      </c>
      <c r="P86" s="0" t="s">
        <v>176</v>
      </c>
      <c r="Q86" s="0" t="s">
        <v>176</v>
      </c>
      <c r="R86" s="0" t="b">
        <v>0</v>
      </c>
      <c r="S86" s="0" t="s">
        <v>3734</v>
      </c>
    </row>
    <row customHeight="1" ht="11.25">
      <c r="A87" s="1104">
        <v>2655</v>
      </c>
      <c r="B87" s="0" t="s">
        <v>116</v>
      </c>
      <c r="C87" s="0">
        <v>28954370</v>
      </c>
      <c r="D87" s="0" t="s">
        <v>3818</v>
      </c>
      <c r="E87" s="0" t="s">
        <v>3819</v>
      </c>
      <c r="F87" s="0" t="s">
        <v>3820</v>
      </c>
      <c r="G87" s="0" t="s">
        <v>3407</v>
      </c>
      <c r="H87" s="0" t="s">
        <v>3821</v>
      </c>
      <c r="I87" s="0" t="s">
        <v>3822</v>
      </c>
      <c r="J87" s="0" t="s">
        <v>141</v>
      </c>
      <c r="K87" s="0" t="s">
        <v>3823</v>
      </c>
      <c r="L87" s="0" t="s">
        <v>3823</v>
      </c>
      <c r="M87" s="0" t="s">
        <v>3824</v>
      </c>
      <c r="N87" s="0" t="s">
        <v>3825</v>
      </c>
      <c r="O87" s="0" t="s">
        <v>3826</v>
      </c>
      <c r="P87" s="0" t="s">
        <v>153</v>
      </c>
      <c r="Q87" s="0" t="s">
        <v>176</v>
      </c>
      <c r="R87" s="0" t="b">
        <v>1</v>
      </c>
      <c r="S87" s="0" t="s">
        <v>3734</v>
      </c>
    </row>
    <row customHeight="1" ht="11.25">
      <c r="A88" s="1104">
        <v>2655</v>
      </c>
      <c r="B88" s="0" t="s">
        <v>116</v>
      </c>
      <c r="C88" s="0">
        <v>31774016</v>
      </c>
      <c r="D88" s="0" t="s">
        <v>3827</v>
      </c>
      <c r="E88" s="0" t="s">
        <v>3828</v>
      </c>
      <c r="F88" s="0" t="s">
        <v>3829</v>
      </c>
      <c r="G88" s="0" t="s">
        <v>3428</v>
      </c>
      <c r="H88" s="0" t="s">
        <v>3830</v>
      </c>
      <c r="I88" s="0" t="s">
        <v>3831</v>
      </c>
      <c r="K88" s="0" t="s">
        <v>3832</v>
      </c>
      <c r="L88" s="0" t="s">
        <v>3833</v>
      </c>
      <c r="M88" s="0" t="s">
        <v>3834</v>
      </c>
      <c r="N88" s="0" t="s">
        <v>3835</v>
      </c>
      <c r="O88" s="0" t="s">
        <v>3836</v>
      </c>
      <c r="P88" s="0" t="s">
        <v>3186</v>
      </c>
      <c r="Q88" s="0" t="s">
        <v>176</v>
      </c>
      <c r="R88" s="0" t="b">
        <v>1</v>
      </c>
      <c r="S88" s="0" t="s">
        <v>3734</v>
      </c>
    </row>
    <row customHeight="1" ht="11.25">
      <c r="A89" s="1104">
        <v>2655</v>
      </c>
      <c r="B89" s="0" t="s">
        <v>116</v>
      </c>
      <c r="C89" s="0">
        <v>28869965</v>
      </c>
      <c r="D89" s="0" t="s">
        <v>3492</v>
      </c>
      <c r="E89" s="0" t="s">
        <v>3493</v>
      </c>
      <c r="F89" s="0" t="s">
        <v>3494</v>
      </c>
      <c r="G89" s="0" t="s">
        <v>3294</v>
      </c>
      <c r="H89" s="0" t="s">
        <v>3495</v>
      </c>
      <c r="I89" s="0" t="s">
        <v>176</v>
      </c>
      <c r="J89" s="0" t="s">
        <v>141</v>
      </c>
      <c r="K89" s="0" t="s">
        <v>3496</v>
      </c>
      <c r="L89" s="0" t="s">
        <v>3496</v>
      </c>
      <c r="M89" s="0" t="s">
        <v>3497</v>
      </c>
      <c r="N89" s="0" t="s">
        <v>3498</v>
      </c>
      <c r="O89" s="0" t="s">
        <v>3499</v>
      </c>
      <c r="P89" s="0" t="s">
        <v>3208</v>
      </c>
      <c r="Q89" s="0" t="s">
        <v>3500</v>
      </c>
      <c r="R89" s="0" t="b">
        <v>0</v>
      </c>
      <c r="S89" s="0" t="s">
        <v>3734</v>
      </c>
    </row>
    <row customHeight="1" ht="11.25">
      <c r="A90" s="1104">
        <v>2655</v>
      </c>
      <c r="B90" s="0" t="s">
        <v>116</v>
      </c>
      <c r="C90" s="0">
        <v>28113313</v>
      </c>
      <c r="D90" s="0" t="s">
        <v>3837</v>
      </c>
      <c r="E90" s="0" t="s">
        <v>3838</v>
      </c>
      <c r="F90" s="0" t="s">
        <v>3839</v>
      </c>
      <c r="G90" s="0" t="s">
        <v>3514</v>
      </c>
      <c r="H90" s="0" t="s">
        <v>3840</v>
      </c>
      <c r="I90" s="0" t="s">
        <v>176</v>
      </c>
      <c r="J90" s="0" t="s">
        <v>141</v>
      </c>
      <c r="K90" s="0" t="s">
        <v>3841</v>
      </c>
      <c r="L90" s="0" t="s">
        <v>3842</v>
      </c>
      <c r="M90" s="0" t="s">
        <v>176</v>
      </c>
      <c r="N90" s="0" t="s">
        <v>176</v>
      </c>
      <c r="O90" s="0" t="s">
        <v>3521</v>
      </c>
      <c r="P90" s="0" t="s">
        <v>3186</v>
      </c>
      <c r="Q90" s="0" t="s">
        <v>176</v>
      </c>
      <c r="R90" s="0" t="b">
        <v>1</v>
      </c>
      <c r="S90" s="0" t="s">
        <v>3734</v>
      </c>
    </row>
    <row customHeight="1" ht="11.25">
      <c r="A91" s="1104">
        <v>2655</v>
      </c>
      <c r="B91" s="0" t="s">
        <v>116</v>
      </c>
      <c r="C91" s="0">
        <v>26428030</v>
      </c>
      <c r="D91" s="0" t="s">
        <v>3843</v>
      </c>
      <c r="E91" s="0" t="s">
        <v>3844</v>
      </c>
      <c r="F91" s="0" t="s">
        <v>3845</v>
      </c>
      <c r="G91" s="0" t="s">
        <v>3407</v>
      </c>
      <c r="H91" s="0" t="s">
        <v>3846</v>
      </c>
      <c r="I91" s="0" t="s">
        <v>176</v>
      </c>
      <c r="K91" s="0" t="s">
        <v>3847</v>
      </c>
      <c r="L91" s="0" t="s">
        <v>3847</v>
      </c>
      <c r="M91" s="0" t="s">
        <v>3848</v>
      </c>
      <c r="N91" s="0" t="s">
        <v>3849</v>
      </c>
      <c r="O91" s="0" t="s">
        <v>176</v>
      </c>
      <c r="P91" s="0" t="s">
        <v>176</v>
      </c>
      <c r="Q91" s="0" t="s">
        <v>176</v>
      </c>
      <c r="R91" s="0" t="b">
        <v>0</v>
      </c>
      <c r="S91" s="0" t="s">
        <v>3734</v>
      </c>
    </row>
    <row customHeight="1" ht="11.25">
      <c r="A92" s="1104">
        <v>2655</v>
      </c>
      <c r="B92" s="0" t="s">
        <v>116</v>
      </c>
      <c r="C92" s="0">
        <v>31356597</v>
      </c>
      <c r="D92" s="0" t="s">
        <v>3501</v>
      </c>
      <c r="E92" s="0" t="s">
        <v>3502</v>
      </c>
      <c r="F92" s="0" t="s">
        <v>3503</v>
      </c>
      <c r="G92" s="0" t="s">
        <v>3378</v>
      </c>
      <c r="H92" s="0" t="s">
        <v>3504</v>
      </c>
      <c r="I92" s="0" t="s">
        <v>3505</v>
      </c>
      <c r="J92" s="0" t="s">
        <v>141</v>
      </c>
      <c r="K92" s="0" t="s">
        <v>3506</v>
      </c>
      <c r="L92" s="0" t="s">
        <v>3506</v>
      </c>
      <c r="M92" s="0" t="s">
        <v>3507</v>
      </c>
      <c r="N92" s="0" t="s">
        <v>3508</v>
      </c>
      <c r="O92" s="0" t="s">
        <v>3509</v>
      </c>
      <c r="P92" s="0" t="s">
        <v>3510</v>
      </c>
      <c r="Q92" s="0" t="s">
        <v>176</v>
      </c>
      <c r="R92" s="0" t="b">
        <v>0</v>
      </c>
      <c r="S92" s="0" t="s">
        <v>3734</v>
      </c>
    </row>
    <row customHeight="1" ht="11.25">
      <c r="A93" s="1104">
        <v>2655</v>
      </c>
      <c r="B93" s="0" t="s">
        <v>116</v>
      </c>
      <c r="C93" s="0">
        <v>28136671</v>
      </c>
      <c r="D93" s="0" t="s">
        <v>3511</v>
      </c>
      <c r="E93" s="0" t="s">
        <v>3512</v>
      </c>
      <c r="F93" s="0" t="s">
        <v>3513</v>
      </c>
      <c r="G93" s="0" t="s">
        <v>3514</v>
      </c>
      <c r="H93" s="0" t="s">
        <v>3515</v>
      </c>
      <c r="I93" s="0" t="s">
        <v>3516</v>
      </c>
      <c r="J93" s="0" t="s">
        <v>141</v>
      </c>
      <c r="K93" s="0" t="s">
        <v>3517</v>
      </c>
      <c r="L93" s="0" t="s">
        <v>3518</v>
      </c>
      <c r="M93" s="0" t="s">
        <v>3519</v>
      </c>
      <c r="N93" s="0" t="s">
        <v>3520</v>
      </c>
      <c r="O93" s="0" t="s">
        <v>3521</v>
      </c>
      <c r="P93" s="0" t="s">
        <v>3186</v>
      </c>
      <c r="Q93" s="0" t="s">
        <v>176</v>
      </c>
      <c r="R93" s="0" t="b">
        <v>1</v>
      </c>
      <c r="S93" s="0" t="s">
        <v>3734</v>
      </c>
    </row>
    <row customHeight="1" ht="11.25">
      <c r="A94" s="1104">
        <v>2655</v>
      </c>
      <c r="B94" s="0" t="s">
        <v>116</v>
      </c>
      <c r="C94" s="0">
        <v>27838991</v>
      </c>
      <c r="D94" s="0" t="s">
        <v>3850</v>
      </c>
      <c r="E94" s="0" t="s">
        <v>3851</v>
      </c>
      <c r="F94" s="0" t="s">
        <v>3852</v>
      </c>
      <c r="G94" s="0" t="s">
        <v>3202</v>
      </c>
      <c r="H94" s="0" t="s">
        <v>3853</v>
      </c>
      <c r="I94" s="0" t="s">
        <v>3854</v>
      </c>
      <c r="J94" s="0" t="s">
        <v>141</v>
      </c>
      <c r="K94" s="0" t="s">
        <v>3855</v>
      </c>
      <c r="L94" s="0" t="s">
        <v>3856</v>
      </c>
      <c r="M94" s="0" t="s">
        <v>3857</v>
      </c>
      <c r="N94" s="0" t="s">
        <v>3858</v>
      </c>
      <c r="O94" s="0" t="s">
        <v>3859</v>
      </c>
      <c r="P94" s="0" t="s">
        <v>3208</v>
      </c>
      <c r="Q94" s="0" t="s">
        <v>176</v>
      </c>
      <c r="R94" s="0" t="b">
        <v>0</v>
      </c>
      <c r="S94" s="0" t="s">
        <v>3734</v>
      </c>
    </row>
    <row customHeight="1" ht="11.25">
      <c r="A95" s="1104">
        <v>2655</v>
      </c>
      <c r="B95" s="0" t="s">
        <v>116</v>
      </c>
      <c r="C95" s="0">
        <v>26428026</v>
      </c>
      <c r="D95" s="0" t="s">
        <v>3541</v>
      </c>
      <c r="E95" s="0" t="s">
        <v>3542</v>
      </c>
      <c r="F95" s="0" t="s">
        <v>3543</v>
      </c>
      <c r="G95" s="0" t="s">
        <v>3544</v>
      </c>
      <c r="H95" s="0" t="s">
        <v>3545</v>
      </c>
      <c r="I95" s="0" t="s">
        <v>176</v>
      </c>
      <c r="K95" s="0" t="s">
        <v>3546</v>
      </c>
      <c r="L95" s="0" t="s">
        <v>3546</v>
      </c>
      <c r="M95" s="0" t="s">
        <v>3547</v>
      </c>
      <c r="N95" s="0" t="s">
        <v>3548</v>
      </c>
      <c r="O95" s="0" t="s">
        <v>3549</v>
      </c>
      <c r="P95" s="0" t="s">
        <v>153</v>
      </c>
      <c r="Q95" s="0" t="s">
        <v>176</v>
      </c>
      <c r="R95" s="0" t="b">
        <v>1</v>
      </c>
      <c r="S95" s="0" t="s">
        <v>3734</v>
      </c>
    </row>
    <row customHeight="1" ht="11.25">
      <c r="A96" s="1104">
        <v>2655</v>
      </c>
      <c r="B96" s="0" t="s">
        <v>116</v>
      </c>
      <c r="C96" s="0">
        <v>31739633</v>
      </c>
      <c r="D96" s="0" t="s">
        <v>3560</v>
      </c>
      <c r="E96" s="0" t="s">
        <v>3561</v>
      </c>
      <c r="F96" s="0" t="s">
        <v>3562</v>
      </c>
      <c r="G96" s="0" t="s">
        <v>3563</v>
      </c>
      <c r="H96" s="0" t="s">
        <v>3564</v>
      </c>
      <c r="I96" s="0" t="s">
        <v>3565</v>
      </c>
      <c r="K96" s="0" t="s">
        <v>3566</v>
      </c>
      <c r="L96" s="0" t="s">
        <v>3566</v>
      </c>
      <c r="M96" s="0" t="s">
        <v>3567</v>
      </c>
      <c r="N96" s="0" t="s">
        <v>3568</v>
      </c>
      <c r="O96" s="0" t="s">
        <v>3569</v>
      </c>
      <c r="P96" s="0" t="s">
        <v>3334</v>
      </c>
      <c r="Q96" s="0" t="s">
        <v>176</v>
      </c>
      <c r="R96" s="0" t="b">
        <v>0</v>
      </c>
      <c r="S96" s="0" t="s">
        <v>3734</v>
      </c>
    </row>
    <row customHeight="1" ht="11.25">
      <c r="A97" s="1104">
        <v>2655</v>
      </c>
      <c r="B97" s="0" t="s">
        <v>116</v>
      </c>
      <c r="C97" s="0">
        <v>31541617</v>
      </c>
      <c r="D97" s="0" t="s">
        <v>3570</v>
      </c>
      <c r="E97" s="0" t="s">
        <v>3571</v>
      </c>
      <c r="F97" s="0" t="s">
        <v>3572</v>
      </c>
      <c r="G97" s="0" t="s">
        <v>3573</v>
      </c>
      <c r="H97" s="0" t="s">
        <v>3574</v>
      </c>
      <c r="I97" s="0" t="s">
        <v>3575</v>
      </c>
      <c r="K97" s="0" t="s">
        <v>3576</v>
      </c>
      <c r="L97" s="0" t="s">
        <v>3576</v>
      </c>
      <c r="M97" s="0" t="s">
        <v>3577</v>
      </c>
      <c r="N97" s="0" t="s">
        <v>3578</v>
      </c>
      <c r="O97" s="0" t="s">
        <v>3579</v>
      </c>
      <c r="P97" s="0" t="s">
        <v>3334</v>
      </c>
      <c r="Q97" s="0" t="s">
        <v>176</v>
      </c>
      <c r="R97" s="0" t="b">
        <v>1</v>
      </c>
      <c r="S97" s="0" t="s">
        <v>3734</v>
      </c>
    </row>
    <row customHeight="1" ht="11.25">
      <c r="A98" s="1104">
        <v>2655</v>
      </c>
      <c r="B98" s="0" t="s">
        <v>116</v>
      </c>
      <c r="C98" s="0">
        <v>31834877</v>
      </c>
      <c r="D98" s="0" t="s">
        <v>3860</v>
      </c>
      <c r="E98" s="0" t="s">
        <v>3860</v>
      </c>
      <c r="F98" s="0" t="s">
        <v>3861</v>
      </c>
      <c r="G98" s="0" t="s">
        <v>3191</v>
      </c>
      <c r="H98" s="0" t="s">
        <v>3862</v>
      </c>
      <c r="I98" s="0" t="s">
        <v>3863</v>
      </c>
      <c r="K98" s="0" t="s">
        <v>3864</v>
      </c>
      <c r="L98" s="0" t="s">
        <v>3865</v>
      </c>
      <c r="M98" s="0" t="s">
        <v>176</v>
      </c>
      <c r="N98" s="0" t="s">
        <v>3866</v>
      </c>
      <c r="O98" s="0" t="s">
        <v>3867</v>
      </c>
      <c r="P98" s="0" t="s">
        <v>3186</v>
      </c>
      <c r="Q98" s="0" t="s">
        <v>3868</v>
      </c>
      <c r="R98" s="0" t="b">
        <v>0</v>
      </c>
      <c r="S98" s="0" t="s">
        <v>3734</v>
      </c>
    </row>
    <row customHeight="1" ht="11.25">
      <c r="A99" s="1104">
        <v>2655</v>
      </c>
      <c r="B99" s="0" t="s">
        <v>116</v>
      </c>
      <c r="C99" s="0">
        <v>26356891</v>
      </c>
      <c r="D99" s="0" t="s">
        <v>3591</v>
      </c>
      <c r="E99" s="0" t="s">
        <v>3592</v>
      </c>
      <c r="F99" s="0" t="s">
        <v>3593</v>
      </c>
      <c r="G99" s="0" t="s">
        <v>3407</v>
      </c>
      <c r="H99" s="0" t="s">
        <v>3594</v>
      </c>
      <c r="I99" s="0" t="s">
        <v>3595</v>
      </c>
      <c r="J99" s="0" t="s">
        <v>141</v>
      </c>
      <c r="K99" s="0" t="s">
        <v>3596</v>
      </c>
      <c r="L99" s="0" t="s">
        <v>3596</v>
      </c>
      <c r="M99" s="0" t="s">
        <v>3597</v>
      </c>
      <c r="N99" s="0" t="s">
        <v>3598</v>
      </c>
      <c r="O99" s="0" t="s">
        <v>3599</v>
      </c>
      <c r="P99" s="0" t="s">
        <v>153</v>
      </c>
      <c r="Q99" s="0" t="s">
        <v>176</v>
      </c>
      <c r="R99" s="0" t="b">
        <v>0</v>
      </c>
      <c r="S99" s="0" t="s">
        <v>3734</v>
      </c>
    </row>
    <row customHeight="1" ht="11.25">
      <c r="A100" s="1104">
        <v>2655</v>
      </c>
      <c r="B100" s="0" t="s">
        <v>116</v>
      </c>
      <c r="C100" s="0">
        <v>31241637</v>
      </c>
      <c r="D100" s="0" t="s">
        <v>3600</v>
      </c>
      <c r="E100" s="0" t="s">
        <v>3601</v>
      </c>
      <c r="F100" s="0" t="s">
        <v>3602</v>
      </c>
      <c r="G100" s="0" t="s">
        <v>3428</v>
      </c>
      <c r="H100" s="0" t="s">
        <v>3603</v>
      </c>
      <c r="I100" s="0" t="s">
        <v>3604</v>
      </c>
      <c r="J100" s="0" t="s">
        <v>141</v>
      </c>
      <c r="K100" s="0" t="s">
        <v>3605</v>
      </c>
      <c r="L100" s="0" t="s">
        <v>3605</v>
      </c>
      <c r="M100" s="0" t="s">
        <v>3606</v>
      </c>
      <c r="N100" s="0" t="s">
        <v>176</v>
      </c>
      <c r="O100" s="0" t="s">
        <v>3607</v>
      </c>
      <c r="P100" s="0" t="s">
        <v>3334</v>
      </c>
      <c r="Q100" s="0" t="s">
        <v>176</v>
      </c>
      <c r="R100" s="0" t="b">
        <v>0</v>
      </c>
      <c r="S100" s="0" t="s">
        <v>3734</v>
      </c>
    </row>
    <row customHeight="1" ht="11.25">
      <c r="A101" s="1104">
        <v>2655</v>
      </c>
      <c r="B101" s="0" t="s">
        <v>116</v>
      </c>
      <c r="C101" s="0">
        <v>28819708</v>
      </c>
      <c r="D101" s="0" t="s">
        <v>3869</v>
      </c>
      <c r="E101" s="0" t="s">
        <v>3870</v>
      </c>
      <c r="F101" s="0" t="s">
        <v>3871</v>
      </c>
      <c r="G101" s="0" t="s">
        <v>3305</v>
      </c>
      <c r="H101" s="0" t="s">
        <v>3872</v>
      </c>
      <c r="I101" s="0" t="s">
        <v>3873</v>
      </c>
      <c r="J101" s="0" t="s">
        <v>141</v>
      </c>
      <c r="K101" s="0" t="s">
        <v>3874</v>
      </c>
      <c r="L101" s="0" t="s">
        <v>3874</v>
      </c>
      <c r="M101" s="0" t="s">
        <v>176</v>
      </c>
      <c r="N101" s="0" t="s">
        <v>3875</v>
      </c>
      <c r="O101" s="0" t="s">
        <v>3876</v>
      </c>
      <c r="P101" s="0" t="s">
        <v>153</v>
      </c>
      <c r="Q101" s="0" t="s">
        <v>176</v>
      </c>
      <c r="R101" s="0" t="b">
        <v>0</v>
      </c>
      <c r="S101" s="0" t="s">
        <v>3734</v>
      </c>
    </row>
    <row customHeight="1" ht="11.25">
      <c r="A102" s="1104">
        <v>2655</v>
      </c>
      <c r="B102" s="0" t="s">
        <v>116</v>
      </c>
      <c r="C102" s="0">
        <v>26356937</v>
      </c>
      <c r="D102" s="0" t="s">
        <v>3608</v>
      </c>
      <c r="E102" s="0" t="s">
        <v>3609</v>
      </c>
      <c r="F102" s="0" t="s">
        <v>3610</v>
      </c>
      <c r="G102" s="0" t="s">
        <v>3485</v>
      </c>
      <c r="H102" s="0" t="s">
        <v>3611</v>
      </c>
      <c r="I102" s="0" t="s">
        <v>3612</v>
      </c>
      <c r="J102" s="0" t="s">
        <v>141</v>
      </c>
      <c r="K102" s="0" t="s">
        <v>3613</v>
      </c>
      <c r="L102" s="0" t="s">
        <v>3613</v>
      </c>
      <c r="M102" s="0" t="s">
        <v>3614</v>
      </c>
      <c r="N102" s="0" t="s">
        <v>3615</v>
      </c>
      <c r="O102" s="0" t="s">
        <v>3616</v>
      </c>
      <c r="P102" s="0" t="s">
        <v>3334</v>
      </c>
      <c r="Q102" s="0" t="s">
        <v>3617</v>
      </c>
      <c r="R102" s="0" t="b">
        <v>0</v>
      </c>
      <c r="S102" s="0" t="s">
        <v>3734</v>
      </c>
    </row>
    <row customHeight="1" ht="11.25">
      <c r="A103" s="1104">
        <v>2655</v>
      </c>
      <c r="B103" s="0" t="s">
        <v>116</v>
      </c>
      <c r="C103" s="0">
        <v>33000834</v>
      </c>
      <c r="D103" s="0" t="s">
        <v>3618</v>
      </c>
      <c r="E103" s="0" t="s">
        <v>3619</v>
      </c>
      <c r="F103" s="0" t="s">
        <v>3620</v>
      </c>
      <c r="G103" s="0" t="s">
        <v>3316</v>
      </c>
      <c r="H103" s="0" t="s">
        <v>3621</v>
      </c>
      <c r="I103" s="0" t="s">
        <v>3622</v>
      </c>
      <c r="K103" s="0" t="s">
        <v>3623</v>
      </c>
      <c r="L103" s="0" t="s">
        <v>3623</v>
      </c>
      <c r="M103" s="0" t="s">
        <v>3624</v>
      </c>
      <c r="N103" s="0" t="s">
        <v>3373</v>
      </c>
      <c r="O103" s="0" t="s">
        <v>3625</v>
      </c>
      <c r="P103" s="0" t="s">
        <v>153</v>
      </c>
      <c r="Q103" s="0" t="s">
        <v>3626</v>
      </c>
      <c r="R103" s="0" t="b">
        <v>0</v>
      </c>
      <c r="S103" s="0" t="s">
        <v>3734</v>
      </c>
    </row>
    <row customHeight="1" ht="11.25">
      <c r="A104" s="1104">
        <v>2655</v>
      </c>
      <c r="B104" s="0" t="s">
        <v>116</v>
      </c>
      <c r="C104" s="0">
        <v>31770754</v>
      </c>
      <c r="D104" s="0" t="s">
        <v>3627</v>
      </c>
      <c r="E104" s="0" t="s">
        <v>3628</v>
      </c>
      <c r="F104" s="0" t="s">
        <v>3629</v>
      </c>
      <c r="G104" s="0" t="s">
        <v>3563</v>
      </c>
      <c r="H104" s="0" t="s">
        <v>3630</v>
      </c>
      <c r="I104" s="0" t="s">
        <v>3631</v>
      </c>
      <c r="K104" s="0" t="s">
        <v>3632</v>
      </c>
      <c r="L104" s="0" t="s">
        <v>3633</v>
      </c>
      <c r="M104" s="0" t="s">
        <v>3634</v>
      </c>
      <c r="N104" s="0" t="s">
        <v>3635</v>
      </c>
      <c r="O104" s="0" t="s">
        <v>3636</v>
      </c>
      <c r="P104" s="0" t="s">
        <v>153</v>
      </c>
      <c r="Q104" s="0" t="s">
        <v>176</v>
      </c>
      <c r="R104" s="0" t="b">
        <v>1</v>
      </c>
      <c r="S104" s="0" t="s">
        <v>3734</v>
      </c>
    </row>
    <row customHeight="1" ht="11.25">
      <c r="A105" s="1104">
        <v>2655</v>
      </c>
      <c r="B105" s="0" t="s">
        <v>116</v>
      </c>
      <c r="C105" s="0">
        <v>31528492</v>
      </c>
      <c r="D105" s="0" t="s">
        <v>3637</v>
      </c>
      <c r="E105" s="0" t="s">
        <v>3638</v>
      </c>
      <c r="F105" s="0" t="s">
        <v>3639</v>
      </c>
      <c r="G105" s="0" t="s">
        <v>3428</v>
      </c>
      <c r="H105" s="0" t="s">
        <v>3640</v>
      </c>
      <c r="I105" s="0" t="s">
        <v>3641</v>
      </c>
      <c r="K105" s="0" t="s">
        <v>3642</v>
      </c>
      <c r="L105" s="0" t="s">
        <v>3642</v>
      </c>
      <c r="M105" s="0" t="s">
        <v>3643</v>
      </c>
      <c r="N105" s="0" t="s">
        <v>3644</v>
      </c>
      <c r="O105" s="0" t="s">
        <v>3645</v>
      </c>
      <c r="P105" s="0" t="s">
        <v>3186</v>
      </c>
      <c r="Q105" s="0" t="s">
        <v>176</v>
      </c>
      <c r="R105" s="0" t="b">
        <v>0</v>
      </c>
      <c r="S105" s="0" t="s">
        <v>3734</v>
      </c>
    </row>
    <row customHeight="1" ht="11.25">
      <c r="A106" s="1104">
        <v>2655</v>
      </c>
      <c r="B106" s="0" t="s">
        <v>116</v>
      </c>
      <c r="C106" s="0">
        <v>28270293</v>
      </c>
      <c r="D106" s="0" t="s">
        <v>3646</v>
      </c>
      <c r="E106" s="0" t="s">
        <v>3647</v>
      </c>
      <c r="F106" s="0" t="s">
        <v>3648</v>
      </c>
      <c r="G106" s="0" t="s">
        <v>3407</v>
      </c>
      <c r="H106" s="0" t="s">
        <v>3649</v>
      </c>
      <c r="I106" s="0" t="s">
        <v>3650</v>
      </c>
      <c r="J106" s="0" t="s">
        <v>141</v>
      </c>
      <c r="K106" s="0" t="s">
        <v>3651</v>
      </c>
      <c r="L106" s="0" t="s">
        <v>3651</v>
      </c>
      <c r="M106" s="0" t="s">
        <v>3652</v>
      </c>
      <c r="N106" s="0" t="s">
        <v>3653</v>
      </c>
      <c r="O106" s="0" t="s">
        <v>3654</v>
      </c>
      <c r="P106" s="0" t="s">
        <v>3208</v>
      </c>
      <c r="Q106" s="0" t="s">
        <v>176</v>
      </c>
      <c r="R106" s="0" t="b">
        <v>0</v>
      </c>
      <c r="S106" s="0" t="s">
        <v>3734</v>
      </c>
    </row>
    <row customHeight="1" ht="11.25">
      <c r="A107" s="1104">
        <v>2655</v>
      </c>
      <c r="B107" s="0" t="s">
        <v>116</v>
      </c>
      <c r="C107" s="0">
        <v>28873362</v>
      </c>
      <c r="D107" s="0" t="s">
        <v>3655</v>
      </c>
      <c r="E107" s="0" t="s">
        <v>3656</v>
      </c>
      <c r="F107" s="0" t="s">
        <v>3657</v>
      </c>
      <c r="G107" s="0" t="s">
        <v>3178</v>
      </c>
      <c r="H107" s="0" t="s">
        <v>3658</v>
      </c>
      <c r="I107" s="0" t="s">
        <v>3659</v>
      </c>
      <c r="J107" s="0" t="s">
        <v>141</v>
      </c>
      <c r="K107" s="0" t="s">
        <v>3660</v>
      </c>
      <c r="L107" s="0" t="s">
        <v>3660</v>
      </c>
      <c r="M107" s="0" t="s">
        <v>3661</v>
      </c>
      <c r="N107" s="0" t="s">
        <v>3662</v>
      </c>
      <c r="O107" s="0" t="s">
        <v>3663</v>
      </c>
      <c r="P107" s="0" t="s">
        <v>153</v>
      </c>
      <c r="Q107" s="0" t="s">
        <v>3664</v>
      </c>
      <c r="R107" s="0" t="b">
        <v>0</v>
      </c>
      <c r="S107" s="0" t="s">
        <v>3734</v>
      </c>
    </row>
    <row customHeight="1" ht="11.25">
      <c r="A108" s="1104">
        <v>2655</v>
      </c>
      <c r="B108" s="0" t="s">
        <v>116</v>
      </c>
      <c r="C108" s="0">
        <v>28976681</v>
      </c>
      <c r="D108" s="0" t="s">
        <v>3665</v>
      </c>
      <c r="E108" s="0" t="s">
        <v>3666</v>
      </c>
      <c r="F108" s="0" t="s">
        <v>3667</v>
      </c>
      <c r="G108" s="0" t="s">
        <v>3407</v>
      </c>
      <c r="H108" s="0" t="s">
        <v>3668</v>
      </c>
      <c r="I108" s="0" t="s">
        <v>3669</v>
      </c>
      <c r="J108" s="0" t="s">
        <v>141</v>
      </c>
      <c r="K108" s="0" t="s">
        <v>3670</v>
      </c>
      <c r="L108" s="0" t="s">
        <v>3670</v>
      </c>
      <c r="M108" s="0" t="s">
        <v>3671</v>
      </c>
      <c r="N108" s="0" t="s">
        <v>3672</v>
      </c>
      <c r="O108" s="0" t="s">
        <v>3673</v>
      </c>
      <c r="P108" s="0" t="s">
        <v>153</v>
      </c>
      <c r="Q108" s="0" t="s">
        <v>176</v>
      </c>
      <c r="R108" s="0" t="b">
        <v>1</v>
      </c>
      <c r="S108" s="0" t="s">
        <v>3734</v>
      </c>
    </row>
    <row customHeight="1" ht="11.25">
      <c r="A109" s="1104">
        <v>2655</v>
      </c>
      <c r="B109" s="0" t="s">
        <v>116</v>
      </c>
      <c r="C109" s="0">
        <v>31908312</v>
      </c>
      <c r="D109" s="0" t="s">
        <v>3685</v>
      </c>
      <c r="E109" s="0" t="s">
        <v>3696</v>
      </c>
      <c r="F109" s="0" t="s">
        <v>3687</v>
      </c>
      <c r="G109" s="0" t="s">
        <v>3688</v>
      </c>
      <c r="H109" s="0" t="s">
        <v>3689</v>
      </c>
      <c r="I109" s="0" t="s">
        <v>3690</v>
      </c>
      <c r="K109" s="0" t="s">
        <v>3697</v>
      </c>
      <c r="L109" s="0" t="s">
        <v>3697</v>
      </c>
      <c r="M109" s="0" t="s">
        <v>3698</v>
      </c>
      <c r="N109" s="0" t="s">
        <v>3699</v>
      </c>
      <c r="O109" s="0" t="s">
        <v>3700</v>
      </c>
      <c r="P109" s="0" t="s">
        <v>176</v>
      </c>
      <c r="Q109" s="0" t="s">
        <v>3701</v>
      </c>
      <c r="R109" s="0" t="b">
        <v>0</v>
      </c>
      <c r="S109" s="0" t="s">
        <v>3734</v>
      </c>
    </row>
    <row customHeight="1" ht="11.25">
      <c r="A110" s="1104">
        <v>2655</v>
      </c>
      <c r="B110" s="0" t="s">
        <v>116</v>
      </c>
      <c r="C110" s="0">
        <v>26853991</v>
      </c>
      <c r="D110" s="0" t="s">
        <v>3685</v>
      </c>
      <c r="E110" s="0" t="s">
        <v>3686</v>
      </c>
      <c r="F110" s="0" t="s">
        <v>3687</v>
      </c>
      <c r="G110" s="0" t="s">
        <v>3688</v>
      </c>
      <c r="H110" s="0" t="s">
        <v>3689</v>
      </c>
      <c r="I110" s="0" t="s">
        <v>3690</v>
      </c>
      <c r="J110" s="0" t="s">
        <v>3166</v>
      </c>
      <c r="K110" s="0" t="s">
        <v>3691</v>
      </c>
      <c r="L110" s="0" t="s">
        <v>3692</v>
      </c>
      <c r="M110" s="0" t="s">
        <v>3693</v>
      </c>
      <c r="N110" s="0" t="s">
        <v>3694</v>
      </c>
      <c r="O110" s="0" t="s">
        <v>3695</v>
      </c>
      <c r="P110" s="0" t="s">
        <v>3208</v>
      </c>
      <c r="Q110" s="0" t="s">
        <v>176</v>
      </c>
      <c r="R110" s="0" t="b">
        <v>0</v>
      </c>
      <c r="S110" s="0" t="s">
        <v>3734</v>
      </c>
    </row>
    <row customHeight="1" ht="11.25">
      <c r="A111" s="1104">
        <v>2655</v>
      </c>
      <c r="B111" s="0" t="s">
        <v>116</v>
      </c>
      <c r="C111" s="0">
        <v>30808511</v>
      </c>
      <c r="D111" s="0" t="s">
        <v>3702</v>
      </c>
      <c r="E111" s="0" t="s">
        <v>3702</v>
      </c>
      <c r="F111" s="0" t="s">
        <v>3703</v>
      </c>
      <c r="G111" s="0" t="s">
        <v>3704</v>
      </c>
      <c r="H111" s="0" t="s">
        <v>3705</v>
      </c>
      <c r="I111" s="0" t="s">
        <v>3706</v>
      </c>
      <c r="J111" s="0" t="s">
        <v>3707</v>
      </c>
      <c r="K111" s="0" t="s">
        <v>3708</v>
      </c>
      <c r="L111" s="0" t="s">
        <v>3709</v>
      </c>
      <c r="M111" s="0" t="s">
        <v>3710</v>
      </c>
      <c r="N111" s="0" t="s">
        <v>3711</v>
      </c>
      <c r="O111" s="0" t="s">
        <v>3712</v>
      </c>
      <c r="P111" s="0" t="s">
        <v>153</v>
      </c>
      <c r="Q111" s="0" t="s">
        <v>3711</v>
      </c>
      <c r="R111" s="0" t="b">
        <v>0</v>
      </c>
      <c r="S111" s="0" t="s">
        <v>3734</v>
      </c>
    </row>
    <row customHeight="1" ht="11.25">
      <c r="A112" s="1104">
        <v>2655</v>
      </c>
      <c r="B112" s="0" t="s">
        <v>116</v>
      </c>
      <c r="C112" s="0">
        <v>26520873</v>
      </c>
      <c r="D112" s="0" t="s">
        <v>3713</v>
      </c>
      <c r="E112" s="0" t="s">
        <v>3714</v>
      </c>
      <c r="F112" s="0" t="s">
        <v>3703</v>
      </c>
      <c r="G112" s="0" t="s">
        <v>3715</v>
      </c>
      <c r="H112" s="0" t="s">
        <v>3705</v>
      </c>
      <c r="I112" s="0" t="s">
        <v>3716</v>
      </c>
      <c r="J112" s="0" t="s">
        <v>3707</v>
      </c>
      <c r="K112" s="0" t="s">
        <v>3717</v>
      </c>
      <c r="L112" s="0" t="s">
        <v>3718</v>
      </c>
      <c r="M112" s="0" t="s">
        <v>3719</v>
      </c>
      <c r="N112" s="0" t="s">
        <v>3720</v>
      </c>
      <c r="O112" s="0" t="s">
        <v>3721</v>
      </c>
      <c r="P112" s="0" t="s">
        <v>153</v>
      </c>
      <c r="Q112" s="0" t="s">
        <v>3722</v>
      </c>
      <c r="R112" s="0" t="b">
        <v>0</v>
      </c>
      <c r="S112" s="0" t="s">
        <v>3734</v>
      </c>
    </row>
    <row customHeight="1" ht="11.25">
      <c r="A113" s="1104">
        <v>2655</v>
      </c>
      <c r="B113" s="0" t="s">
        <v>116</v>
      </c>
      <c r="C113" s="0">
        <v>28976938</v>
      </c>
      <c r="D113" s="0" t="s">
        <v>3160</v>
      </c>
      <c r="E113" s="0" t="s">
        <v>3161</v>
      </c>
      <c r="F113" s="0" t="s">
        <v>3162</v>
      </c>
      <c r="G113" s="0" t="s">
        <v>3163</v>
      </c>
      <c r="H113" s="0" t="s">
        <v>3164</v>
      </c>
      <c r="I113" s="0" t="s">
        <v>3165</v>
      </c>
      <c r="J113" s="0" t="s">
        <v>3166</v>
      </c>
      <c r="K113" s="0" t="s">
        <v>3167</v>
      </c>
      <c r="L113" s="0" t="s">
        <v>3168</v>
      </c>
      <c r="M113" s="0" t="s">
        <v>3169</v>
      </c>
      <c r="N113" s="0" t="s">
        <v>3170</v>
      </c>
      <c r="O113" s="0" t="s">
        <v>3171</v>
      </c>
      <c r="P113" s="0" t="s">
        <v>3172</v>
      </c>
      <c r="Q113" s="0" t="s">
        <v>3173</v>
      </c>
      <c r="R113" s="0" t="b">
        <v>0</v>
      </c>
      <c r="S113" s="0" t="s">
        <v>3877</v>
      </c>
    </row>
    <row customHeight="1" ht="11.25">
      <c r="A114" s="1104">
        <v>2655</v>
      </c>
      <c r="B114" s="0" t="s">
        <v>116</v>
      </c>
      <c r="C114" s="0">
        <v>26356915</v>
      </c>
      <c r="D114" s="0" t="s">
        <v>3735</v>
      </c>
      <c r="E114" s="0" t="s">
        <v>3736</v>
      </c>
      <c r="F114" s="0" t="s">
        <v>3737</v>
      </c>
      <c r="G114" s="0" t="s">
        <v>3396</v>
      </c>
      <c r="H114" s="0" t="s">
        <v>3738</v>
      </c>
      <c r="I114" s="0" t="s">
        <v>3739</v>
      </c>
      <c r="J114" s="0" t="s">
        <v>3166</v>
      </c>
      <c r="K114" s="0" t="s">
        <v>3740</v>
      </c>
      <c r="L114" s="0" t="s">
        <v>3740</v>
      </c>
      <c r="M114" s="0" t="s">
        <v>3741</v>
      </c>
      <c r="N114" s="0" t="s">
        <v>3742</v>
      </c>
      <c r="O114" s="0" t="s">
        <v>3743</v>
      </c>
      <c r="P114" s="0" t="s">
        <v>3208</v>
      </c>
      <c r="Q114" s="0" t="s">
        <v>158</v>
      </c>
      <c r="R114" s="0" t="b">
        <v>0</v>
      </c>
      <c r="S114" s="0" t="s">
        <v>3877</v>
      </c>
    </row>
    <row customHeight="1" ht="11.25">
      <c r="A115" s="1104">
        <v>2655</v>
      </c>
      <c r="B115" s="0" t="s">
        <v>116</v>
      </c>
      <c r="C115" s="0">
        <v>26357007</v>
      </c>
      <c r="D115" s="0" t="s">
        <v>3878</v>
      </c>
      <c r="E115" s="0" t="s">
        <v>3879</v>
      </c>
      <c r="F115" s="0" t="s">
        <v>3880</v>
      </c>
      <c r="G115" s="0" t="s">
        <v>3428</v>
      </c>
      <c r="H115" s="0" t="s">
        <v>3881</v>
      </c>
      <c r="I115" s="0" t="s">
        <v>3882</v>
      </c>
      <c r="J115" s="0" t="s">
        <v>3166</v>
      </c>
      <c r="K115" s="0" t="s">
        <v>3883</v>
      </c>
      <c r="L115" s="0" t="s">
        <v>3883</v>
      </c>
      <c r="M115" s="0" t="s">
        <v>3884</v>
      </c>
      <c r="N115" s="0" t="s">
        <v>3885</v>
      </c>
      <c r="O115" s="0" t="s">
        <v>3886</v>
      </c>
      <c r="P115" s="0" t="s">
        <v>3208</v>
      </c>
      <c r="Q115" s="0" t="s">
        <v>3887</v>
      </c>
      <c r="R115" s="0" t="b">
        <v>0</v>
      </c>
      <c r="S115" s="0" t="s">
        <v>3877</v>
      </c>
    </row>
    <row customHeight="1" ht="11.25">
      <c r="A116" s="1104">
        <v>2655</v>
      </c>
      <c r="B116" s="0" t="s">
        <v>116</v>
      </c>
      <c r="C116" s="0">
        <v>27804990</v>
      </c>
      <c r="D116" s="0" t="s">
        <v>3175</v>
      </c>
      <c r="E116" s="0" t="s">
        <v>3176</v>
      </c>
      <c r="F116" s="0" t="s">
        <v>3177</v>
      </c>
      <c r="G116" s="0" t="s">
        <v>3178</v>
      </c>
      <c r="H116" s="0" t="s">
        <v>3179</v>
      </c>
      <c r="I116" s="0" t="s">
        <v>3180</v>
      </c>
      <c r="J116" s="0" t="s">
        <v>3166</v>
      </c>
      <c r="K116" s="0" t="s">
        <v>3181</v>
      </c>
      <c r="L116" s="0" t="s">
        <v>3182</v>
      </c>
      <c r="M116" s="0" t="s">
        <v>3183</v>
      </c>
      <c r="N116" s="0" t="s">
        <v>3184</v>
      </c>
      <c r="O116" s="0" t="s">
        <v>3185</v>
      </c>
      <c r="P116" s="0" t="s">
        <v>3186</v>
      </c>
      <c r="Q116" s="0" t="s">
        <v>3187</v>
      </c>
      <c r="R116" s="0" t="b">
        <v>0</v>
      </c>
      <c r="S116" s="0" t="s">
        <v>3877</v>
      </c>
    </row>
    <row customHeight="1" ht="11.25">
      <c r="A117" s="1104">
        <v>2655</v>
      </c>
      <c r="B117" s="0" t="s">
        <v>116</v>
      </c>
      <c r="C117" s="0">
        <v>28048296</v>
      </c>
      <c r="D117" s="0" t="s">
        <v>3888</v>
      </c>
      <c r="E117" s="0" t="s">
        <v>3889</v>
      </c>
      <c r="F117" s="0" t="s">
        <v>3890</v>
      </c>
      <c r="G117" s="0" t="s">
        <v>3178</v>
      </c>
      <c r="H117" s="0" t="s">
        <v>3891</v>
      </c>
      <c r="I117" s="0" t="s">
        <v>3892</v>
      </c>
      <c r="J117" s="0" t="s">
        <v>3166</v>
      </c>
      <c r="K117" s="0" t="s">
        <v>3893</v>
      </c>
      <c r="L117" s="0" t="s">
        <v>3182</v>
      </c>
      <c r="M117" s="0" t="s">
        <v>3894</v>
      </c>
      <c r="N117" s="0" t="s">
        <v>3538</v>
      </c>
      <c r="O117" s="0" t="s">
        <v>3895</v>
      </c>
      <c r="P117" s="0" t="s">
        <v>3186</v>
      </c>
      <c r="Q117" s="0" t="s">
        <v>3187</v>
      </c>
      <c r="R117" s="0" t="b">
        <v>0</v>
      </c>
      <c r="S117" s="0" t="s">
        <v>3877</v>
      </c>
    </row>
    <row customHeight="1" ht="11.25">
      <c r="A118" s="1104">
        <v>2655</v>
      </c>
      <c r="B118" s="0" t="s">
        <v>116</v>
      </c>
      <c r="C118" s="0">
        <v>27804826</v>
      </c>
      <c r="D118" s="0" t="s">
        <v>3188</v>
      </c>
      <c r="E118" s="0" t="s">
        <v>3189</v>
      </c>
      <c r="F118" s="0" t="s">
        <v>3190</v>
      </c>
      <c r="G118" s="0" t="s">
        <v>3191</v>
      </c>
      <c r="H118" s="0" t="s">
        <v>3192</v>
      </c>
      <c r="I118" s="0" t="s">
        <v>3193</v>
      </c>
      <c r="J118" s="0" t="s">
        <v>3166</v>
      </c>
      <c r="K118" s="0" t="s">
        <v>3194</v>
      </c>
      <c r="L118" s="0" t="s">
        <v>3182</v>
      </c>
      <c r="M118" s="0" t="s">
        <v>3195</v>
      </c>
      <c r="N118" s="0" t="s">
        <v>3196</v>
      </c>
      <c r="O118" s="0" t="s">
        <v>3197</v>
      </c>
      <c r="P118" s="0" t="s">
        <v>3186</v>
      </c>
      <c r="Q118" s="0" t="s">
        <v>3198</v>
      </c>
      <c r="R118" s="0" t="b">
        <v>0</v>
      </c>
      <c r="S118" s="0" t="s">
        <v>3877</v>
      </c>
    </row>
    <row customHeight="1" ht="11.25">
      <c r="A119" s="1104">
        <v>2655</v>
      </c>
      <c r="B119" s="0" t="s">
        <v>116</v>
      </c>
      <c r="C119" s="0">
        <v>27804896</v>
      </c>
      <c r="D119" s="0" t="s">
        <v>3896</v>
      </c>
      <c r="E119" s="0" t="s">
        <v>3897</v>
      </c>
      <c r="F119" s="0" t="s">
        <v>3898</v>
      </c>
      <c r="G119" s="0" t="s">
        <v>3178</v>
      </c>
      <c r="H119" s="0" t="s">
        <v>3899</v>
      </c>
      <c r="I119" s="0" t="s">
        <v>3900</v>
      </c>
      <c r="J119" s="0" t="s">
        <v>3166</v>
      </c>
      <c r="K119" s="0" t="s">
        <v>3901</v>
      </c>
      <c r="L119" s="0" t="s">
        <v>3182</v>
      </c>
      <c r="M119" s="0" t="s">
        <v>3902</v>
      </c>
      <c r="N119" s="0" t="s">
        <v>3903</v>
      </c>
      <c r="O119" s="0" t="s">
        <v>3904</v>
      </c>
      <c r="P119" s="0" t="s">
        <v>3186</v>
      </c>
      <c r="Q119" s="0" t="s">
        <v>3187</v>
      </c>
      <c r="R119" s="0" t="b">
        <v>0</v>
      </c>
      <c r="S119" s="0" t="s">
        <v>3877</v>
      </c>
    </row>
    <row customHeight="1" ht="11.25">
      <c r="A120" s="1104">
        <v>2655</v>
      </c>
      <c r="B120" s="0" t="s">
        <v>116</v>
      </c>
      <c r="C120" s="0">
        <v>27820148</v>
      </c>
      <c r="D120" s="0" t="s">
        <v>3762</v>
      </c>
      <c r="E120" s="0" t="s">
        <v>3763</v>
      </c>
      <c r="F120" s="0" t="s">
        <v>3764</v>
      </c>
      <c r="G120" s="0" t="s">
        <v>3485</v>
      </c>
      <c r="H120" s="0" t="s">
        <v>3765</v>
      </c>
      <c r="I120" s="0" t="s">
        <v>3766</v>
      </c>
      <c r="J120" s="0" t="s">
        <v>3166</v>
      </c>
      <c r="K120" s="0" t="s">
        <v>3767</v>
      </c>
      <c r="L120" s="0" t="s">
        <v>3767</v>
      </c>
      <c r="M120" s="0" t="s">
        <v>3768</v>
      </c>
      <c r="N120" s="0" t="s">
        <v>3769</v>
      </c>
      <c r="O120" s="0" t="s">
        <v>3770</v>
      </c>
      <c r="P120" s="0" t="s">
        <v>3771</v>
      </c>
      <c r="Q120" s="0" t="s">
        <v>3772</v>
      </c>
      <c r="R120" s="0" t="b">
        <v>0</v>
      </c>
      <c r="S120" s="0" t="s">
        <v>3877</v>
      </c>
    </row>
    <row customHeight="1" ht="11.25">
      <c r="A121" s="1104">
        <v>2655</v>
      </c>
      <c r="B121" s="0" t="s">
        <v>116</v>
      </c>
      <c r="C121" s="0">
        <v>26356905</v>
      </c>
      <c r="D121" s="0" t="s">
        <v>3905</v>
      </c>
      <c r="E121" s="0" t="s">
        <v>3906</v>
      </c>
      <c r="F121" s="0" t="s">
        <v>3907</v>
      </c>
      <c r="G121" s="0" t="s">
        <v>3178</v>
      </c>
      <c r="H121" s="0" t="s">
        <v>3908</v>
      </c>
      <c r="I121" s="0" t="s">
        <v>3909</v>
      </c>
      <c r="J121" s="0" t="s">
        <v>3166</v>
      </c>
      <c r="K121" s="0" t="s">
        <v>3910</v>
      </c>
      <c r="L121" s="0" t="s">
        <v>3910</v>
      </c>
      <c r="M121" s="0" t="s">
        <v>3911</v>
      </c>
      <c r="N121" s="0" t="s">
        <v>3912</v>
      </c>
      <c r="O121" s="0" t="s">
        <v>3913</v>
      </c>
      <c r="P121" s="0" t="s">
        <v>3914</v>
      </c>
      <c r="Q121" s="0" t="s">
        <v>3915</v>
      </c>
      <c r="R121" s="0" t="b">
        <v>0</v>
      </c>
      <c r="S121" s="0" t="s">
        <v>3877</v>
      </c>
    </row>
    <row customHeight="1" ht="11.25">
      <c r="A122" s="1104">
        <v>2655</v>
      </c>
      <c r="B122" s="0" t="s">
        <v>116</v>
      </c>
      <c r="C122" s="0">
        <v>26652554</v>
      </c>
      <c r="D122" s="0" t="s">
        <v>3916</v>
      </c>
      <c r="E122" s="0" t="s">
        <v>3917</v>
      </c>
      <c r="F122" s="0" t="s">
        <v>3918</v>
      </c>
      <c r="G122" s="0" t="s">
        <v>3563</v>
      </c>
      <c r="H122" s="0" t="s">
        <v>3919</v>
      </c>
      <c r="I122" s="0" t="s">
        <v>176</v>
      </c>
      <c r="J122" s="0" t="s">
        <v>3166</v>
      </c>
      <c r="K122" s="0" t="s">
        <v>3920</v>
      </c>
      <c r="L122" s="0" t="s">
        <v>3920</v>
      </c>
      <c r="M122" s="0" t="s">
        <v>3921</v>
      </c>
      <c r="N122" s="0" t="s">
        <v>3922</v>
      </c>
      <c r="O122" s="0" t="s">
        <v>3923</v>
      </c>
      <c r="P122" s="0" t="s">
        <v>3208</v>
      </c>
      <c r="Q122" s="0" t="s">
        <v>3924</v>
      </c>
      <c r="R122" s="0" t="b">
        <v>0</v>
      </c>
      <c r="S122" s="0" t="s">
        <v>3877</v>
      </c>
    </row>
    <row customHeight="1" ht="11.25">
      <c r="A123" s="1104">
        <v>2655</v>
      </c>
      <c r="B123" s="0" t="s">
        <v>116</v>
      </c>
      <c r="C123" s="0">
        <v>31915209</v>
      </c>
      <c r="D123" s="0" t="s">
        <v>3925</v>
      </c>
      <c r="E123" s="0" t="s">
        <v>3926</v>
      </c>
      <c r="F123" s="0" t="s">
        <v>3927</v>
      </c>
      <c r="G123" s="0" t="s">
        <v>3178</v>
      </c>
      <c r="H123" s="0" t="s">
        <v>3928</v>
      </c>
      <c r="I123" s="0" t="s">
        <v>3929</v>
      </c>
      <c r="K123" s="0" t="s">
        <v>3930</v>
      </c>
      <c r="L123" s="0" t="s">
        <v>3930</v>
      </c>
      <c r="M123" s="0" t="s">
        <v>3931</v>
      </c>
      <c r="N123" s="0" t="s">
        <v>3932</v>
      </c>
      <c r="O123" s="0" t="s">
        <v>3933</v>
      </c>
      <c r="P123" s="0" t="s">
        <v>3934</v>
      </c>
      <c r="Q123" s="0" t="s">
        <v>3935</v>
      </c>
      <c r="R123" s="0" t="b">
        <v>0</v>
      </c>
      <c r="S123" s="0" t="s">
        <v>3877</v>
      </c>
    </row>
    <row customHeight="1" ht="11.25">
      <c r="A124" s="1104">
        <v>2655</v>
      </c>
      <c r="B124" s="0" t="s">
        <v>116</v>
      </c>
      <c r="C124" s="0">
        <v>26356926</v>
      </c>
      <c r="D124" s="0" t="s">
        <v>3936</v>
      </c>
      <c r="E124" s="0" t="s">
        <v>3937</v>
      </c>
      <c r="F124" s="0" t="s">
        <v>3938</v>
      </c>
      <c r="G124" s="0" t="s">
        <v>3485</v>
      </c>
      <c r="H124" s="0" t="s">
        <v>3939</v>
      </c>
      <c r="I124" s="0" t="s">
        <v>3940</v>
      </c>
      <c r="J124" s="0" t="s">
        <v>3941</v>
      </c>
      <c r="K124" s="0" t="s">
        <v>3942</v>
      </c>
      <c r="L124" s="0" t="s">
        <v>3942</v>
      </c>
      <c r="M124" s="0" t="s">
        <v>3943</v>
      </c>
      <c r="N124" s="0" t="s">
        <v>3944</v>
      </c>
      <c r="O124" s="0" t="s">
        <v>3945</v>
      </c>
      <c r="P124" s="0" t="s">
        <v>3946</v>
      </c>
      <c r="Q124" s="0" t="s">
        <v>3947</v>
      </c>
      <c r="R124" s="0" t="b">
        <v>0</v>
      </c>
      <c r="S124" s="0" t="s">
        <v>3877</v>
      </c>
    </row>
    <row customHeight="1" ht="11.25">
      <c r="A125" s="1104">
        <v>2655</v>
      </c>
      <c r="B125" s="0" t="s">
        <v>116</v>
      </c>
      <c r="C125" s="0">
        <v>31720063</v>
      </c>
      <c r="D125" s="0" t="s">
        <v>3948</v>
      </c>
      <c r="E125" s="0" t="s">
        <v>3949</v>
      </c>
      <c r="F125" s="0" t="s">
        <v>3950</v>
      </c>
      <c r="G125" s="0" t="s">
        <v>3369</v>
      </c>
      <c r="H125" s="0" t="s">
        <v>3951</v>
      </c>
      <c r="I125" s="0" t="s">
        <v>3952</v>
      </c>
      <c r="K125" s="0" t="s">
        <v>3953</v>
      </c>
      <c r="L125" s="0" t="s">
        <v>3953</v>
      </c>
      <c r="M125" s="0" t="s">
        <v>176</v>
      </c>
      <c r="N125" s="0" t="s">
        <v>3954</v>
      </c>
      <c r="O125" s="0" t="s">
        <v>3955</v>
      </c>
      <c r="P125" s="0" t="s">
        <v>3334</v>
      </c>
      <c r="Q125" s="0" t="s">
        <v>3956</v>
      </c>
      <c r="R125" s="0" t="b">
        <v>0</v>
      </c>
      <c r="S125" s="0" t="s">
        <v>3877</v>
      </c>
    </row>
    <row customHeight="1" ht="11.25">
      <c r="A126" s="1104">
        <v>2655</v>
      </c>
      <c r="B126" s="0" t="s">
        <v>116</v>
      </c>
      <c r="C126" s="0">
        <v>31826293</v>
      </c>
      <c r="D126" s="0" t="s">
        <v>3254</v>
      </c>
      <c r="E126" s="0" t="s">
        <v>3255</v>
      </c>
      <c r="F126" s="0" t="s">
        <v>3256</v>
      </c>
      <c r="G126" s="0" t="s">
        <v>3257</v>
      </c>
      <c r="H126" s="0" t="s">
        <v>3258</v>
      </c>
      <c r="I126" s="0" t="s">
        <v>3259</v>
      </c>
      <c r="K126" s="0" t="s">
        <v>3260</v>
      </c>
      <c r="L126" s="0" t="s">
        <v>3261</v>
      </c>
      <c r="M126" s="0" t="s">
        <v>3262</v>
      </c>
      <c r="N126" s="0" t="s">
        <v>3263</v>
      </c>
      <c r="O126" s="0" t="s">
        <v>3264</v>
      </c>
      <c r="P126" s="0" t="s">
        <v>3265</v>
      </c>
      <c r="Q126" s="0" t="s">
        <v>176</v>
      </c>
      <c r="R126" s="0" t="b">
        <v>0</v>
      </c>
      <c r="S126" s="0" t="s">
        <v>3877</v>
      </c>
    </row>
    <row customHeight="1" ht="11.25">
      <c r="A127" s="1104">
        <v>2655</v>
      </c>
      <c r="B127" s="0" t="s">
        <v>116</v>
      </c>
      <c r="C127" s="0">
        <v>28262434</v>
      </c>
      <c r="D127" s="0" t="s">
        <v>3957</v>
      </c>
      <c r="E127" s="0" t="s">
        <v>3958</v>
      </c>
      <c r="F127" s="0" t="s">
        <v>3959</v>
      </c>
      <c r="G127" s="0" t="s">
        <v>3960</v>
      </c>
      <c r="H127" s="0" t="s">
        <v>3961</v>
      </c>
      <c r="I127" s="0" t="s">
        <v>3962</v>
      </c>
      <c r="J127" s="0" t="s">
        <v>3166</v>
      </c>
      <c r="K127" s="0" t="s">
        <v>3963</v>
      </c>
      <c r="L127" s="0" t="s">
        <v>3963</v>
      </c>
      <c r="M127" s="0" t="s">
        <v>3964</v>
      </c>
      <c r="N127" s="0" t="s">
        <v>3965</v>
      </c>
      <c r="O127" s="0" t="s">
        <v>3966</v>
      </c>
      <c r="P127" s="0" t="s">
        <v>3208</v>
      </c>
      <c r="Q127" s="0" t="s">
        <v>176</v>
      </c>
      <c r="R127" s="0" t="b">
        <v>0</v>
      </c>
      <c r="S127" s="0" t="s">
        <v>3877</v>
      </c>
    </row>
    <row customHeight="1" ht="11.25">
      <c r="A128" s="1104">
        <v>2655</v>
      </c>
      <c r="B128" s="0" t="s">
        <v>116</v>
      </c>
      <c r="C128" s="0">
        <v>31382238</v>
      </c>
      <c r="D128" s="0" t="s">
        <v>3967</v>
      </c>
      <c r="E128" s="0" t="s">
        <v>3968</v>
      </c>
      <c r="F128" s="0" t="s">
        <v>3969</v>
      </c>
      <c r="G128" s="0" t="s">
        <v>3970</v>
      </c>
      <c r="H128" s="0" t="s">
        <v>3971</v>
      </c>
      <c r="I128" s="0" t="s">
        <v>3972</v>
      </c>
      <c r="J128" s="0" t="s">
        <v>3973</v>
      </c>
      <c r="K128" s="0" t="s">
        <v>3974</v>
      </c>
      <c r="L128" s="0" t="s">
        <v>3974</v>
      </c>
      <c r="M128" s="0" t="s">
        <v>3975</v>
      </c>
      <c r="N128" s="0" t="s">
        <v>3976</v>
      </c>
      <c r="O128" s="0" t="s">
        <v>3977</v>
      </c>
      <c r="P128" s="0" t="s">
        <v>3978</v>
      </c>
      <c r="Q128" s="0" t="s">
        <v>176</v>
      </c>
      <c r="R128" s="0" t="b">
        <v>1</v>
      </c>
      <c r="S128" s="0" t="s">
        <v>3877</v>
      </c>
    </row>
    <row customHeight="1" ht="11.25">
      <c r="A129" s="1104">
        <v>2655</v>
      </c>
      <c r="B129" s="0" t="s">
        <v>116</v>
      </c>
      <c r="C129" s="0">
        <v>31763194</v>
      </c>
      <c r="D129" s="0" t="s">
        <v>3979</v>
      </c>
      <c r="E129" s="0" t="s">
        <v>3980</v>
      </c>
      <c r="F129" s="0" t="s">
        <v>3981</v>
      </c>
      <c r="G129" s="0" t="s">
        <v>3970</v>
      </c>
      <c r="H129" s="0" t="s">
        <v>3982</v>
      </c>
      <c r="I129" s="0" t="s">
        <v>3983</v>
      </c>
      <c r="K129" s="0" t="s">
        <v>3984</v>
      </c>
      <c r="L129" s="0" t="s">
        <v>3985</v>
      </c>
      <c r="M129" s="0" t="s">
        <v>176</v>
      </c>
      <c r="N129" s="0" t="s">
        <v>3976</v>
      </c>
      <c r="O129" s="0" t="s">
        <v>3986</v>
      </c>
      <c r="P129" s="0" t="s">
        <v>3987</v>
      </c>
      <c r="Q129" s="0" t="s">
        <v>3988</v>
      </c>
      <c r="R129" s="0" t="b">
        <v>1</v>
      </c>
      <c r="S129" s="0" t="s">
        <v>3877</v>
      </c>
    </row>
    <row customHeight="1" ht="11.25">
      <c r="A130" s="1104">
        <v>2655</v>
      </c>
      <c r="B130" s="0" t="s">
        <v>116</v>
      </c>
      <c r="C130" s="0">
        <v>26322867</v>
      </c>
      <c r="D130" s="0" t="s">
        <v>3266</v>
      </c>
      <c r="E130" s="0" t="s">
        <v>3267</v>
      </c>
      <c r="F130" s="0" t="s">
        <v>3268</v>
      </c>
      <c r="G130" s="0" t="s">
        <v>3213</v>
      </c>
      <c r="H130" s="0" t="s">
        <v>3269</v>
      </c>
      <c r="I130" s="0" t="s">
        <v>3270</v>
      </c>
      <c r="J130" s="0" t="s">
        <v>3166</v>
      </c>
      <c r="K130" s="0" t="s">
        <v>3271</v>
      </c>
      <c r="L130" s="0" t="s">
        <v>3271</v>
      </c>
      <c r="M130" s="0" t="s">
        <v>3272</v>
      </c>
      <c r="N130" s="0" t="s">
        <v>3273</v>
      </c>
      <c r="O130" s="0" t="s">
        <v>3274</v>
      </c>
      <c r="P130" s="0" t="s">
        <v>3208</v>
      </c>
      <c r="Q130" s="0" t="s">
        <v>3275</v>
      </c>
      <c r="R130" s="0" t="b">
        <v>0</v>
      </c>
      <c r="S130" s="0" t="s">
        <v>3877</v>
      </c>
    </row>
    <row customHeight="1" ht="11.25">
      <c r="A131" s="1104">
        <v>2655</v>
      </c>
      <c r="B131" s="0" t="s">
        <v>116</v>
      </c>
      <c r="C131" s="0">
        <v>26824396</v>
      </c>
      <c r="D131" s="0" t="s">
        <v>3285</v>
      </c>
      <c r="E131" s="0" t="s">
        <v>3286</v>
      </c>
      <c r="F131" s="0" t="s">
        <v>3246</v>
      </c>
      <c r="G131" s="0" t="s">
        <v>3287</v>
      </c>
      <c r="H131" s="0" t="s">
        <v>3248</v>
      </c>
      <c r="I131" s="0" t="s">
        <v>176</v>
      </c>
      <c r="J131" s="0" t="s">
        <v>3239</v>
      </c>
      <c r="K131" s="0" t="s">
        <v>3288</v>
      </c>
      <c r="L131" s="0" t="s">
        <v>3288</v>
      </c>
      <c r="M131" s="0" t="s">
        <v>3289</v>
      </c>
      <c r="N131" s="0" t="s">
        <v>176</v>
      </c>
      <c r="O131" s="0" t="s">
        <v>3290</v>
      </c>
      <c r="P131" s="0" t="s">
        <v>3284</v>
      </c>
      <c r="Q131" s="0" t="s">
        <v>176</v>
      </c>
      <c r="R131" s="0" t="b">
        <v>0</v>
      </c>
      <c r="S131" s="0" t="s">
        <v>3877</v>
      </c>
    </row>
    <row customHeight="1" ht="11.25">
      <c r="A132" s="1104">
        <v>2655</v>
      </c>
      <c r="B132" s="0" t="s">
        <v>116</v>
      </c>
      <c r="C132" s="0">
        <v>30808700</v>
      </c>
      <c r="D132" s="0" t="s">
        <v>3324</v>
      </c>
      <c r="E132" s="0" t="s">
        <v>3325</v>
      </c>
      <c r="F132" s="0" t="s">
        <v>3326</v>
      </c>
      <c r="G132" s="0" t="s">
        <v>3247</v>
      </c>
      <c r="H132" s="0" t="s">
        <v>3327</v>
      </c>
      <c r="I132" s="0" t="s">
        <v>3328</v>
      </c>
      <c r="J132" s="0" t="s">
        <v>3308</v>
      </c>
      <c r="K132" s="0" t="s">
        <v>3329</v>
      </c>
      <c r="L132" s="0" t="s">
        <v>3330</v>
      </c>
      <c r="M132" s="0" t="s">
        <v>3331</v>
      </c>
      <c r="N132" s="0" t="s">
        <v>3332</v>
      </c>
      <c r="O132" s="0" t="s">
        <v>3333</v>
      </c>
      <c r="P132" s="0" t="s">
        <v>3334</v>
      </c>
      <c r="Q132" s="0" t="s">
        <v>3335</v>
      </c>
      <c r="R132" s="0" t="b">
        <v>1</v>
      </c>
      <c r="S132" s="0" t="s">
        <v>3877</v>
      </c>
    </row>
    <row customHeight="1" ht="11.25">
      <c r="A133" s="1104">
        <v>2655</v>
      </c>
      <c r="B133" s="0" t="s">
        <v>116</v>
      </c>
      <c r="C133" s="0">
        <v>31319221</v>
      </c>
      <c r="D133" s="0" t="s">
        <v>3336</v>
      </c>
      <c r="E133" s="0" t="s">
        <v>3337</v>
      </c>
      <c r="F133" s="0" t="s">
        <v>3338</v>
      </c>
      <c r="G133" s="0" t="s">
        <v>3305</v>
      </c>
      <c r="H133" s="0" t="s">
        <v>3339</v>
      </c>
      <c r="I133" s="0" t="s">
        <v>3340</v>
      </c>
      <c r="J133" s="0" t="s">
        <v>3297</v>
      </c>
      <c r="K133" s="0" t="s">
        <v>3341</v>
      </c>
      <c r="L133" s="0" t="s">
        <v>3341</v>
      </c>
      <c r="M133" s="0" t="s">
        <v>3342</v>
      </c>
      <c r="N133" s="0" t="s">
        <v>3343</v>
      </c>
      <c r="O133" s="0" t="s">
        <v>3344</v>
      </c>
      <c r="P133" s="0" t="s">
        <v>153</v>
      </c>
      <c r="Q133" s="0" t="s">
        <v>3345</v>
      </c>
      <c r="R133" s="0" t="b">
        <v>0</v>
      </c>
      <c r="S133" s="0" t="s">
        <v>3877</v>
      </c>
    </row>
    <row customHeight="1" ht="11.25">
      <c r="A134" s="1104">
        <v>2655</v>
      </c>
      <c r="B134" s="0" t="s">
        <v>116</v>
      </c>
      <c r="C134" s="0">
        <v>31343443</v>
      </c>
      <c r="D134" s="0" t="s">
        <v>3356</v>
      </c>
      <c r="E134" s="0" t="s">
        <v>3357</v>
      </c>
      <c r="F134" s="0" t="s">
        <v>3358</v>
      </c>
      <c r="G134" s="0" t="s">
        <v>3247</v>
      </c>
      <c r="H134" s="0" t="s">
        <v>3359</v>
      </c>
      <c r="I134" s="0" t="s">
        <v>3360</v>
      </c>
      <c r="J134" s="0" t="s">
        <v>3297</v>
      </c>
      <c r="K134" s="0" t="s">
        <v>3361</v>
      </c>
      <c r="L134" s="0" t="s">
        <v>3361</v>
      </c>
      <c r="M134" s="0" t="s">
        <v>3362</v>
      </c>
      <c r="N134" s="0" t="s">
        <v>3363</v>
      </c>
      <c r="O134" s="0" t="s">
        <v>3364</v>
      </c>
      <c r="P134" s="0" t="s">
        <v>3334</v>
      </c>
      <c r="Q134" s="0" t="s">
        <v>3365</v>
      </c>
      <c r="R134" s="0" t="b">
        <v>0</v>
      </c>
      <c r="S134" s="0" t="s">
        <v>3877</v>
      </c>
    </row>
    <row customHeight="1" ht="11.25">
      <c r="A135" s="1104">
        <v>2655</v>
      </c>
      <c r="B135" s="0" t="s">
        <v>116</v>
      </c>
      <c r="C135" s="0">
        <v>31367841</v>
      </c>
      <c r="D135" s="0" t="s">
        <v>3366</v>
      </c>
      <c r="E135" s="0" t="s">
        <v>3367</v>
      </c>
      <c r="F135" s="0" t="s">
        <v>3368</v>
      </c>
      <c r="G135" s="0" t="s">
        <v>3369</v>
      </c>
      <c r="H135" s="0" t="s">
        <v>3370</v>
      </c>
      <c r="I135" s="0" t="s">
        <v>3371</v>
      </c>
      <c r="J135" s="0" t="s">
        <v>3308</v>
      </c>
      <c r="K135" s="0" t="s">
        <v>3372</v>
      </c>
      <c r="L135" s="0" t="s">
        <v>3372</v>
      </c>
      <c r="M135" s="0" t="s">
        <v>176</v>
      </c>
      <c r="N135" s="0" t="s">
        <v>3373</v>
      </c>
      <c r="O135" s="0" t="s">
        <v>3374</v>
      </c>
      <c r="P135" s="0" t="s">
        <v>153</v>
      </c>
      <c r="Q135" s="0" t="s">
        <v>176</v>
      </c>
      <c r="R135" s="0" t="b">
        <v>0</v>
      </c>
      <c r="S135" s="0" t="s">
        <v>3877</v>
      </c>
    </row>
    <row customHeight="1" ht="11.25">
      <c r="A136" s="1104">
        <v>2655</v>
      </c>
      <c r="B136" s="0" t="s">
        <v>116</v>
      </c>
      <c r="C136" s="0">
        <v>31087651</v>
      </c>
      <c r="D136" s="0" t="s">
        <v>3375</v>
      </c>
      <c r="E136" s="0" t="s">
        <v>3376</v>
      </c>
      <c r="F136" s="0" t="s">
        <v>3377</v>
      </c>
      <c r="G136" s="0" t="s">
        <v>3378</v>
      </c>
      <c r="H136" s="0" t="s">
        <v>3379</v>
      </c>
      <c r="I136" s="0" t="s">
        <v>3380</v>
      </c>
      <c r="J136" s="0" t="s">
        <v>3297</v>
      </c>
      <c r="K136" s="0" t="s">
        <v>3381</v>
      </c>
      <c r="L136" s="0" t="s">
        <v>3381</v>
      </c>
      <c r="M136" s="0" t="s">
        <v>3382</v>
      </c>
      <c r="N136" s="0" t="s">
        <v>3383</v>
      </c>
      <c r="O136" s="0" t="s">
        <v>3384</v>
      </c>
      <c r="R136" s="0" t="b">
        <v>0</v>
      </c>
      <c r="S136" s="0" t="s">
        <v>3877</v>
      </c>
    </row>
    <row customHeight="1" ht="11.25">
      <c r="A137" s="1104">
        <v>2655</v>
      </c>
      <c r="B137" s="0" t="s">
        <v>116</v>
      </c>
      <c r="C137" s="0">
        <v>31367862</v>
      </c>
      <c r="D137" s="0" t="s">
        <v>3385</v>
      </c>
      <c r="E137" s="0" t="s">
        <v>3386</v>
      </c>
      <c r="F137" s="0" t="s">
        <v>3387</v>
      </c>
      <c r="G137" s="0" t="s">
        <v>3369</v>
      </c>
      <c r="H137" s="0" t="s">
        <v>3388</v>
      </c>
      <c r="I137" s="0" t="s">
        <v>3389</v>
      </c>
      <c r="J137" s="0" t="s">
        <v>3297</v>
      </c>
      <c r="K137" s="0" t="s">
        <v>3390</v>
      </c>
      <c r="L137" s="0" t="s">
        <v>3390</v>
      </c>
      <c r="M137" s="0" t="s">
        <v>176</v>
      </c>
      <c r="N137" s="0" t="s">
        <v>3391</v>
      </c>
      <c r="O137" s="0" t="s">
        <v>3392</v>
      </c>
      <c r="P137" s="0" t="s">
        <v>153</v>
      </c>
      <c r="Q137" s="0" t="s">
        <v>176</v>
      </c>
      <c r="R137" s="0" t="b">
        <v>0</v>
      </c>
      <c r="S137" s="0" t="s">
        <v>3877</v>
      </c>
    </row>
    <row customHeight="1" ht="11.25">
      <c r="A138" s="1104">
        <v>2655</v>
      </c>
      <c r="B138" s="0" t="s">
        <v>116</v>
      </c>
      <c r="C138" s="0">
        <v>31085797</v>
      </c>
      <c r="D138" s="0" t="s">
        <v>3989</v>
      </c>
      <c r="E138" s="0" t="s">
        <v>3990</v>
      </c>
      <c r="F138" s="0" t="s">
        <v>3991</v>
      </c>
      <c r="G138" s="0" t="s">
        <v>3191</v>
      </c>
      <c r="H138" s="0" t="s">
        <v>3992</v>
      </c>
      <c r="I138" s="0" t="s">
        <v>3993</v>
      </c>
      <c r="J138" s="0" t="s">
        <v>3308</v>
      </c>
      <c r="K138" s="0" t="s">
        <v>3994</v>
      </c>
      <c r="L138" s="0" t="s">
        <v>3995</v>
      </c>
      <c r="M138" s="0" t="s">
        <v>3996</v>
      </c>
      <c r="N138" s="0" t="s">
        <v>3997</v>
      </c>
      <c r="O138" s="0" t="s">
        <v>3998</v>
      </c>
      <c r="P138" s="0" t="s">
        <v>153</v>
      </c>
      <c r="Q138" s="0" t="s">
        <v>176</v>
      </c>
      <c r="R138" s="0" t="b">
        <v>1</v>
      </c>
      <c r="S138" s="0" t="s">
        <v>3877</v>
      </c>
    </row>
    <row customHeight="1" ht="11.25">
      <c r="A139" s="1104">
        <v>2655</v>
      </c>
      <c r="B139" s="0" t="s">
        <v>116</v>
      </c>
      <c r="C139" s="0">
        <v>26486390</v>
      </c>
      <c r="D139" s="0" t="s">
        <v>3393</v>
      </c>
      <c r="E139" s="0" t="s">
        <v>3394</v>
      </c>
      <c r="F139" s="0" t="s">
        <v>3395</v>
      </c>
      <c r="G139" s="0" t="s">
        <v>3396</v>
      </c>
      <c r="H139" s="0" t="s">
        <v>3397</v>
      </c>
      <c r="I139" s="0" t="s">
        <v>3398</v>
      </c>
      <c r="J139" s="0" t="s">
        <v>3308</v>
      </c>
      <c r="K139" s="0" t="s">
        <v>3399</v>
      </c>
      <c r="L139" s="0" t="s">
        <v>3399</v>
      </c>
      <c r="M139" s="0" t="s">
        <v>3400</v>
      </c>
      <c r="N139" s="0" t="s">
        <v>3401</v>
      </c>
      <c r="O139" s="0" t="s">
        <v>3402</v>
      </c>
      <c r="P139" s="0" t="s">
        <v>153</v>
      </c>
      <c r="Q139" s="0" t="s">
        <v>3403</v>
      </c>
      <c r="R139" s="0" t="b">
        <v>0</v>
      </c>
      <c r="S139" s="0" t="s">
        <v>3877</v>
      </c>
    </row>
    <row customHeight="1" ht="11.25">
      <c r="A140" s="1104">
        <v>2655</v>
      </c>
      <c r="B140" s="0" t="s">
        <v>116</v>
      </c>
      <c r="C140" s="0">
        <v>31187282</v>
      </c>
      <c r="D140" s="0" t="s">
        <v>3999</v>
      </c>
      <c r="E140" s="0" t="s">
        <v>4000</v>
      </c>
      <c r="F140" s="0" t="s">
        <v>4001</v>
      </c>
      <c r="G140" s="0" t="s">
        <v>3202</v>
      </c>
      <c r="H140" s="0" t="s">
        <v>4002</v>
      </c>
      <c r="I140" s="0" t="s">
        <v>4003</v>
      </c>
      <c r="J140" s="0" t="s">
        <v>3308</v>
      </c>
      <c r="K140" s="0" t="s">
        <v>4004</v>
      </c>
      <c r="L140" s="0" t="s">
        <v>4004</v>
      </c>
      <c r="M140" s="0" t="s">
        <v>176</v>
      </c>
      <c r="N140" s="0" t="s">
        <v>4005</v>
      </c>
      <c r="O140" s="0" t="s">
        <v>4006</v>
      </c>
      <c r="P140" s="0" t="s">
        <v>153</v>
      </c>
      <c r="Q140" s="0" t="s">
        <v>176</v>
      </c>
      <c r="R140" s="0" t="b">
        <v>0</v>
      </c>
      <c r="S140" s="0" t="s">
        <v>3877</v>
      </c>
    </row>
    <row customHeight="1" ht="11.25">
      <c r="A141" s="1104">
        <v>2655</v>
      </c>
      <c r="B141" s="0" t="s">
        <v>116</v>
      </c>
      <c r="C141" s="0">
        <v>31308226</v>
      </c>
      <c r="D141" s="0" t="s">
        <v>3425</v>
      </c>
      <c r="E141" s="0" t="s">
        <v>3426</v>
      </c>
      <c r="F141" s="0" t="s">
        <v>3427</v>
      </c>
      <c r="G141" s="0" t="s">
        <v>3428</v>
      </c>
      <c r="H141" s="0" t="s">
        <v>3429</v>
      </c>
      <c r="I141" s="0" t="s">
        <v>3430</v>
      </c>
      <c r="J141" s="0" t="s">
        <v>3308</v>
      </c>
      <c r="K141" s="0" t="s">
        <v>3431</v>
      </c>
      <c r="L141" s="0" t="s">
        <v>3431</v>
      </c>
      <c r="M141" s="0" t="s">
        <v>3432</v>
      </c>
      <c r="N141" s="0" t="s">
        <v>3433</v>
      </c>
      <c r="O141" s="0" t="s">
        <v>3434</v>
      </c>
      <c r="P141" s="0" t="s">
        <v>3334</v>
      </c>
      <c r="Q141" s="0" t="s">
        <v>176</v>
      </c>
      <c r="R141" s="0" t="b">
        <v>1</v>
      </c>
      <c r="S141" s="0" t="s">
        <v>3877</v>
      </c>
    </row>
    <row customHeight="1" ht="11.25">
      <c r="A142" s="1104">
        <v>2655</v>
      </c>
      <c r="B142" s="0" t="s">
        <v>116</v>
      </c>
      <c r="C142" s="0">
        <v>31284269</v>
      </c>
      <c r="D142" s="0" t="s">
        <v>3435</v>
      </c>
      <c r="E142" s="0" t="s">
        <v>3436</v>
      </c>
      <c r="F142" s="0" t="s">
        <v>3437</v>
      </c>
      <c r="G142" s="0" t="s">
        <v>3378</v>
      </c>
      <c r="H142" s="0" t="s">
        <v>3438</v>
      </c>
      <c r="I142" s="0" t="s">
        <v>3439</v>
      </c>
      <c r="J142" s="0" t="s">
        <v>3308</v>
      </c>
      <c r="K142" s="0" t="s">
        <v>3440</v>
      </c>
      <c r="L142" s="0" t="s">
        <v>3441</v>
      </c>
      <c r="M142" s="0" t="s">
        <v>3442</v>
      </c>
      <c r="N142" s="0" t="s">
        <v>3443</v>
      </c>
      <c r="O142" s="0" t="s">
        <v>3444</v>
      </c>
      <c r="P142" s="0" t="s">
        <v>153</v>
      </c>
      <c r="Q142" s="0" t="s">
        <v>176</v>
      </c>
      <c r="R142" s="0" t="b">
        <v>0</v>
      </c>
      <c r="S142" s="0" t="s">
        <v>3877</v>
      </c>
    </row>
    <row customHeight="1" ht="11.25">
      <c r="A143" s="1104">
        <v>2655</v>
      </c>
      <c r="B143" s="0" t="s">
        <v>116</v>
      </c>
      <c r="C143" s="0">
        <v>31159389</v>
      </c>
      <c r="D143" s="0" t="s">
        <v>4007</v>
      </c>
      <c r="E143" s="0" t="s">
        <v>4008</v>
      </c>
      <c r="F143" s="0" t="s">
        <v>4009</v>
      </c>
      <c r="G143" s="0" t="s">
        <v>3316</v>
      </c>
      <c r="H143" s="0" t="s">
        <v>4010</v>
      </c>
      <c r="I143" s="0" t="s">
        <v>4011</v>
      </c>
      <c r="J143" s="0" t="s">
        <v>3308</v>
      </c>
      <c r="K143" s="0" t="s">
        <v>4012</v>
      </c>
      <c r="L143" s="0" t="s">
        <v>4013</v>
      </c>
      <c r="M143" s="0" t="s">
        <v>4014</v>
      </c>
      <c r="N143" s="0" t="s">
        <v>4015</v>
      </c>
      <c r="O143" s="0" t="s">
        <v>4016</v>
      </c>
      <c r="P143" s="0" t="s">
        <v>153</v>
      </c>
      <c r="Q143" s="0" t="s">
        <v>176</v>
      </c>
      <c r="R143" s="0" t="b">
        <v>0</v>
      </c>
      <c r="S143" s="0" t="s">
        <v>3877</v>
      </c>
    </row>
    <row customHeight="1" ht="11.25">
      <c r="A144" s="1104">
        <v>2655</v>
      </c>
      <c r="B144" s="0" t="s">
        <v>116</v>
      </c>
      <c r="C144" s="0">
        <v>26322895</v>
      </c>
      <c r="D144" s="0" t="s">
        <v>3465</v>
      </c>
      <c r="E144" s="0" t="s">
        <v>3466</v>
      </c>
      <c r="F144" s="0" t="s">
        <v>3467</v>
      </c>
      <c r="G144" s="0" t="s">
        <v>3178</v>
      </c>
      <c r="H144" s="0" t="s">
        <v>3468</v>
      </c>
      <c r="I144" s="0" t="s">
        <v>3469</v>
      </c>
      <c r="J144" s="0" t="s">
        <v>3239</v>
      </c>
      <c r="K144" s="0" t="s">
        <v>3470</v>
      </c>
      <c r="L144" s="0" t="s">
        <v>3470</v>
      </c>
      <c r="M144" s="0" t="s">
        <v>3471</v>
      </c>
      <c r="N144" s="0" t="s">
        <v>3472</v>
      </c>
      <c r="O144" s="0" t="s">
        <v>3473</v>
      </c>
      <c r="P144" s="0" t="s">
        <v>3208</v>
      </c>
      <c r="Q144" s="0" t="s">
        <v>3474</v>
      </c>
      <c r="R144" s="0" t="b">
        <v>0</v>
      </c>
      <c r="S144" s="0" t="s">
        <v>3877</v>
      </c>
    </row>
    <row customHeight="1" ht="11.25">
      <c r="A145" s="1104">
        <v>2655</v>
      </c>
      <c r="B145" s="0" t="s">
        <v>116</v>
      </c>
      <c r="C145" s="0">
        <v>26356930</v>
      </c>
      <c r="D145" s="0" t="s">
        <v>4017</v>
      </c>
      <c r="E145" s="0" t="s">
        <v>4018</v>
      </c>
      <c r="F145" s="0" t="s">
        <v>4019</v>
      </c>
      <c r="G145" s="0" t="s">
        <v>3485</v>
      </c>
      <c r="H145" s="0" t="s">
        <v>4020</v>
      </c>
      <c r="I145" s="0" t="s">
        <v>4021</v>
      </c>
      <c r="J145" s="0" t="s">
        <v>141</v>
      </c>
      <c r="K145" s="0" t="s">
        <v>4022</v>
      </c>
      <c r="L145" s="0" t="s">
        <v>4022</v>
      </c>
      <c r="M145" s="0" t="s">
        <v>4023</v>
      </c>
      <c r="N145" s="0" t="s">
        <v>176</v>
      </c>
      <c r="O145" s="0" t="s">
        <v>4024</v>
      </c>
      <c r="P145" s="0" t="s">
        <v>153</v>
      </c>
      <c r="Q145" s="0" t="s">
        <v>176</v>
      </c>
      <c r="R145" s="0" t="b">
        <v>1</v>
      </c>
      <c r="S145" s="0" t="s">
        <v>3877</v>
      </c>
    </row>
    <row customHeight="1" ht="11.25">
      <c r="A146" s="1104">
        <v>2655</v>
      </c>
      <c r="B146" s="0" t="s">
        <v>116</v>
      </c>
      <c r="C146" s="0">
        <v>30843704</v>
      </c>
      <c r="D146" s="0" t="s">
        <v>4025</v>
      </c>
      <c r="E146" s="0" t="s">
        <v>4026</v>
      </c>
      <c r="F146" s="0" t="s">
        <v>4027</v>
      </c>
      <c r="G146" s="0" t="s">
        <v>3178</v>
      </c>
      <c r="H146" s="0" t="s">
        <v>4028</v>
      </c>
      <c r="I146" s="0" t="s">
        <v>4029</v>
      </c>
      <c r="J146" s="0" t="s">
        <v>141</v>
      </c>
      <c r="K146" s="0" t="s">
        <v>4030</v>
      </c>
      <c r="L146" s="0" t="s">
        <v>4031</v>
      </c>
      <c r="M146" s="0" t="s">
        <v>176</v>
      </c>
      <c r="N146" s="0" t="s">
        <v>4032</v>
      </c>
      <c r="O146" s="0" t="s">
        <v>4033</v>
      </c>
      <c r="P146" s="0" t="s">
        <v>3208</v>
      </c>
      <c r="Q146" s="0" t="s">
        <v>176</v>
      </c>
      <c r="R146" s="0" t="b">
        <v>0</v>
      </c>
      <c r="S146" s="0" t="s">
        <v>3877</v>
      </c>
    </row>
    <row customHeight="1" ht="11.25">
      <c r="A147" s="1104">
        <v>2655</v>
      </c>
      <c r="B147" s="0" t="s">
        <v>116</v>
      </c>
      <c r="C147" s="0">
        <v>26798812</v>
      </c>
      <c r="D147" s="0" t="s">
        <v>4034</v>
      </c>
      <c r="E147" s="0" t="s">
        <v>4035</v>
      </c>
      <c r="F147" s="0" t="s">
        <v>4036</v>
      </c>
      <c r="G147" s="0" t="s">
        <v>3191</v>
      </c>
      <c r="H147" s="0" t="s">
        <v>4037</v>
      </c>
      <c r="I147" s="0" t="s">
        <v>4038</v>
      </c>
      <c r="J147" s="0" t="s">
        <v>141</v>
      </c>
      <c r="K147" s="0" t="s">
        <v>4039</v>
      </c>
      <c r="L147" s="0" t="s">
        <v>4039</v>
      </c>
      <c r="M147" s="0" t="s">
        <v>4040</v>
      </c>
      <c r="N147" s="0" t="s">
        <v>4041</v>
      </c>
      <c r="O147" s="0" t="s">
        <v>4042</v>
      </c>
      <c r="P147" s="0" t="s">
        <v>3208</v>
      </c>
      <c r="Q147" s="0" t="s">
        <v>4043</v>
      </c>
      <c r="R147" s="0" t="b">
        <v>0</v>
      </c>
      <c r="S147" s="0" t="s">
        <v>3877</v>
      </c>
    </row>
    <row customHeight="1" ht="11.25">
      <c r="A148" s="1104">
        <v>2655</v>
      </c>
      <c r="B148" s="0" t="s">
        <v>116</v>
      </c>
      <c r="C148" s="0">
        <v>31775146</v>
      </c>
      <c r="D148" s="0" t="s">
        <v>3482</v>
      </c>
      <c r="E148" s="0" t="s">
        <v>3483</v>
      </c>
      <c r="F148" s="0" t="s">
        <v>3484</v>
      </c>
      <c r="G148" s="0" t="s">
        <v>3485</v>
      </c>
      <c r="H148" s="0" t="s">
        <v>3486</v>
      </c>
      <c r="I148" s="0" t="s">
        <v>3487</v>
      </c>
      <c r="K148" s="0" t="s">
        <v>3488</v>
      </c>
      <c r="L148" s="0" t="s">
        <v>3488</v>
      </c>
      <c r="M148" s="0" t="s">
        <v>3489</v>
      </c>
      <c r="N148" s="0" t="s">
        <v>3490</v>
      </c>
      <c r="O148" s="0" t="s">
        <v>3491</v>
      </c>
      <c r="P148" s="0" t="s">
        <v>3334</v>
      </c>
      <c r="Q148" s="0" t="s">
        <v>176</v>
      </c>
      <c r="R148" s="0" t="b">
        <v>1</v>
      </c>
      <c r="S148" s="0" t="s">
        <v>3877</v>
      </c>
    </row>
    <row customHeight="1" ht="11.25">
      <c r="A149" s="1104">
        <v>2655</v>
      </c>
      <c r="B149" s="0" t="s">
        <v>116</v>
      </c>
      <c r="C149" s="0">
        <v>28873685</v>
      </c>
      <c r="D149" s="0" t="s">
        <v>4044</v>
      </c>
      <c r="E149" s="0" t="s">
        <v>4045</v>
      </c>
      <c r="F149" s="0" t="s">
        <v>4046</v>
      </c>
      <c r="G149" s="0" t="s">
        <v>3485</v>
      </c>
      <c r="H149" s="0" t="s">
        <v>4047</v>
      </c>
      <c r="I149" s="0" t="s">
        <v>4048</v>
      </c>
      <c r="J149" s="0" t="s">
        <v>141</v>
      </c>
      <c r="K149" s="0" t="s">
        <v>4049</v>
      </c>
      <c r="L149" s="0" t="s">
        <v>4049</v>
      </c>
      <c r="M149" s="0" t="s">
        <v>4050</v>
      </c>
      <c r="N149" s="0" t="s">
        <v>3490</v>
      </c>
      <c r="O149" s="0" t="s">
        <v>3491</v>
      </c>
      <c r="P149" s="0" t="s">
        <v>3208</v>
      </c>
      <c r="Q149" s="0" t="s">
        <v>4051</v>
      </c>
      <c r="R149" s="0" t="b">
        <v>1</v>
      </c>
      <c r="S149" s="0" t="s">
        <v>3877</v>
      </c>
    </row>
    <row customHeight="1" ht="11.25">
      <c r="A150" s="1104">
        <v>2655</v>
      </c>
      <c r="B150" s="0" t="s">
        <v>116</v>
      </c>
      <c r="C150" s="0">
        <v>28869965</v>
      </c>
      <c r="D150" s="0" t="s">
        <v>3492</v>
      </c>
      <c r="E150" s="0" t="s">
        <v>3493</v>
      </c>
      <c r="F150" s="0" t="s">
        <v>3494</v>
      </c>
      <c r="G150" s="0" t="s">
        <v>3294</v>
      </c>
      <c r="H150" s="0" t="s">
        <v>3495</v>
      </c>
      <c r="I150" s="0" t="s">
        <v>176</v>
      </c>
      <c r="J150" s="0" t="s">
        <v>141</v>
      </c>
      <c r="K150" s="0" t="s">
        <v>3496</v>
      </c>
      <c r="L150" s="0" t="s">
        <v>3496</v>
      </c>
      <c r="M150" s="0" t="s">
        <v>3497</v>
      </c>
      <c r="N150" s="0" t="s">
        <v>3498</v>
      </c>
      <c r="O150" s="0" t="s">
        <v>3499</v>
      </c>
      <c r="P150" s="0" t="s">
        <v>3208</v>
      </c>
      <c r="Q150" s="0" t="s">
        <v>3500</v>
      </c>
      <c r="R150" s="0" t="b">
        <v>0</v>
      </c>
      <c r="S150" s="0" t="s">
        <v>3877</v>
      </c>
    </row>
    <row customHeight="1" ht="11.25">
      <c r="A151" s="1104">
        <v>2655</v>
      </c>
      <c r="B151" s="0" t="s">
        <v>116</v>
      </c>
      <c r="C151" s="0">
        <v>31245446</v>
      </c>
      <c r="D151" s="0" t="s">
        <v>4052</v>
      </c>
      <c r="E151" s="0" t="s">
        <v>4053</v>
      </c>
      <c r="F151" s="0" t="s">
        <v>4054</v>
      </c>
      <c r="G151" s="0" t="s">
        <v>4055</v>
      </c>
      <c r="H151" s="0" t="s">
        <v>4056</v>
      </c>
      <c r="I151" s="0" t="s">
        <v>4057</v>
      </c>
      <c r="J151" s="0" t="s">
        <v>141</v>
      </c>
      <c r="K151" s="0" t="s">
        <v>4058</v>
      </c>
      <c r="L151" s="0" t="s">
        <v>4059</v>
      </c>
      <c r="M151" s="0" t="s">
        <v>4060</v>
      </c>
      <c r="N151" s="0" t="s">
        <v>4061</v>
      </c>
      <c r="O151" s="0" t="s">
        <v>4062</v>
      </c>
      <c r="P151" s="0" t="s">
        <v>153</v>
      </c>
      <c r="Q151" s="0" t="s">
        <v>176</v>
      </c>
      <c r="R151" s="0" t="b">
        <v>0</v>
      </c>
      <c r="S151" s="0" t="s">
        <v>3877</v>
      </c>
    </row>
    <row customHeight="1" ht="11.25">
      <c r="A152" s="1104">
        <v>2655</v>
      </c>
      <c r="B152" s="0" t="s">
        <v>116</v>
      </c>
      <c r="C152" s="0">
        <v>26476793</v>
      </c>
      <c r="D152" s="0" t="s">
        <v>4063</v>
      </c>
      <c r="E152" s="0" t="s">
        <v>4064</v>
      </c>
      <c r="F152" s="0" t="s">
        <v>4065</v>
      </c>
      <c r="G152" s="0" t="s">
        <v>3960</v>
      </c>
      <c r="H152" s="0" t="s">
        <v>4066</v>
      </c>
      <c r="I152" s="0" t="s">
        <v>4067</v>
      </c>
      <c r="J152" s="0" t="s">
        <v>141</v>
      </c>
      <c r="K152" s="0" t="s">
        <v>4068</v>
      </c>
      <c r="L152" s="0" t="s">
        <v>4068</v>
      </c>
      <c r="M152" s="0" t="s">
        <v>4069</v>
      </c>
      <c r="N152" s="0" t="s">
        <v>4070</v>
      </c>
      <c r="O152" s="0" t="s">
        <v>4071</v>
      </c>
      <c r="P152" s="0" t="s">
        <v>153</v>
      </c>
      <c r="Q152" s="0" t="s">
        <v>158</v>
      </c>
      <c r="R152" s="0" t="b">
        <v>1</v>
      </c>
      <c r="S152" s="0" t="s">
        <v>3877</v>
      </c>
    </row>
    <row customHeight="1" ht="11.25">
      <c r="A153" s="1104">
        <v>2655</v>
      </c>
      <c r="B153" s="0" t="s">
        <v>116</v>
      </c>
      <c r="C153" s="0">
        <v>28509720</v>
      </c>
      <c r="D153" s="0" t="s">
        <v>4072</v>
      </c>
      <c r="E153" s="0" t="s">
        <v>4073</v>
      </c>
      <c r="F153" s="0" t="s">
        <v>4074</v>
      </c>
      <c r="G153" s="0" t="s">
        <v>4075</v>
      </c>
      <c r="H153" s="0" t="s">
        <v>4076</v>
      </c>
      <c r="I153" s="0" t="s">
        <v>4077</v>
      </c>
      <c r="J153" s="0" t="s">
        <v>141</v>
      </c>
      <c r="K153" s="0" t="s">
        <v>4078</v>
      </c>
      <c r="L153" s="0" t="s">
        <v>4079</v>
      </c>
      <c r="M153" s="0" t="s">
        <v>4080</v>
      </c>
      <c r="N153" s="0" t="s">
        <v>176</v>
      </c>
      <c r="O153" s="0" t="s">
        <v>4081</v>
      </c>
      <c r="P153" s="0" t="s">
        <v>3208</v>
      </c>
      <c r="Q153" s="0" t="s">
        <v>176</v>
      </c>
      <c r="R153" s="0" t="b">
        <v>0</v>
      </c>
      <c r="S153" s="0" t="s">
        <v>3877</v>
      </c>
    </row>
    <row customHeight="1" ht="11.25">
      <c r="A154" s="1104">
        <v>2655</v>
      </c>
      <c r="B154" s="0" t="s">
        <v>116</v>
      </c>
      <c r="C154" s="0">
        <v>31527562</v>
      </c>
      <c r="D154" s="0" t="s">
        <v>4082</v>
      </c>
      <c r="E154" s="0" t="s">
        <v>4083</v>
      </c>
      <c r="F154" s="0" t="s">
        <v>4084</v>
      </c>
      <c r="G154" s="0" t="s">
        <v>4085</v>
      </c>
      <c r="H154" s="0" t="s">
        <v>4086</v>
      </c>
      <c r="I154" s="0" t="s">
        <v>4087</v>
      </c>
      <c r="K154" s="0" t="s">
        <v>4088</v>
      </c>
      <c r="L154" s="0" t="s">
        <v>4089</v>
      </c>
      <c r="M154" s="0" t="s">
        <v>176</v>
      </c>
      <c r="N154" s="0" t="s">
        <v>176</v>
      </c>
      <c r="O154" s="0" t="s">
        <v>4090</v>
      </c>
      <c r="P154" s="0" t="s">
        <v>176</v>
      </c>
      <c r="Q154" s="0" t="s">
        <v>176</v>
      </c>
      <c r="R154" s="0" t="b">
        <v>0</v>
      </c>
      <c r="S154" s="0" t="s">
        <v>3877</v>
      </c>
    </row>
    <row customHeight="1" ht="11.25">
      <c r="A155" s="1104">
        <v>2655</v>
      </c>
      <c r="B155" s="0" t="s">
        <v>116</v>
      </c>
      <c r="C155" s="0">
        <v>31874557</v>
      </c>
      <c r="D155" s="0" t="s">
        <v>4091</v>
      </c>
      <c r="E155" s="0" t="s">
        <v>4092</v>
      </c>
      <c r="F155" s="0" t="s">
        <v>4093</v>
      </c>
      <c r="G155" s="0" t="s">
        <v>3428</v>
      </c>
      <c r="H155" s="0" t="s">
        <v>4094</v>
      </c>
      <c r="I155" s="0" t="s">
        <v>4095</v>
      </c>
      <c r="K155" s="0" t="s">
        <v>4096</v>
      </c>
      <c r="L155" s="0" t="s">
        <v>4096</v>
      </c>
      <c r="M155" s="0" t="s">
        <v>4097</v>
      </c>
      <c r="N155" s="0" t="s">
        <v>4098</v>
      </c>
      <c r="O155" s="0" t="s">
        <v>4099</v>
      </c>
      <c r="P155" s="0" t="s">
        <v>3208</v>
      </c>
      <c r="Q155" s="0" t="s">
        <v>176</v>
      </c>
      <c r="R155" s="0" t="b">
        <v>1</v>
      </c>
      <c r="S155" s="0" t="s">
        <v>3877</v>
      </c>
    </row>
    <row customHeight="1" ht="11.25">
      <c r="A156" s="1104">
        <v>2655</v>
      </c>
      <c r="B156" s="0" t="s">
        <v>116</v>
      </c>
      <c r="C156" s="0">
        <v>31656254</v>
      </c>
      <c r="D156" s="0" t="s">
        <v>126</v>
      </c>
      <c r="E156" s="0" t="s">
        <v>129</v>
      </c>
      <c r="F156" s="0" t="s">
        <v>135</v>
      </c>
      <c r="G156" s="0" t="s">
        <v>137</v>
      </c>
      <c r="H156" s="0" t="s">
        <v>133</v>
      </c>
      <c r="I156" s="0" t="s">
        <v>139</v>
      </c>
      <c r="K156" s="0" t="s">
        <v>145</v>
      </c>
      <c r="L156" s="0" t="s">
        <v>143</v>
      </c>
      <c r="M156" s="0" t="s">
        <v>147</v>
      </c>
      <c r="N156" s="0" t="s">
        <v>149</v>
      </c>
      <c r="O156" s="0" t="s">
        <v>151</v>
      </c>
      <c r="P156" s="0" t="s">
        <v>153</v>
      </c>
      <c r="Q156" s="0" t="s">
        <v>155</v>
      </c>
      <c r="R156" s="0" t="b">
        <v>0</v>
      </c>
      <c r="S156" s="0" t="s">
        <v>3877</v>
      </c>
    </row>
    <row customHeight="1" ht="11.25">
      <c r="A157" s="1104">
        <v>2655</v>
      </c>
      <c r="B157" s="0" t="s">
        <v>116</v>
      </c>
      <c r="C157" s="0">
        <v>26356927</v>
      </c>
      <c r="D157" s="0" t="s">
        <v>4100</v>
      </c>
      <c r="E157" s="0" t="s">
        <v>4101</v>
      </c>
      <c r="F157" s="0" t="s">
        <v>4102</v>
      </c>
      <c r="G157" s="0" t="s">
        <v>3485</v>
      </c>
      <c r="H157" s="0" t="s">
        <v>4103</v>
      </c>
      <c r="I157" s="0" t="s">
        <v>4104</v>
      </c>
      <c r="J157" s="0" t="s">
        <v>141</v>
      </c>
      <c r="K157" s="0" t="s">
        <v>4105</v>
      </c>
      <c r="L157" s="0" t="s">
        <v>4105</v>
      </c>
      <c r="M157" s="0" t="s">
        <v>4106</v>
      </c>
      <c r="N157" s="0" t="s">
        <v>4107</v>
      </c>
      <c r="O157" s="0" t="s">
        <v>4108</v>
      </c>
      <c r="P157" s="0" t="s">
        <v>3334</v>
      </c>
      <c r="Q157" s="0" t="s">
        <v>176</v>
      </c>
      <c r="R157" s="0" t="b">
        <v>1</v>
      </c>
      <c r="S157" s="0" t="s">
        <v>3877</v>
      </c>
    </row>
    <row customHeight="1" ht="11.25">
      <c r="A158" s="1104">
        <v>2655</v>
      </c>
      <c r="B158" s="0" t="s">
        <v>116</v>
      </c>
      <c r="C158" s="0">
        <v>28878273</v>
      </c>
      <c r="D158" s="0" t="s">
        <v>4109</v>
      </c>
      <c r="E158" s="0" t="s">
        <v>4110</v>
      </c>
      <c r="F158" s="0" t="s">
        <v>4111</v>
      </c>
      <c r="G158" s="0" t="s">
        <v>3178</v>
      </c>
      <c r="H158" s="0" t="s">
        <v>4112</v>
      </c>
      <c r="I158" s="0" t="s">
        <v>176</v>
      </c>
      <c r="J158" s="0" t="s">
        <v>141</v>
      </c>
      <c r="K158" s="0" t="s">
        <v>4113</v>
      </c>
      <c r="L158" s="0" t="s">
        <v>4114</v>
      </c>
      <c r="M158" s="0" t="s">
        <v>4115</v>
      </c>
      <c r="N158" s="0" t="s">
        <v>4116</v>
      </c>
      <c r="O158" s="0" t="s">
        <v>4117</v>
      </c>
      <c r="P158" s="0" t="s">
        <v>3208</v>
      </c>
      <c r="Q158" s="0" t="s">
        <v>4118</v>
      </c>
      <c r="R158" s="0" t="b">
        <v>0</v>
      </c>
      <c r="S158" s="0" t="s">
        <v>3877</v>
      </c>
    </row>
    <row customHeight="1" ht="11.25">
      <c r="A159" s="1104">
        <v>2655</v>
      </c>
      <c r="B159" s="0" t="s">
        <v>116</v>
      </c>
      <c r="C159" s="0">
        <v>26562805</v>
      </c>
      <c r="D159" s="0" t="s">
        <v>4119</v>
      </c>
      <c r="E159" s="0" t="s">
        <v>4120</v>
      </c>
      <c r="F159" s="0" t="s">
        <v>4121</v>
      </c>
      <c r="G159" s="0" t="s">
        <v>3396</v>
      </c>
      <c r="H159" s="0" t="s">
        <v>4122</v>
      </c>
      <c r="I159" s="0" t="s">
        <v>4123</v>
      </c>
      <c r="J159" s="0" t="s">
        <v>141</v>
      </c>
      <c r="K159" s="0" t="s">
        <v>4124</v>
      </c>
      <c r="L159" s="0" t="s">
        <v>4124</v>
      </c>
      <c r="M159" s="0" t="s">
        <v>4125</v>
      </c>
      <c r="N159" s="0" t="s">
        <v>4126</v>
      </c>
      <c r="O159" s="0" t="s">
        <v>4127</v>
      </c>
      <c r="P159" s="0" t="s">
        <v>153</v>
      </c>
      <c r="Q159" s="0" t="s">
        <v>4128</v>
      </c>
      <c r="R159" s="0" t="b">
        <v>0</v>
      </c>
      <c r="S159" s="0" t="s">
        <v>3877</v>
      </c>
    </row>
    <row customHeight="1" ht="11.25">
      <c r="A160" s="1104">
        <v>2655</v>
      </c>
      <c r="B160" s="0" t="s">
        <v>116</v>
      </c>
      <c r="C160" s="0">
        <v>31684090</v>
      </c>
      <c r="D160" s="0" t="s">
        <v>4129</v>
      </c>
      <c r="E160" s="0" t="s">
        <v>4130</v>
      </c>
      <c r="F160" s="0" t="s">
        <v>4131</v>
      </c>
      <c r="G160" s="0" t="s">
        <v>3178</v>
      </c>
      <c r="H160" s="0" t="s">
        <v>4132</v>
      </c>
      <c r="I160" s="0" t="s">
        <v>4133</v>
      </c>
      <c r="K160" s="0" t="s">
        <v>4134</v>
      </c>
      <c r="L160" s="0" t="s">
        <v>4135</v>
      </c>
      <c r="M160" s="0" t="s">
        <v>176</v>
      </c>
      <c r="N160" s="0" t="s">
        <v>176</v>
      </c>
      <c r="O160" s="0" t="s">
        <v>4136</v>
      </c>
      <c r="P160" s="0" t="s">
        <v>3186</v>
      </c>
      <c r="Q160" s="0" t="s">
        <v>4137</v>
      </c>
      <c r="R160" s="0" t="b">
        <v>0</v>
      </c>
      <c r="S160" s="0" t="s">
        <v>3877</v>
      </c>
    </row>
    <row customHeight="1" ht="11.25">
      <c r="A161" s="1104">
        <v>2655</v>
      </c>
      <c r="B161" s="0" t="s">
        <v>116</v>
      </c>
      <c r="C161" s="0">
        <v>27997588</v>
      </c>
      <c r="D161" s="0" t="s">
        <v>4138</v>
      </c>
      <c r="E161" s="0" t="s">
        <v>4139</v>
      </c>
      <c r="F161" s="0" t="s">
        <v>4140</v>
      </c>
      <c r="G161" s="0" t="s">
        <v>3294</v>
      </c>
      <c r="H161" s="0" t="s">
        <v>4141</v>
      </c>
      <c r="I161" s="0" t="s">
        <v>4142</v>
      </c>
      <c r="J161" s="0" t="s">
        <v>141</v>
      </c>
      <c r="K161" s="0" t="s">
        <v>4143</v>
      </c>
      <c r="L161" s="0" t="s">
        <v>4143</v>
      </c>
      <c r="M161" s="0" t="s">
        <v>4144</v>
      </c>
      <c r="N161" s="0" t="s">
        <v>4145</v>
      </c>
      <c r="O161" s="0" t="s">
        <v>4146</v>
      </c>
      <c r="P161" s="0" t="s">
        <v>4147</v>
      </c>
      <c r="Q161" s="0" t="s">
        <v>176</v>
      </c>
      <c r="R161" s="0" t="b">
        <v>0</v>
      </c>
      <c r="S161" s="0" t="s">
        <v>3877</v>
      </c>
    </row>
    <row customHeight="1" ht="11.25">
      <c r="A162" s="1104">
        <v>2655</v>
      </c>
      <c r="B162" s="0" t="s">
        <v>116</v>
      </c>
      <c r="C162" s="0">
        <v>28882034</v>
      </c>
      <c r="D162" s="0" t="s">
        <v>4148</v>
      </c>
      <c r="E162" s="0" t="s">
        <v>4149</v>
      </c>
      <c r="F162" s="0" t="s">
        <v>4150</v>
      </c>
      <c r="G162" s="0" t="s">
        <v>3178</v>
      </c>
      <c r="H162" s="0" t="s">
        <v>4151</v>
      </c>
      <c r="I162" s="0" t="s">
        <v>176</v>
      </c>
      <c r="J162" s="0" t="s">
        <v>141</v>
      </c>
      <c r="K162" s="0" t="s">
        <v>4152</v>
      </c>
      <c r="L162" s="0" t="s">
        <v>4152</v>
      </c>
      <c r="M162" s="0" t="s">
        <v>176</v>
      </c>
      <c r="N162" s="0" t="s">
        <v>176</v>
      </c>
      <c r="O162" s="0" t="s">
        <v>4153</v>
      </c>
      <c r="P162" s="0" t="s">
        <v>153</v>
      </c>
      <c r="Q162" s="0" t="s">
        <v>176</v>
      </c>
      <c r="R162" s="0" t="b">
        <v>0</v>
      </c>
      <c r="S162" s="0" t="s">
        <v>3877</v>
      </c>
    </row>
    <row customHeight="1" ht="11.25">
      <c r="A163" s="1104">
        <v>2655</v>
      </c>
      <c r="B163" s="0" t="s">
        <v>116</v>
      </c>
      <c r="C163" s="0">
        <v>26648537</v>
      </c>
      <c r="D163" s="0" t="s">
        <v>4154</v>
      </c>
      <c r="E163" s="0" t="s">
        <v>4155</v>
      </c>
      <c r="F163" s="0" t="s">
        <v>4156</v>
      </c>
      <c r="G163" s="0" t="s">
        <v>3178</v>
      </c>
      <c r="H163" s="0" t="s">
        <v>4157</v>
      </c>
      <c r="I163" s="0" t="s">
        <v>4158</v>
      </c>
      <c r="J163" s="0" t="s">
        <v>141</v>
      </c>
      <c r="K163" s="0" t="s">
        <v>4159</v>
      </c>
      <c r="L163" s="0" t="s">
        <v>4159</v>
      </c>
      <c r="M163" s="0" t="s">
        <v>4160</v>
      </c>
      <c r="N163" s="0" t="s">
        <v>4161</v>
      </c>
      <c r="O163" s="0" t="s">
        <v>4162</v>
      </c>
      <c r="P163" s="0" t="s">
        <v>153</v>
      </c>
      <c r="Q163" s="0" t="s">
        <v>4163</v>
      </c>
      <c r="R163" s="0" t="b">
        <v>0</v>
      </c>
      <c r="S163" s="0" t="s">
        <v>3877</v>
      </c>
    </row>
    <row customHeight="1" ht="11.25">
      <c r="A164" s="1104">
        <v>2655</v>
      </c>
      <c r="B164" s="0" t="s">
        <v>116</v>
      </c>
      <c r="C164" s="0">
        <v>31519209</v>
      </c>
      <c r="D164" s="0" t="s">
        <v>4164</v>
      </c>
      <c r="E164" s="0" t="s">
        <v>4165</v>
      </c>
      <c r="F164" s="0" t="s">
        <v>4166</v>
      </c>
      <c r="G164" s="0" t="s">
        <v>3485</v>
      </c>
      <c r="H164" s="0" t="s">
        <v>4167</v>
      </c>
      <c r="I164" s="0" t="s">
        <v>4168</v>
      </c>
      <c r="J164" s="0" t="s">
        <v>141</v>
      </c>
      <c r="K164" s="0" t="s">
        <v>4169</v>
      </c>
      <c r="L164" s="0" t="s">
        <v>4169</v>
      </c>
      <c r="M164" s="0" t="s">
        <v>4170</v>
      </c>
      <c r="N164" s="0" t="s">
        <v>4171</v>
      </c>
      <c r="O164" s="0" t="s">
        <v>4172</v>
      </c>
      <c r="P164" s="0" t="s">
        <v>3208</v>
      </c>
      <c r="Q164" s="0" t="s">
        <v>176</v>
      </c>
      <c r="R164" s="0" t="b">
        <v>0</v>
      </c>
      <c r="S164" s="0" t="s">
        <v>3877</v>
      </c>
    </row>
    <row customHeight="1" ht="11.25">
      <c r="A165" s="1104">
        <v>2655</v>
      </c>
      <c r="B165" s="0" t="s">
        <v>116</v>
      </c>
      <c r="C165" s="0">
        <v>31574053</v>
      </c>
      <c r="D165" s="0" t="s">
        <v>4173</v>
      </c>
      <c r="E165" s="0" t="s">
        <v>4174</v>
      </c>
      <c r="F165" s="0" t="s">
        <v>4175</v>
      </c>
      <c r="G165" s="0" t="s">
        <v>3428</v>
      </c>
      <c r="H165" s="0" t="s">
        <v>4176</v>
      </c>
      <c r="I165" s="0" t="s">
        <v>4177</v>
      </c>
      <c r="K165" s="0" t="s">
        <v>4178</v>
      </c>
      <c r="L165" s="0" t="s">
        <v>4178</v>
      </c>
      <c r="M165" s="0" t="s">
        <v>4179</v>
      </c>
      <c r="N165" s="0" t="s">
        <v>4180</v>
      </c>
      <c r="O165" s="0" t="s">
        <v>4181</v>
      </c>
      <c r="P165" s="0" t="s">
        <v>153</v>
      </c>
      <c r="Q165" s="0" t="s">
        <v>176</v>
      </c>
      <c r="R165" s="0" t="b">
        <v>0</v>
      </c>
      <c r="S165" s="0" t="s">
        <v>3877</v>
      </c>
    </row>
    <row customHeight="1" ht="11.25">
      <c r="A166" s="1104">
        <v>2655</v>
      </c>
      <c r="B166" s="0" t="s">
        <v>116</v>
      </c>
      <c r="C166" s="0">
        <v>28141951</v>
      </c>
      <c r="D166" s="0" t="s">
        <v>4182</v>
      </c>
      <c r="E166" s="0" t="s">
        <v>4183</v>
      </c>
      <c r="F166" s="0" t="s">
        <v>4184</v>
      </c>
      <c r="G166" s="0" t="s">
        <v>3202</v>
      </c>
      <c r="H166" s="0" t="s">
        <v>4185</v>
      </c>
      <c r="I166" s="0" t="s">
        <v>4186</v>
      </c>
      <c r="J166" s="0" t="s">
        <v>141</v>
      </c>
      <c r="K166" s="0" t="s">
        <v>4187</v>
      </c>
      <c r="L166" s="0" t="s">
        <v>4187</v>
      </c>
      <c r="M166" s="0" t="s">
        <v>4188</v>
      </c>
      <c r="N166" s="0" t="s">
        <v>4189</v>
      </c>
      <c r="O166" s="0" t="s">
        <v>4190</v>
      </c>
      <c r="P166" s="0" t="s">
        <v>3208</v>
      </c>
      <c r="Q166" s="0" t="s">
        <v>4191</v>
      </c>
      <c r="R166" s="0" t="b">
        <v>0</v>
      </c>
      <c r="S166" s="0" t="s">
        <v>3877</v>
      </c>
    </row>
    <row customHeight="1" ht="11.25">
      <c r="A167" s="1104">
        <v>2655</v>
      </c>
      <c r="B167" s="0" t="s">
        <v>116</v>
      </c>
      <c r="C167" s="0">
        <v>26852793</v>
      </c>
      <c r="D167" s="0" t="s">
        <v>4192</v>
      </c>
      <c r="E167" s="0" t="s">
        <v>4193</v>
      </c>
      <c r="F167" s="0" t="s">
        <v>4194</v>
      </c>
      <c r="G167" s="0" t="s">
        <v>3428</v>
      </c>
      <c r="H167" s="0" t="s">
        <v>4195</v>
      </c>
      <c r="I167" s="0" t="s">
        <v>4196</v>
      </c>
      <c r="J167" s="0" t="s">
        <v>141</v>
      </c>
      <c r="K167" s="0" t="s">
        <v>3883</v>
      </c>
      <c r="L167" s="0" t="s">
        <v>3883</v>
      </c>
      <c r="M167" s="0" t="s">
        <v>4197</v>
      </c>
      <c r="N167" s="0" t="s">
        <v>4198</v>
      </c>
      <c r="O167" s="0" t="s">
        <v>4199</v>
      </c>
      <c r="P167" s="0" t="s">
        <v>3208</v>
      </c>
      <c r="Q167" s="0" t="s">
        <v>158</v>
      </c>
      <c r="R167" s="0" t="b">
        <v>0</v>
      </c>
      <c r="S167" s="0" t="s">
        <v>3877</v>
      </c>
    </row>
    <row customHeight="1" ht="11.25">
      <c r="A168" s="1104">
        <v>2655</v>
      </c>
      <c r="B168" s="0" t="s">
        <v>116</v>
      </c>
      <c r="C168" s="0">
        <v>28141966</v>
      </c>
      <c r="D168" s="0" t="s">
        <v>4200</v>
      </c>
      <c r="E168" s="0" t="s">
        <v>4201</v>
      </c>
      <c r="F168" s="0" t="s">
        <v>4202</v>
      </c>
      <c r="G168" s="0" t="s">
        <v>3294</v>
      </c>
      <c r="H168" s="0" t="s">
        <v>4203</v>
      </c>
      <c r="I168" s="0" t="s">
        <v>4204</v>
      </c>
      <c r="J168" s="0" t="s">
        <v>141</v>
      </c>
      <c r="K168" s="0" t="s">
        <v>4205</v>
      </c>
      <c r="L168" s="0" t="s">
        <v>4206</v>
      </c>
      <c r="M168" s="0" t="s">
        <v>4207</v>
      </c>
      <c r="N168" s="0" t="s">
        <v>4208</v>
      </c>
      <c r="O168" s="0" t="s">
        <v>4209</v>
      </c>
      <c r="P168" s="0" t="s">
        <v>3208</v>
      </c>
      <c r="Q168" s="0" t="s">
        <v>4210</v>
      </c>
      <c r="R168" s="0" t="b">
        <v>0</v>
      </c>
      <c r="S168" s="0" t="s">
        <v>3877</v>
      </c>
    </row>
    <row customHeight="1" ht="11.25">
      <c r="A169" s="1104">
        <v>2655</v>
      </c>
      <c r="B169" s="0" t="s">
        <v>116</v>
      </c>
      <c r="C169" s="0">
        <v>31424033</v>
      </c>
      <c r="D169" s="0" t="s">
        <v>3531</v>
      </c>
      <c r="E169" s="0" t="s">
        <v>3532</v>
      </c>
      <c r="F169" s="0" t="s">
        <v>3533</v>
      </c>
      <c r="G169" s="0" t="s">
        <v>3534</v>
      </c>
      <c r="H169" s="0" t="s">
        <v>3535</v>
      </c>
      <c r="I169" s="0" t="s">
        <v>176</v>
      </c>
      <c r="J169" s="0" t="s">
        <v>141</v>
      </c>
      <c r="K169" s="0" t="s">
        <v>3536</v>
      </c>
      <c r="L169" s="0" t="s">
        <v>3537</v>
      </c>
      <c r="M169" s="0" t="s">
        <v>3183</v>
      </c>
      <c r="N169" s="0" t="s">
        <v>3538</v>
      </c>
      <c r="O169" s="0" t="s">
        <v>3539</v>
      </c>
      <c r="P169" s="0" t="s">
        <v>153</v>
      </c>
      <c r="Q169" s="0" t="s">
        <v>3540</v>
      </c>
      <c r="R169" s="0" t="b">
        <v>0</v>
      </c>
      <c r="S169" s="0" t="s">
        <v>3877</v>
      </c>
    </row>
    <row customHeight="1" ht="11.25">
      <c r="A170" s="1104">
        <v>2655</v>
      </c>
      <c r="B170" s="0" t="s">
        <v>116</v>
      </c>
      <c r="C170" s="0">
        <v>27838991</v>
      </c>
      <c r="D170" s="0" t="s">
        <v>3850</v>
      </c>
      <c r="E170" s="0" t="s">
        <v>3851</v>
      </c>
      <c r="F170" s="0" t="s">
        <v>3852</v>
      </c>
      <c r="G170" s="0" t="s">
        <v>3202</v>
      </c>
      <c r="H170" s="0" t="s">
        <v>3853</v>
      </c>
      <c r="I170" s="0" t="s">
        <v>3854</v>
      </c>
      <c r="J170" s="0" t="s">
        <v>141</v>
      </c>
      <c r="K170" s="0" t="s">
        <v>3855</v>
      </c>
      <c r="L170" s="0" t="s">
        <v>3856</v>
      </c>
      <c r="M170" s="0" t="s">
        <v>3857</v>
      </c>
      <c r="N170" s="0" t="s">
        <v>3858</v>
      </c>
      <c r="O170" s="0" t="s">
        <v>3859</v>
      </c>
      <c r="P170" s="0" t="s">
        <v>3208</v>
      </c>
      <c r="Q170" s="0" t="s">
        <v>176</v>
      </c>
      <c r="R170" s="0" t="b">
        <v>0</v>
      </c>
      <c r="S170" s="0" t="s">
        <v>3877</v>
      </c>
    </row>
    <row customHeight="1" ht="11.25">
      <c r="A171" s="1104">
        <v>2655</v>
      </c>
      <c r="B171" s="0" t="s">
        <v>116</v>
      </c>
      <c r="C171" s="0">
        <v>26356931</v>
      </c>
      <c r="D171" s="0" t="s">
        <v>4211</v>
      </c>
      <c r="E171" s="0" t="s">
        <v>4212</v>
      </c>
      <c r="F171" s="0" t="s">
        <v>4213</v>
      </c>
      <c r="G171" s="0" t="s">
        <v>3485</v>
      </c>
      <c r="H171" s="0" t="s">
        <v>4214</v>
      </c>
      <c r="I171" s="0" t="s">
        <v>4215</v>
      </c>
      <c r="J171" s="0" t="s">
        <v>141</v>
      </c>
      <c r="K171" s="0" t="s">
        <v>4216</v>
      </c>
      <c r="L171" s="0" t="s">
        <v>4216</v>
      </c>
      <c r="M171" s="0" t="s">
        <v>4217</v>
      </c>
      <c r="N171" s="0" t="s">
        <v>4218</v>
      </c>
      <c r="O171" s="0" t="s">
        <v>4219</v>
      </c>
      <c r="P171" s="0" t="s">
        <v>153</v>
      </c>
      <c r="Q171" s="0" t="s">
        <v>158</v>
      </c>
      <c r="R171" s="0" t="b">
        <v>1</v>
      </c>
      <c r="S171" s="0" t="s">
        <v>3877</v>
      </c>
    </row>
    <row customHeight="1" ht="11.25">
      <c r="A172" s="1104">
        <v>2655</v>
      </c>
      <c r="B172" s="0" t="s">
        <v>116</v>
      </c>
      <c r="C172" s="0">
        <v>28151808</v>
      </c>
      <c r="D172" s="0" t="s">
        <v>3550</v>
      </c>
      <c r="E172" s="0" t="s">
        <v>3551</v>
      </c>
      <c r="F172" s="0" t="s">
        <v>3552</v>
      </c>
      <c r="G172" s="0" t="s">
        <v>3247</v>
      </c>
      <c r="H172" s="0" t="s">
        <v>3553</v>
      </c>
      <c r="I172" s="0" t="s">
        <v>3554</v>
      </c>
      <c r="J172" s="0" t="s">
        <v>141</v>
      </c>
      <c r="K172" s="0" t="s">
        <v>3555</v>
      </c>
      <c r="L172" s="0" t="s">
        <v>3556</v>
      </c>
      <c r="M172" s="0" t="s">
        <v>3557</v>
      </c>
      <c r="N172" s="0" t="s">
        <v>3558</v>
      </c>
      <c r="O172" s="0" t="s">
        <v>3559</v>
      </c>
      <c r="P172" s="0" t="s">
        <v>3208</v>
      </c>
      <c r="Q172" s="0" t="s">
        <v>176</v>
      </c>
      <c r="R172" s="0" t="b">
        <v>1</v>
      </c>
      <c r="S172" s="0" t="s">
        <v>3877</v>
      </c>
    </row>
    <row customHeight="1" ht="11.25">
      <c r="A173" s="1104">
        <v>2655</v>
      </c>
      <c r="B173" s="0" t="s">
        <v>116</v>
      </c>
      <c r="C173" s="0">
        <v>31739633</v>
      </c>
      <c r="D173" s="0" t="s">
        <v>3560</v>
      </c>
      <c r="E173" s="0" t="s">
        <v>3561</v>
      </c>
      <c r="F173" s="0" t="s">
        <v>3562</v>
      </c>
      <c r="G173" s="0" t="s">
        <v>3563</v>
      </c>
      <c r="H173" s="0" t="s">
        <v>3564</v>
      </c>
      <c r="I173" s="0" t="s">
        <v>3565</v>
      </c>
      <c r="K173" s="0" t="s">
        <v>3566</v>
      </c>
      <c r="L173" s="0" t="s">
        <v>3566</v>
      </c>
      <c r="M173" s="0" t="s">
        <v>3567</v>
      </c>
      <c r="N173" s="0" t="s">
        <v>3568</v>
      </c>
      <c r="O173" s="0" t="s">
        <v>3569</v>
      </c>
      <c r="P173" s="0" t="s">
        <v>3334</v>
      </c>
      <c r="Q173" s="0" t="s">
        <v>176</v>
      </c>
      <c r="R173" s="0" t="b">
        <v>0</v>
      </c>
      <c r="S173" s="0" t="s">
        <v>3877</v>
      </c>
    </row>
    <row customHeight="1" ht="11.25">
      <c r="A174" s="1104">
        <v>2655</v>
      </c>
      <c r="B174" s="0" t="s">
        <v>116</v>
      </c>
      <c r="C174" s="0">
        <v>30433806</v>
      </c>
      <c r="D174" s="0" t="s">
        <v>4220</v>
      </c>
      <c r="E174" s="0" t="s">
        <v>4221</v>
      </c>
      <c r="F174" s="0" t="s">
        <v>4222</v>
      </c>
      <c r="G174" s="0" t="s">
        <v>3396</v>
      </c>
      <c r="H174" s="0" t="s">
        <v>4223</v>
      </c>
      <c r="I174" s="0" t="s">
        <v>4224</v>
      </c>
      <c r="J174" s="0" t="s">
        <v>141</v>
      </c>
      <c r="K174" s="0" t="s">
        <v>4225</v>
      </c>
      <c r="L174" s="0" t="s">
        <v>4225</v>
      </c>
      <c r="M174" s="0" t="s">
        <v>4226</v>
      </c>
      <c r="N174" s="0" t="s">
        <v>4227</v>
      </c>
      <c r="O174" s="0" t="s">
        <v>4228</v>
      </c>
      <c r="P174" s="0" t="s">
        <v>153</v>
      </c>
      <c r="Q174" s="0" t="s">
        <v>158</v>
      </c>
      <c r="R174" s="0" t="b">
        <v>0</v>
      </c>
      <c r="S174" s="0" t="s">
        <v>3877</v>
      </c>
    </row>
    <row customHeight="1" ht="11.25">
      <c r="A175" s="1104">
        <v>2655</v>
      </c>
      <c r="B175" s="0" t="s">
        <v>116</v>
      </c>
      <c r="C175" s="0">
        <v>31743966</v>
      </c>
      <c r="D175" s="0" t="s">
        <v>4229</v>
      </c>
      <c r="E175" s="0" t="s">
        <v>4230</v>
      </c>
      <c r="F175" s="0" t="s">
        <v>4231</v>
      </c>
      <c r="G175" s="0" t="s">
        <v>3178</v>
      </c>
      <c r="H175" s="0" t="s">
        <v>4232</v>
      </c>
      <c r="I175" s="0" t="s">
        <v>4233</v>
      </c>
      <c r="K175" s="0" t="s">
        <v>4234</v>
      </c>
      <c r="L175" s="0" t="s">
        <v>4234</v>
      </c>
      <c r="M175" s="0" t="s">
        <v>4235</v>
      </c>
      <c r="N175" s="0" t="s">
        <v>4236</v>
      </c>
      <c r="O175" s="0" t="s">
        <v>4237</v>
      </c>
      <c r="P175" s="0" t="s">
        <v>3208</v>
      </c>
      <c r="Q175" s="0" t="s">
        <v>4238</v>
      </c>
      <c r="R175" s="0" t="b">
        <v>1</v>
      </c>
      <c r="S175" s="0" t="s">
        <v>3877</v>
      </c>
    </row>
    <row customHeight="1" ht="11.25">
      <c r="A176" s="1104">
        <v>2655</v>
      </c>
      <c r="B176" s="0" t="s">
        <v>116</v>
      </c>
      <c r="C176" s="0">
        <v>30874454</v>
      </c>
      <c r="D176" s="0" t="s">
        <v>4239</v>
      </c>
      <c r="E176" s="0" t="s">
        <v>4240</v>
      </c>
      <c r="F176" s="0" t="s">
        <v>4241</v>
      </c>
      <c r="G176" s="0" t="s">
        <v>3534</v>
      </c>
      <c r="H176" s="0" t="s">
        <v>4242</v>
      </c>
      <c r="I176" s="0" t="s">
        <v>4243</v>
      </c>
      <c r="J176" s="0" t="s">
        <v>141</v>
      </c>
      <c r="K176" s="0" t="s">
        <v>4244</v>
      </c>
      <c r="L176" s="0" t="s">
        <v>4245</v>
      </c>
      <c r="M176" s="0" t="s">
        <v>4246</v>
      </c>
      <c r="N176" s="0" t="s">
        <v>4208</v>
      </c>
      <c r="O176" s="0" t="s">
        <v>4247</v>
      </c>
      <c r="P176" s="0" t="s">
        <v>3334</v>
      </c>
      <c r="Q176" s="0" t="s">
        <v>4248</v>
      </c>
      <c r="R176" s="0" t="b">
        <v>0</v>
      </c>
      <c r="S176" s="0" t="s">
        <v>3877</v>
      </c>
    </row>
    <row customHeight="1" ht="11.25">
      <c r="A177" s="1104">
        <v>2655</v>
      </c>
      <c r="B177" s="0" t="s">
        <v>116</v>
      </c>
      <c r="C177" s="0">
        <v>26356987</v>
      </c>
      <c r="D177" s="0" t="s">
        <v>3580</v>
      </c>
      <c r="E177" s="0" t="s">
        <v>3581</v>
      </c>
      <c r="F177" s="0" t="s">
        <v>3582</v>
      </c>
      <c r="G177" s="0" t="s">
        <v>3583</v>
      </c>
      <c r="H177" s="0" t="s">
        <v>3584</v>
      </c>
      <c r="I177" s="0" t="s">
        <v>3585</v>
      </c>
      <c r="J177" s="0" t="s">
        <v>141</v>
      </c>
      <c r="K177" s="0" t="s">
        <v>3586</v>
      </c>
      <c r="L177" s="0" t="s">
        <v>3586</v>
      </c>
      <c r="M177" s="0" t="s">
        <v>3587</v>
      </c>
      <c r="N177" s="0" t="s">
        <v>3588</v>
      </c>
      <c r="O177" s="0" t="s">
        <v>3589</v>
      </c>
      <c r="P177" s="0" t="s">
        <v>3334</v>
      </c>
      <c r="Q177" s="0" t="s">
        <v>3590</v>
      </c>
      <c r="R177" s="0" t="b">
        <v>0</v>
      </c>
      <c r="S177" s="0" t="s">
        <v>3877</v>
      </c>
    </row>
    <row customHeight="1" ht="11.25">
      <c r="A178" s="1104">
        <v>2655</v>
      </c>
      <c r="B178" s="0" t="s">
        <v>116</v>
      </c>
      <c r="C178" s="0">
        <v>30856223</v>
      </c>
      <c r="D178" s="0" t="s">
        <v>4249</v>
      </c>
      <c r="E178" s="0" t="s">
        <v>4250</v>
      </c>
      <c r="F178" s="0" t="s">
        <v>4251</v>
      </c>
      <c r="G178" s="0" t="s">
        <v>3202</v>
      </c>
      <c r="H178" s="0" t="s">
        <v>4252</v>
      </c>
      <c r="I178" s="0" t="s">
        <v>4253</v>
      </c>
      <c r="J178" s="0" t="s">
        <v>141</v>
      </c>
      <c r="K178" s="0" t="s">
        <v>4254</v>
      </c>
      <c r="L178" s="0" t="s">
        <v>4254</v>
      </c>
      <c r="M178" s="0" t="s">
        <v>4255</v>
      </c>
      <c r="N178" s="0" t="s">
        <v>4256</v>
      </c>
      <c r="O178" s="0" t="s">
        <v>4257</v>
      </c>
      <c r="P178" s="0" t="s">
        <v>3208</v>
      </c>
      <c r="Q178" s="0" t="s">
        <v>4258</v>
      </c>
      <c r="R178" s="0" t="b">
        <v>0</v>
      </c>
      <c r="S178" s="0" t="s">
        <v>3877</v>
      </c>
    </row>
    <row customHeight="1" ht="11.25">
      <c r="A179" s="1104">
        <v>2655</v>
      </c>
      <c r="B179" s="0" t="s">
        <v>116</v>
      </c>
      <c r="C179" s="0">
        <v>31373026</v>
      </c>
      <c r="D179" s="0" t="s">
        <v>4249</v>
      </c>
      <c r="E179" s="0" t="s">
        <v>4250</v>
      </c>
      <c r="F179" s="0" t="s">
        <v>4259</v>
      </c>
      <c r="G179" s="0" t="s">
        <v>3563</v>
      </c>
      <c r="H179" s="0" t="s">
        <v>4260</v>
      </c>
      <c r="I179" s="0" t="s">
        <v>4261</v>
      </c>
      <c r="J179" s="0" t="s">
        <v>141</v>
      </c>
      <c r="K179" s="0" t="s">
        <v>4262</v>
      </c>
      <c r="L179" s="0" t="s">
        <v>4263</v>
      </c>
      <c r="M179" s="0" t="s">
        <v>4264</v>
      </c>
      <c r="N179" s="0" t="s">
        <v>4265</v>
      </c>
      <c r="O179" s="0" t="s">
        <v>4266</v>
      </c>
      <c r="P179" s="0" t="s">
        <v>4267</v>
      </c>
      <c r="Q179" s="0" t="s">
        <v>4268</v>
      </c>
      <c r="R179" s="0" t="b">
        <v>1</v>
      </c>
      <c r="S179" s="0" t="s">
        <v>3877</v>
      </c>
    </row>
    <row customHeight="1" ht="11.25">
      <c r="A180" s="1104">
        <v>2655</v>
      </c>
      <c r="B180" s="0" t="s">
        <v>116</v>
      </c>
      <c r="C180" s="0">
        <v>31579609</v>
      </c>
      <c r="D180" s="0" t="s">
        <v>4269</v>
      </c>
      <c r="E180" s="0" t="s">
        <v>4270</v>
      </c>
      <c r="F180" s="0" t="s">
        <v>4271</v>
      </c>
      <c r="G180" s="0" t="s">
        <v>3247</v>
      </c>
      <c r="H180" s="0" t="s">
        <v>4272</v>
      </c>
      <c r="I180" s="0" t="s">
        <v>4273</v>
      </c>
      <c r="K180" s="0" t="s">
        <v>4274</v>
      </c>
      <c r="L180" s="0" t="s">
        <v>4274</v>
      </c>
      <c r="M180" s="0" t="s">
        <v>4275</v>
      </c>
      <c r="N180" s="0" t="s">
        <v>4276</v>
      </c>
      <c r="O180" s="0" t="s">
        <v>4277</v>
      </c>
      <c r="P180" s="0" t="s">
        <v>3208</v>
      </c>
      <c r="Q180" s="0" t="s">
        <v>176</v>
      </c>
      <c r="R180" s="0" t="b">
        <v>1</v>
      </c>
      <c r="S180" s="0" t="s">
        <v>3877</v>
      </c>
    </row>
    <row customHeight="1" ht="11.25">
      <c r="A181" s="1104">
        <v>2655</v>
      </c>
      <c r="B181" s="0" t="s">
        <v>116</v>
      </c>
      <c r="C181" s="0">
        <v>26356891</v>
      </c>
      <c r="D181" s="0" t="s">
        <v>3591</v>
      </c>
      <c r="E181" s="0" t="s">
        <v>3592</v>
      </c>
      <c r="F181" s="0" t="s">
        <v>3593</v>
      </c>
      <c r="G181" s="0" t="s">
        <v>3407</v>
      </c>
      <c r="H181" s="0" t="s">
        <v>3594</v>
      </c>
      <c r="I181" s="0" t="s">
        <v>3595</v>
      </c>
      <c r="J181" s="0" t="s">
        <v>141</v>
      </c>
      <c r="K181" s="0" t="s">
        <v>3596</v>
      </c>
      <c r="L181" s="0" t="s">
        <v>3596</v>
      </c>
      <c r="M181" s="0" t="s">
        <v>3597</v>
      </c>
      <c r="N181" s="0" t="s">
        <v>3598</v>
      </c>
      <c r="O181" s="0" t="s">
        <v>3599</v>
      </c>
      <c r="P181" s="0" t="s">
        <v>153</v>
      </c>
      <c r="Q181" s="0" t="s">
        <v>176</v>
      </c>
      <c r="R181" s="0" t="b">
        <v>0</v>
      </c>
      <c r="S181" s="0" t="s">
        <v>3877</v>
      </c>
    </row>
    <row customHeight="1" ht="11.25">
      <c r="A182" s="1104">
        <v>2655</v>
      </c>
      <c r="B182" s="0" t="s">
        <v>116</v>
      </c>
      <c r="C182" s="0">
        <v>27566835</v>
      </c>
      <c r="D182" s="0" t="s">
        <v>4278</v>
      </c>
      <c r="E182" s="0" t="s">
        <v>4279</v>
      </c>
      <c r="F182" s="0" t="s">
        <v>4280</v>
      </c>
      <c r="G182" s="0" t="s">
        <v>3407</v>
      </c>
      <c r="H182" s="0" t="s">
        <v>4281</v>
      </c>
      <c r="I182" s="0" t="s">
        <v>4282</v>
      </c>
      <c r="J182" s="0" t="s">
        <v>141</v>
      </c>
      <c r="K182" s="0" t="s">
        <v>4283</v>
      </c>
      <c r="L182" s="0" t="s">
        <v>4283</v>
      </c>
      <c r="M182" s="0" t="s">
        <v>4284</v>
      </c>
      <c r="N182" s="0" t="s">
        <v>3423</v>
      </c>
      <c r="O182" s="0" t="s">
        <v>4285</v>
      </c>
      <c r="P182" s="0" t="s">
        <v>153</v>
      </c>
      <c r="Q182" s="0" t="s">
        <v>158</v>
      </c>
      <c r="R182" s="0" t="b">
        <v>0</v>
      </c>
      <c r="S182" s="0" t="s">
        <v>3877</v>
      </c>
    </row>
    <row customHeight="1" ht="11.25">
      <c r="A183" s="1104">
        <v>2655</v>
      </c>
      <c r="B183" s="0" t="s">
        <v>116</v>
      </c>
      <c r="C183" s="0">
        <v>31229342</v>
      </c>
      <c r="D183" s="0" t="s">
        <v>4286</v>
      </c>
      <c r="E183" s="0" t="s">
        <v>4287</v>
      </c>
      <c r="F183" s="0" t="s">
        <v>4288</v>
      </c>
      <c r="G183" s="0" t="s">
        <v>3428</v>
      </c>
      <c r="H183" s="0" t="s">
        <v>4289</v>
      </c>
      <c r="I183" s="0" t="s">
        <v>4290</v>
      </c>
      <c r="J183" s="0" t="s">
        <v>141</v>
      </c>
      <c r="K183" s="0" t="s">
        <v>4291</v>
      </c>
      <c r="L183" s="0" t="s">
        <v>4291</v>
      </c>
      <c r="M183" s="0" t="s">
        <v>4292</v>
      </c>
      <c r="N183" s="0" t="s">
        <v>4293</v>
      </c>
      <c r="O183" s="0" t="s">
        <v>4294</v>
      </c>
      <c r="P183" s="0" t="s">
        <v>3208</v>
      </c>
      <c r="Q183" s="0" t="s">
        <v>176</v>
      </c>
      <c r="R183" s="0" t="b">
        <v>0</v>
      </c>
      <c r="S183" s="0" t="s">
        <v>3877</v>
      </c>
    </row>
    <row customHeight="1" ht="11.25">
      <c r="A184" s="1104">
        <v>2655</v>
      </c>
      <c r="B184" s="0" t="s">
        <v>116</v>
      </c>
      <c r="C184" s="0">
        <v>31690080</v>
      </c>
      <c r="D184" s="0" t="s">
        <v>4295</v>
      </c>
      <c r="E184" s="0" t="s">
        <v>4296</v>
      </c>
      <c r="F184" s="0" t="s">
        <v>4297</v>
      </c>
      <c r="G184" s="0" t="s">
        <v>3428</v>
      </c>
      <c r="H184" s="0" t="s">
        <v>4298</v>
      </c>
      <c r="I184" s="0" t="s">
        <v>4299</v>
      </c>
      <c r="K184" s="0" t="s">
        <v>4300</v>
      </c>
      <c r="L184" s="0" t="s">
        <v>4300</v>
      </c>
      <c r="M184" s="0" t="s">
        <v>4301</v>
      </c>
      <c r="N184" s="0" t="s">
        <v>4302</v>
      </c>
      <c r="O184" s="0" t="s">
        <v>4303</v>
      </c>
      <c r="P184" s="0" t="s">
        <v>153</v>
      </c>
      <c r="Q184" s="0" t="s">
        <v>176</v>
      </c>
      <c r="R184" s="0" t="b">
        <v>1</v>
      </c>
      <c r="S184" s="0" t="s">
        <v>3877</v>
      </c>
    </row>
    <row customHeight="1" ht="11.25">
      <c r="A185" s="1104">
        <v>2655</v>
      </c>
      <c r="B185" s="0" t="s">
        <v>116</v>
      </c>
      <c r="C185" s="0">
        <v>31539720</v>
      </c>
      <c r="D185" s="0" t="s">
        <v>4295</v>
      </c>
      <c r="E185" s="0" t="s">
        <v>4304</v>
      </c>
      <c r="F185" s="0" t="s">
        <v>4305</v>
      </c>
      <c r="G185" s="0" t="s">
        <v>3428</v>
      </c>
      <c r="H185" s="0" t="s">
        <v>4306</v>
      </c>
      <c r="I185" s="0" t="s">
        <v>4307</v>
      </c>
      <c r="K185" s="0" t="s">
        <v>4308</v>
      </c>
      <c r="L185" s="0" t="s">
        <v>4308</v>
      </c>
      <c r="M185" s="0" t="s">
        <v>4309</v>
      </c>
      <c r="N185" s="0" t="s">
        <v>4310</v>
      </c>
      <c r="O185" s="0" t="s">
        <v>4311</v>
      </c>
      <c r="P185" s="0" t="s">
        <v>3208</v>
      </c>
      <c r="Q185" s="0" t="s">
        <v>4312</v>
      </c>
      <c r="R185" s="0" t="b">
        <v>0</v>
      </c>
      <c r="S185" s="0" t="s">
        <v>3877</v>
      </c>
    </row>
    <row customHeight="1" ht="11.25">
      <c r="A186" s="1104">
        <v>2655</v>
      </c>
      <c r="B186" s="0" t="s">
        <v>116</v>
      </c>
      <c r="C186" s="0">
        <v>30872315</v>
      </c>
      <c r="D186" s="0" t="s">
        <v>4313</v>
      </c>
      <c r="E186" s="0" t="s">
        <v>4314</v>
      </c>
      <c r="F186" s="0" t="s">
        <v>4315</v>
      </c>
      <c r="G186" s="0" t="s">
        <v>3178</v>
      </c>
      <c r="H186" s="0" t="s">
        <v>4316</v>
      </c>
      <c r="I186" s="0" t="s">
        <v>4317</v>
      </c>
      <c r="J186" s="0" t="s">
        <v>141</v>
      </c>
      <c r="K186" s="0" t="s">
        <v>4318</v>
      </c>
      <c r="L186" s="0" t="s">
        <v>4318</v>
      </c>
      <c r="M186" s="0" t="s">
        <v>4319</v>
      </c>
      <c r="N186" s="0" t="s">
        <v>4320</v>
      </c>
      <c r="O186" s="0" t="s">
        <v>4321</v>
      </c>
      <c r="P186" s="0" t="s">
        <v>153</v>
      </c>
      <c r="Q186" s="0" t="s">
        <v>176</v>
      </c>
      <c r="R186" s="0" t="b">
        <v>0</v>
      </c>
      <c r="S186" s="0" t="s">
        <v>3877</v>
      </c>
    </row>
    <row customHeight="1" ht="11.25">
      <c r="A187" s="1104">
        <v>2655</v>
      </c>
      <c r="B187" s="0" t="s">
        <v>116</v>
      </c>
      <c r="C187" s="0">
        <v>30856253</v>
      </c>
      <c r="D187" s="0" t="s">
        <v>4322</v>
      </c>
      <c r="E187" s="0" t="s">
        <v>4323</v>
      </c>
      <c r="F187" s="0" t="s">
        <v>4324</v>
      </c>
      <c r="G187" s="0" t="s">
        <v>3247</v>
      </c>
      <c r="H187" s="0" t="s">
        <v>4325</v>
      </c>
      <c r="I187" s="0" t="s">
        <v>4326</v>
      </c>
      <c r="J187" s="0" t="s">
        <v>141</v>
      </c>
      <c r="K187" s="0" t="s">
        <v>4327</v>
      </c>
      <c r="L187" s="0" t="s">
        <v>4327</v>
      </c>
      <c r="M187" s="0" t="s">
        <v>4328</v>
      </c>
      <c r="N187" s="0" t="s">
        <v>4329</v>
      </c>
      <c r="O187" s="0" t="s">
        <v>4330</v>
      </c>
      <c r="P187" s="0" t="s">
        <v>153</v>
      </c>
      <c r="Q187" s="0" t="s">
        <v>176</v>
      </c>
      <c r="R187" s="0" t="b">
        <v>0</v>
      </c>
      <c r="S187" s="0" t="s">
        <v>3877</v>
      </c>
    </row>
    <row customHeight="1" ht="11.25">
      <c r="A188" s="1104">
        <v>2655</v>
      </c>
      <c r="B188" s="0" t="s">
        <v>116</v>
      </c>
      <c r="C188" s="0">
        <v>33000042</v>
      </c>
      <c r="D188" s="0" t="s">
        <v>4331</v>
      </c>
      <c r="E188" s="0" t="s">
        <v>4332</v>
      </c>
      <c r="F188" s="0" t="s">
        <v>4333</v>
      </c>
      <c r="G188" s="0" t="s">
        <v>3514</v>
      </c>
      <c r="H188" s="0" t="s">
        <v>4334</v>
      </c>
      <c r="I188" s="0" t="s">
        <v>4335</v>
      </c>
      <c r="K188" s="0" t="s">
        <v>4336</v>
      </c>
      <c r="L188" s="0" t="s">
        <v>4337</v>
      </c>
      <c r="M188" s="0" t="s">
        <v>4338</v>
      </c>
      <c r="N188" s="0" t="s">
        <v>4339</v>
      </c>
      <c r="O188" s="0" t="s">
        <v>3521</v>
      </c>
      <c r="P188" s="0" t="s">
        <v>3323</v>
      </c>
      <c r="Q188" s="0" t="s">
        <v>176</v>
      </c>
      <c r="R188" s="0" t="b">
        <v>0</v>
      </c>
      <c r="S188" s="0" t="s">
        <v>3877</v>
      </c>
    </row>
    <row customHeight="1" ht="11.25">
      <c r="A189" s="1104">
        <v>2655</v>
      </c>
      <c r="B189" s="0" t="s">
        <v>116</v>
      </c>
      <c r="C189" s="0">
        <v>26517842</v>
      </c>
      <c r="D189" s="0" t="s">
        <v>4340</v>
      </c>
      <c r="E189" s="0" t="s">
        <v>4341</v>
      </c>
      <c r="F189" s="0" t="s">
        <v>4342</v>
      </c>
      <c r="G189" s="0" t="s">
        <v>3407</v>
      </c>
      <c r="H189" s="0" t="s">
        <v>4343</v>
      </c>
      <c r="I189" s="0" t="s">
        <v>4344</v>
      </c>
      <c r="J189" s="0" t="s">
        <v>141</v>
      </c>
      <c r="K189" s="0" t="s">
        <v>4345</v>
      </c>
      <c r="L189" s="0" t="s">
        <v>3182</v>
      </c>
      <c r="M189" s="0" t="s">
        <v>4346</v>
      </c>
      <c r="N189" s="0" t="s">
        <v>4347</v>
      </c>
      <c r="O189" s="0" t="s">
        <v>4348</v>
      </c>
      <c r="P189" s="0" t="s">
        <v>3208</v>
      </c>
      <c r="Q189" s="0" t="s">
        <v>176</v>
      </c>
      <c r="R189" s="0" t="b">
        <v>0</v>
      </c>
      <c r="S189" s="0" t="s">
        <v>3877</v>
      </c>
    </row>
    <row customHeight="1" ht="11.25">
      <c r="A190" s="1104">
        <v>2655</v>
      </c>
      <c r="B190" s="0" t="s">
        <v>116</v>
      </c>
      <c r="C190" s="0">
        <v>26356937</v>
      </c>
      <c r="D190" s="0" t="s">
        <v>3608</v>
      </c>
      <c r="E190" s="0" t="s">
        <v>3609</v>
      </c>
      <c r="F190" s="0" t="s">
        <v>3610</v>
      </c>
      <c r="G190" s="0" t="s">
        <v>3485</v>
      </c>
      <c r="H190" s="0" t="s">
        <v>3611</v>
      </c>
      <c r="I190" s="0" t="s">
        <v>3612</v>
      </c>
      <c r="J190" s="0" t="s">
        <v>141</v>
      </c>
      <c r="K190" s="0" t="s">
        <v>3613</v>
      </c>
      <c r="L190" s="0" t="s">
        <v>3613</v>
      </c>
      <c r="M190" s="0" t="s">
        <v>3614</v>
      </c>
      <c r="N190" s="0" t="s">
        <v>3615</v>
      </c>
      <c r="O190" s="0" t="s">
        <v>3616</v>
      </c>
      <c r="P190" s="0" t="s">
        <v>3334</v>
      </c>
      <c r="Q190" s="0" t="s">
        <v>3617</v>
      </c>
      <c r="R190" s="0" t="b">
        <v>0</v>
      </c>
      <c r="S190" s="0" t="s">
        <v>3877</v>
      </c>
    </row>
    <row customHeight="1" ht="11.25">
      <c r="A191" s="1104">
        <v>2655</v>
      </c>
      <c r="B191" s="0" t="s">
        <v>116</v>
      </c>
      <c r="C191" s="0">
        <v>33000834</v>
      </c>
      <c r="D191" s="0" t="s">
        <v>3618</v>
      </c>
      <c r="E191" s="0" t="s">
        <v>3619</v>
      </c>
      <c r="F191" s="0" t="s">
        <v>3620</v>
      </c>
      <c r="G191" s="0" t="s">
        <v>3316</v>
      </c>
      <c r="H191" s="0" t="s">
        <v>3621</v>
      </c>
      <c r="I191" s="0" t="s">
        <v>3622</v>
      </c>
      <c r="K191" s="0" t="s">
        <v>3623</v>
      </c>
      <c r="L191" s="0" t="s">
        <v>3623</v>
      </c>
      <c r="M191" s="0" t="s">
        <v>3624</v>
      </c>
      <c r="N191" s="0" t="s">
        <v>3373</v>
      </c>
      <c r="O191" s="0" t="s">
        <v>3625</v>
      </c>
      <c r="P191" s="0" t="s">
        <v>153</v>
      </c>
      <c r="Q191" s="0" t="s">
        <v>3626</v>
      </c>
      <c r="R191" s="0" t="b">
        <v>0</v>
      </c>
      <c r="S191" s="0" t="s">
        <v>3877</v>
      </c>
    </row>
    <row customHeight="1" ht="11.25">
      <c r="A192" s="1104">
        <v>2655</v>
      </c>
      <c r="B192" s="0" t="s">
        <v>116</v>
      </c>
      <c r="C192" s="0">
        <v>31473621</v>
      </c>
      <c r="D192" s="0" t="s">
        <v>4349</v>
      </c>
      <c r="E192" s="0" t="s">
        <v>4350</v>
      </c>
      <c r="F192" s="0" t="s">
        <v>4351</v>
      </c>
      <c r="G192" s="0" t="s">
        <v>3316</v>
      </c>
      <c r="H192" s="0" t="s">
        <v>4352</v>
      </c>
      <c r="I192" s="0" t="s">
        <v>4353</v>
      </c>
      <c r="J192" s="0" t="s">
        <v>141</v>
      </c>
      <c r="K192" s="0" t="s">
        <v>4354</v>
      </c>
      <c r="L192" s="0" t="s">
        <v>4354</v>
      </c>
      <c r="M192" s="0" t="s">
        <v>4355</v>
      </c>
      <c r="N192" s="0" t="s">
        <v>4356</v>
      </c>
      <c r="O192" s="0" t="s">
        <v>4357</v>
      </c>
      <c r="P192" s="0" t="s">
        <v>3208</v>
      </c>
      <c r="Q192" s="0" t="s">
        <v>4358</v>
      </c>
      <c r="R192" s="0" t="b">
        <v>0</v>
      </c>
      <c r="S192" s="0" t="s">
        <v>3877</v>
      </c>
    </row>
    <row customHeight="1" ht="11.25">
      <c r="A193" s="1104">
        <v>2655</v>
      </c>
      <c r="B193" s="0" t="s">
        <v>116</v>
      </c>
      <c r="C193" s="0">
        <v>31004851</v>
      </c>
      <c r="D193" s="0" t="s">
        <v>4359</v>
      </c>
      <c r="E193" s="0" t="s">
        <v>4360</v>
      </c>
      <c r="F193" s="0" t="s">
        <v>4361</v>
      </c>
      <c r="G193" s="0" t="s">
        <v>3202</v>
      </c>
      <c r="H193" s="0" t="s">
        <v>4362</v>
      </c>
      <c r="I193" s="0" t="s">
        <v>4363</v>
      </c>
      <c r="J193" s="0" t="s">
        <v>141</v>
      </c>
      <c r="K193" s="0" t="s">
        <v>4364</v>
      </c>
      <c r="L193" s="0" t="s">
        <v>4365</v>
      </c>
      <c r="M193" s="0" t="s">
        <v>4366</v>
      </c>
      <c r="N193" s="0" t="s">
        <v>4367</v>
      </c>
      <c r="O193" s="0" t="s">
        <v>4368</v>
      </c>
      <c r="P193" s="0" t="s">
        <v>3208</v>
      </c>
      <c r="Q193" s="0" t="s">
        <v>4369</v>
      </c>
      <c r="R193" s="0" t="b">
        <v>0</v>
      </c>
      <c r="S193" s="0" t="s">
        <v>3877</v>
      </c>
    </row>
    <row customHeight="1" ht="11.25">
      <c r="A194" s="1104">
        <v>2655</v>
      </c>
      <c r="B194" s="0" t="s">
        <v>116</v>
      </c>
      <c r="C194" s="0">
        <v>26356976</v>
      </c>
      <c r="D194" s="0" t="s">
        <v>4370</v>
      </c>
      <c r="E194" s="0" t="s">
        <v>4371</v>
      </c>
      <c r="F194" s="0" t="s">
        <v>4372</v>
      </c>
      <c r="G194" s="0" t="s">
        <v>3573</v>
      </c>
      <c r="H194" s="0" t="s">
        <v>4373</v>
      </c>
      <c r="I194" s="0" t="s">
        <v>4374</v>
      </c>
      <c r="J194" s="0" t="s">
        <v>141</v>
      </c>
      <c r="K194" s="0" t="s">
        <v>4375</v>
      </c>
      <c r="L194" s="0" t="s">
        <v>4375</v>
      </c>
      <c r="M194" s="0" t="s">
        <v>4376</v>
      </c>
      <c r="N194" s="0" t="s">
        <v>4377</v>
      </c>
      <c r="O194" s="0" t="s">
        <v>4378</v>
      </c>
      <c r="P194" s="0" t="s">
        <v>3221</v>
      </c>
      <c r="Q194" s="0" t="s">
        <v>4379</v>
      </c>
      <c r="R194" s="0" t="b">
        <v>0</v>
      </c>
      <c r="S194" s="0" t="s">
        <v>3877</v>
      </c>
    </row>
    <row customHeight="1" ht="11.25">
      <c r="A195" s="1104">
        <v>2655</v>
      </c>
      <c r="B195" s="0" t="s">
        <v>116</v>
      </c>
      <c r="C195" s="0">
        <v>28274482</v>
      </c>
      <c r="D195" s="0" t="s">
        <v>4380</v>
      </c>
      <c r="E195" s="0" t="s">
        <v>4381</v>
      </c>
      <c r="F195" s="0" t="s">
        <v>4382</v>
      </c>
      <c r="G195" s="0" t="s">
        <v>3247</v>
      </c>
      <c r="H195" s="0" t="s">
        <v>4383</v>
      </c>
      <c r="I195" s="0" t="s">
        <v>4384</v>
      </c>
      <c r="J195" s="0" t="s">
        <v>141</v>
      </c>
      <c r="K195" s="0" t="s">
        <v>4385</v>
      </c>
      <c r="L195" s="0" t="s">
        <v>4386</v>
      </c>
      <c r="M195" s="0" t="s">
        <v>3557</v>
      </c>
      <c r="N195" s="0" t="s">
        <v>3558</v>
      </c>
      <c r="O195" s="0" t="s">
        <v>3559</v>
      </c>
      <c r="P195" s="0" t="s">
        <v>153</v>
      </c>
      <c r="Q195" s="0" t="s">
        <v>176</v>
      </c>
      <c r="R195" s="0" t="b">
        <v>0</v>
      </c>
      <c r="S195" s="0" t="s">
        <v>3877</v>
      </c>
    </row>
    <row customHeight="1" ht="11.25">
      <c r="A196" s="1104">
        <v>2655</v>
      </c>
      <c r="B196" s="0" t="s">
        <v>116</v>
      </c>
      <c r="C196" s="0">
        <v>31224454</v>
      </c>
      <c r="D196" s="0" t="s">
        <v>4387</v>
      </c>
      <c r="E196" s="0" t="s">
        <v>4388</v>
      </c>
      <c r="F196" s="0" t="s">
        <v>4389</v>
      </c>
      <c r="G196" s="0" t="s">
        <v>3202</v>
      </c>
      <c r="H196" s="0" t="s">
        <v>4390</v>
      </c>
      <c r="I196" s="0" t="s">
        <v>4391</v>
      </c>
      <c r="J196" s="0" t="s">
        <v>141</v>
      </c>
      <c r="K196" s="0" t="s">
        <v>4392</v>
      </c>
      <c r="L196" s="0" t="s">
        <v>4392</v>
      </c>
      <c r="M196" s="0" t="s">
        <v>4393</v>
      </c>
      <c r="N196" s="0" t="s">
        <v>4394</v>
      </c>
      <c r="O196" s="0" t="s">
        <v>4395</v>
      </c>
      <c r="P196" s="0" t="s">
        <v>3208</v>
      </c>
      <c r="Q196" s="0" t="s">
        <v>176</v>
      </c>
      <c r="R196" s="0" t="b">
        <v>0</v>
      </c>
      <c r="S196" s="0" t="s">
        <v>3877</v>
      </c>
    </row>
    <row customHeight="1" ht="11.25">
      <c r="A197" s="1104">
        <v>2655</v>
      </c>
      <c r="B197" s="0" t="s">
        <v>116</v>
      </c>
      <c r="C197" s="0">
        <v>27997410</v>
      </c>
      <c r="D197" s="0" t="s">
        <v>4396</v>
      </c>
      <c r="E197" s="0" t="s">
        <v>4397</v>
      </c>
      <c r="F197" s="0" t="s">
        <v>4398</v>
      </c>
      <c r="G197" s="0" t="s">
        <v>3378</v>
      </c>
      <c r="H197" s="0" t="s">
        <v>4399</v>
      </c>
      <c r="I197" s="0" t="s">
        <v>4400</v>
      </c>
      <c r="J197" s="0" t="s">
        <v>141</v>
      </c>
      <c r="K197" s="0" t="s">
        <v>4401</v>
      </c>
      <c r="L197" s="0" t="s">
        <v>4401</v>
      </c>
      <c r="M197" s="0" t="s">
        <v>4402</v>
      </c>
      <c r="N197" s="0" t="s">
        <v>4403</v>
      </c>
      <c r="O197" s="0" t="s">
        <v>4404</v>
      </c>
      <c r="P197" s="0" t="s">
        <v>153</v>
      </c>
      <c r="Q197" s="0" t="s">
        <v>4405</v>
      </c>
      <c r="R197" s="0" t="b">
        <v>1</v>
      </c>
      <c r="S197" s="0" t="s">
        <v>3877</v>
      </c>
    </row>
    <row customHeight="1" ht="11.25">
      <c r="A198" s="1104">
        <v>2655</v>
      </c>
      <c r="B198" s="0" t="s">
        <v>116</v>
      </c>
      <c r="C198" s="0">
        <v>26852692</v>
      </c>
      <c r="D198" s="0" t="s">
        <v>4406</v>
      </c>
      <c r="E198" s="0" t="s">
        <v>4407</v>
      </c>
      <c r="F198" s="0" t="s">
        <v>4408</v>
      </c>
      <c r="G198" s="0" t="s">
        <v>3573</v>
      </c>
      <c r="H198" s="0" t="s">
        <v>4409</v>
      </c>
      <c r="I198" s="0" t="s">
        <v>4410</v>
      </c>
      <c r="K198" s="0" t="s">
        <v>4411</v>
      </c>
      <c r="L198" s="0" t="s">
        <v>4411</v>
      </c>
      <c r="M198" s="0" t="s">
        <v>4402</v>
      </c>
      <c r="N198" s="0" t="s">
        <v>4403</v>
      </c>
      <c r="O198" s="0" t="s">
        <v>4412</v>
      </c>
      <c r="P198" s="0" t="s">
        <v>153</v>
      </c>
      <c r="Q198" s="0" t="s">
        <v>176</v>
      </c>
      <c r="R198" s="0" t="b">
        <v>1</v>
      </c>
      <c r="S198" s="0" t="s">
        <v>3877</v>
      </c>
    </row>
    <row customHeight="1" ht="11.25">
      <c r="A199" s="1104">
        <v>2655</v>
      </c>
      <c r="B199" s="0" t="s">
        <v>116</v>
      </c>
      <c r="C199" s="0">
        <v>31534676</v>
      </c>
      <c r="D199" s="0" t="s">
        <v>4413</v>
      </c>
      <c r="E199" s="0" t="s">
        <v>4414</v>
      </c>
      <c r="F199" s="0" t="s">
        <v>4415</v>
      </c>
      <c r="G199" s="0" t="s">
        <v>3316</v>
      </c>
      <c r="H199" s="0" t="s">
        <v>4416</v>
      </c>
      <c r="I199" s="0" t="s">
        <v>4417</v>
      </c>
      <c r="K199" s="0" t="s">
        <v>4418</v>
      </c>
      <c r="L199" s="0" t="s">
        <v>4419</v>
      </c>
      <c r="M199" s="0" t="s">
        <v>4420</v>
      </c>
      <c r="N199" s="0" t="s">
        <v>4421</v>
      </c>
      <c r="O199" s="0" t="s">
        <v>4422</v>
      </c>
      <c r="P199" s="0" t="s">
        <v>153</v>
      </c>
      <c r="Q199" s="0" t="s">
        <v>176</v>
      </c>
      <c r="R199" s="0" t="b">
        <v>0</v>
      </c>
      <c r="S199" s="0" t="s">
        <v>3877</v>
      </c>
    </row>
    <row customHeight="1" ht="11.25">
      <c r="A200" s="1104">
        <v>2655</v>
      </c>
      <c r="B200" s="0" t="s">
        <v>116</v>
      </c>
      <c r="C200" s="0">
        <v>26356899</v>
      </c>
      <c r="D200" s="0" t="s">
        <v>4423</v>
      </c>
      <c r="E200" s="0" t="s">
        <v>4424</v>
      </c>
      <c r="F200" s="0" t="s">
        <v>4425</v>
      </c>
      <c r="G200" s="0" t="s">
        <v>4426</v>
      </c>
      <c r="H200" s="0" t="s">
        <v>4427</v>
      </c>
      <c r="I200" s="0" t="s">
        <v>4428</v>
      </c>
      <c r="J200" s="0" t="s">
        <v>141</v>
      </c>
      <c r="K200" s="0" t="s">
        <v>3670</v>
      </c>
      <c r="L200" s="0" t="s">
        <v>3670</v>
      </c>
      <c r="M200" s="0" t="s">
        <v>3671</v>
      </c>
      <c r="N200" s="0" t="s">
        <v>3672</v>
      </c>
      <c r="O200" s="0" t="s">
        <v>3673</v>
      </c>
      <c r="P200" s="0" t="s">
        <v>153</v>
      </c>
      <c r="Q200" s="0" t="s">
        <v>4429</v>
      </c>
      <c r="R200" s="0" t="b">
        <v>0</v>
      </c>
      <c r="S200" s="0" t="s">
        <v>3877</v>
      </c>
    </row>
    <row customHeight="1" ht="11.25">
      <c r="A201" s="1104">
        <v>2655</v>
      </c>
      <c r="B201" s="0" t="s">
        <v>116</v>
      </c>
      <c r="C201" s="0">
        <v>31224507</v>
      </c>
      <c r="D201" s="0" t="s">
        <v>4430</v>
      </c>
      <c r="E201" s="0" t="s">
        <v>4431</v>
      </c>
      <c r="F201" s="0" t="s">
        <v>4432</v>
      </c>
      <c r="G201" s="0" t="s">
        <v>4433</v>
      </c>
      <c r="H201" s="0" t="s">
        <v>4434</v>
      </c>
      <c r="I201" s="0" t="s">
        <v>4435</v>
      </c>
      <c r="J201" s="0" t="s">
        <v>141</v>
      </c>
      <c r="K201" s="0" t="s">
        <v>4436</v>
      </c>
      <c r="L201" s="0" t="s">
        <v>4436</v>
      </c>
      <c r="M201" s="0" t="s">
        <v>4437</v>
      </c>
      <c r="N201" s="0" t="s">
        <v>4438</v>
      </c>
      <c r="O201" s="0" t="s">
        <v>4395</v>
      </c>
      <c r="P201" s="0" t="s">
        <v>3208</v>
      </c>
      <c r="Q201" s="0" t="s">
        <v>176</v>
      </c>
      <c r="R201" s="0" t="b">
        <v>0</v>
      </c>
      <c r="S201" s="0" t="s">
        <v>3877</v>
      </c>
    </row>
    <row customHeight="1" ht="11.25">
      <c r="A202" s="1104">
        <v>2655</v>
      </c>
      <c r="B202" s="0" t="s">
        <v>116</v>
      </c>
      <c r="C202" s="0">
        <v>27968109</v>
      </c>
      <c r="D202" s="0" t="s">
        <v>4439</v>
      </c>
      <c r="E202" s="0" t="s">
        <v>4440</v>
      </c>
      <c r="F202" s="0" t="s">
        <v>4441</v>
      </c>
      <c r="G202" s="0" t="s">
        <v>3178</v>
      </c>
      <c r="H202" s="0" t="s">
        <v>4442</v>
      </c>
      <c r="I202" s="0" t="s">
        <v>4443</v>
      </c>
      <c r="J202" s="0" t="s">
        <v>141</v>
      </c>
      <c r="K202" s="0" t="s">
        <v>4444</v>
      </c>
      <c r="L202" s="0" t="s">
        <v>4444</v>
      </c>
      <c r="M202" s="0" t="s">
        <v>4445</v>
      </c>
      <c r="N202" s="0" t="s">
        <v>4446</v>
      </c>
      <c r="O202" s="0" t="s">
        <v>4447</v>
      </c>
      <c r="P202" s="0" t="s">
        <v>3208</v>
      </c>
      <c r="Q202" s="0" t="s">
        <v>4448</v>
      </c>
      <c r="R202" s="0" t="b">
        <v>0</v>
      </c>
      <c r="S202" s="0" t="s">
        <v>3877</v>
      </c>
    </row>
    <row customHeight="1" ht="11.25">
      <c r="A203" s="1104">
        <v>2655</v>
      </c>
      <c r="B203" s="0" t="s">
        <v>116</v>
      </c>
      <c r="C203" s="0">
        <v>26356932</v>
      </c>
      <c r="D203" s="0" t="s">
        <v>4449</v>
      </c>
      <c r="E203" s="0" t="s">
        <v>4450</v>
      </c>
      <c r="F203" s="0" t="s">
        <v>4451</v>
      </c>
      <c r="G203" s="0" t="s">
        <v>3485</v>
      </c>
      <c r="H203" s="0" t="s">
        <v>4452</v>
      </c>
      <c r="I203" s="0" t="s">
        <v>4453</v>
      </c>
      <c r="J203" s="0" t="s">
        <v>141</v>
      </c>
      <c r="K203" s="0" t="s">
        <v>4454</v>
      </c>
      <c r="L203" s="0" t="s">
        <v>4454</v>
      </c>
      <c r="M203" s="0" t="s">
        <v>4455</v>
      </c>
      <c r="N203" s="0" t="s">
        <v>4456</v>
      </c>
      <c r="O203" s="0" t="s">
        <v>4457</v>
      </c>
      <c r="P203" s="0" t="s">
        <v>153</v>
      </c>
      <c r="Q203" s="0" t="s">
        <v>176</v>
      </c>
      <c r="R203" s="0" t="b">
        <v>1</v>
      </c>
      <c r="S203" s="0" t="s">
        <v>3877</v>
      </c>
    </row>
    <row customHeight="1" ht="11.25">
      <c r="A204" s="1104">
        <v>2655</v>
      </c>
      <c r="B204" s="0" t="s">
        <v>116</v>
      </c>
      <c r="C204" s="0">
        <v>28270293</v>
      </c>
      <c r="D204" s="0" t="s">
        <v>3646</v>
      </c>
      <c r="E204" s="0" t="s">
        <v>3647</v>
      </c>
      <c r="F204" s="0" t="s">
        <v>3648</v>
      </c>
      <c r="G204" s="0" t="s">
        <v>3407</v>
      </c>
      <c r="H204" s="0" t="s">
        <v>3649</v>
      </c>
      <c r="I204" s="0" t="s">
        <v>3650</v>
      </c>
      <c r="J204" s="0" t="s">
        <v>141</v>
      </c>
      <c r="K204" s="0" t="s">
        <v>3651</v>
      </c>
      <c r="L204" s="0" t="s">
        <v>3651</v>
      </c>
      <c r="M204" s="0" t="s">
        <v>3652</v>
      </c>
      <c r="N204" s="0" t="s">
        <v>3653</v>
      </c>
      <c r="O204" s="0" t="s">
        <v>3654</v>
      </c>
      <c r="P204" s="0" t="s">
        <v>3208</v>
      </c>
      <c r="Q204" s="0" t="s">
        <v>176</v>
      </c>
      <c r="R204" s="0" t="b">
        <v>0</v>
      </c>
      <c r="S204" s="0" t="s">
        <v>3877</v>
      </c>
    </row>
    <row customHeight="1" ht="11.25">
      <c r="A205" s="1104">
        <v>2655</v>
      </c>
      <c r="B205" s="0" t="s">
        <v>116</v>
      </c>
      <c r="C205" s="0">
        <v>28873362</v>
      </c>
      <c r="D205" s="0" t="s">
        <v>3655</v>
      </c>
      <c r="E205" s="0" t="s">
        <v>3656</v>
      </c>
      <c r="F205" s="0" t="s">
        <v>3657</v>
      </c>
      <c r="G205" s="0" t="s">
        <v>3178</v>
      </c>
      <c r="H205" s="0" t="s">
        <v>3658</v>
      </c>
      <c r="I205" s="0" t="s">
        <v>3659</v>
      </c>
      <c r="J205" s="0" t="s">
        <v>141</v>
      </c>
      <c r="K205" s="0" t="s">
        <v>3660</v>
      </c>
      <c r="L205" s="0" t="s">
        <v>3660</v>
      </c>
      <c r="M205" s="0" t="s">
        <v>3661</v>
      </c>
      <c r="N205" s="0" t="s">
        <v>3662</v>
      </c>
      <c r="O205" s="0" t="s">
        <v>3663</v>
      </c>
      <c r="P205" s="0" t="s">
        <v>153</v>
      </c>
      <c r="Q205" s="0" t="s">
        <v>3664</v>
      </c>
      <c r="R205" s="0" t="b">
        <v>0</v>
      </c>
      <c r="S205" s="0" t="s">
        <v>3877</v>
      </c>
    </row>
    <row customHeight="1" ht="11.25">
      <c r="A206" s="1104">
        <v>2655</v>
      </c>
      <c r="B206" s="0" t="s">
        <v>116</v>
      </c>
      <c r="C206" s="0">
        <v>31774768</v>
      </c>
      <c r="D206" s="0" t="s">
        <v>4458</v>
      </c>
      <c r="E206" s="0" t="s">
        <v>4459</v>
      </c>
      <c r="F206" s="0" t="s">
        <v>4460</v>
      </c>
      <c r="G206" s="0" t="s">
        <v>3428</v>
      </c>
      <c r="H206" s="0" t="s">
        <v>4461</v>
      </c>
      <c r="I206" s="0" t="s">
        <v>4462</v>
      </c>
      <c r="K206" s="0" t="s">
        <v>4463</v>
      </c>
      <c r="L206" s="0" t="s">
        <v>4463</v>
      </c>
      <c r="M206" s="0" t="s">
        <v>176</v>
      </c>
      <c r="N206" s="0" t="s">
        <v>4464</v>
      </c>
      <c r="O206" s="0" t="s">
        <v>4465</v>
      </c>
      <c r="P206" s="0" t="s">
        <v>3186</v>
      </c>
      <c r="Q206" s="0" t="s">
        <v>176</v>
      </c>
      <c r="R206" s="0" t="b">
        <v>1</v>
      </c>
      <c r="S206" s="0" t="s">
        <v>3877</v>
      </c>
    </row>
    <row customHeight="1" ht="11.25">
      <c r="A207" s="1104">
        <v>2655</v>
      </c>
      <c r="B207" s="0" t="s">
        <v>116</v>
      </c>
      <c r="C207" s="0">
        <v>30992391</v>
      </c>
      <c r="D207" s="0" t="s">
        <v>3674</v>
      </c>
      <c r="E207" s="0" t="s">
        <v>3675</v>
      </c>
      <c r="F207" s="0" t="s">
        <v>3676</v>
      </c>
      <c r="G207" s="0" t="s">
        <v>3294</v>
      </c>
      <c r="H207" s="0" t="s">
        <v>3677</v>
      </c>
      <c r="I207" s="0" t="s">
        <v>3678</v>
      </c>
      <c r="J207" s="0" t="s">
        <v>141</v>
      </c>
      <c r="K207" s="0" t="s">
        <v>3679</v>
      </c>
      <c r="L207" s="0" t="s">
        <v>3680</v>
      </c>
      <c r="M207" s="0" t="s">
        <v>3681</v>
      </c>
      <c r="N207" s="0" t="s">
        <v>3682</v>
      </c>
      <c r="O207" s="0" t="s">
        <v>3683</v>
      </c>
      <c r="P207" s="0" t="s">
        <v>153</v>
      </c>
      <c r="Q207" s="0" t="s">
        <v>3684</v>
      </c>
      <c r="R207" s="0" t="b">
        <v>0</v>
      </c>
      <c r="S207" s="0" t="s">
        <v>3877</v>
      </c>
    </row>
    <row customHeight="1" ht="11.25">
      <c r="A208" s="1104">
        <v>2655</v>
      </c>
      <c r="B208" s="0" t="s">
        <v>116</v>
      </c>
      <c r="C208" s="0">
        <v>31491836</v>
      </c>
      <c r="D208" s="0" t="s">
        <v>4466</v>
      </c>
      <c r="E208" s="0" t="s">
        <v>4467</v>
      </c>
      <c r="F208" s="0" t="s">
        <v>4468</v>
      </c>
      <c r="G208" s="0" t="s">
        <v>3178</v>
      </c>
      <c r="H208" s="0" t="s">
        <v>4469</v>
      </c>
      <c r="I208" s="0" t="s">
        <v>4470</v>
      </c>
      <c r="J208" s="0" t="s">
        <v>141</v>
      </c>
      <c r="K208" s="0" t="s">
        <v>4471</v>
      </c>
      <c r="L208" s="0" t="s">
        <v>4472</v>
      </c>
      <c r="M208" s="0" t="s">
        <v>4473</v>
      </c>
      <c r="N208" s="0" t="s">
        <v>4474</v>
      </c>
      <c r="O208" s="0" t="s">
        <v>4475</v>
      </c>
      <c r="P208" s="0" t="s">
        <v>3334</v>
      </c>
      <c r="Q208" s="0" t="s">
        <v>176</v>
      </c>
      <c r="R208" s="0" t="b">
        <v>1</v>
      </c>
      <c r="S208" s="0" t="s">
        <v>3877</v>
      </c>
    </row>
    <row customHeight="1" ht="11.25">
      <c r="A209" s="1104">
        <v>2655</v>
      </c>
      <c r="B209" s="0" t="s">
        <v>116</v>
      </c>
      <c r="C209" s="0">
        <v>26356974</v>
      </c>
      <c r="D209" s="0" t="s">
        <v>4476</v>
      </c>
      <c r="E209" s="0" t="s">
        <v>4477</v>
      </c>
      <c r="F209" s="0" t="s">
        <v>4478</v>
      </c>
      <c r="G209" s="0" t="s">
        <v>4479</v>
      </c>
      <c r="H209" s="0" t="s">
        <v>4480</v>
      </c>
      <c r="I209" s="0" t="s">
        <v>4481</v>
      </c>
      <c r="J209" s="0" t="s">
        <v>141</v>
      </c>
      <c r="K209" s="0" t="s">
        <v>4482</v>
      </c>
      <c r="L209" s="0" t="s">
        <v>4482</v>
      </c>
      <c r="M209" s="0" t="s">
        <v>4483</v>
      </c>
      <c r="N209" s="0" t="s">
        <v>4484</v>
      </c>
      <c r="O209" s="0" t="s">
        <v>4485</v>
      </c>
      <c r="P209" s="0" t="s">
        <v>153</v>
      </c>
      <c r="Q209" s="0" t="s">
        <v>4486</v>
      </c>
      <c r="R209" s="0" t="b">
        <v>0</v>
      </c>
      <c r="S209" s="0" t="s">
        <v>3877</v>
      </c>
    </row>
    <row customHeight="1" ht="11.25">
      <c r="A210" s="1104">
        <v>2655</v>
      </c>
      <c r="B210" s="0" t="s">
        <v>116</v>
      </c>
      <c r="C210" s="0">
        <v>31365968</v>
      </c>
      <c r="D210" s="0" t="s">
        <v>4487</v>
      </c>
      <c r="E210" s="0" t="s">
        <v>4488</v>
      </c>
      <c r="F210" s="0" t="s">
        <v>4489</v>
      </c>
      <c r="G210" s="0" t="s">
        <v>3378</v>
      </c>
      <c r="H210" s="0" t="s">
        <v>4490</v>
      </c>
      <c r="I210" s="0" t="s">
        <v>4491</v>
      </c>
      <c r="J210" s="0" t="s">
        <v>141</v>
      </c>
      <c r="K210" s="0" t="s">
        <v>4492</v>
      </c>
      <c r="L210" s="0" t="s">
        <v>4492</v>
      </c>
      <c r="M210" s="0" t="s">
        <v>4493</v>
      </c>
      <c r="N210" s="0" t="s">
        <v>4494</v>
      </c>
      <c r="O210" s="0" t="s">
        <v>4495</v>
      </c>
      <c r="P210" s="0" t="s">
        <v>3208</v>
      </c>
      <c r="Q210" s="0" t="s">
        <v>176</v>
      </c>
      <c r="R210" s="0" t="b">
        <v>0</v>
      </c>
      <c r="S210" s="0" t="s">
        <v>3877</v>
      </c>
    </row>
    <row customHeight="1" ht="11.25">
      <c r="A211" s="1104">
        <v>2655</v>
      </c>
      <c r="B211" s="0" t="s">
        <v>116</v>
      </c>
      <c r="C211" s="0">
        <v>31038861</v>
      </c>
      <c r="D211" s="0" t="s">
        <v>4496</v>
      </c>
      <c r="E211" s="0" t="s">
        <v>4497</v>
      </c>
      <c r="F211" s="0" t="s">
        <v>4498</v>
      </c>
      <c r="G211" s="0" t="s">
        <v>3202</v>
      </c>
      <c r="H211" s="0" t="s">
        <v>4499</v>
      </c>
      <c r="I211" s="0" t="s">
        <v>4500</v>
      </c>
      <c r="J211" s="0" t="s">
        <v>141</v>
      </c>
      <c r="K211" s="0" t="s">
        <v>4501</v>
      </c>
      <c r="L211" s="0" t="s">
        <v>4502</v>
      </c>
      <c r="M211" s="0" t="s">
        <v>4503</v>
      </c>
      <c r="N211" s="0" t="s">
        <v>4504</v>
      </c>
      <c r="O211" s="0" t="s">
        <v>4505</v>
      </c>
      <c r="P211" s="0" t="s">
        <v>153</v>
      </c>
      <c r="Q211" s="0" t="s">
        <v>176</v>
      </c>
      <c r="R211" s="0" t="b">
        <v>0</v>
      </c>
      <c r="S211" s="0" t="s">
        <v>3877</v>
      </c>
    </row>
    <row customHeight="1" ht="11.25">
      <c r="A212" s="1104">
        <v>2655</v>
      </c>
      <c r="B212" s="0" t="s">
        <v>116</v>
      </c>
      <c r="C212" s="0">
        <v>26853991</v>
      </c>
      <c r="D212" s="0" t="s">
        <v>3685</v>
      </c>
      <c r="E212" s="0" t="s">
        <v>3686</v>
      </c>
      <c r="F212" s="0" t="s">
        <v>3687</v>
      </c>
      <c r="G212" s="0" t="s">
        <v>3688</v>
      </c>
      <c r="H212" s="0" t="s">
        <v>3689</v>
      </c>
      <c r="I212" s="0" t="s">
        <v>3690</v>
      </c>
      <c r="J212" s="0" t="s">
        <v>3166</v>
      </c>
      <c r="K212" s="0" t="s">
        <v>3691</v>
      </c>
      <c r="L212" s="0" t="s">
        <v>3692</v>
      </c>
      <c r="M212" s="0" t="s">
        <v>3693</v>
      </c>
      <c r="N212" s="0" t="s">
        <v>3694</v>
      </c>
      <c r="O212" s="0" t="s">
        <v>3695</v>
      </c>
      <c r="P212" s="0" t="s">
        <v>3208</v>
      </c>
      <c r="Q212" s="0" t="s">
        <v>176</v>
      </c>
      <c r="R212" s="0" t="b">
        <v>0</v>
      </c>
      <c r="S212" s="0" t="s">
        <v>3877</v>
      </c>
    </row>
    <row customHeight="1" ht="11.25">
      <c r="A213" s="1104">
        <v>2655</v>
      </c>
      <c r="B213" s="0" t="s">
        <v>116</v>
      </c>
      <c r="C213" s="0">
        <v>31908312</v>
      </c>
      <c r="D213" s="0" t="s">
        <v>3685</v>
      </c>
      <c r="E213" s="0" t="s">
        <v>3696</v>
      </c>
      <c r="F213" s="0" t="s">
        <v>3687</v>
      </c>
      <c r="G213" s="0" t="s">
        <v>3688</v>
      </c>
      <c r="H213" s="0" t="s">
        <v>3689</v>
      </c>
      <c r="I213" s="0" t="s">
        <v>3690</v>
      </c>
      <c r="K213" s="0" t="s">
        <v>3697</v>
      </c>
      <c r="L213" s="0" t="s">
        <v>3697</v>
      </c>
      <c r="M213" s="0" t="s">
        <v>3698</v>
      </c>
      <c r="N213" s="0" t="s">
        <v>3699</v>
      </c>
      <c r="O213" s="0" t="s">
        <v>3700</v>
      </c>
      <c r="P213" s="0" t="s">
        <v>176</v>
      </c>
      <c r="Q213" s="0" t="s">
        <v>3701</v>
      </c>
      <c r="R213" s="0" t="b">
        <v>0</v>
      </c>
      <c r="S213" s="0" t="s">
        <v>3877</v>
      </c>
    </row>
    <row customHeight="1" ht="11.25">
      <c r="A214" s="1104">
        <v>2655</v>
      </c>
      <c r="B214" s="0" t="s">
        <v>116</v>
      </c>
      <c r="C214" s="0">
        <v>26519663</v>
      </c>
      <c r="D214" s="0" t="s">
        <v>4506</v>
      </c>
      <c r="E214" s="0" t="s">
        <v>4507</v>
      </c>
      <c r="F214" s="0" t="s">
        <v>4508</v>
      </c>
      <c r="G214" s="0" t="s">
        <v>3369</v>
      </c>
      <c r="H214" s="0" t="s">
        <v>4509</v>
      </c>
      <c r="I214" s="0" t="s">
        <v>4510</v>
      </c>
      <c r="J214" s="0" t="s">
        <v>3239</v>
      </c>
      <c r="K214" s="0" t="s">
        <v>4511</v>
      </c>
      <c r="L214" s="0" t="s">
        <v>4511</v>
      </c>
      <c r="M214" s="0" t="s">
        <v>4512</v>
      </c>
      <c r="N214" s="0" t="s">
        <v>4513</v>
      </c>
      <c r="O214" s="0" t="s">
        <v>4514</v>
      </c>
      <c r="P214" s="0" t="s">
        <v>3221</v>
      </c>
      <c r="Q214" s="0" t="s">
        <v>4515</v>
      </c>
      <c r="R214" s="0" t="b">
        <v>0</v>
      </c>
      <c r="S214" s="0" t="s">
        <v>3877</v>
      </c>
    </row>
    <row customHeight="1" ht="11.25">
      <c r="A215" s="1104">
        <v>2655</v>
      </c>
      <c r="B215" s="0" t="s">
        <v>116</v>
      </c>
      <c r="C215" s="0">
        <v>30808511</v>
      </c>
      <c r="D215" s="0" t="s">
        <v>3702</v>
      </c>
      <c r="E215" s="0" t="s">
        <v>3702</v>
      </c>
      <c r="F215" s="0" t="s">
        <v>3703</v>
      </c>
      <c r="G215" s="0" t="s">
        <v>3704</v>
      </c>
      <c r="H215" s="0" t="s">
        <v>3705</v>
      </c>
      <c r="I215" s="0" t="s">
        <v>3706</v>
      </c>
      <c r="J215" s="0" t="s">
        <v>3707</v>
      </c>
      <c r="K215" s="0" t="s">
        <v>3708</v>
      </c>
      <c r="L215" s="0" t="s">
        <v>3709</v>
      </c>
      <c r="M215" s="0" t="s">
        <v>3710</v>
      </c>
      <c r="N215" s="0" t="s">
        <v>3711</v>
      </c>
      <c r="O215" s="0" t="s">
        <v>3712</v>
      </c>
      <c r="P215" s="0" t="s">
        <v>153</v>
      </c>
      <c r="Q215" s="0" t="s">
        <v>3711</v>
      </c>
      <c r="R215" s="0" t="b">
        <v>0</v>
      </c>
      <c r="S215" s="0" t="s">
        <v>3877</v>
      </c>
    </row>
    <row customHeight="1" ht="11.25">
      <c r="A216" s="1104">
        <v>2655</v>
      </c>
      <c r="B216" s="0" t="s">
        <v>116</v>
      </c>
      <c r="C216" s="0">
        <v>28977129</v>
      </c>
      <c r="D216" s="0" t="s">
        <v>4516</v>
      </c>
      <c r="E216" s="0" t="s">
        <v>4517</v>
      </c>
      <c r="F216" s="0" t="s">
        <v>3703</v>
      </c>
      <c r="G216" s="0" t="s">
        <v>4518</v>
      </c>
      <c r="H216" s="0" t="s">
        <v>3705</v>
      </c>
      <c r="I216" s="0" t="s">
        <v>3716</v>
      </c>
      <c r="J216" s="0" t="s">
        <v>3707</v>
      </c>
      <c r="K216" s="0" t="s">
        <v>4519</v>
      </c>
      <c r="L216" s="0" t="s">
        <v>4520</v>
      </c>
      <c r="M216" s="0" t="s">
        <v>4521</v>
      </c>
      <c r="N216" s="0" t="s">
        <v>176</v>
      </c>
      <c r="O216" s="0" t="s">
        <v>4522</v>
      </c>
      <c r="P216" s="0" t="s">
        <v>153</v>
      </c>
      <c r="Q216" s="0" t="s">
        <v>176</v>
      </c>
      <c r="R216" s="0" t="b">
        <v>0</v>
      </c>
      <c r="S216" s="0" t="s">
        <v>3877</v>
      </c>
    </row>
    <row customHeight="1" ht="11.25">
      <c r="A217" s="1104">
        <v>2655</v>
      </c>
      <c r="B217" s="0" t="s">
        <v>116</v>
      </c>
      <c r="C217" s="0">
        <v>30829962</v>
      </c>
      <c r="D217" s="0" t="s">
        <v>4523</v>
      </c>
      <c r="E217" s="0" t="s">
        <v>4524</v>
      </c>
      <c r="F217" s="0" t="s">
        <v>3703</v>
      </c>
      <c r="G217" s="0" t="s">
        <v>3178</v>
      </c>
      <c r="H217" s="0" t="s">
        <v>3705</v>
      </c>
      <c r="I217" s="0" t="s">
        <v>4525</v>
      </c>
      <c r="J217" s="0" t="s">
        <v>3707</v>
      </c>
      <c r="K217" s="0" t="s">
        <v>4526</v>
      </c>
      <c r="L217" s="0" t="s">
        <v>4526</v>
      </c>
      <c r="M217" s="0" t="s">
        <v>4527</v>
      </c>
      <c r="N217" s="0" t="s">
        <v>4528</v>
      </c>
      <c r="O217" s="0" t="s">
        <v>4529</v>
      </c>
      <c r="P217" s="0" t="s">
        <v>3334</v>
      </c>
      <c r="Q217" s="0" t="s">
        <v>176</v>
      </c>
      <c r="R217" s="0" t="b">
        <v>0</v>
      </c>
      <c r="S217" s="0" t="s">
        <v>3877</v>
      </c>
    </row>
    <row customHeight="1" ht="11.25">
      <c r="A218" s="1104">
        <v>2655</v>
      </c>
      <c r="B218" s="0" t="s">
        <v>116</v>
      </c>
      <c r="C218" s="0">
        <v>26520873</v>
      </c>
      <c r="D218" s="0" t="s">
        <v>3713</v>
      </c>
      <c r="E218" s="0" t="s">
        <v>3714</v>
      </c>
      <c r="F218" s="0" t="s">
        <v>3703</v>
      </c>
      <c r="G218" s="0" t="s">
        <v>3715</v>
      </c>
      <c r="H218" s="0" t="s">
        <v>3705</v>
      </c>
      <c r="I218" s="0" t="s">
        <v>3716</v>
      </c>
      <c r="J218" s="0" t="s">
        <v>3707</v>
      </c>
      <c r="K218" s="0" t="s">
        <v>3717</v>
      </c>
      <c r="L218" s="0" t="s">
        <v>3718</v>
      </c>
      <c r="M218" s="0" t="s">
        <v>3719</v>
      </c>
      <c r="N218" s="0" t="s">
        <v>3720</v>
      </c>
      <c r="O218" s="0" t="s">
        <v>3721</v>
      </c>
      <c r="P218" s="0" t="s">
        <v>153</v>
      </c>
      <c r="Q218" s="0" t="s">
        <v>3722</v>
      </c>
      <c r="R218" s="0" t="b">
        <v>0</v>
      </c>
      <c r="S218" s="0" t="s">
        <v>3877</v>
      </c>
    </row>
    <row customHeight="1" ht="11.25">
      <c r="A219" s="1104">
        <v>2655</v>
      </c>
      <c r="B219" s="0" t="s">
        <v>116</v>
      </c>
      <c r="C219" s="0">
        <v>30914574</v>
      </c>
      <c r="D219" s="0" t="s">
        <v>4530</v>
      </c>
      <c r="E219" s="0" t="s">
        <v>4531</v>
      </c>
      <c r="F219" s="0" t="s">
        <v>4532</v>
      </c>
      <c r="G219" s="0" t="s">
        <v>4533</v>
      </c>
      <c r="H219" s="0" t="s">
        <v>4534</v>
      </c>
      <c r="I219" s="0" t="s">
        <v>4535</v>
      </c>
      <c r="J219" s="0" t="s">
        <v>4536</v>
      </c>
      <c r="K219" s="0" t="s">
        <v>4537</v>
      </c>
      <c r="L219" s="0" t="s">
        <v>4538</v>
      </c>
      <c r="M219" s="0" t="s">
        <v>4539</v>
      </c>
      <c r="N219" s="0" t="s">
        <v>4540</v>
      </c>
      <c r="O219" s="0" t="s">
        <v>4541</v>
      </c>
      <c r="P219" s="0" t="s">
        <v>4542</v>
      </c>
      <c r="Q219" s="0" t="s">
        <v>176</v>
      </c>
      <c r="R219" s="0" t="b">
        <v>0</v>
      </c>
      <c r="S219" s="0" t="s">
        <v>3877</v>
      </c>
    </row>
    <row customHeight="1" ht="11.25">
      <c r="A220" s="1104">
        <v>2655</v>
      </c>
      <c r="B220" s="0" t="s">
        <v>116</v>
      </c>
      <c r="C220" s="0">
        <v>28976938</v>
      </c>
      <c r="D220" s="0" t="s">
        <v>3160</v>
      </c>
      <c r="E220" s="0" t="s">
        <v>3161</v>
      </c>
      <c r="F220" s="0" t="s">
        <v>3162</v>
      </c>
      <c r="G220" s="0" t="s">
        <v>3163</v>
      </c>
      <c r="H220" s="0" t="s">
        <v>3164</v>
      </c>
      <c r="I220" s="0" t="s">
        <v>3165</v>
      </c>
      <c r="J220" s="0" t="s">
        <v>3166</v>
      </c>
      <c r="K220" s="0" t="s">
        <v>3167</v>
      </c>
      <c r="L220" s="0" t="s">
        <v>3168</v>
      </c>
      <c r="M220" s="0" t="s">
        <v>3169</v>
      </c>
      <c r="N220" s="0" t="s">
        <v>3170</v>
      </c>
      <c r="O220" s="0" t="s">
        <v>3171</v>
      </c>
      <c r="P220" s="0" t="s">
        <v>3172</v>
      </c>
      <c r="Q220" s="0" t="s">
        <v>3173</v>
      </c>
      <c r="R220" s="0" t="b">
        <v>0</v>
      </c>
      <c r="S220" s="0" t="s">
        <v>4543</v>
      </c>
    </row>
    <row customHeight="1" ht="11.25">
      <c r="A221" s="1104">
        <v>2655</v>
      </c>
      <c r="B221" s="0" t="s">
        <v>116</v>
      </c>
      <c r="C221" s="0">
        <v>26356915</v>
      </c>
      <c r="D221" s="0" t="s">
        <v>3735</v>
      </c>
      <c r="E221" s="0" t="s">
        <v>3736</v>
      </c>
      <c r="F221" s="0" t="s">
        <v>3737</v>
      </c>
      <c r="G221" s="0" t="s">
        <v>3396</v>
      </c>
      <c r="H221" s="0" t="s">
        <v>3738</v>
      </c>
      <c r="I221" s="0" t="s">
        <v>3739</v>
      </c>
      <c r="J221" s="0" t="s">
        <v>3166</v>
      </c>
      <c r="K221" s="0" t="s">
        <v>3740</v>
      </c>
      <c r="L221" s="0" t="s">
        <v>3740</v>
      </c>
      <c r="M221" s="0" t="s">
        <v>3741</v>
      </c>
      <c r="N221" s="0" t="s">
        <v>3742</v>
      </c>
      <c r="O221" s="0" t="s">
        <v>3743</v>
      </c>
      <c r="P221" s="0" t="s">
        <v>3208</v>
      </c>
      <c r="Q221" s="0" t="s">
        <v>158</v>
      </c>
      <c r="R221" s="0" t="b">
        <v>0</v>
      </c>
      <c r="S221" s="0" t="s">
        <v>4543</v>
      </c>
    </row>
    <row customHeight="1" ht="11.25">
      <c r="A222" s="1104">
        <v>2655</v>
      </c>
      <c r="B222" s="0" t="s">
        <v>116</v>
      </c>
      <c r="C222" s="0">
        <v>26357007</v>
      </c>
      <c r="D222" s="0" t="s">
        <v>3878</v>
      </c>
      <c r="E222" s="0" t="s">
        <v>3879</v>
      </c>
      <c r="F222" s="0" t="s">
        <v>3880</v>
      </c>
      <c r="G222" s="0" t="s">
        <v>3428</v>
      </c>
      <c r="H222" s="0" t="s">
        <v>3881</v>
      </c>
      <c r="I222" s="0" t="s">
        <v>3882</v>
      </c>
      <c r="J222" s="0" t="s">
        <v>3166</v>
      </c>
      <c r="K222" s="0" t="s">
        <v>3883</v>
      </c>
      <c r="L222" s="0" t="s">
        <v>3883</v>
      </c>
      <c r="M222" s="0" t="s">
        <v>3884</v>
      </c>
      <c r="N222" s="0" t="s">
        <v>3885</v>
      </c>
      <c r="O222" s="0" t="s">
        <v>3886</v>
      </c>
      <c r="P222" s="0" t="s">
        <v>3208</v>
      </c>
      <c r="Q222" s="0" t="s">
        <v>3887</v>
      </c>
      <c r="R222" s="0" t="b">
        <v>0</v>
      </c>
      <c r="S222" s="0" t="s">
        <v>4543</v>
      </c>
    </row>
    <row customHeight="1" ht="11.25">
      <c r="A223" s="1104">
        <v>2655</v>
      </c>
      <c r="B223" s="0" t="s">
        <v>116</v>
      </c>
      <c r="C223" s="0">
        <v>27804990</v>
      </c>
      <c r="D223" s="0" t="s">
        <v>3175</v>
      </c>
      <c r="E223" s="0" t="s">
        <v>3176</v>
      </c>
      <c r="F223" s="0" t="s">
        <v>3177</v>
      </c>
      <c r="G223" s="0" t="s">
        <v>3178</v>
      </c>
      <c r="H223" s="0" t="s">
        <v>3179</v>
      </c>
      <c r="I223" s="0" t="s">
        <v>3180</v>
      </c>
      <c r="J223" s="0" t="s">
        <v>3166</v>
      </c>
      <c r="K223" s="0" t="s">
        <v>3181</v>
      </c>
      <c r="L223" s="0" t="s">
        <v>3182</v>
      </c>
      <c r="M223" s="0" t="s">
        <v>3183</v>
      </c>
      <c r="N223" s="0" t="s">
        <v>3184</v>
      </c>
      <c r="O223" s="0" t="s">
        <v>3185</v>
      </c>
      <c r="P223" s="0" t="s">
        <v>3186</v>
      </c>
      <c r="Q223" s="0" t="s">
        <v>3187</v>
      </c>
      <c r="R223" s="0" t="b">
        <v>0</v>
      </c>
      <c r="S223" s="0" t="s">
        <v>4543</v>
      </c>
    </row>
    <row customHeight="1" ht="11.25">
      <c r="A224" s="1104">
        <v>2655</v>
      </c>
      <c r="B224" s="0" t="s">
        <v>116</v>
      </c>
      <c r="C224" s="0">
        <v>28048296</v>
      </c>
      <c r="D224" s="0" t="s">
        <v>3888</v>
      </c>
      <c r="E224" s="0" t="s">
        <v>3889</v>
      </c>
      <c r="F224" s="0" t="s">
        <v>3890</v>
      </c>
      <c r="G224" s="0" t="s">
        <v>3178</v>
      </c>
      <c r="H224" s="0" t="s">
        <v>3891</v>
      </c>
      <c r="I224" s="0" t="s">
        <v>3892</v>
      </c>
      <c r="J224" s="0" t="s">
        <v>3166</v>
      </c>
      <c r="K224" s="0" t="s">
        <v>3893</v>
      </c>
      <c r="L224" s="0" t="s">
        <v>3182</v>
      </c>
      <c r="M224" s="0" t="s">
        <v>3894</v>
      </c>
      <c r="N224" s="0" t="s">
        <v>3538</v>
      </c>
      <c r="O224" s="0" t="s">
        <v>3895</v>
      </c>
      <c r="P224" s="0" t="s">
        <v>3186</v>
      </c>
      <c r="Q224" s="0" t="s">
        <v>3187</v>
      </c>
      <c r="R224" s="0" t="b">
        <v>0</v>
      </c>
      <c r="S224" s="0" t="s">
        <v>4543</v>
      </c>
    </row>
    <row customHeight="1" ht="11.25">
      <c r="A225" s="1104">
        <v>2655</v>
      </c>
      <c r="B225" s="0" t="s">
        <v>116</v>
      </c>
      <c r="C225" s="0">
        <v>27804826</v>
      </c>
      <c r="D225" s="0" t="s">
        <v>3188</v>
      </c>
      <c r="E225" s="0" t="s">
        <v>3189</v>
      </c>
      <c r="F225" s="0" t="s">
        <v>3190</v>
      </c>
      <c r="G225" s="0" t="s">
        <v>3191</v>
      </c>
      <c r="H225" s="0" t="s">
        <v>3192</v>
      </c>
      <c r="I225" s="0" t="s">
        <v>3193</v>
      </c>
      <c r="J225" s="0" t="s">
        <v>3166</v>
      </c>
      <c r="K225" s="0" t="s">
        <v>3194</v>
      </c>
      <c r="L225" s="0" t="s">
        <v>3182</v>
      </c>
      <c r="M225" s="0" t="s">
        <v>3195</v>
      </c>
      <c r="N225" s="0" t="s">
        <v>3196</v>
      </c>
      <c r="O225" s="0" t="s">
        <v>3197</v>
      </c>
      <c r="P225" s="0" t="s">
        <v>3186</v>
      </c>
      <c r="Q225" s="0" t="s">
        <v>3198</v>
      </c>
      <c r="R225" s="0" t="b">
        <v>0</v>
      </c>
      <c r="S225" s="0" t="s">
        <v>4543</v>
      </c>
    </row>
    <row customHeight="1" ht="11.25">
      <c r="A226" s="1104">
        <v>2655</v>
      </c>
      <c r="B226" s="0" t="s">
        <v>116</v>
      </c>
      <c r="C226" s="0">
        <v>27804896</v>
      </c>
      <c r="D226" s="0" t="s">
        <v>3896</v>
      </c>
      <c r="E226" s="0" t="s">
        <v>3897</v>
      </c>
      <c r="F226" s="0" t="s">
        <v>3898</v>
      </c>
      <c r="G226" s="0" t="s">
        <v>3178</v>
      </c>
      <c r="H226" s="0" t="s">
        <v>3899</v>
      </c>
      <c r="I226" s="0" t="s">
        <v>3900</v>
      </c>
      <c r="J226" s="0" t="s">
        <v>3166</v>
      </c>
      <c r="K226" s="0" t="s">
        <v>3901</v>
      </c>
      <c r="L226" s="0" t="s">
        <v>3182</v>
      </c>
      <c r="M226" s="0" t="s">
        <v>3902</v>
      </c>
      <c r="N226" s="0" t="s">
        <v>3903</v>
      </c>
      <c r="O226" s="0" t="s">
        <v>3904</v>
      </c>
      <c r="P226" s="0" t="s">
        <v>3186</v>
      </c>
      <c r="Q226" s="0" t="s">
        <v>3187</v>
      </c>
      <c r="R226" s="0" t="b">
        <v>0</v>
      </c>
      <c r="S226" s="0" t="s">
        <v>4543</v>
      </c>
    </row>
    <row customHeight="1" ht="11.25">
      <c r="A227" s="1104">
        <v>2655</v>
      </c>
      <c r="B227" s="0" t="s">
        <v>116</v>
      </c>
      <c r="C227" s="0">
        <v>27820148</v>
      </c>
      <c r="D227" s="0" t="s">
        <v>3762</v>
      </c>
      <c r="E227" s="0" t="s">
        <v>3763</v>
      </c>
      <c r="F227" s="0" t="s">
        <v>3764</v>
      </c>
      <c r="G227" s="0" t="s">
        <v>3485</v>
      </c>
      <c r="H227" s="0" t="s">
        <v>3765</v>
      </c>
      <c r="I227" s="0" t="s">
        <v>3766</v>
      </c>
      <c r="J227" s="0" t="s">
        <v>3166</v>
      </c>
      <c r="K227" s="0" t="s">
        <v>3767</v>
      </c>
      <c r="L227" s="0" t="s">
        <v>3767</v>
      </c>
      <c r="M227" s="0" t="s">
        <v>3768</v>
      </c>
      <c r="N227" s="0" t="s">
        <v>3769</v>
      </c>
      <c r="O227" s="0" t="s">
        <v>3770</v>
      </c>
      <c r="P227" s="0" t="s">
        <v>3771</v>
      </c>
      <c r="Q227" s="0" t="s">
        <v>3772</v>
      </c>
      <c r="R227" s="0" t="b">
        <v>0</v>
      </c>
      <c r="S227" s="0" t="s">
        <v>4543</v>
      </c>
    </row>
    <row customHeight="1" ht="11.25">
      <c r="A228" s="1104">
        <v>2655</v>
      </c>
      <c r="B228" s="0" t="s">
        <v>116</v>
      </c>
      <c r="C228" s="0">
        <v>26356905</v>
      </c>
      <c r="D228" s="0" t="s">
        <v>3905</v>
      </c>
      <c r="E228" s="0" t="s">
        <v>3906</v>
      </c>
      <c r="F228" s="0" t="s">
        <v>3907</v>
      </c>
      <c r="G228" s="0" t="s">
        <v>3178</v>
      </c>
      <c r="H228" s="0" t="s">
        <v>3908</v>
      </c>
      <c r="I228" s="0" t="s">
        <v>3909</v>
      </c>
      <c r="J228" s="0" t="s">
        <v>3166</v>
      </c>
      <c r="K228" s="0" t="s">
        <v>3910</v>
      </c>
      <c r="L228" s="0" t="s">
        <v>3910</v>
      </c>
      <c r="M228" s="0" t="s">
        <v>3911</v>
      </c>
      <c r="N228" s="0" t="s">
        <v>3912</v>
      </c>
      <c r="O228" s="0" t="s">
        <v>3913</v>
      </c>
      <c r="P228" s="0" t="s">
        <v>3914</v>
      </c>
      <c r="Q228" s="0" t="s">
        <v>3915</v>
      </c>
      <c r="R228" s="0" t="b">
        <v>0</v>
      </c>
      <c r="S228" s="0" t="s">
        <v>4543</v>
      </c>
    </row>
    <row customHeight="1" ht="11.25">
      <c r="A229" s="1104">
        <v>2655</v>
      </c>
      <c r="B229" s="0" t="s">
        <v>116</v>
      </c>
      <c r="C229" s="0">
        <v>26652554</v>
      </c>
      <c r="D229" s="0" t="s">
        <v>3916</v>
      </c>
      <c r="E229" s="0" t="s">
        <v>3917</v>
      </c>
      <c r="F229" s="0" t="s">
        <v>3918</v>
      </c>
      <c r="G229" s="0" t="s">
        <v>3563</v>
      </c>
      <c r="H229" s="0" t="s">
        <v>3919</v>
      </c>
      <c r="I229" s="0" t="s">
        <v>176</v>
      </c>
      <c r="J229" s="0" t="s">
        <v>3166</v>
      </c>
      <c r="K229" s="0" t="s">
        <v>3920</v>
      </c>
      <c r="L229" s="0" t="s">
        <v>3920</v>
      </c>
      <c r="M229" s="0" t="s">
        <v>3921</v>
      </c>
      <c r="N229" s="0" t="s">
        <v>3922</v>
      </c>
      <c r="O229" s="0" t="s">
        <v>3923</v>
      </c>
      <c r="P229" s="0" t="s">
        <v>3208</v>
      </c>
      <c r="Q229" s="0" t="s">
        <v>3924</v>
      </c>
      <c r="R229" s="0" t="b">
        <v>0</v>
      </c>
      <c r="S229" s="0" t="s">
        <v>4543</v>
      </c>
    </row>
    <row customHeight="1" ht="11.25">
      <c r="A230" s="1104">
        <v>2655</v>
      </c>
      <c r="B230" s="0" t="s">
        <v>116</v>
      </c>
      <c r="C230" s="0">
        <v>31915209</v>
      </c>
      <c r="D230" s="0" t="s">
        <v>3925</v>
      </c>
      <c r="E230" s="0" t="s">
        <v>3926</v>
      </c>
      <c r="F230" s="0" t="s">
        <v>3927</v>
      </c>
      <c r="G230" s="0" t="s">
        <v>3178</v>
      </c>
      <c r="H230" s="0" t="s">
        <v>3928</v>
      </c>
      <c r="I230" s="0" t="s">
        <v>3929</v>
      </c>
      <c r="K230" s="0" t="s">
        <v>3930</v>
      </c>
      <c r="L230" s="0" t="s">
        <v>3930</v>
      </c>
      <c r="M230" s="0" t="s">
        <v>3931</v>
      </c>
      <c r="N230" s="0" t="s">
        <v>3932</v>
      </c>
      <c r="O230" s="0" t="s">
        <v>3933</v>
      </c>
      <c r="P230" s="0" t="s">
        <v>3934</v>
      </c>
      <c r="Q230" s="0" t="s">
        <v>3935</v>
      </c>
      <c r="R230" s="0" t="b">
        <v>0</v>
      </c>
      <c r="S230" s="0" t="s">
        <v>4543</v>
      </c>
    </row>
    <row customHeight="1" ht="11.25">
      <c r="A231" s="1104">
        <v>2655</v>
      </c>
      <c r="B231" s="0" t="s">
        <v>116</v>
      </c>
      <c r="C231" s="0">
        <v>26356926</v>
      </c>
      <c r="D231" s="0" t="s">
        <v>3936</v>
      </c>
      <c r="E231" s="0" t="s">
        <v>3937</v>
      </c>
      <c r="F231" s="0" t="s">
        <v>3938</v>
      </c>
      <c r="G231" s="0" t="s">
        <v>3485</v>
      </c>
      <c r="H231" s="0" t="s">
        <v>3939</v>
      </c>
      <c r="I231" s="0" t="s">
        <v>3940</v>
      </c>
      <c r="J231" s="0" t="s">
        <v>3941</v>
      </c>
      <c r="K231" s="0" t="s">
        <v>3942</v>
      </c>
      <c r="L231" s="0" t="s">
        <v>3942</v>
      </c>
      <c r="M231" s="0" t="s">
        <v>3943</v>
      </c>
      <c r="N231" s="0" t="s">
        <v>3944</v>
      </c>
      <c r="O231" s="0" t="s">
        <v>3945</v>
      </c>
      <c r="P231" s="0" t="s">
        <v>3946</v>
      </c>
      <c r="Q231" s="0" t="s">
        <v>3947</v>
      </c>
      <c r="R231" s="0" t="b">
        <v>0</v>
      </c>
      <c r="S231" s="0" t="s">
        <v>4543</v>
      </c>
    </row>
    <row customHeight="1" ht="11.25">
      <c r="A232" s="1104">
        <v>2655</v>
      </c>
      <c r="B232" s="0" t="s">
        <v>116</v>
      </c>
      <c r="C232" s="0">
        <v>31720063</v>
      </c>
      <c r="D232" s="0" t="s">
        <v>3948</v>
      </c>
      <c r="E232" s="0" t="s">
        <v>3949</v>
      </c>
      <c r="F232" s="0" t="s">
        <v>3950</v>
      </c>
      <c r="G232" s="0" t="s">
        <v>3369</v>
      </c>
      <c r="H232" s="0" t="s">
        <v>3951</v>
      </c>
      <c r="I232" s="0" t="s">
        <v>3952</v>
      </c>
      <c r="K232" s="0" t="s">
        <v>3953</v>
      </c>
      <c r="L232" s="0" t="s">
        <v>3953</v>
      </c>
      <c r="M232" s="0" t="s">
        <v>176</v>
      </c>
      <c r="N232" s="0" t="s">
        <v>3954</v>
      </c>
      <c r="O232" s="0" t="s">
        <v>3955</v>
      </c>
      <c r="P232" s="0" t="s">
        <v>3334</v>
      </c>
      <c r="Q232" s="0" t="s">
        <v>3956</v>
      </c>
      <c r="R232" s="0" t="b">
        <v>0</v>
      </c>
      <c r="S232" s="0" t="s">
        <v>4543</v>
      </c>
    </row>
    <row customHeight="1" ht="11.25">
      <c r="A233" s="1104">
        <v>2655</v>
      </c>
      <c r="B233" s="0" t="s">
        <v>116</v>
      </c>
      <c r="C233" s="0">
        <v>31826293</v>
      </c>
      <c r="D233" s="0" t="s">
        <v>3254</v>
      </c>
      <c r="E233" s="0" t="s">
        <v>3255</v>
      </c>
      <c r="F233" s="0" t="s">
        <v>3256</v>
      </c>
      <c r="G233" s="0" t="s">
        <v>3257</v>
      </c>
      <c r="H233" s="0" t="s">
        <v>3258</v>
      </c>
      <c r="I233" s="0" t="s">
        <v>3259</v>
      </c>
      <c r="K233" s="0" t="s">
        <v>3260</v>
      </c>
      <c r="L233" s="0" t="s">
        <v>3261</v>
      </c>
      <c r="M233" s="0" t="s">
        <v>3262</v>
      </c>
      <c r="N233" s="0" t="s">
        <v>3263</v>
      </c>
      <c r="O233" s="0" t="s">
        <v>3264</v>
      </c>
      <c r="P233" s="0" t="s">
        <v>3265</v>
      </c>
      <c r="Q233" s="0" t="s">
        <v>176</v>
      </c>
      <c r="R233" s="0" t="b">
        <v>0</v>
      </c>
      <c r="S233" s="0" t="s">
        <v>4543</v>
      </c>
    </row>
    <row customHeight="1" ht="11.25">
      <c r="A234" s="1104">
        <v>2655</v>
      </c>
      <c r="B234" s="0" t="s">
        <v>116</v>
      </c>
      <c r="C234" s="0">
        <v>28262434</v>
      </c>
      <c r="D234" s="0" t="s">
        <v>3957</v>
      </c>
      <c r="E234" s="0" t="s">
        <v>3958</v>
      </c>
      <c r="F234" s="0" t="s">
        <v>3959</v>
      </c>
      <c r="G234" s="0" t="s">
        <v>3960</v>
      </c>
      <c r="H234" s="0" t="s">
        <v>3961</v>
      </c>
      <c r="I234" s="0" t="s">
        <v>3962</v>
      </c>
      <c r="J234" s="0" t="s">
        <v>3166</v>
      </c>
      <c r="K234" s="0" t="s">
        <v>3963</v>
      </c>
      <c r="L234" s="0" t="s">
        <v>3963</v>
      </c>
      <c r="M234" s="0" t="s">
        <v>3964</v>
      </c>
      <c r="N234" s="0" t="s">
        <v>3965</v>
      </c>
      <c r="O234" s="0" t="s">
        <v>3966</v>
      </c>
      <c r="P234" s="0" t="s">
        <v>3208</v>
      </c>
      <c r="Q234" s="0" t="s">
        <v>176</v>
      </c>
      <c r="R234" s="0" t="b">
        <v>0</v>
      </c>
      <c r="S234" s="0" t="s">
        <v>4543</v>
      </c>
    </row>
    <row customHeight="1" ht="11.25">
      <c r="A235" s="1104">
        <v>2655</v>
      </c>
      <c r="B235" s="0" t="s">
        <v>116</v>
      </c>
      <c r="C235" s="0">
        <v>31382238</v>
      </c>
      <c r="D235" s="0" t="s">
        <v>3967</v>
      </c>
      <c r="E235" s="0" t="s">
        <v>3968</v>
      </c>
      <c r="F235" s="0" t="s">
        <v>3969</v>
      </c>
      <c r="G235" s="0" t="s">
        <v>3970</v>
      </c>
      <c r="H235" s="0" t="s">
        <v>3971</v>
      </c>
      <c r="I235" s="0" t="s">
        <v>3972</v>
      </c>
      <c r="J235" s="0" t="s">
        <v>3973</v>
      </c>
      <c r="K235" s="0" t="s">
        <v>3974</v>
      </c>
      <c r="L235" s="0" t="s">
        <v>3974</v>
      </c>
      <c r="M235" s="0" t="s">
        <v>3975</v>
      </c>
      <c r="N235" s="0" t="s">
        <v>3976</v>
      </c>
      <c r="O235" s="0" t="s">
        <v>3977</v>
      </c>
      <c r="P235" s="0" t="s">
        <v>3978</v>
      </c>
      <c r="Q235" s="0" t="s">
        <v>176</v>
      </c>
      <c r="R235" s="0" t="b">
        <v>1</v>
      </c>
      <c r="S235" s="0" t="s">
        <v>4543</v>
      </c>
    </row>
    <row customHeight="1" ht="11.25">
      <c r="A236" s="1104">
        <v>2655</v>
      </c>
      <c r="B236" s="0" t="s">
        <v>116</v>
      </c>
      <c r="C236" s="0">
        <v>31763194</v>
      </c>
      <c r="D236" s="0" t="s">
        <v>3979</v>
      </c>
      <c r="E236" s="0" t="s">
        <v>3980</v>
      </c>
      <c r="F236" s="0" t="s">
        <v>3981</v>
      </c>
      <c r="G236" s="0" t="s">
        <v>3970</v>
      </c>
      <c r="H236" s="0" t="s">
        <v>3982</v>
      </c>
      <c r="I236" s="0" t="s">
        <v>3983</v>
      </c>
      <c r="K236" s="0" t="s">
        <v>3984</v>
      </c>
      <c r="L236" s="0" t="s">
        <v>3985</v>
      </c>
      <c r="M236" s="0" t="s">
        <v>176</v>
      </c>
      <c r="N236" s="0" t="s">
        <v>3976</v>
      </c>
      <c r="O236" s="0" t="s">
        <v>3986</v>
      </c>
      <c r="P236" s="0" t="s">
        <v>3987</v>
      </c>
      <c r="Q236" s="0" t="s">
        <v>3988</v>
      </c>
      <c r="R236" s="0" t="b">
        <v>1</v>
      </c>
      <c r="S236" s="0" t="s">
        <v>4543</v>
      </c>
    </row>
    <row customHeight="1" ht="11.25">
      <c r="A237" s="1104">
        <v>2655</v>
      </c>
      <c r="B237" s="0" t="s">
        <v>116</v>
      </c>
      <c r="C237" s="0">
        <v>26322867</v>
      </c>
      <c r="D237" s="0" t="s">
        <v>3266</v>
      </c>
      <c r="E237" s="0" t="s">
        <v>3267</v>
      </c>
      <c r="F237" s="0" t="s">
        <v>3268</v>
      </c>
      <c r="G237" s="0" t="s">
        <v>3213</v>
      </c>
      <c r="H237" s="0" t="s">
        <v>3269</v>
      </c>
      <c r="I237" s="0" t="s">
        <v>3270</v>
      </c>
      <c r="J237" s="0" t="s">
        <v>3166</v>
      </c>
      <c r="K237" s="0" t="s">
        <v>3271</v>
      </c>
      <c r="L237" s="0" t="s">
        <v>3271</v>
      </c>
      <c r="M237" s="0" t="s">
        <v>3272</v>
      </c>
      <c r="N237" s="0" t="s">
        <v>3273</v>
      </c>
      <c r="O237" s="0" t="s">
        <v>3274</v>
      </c>
      <c r="P237" s="0" t="s">
        <v>3208</v>
      </c>
      <c r="Q237" s="0" t="s">
        <v>3275</v>
      </c>
      <c r="R237" s="0" t="b">
        <v>0</v>
      </c>
      <c r="S237" s="0" t="s">
        <v>4543</v>
      </c>
    </row>
    <row customHeight="1" ht="11.25">
      <c r="A238" s="1104">
        <v>2655</v>
      </c>
      <c r="B238" s="0" t="s">
        <v>116</v>
      </c>
      <c r="C238" s="0">
        <v>26824396</v>
      </c>
      <c r="D238" s="0" t="s">
        <v>3285</v>
      </c>
      <c r="E238" s="0" t="s">
        <v>3286</v>
      </c>
      <c r="F238" s="0" t="s">
        <v>3246</v>
      </c>
      <c r="G238" s="0" t="s">
        <v>3287</v>
      </c>
      <c r="H238" s="0" t="s">
        <v>3248</v>
      </c>
      <c r="I238" s="0" t="s">
        <v>176</v>
      </c>
      <c r="J238" s="0" t="s">
        <v>3239</v>
      </c>
      <c r="K238" s="0" t="s">
        <v>3288</v>
      </c>
      <c r="L238" s="0" t="s">
        <v>3288</v>
      </c>
      <c r="M238" s="0" t="s">
        <v>3289</v>
      </c>
      <c r="N238" s="0" t="s">
        <v>176</v>
      </c>
      <c r="O238" s="0" t="s">
        <v>3290</v>
      </c>
      <c r="P238" s="0" t="s">
        <v>3284</v>
      </c>
      <c r="Q238" s="0" t="s">
        <v>176</v>
      </c>
      <c r="R238" s="0" t="b">
        <v>0</v>
      </c>
      <c r="S238" s="0" t="s">
        <v>4543</v>
      </c>
    </row>
    <row customHeight="1" ht="11.25">
      <c r="A239" s="1104">
        <v>2655</v>
      </c>
      <c r="B239" s="0" t="s">
        <v>116</v>
      </c>
      <c r="C239" s="0">
        <v>30808700</v>
      </c>
      <c r="D239" s="0" t="s">
        <v>3324</v>
      </c>
      <c r="E239" s="0" t="s">
        <v>3325</v>
      </c>
      <c r="F239" s="0" t="s">
        <v>3326</v>
      </c>
      <c r="G239" s="0" t="s">
        <v>3247</v>
      </c>
      <c r="H239" s="0" t="s">
        <v>3327</v>
      </c>
      <c r="I239" s="0" t="s">
        <v>3328</v>
      </c>
      <c r="J239" s="0" t="s">
        <v>3308</v>
      </c>
      <c r="K239" s="0" t="s">
        <v>3329</v>
      </c>
      <c r="L239" s="0" t="s">
        <v>3330</v>
      </c>
      <c r="M239" s="0" t="s">
        <v>3331</v>
      </c>
      <c r="N239" s="0" t="s">
        <v>3332</v>
      </c>
      <c r="O239" s="0" t="s">
        <v>3333</v>
      </c>
      <c r="P239" s="0" t="s">
        <v>3334</v>
      </c>
      <c r="Q239" s="0" t="s">
        <v>3335</v>
      </c>
      <c r="R239" s="0" t="b">
        <v>1</v>
      </c>
      <c r="S239" s="0" t="s">
        <v>4543</v>
      </c>
    </row>
    <row customHeight="1" ht="11.25">
      <c r="A240" s="1104">
        <v>2655</v>
      </c>
      <c r="B240" s="0" t="s">
        <v>116</v>
      </c>
      <c r="C240" s="0">
        <v>31319221</v>
      </c>
      <c r="D240" s="0" t="s">
        <v>3336</v>
      </c>
      <c r="E240" s="0" t="s">
        <v>3337</v>
      </c>
      <c r="F240" s="0" t="s">
        <v>3338</v>
      </c>
      <c r="G240" s="0" t="s">
        <v>3305</v>
      </c>
      <c r="H240" s="0" t="s">
        <v>3339</v>
      </c>
      <c r="I240" s="0" t="s">
        <v>3340</v>
      </c>
      <c r="J240" s="0" t="s">
        <v>3297</v>
      </c>
      <c r="K240" s="0" t="s">
        <v>3341</v>
      </c>
      <c r="L240" s="0" t="s">
        <v>3341</v>
      </c>
      <c r="M240" s="0" t="s">
        <v>3342</v>
      </c>
      <c r="N240" s="0" t="s">
        <v>3343</v>
      </c>
      <c r="O240" s="0" t="s">
        <v>3344</v>
      </c>
      <c r="P240" s="0" t="s">
        <v>153</v>
      </c>
      <c r="Q240" s="0" t="s">
        <v>3345</v>
      </c>
      <c r="R240" s="0" t="b">
        <v>0</v>
      </c>
      <c r="S240" s="0" t="s">
        <v>4543</v>
      </c>
    </row>
    <row customHeight="1" ht="11.25">
      <c r="A241" s="1104">
        <v>2655</v>
      </c>
      <c r="B241" s="0" t="s">
        <v>116</v>
      </c>
      <c r="C241" s="0">
        <v>31343443</v>
      </c>
      <c r="D241" s="0" t="s">
        <v>3356</v>
      </c>
      <c r="E241" s="0" t="s">
        <v>3357</v>
      </c>
      <c r="F241" s="0" t="s">
        <v>3358</v>
      </c>
      <c r="G241" s="0" t="s">
        <v>3247</v>
      </c>
      <c r="H241" s="0" t="s">
        <v>3359</v>
      </c>
      <c r="I241" s="0" t="s">
        <v>3360</v>
      </c>
      <c r="J241" s="0" t="s">
        <v>3297</v>
      </c>
      <c r="K241" s="0" t="s">
        <v>3361</v>
      </c>
      <c r="L241" s="0" t="s">
        <v>3361</v>
      </c>
      <c r="M241" s="0" t="s">
        <v>3362</v>
      </c>
      <c r="N241" s="0" t="s">
        <v>3363</v>
      </c>
      <c r="O241" s="0" t="s">
        <v>3364</v>
      </c>
      <c r="P241" s="0" t="s">
        <v>3334</v>
      </c>
      <c r="Q241" s="0" t="s">
        <v>3365</v>
      </c>
      <c r="R241" s="0" t="b">
        <v>0</v>
      </c>
      <c r="S241" s="0" t="s">
        <v>4543</v>
      </c>
    </row>
    <row customHeight="1" ht="11.25">
      <c r="A242" s="1104">
        <v>2655</v>
      </c>
      <c r="B242" s="0" t="s">
        <v>116</v>
      </c>
      <c r="C242" s="0">
        <v>31367841</v>
      </c>
      <c r="D242" s="0" t="s">
        <v>3366</v>
      </c>
      <c r="E242" s="0" t="s">
        <v>3367</v>
      </c>
      <c r="F242" s="0" t="s">
        <v>3368</v>
      </c>
      <c r="G242" s="0" t="s">
        <v>3369</v>
      </c>
      <c r="H242" s="0" t="s">
        <v>3370</v>
      </c>
      <c r="I242" s="0" t="s">
        <v>3371</v>
      </c>
      <c r="J242" s="0" t="s">
        <v>3308</v>
      </c>
      <c r="K242" s="0" t="s">
        <v>3372</v>
      </c>
      <c r="L242" s="0" t="s">
        <v>3372</v>
      </c>
      <c r="M242" s="0" t="s">
        <v>176</v>
      </c>
      <c r="N242" s="0" t="s">
        <v>3373</v>
      </c>
      <c r="O242" s="0" t="s">
        <v>3374</v>
      </c>
      <c r="P242" s="0" t="s">
        <v>153</v>
      </c>
      <c r="Q242" s="0" t="s">
        <v>176</v>
      </c>
      <c r="R242" s="0" t="b">
        <v>0</v>
      </c>
      <c r="S242" s="0" t="s">
        <v>4543</v>
      </c>
    </row>
    <row customHeight="1" ht="11.25">
      <c r="A243" s="1104">
        <v>2655</v>
      </c>
      <c r="B243" s="0" t="s">
        <v>116</v>
      </c>
      <c r="C243" s="0">
        <v>31087651</v>
      </c>
      <c r="D243" s="0" t="s">
        <v>3375</v>
      </c>
      <c r="E243" s="0" t="s">
        <v>3376</v>
      </c>
      <c r="F243" s="0" t="s">
        <v>3377</v>
      </c>
      <c r="G243" s="0" t="s">
        <v>3378</v>
      </c>
      <c r="H243" s="0" t="s">
        <v>3379</v>
      </c>
      <c r="I243" s="0" t="s">
        <v>3380</v>
      </c>
      <c r="J243" s="0" t="s">
        <v>3297</v>
      </c>
      <c r="K243" s="0" t="s">
        <v>3381</v>
      </c>
      <c r="L243" s="0" t="s">
        <v>3381</v>
      </c>
      <c r="M243" s="0" t="s">
        <v>3382</v>
      </c>
      <c r="N243" s="0" t="s">
        <v>3383</v>
      </c>
      <c r="O243" s="0" t="s">
        <v>3384</v>
      </c>
      <c r="R243" s="0" t="b">
        <v>0</v>
      </c>
      <c r="S243" s="0" t="s">
        <v>4543</v>
      </c>
    </row>
    <row customHeight="1" ht="11.25">
      <c r="A244" s="1104">
        <v>2655</v>
      </c>
      <c r="B244" s="0" t="s">
        <v>116</v>
      </c>
      <c r="C244" s="0">
        <v>31367862</v>
      </c>
      <c r="D244" s="0" t="s">
        <v>3385</v>
      </c>
      <c r="E244" s="0" t="s">
        <v>3386</v>
      </c>
      <c r="F244" s="0" t="s">
        <v>3387</v>
      </c>
      <c r="G244" s="0" t="s">
        <v>3369</v>
      </c>
      <c r="H244" s="0" t="s">
        <v>3388</v>
      </c>
      <c r="I244" s="0" t="s">
        <v>3389</v>
      </c>
      <c r="J244" s="0" t="s">
        <v>3297</v>
      </c>
      <c r="K244" s="0" t="s">
        <v>3390</v>
      </c>
      <c r="L244" s="0" t="s">
        <v>3390</v>
      </c>
      <c r="M244" s="0" t="s">
        <v>176</v>
      </c>
      <c r="N244" s="0" t="s">
        <v>3391</v>
      </c>
      <c r="O244" s="0" t="s">
        <v>3392</v>
      </c>
      <c r="P244" s="0" t="s">
        <v>153</v>
      </c>
      <c r="Q244" s="0" t="s">
        <v>176</v>
      </c>
      <c r="R244" s="0" t="b">
        <v>0</v>
      </c>
      <c r="S244" s="0" t="s">
        <v>4543</v>
      </c>
    </row>
    <row customHeight="1" ht="11.25">
      <c r="A245" s="1104">
        <v>2655</v>
      </c>
      <c r="B245" s="0" t="s">
        <v>116</v>
      </c>
      <c r="C245" s="0">
        <v>31085797</v>
      </c>
      <c r="D245" s="0" t="s">
        <v>3989</v>
      </c>
      <c r="E245" s="0" t="s">
        <v>3990</v>
      </c>
      <c r="F245" s="0" t="s">
        <v>3991</v>
      </c>
      <c r="G245" s="0" t="s">
        <v>3191</v>
      </c>
      <c r="H245" s="0" t="s">
        <v>3992</v>
      </c>
      <c r="I245" s="0" t="s">
        <v>3993</v>
      </c>
      <c r="J245" s="0" t="s">
        <v>3308</v>
      </c>
      <c r="K245" s="0" t="s">
        <v>3994</v>
      </c>
      <c r="L245" s="0" t="s">
        <v>3995</v>
      </c>
      <c r="M245" s="0" t="s">
        <v>3996</v>
      </c>
      <c r="N245" s="0" t="s">
        <v>3997</v>
      </c>
      <c r="O245" s="0" t="s">
        <v>3998</v>
      </c>
      <c r="P245" s="0" t="s">
        <v>153</v>
      </c>
      <c r="Q245" s="0" t="s">
        <v>176</v>
      </c>
      <c r="R245" s="0" t="b">
        <v>1</v>
      </c>
      <c r="S245" s="0" t="s">
        <v>4543</v>
      </c>
    </row>
    <row customHeight="1" ht="11.25">
      <c r="A246" s="1104">
        <v>2655</v>
      </c>
      <c r="B246" s="0" t="s">
        <v>116</v>
      </c>
      <c r="C246" s="0">
        <v>26486390</v>
      </c>
      <c r="D246" s="0" t="s">
        <v>3393</v>
      </c>
      <c r="E246" s="0" t="s">
        <v>3394</v>
      </c>
      <c r="F246" s="0" t="s">
        <v>3395</v>
      </c>
      <c r="G246" s="0" t="s">
        <v>3396</v>
      </c>
      <c r="H246" s="0" t="s">
        <v>3397</v>
      </c>
      <c r="I246" s="0" t="s">
        <v>3398</v>
      </c>
      <c r="J246" s="0" t="s">
        <v>3308</v>
      </c>
      <c r="K246" s="0" t="s">
        <v>3399</v>
      </c>
      <c r="L246" s="0" t="s">
        <v>3399</v>
      </c>
      <c r="M246" s="0" t="s">
        <v>3400</v>
      </c>
      <c r="N246" s="0" t="s">
        <v>3401</v>
      </c>
      <c r="O246" s="0" t="s">
        <v>3402</v>
      </c>
      <c r="P246" s="0" t="s">
        <v>153</v>
      </c>
      <c r="Q246" s="0" t="s">
        <v>3403</v>
      </c>
      <c r="R246" s="0" t="b">
        <v>0</v>
      </c>
      <c r="S246" s="0" t="s">
        <v>4543</v>
      </c>
    </row>
    <row customHeight="1" ht="11.25">
      <c r="A247" s="1104">
        <v>2655</v>
      </c>
      <c r="B247" s="0" t="s">
        <v>116</v>
      </c>
      <c r="C247" s="0">
        <v>31187282</v>
      </c>
      <c r="D247" s="0" t="s">
        <v>3999</v>
      </c>
      <c r="E247" s="0" t="s">
        <v>4000</v>
      </c>
      <c r="F247" s="0" t="s">
        <v>4001</v>
      </c>
      <c r="G247" s="0" t="s">
        <v>3202</v>
      </c>
      <c r="H247" s="0" t="s">
        <v>4002</v>
      </c>
      <c r="I247" s="0" t="s">
        <v>4003</v>
      </c>
      <c r="J247" s="0" t="s">
        <v>3308</v>
      </c>
      <c r="K247" s="0" t="s">
        <v>4004</v>
      </c>
      <c r="L247" s="0" t="s">
        <v>4004</v>
      </c>
      <c r="M247" s="0" t="s">
        <v>176</v>
      </c>
      <c r="N247" s="0" t="s">
        <v>4005</v>
      </c>
      <c r="O247" s="0" t="s">
        <v>4006</v>
      </c>
      <c r="P247" s="0" t="s">
        <v>153</v>
      </c>
      <c r="Q247" s="0" t="s">
        <v>176</v>
      </c>
      <c r="R247" s="0" t="b">
        <v>0</v>
      </c>
      <c r="S247" s="0" t="s">
        <v>4543</v>
      </c>
    </row>
    <row customHeight="1" ht="11.25">
      <c r="A248" s="1104">
        <v>2655</v>
      </c>
      <c r="B248" s="0" t="s">
        <v>116</v>
      </c>
      <c r="C248" s="0">
        <v>31308226</v>
      </c>
      <c r="D248" s="0" t="s">
        <v>3425</v>
      </c>
      <c r="E248" s="0" t="s">
        <v>3426</v>
      </c>
      <c r="F248" s="0" t="s">
        <v>3427</v>
      </c>
      <c r="G248" s="0" t="s">
        <v>3428</v>
      </c>
      <c r="H248" s="0" t="s">
        <v>3429</v>
      </c>
      <c r="I248" s="0" t="s">
        <v>3430</v>
      </c>
      <c r="J248" s="0" t="s">
        <v>3308</v>
      </c>
      <c r="K248" s="0" t="s">
        <v>3431</v>
      </c>
      <c r="L248" s="0" t="s">
        <v>3431</v>
      </c>
      <c r="M248" s="0" t="s">
        <v>3432</v>
      </c>
      <c r="N248" s="0" t="s">
        <v>3433</v>
      </c>
      <c r="O248" s="0" t="s">
        <v>3434</v>
      </c>
      <c r="P248" s="0" t="s">
        <v>3334</v>
      </c>
      <c r="Q248" s="0" t="s">
        <v>176</v>
      </c>
      <c r="R248" s="0" t="b">
        <v>1</v>
      </c>
      <c r="S248" s="0" t="s">
        <v>4543</v>
      </c>
    </row>
    <row customHeight="1" ht="11.25">
      <c r="A249" s="1104">
        <v>2655</v>
      </c>
      <c r="B249" s="0" t="s">
        <v>116</v>
      </c>
      <c r="C249" s="0">
        <v>31284269</v>
      </c>
      <c r="D249" s="0" t="s">
        <v>3435</v>
      </c>
      <c r="E249" s="0" t="s">
        <v>3436</v>
      </c>
      <c r="F249" s="0" t="s">
        <v>3437</v>
      </c>
      <c r="G249" s="0" t="s">
        <v>3378</v>
      </c>
      <c r="H249" s="0" t="s">
        <v>3438</v>
      </c>
      <c r="I249" s="0" t="s">
        <v>3439</v>
      </c>
      <c r="J249" s="0" t="s">
        <v>3308</v>
      </c>
      <c r="K249" s="0" t="s">
        <v>3440</v>
      </c>
      <c r="L249" s="0" t="s">
        <v>3441</v>
      </c>
      <c r="M249" s="0" t="s">
        <v>3442</v>
      </c>
      <c r="N249" s="0" t="s">
        <v>3443</v>
      </c>
      <c r="O249" s="0" t="s">
        <v>3444</v>
      </c>
      <c r="P249" s="0" t="s">
        <v>153</v>
      </c>
      <c r="Q249" s="0" t="s">
        <v>176</v>
      </c>
      <c r="R249" s="0" t="b">
        <v>0</v>
      </c>
      <c r="S249" s="0" t="s">
        <v>4543</v>
      </c>
    </row>
    <row customHeight="1" ht="11.25">
      <c r="A250" s="1104">
        <v>2655</v>
      </c>
      <c r="B250" s="0" t="s">
        <v>116</v>
      </c>
      <c r="C250" s="0">
        <v>31159389</v>
      </c>
      <c r="D250" s="0" t="s">
        <v>4007</v>
      </c>
      <c r="E250" s="0" t="s">
        <v>4008</v>
      </c>
      <c r="F250" s="0" t="s">
        <v>4009</v>
      </c>
      <c r="G250" s="0" t="s">
        <v>3316</v>
      </c>
      <c r="H250" s="0" t="s">
        <v>4010</v>
      </c>
      <c r="I250" s="0" t="s">
        <v>4011</v>
      </c>
      <c r="J250" s="0" t="s">
        <v>3308</v>
      </c>
      <c r="K250" s="0" t="s">
        <v>4012</v>
      </c>
      <c r="L250" s="0" t="s">
        <v>4013</v>
      </c>
      <c r="M250" s="0" t="s">
        <v>4014</v>
      </c>
      <c r="N250" s="0" t="s">
        <v>4015</v>
      </c>
      <c r="O250" s="0" t="s">
        <v>4016</v>
      </c>
      <c r="P250" s="0" t="s">
        <v>153</v>
      </c>
      <c r="Q250" s="0" t="s">
        <v>176</v>
      </c>
      <c r="R250" s="0" t="b">
        <v>0</v>
      </c>
      <c r="S250" s="0" t="s">
        <v>4543</v>
      </c>
    </row>
    <row customHeight="1" ht="11.25">
      <c r="A251" s="1104">
        <v>2655</v>
      </c>
      <c r="B251" s="0" t="s">
        <v>116</v>
      </c>
      <c r="C251" s="0">
        <v>26322895</v>
      </c>
      <c r="D251" s="0" t="s">
        <v>3465</v>
      </c>
      <c r="E251" s="0" t="s">
        <v>3466</v>
      </c>
      <c r="F251" s="0" t="s">
        <v>3467</v>
      </c>
      <c r="G251" s="0" t="s">
        <v>3178</v>
      </c>
      <c r="H251" s="0" t="s">
        <v>3468</v>
      </c>
      <c r="I251" s="0" t="s">
        <v>3469</v>
      </c>
      <c r="J251" s="0" t="s">
        <v>3239</v>
      </c>
      <c r="K251" s="0" t="s">
        <v>3470</v>
      </c>
      <c r="L251" s="0" t="s">
        <v>3470</v>
      </c>
      <c r="M251" s="0" t="s">
        <v>3471</v>
      </c>
      <c r="N251" s="0" t="s">
        <v>3472</v>
      </c>
      <c r="O251" s="0" t="s">
        <v>3473</v>
      </c>
      <c r="P251" s="0" t="s">
        <v>3208</v>
      </c>
      <c r="Q251" s="0" t="s">
        <v>3474</v>
      </c>
      <c r="R251" s="0" t="b">
        <v>0</v>
      </c>
      <c r="S251" s="0" t="s">
        <v>4543</v>
      </c>
    </row>
    <row customHeight="1" ht="11.25">
      <c r="A252" s="1104">
        <v>2655</v>
      </c>
      <c r="B252" s="0" t="s">
        <v>116</v>
      </c>
      <c r="C252" s="0">
        <v>26356930</v>
      </c>
      <c r="D252" s="0" t="s">
        <v>4017</v>
      </c>
      <c r="E252" s="0" t="s">
        <v>4018</v>
      </c>
      <c r="F252" s="0" t="s">
        <v>4019</v>
      </c>
      <c r="G252" s="0" t="s">
        <v>3485</v>
      </c>
      <c r="H252" s="0" t="s">
        <v>4020</v>
      </c>
      <c r="I252" s="0" t="s">
        <v>4021</v>
      </c>
      <c r="J252" s="0" t="s">
        <v>141</v>
      </c>
      <c r="K252" s="0" t="s">
        <v>4022</v>
      </c>
      <c r="L252" s="0" t="s">
        <v>4022</v>
      </c>
      <c r="M252" s="0" t="s">
        <v>4023</v>
      </c>
      <c r="N252" s="0" t="s">
        <v>176</v>
      </c>
      <c r="O252" s="0" t="s">
        <v>4024</v>
      </c>
      <c r="P252" s="0" t="s">
        <v>153</v>
      </c>
      <c r="Q252" s="0" t="s">
        <v>176</v>
      </c>
      <c r="R252" s="0" t="b">
        <v>1</v>
      </c>
      <c r="S252" s="0" t="s">
        <v>4543</v>
      </c>
    </row>
    <row customHeight="1" ht="11.25">
      <c r="A253" s="1104">
        <v>2655</v>
      </c>
      <c r="B253" s="0" t="s">
        <v>116</v>
      </c>
      <c r="C253" s="0">
        <v>30843704</v>
      </c>
      <c r="D253" s="0" t="s">
        <v>4025</v>
      </c>
      <c r="E253" s="0" t="s">
        <v>4026</v>
      </c>
      <c r="F253" s="0" t="s">
        <v>4027</v>
      </c>
      <c r="G253" s="0" t="s">
        <v>3178</v>
      </c>
      <c r="H253" s="0" t="s">
        <v>4028</v>
      </c>
      <c r="I253" s="0" t="s">
        <v>4029</v>
      </c>
      <c r="J253" s="0" t="s">
        <v>141</v>
      </c>
      <c r="K253" s="0" t="s">
        <v>4030</v>
      </c>
      <c r="L253" s="0" t="s">
        <v>4031</v>
      </c>
      <c r="M253" s="0" t="s">
        <v>176</v>
      </c>
      <c r="N253" s="0" t="s">
        <v>4032</v>
      </c>
      <c r="O253" s="0" t="s">
        <v>4033</v>
      </c>
      <c r="P253" s="0" t="s">
        <v>3208</v>
      </c>
      <c r="Q253" s="0" t="s">
        <v>176</v>
      </c>
      <c r="R253" s="0" t="b">
        <v>0</v>
      </c>
      <c r="S253" s="0" t="s">
        <v>4543</v>
      </c>
    </row>
    <row customHeight="1" ht="11.25">
      <c r="A254" s="1104">
        <v>2655</v>
      </c>
      <c r="B254" s="0" t="s">
        <v>116</v>
      </c>
      <c r="C254" s="0">
        <v>26798812</v>
      </c>
      <c r="D254" s="0" t="s">
        <v>4034</v>
      </c>
      <c r="E254" s="0" t="s">
        <v>4035</v>
      </c>
      <c r="F254" s="0" t="s">
        <v>4036</v>
      </c>
      <c r="G254" s="0" t="s">
        <v>3191</v>
      </c>
      <c r="H254" s="0" t="s">
        <v>4037</v>
      </c>
      <c r="I254" s="0" t="s">
        <v>4038</v>
      </c>
      <c r="J254" s="0" t="s">
        <v>141</v>
      </c>
      <c r="K254" s="0" t="s">
        <v>4039</v>
      </c>
      <c r="L254" s="0" t="s">
        <v>4039</v>
      </c>
      <c r="M254" s="0" t="s">
        <v>4040</v>
      </c>
      <c r="N254" s="0" t="s">
        <v>4041</v>
      </c>
      <c r="O254" s="0" t="s">
        <v>4042</v>
      </c>
      <c r="P254" s="0" t="s">
        <v>3208</v>
      </c>
      <c r="Q254" s="0" t="s">
        <v>4043</v>
      </c>
      <c r="R254" s="0" t="b">
        <v>0</v>
      </c>
      <c r="S254" s="0" t="s">
        <v>4543</v>
      </c>
    </row>
    <row customHeight="1" ht="11.25">
      <c r="A255" s="1104">
        <v>2655</v>
      </c>
      <c r="B255" s="0" t="s">
        <v>116</v>
      </c>
      <c r="C255" s="0">
        <v>31775146</v>
      </c>
      <c r="D255" s="0" t="s">
        <v>3482</v>
      </c>
      <c r="E255" s="0" t="s">
        <v>3483</v>
      </c>
      <c r="F255" s="0" t="s">
        <v>3484</v>
      </c>
      <c r="G255" s="0" t="s">
        <v>3485</v>
      </c>
      <c r="H255" s="0" t="s">
        <v>3486</v>
      </c>
      <c r="I255" s="0" t="s">
        <v>3487</v>
      </c>
      <c r="K255" s="0" t="s">
        <v>3488</v>
      </c>
      <c r="L255" s="0" t="s">
        <v>3488</v>
      </c>
      <c r="M255" s="0" t="s">
        <v>3489</v>
      </c>
      <c r="N255" s="0" t="s">
        <v>3490</v>
      </c>
      <c r="O255" s="0" t="s">
        <v>3491</v>
      </c>
      <c r="P255" s="0" t="s">
        <v>3334</v>
      </c>
      <c r="Q255" s="0" t="s">
        <v>176</v>
      </c>
      <c r="R255" s="0" t="b">
        <v>1</v>
      </c>
      <c r="S255" s="0" t="s">
        <v>4543</v>
      </c>
    </row>
    <row customHeight="1" ht="11.25">
      <c r="A256" s="1104">
        <v>2655</v>
      </c>
      <c r="B256" s="0" t="s">
        <v>116</v>
      </c>
      <c r="C256" s="0">
        <v>28873685</v>
      </c>
      <c r="D256" s="0" t="s">
        <v>4044</v>
      </c>
      <c r="E256" s="0" t="s">
        <v>4045</v>
      </c>
      <c r="F256" s="0" t="s">
        <v>4046</v>
      </c>
      <c r="G256" s="0" t="s">
        <v>3485</v>
      </c>
      <c r="H256" s="0" t="s">
        <v>4047</v>
      </c>
      <c r="I256" s="0" t="s">
        <v>4048</v>
      </c>
      <c r="J256" s="0" t="s">
        <v>141</v>
      </c>
      <c r="K256" s="0" t="s">
        <v>4049</v>
      </c>
      <c r="L256" s="0" t="s">
        <v>4049</v>
      </c>
      <c r="M256" s="0" t="s">
        <v>4050</v>
      </c>
      <c r="N256" s="0" t="s">
        <v>3490</v>
      </c>
      <c r="O256" s="0" t="s">
        <v>3491</v>
      </c>
      <c r="P256" s="0" t="s">
        <v>3208</v>
      </c>
      <c r="Q256" s="0" t="s">
        <v>4051</v>
      </c>
      <c r="R256" s="0" t="b">
        <v>1</v>
      </c>
      <c r="S256" s="0" t="s">
        <v>4543</v>
      </c>
    </row>
    <row customHeight="1" ht="11.25">
      <c r="A257" s="1104">
        <v>2655</v>
      </c>
      <c r="B257" s="0" t="s">
        <v>116</v>
      </c>
      <c r="C257" s="0">
        <v>28869965</v>
      </c>
      <c r="D257" s="0" t="s">
        <v>3492</v>
      </c>
      <c r="E257" s="0" t="s">
        <v>3493</v>
      </c>
      <c r="F257" s="0" t="s">
        <v>3494</v>
      </c>
      <c r="G257" s="0" t="s">
        <v>3294</v>
      </c>
      <c r="H257" s="0" t="s">
        <v>3495</v>
      </c>
      <c r="I257" s="0" t="s">
        <v>176</v>
      </c>
      <c r="J257" s="0" t="s">
        <v>141</v>
      </c>
      <c r="K257" s="0" t="s">
        <v>3496</v>
      </c>
      <c r="L257" s="0" t="s">
        <v>3496</v>
      </c>
      <c r="M257" s="0" t="s">
        <v>3497</v>
      </c>
      <c r="N257" s="0" t="s">
        <v>3498</v>
      </c>
      <c r="O257" s="0" t="s">
        <v>3499</v>
      </c>
      <c r="P257" s="0" t="s">
        <v>3208</v>
      </c>
      <c r="Q257" s="0" t="s">
        <v>3500</v>
      </c>
      <c r="R257" s="0" t="b">
        <v>0</v>
      </c>
      <c r="S257" s="0" t="s">
        <v>4543</v>
      </c>
    </row>
    <row customHeight="1" ht="11.25">
      <c r="A258" s="1104">
        <v>2655</v>
      </c>
      <c r="B258" s="0" t="s">
        <v>116</v>
      </c>
      <c r="C258" s="0">
        <v>31245446</v>
      </c>
      <c r="D258" s="0" t="s">
        <v>4052</v>
      </c>
      <c r="E258" s="0" t="s">
        <v>4053</v>
      </c>
      <c r="F258" s="0" t="s">
        <v>4054</v>
      </c>
      <c r="G258" s="0" t="s">
        <v>4055</v>
      </c>
      <c r="H258" s="0" t="s">
        <v>4056</v>
      </c>
      <c r="I258" s="0" t="s">
        <v>4057</v>
      </c>
      <c r="J258" s="0" t="s">
        <v>141</v>
      </c>
      <c r="K258" s="0" t="s">
        <v>4058</v>
      </c>
      <c r="L258" s="0" t="s">
        <v>4059</v>
      </c>
      <c r="M258" s="0" t="s">
        <v>4060</v>
      </c>
      <c r="N258" s="0" t="s">
        <v>4061</v>
      </c>
      <c r="O258" s="0" t="s">
        <v>4062</v>
      </c>
      <c r="P258" s="0" t="s">
        <v>153</v>
      </c>
      <c r="Q258" s="0" t="s">
        <v>176</v>
      </c>
      <c r="R258" s="0" t="b">
        <v>0</v>
      </c>
      <c r="S258" s="0" t="s">
        <v>4543</v>
      </c>
    </row>
    <row customHeight="1" ht="11.25">
      <c r="A259" s="1104">
        <v>2655</v>
      </c>
      <c r="B259" s="0" t="s">
        <v>116</v>
      </c>
      <c r="C259" s="0">
        <v>26476793</v>
      </c>
      <c r="D259" s="0" t="s">
        <v>4063</v>
      </c>
      <c r="E259" s="0" t="s">
        <v>4064</v>
      </c>
      <c r="F259" s="0" t="s">
        <v>4065</v>
      </c>
      <c r="G259" s="0" t="s">
        <v>3960</v>
      </c>
      <c r="H259" s="0" t="s">
        <v>4066</v>
      </c>
      <c r="I259" s="0" t="s">
        <v>4067</v>
      </c>
      <c r="J259" s="0" t="s">
        <v>141</v>
      </c>
      <c r="K259" s="0" t="s">
        <v>4068</v>
      </c>
      <c r="L259" s="0" t="s">
        <v>4068</v>
      </c>
      <c r="M259" s="0" t="s">
        <v>4069</v>
      </c>
      <c r="N259" s="0" t="s">
        <v>4070</v>
      </c>
      <c r="O259" s="0" t="s">
        <v>4071</v>
      </c>
      <c r="P259" s="0" t="s">
        <v>153</v>
      </c>
      <c r="Q259" s="0" t="s">
        <v>158</v>
      </c>
      <c r="R259" s="0" t="b">
        <v>1</v>
      </c>
      <c r="S259" s="0" t="s">
        <v>4543</v>
      </c>
    </row>
    <row customHeight="1" ht="11.25">
      <c r="A260" s="1104">
        <v>2655</v>
      </c>
      <c r="B260" s="0" t="s">
        <v>116</v>
      </c>
      <c r="C260" s="0">
        <v>28509720</v>
      </c>
      <c r="D260" s="0" t="s">
        <v>4072</v>
      </c>
      <c r="E260" s="0" t="s">
        <v>4073</v>
      </c>
      <c r="F260" s="0" t="s">
        <v>4074</v>
      </c>
      <c r="G260" s="0" t="s">
        <v>4075</v>
      </c>
      <c r="H260" s="0" t="s">
        <v>4076</v>
      </c>
      <c r="I260" s="0" t="s">
        <v>4077</v>
      </c>
      <c r="J260" s="0" t="s">
        <v>141</v>
      </c>
      <c r="K260" s="0" t="s">
        <v>4078</v>
      </c>
      <c r="L260" s="0" t="s">
        <v>4079</v>
      </c>
      <c r="M260" s="0" t="s">
        <v>4080</v>
      </c>
      <c r="N260" s="0" t="s">
        <v>176</v>
      </c>
      <c r="O260" s="0" t="s">
        <v>4081</v>
      </c>
      <c r="P260" s="0" t="s">
        <v>3208</v>
      </c>
      <c r="Q260" s="0" t="s">
        <v>176</v>
      </c>
      <c r="R260" s="0" t="b">
        <v>0</v>
      </c>
      <c r="S260" s="0" t="s">
        <v>4543</v>
      </c>
    </row>
    <row customHeight="1" ht="11.25">
      <c r="A261" s="1104">
        <v>2655</v>
      </c>
      <c r="B261" s="0" t="s">
        <v>116</v>
      </c>
      <c r="C261" s="0">
        <v>31527562</v>
      </c>
      <c r="D261" s="0" t="s">
        <v>4082</v>
      </c>
      <c r="E261" s="0" t="s">
        <v>4083</v>
      </c>
      <c r="F261" s="0" t="s">
        <v>4084</v>
      </c>
      <c r="G261" s="0" t="s">
        <v>4085</v>
      </c>
      <c r="H261" s="0" t="s">
        <v>4086</v>
      </c>
      <c r="I261" s="0" t="s">
        <v>4087</v>
      </c>
      <c r="K261" s="0" t="s">
        <v>4088</v>
      </c>
      <c r="L261" s="0" t="s">
        <v>4089</v>
      </c>
      <c r="M261" s="0" t="s">
        <v>176</v>
      </c>
      <c r="N261" s="0" t="s">
        <v>176</v>
      </c>
      <c r="O261" s="0" t="s">
        <v>4090</v>
      </c>
      <c r="P261" s="0" t="s">
        <v>176</v>
      </c>
      <c r="Q261" s="0" t="s">
        <v>176</v>
      </c>
      <c r="R261" s="0" t="b">
        <v>0</v>
      </c>
      <c r="S261" s="0" t="s">
        <v>4543</v>
      </c>
    </row>
    <row customHeight="1" ht="11.25">
      <c r="A262" s="1104">
        <v>2655</v>
      </c>
      <c r="B262" s="0" t="s">
        <v>116</v>
      </c>
      <c r="C262" s="0">
        <v>31874557</v>
      </c>
      <c r="D262" s="0" t="s">
        <v>4091</v>
      </c>
      <c r="E262" s="0" t="s">
        <v>4092</v>
      </c>
      <c r="F262" s="0" t="s">
        <v>4093</v>
      </c>
      <c r="G262" s="0" t="s">
        <v>3428</v>
      </c>
      <c r="H262" s="0" t="s">
        <v>4094</v>
      </c>
      <c r="I262" s="0" t="s">
        <v>4095</v>
      </c>
      <c r="K262" s="0" t="s">
        <v>4096</v>
      </c>
      <c r="L262" s="0" t="s">
        <v>4096</v>
      </c>
      <c r="M262" s="0" t="s">
        <v>4097</v>
      </c>
      <c r="N262" s="0" t="s">
        <v>4098</v>
      </c>
      <c r="O262" s="0" t="s">
        <v>4099</v>
      </c>
      <c r="P262" s="0" t="s">
        <v>3208</v>
      </c>
      <c r="Q262" s="0" t="s">
        <v>176</v>
      </c>
      <c r="R262" s="0" t="b">
        <v>1</v>
      </c>
      <c r="S262" s="0" t="s">
        <v>4543</v>
      </c>
    </row>
    <row customHeight="1" ht="11.25">
      <c r="A263" s="1104">
        <v>2655</v>
      </c>
      <c r="B263" s="0" t="s">
        <v>116</v>
      </c>
      <c r="C263" s="0">
        <v>31656254</v>
      </c>
      <c r="D263" s="0" t="s">
        <v>126</v>
      </c>
      <c r="E263" s="0" t="s">
        <v>129</v>
      </c>
      <c r="F263" s="0" t="s">
        <v>135</v>
      </c>
      <c r="G263" s="0" t="s">
        <v>137</v>
      </c>
      <c r="H263" s="0" t="s">
        <v>133</v>
      </c>
      <c r="I263" s="0" t="s">
        <v>139</v>
      </c>
      <c r="K263" s="0" t="s">
        <v>145</v>
      </c>
      <c r="L263" s="0" t="s">
        <v>143</v>
      </c>
      <c r="M263" s="0" t="s">
        <v>147</v>
      </c>
      <c r="N263" s="0" t="s">
        <v>149</v>
      </c>
      <c r="O263" s="0" t="s">
        <v>151</v>
      </c>
      <c r="P263" s="0" t="s">
        <v>153</v>
      </c>
      <c r="Q263" s="0" t="s">
        <v>155</v>
      </c>
      <c r="R263" s="0" t="b">
        <v>0</v>
      </c>
      <c r="S263" s="0" t="s">
        <v>4543</v>
      </c>
    </row>
    <row customHeight="1" ht="11.25">
      <c r="A264" s="1104">
        <v>2655</v>
      </c>
      <c r="B264" s="0" t="s">
        <v>116</v>
      </c>
      <c r="C264" s="0">
        <v>26356927</v>
      </c>
      <c r="D264" s="0" t="s">
        <v>4100</v>
      </c>
      <c r="E264" s="0" t="s">
        <v>4101</v>
      </c>
      <c r="F264" s="0" t="s">
        <v>4102</v>
      </c>
      <c r="G264" s="0" t="s">
        <v>3485</v>
      </c>
      <c r="H264" s="0" t="s">
        <v>4103</v>
      </c>
      <c r="I264" s="0" t="s">
        <v>4104</v>
      </c>
      <c r="J264" s="0" t="s">
        <v>141</v>
      </c>
      <c r="K264" s="0" t="s">
        <v>4105</v>
      </c>
      <c r="L264" s="0" t="s">
        <v>4105</v>
      </c>
      <c r="M264" s="0" t="s">
        <v>4106</v>
      </c>
      <c r="N264" s="0" t="s">
        <v>4107</v>
      </c>
      <c r="O264" s="0" t="s">
        <v>4108</v>
      </c>
      <c r="P264" s="0" t="s">
        <v>3334</v>
      </c>
      <c r="Q264" s="0" t="s">
        <v>176</v>
      </c>
      <c r="R264" s="0" t="b">
        <v>1</v>
      </c>
      <c r="S264" s="0" t="s">
        <v>4543</v>
      </c>
    </row>
    <row customHeight="1" ht="11.25">
      <c r="A265" s="1104">
        <v>2655</v>
      </c>
      <c r="B265" s="0" t="s">
        <v>116</v>
      </c>
      <c r="C265" s="0">
        <v>28878273</v>
      </c>
      <c r="D265" s="0" t="s">
        <v>4109</v>
      </c>
      <c r="E265" s="0" t="s">
        <v>4110</v>
      </c>
      <c r="F265" s="0" t="s">
        <v>4111</v>
      </c>
      <c r="G265" s="0" t="s">
        <v>3178</v>
      </c>
      <c r="H265" s="0" t="s">
        <v>4112</v>
      </c>
      <c r="I265" s="0" t="s">
        <v>176</v>
      </c>
      <c r="J265" s="0" t="s">
        <v>141</v>
      </c>
      <c r="K265" s="0" t="s">
        <v>4113</v>
      </c>
      <c r="L265" s="0" t="s">
        <v>4114</v>
      </c>
      <c r="M265" s="0" t="s">
        <v>4115</v>
      </c>
      <c r="N265" s="0" t="s">
        <v>4116</v>
      </c>
      <c r="O265" s="0" t="s">
        <v>4117</v>
      </c>
      <c r="P265" s="0" t="s">
        <v>3208</v>
      </c>
      <c r="Q265" s="0" t="s">
        <v>4118</v>
      </c>
      <c r="R265" s="0" t="b">
        <v>0</v>
      </c>
      <c r="S265" s="0" t="s">
        <v>4543</v>
      </c>
    </row>
    <row customHeight="1" ht="11.25">
      <c r="A266" s="1104">
        <v>2655</v>
      </c>
      <c r="B266" s="0" t="s">
        <v>116</v>
      </c>
      <c r="C266" s="0">
        <v>26562805</v>
      </c>
      <c r="D266" s="0" t="s">
        <v>4119</v>
      </c>
      <c r="E266" s="0" t="s">
        <v>4120</v>
      </c>
      <c r="F266" s="0" t="s">
        <v>4121</v>
      </c>
      <c r="G266" s="0" t="s">
        <v>3396</v>
      </c>
      <c r="H266" s="0" t="s">
        <v>4122</v>
      </c>
      <c r="I266" s="0" t="s">
        <v>4123</v>
      </c>
      <c r="J266" s="0" t="s">
        <v>141</v>
      </c>
      <c r="K266" s="0" t="s">
        <v>4124</v>
      </c>
      <c r="L266" s="0" t="s">
        <v>4124</v>
      </c>
      <c r="M266" s="0" t="s">
        <v>4125</v>
      </c>
      <c r="N266" s="0" t="s">
        <v>4126</v>
      </c>
      <c r="O266" s="0" t="s">
        <v>4127</v>
      </c>
      <c r="P266" s="0" t="s">
        <v>153</v>
      </c>
      <c r="Q266" s="0" t="s">
        <v>4128</v>
      </c>
      <c r="R266" s="0" t="b">
        <v>0</v>
      </c>
      <c r="S266" s="0" t="s">
        <v>4543</v>
      </c>
    </row>
    <row customHeight="1" ht="11.25">
      <c r="A267" s="1104">
        <v>2655</v>
      </c>
      <c r="B267" s="0" t="s">
        <v>116</v>
      </c>
      <c r="C267" s="0">
        <v>31684090</v>
      </c>
      <c r="D267" s="0" t="s">
        <v>4129</v>
      </c>
      <c r="E267" s="0" t="s">
        <v>4130</v>
      </c>
      <c r="F267" s="0" t="s">
        <v>4131</v>
      </c>
      <c r="G267" s="0" t="s">
        <v>3178</v>
      </c>
      <c r="H267" s="0" t="s">
        <v>4132</v>
      </c>
      <c r="I267" s="0" t="s">
        <v>4133</v>
      </c>
      <c r="K267" s="0" t="s">
        <v>4134</v>
      </c>
      <c r="L267" s="0" t="s">
        <v>4135</v>
      </c>
      <c r="M267" s="0" t="s">
        <v>176</v>
      </c>
      <c r="N267" s="0" t="s">
        <v>176</v>
      </c>
      <c r="O267" s="0" t="s">
        <v>4136</v>
      </c>
      <c r="P267" s="0" t="s">
        <v>3186</v>
      </c>
      <c r="Q267" s="0" t="s">
        <v>4137</v>
      </c>
      <c r="R267" s="0" t="b">
        <v>0</v>
      </c>
      <c r="S267" s="0" t="s">
        <v>4543</v>
      </c>
    </row>
    <row customHeight="1" ht="11.25">
      <c r="A268" s="1104">
        <v>2655</v>
      </c>
      <c r="B268" s="0" t="s">
        <v>116</v>
      </c>
      <c r="C268" s="0">
        <v>27997588</v>
      </c>
      <c r="D268" s="0" t="s">
        <v>4138</v>
      </c>
      <c r="E268" s="0" t="s">
        <v>4139</v>
      </c>
      <c r="F268" s="0" t="s">
        <v>4140</v>
      </c>
      <c r="G268" s="0" t="s">
        <v>3294</v>
      </c>
      <c r="H268" s="0" t="s">
        <v>4141</v>
      </c>
      <c r="I268" s="0" t="s">
        <v>4142</v>
      </c>
      <c r="J268" s="0" t="s">
        <v>141</v>
      </c>
      <c r="K268" s="0" t="s">
        <v>4143</v>
      </c>
      <c r="L268" s="0" t="s">
        <v>4143</v>
      </c>
      <c r="M268" s="0" t="s">
        <v>4144</v>
      </c>
      <c r="N268" s="0" t="s">
        <v>4145</v>
      </c>
      <c r="O268" s="0" t="s">
        <v>4146</v>
      </c>
      <c r="P268" s="0" t="s">
        <v>4147</v>
      </c>
      <c r="Q268" s="0" t="s">
        <v>176</v>
      </c>
      <c r="R268" s="0" t="b">
        <v>0</v>
      </c>
      <c r="S268" s="0" t="s">
        <v>4543</v>
      </c>
    </row>
    <row customHeight="1" ht="11.25">
      <c r="A269" s="1104">
        <v>2655</v>
      </c>
      <c r="B269" s="0" t="s">
        <v>116</v>
      </c>
      <c r="C269" s="0">
        <v>28882034</v>
      </c>
      <c r="D269" s="0" t="s">
        <v>4148</v>
      </c>
      <c r="E269" s="0" t="s">
        <v>4149</v>
      </c>
      <c r="F269" s="0" t="s">
        <v>4150</v>
      </c>
      <c r="G269" s="0" t="s">
        <v>3178</v>
      </c>
      <c r="H269" s="0" t="s">
        <v>4151</v>
      </c>
      <c r="I269" s="0" t="s">
        <v>176</v>
      </c>
      <c r="J269" s="0" t="s">
        <v>141</v>
      </c>
      <c r="K269" s="0" t="s">
        <v>4152</v>
      </c>
      <c r="L269" s="0" t="s">
        <v>4152</v>
      </c>
      <c r="M269" s="0" t="s">
        <v>176</v>
      </c>
      <c r="N269" s="0" t="s">
        <v>176</v>
      </c>
      <c r="O269" s="0" t="s">
        <v>4153</v>
      </c>
      <c r="P269" s="0" t="s">
        <v>153</v>
      </c>
      <c r="Q269" s="0" t="s">
        <v>176</v>
      </c>
      <c r="R269" s="0" t="b">
        <v>0</v>
      </c>
      <c r="S269" s="0" t="s">
        <v>4543</v>
      </c>
    </row>
    <row customHeight="1" ht="11.25">
      <c r="A270" s="1104">
        <v>2655</v>
      </c>
      <c r="B270" s="0" t="s">
        <v>116</v>
      </c>
      <c r="C270" s="0">
        <v>26648537</v>
      </c>
      <c r="D270" s="0" t="s">
        <v>4154</v>
      </c>
      <c r="E270" s="0" t="s">
        <v>4155</v>
      </c>
      <c r="F270" s="0" t="s">
        <v>4156</v>
      </c>
      <c r="G270" s="0" t="s">
        <v>3178</v>
      </c>
      <c r="H270" s="0" t="s">
        <v>4157</v>
      </c>
      <c r="I270" s="0" t="s">
        <v>4158</v>
      </c>
      <c r="J270" s="0" t="s">
        <v>141</v>
      </c>
      <c r="K270" s="0" t="s">
        <v>4159</v>
      </c>
      <c r="L270" s="0" t="s">
        <v>4159</v>
      </c>
      <c r="M270" s="0" t="s">
        <v>4160</v>
      </c>
      <c r="N270" s="0" t="s">
        <v>4161</v>
      </c>
      <c r="O270" s="0" t="s">
        <v>4162</v>
      </c>
      <c r="P270" s="0" t="s">
        <v>153</v>
      </c>
      <c r="Q270" s="0" t="s">
        <v>4163</v>
      </c>
      <c r="R270" s="0" t="b">
        <v>0</v>
      </c>
      <c r="S270" s="0" t="s">
        <v>4543</v>
      </c>
    </row>
    <row customHeight="1" ht="11.25">
      <c r="A271" s="1104">
        <v>2655</v>
      </c>
      <c r="B271" s="0" t="s">
        <v>116</v>
      </c>
      <c r="C271" s="0">
        <v>31519209</v>
      </c>
      <c r="D271" s="0" t="s">
        <v>4164</v>
      </c>
      <c r="E271" s="0" t="s">
        <v>4165</v>
      </c>
      <c r="F271" s="0" t="s">
        <v>4166</v>
      </c>
      <c r="G271" s="0" t="s">
        <v>3485</v>
      </c>
      <c r="H271" s="0" t="s">
        <v>4167</v>
      </c>
      <c r="I271" s="0" t="s">
        <v>4168</v>
      </c>
      <c r="J271" s="0" t="s">
        <v>141</v>
      </c>
      <c r="K271" s="0" t="s">
        <v>4169</v>
      </c>
      <c r="L271" s="0" t="s">
        <v>4169</v>
      </c>
      <c r="M271" s="0" t="s">
        <v>4170</v>
      </c>
      <c r="N271" s="0" t="s">
        <v>4171</v>
      </c>
      <c r="O271" s="0" t="s">
        <v>4172</v>
      </c>
      <c r="P271" s="0" t="s">
        <v>3208</v>
      </c>
      <c r="Q271" s="0" t="s">
        <v>176</v>
      </c>
      <c r="R271" s="0" t="b">
        <v>0</v>
      </c>
      <c r="S271" s="0" t="s">
        <v>4543</v>
      </c>
    </row>
    <row customHeight="1" ht="11.25">
      <c r="A272" s="1104">
        <v>2655</v>
      </c>
      <c r="B272" s="0" t="s">
        <v>116</v>
      </c>
      <c r="C272" s="0">
        <v>31574053</v>
      </c>
      <c r="D272" s="0" t="s">
        <v>4173</v>
      </c>
      <c r="E272" s="0" t="s">
        <v>4174</v>
      </c>
      <c r="F272" s="0" t="s">
        <v>4175</v>
      </c>
      <c r="G272" s="0" t="s">
        <v>3428</v>
      </c>
      <c r="H272" s="0" t="s">
        <v>4176</v>
      </c>
      <c r="I272" s="0" t="s">
        <v>4177</v>
      </c>
      <c r="K272" s="0" t="s">
        <v>4178</v>
      </c>
      <c r="L272" s="0" t="s">
        <v>4178</v>
      </c>
      <c r="M272" s="0" t="s">
        <v>4179</v>
      </c>
      <c r="N272" s="0" t="s">
        <v>4180</v>
      </c>
      <c r="O272" s="0" t="s">
        <v>4181</v>
      </c>
      <c r="P272" s="0" t="s">
        <v>153</v>
      </c>
      <c r="Q272" s="0" t="s">
        <v>176</v>
      </c>
      <c r="R272" s="0" t="b">
        <v>0</v>
      </c>
      <c r="S272" s="0" t="s">
        <v>4543</v>
      </c>
    </row>
    <row customHeight="1" ht="11.25">
      <c r="A273" s="1104">
        <v>2655</v>
      </c>
      <c r="B273" s="0" t="s">
        <v>116</v>
      </c>
      <c r="C273" s="0">
        <v>28141951</v>
      </c>
      <c r="D273" s="0" t="s">
        <v>4182</v>
      </c>
      <c r="E273" s="0" t="s">
        <v>4183</v>
      </c>
      <c r="F273" s="0" t="s">
        <v>4184</v>
      </c>
      <c r="G273" s="0" t="s">
        <v>3202</v>
      </c>
      <c r="H273" s="0" t="s">
        <v>4185</v>
      </c>
      <c r="I273" s="0" t="s">
        <v>4186</v>
      </c>
      <c r="J273" s="0" t="s">
        <v>141</v>
      </c>
      <c r="K273" s="0" t="s">
        <v>4187</v>
      </c>
      <c r="L273" s="0" t="s">
        <v>4187</v>
      </c>
      <c r="M273" s="0" t="s">
        <v>4188</v>
      </c>
      <c r="N273" s="0" t="s">
        <v>4189</v>
      </c>
      <c r="O273" s="0" t="s">
        <v>4190</v>
      </c>
      <c r="P273" s="0" t="s">
        <v>3208</v>
      </c>
      <c r="Q273" s="0" t="s">
        <v>4191</v>
      </c>
      <c r="R273" s="0" t="b">
        <v>0</v>
      </c>
      <c r="S273" s="0" t="s">
        <v>4543</v>
      </c>
    </row>
    <row customHeight="1" ht="11.25">
      <c r="A274" s="1104">
        <v>2655</v>
      </c>
      <c r="B274" s="0" t="s">
        <v>116</v>
      </c>
      <c r="C274" s="0">
        <v>26852793</v>
      </c>
      <c r="D274" s="0" t="s">
        <v>4192</v>
      </c>
      <c r="E274" s="0" t="s">
        <v>4193</v>
      </c>
      <c r="F274" s="0" t="s">
        <v>4194</v>
      </c>
      <c r="G274" s="0" t="s">
        <v>3428</v>
      </c>
      <c r="H274" s="0" t="s">
        <v>4195</v>
      </c>
      <c r="I274" s="0" t="s">
        <v>4196</v>
      </c>
      <c r="J274" s="0" t="s">
        <v>141</v>
      </c>
      <c r="K274" s="0" t="s">
        <v>3883</v>
      </c>
      <c r="L274" s="0" t="s">
        <v>3883</v>
      </c>
      <c r="M274" s="0" t="s">
        <v>4197</v>
      </c>
      <c r="N274" s="0" t="s">
        <v>4198</v>
      </c>
      <c r="O274" s="0" t="s">
        <v>4199</v>
      </c>
      <c r="P274" s="0" t="s">
        <v>3208</v>
      </c>
      <c r="Q274" s="0" t="s">
        <v>158</v>
      </c>
      <c r="R274" s="0" t="b">
        <v>0</v>
      </c>
      <c r="S274" s="0" t="s">
        <v>4543</v>
      </c>
    </row>
    <row customHeight="1" ht="11.25">
      <c r="A275" s="1104">
        <v>2655</v>
      </c>
      <c r="B275" s="0" t="s">
        <v>116</v>
      </c>
      <c r="C275" s="0">
        <v>28141966</v>
      </c>
      <c r="D275" s="0" t="s">
        <v>4200</v>
      </c>
      <c r="E275" s="0" t="s">
        <v>4201</v>
      </c>
      <c r="F275" s="0" t="s">
        <v>4202</v>
      </c>
      <c r="G275" s="0" t="s">
        <v>3294</v>
      </c>
      <c r="H275" s="0" t="s">
        <v>4203</v>
      </c>
      <c r="I275" s="0" t="s">
        <v>4204</v>
      </c>
      <c r="J275" s="0" t="s">
        <v>141</v>
      </c>
      <c r="K275" s="0" t="s">
        <v>4205</v>
      </c>
      <c r="L275" s="0" t="s">
        <v>4206</v>
      </c>
      <c r="M275" s="0" t="s">
        <v>4207</v>
      </c>
      <c r="N275" s="0" t="s">
        <v>4208</v>
      </c>
      <c r="O275" s="0" t="s">
        <v>4209</v>
      </c>
      <c r="P275" s="0" t="s">
        <v>3208</v>
      </c>
      <c r="Q275" s="0" t="s">
        <v>4210</v>
      </c>
      <c r="R275" s="0" t="b">
        <v>0</v>
      </c>
      <c r="S275" s="0" t="s">
        <v>4543</v>
      </c>
    </row>
    <row customHeight="1" ht="11.25">
      <c r="A276" s="1104">
        <v>2655</v>
      </c>
      <c r="B276" s="0" t="s">
        <v>116</v>
      </c>
      <c r="C276" s="0">
        <v>31424033</v>
      </c>
      <c r="D276" s="0" t="s">
        <v>3531</v>
      </c>
      <c r="E276" s="0" t="s">
        <v>3532</v>
      </c>
      <c r="F276" s="0" t="s">
        <v>3533</v>
      </c>
      <c r="G276" s="0" t="s">
        <v>3534</v>
      </c>
      <c r="H276" s="0" t="s">
        <v>3535</v>
      </c>
      <c r="I276" s="0" t="s">
        <v>176</v>
      </c>
      <c r="J276" s="0" t="s">
        <v>141</v>
      </c>
      <c r="K276" s="0" t="s">
        <v>3536</v>
      </c>
      <c r="L276" s="0" t="s">
        <v>3537</v>
      </c>
      <c r="M276" s="0" t="s">
        <v>3183</v>
      </c>
      <c r="N276" s="0" t="s">
        <v>3538</v>
      </c>
      <c r="O276" s="0" t="s">
        <v>3539</v>
      </c>
      <c r="P276" s="0" t="s">
        <v>153</v>
      </c>
      <c r="Q276" s="0" t="s">
        <v>3540</v>
      </c>
      <c r="R276" s="0" t="b">
        <v>0</v>
      </c>
      <c r="S276" s="0" t="s">
        <v>4543</v>
      </c>
    </row>
    <row customHeight="1" ht="11.25">
      <c r="A277" s="1104">
        <v>2655</v>
      </c>
      <c r="B277" s="0" t="s">
        <v>116</v>
      </c>
      <c r="C277" s="0">
        <v>27838991</v>
      </c>
      <c r="D277" s="0" t="s">
        <v>3850</v>
      </c>
      <c r="E277" s="0" t="s">
        <v>3851</v>
      </c>
      <c r="F277" s="0" t="s">
        <v>3852</v>
      </c>
      <c r="G277" s="0" t="s">
        <v>3202</v>
      </c>
      <c r="H277" s="0" t="s">
        <v>3853</v>
      </c>
      <c r="I277" s="0" t="s">
        <v>3854</v>
      </c>
      <c r="J277" s="0" t="s">
        <v>141</v>
      </c>
      <c r="K277" s="0" t="s">
        <v>3855</v>
      </c>
      <c r="L277" s="0" t="s">
        <v>3856</v>
      </c>
      <c r="M277" s="0" t="s">
        <v>3857</v>
      </c>
      <c r="N277" s="0" t="s">
        <v>3858</v>
      </c>
      <c r="O277" s="0" t="s">
        <v>3859</v>
      </c>
      <c r="P277" s="0" t="s">
        <v>3208</v>
      </c>
      <c r="Q277" s="0" t="s">
        <v>176</v>
      </c>
      <c r="R277" s="0" t="b">
        <v>0</v>
      </c>
      <c r="S277" s="0" t="s">
        <v>4543</v>
      </c>
    </row>
    <row customHeight="1" ht="11.25">
      <c r="A278" s="1104">
        <v>2655</v>
      </c>
      <c r="B278" s="0" t="s">
        <v>116</v>
      </c>
      <c r="C278" s="0">
        <v>26356931</v>
      </c>
      <c r="D278" s="0" t="s">
        <v>4211</v>
      </c>
      <c r="E278" s="0" t="s">
        <v>4212</v>
      </c>
      <c r="F278" s="0" t="s">
        <v>4213</v>
      </c>
      <c r="G278" s="0" t="s">
        <v>3485</v>
      </c>
      <c r="H278" s="0" t="s">
        <v>4214</v>
      </c>
      <c r="I278" s="0" t="s">
        <v>4215</v>
      </c>
      <c r="J278" s="0" t="s">
        <v>141</v>
      </c>
      <c r="K278" s="0" t="s">
        <v>4216</v>
      </c>
      <c r="L278" s="0" t="s">
        <v>4216</v>
      </c>
      <c r="M278" s="0" t="s">
        <v>4217</v>
      </c>
      <c r="N278" s="0" t="s">
        <v>4218</v>
      </c>
      <c r="O278" s="0" t="s">
        <v>4219</v>
      </c>
      <c r="P278" s="0" t="s">
        <v>153</v>
      </c>
      <c r="Q278" s="0" t="s">
        <v>158</v>
      </c>
      <c r="R278" s="0" t="b">
        <v>1</v>
      </c>
      <c r="S278" s="0" t="s">
        <v>4543</v>
      </c>
    </row>
    <row customHeight="1" ht="11.25">
      <c r="A279" s="1104">
        <v>2655</v>
      </c>
      <c r="B279" s="0" t="s">
        <v>116</v>
      </c>
      <c r="C279" s="0">
        <v>28151808</v>
      </c>
      <c r="D279" s="0" t="s">
        <v>3550</v>
      </c>
      <c r="E279" s="0" t="s">
        <v>3551</v>
      </c>
      <c r="F279" s="0" t="s">
        <v>3552</v>
      </c>
      <c r="G279" s="0" t="s">
        <v>3247</v>
      </c>
      <c r="H279" s="0" t="s">
        <v>3553</v>
      </c>
      <c r="I279" s="0" t="s">
        <v>3554</v>
      </c>
      <c r="J279" s="0" t="s">
        <v>141</v>
      </c>
      <c r="K279" s="0" t="s">
        <v>3555</v>
      </c>
      <c r="L279" s="0" t="s">
        <v>3556</v>
      </c>
      <c r="M279" s="0" t="s">
        <v>3557</v>
      </c>
      <c r="N279" s="0" t="s">
        <v>3558</v>
      </c>
      <c r="O279" s="0" t="s">
        <v>3559</v>
      </c>
      <c r="P279" s="0" t="s">
        <v>3208</v>
      </c>
      <c r="Q279" s="0" t="s">
        <v>176</v>
      </c>
      <c r="R279" s="0" t="b">
        <v>1</v>
      </c>
      <c r="S279" s="0" t="s">
        <v>4543</v>
      </c>
    </row>
    <row customHeight="1" ht="11.25">
      <c r="A280" s="1104">
        <v>2655</v>
      </c>
      <c r="B280" s="0" t="s">
        <v>116</v>
      </c>
      <c r="C280" s="0">
        <v>31739633</v>
      </c>
      <c r="D280" s="0" t="s">
        <v>3560</v>
      </c>
      <c r="E280" s="0" t="s">
        <v>3561</v>
      </c>
      <c r="F280" s="0" t="s">
        <v>3562</v>
      </c>
      <c r="G280" s="0" t="s">
        <v>3563</v>
      </c>
      <c r="H280" s="0" t="s">
        <v>3564</v>
      </c>
      <c r="I280" s="0" t="s">
        <v>3565</v>
      </c>
      <c r="K280" s="0" t="s">
        <v>3566</v>
      </c>
      <c r="L280" s="0" t="s">
        <v>3566</v>
      </c>
      <c r="M280" s="0" t="s">
        <v>3567</v>
      </c>
      <c r="N280" s="0" t="s">
        <v>3568</v>
      </c>
      <c r="O280" s="0" t="s">
        <v>3569</v>
      </c>
      <c r="P280" s="0" t="s">
        <v>3334</v>
      </c>
      <c r="Q280" s="0" t="s">
        <v>176</v>
      </c>
      <c r="R280" s="0" t="b">
        <v>0</v>
      </c>
      <c r="S280" s="0" t="s">
        <v>4543</v>
      </c>
    </row>
    <row customHeight="1" ht="11.25">
      <c r="A281" s="1104">
        <v>2655</v>
      </c>
      <c r="B281" s="0" t="s">
        <v>116</v>
      </c>
      <c r="C281" s="0">
        <v>30433806</v>
      </c>
      <c r="D281" s="0" t="s">
        <v>4220</v>
      </c>
      <c r="E281" s="0" t="s">
        <v>4221</v>
      </c>
      <c r="F281" s="0" t="s">
        <v>4222</v>
      </c>
      <c r="G281" s="0" t="s">
        <v>3396</v>
      </c>
      <c r="H281" s="0" t="s">
        <v>4223</v>
      </c>
      <c r="I281" s="0" t="s">
        <v>4224</v>
      </c>
      <c r="J281" s="0" t="s">
        <v>141</v>
      </c>
      <c r="K281" s="0" t="s">
        <v>4225</v>
      </c>
      <c r="L281" s="0" t="s">
        <v>4225</v>
      </c>
      <c r="M281" s="0" t="s">
        <v>4226</v>
      </c>
      <c r="N281" s="0" t="s">
        <v>4227</v>
      </c>
      <c r="O281" s="0" t="s">
        <v>4228</v>
      </c>
      <c r="P281" s="0" t="s">
        <v>153</v>
      </c>
      <c r="Q281" s="0" t="s">
        <v>158</v>
      </c>
      <c r="R281" s="0" t="b">
        <v>0</v>
      </c>
      <c r="S281" s="0" t="s">
        <v>4543</v>
      </c>
    </row>
    <row customHeight="1" ht="11.25">
      <c r="A282" s="1104">
        <v>2655</v>
      </c>
      <c r="B282" s="0" t="s">
        <v>116</v>
      </c>
      <c r="C282" s="0">
        <v>31743966</v>
      </c>
      <c r="D282" s="0" t="s">
        <v>4229</v>
      </c>
      <c r="E282" s="0" t="s">
        <v>4230</v>
      </c>
      <c r="F282" s="0" t="s">
        <v>4231</v>
      </c>
      <c r="G282" s="0" t="s">
        <v>3178</v>
      </c>
      <c r="H282" s="0" t="s">
        <v>4232</v>
      </c>
      <c r="I282" s="0" t="s">
        <v>4233</v>
      </c>
      <c r="K282" s="0" t="s">
        <v>4234</v>
      </c>
      <c r="L282" s="0" t="s">
        <v>4234</v>
      </c>
      <c r="M282" s="0" t="s">
        <v>4235</v>
      </c>
      <c r="N282" s="0" t="s">
        <v>4236</v>
      </c>
      <c r="O282" s="0" t="s">
        <v>4237</v>
      </c>
      <c r="P282" s="0" t="s">
        <v>3208</v>
      </c>
      <c r="Q282" s="0" t="s">
        <v>4238</v>
      </c>
      <c r="R282" s="0" t="b">
        <v>1</v>
      </c>
      <c r="S282" s="0" t="s">
        <v>4543</v>
      </c>
    </row>
    <row customHeight="1" ht="11.25">
      <c r="A283" s="1104">
        <v>2655</v>
      </c>
      <c r="B283" s="0" t="s">
        <v>116</v>
      </c>
      <c r="C283" s="0">
        <v>30874454</v>
      </c>
      <c r="D283" s="0" t="s">
        <v>4239</v>
      </c>
      <c r="E283" s="0" t="s">
        <v>4240</v>
      </c>
      <c r="F283" s="0" t="s">
        <v>4241</v>
      </c>
      <c r="G283" s="0" t="s">
        <v>3534</v>
      </c>
      <c r="H283" s="0" t="s">
        <v>4242</v>
      </c>
      <c r="I283" s="0" t="s">
        <v>4243</v>
      </c>
      <c r="J283" s="0" t="s">
        <v>141</v>
      </c>
      <c r="K283" s="0" t="s">
        <v>4244</v>
      </c>
      <c r="L283" s="0" t="s">
        <v>4245</v>
      </c>
      <c r="M283" s="0" t="s">
        <v>4246</v>
      </c>
      <c r="N283" s="0" t="s">
        <v>4208</v>
      </c>
      <c r="O283" s="0" t="s">
        <v>4247</v>
      </c>
      <c r="P283" s="0" t="s">
        <v>3334</v>
      </c>
      <c r="Q283" s="0" t="s">
        <v>4248</v>
      </c>
      <c r="R283" s="0" t="b">
        <v>0</v>
      </c>
      <c r="S283" s="0" t="s">
        <v>4543</v>
      </c>
    </row>
    <row customHeight="1" ht="11.25">
      <c r="A284" s="1104">
        <v>2655</v>
      </c>
      <c r="B284" s="0" t="s">
        <v>116</v>
      </c>
      <c r="C284" s="0">
        <v>26356987</v>
      </c>
      <c r="D284" s="0" t="s">
        <v>3580</v>
      </c>
      <c r="E284" s="0" t="s">
        <v>3581</v>
      </c>
      <c r="F284" s="0" t="s">
        <v>3582</v>
      </c>
      <c r="G284" s="0" t="s">
        <v>3583</v>
      </c>
      <c r="H284" s="0" t="s">
        <v>3584</v>
      </c>
      <c r="I284" s="0" t="s">
        <v>3585</v>
      </c>
      <c r="J284" s="0" t="s">
        <v>141</v>
      </c>
      <c r="K284" s="0" t="s">
        <v>3586</v>
      </c>
      <c r="L284" s="0" t="s">
        <v>3586</v>
      </c>
      <c r="M284" s="0" t="s">
        <v>3587</v>
      </c>
      <c r="N284" s="0" t="s">
        <v>3588</v>
      </c>
      <c r="O284" s="0" t="s">
        <v>3589</v>
      </c>
      <c r="P284" s="0" t="s">
        <v>3334</v>
      </c>
      <c r="Q284" s="0" t="s">
        <v>3590</v>
      </c>
      <c r="R284" s="0" t="b">
        <v>0</v>
      </c>
      <c r="S284" s="0" t="s">
        <v>4543</v>
      </c>
    </row>
    <row customHeight="1" ht="11.25">
      <c r="A285" s="1104">
        <v>2655</v>
      </c>
      <c r="B285" s="0" t="s">
        <v>116</v>
      </c>
      <c r="C285" s="0">
        <v>30856223</v>
      </c>
      <c r="D285" s="0" t="s">
        <v>4249</v>
      </c>
      <c r="E285" s="0" t="s">
        <v>4250</v>
      </c>
      <c r="F285" s="0" t="s">
        <v>4251</v>
      </c>
      <c r="G285" s="0" t="s">
        <v>3202</v>
      </c>
      <c r="H285" s="0" t="s">
        <v>4252</v>
      </c>
      <c r="I285" s="0" t="s">
        <v>4253</v>
      </c>
      <c r="J285" s="0" t="s">
        <v>141</v>
      </c>
      <c r="K285" s="0" t="s">
        <v>4254</v>
      </c>
      <c r="L285" s="0" t="s">
        <v>4254</v>
      </c>
      <c r="M285" s="0" t="s">
        <v>4255</v>
      </c>
      <c r="N285" s="0" t="s">
        <v>4256</v>
      </c>
      <c r="O285" s="0" t="s">
        <v>4257</v>
      </c>
      <c r="P285" s="0" t="s">
        <v>3208</v>
      </c>
      <c r="Q285" s="0" t="s">
        <v>4258</v>
      </c>
      <c r="R285" s="0" t="b">
        <v>0</v>
      </c>
      <c r="S285" s="0" t="s">
        <v>4543</v>
      </c>
    </row>
    <row customHeight="1" ht="11.25">
      <c r="A286" s="1104">
        <v>2655</v>
      </c>
      <c r="B286" s="0" t="s">
        <v>116</v>
      </c>
      <c r="C286" s="0">
        <v>31373026</v>
      </c>
      <c r="D286" s="0" t="s">
        <v>4249</v>
      </c>
      <c r="E286" s="0" t="s">
        <v>4250</v>
      </c>
      <c r="F286" s="0" t="s">
        <v>4259</v>
      </c>
      <c r="G286" s="0" t="s">
        <v>3563</v>
      </c>
      <c r="H286" s="0" t="s">
        <v>4260</v>
      </c>
      <c r="I286" s="0" t="s">
        <v>4261</v>
      </c>
      <c r="J286" s="0" t="s">
        <v>141</v>
      </c>
      <c r="K286" s="0" t="s">
        <v>4262</v>
      </c>
      <c r="L286" s="0" t="s">
        <v>4263</v>
      </c>
      <c r="M286" s="0" t="s">
        <v>4264</v>
      </c>
      <c r="N286" s="0" t="s">
        <v>4265</v>
      </c>
      <c r="O286" s="0" t="s">
        <v>4266</v>
      </c>
      <c r="P286" s="0" t="s">
        <v>4267</v>
      </c>
      <c r="Q286" s="0" t="s">
        <v>4268</v>
      </c>
      <c r="R286" s="0" t="b">
        <v>1</v>
      </c>
      <c r="S286" s="0" t="s">
        <v>4543</v>
      </c>
    </row>
    <row customHeight="1" ht="11.25">
      <c r="A287" s="1104">
        <v>2655</v>
      </c>
      <c r="B287" s="0" t="s">
        <v>116</v>
      </c>
      <c r="C287" s="0">
        <v>31579609</v>
      </c>
      <c r="D287" s="0" t="s">
        <v>4269</v>
      </c>
      <c r="E287" s="0" t="s">
        <v>4270</v>
      </c>
      <c r="F287" s="0" t="s">
        <v>4271</v>
      </c>
      <c r="G287" s="0" t="s">
        <v>3247</v>
      </c>
      <c r="H287" s="0" t="s">
        <v>4272</v>
      </c>
      <c r="I287" s="0" t="s">
        <v>4273</v>
      </c>
      <c r="K287" s="0" t="s">
        <v>4274</v>
      </c>
      <c r="L287" s="0" t="s">
        <v>4274</v>
      </c>
      <c r="M287" s="0" t="s">
        <v>4275</v>
      </c>
      <c r="N287" s="0" t="s">
        <v>4276</v>
      </c>
      <c r="O287" s="0" t="s">
        <v>4277</v>
      </c>
      <c r="P287" s="0" t="s">
        <v>3208</v>
      </c>
      <c r="Q287" s="0" t="s">
        <v>176</v>
      </c>
      <c r="R287" s="0" t="b">
        <v>1</v>
      </c>
      <c r="S287" s="0" t="s">
        <v>4543</v>
      </c>
    </row>
    <row customHeight="1" ht="11.25">
      <c r="A288" s="1104">
        <v>2655</v>
      </c>
      <c r="B288" s="0" t="s">
        <v>116</v>
      </c>
      <c r="C288" s="0">
        <v>26356891</v>
      </c>
      <c r="D288" s="0" t="s">
        <v>3591</v>
      </c>
      <c r="E288" s="0" t="s">
        <v>3592</v>
      </c>
      <c r="F288" s="0" t="s">
        <v>3593</v>
      </c>
      <c r="G288" s="0" t="s">
        <v>3407</v>
      </c>
      <c r="H288" s="0" t="s">
        <v>3594</v>
      </c>
      <c r="I288" s="0" t="s">
        <v>3595</v>
      </c>
      <c r="J288" s="0" t="s">
        <v>141</v>
      </c>
      <c r="K288" s="0" t="s">
        <v>3596</v>
      </c>
      <c r="L288" s="0" t="s">
        <v>3596</v>
      </c>
      <c r="M288" s="0" t="s">
        <v>3597</v>
      </c>
      <c r="N288" s="0" t="s">
        <v>3598</v>
      </c>
      <c r="O288" s="0" t="s">
        <v>3599</v>
      </c>
      <c r="P288" s="0" t="s">
        <v>153</v>
      </c>
      <c r="Q288" s="0" t="s">
        <v>176</v>
      </c>
      <c r="R288" s="0" t="b">
        <v>0</v>
      </c>
      <c r="S288" s="0" t="s">
        <v>4543</v>
      </c>
    </row>
    <row customHeight="1" ht="11.25">
      <c r="A289" s="1104">
        <v>2655</v>
      </c>
      <c r="B289" s="0" t="s">
        <v>116</v>
      </c>
      <c r="C289" s="0">
        <v>27566835</v>
      </c>
      <c r="D289" s="0" t="s">
        <v>4278</v>
      </c>
      <c r="E289" s="0" t="s">
        <v>4279</v>
      </c>
      <c r="F289" s="0" t="s">
        <v>4280</v>
      </c>
      <c r="G289" s="0" t="s">
        <v>3407</v>
      </c>
      <c r="H289" s="0" t="s">
        <v>4281</v>
      </c>
      <c r="I289" s="0" t="s">
        <v>4282</v>
      </c>
      <c r="J289" s="0" t="s">
        <v>141</v>
      </c>
      <c r="K289" s="0" t="s">
        <v>4283</v>
      </c>
      <c r="L289" s="0" t="s">
        <v>4283</v>
      </c>
      <c r="M289" s="0" t="s">
        <v>4284</v>
      </c>
      <c r="N289" s="0" t="s">
        <v>3423</v>
      </c>
      <c r="O289" s="0" t="s">
        <v>4285</v>
      </c>
      <c r="P289" s="0" t="s">
        <v>153</v>
      </c>
      <c r="Q289" s="0" t="s">
        <v>158</v>
      </c>
      <c r="R289" s="0" t="b">
        <v>0</v>
      </c>
      <c r="S289" s="0" t="s">
        <v>4543</v>
      </c>
    </row>
    <row customHeight="1" ht="11.25">
      <c r="A290" s="1104">
        <v>2655</v>
      </c>
      <c r="B290" s="0" t="s">
        <v>116</v>
      </c>
      <c r="C290" s="0">
        <v>31229342</v>
      </c>
      <c r="D290" s="0" t="s">
        <v>4286</v>
      </c>
      <c r="E290" s="0" t="s">
        <v>4287</v>
      </c>
      <c r="F290" s="0" t="s">
        <v>4288</v>
      </c>
      <c r="G290" s="0" t="s">
        <v>3428</v>
      </c>
      <c r="H290" s="0" t="s">
        <v>4289</v>
      </c>
      <c r="I290" s="0" t="s">
        <v>4290</v>
      </c>
      <c r="J290" s="0" t="s">
        <v>141</v>
      </c>
      <c r="K290" s="0" t="s">
        <v>4291</v>
      </c>
      <c r="L290" s="0" t="s">
        <v>4291</v>
      </c>
      <c r="M290" s="0" t="s">
        <v>4292</v>
      </c>
      <c r="N290" s="0" t="s">
        <v>4293</v>
      </c>
      <c r="O290" s="0" t="s">
        <v>4294</v>
      </c>
      <c r="P290" s="0" t="s">
        <v>3208</v>
      </c>
      <c r="Q290" s="0" t="s">
        <v>176</v>
      </c>
      <c r="R290" s="0" t="b">
        <v>0</v>
      </c>
      <c r="S290" s="0" t="s">
        <v>4543</v>
      </c>
    </row>
    <row customHeight="1" ht="11.25">
      <c r="A291" s="1104">
        <v>2655</v>
      </c>
      <c r="B291" s="0" t="s">
        <v>116</v>
      </c>
      <c r="C291" s="0">
        <v>31690080</v>
      </c>
      <c r="D291" s="0" t="s">
        <v>4295</v>
      </c>
      <c r="E291" s="0" t="s">
        <v>4296</v>
      </c>
      <c r="F291" s="0" t="s">
        <v>4297</v>
      </c>
      <c r="G291" s="0" t="s">
        <v>3428</v>
      </c>
      <c r="H291" s="0" t="s">
        <v>4298</v>
      </c>
      <c r="I291" s="0" t="s">
        <v>4299</v>
      </c>
      <c r="K291" s="0" t="s">
        <v>4300</v>
      </c>
      <c r="L291" s="0" t="s">
        <v>4300</v>
      </c>
      <c r="M291" s="0" t="s">
        <v>4301</v>
      </c>
      <c r="N291" s="0" t="s">
        <v>4302</v>
      </c>
      <c r="O291" s="0" t="s">
        <v>4303</v>
      </c>
      <c r="P291" s="0" t="s">
        <v>153</v>
      </c>
      <c r="Q291" s="0" t="s">
        <v>176</v>
      </c>
      <c r="R291" s="0" t="b">
        <v>1</v>
      </c>
      <c r="S291" s="0" t="s">
        <v>4543</v>
      </c>
    </row>
    <row customHeight="1" ht="11.25">
      <c r="A292" s="1104">
        <v>2655</v>
      </c>
      <c r="B292" s="0" t="s">
        <v>116</v>
      </c>
      <c r="C292" s="0">
        <v>31539720</v>
      </c>
      <c r="D292" s="0" t="s">
        <v>4295</v>
      </c>
      <c r="E292" s="0" t="s">
        <v>4304</v>
      </c>
      <c r="F292" s="0" t="s">
        <v>4305</v>
      </c>
      <c r="G292" s="0" t="s">
        <v>3428</v>
      </c>
      <c r="H292" s="0" t="s">
        <v>4306</v>
      </c>
      <c r="I292" s="0" t="s">
        <v>4307</v>
      </c>
      <c r="K292" s="0" t="s">
        <v>4308</v>
      </c>
      <c r="L292" s="0" t="s">
        <v>4308</v>
      </c>
      <c r="M292" s="0" t="s">
        <v>4309</v>
      </c>
      <c r="N292" s="0" t="s">
        <v>4310</v>
      </c>
      <c r="O292" s="0" t="s">
        <v>4311</v>
      </c>
      <c r="P292" s="0" t="s">
        <v>3208</v>
      </c>
      <c r="Q292" s="0" t="s">
        <v>4312</v>
      </c>
      <c r="R292" s="0" t="b">
        <v>0</v>
      </c>
      <c r="S292" s="0" t="s">
        <v>4543</v>
      </c>
    </row>
    <row customHeight="1" ht="11.25">
      <c r="A293" s="1104">
        <v>2655</v>
      </c>
      <c r="B293" s="0" t="s">
        <v>116</v>
      </c>
      <c r="C293" s="0">
        <v>30872315</v>
      </c>
      <c r="D293" s="0" t="s">
        <v>4313</v>
      </c>
      <c r="E293" s="0" t="s">
        <v>4314</v>
      </c>
      <c r="F293" s="0" t="s">
        <v>4315</v>
      </c>
      <c r="G293" s="0" t="s">
        <v>3178</v>
      </c>
      <c r="H293" s="0" t="s">
        <v>4316</v>
      </c>
      <c r="I293" s="0" t="s">
        <v>4317</v>
      </c>
      <c r="J293" s="0" t="s">
        <v>141</v>
      </c>
      <c r="K293" s="0" t="s">
        <v>4318</v>
      </c>
      <c r="L293" s="0" t="s">
        <v>4318</v>
      </c>
      <c r="M293" s="0" t="s">
        <v>4319</v>
      </c>
      <c r="N293" s="0" t="s">
        <v>4320</v>
      </c>
      <c r="O293" s="0" t="s">
        <v>4321</v>
      </c>
      <c r="P293" s="0" t="s">
        <v>153</v>
      </c>
      <c r="Q293" s="0" t="s">
        <v>176</v>
      </c>
      <c r="R293" s="0" t="b">
        <v>0</v>
      </c>
      <c r="S293" s="0" t="s">
        <v>4543</v>
      </c>
    </row>
    <row customHeight="1" ht="11.25">
      <c r="A294" s="1104">
        <v>2655</v>
      </c>
      <c r="B294" s="0" t="s">
        <v>116</v>
      </c>
      <c r="C294" s="0">
        <v>30856253</v>
      </c>
      <c r="D294" s="0" t="s">
        <v>4322</v>
      </c>
      <c r="E294" s="0" t="s">
        <v>4323</v>
      </c>
      <c r="F294" s="0" t="s">
        <v>4324</v>
      </c>
      <c r="G294" s="0" t="s">
        <v>3247</v>
      </c>
      <c r="H294" s="0" t="s">
        <v>4325</v>
      </c>
      <c r="I294" s="0" t="s">
        <v>4326</v>
      </c>
      <c r="J294" s="0" t="s">
        <v>141</v>
      </c>
      <c r="K294" s="0" t="s">
        <v>4327</v>
      </c>
      <c r="L294" s="0" t="s">
        <v>4327</v>
      </c>
      <c r="M294" s="0" t="s">
        <v>4328</v>
      </c>
      <c r="N294" s="0" t="s">
        <v>4329</v>
      </c>
      <c r="O294" s="0" t="s">
        <v>4330</v>
      </c>
      <c r="P294" s="0" t="s">
        <v>153</v>
      </c>
      <c r="Q294" s="0" t="s">
        <v>176</v>
      </c>
      <c r="R294" s="0" t="b">
        <v>0</v>
      </c>
      <c r="S294" s="0" t="s">
        <v>4543</v>
      </c>
    </row>
    <row customHeight="1" ht="11.25">
      <c r="A295" s="1104">
        <v>2655</v>
      </c>
      <c r="B295" s="0" t="s">
        <v>116</v>
      </c>
      <c r="C295" s="0">
        <v>33000042</v>
      </c>
      <c r="D295" s="0" t="s">
        <v>4331</v>
      </c>
      <c r="E295" s="0" t="s">
        <v>4332</v>
      </c>
      <c r="F295" s="0" t="s">
        <v>4333</v>
      </c>
      <c r="G295" s="0" t="s">
        <v>3514</v>
      </c>
      <c r="H295" s="0" t="s">
        <v>4334</v>
      </c>
      <c r="I295" s="0" t="s">
        <v>4335</v>
      </c>
      <c r="K295" s="0" t="s">
        <v>4336</v>
      </c>
      <c r="L295" s="0" t="s">
        <v>4337</v>
      </c>
      <c r="M295" s="0" t="s">
        <v>4338</v>
      </c>
      <c r="N295" s="0" t="s">
        <v>4339</v>
      </c>
      <c r="O295" s="0" t="s">
        <v>3521</v>
      </c>
      <c r="P295" s="0" t="s">
        <v>3323</v>
      </c>
      <c r="Q295" s="0" t="s">
        <v>176</v>
      </c>
      <c r="R295" s="0" t="b">
        <v>0</v>
      </c>
      <c r="S295" s="0" t="s">
        <v>4543</v>
      </c>
    </row>
    <row customHeight="1" ht="11.25">
      <c r="A296" s="1104">
        <v>2655</v>
      </c>
      <c r="B296" s="0" t="s">
        <v>116</v>
      </c>
      <c r="C296" s="0">
        <v>26517842</v>
      </c>
      <c r="D296" s="0" t="s">
        <v>4340</v>
      </c>
      <c r="E296" s="0" t="s">
        <v>4341</v>
      </c>
      <c r="F296" s="0" t="s">
        <v>4342</v>
      </c>
      <c r="G296" s="0" t="s">
        <v>3407</v>
      </c>
      <c r="H296" s="0" t="s">
        <v>4343</v>
      </c>
      <c r="I296" s="0" t="s">
        <v>4344</v>
      </c>
      <c r="J296" s="0" t="s">
        <v>141</v>
      </c>
      <c r="K296" s="0" t="s">
        <v>4345</v>
      </c>
      <c r="L296" s="0" t="s">
        <v>3182</v>
      </c>
      <c r="M296" s="0" t="s">
        <v>4346</v>
      </c>
      <c r="N296" s="0" t="s">
        <v>4347</v>
      </c>
      <c r="O296" s="0" t="s">
        <v>4348</v>
      </c>
      <c r="P296" s="0" t="s">
        <v>3208</v>
      </c>
      <c r="Q296" s="0" t="s">
        <v>176</v>
      </c>
      <c r="R296" s="0" t="b">
        <v>0</v>
      </c>
      <c r="S296" s="0" t="s">
        <v>4543</v>
      </c>
    </row>
    <row customHeight="1" ht="11.25">
      <c r="A297" s="1104">
        <v>2655</v>
      </c>
      <c r="B297" s="0" t="s">
        <v>116</v>
      </c>
      <c r="C297" s="0">
        <v>26356937</v>
      </c>
      <c r="D297" s="0" t="s">
        <v>3608</v>
      </c>
      <c r="E297" s="0" t="s">
        <v>3609</v>
      </c>
      <c r="F297" s="0" t="s">
        <v>3610</v>
      </c>
      <c r="G297" s="0" t="s">
        <v>3485</v>
      </c>
      <c r="H297" s="0" t="s">
        <v>3611</v>
      </c>
      <c r="I297" s="0" t="s">
        <v>3612</v>
      </c>
      <c r="J297" s="0" t="s">
        <v>141</v>
      </c>
      <c r="K297" s="0" t="s">
        <v>3613</v>
      </c>
      <c r="L297" s="0" t="s">
        <v>3613</v>
      </c>
      <c r="M297" s="0" t="s">
        <v>3614</v>
      </c>
      <c r="N297" s="0" t="s">
        <v>3615</v>
      </c>
      <c r="O297" s="0" t="s">
        <v>3616</v>
      </c>
      <c r="P297" s="0" t="s">
        <v>3334</v>
      </c>
      <c r="Q297" s="0" t="s">
        <v>3617</v>
      </c>
      <c r="R297" s="0" t="b">
        <v>0</v>
      </c>
      <c r="S297" s="0" t="s">
        <v>4543</v>
      </c>
    </row>
    <row customHeight="1" ht="11.25">
      <c r="A298" s="1104">
        <v>2655</v>
      </c>
      <c r="B298" s="0" t="s">
        <v>116</v>
      </c>
      <c r="C298" s="0">
        <v>33000834</v>
      </c>
      <c r="D298" s="0" t="s">
        <v>3618</v>
      </c>
      <c r="E298" s="0" t="s">
        <v>3619</v>
      </c>
      <c r="F298" s="0" t="s">
        <v>3620</v>
      </c>
      <c r="G298" s="0" t="s">
        <v>3316</v>
      </c>
      <c r="H298" s="0" t="s">
        <v>3621</v>
      </c>
      <c r="I298" s="0" t="s">
        <v>3622</v>
      </c>
      <c r="K298" s="0" t="s">
        <v>3623</v>
      </c>
      <c r="L298" s="0" t="s">
        <v>3623</v>
      </c>
      <c r="M298" s="0" t="s">
        <v>3624</v>
      </c>
      <c r="N298" s="0" t="s">
        <v>3373</v>
      </c>
      <c r="O298" s="0" t="s">
        <v>3625</v>
      </c>
      <c r="P298" s="0" t="s">
        <v>153</v>
      </c>
      <c r="Q298" s="0" t="s">
        <v>3626</v>
      </c>
      <c r="R298" s="0" t="b">
        <v>0</v>
      </c>
      <c r="S298" s="0" t="s">
        <v>4543</v>
      </c>
    </row>
    <row customHeight="1" ht="11.25">
      <c r="A299" s="1104">
        <v>2655</v>
      </c>
      <c r="B299" s="0" t="s">
        <v>116</v>
      </c>
      <c r="C299" s="0">
        <v>31473621</v>
      </c>
      <c r="D299" s="0" t="s">
        <v>4349</v>
      </c>
      <c r="E299" s="0" t="s">
        <v>4350</v>
      </c>
      <c r="F299" s="0" t="s">
        <v>4351</v>
      </c>
      <c r="G299" s="0" t="s">
        <v>3316</v>
      </c>
      <c r="H299" s="0" t="s">
        <v>4352</v>
      </c>
      <c r="I299" s="0" t="s">
        <v>4353</v>
      </c>
      <c r="J299" s="0" t="s">
        <v>141</v>
      </c>
      <c r="K299" s="0" t="s">
        <v>4354</v>
      </c>
      <c r="L299" s="0" t="s">
        <v>4354</v>
      </c>
      <c r="M299" s="0" t="s">
        <v>4355</v>
      </c>
      <c r="N299" s="0" t="s">
        <v>4356</v>
      </c>
      <c r="O299" s="0" t="s">
        <v>4357</v>
      </c>
      <c r="P299" s="0" t="s">
        <v>3208</v>
      </c>
      <c r="Q299" s="0" t="s">
        <v>4358</v>
      </c>
      <c r="R299" s="0" t="b">
        <v>0</v>
      </c>
      <c r="S299" s="0" t="s">
        <v>4543</v>
      </c>
    </row>
    <row customHeight="1" ht="11.25">
      <c r="A300" s="1104">
        <v>2655</v>
      </c>
      <c r="B300" s="0" t="s">
        <v>116</v>
      </c>
      <c r="C300" s="0">
        <v>31004851</v>
      </c>
      <c r="D300" s="0" t="s">
        <v>4359</v>
      </c>
      <c r="E300" s="0" t="s">
        <v>4360</v>
      </c>
      <c r="F300" s="0" t="s">
        <v>4361</v>
      </c>
      <c r="G300" s="0" t="s">
        <v>3202</v>
      </c>
      <c r="H300" s="0" t="s">
        <v>4362</v>
      </c>
      <c r="I300" s="0" t="s">
        <v>4363</v>
      </c>
      <c r="J300" s="0" t="s">
        <v>141</v>
      </c>
      <c r="K300" s="0" t="s">
        <v>4364</v>
      </c>
      <c r="L300" s="0" t="s">
        <v>4365</v>
      </c>
      <c r="M300" s="0" t="s">
        <v>4366</v>
      </c>
      <c r="N300" s="0" t="s">
        <v>4367</v>
      </c>
      <c r="O300" s="0" t="s">
        <v>4368</v>
      </c>
      <c r="P300" s="0" t="s">
        <v>3208</v>
      </c>
      <c r="Q300" s="0" t="s">
        <v>4369</v>
      </c>
      <c r="R300" s="0" t="b">
        <v>0</v>
      </c>
      <c r="S300" s="0" t="s">
        <v>4543</v>
      </c>
    </row>
    <row customHeight="1" ht="11.25">
      <c r="A301" s="1104">
        <v>2655</v>
      </c>
      <c r="B301" s="0" t="s">
        <v>116</v>
      </c>
      <c r="C301" s="0">
        <v>26356976</v>
      </c>
      <c r="D301" s="0" t="s">
        <v>4370</v>
      </c>
      <c r="E301" s="0" t="s">
        <v>4371</v>
      </c>
      <c r="F301" s="0" t="s">
        <v>4372</v>
      </c>
      <c r="G301" s="0" t="s">
        <v>3573</v>
      </c>
      <c r="H301" s="0" t="s">
        <v>4373</v>
      </c>
      <c r="I301" s="0" t="s">
        <v>4374</v>
      </c>
      <c r="J301" s="0" t="s">
        <v>141</v>
      </c>
      <c r="K301" s="0" t="s">
        <v>4375</v>
      </c>
      <c r="L301" s="0" t="s">
        <v>4375</v>
      </c>
      <c r="M301" s="0" t="s">
        <v>4376</v>
      </c>
      <c r="N301" s="0" t="s">
        <v>4377</v>
      </c>
      <c r="O301" s="0" t="s">
        <v>4378</v>
      </c>
      <c r="P301" s="0" t="s">
        <v>3221</v>
      </c>
      <c r="Q301" s="0" t="s">
        <v>4379</v>
      </c>
      <c r="R301" s="0" t="b">
        <v>0</v>
      </c>
      <c r="S301" s="0" t="s">
        <v>4543</v>
      </c>
    </row>
    <row customHeight="1" ht="11.25">
      <c r="A302" s="1104">
        <v>2655</v>
      </c>
      <c r="B302" s="0" t="s">
        <v>116</v>
      </c>
      <c r="C302" s="0">
        <v>28274482</v>
      </c>
      <c r="D302" s="0" t="s">
        <v>4380</v>
      </c>
      <c r="E302" s="0" t="s">
        <v>4381</v>
      </c>
      <c r="F302" s="0" t="s">
        <v>4382</v>
      </c>
      <c r="G302" s="0" t="s">
        <v>3247</v>
      </c>
      <c r="H302" s="0" t="s">
        <v>4383</v>
      </c>
      <c r="I302" s="0" t="s">
        <v>4384</v>
      </c>
      <c r="J302" s="0" t="s">
        <v>141</v>
      </c>
      <c r="K302" s="0" t="s">
        <v>4385</v>
      </c>
      <c r="L302" s="0" t="s">
        <v>4386</v>
      </c>
      <c r="M302" s="0" t="s">
        <v>3557</v>
      </c>
      <c r="N302" s="0" t="s">
        <v>3558</v>
      </c>
      <c r="O302" s="0" t="s">
        <v>3559</v>
      </c>
      <c r="P302" s="0" t="s">
        <v>153</v>
      </c>
      <c r="Q302" s="0" t="s">
        <v>176</v>
      </c>
      <c r="R302" s="0" t="b">
        <v>0</v>
      </c>
      <c r="S302" s="0" t="s">
        <v>4543</v>
      </c>
    </row>
    <row customHeight="1" ht="11.25">
      <c r="A303" s="1104">
        <v>2655</v>
      </c>
      <c r="B303" s="0" t="s">
        <v>116</v>
      </c>
      <c r="C303" s="0">
        <v>31224454</v>
      </c>
      <c r="D303" s="0" t="s">
        <v>4387</v>
      </c>
      <c r="E303" s="0" t="s">
        <v>4388</v>
      </c>
      <c r="F303" s="0" t="s">
        <v>4389</v>
      </c>
      <c r="G303" s="0" t="s">
        <v>3202</v>
      </c>
      <c r="H303" s="0" t="s">
        <v>4390</v>
      </c>
      <c r="I303" s="0" t="s">
        <v>4391</v>
      </c>
      <c r="J303" s="0" t="s">
        <v>141</v>
      </c>
      <c r="K303" s="0" t="s">
        <v>4392</v>
      </c>
      <c r="L303" s="0" t="s">
        <v>4392</v>
      </c>
      <c r="M303" s="0" t="s">
        <v>4393</v>
      </c>
      <c r="N303" s="0" t="s">
        <v>4394</v>
      </c>
      <c r="O303" s="0" t="s">
        <v>4395</v>
      </c>
      <c r="P303" s="0" t="s">
        <v>3208</v>
      </c>
      <c r="Q303" s="0" t="s">
        <v>176</v>
      </c>
      <c r="R303" s="0" t="b">
        <v>0</v>
      </c>
      <c r="S303" s="0" t="s">
        <v>4543</v>
      </c>
    </row>
    <row customHeight="1" ht="11.25">
      <c r="A304" s="1104">
        <v>2655</v>
      </c>
      <c r="B304" s="0" t="s">
        <v>116</v>
      </c>
      <c r="C304" s="0">
        <v>27997410</v>
      </c>
      <c r="D304" s="0" t="s">
        <v>4396</v>
      </c>
      <c r="E304" s="0" t="s">
        <v>4397</v>
      </c>
      <c r="F304" s="0" t="s">
        <v>4398</v>
      </c>
      <c r="G304" s="0" t="s">
        <v>3378</v>
      </c>
      <c r="H304" s="0" t="s">
        <v>4399</v>
      </c>
      <c r="I304" s="0" t="s">
        <v>4400</v>
      </c>
      <c r="J304" s="0" t="s">
        <v>141</v>
      </c>
      <c r="K304" s="0" t="s">
        <v>4401</v>
      </c>
      <c r="L304" s="0" t="s">
        <v>4401</v>
      </c>
      <c r="M304" s="0" t="s">
        <v>4402</v>
      </c>
      <c r="N304" s="0" t="s">
        <v>4403</v>
      </c>
      <c r="O304" s="0" t="s">
        <v>4404</v>
      </c>
      <c r="P304" s="0" t="s">
        <v>153</v>
      </c>
      <c r="Q304" s="0" t="s">
        <v>4405</v>
      </c>
      <c r="R304" s="0" t="b">
        <v>1</v>
      </c>
      <c r="S304" s="0" t="s">
        <v>4543</v>
      </c>
    </row>
    <row customHeight="1" ht="11.25">
      <c r="A305" s="1104">
        <v>2655</v>
      </c>
      <c r="B305" s="0" t="s">
        <v>116</v>
      </c>
      <c r="C305" s="0">
        <v>26852692</v>
      </c>
      <c r="D305" s="0" t="s">
        <v>4406</v>
      </c>
      <c r="E305" s="0" t="s">
        <v>4407</v>
      </c>
      <c r="F305" s="0" t="s">
        <v>4408</v>
      </c>
      <c r="G305" s="0" t="s">
        <v>3573</v>
      </c>
      <c r="H305" s="0" t="s">
        <v>4409</v>
      </c>
      <c r="I305" s="0" t="s">
        <v>4410</v>
      </c>
      <c r="K305" s="0" t="s">
        <v>4411</v>
      </c>
      <c r="L305" s="0" t="s">
        <v>4411</v>
      </c>
      <c r="M305" s="0" t="s">
        <v>4402</v>
      </c>
      <c r="N305" s="0" t="s">
        <v>4403</v>
      </c>
      <c r="O305" s="0" t="s">
        <v>4412</v>
      </c>
      <c r="P305" s="0" t="s">
        <v>153</v>
      </c>
      <c r="Q305" s="0" t="s">
        <v>176</v>
      </c>
      <c r="R305" s="0" t="b">
        <v>1</v>
      </c>
      <c r="S305" s="0" t="s">
        <v>4543</v>
      </c>
    </row>
    <row customHeight="1" ht="11.25">
      <c r="A306" s="1104">
        <v>2655</v>
      </c>
      <c r="B306" s="0" t="s">
        <v>116</v>
      </c>
      <c r="C306" s="0">
        <v>31534676</v>
      </c>
      <c r="D306" s="0" t="s">
        <v>4413</v>
      </c>
      <c r="E306" s="0" t="s">
        <v>4414</v>
      </c>
      <c r="F306" s="0" t="s">
        <v>4415</v>
      </c>
      <c r="G306" s="0" t="s">
        <v>3316</v>
      </c>
      <c r="H306" s="0" t="s">
        <v>4416</v>
      </c>
      <c r="I306" s="0" t="s">
        <v>4417</v>
      </c>
      <c r="K306" s="0" t="s">
        <v>4418</v>
      </c>
      <c r="L306" s="0" t="s">
        <v>4419</v>
      </c>
      <c r="M306" s="0" t="s">
        <v>4420</v>
      </c>
      <c r="N306" s="0" t="s">
        <v>4421</v>
      </c>
      <c r="O306" s="0" t="s">
        <v>4422</v>
      </c>
      <c r="P306" s="0" t="s">
        <v>153</v>
      </c>
      <c r="Q306" s="0" t="s">
        <v>176</v>
      </c>
      <c r="R306" s="0" t="b">
        <v>0</v>
      </c>
      <c r="S306" s="0" t="s">
        <v>4543</v>
      </c>
    </row>
    <row customHeight="1" ht="11.25">
      <c r="A307" s="1104">
        <v>2655</v>
      </c>
      <c r="B307" s="0" t="s">
        <v>116</v>
      </c>
      <c r="C307" s="0">
        <v>26356899</v>
      </c>
      <c r="D307" s="0" t="s">
        <v>4423</v>
      </c>
      <c r="E307" s="0" t="s">
        <v>4424</v>
      </c>
      <c r="F307" s="0" t="s">
        <v>4425</v>
      </c>
      <c r="G307" s="0" t="s">
        <v>4426</v>
      </c>
      <c r="H307" s="0" t="s">
        <v>4427</v>
      </c>
      <c r="I307" s="0" t="s">
        <v>4428</v>
      </c>
      <c r="J307" s="0" t="s">
        <v>141</v>
      </c>
      <c r="K307" s="0" t="s">
        <v>3670</v>
      </c>
      <c r="L307" s="0" t="s">
        <v>3670</v>
      </c>
      <c r="M307" s="0" t="s">
        <v>3671</v>
      </c>
      <c r="N307" s="0" t="s">
        <v>3672</v>
      </c>
      <c r="O307" s="0" t="s">
        <v>3673</v>
      </c>
      <c r="P307" s="0" t="s">
        <v>153</v>
      </c>
      <c r="Q307" s="0" t="s">
        <v>4429</v>
      </c>
      <c r="R307" s="0" t="b">
        <v>0</v>
      </c>
      <c r="S307" s="0" t="s">
        <v>4543</v>
      </c>
    </row>
    <row customHeight="1" ht="11.25">
      <c r="A308" s="1104">
        <v>2655</v>
      </c>
      <c r="B308" s="0" t="s">
        <v>116</v>
      </c>
      <c r="C308" s="0">
        <v>31224507</v>
      </c>
      <c r="D308" s="0" t="s">
        <v>4430</v>
      </c>
      <c r="E308" s="0" t="s">
        <v>4431</v>
      </c>
      <c r="F308" s="0" t="s">
        <v>4432</v>
      </c>
      <c r="G308" s="0" t="s">
        <v>4433</v>
      </c>
      <c r="H308" s="0" t="s">
        <v>4434</v>
      </c>
      <c r="I308" s="0" t="s">
        <v>4435</v>
      </c>
      <c r="J308" s="0" t="s">
        <v>141</v>
      </c>
      <c r="K308" s="0" t="s">
        <v>4436</v>
      </c>
      <c r="L308" s="0" t="s">
        <v>4436</v>
      </c>
      <c r="M308" s="0" t="s">
        <v>4437</v>
      </c>
      <c r="N308" s="0" t="s">
        <v>4438</v>
      </c>
      <c r="O308" s="0" t="s">
        <v>4395</v>
      </c>
      <c r="P308" s="0" t="s">
        <v>3208</v>
      </c>
      <c r="Q308" s="0" t="s">
        <v>176</v>
      </c>
      <c r="R308" s="0" t="b">
        <v>0</v>
      </c>
      <c r="S308" s="0" t="s">
        <v>4543</v>
      </c>
    </row>
    <row customHeight="1" ht="11.25">
      <c r="A309" s="1104">
        <v>2655</v>
      </c>
      <c r="B309" s="0" t="s">
        <v>116</v>
      </c>
      <c r="C309" s="0">
        <v>27968109</v>
      </c>
      <c r="D309" s="0" t="s">
        <v>4439</v>
      </c>
      <c r="E309" s="0" t="s">
        <v>4440</v>
      </c>
      <c r="F309" s="0" t="s">
        <v>4441</v>
      </c>
      <c r="G309" s="0" t="s">
        <v>3178</v>
      </c>
      <c r="H309" s="0" t="s">
        <v>4442</v>
      </c>
      <c r="I309" s="0" t="s">
        <v>4443</v>
      </c>
      <c r="J309" s="0" t="s">
        <v>141</v>
      </c>
      <c r="K309" s="0" t="s">
        <v>4444</v>
      </c>
      <c r="L309" s="0" t="s">
        <v>4444</v>
      </c>
      <c r="M309" s="0" t="s">
        <v>4445</v>
      </c>
      <c r="N309" s="0" t="s">
        <v>4446</v>
      </c>
      <c r="O309" s="0" t="s">
        <v>4447</v>
      </c>
      <c r="P309" s="0" t="s">
        <v>3208</v>
      </c>
      <c r="Q309" s="0" t="s">
        <v>4448</v>
      </c>
      <c r="R309" s="0" t="b">
        <v>0</v>
      </c>
      <c r="S309" s="0" t="s">
        <v>4543</v>
      </c>
    </row>
    <row customHeight="1" ht="11.25">
      <c r="A310" s="1104">
        <v>2655</v>
      </c>
      <c r="B310" s="0" t="s">
        <v>116</v>
      </c>
      <c r="C310" s="0">
        <v>26356932</v>
      </c>
      <c r="D310" s="0" t="s">
        <v>4449</v>
      </c>
      <c r="E310" s="0" t="s">
        <v>4450</v>
      </c>
      <c r="F310" s="0" t="s">
        <v>4451</v>
      </c>
      <c r="G310" s="0" t="s">
        <v>3485</v>
      </c>
      <c r="H310" s="0" t="s">
        <v>4452</v>
      </c>
      <c r="I310" s="0" t="s">
        <v>4453</v>
      </c>
      <c r="J310" s="0" t="s">
        <v>141</v>
      </c>
      <c r="K310" s="0" t="s">
        <v>4454</v>
      </c>
      <c r="L310" s="0" t="s">
        <v>4454</v>
      </c>
      <c r="M310" s="0" t="s">
        <v>4455</v>
      </c>
      <c r="N310" s="0" t="s">
        <v>4456</v>
      </c>
      <c r="O310" s="0" t="s">
        <v>4457</v>
      </c>
      <c r="P310" s="0" t="s">
        <v>153</v>
      </c>
      <c r="Q310" s="0" t="s">
        <v>176</v>
      </c>
      <c r="R310" s="0" t="b">
        <v>1</v>
      </c>
      <c r="S310" s="0" t="s">
        <v>4543</v>
      </c>
    </row>
    <row customHeight="1" ht="11.25">
      <c r="A311" s="1104">
        <v>2655</v>
      </c>
      <c r="B311" s="0" t="s">
        <v>116</v>
      </c>
      <c r="C311" s="0">
        <v>28270293</v>
      </c>
      <c r="D311" s="0" t="s">
        <v>3646</v>
      </c>
      <c r="E311" s="0" t="s">
        <v>3647</v>
      </c>
      <c r="F311" s="0" t="s">
        <v>3648</v>
      </c>
      <c r="G311" s="0" t="s">
        <v>3407</v>
      </c>
      <c r="H311" s="0" t="s">
        <v>3649</v>
      </c>
      <c r="I311" s="0" t="s">
        <v>3650</v>
      </c>
      <c r="J311" s="0" t="s">
        <v>141</v>
      </c>
      <c r="K311" s="0" t="s">
        <v>3651</v>
      </c>
      <c r="L311" s="0" t="s">
        <v>3651</v>
      </c>
      <c r="M311" s="0" t="s">
        <v>3652</v>
      </c>
      <c r="N311" s="0" t="s">
        <v>3653</v>
      </c>
      <c r="O311" s="0" t="s">
        <v>3654</v>
      </c>
      <c r="P311" s="0" t="s">
        <v>3208</v>
      </c>
      <c r="Q311" s="0" t="s">
        <v>176</v>
      </c>
      <c r="R311" s="0" t="b">
        <v>0</v>
      </c>
      <c r="S311" s="0" t="s">
        <v>4543</v>
      </c>
    </row>
    <row customHeight="1" ht="11.25">
      <c r="A312" s="1104">
        <v>2655</v>
      </c>
      <c r="B312" s="0" t="s">
        <v>116</v>
      </c>
      <c r="C312" s="0">
        <v>28873362</v>
      </c>
      <c r="D312" s="0" t="s">
        <v>3655</v>
      </c>
      <c r="E312" s="0" t="s">
        <v>3656</v>
      </c>
      <c r="F312" s="0" t="s">
        <v>3657</v>
      </c>
      <c r="G312" s="0" t="s">
        <v>3178</v>
      </c>
      <c r="H312" s="0" t="s">
        <v>3658</v>
      </c>
      <c r="I312" s="0" t="s">
        <v>3659</v>
      </c>
      <c r="J312" s="0" t="s">
        <v>141</v>
      </c>
      <c r="K312" s="0" t="s">
        <v>3660</v>
      </c>
      <c r="L312" s="0" t="s">
        <v>3660</v>
      </c>
      <c r="M312" s="0" t="s">
        <v>3661</v>
      </c>
      <c r="N312" s="0" t="s">
        <v>3662</v>
      </c>
      <c r="O312" s="0" t="s">
        <v>3663</v>
      </c>
      <c r="P312" s="0" t="s">
        <v>153</v>
      </c>
      <c r="Q312" s="0" t="s">
        <v>3664</v>
      </c>
      <c r="R312" s="0" t="b">
        <v>0</v>
      </c>
      <c r="S312" s="0" t="s">
        <v>4543</v>
      </c>
    </row>
    <row customHeight="1" ht="11.25">
      <c r="A313" s="1104">
        <v>2655</v>
      </c>
      <c r="B313" s="0" t="s">
        <v>116</v>
      </c>
      <c r="C313" s="0">
        <v>31774768</v>
      </c>
      <c r="D313" s="0" t="s">
        <v>4458</v>
      </c>
      <c r="E313" s="0" t="s">
        <v>4459</v>
      </c>
      <c r="F313" s="0" t="s">
        <v>4460</v>
      </c>
      <c r="G313" s="0" t="s">
        <v>3428</v>
      </c>
      <c r="H313" s="0" t="s">
        <v>4461</v>
      </c>
      <c r="I313" s="0" t="s">
        <v>4462</v>
      </c>
      <c r="K313" s="0" t="s">
        <v>4463</v>
      </c>
      <c r="L313" s="0" t="s">
        <v>4463</v>
      </c>
      <c r="M313" s="0" t="s">
        <v>176</v>
      </c>
      <c r="N313" s="0" t="s">
        <v>4464</v>
      </c>
      <c r="O313" s="0" t="s">
        <v>4465</v>
      </c>
      <c r="P313" s="0" t="s">
        <v>3186</v>
      </c>
      <c r="Q313" s="0" t="s">
        <v>176</v>
      </c>
      <c r="R313" s="0" t="b">
        <v>1</v>
      </c>
      <c r="S313" s="0" t="s">
        <v>4543</v>
      </c>
    </row>
    <row customHeight="1" ht="11.25">
      <c r="A314" s="1104">
        <v>2655</v>
      </c>
      <c r="B314" s="0" t="s">
        <v>116</v>
      </c>
      <c r="C314" s="0">
        <v>30992391</v>
      </c>
      <c r="D314" s="0" t="s">
        <v>3674</v>
      </c>
      <c r="E314" s="0" t="s">
        <v>3675</v>
      </c>
      <c r="F314" s="0" t="s">
        <v>3676</v>
      </c>
      <c r="G314" s="0" t="s">
        <v>3294</v>
      </c>
      <c r="H314" s="0" t="s">
        <v>3677</v>
      </c>
      <c r="I314" s="0" t="s">
        <v>3678</v>
      </c>
      <c r="J314" s="0" t="s">
        <v>141</v>
      </c>
      <c r="K314" s="0" t="s">
        <v>3679</v>
      </c>
      <c r="L314" s="0" t="s">
        <v>3680</v>
      </c>
      <c r="M314" s="0" t="s">
        <v>3681</v>
      </c>
      <c r="N314" s="0" t="s">
        <v>3682</v>
      </c>
      <c r="O314" s="0" t="s">
        <v>3683</v>
      </c>
      <c r="P314" s="0" t="s">
        <v>153</v>
      </c>
      <c r="Q314" s="0" t="s">
        <v>3684</v>
      </c>
      <c r="R314" s="0" t="b">
        <v>0</v>
      </c>
      <c r="S314" s="0" t="s">
        <v>4543</v>
      </c>
    </row>
    <row customHeight="1" ht="11.25">
      <c r="A315" s="1104">
        <v>2655</v>
      </c>
      <c r="B315" s="0" t="s">
        <v>116</v>
      </c>
      <c r="C315" s="0">
        <v>31491836</v>
      </c>
      <c r="D315" s="0" t="s">
        <v>4466</v>
      </c>
      <c r="E315" s="0" t="s">
        <v>4467</v>
      </c>
      <c r="F315" s="0" t="s">
        <v>4468</v>
      </c>
      <c r="G315" s="0" t="s">
        <v>3178</v>
      </c>
      <c r="H315" s="0" t="s">
        <v>4469</v>
      </c>
      <c r="I315" s="0" t="s">
        <v>4470</v>
      </c>
      <c r="J315" s="0" t="s">
        <v>141</v>
      </c>
      <c r="K315" s="0" t="s">
        <v>4471</v>
      </c>
      <c r="L315" s="0" t="s">
        <v>4472</v>
      </c>
      <c r="M315" s="0" t="s">
        <v>4473</v>
      </c>
      <c r="N315" s="0" t="s">
        <v>4474</v>
      </c>
      <c r="O315" s="0" t="s">
        <v>4475</v>
      </c>
      <c r="P315" s="0" t="s">
        <v>3334</v>
      </c>
      <c r="Q315" s="0" t="s">
        <v>176</v>
      </c>
      <c r="R315" s="0" t="b">
        <v>1</v>
      </c>
      <c r="S315" s="0" t="s">
        <v>4543</v>
      </c>
    </row>
    <row customHeight="1" ht="11.25">
      <c r="A316" s="1104">
        <v>2655</v>
      </c>
      <c r="B316" s="0" t="s">
        <v>116</v>
      </c>
      <c r="C316" s="0">
        <v>26356974</v>
      </c>
      <c r="D316" s="0" t="s">
        <v>4476</v>
      </c>
      <c r="E316" s="0" t="s">
        <v>4477</v>
      </c>
      <c r="F316" s="0" t="s">
        <v>4478</v>
      </c>
      <c r="G316" s="0" t="s">
        <v>4479</v>
      </c>
      <c r="H316" s="0" t="s">
        <v>4480</v>
      </c>
      <c r="I316" s="0" t="s">
        <v>4481</v>
      </c>
      <c r="J316" s="0" t="s">
        <v>141</v>
      </c>
      <c r="K316" s="0" t="s">
        <v>4482</v>
      </c>
      <c r="L316" s="0" t="s">
        <v>4482</v>
      </c>
      <c r="M316" s="0" t="s">
        <v>4483</v>
      </c>
      <c r="N316" s="0" t="s">
        <v>4484</v>
      </c>
      <c r="O316" s="0" t="s">
        <v>4485</v>
      </c>
      <c r="P316" s="0" t="s">
        <v>153</v>
      </c>
      <c r="Q316" s="0" t="s">
        <v>4486</v>
      </c>
      <c r="R316" s="0" t="b">
        <v>0</v>
      </c>
      <c r="S316" s="0" t="s">
        <v>4543</v>
      </c>
    </row>
    <row customHeight="1" ht="11.25">
      <c r="A317" s="1104">
        <v>2655</v>
      </c>
      <c r="B317" s="0" t="s">
        <v>116</v>
      </c>
      <c r="C317" s="0">
        <v>31365968</v>
      </c>
      <c r="D317" s="0" t="s">
        <v>4487</v>
      </c>
      <c r="E317" s="0" t="s">
        <v>4488</v>
      </c>
      <c r="F317" s="0" t="s">
        <v>4489</v>
      </c>
      <c r="G317" s="0" t="s">
        <v>3378</v>
      </c>
      <c r="H317" s="0" t="s">
        <v>4490</v>
      </c>
      <c r="I317" s="0" t="s">
        <v>4491</v>
      </c>
      <c r="J317" s="0" t="s">
        <v>141</v>
      </c>
      <c r="K317" s="0" t="s">
        <v>4492</v>
      </c>
      <c r="L317" s="0" t="s">
        <v>4492</v>
      </c>
      <c r="M317" s="0" t="s">
        <v>4493</v>
      </c>
      <c r="N317" s="0" t="s">
        <v>4494</v>
      </c>
      <c r="O317" s="0" t="s">
        <v>4495</v>
      </c>
      <c r="P317" s="0" t="s">
        <v>3208</v>
      </c>
      <c r="Q317" s="0" t="s">
        <v>176</v>
      </c>
      <c r="R317" s="0" t="b">
        <v>0</v>
      </c>
      <c r="S317" s="0" t="s">
        <v>4543</v>
      </c>
    </row>
    <row customHeight="1" ht="11.25">
      <c r="A318" s="1104">
        <v>2655</v>
      </c>
      <c r="B318" s="0" t="s">
        <v>116</v>
      </c>
      <c r="C318" s="0">
        <v>31038861</v>
      </c>
      <c r="D318" s="0" t="s">
        <v>4496</v>
      </c>
      <c r="E318" s="0" t="s">
        <v>4497</v>
      </c>
      <c r="F318" s="0" t="s">
        <v>4498</v>
      </c>
      <c r="G318" s="0" t="s">
        <v>3202</v>
      </c>
      <c r="H318" s="0" t="s">
        <v>4499</v>
      </c>
      <c r="I318" s="0" t="s">
        <v>4500</v>
      </c>
      <c r="J318" s="0" t="s">
        <v>141</v>
      </c>
      <c r="K318" s="0" t="s">
        <v>4501</v>
      </c>
      <c r="L318" s="0" t="s">
        <v>4502</v>
      </c>
      <c r="M318" s="0" t="s">
        <v>4503</v>
      </c>
      <c r="N318" s="0" t="s">
        <v>4504</v>
      </c>
      <c r="O318" s="0" t="s">
        <v>4505</v>
      </c>
      <c r="P318" s="0" t="s">
        <v>153</v>
      </c>
      <c r="Q318" s="0" t="s">
        <v>176</v>
      </c>
      <c r="R318" s="0" t="b">
        <v>0</v>
      </c>
      <c r="S318" s="0" t="s">
        <v>4543</v>
      </c>
    </row>
    <row customHeight="1" ht="11.25">
      <c r="A319" s="1104">
        <v>2655</v>
      </c>
      <c r="B319" s="0" t="s">
        <v>116</v>
      </c>
      <c r="C319" s="0">
        <v>26853991</v>
      </c>
      <c r="D319" s="0" t="s">
        <v>3685</v>
      </c>
      <c r="E319" s="0" t="s">
        <v>3686</v>
      </c>
      <c r="F319" s="0" t="s">
        <v>3687</v>
      </c>
      <c r="G319" s="0" t="s">
        <v>3688</v>
      </c>
      <c r="H319" s="0" t="s">
        <v>3689</v>
      </c>
      <c r="I319" s="0" t="s">
        <v>3690</v>
      </c>
      <c r="J319" s="0" t="s">
        <v>3166</v>
      </c>
      <c r="K319" s="0" t="s">
        <v>3691</v>
      </c>
      <c r="L319" s="0" t="s">
        <v>3692</v>
      </c>
      <c r="M319" s="0" t="s">
        <v>3693</v>
      </c>
      <c r="N319" s="0" t="s">
        <v>3694</v>
      </c>
      <c r="O319" s="0" t="s">
        <v>3695</v>
      </c>
      <c r="P319" s="0" t="s">
        <v>3208</v>
      </c>
      <c r="Q319" s="0" t="s">
        <v>176</v>
      </c>
      <c r="R319" s="0" t="b">
        <v>0</v>
      </c>
      <c r="S319" s="0" t="s">
        <v>4543</v>
      </c>
    </row>
    <row customHeight="1" ht="11.25">
      <c r="A320" s="1104">
        <v>2655</v>
      </c>
      <c r="B320" s="0" t="s">
        <v>116</v>
      </c>
      <c r="C320" s="0">
        <v>31908312</v>
      </c>
      <c r="D320" s="0" t="s">
        <v>3685</v>
      </c>
      <c r="E320" s="0" t="s">
        <v>3696</v>
      </c>
      <c r="F320" s="0" t="s">
        <v>3687</v>
      </c>
      <c r="G320" s="0" t="s">
        <v>3688</v>
      </c>
      <c r="H320" s="0" t="s">
        <v>3689</v>
      </c>
      <c r="I320" s="0" t="s">
        <v>3690</v>
      </c>
      <c r="K320" s="0" t="s">
        <v>3697</v>
      </c>
      <c r="L320" s="0" t="s">
        <v>3697</v>
      </c>
      <c r="M320" s="0" t="s">
        <v>3698</v>
      </c>
      <c r="N320" s="0" t="s">
        <v>3699</v>
      </c>
      <c r="O320" s="0" t="s">
        <v>3700</v>
      </c>
      <c r="P320" s="0" t="s">
        <v>176</v>
      </c>
      <c r="Q320" s="0" t="s">
        <v>3701</v>
      </c>
      <c r="R320" s="0" t="b">
        <v>0</v>
      </c>
      <c r="S320" s="0" t="s">
        <v>4543</v>
      </c>
    </row>
    <row customHeight="1" ht="11.25">
      <c r="A321" s="1104">
        <v>2655</v>
      </c>
      <c r="B321" s="0" t="s">
        <v>116</v>
      </c>
      <c r="C321" s="0">
        <v>26519663</v>
      </c>
      <c r="D321" s="0" t="s">
        <v>4506</v>
      </c>
      <c r="E321" s="0" t="s">
        <v>4507</v>
      </c>
      <c r="F321" s="0" t="s">
        <v>4508</v>
      </c>
      <c r="G321" s="0" t="s">
        <v>3369</v>
      </c>
      <c r="H321" s="0" t="s">
        <v>4509</v>
      </c>
      <c r="I321" s="0" t="s">
        <v>4510</v>
      </c>
      <c r="J321" s="0" t="s">
        <v>3239</v>
      </c>
      <c r="K321" s="0" t="s">
        <v>4511</v>
      </c>
      <c r="L321" s="0" t="s">
        <v>4511</v>
      </c>
      <c r="M321" s="0" t="s">
        <v>4512</v>
      </c>
      <c r="N321" s="0" t="s">
        <v>4513</v>
      </c>
      <c r="O321" s="0" t="s">
        <v>4514</v>
      </c>
      <c r="P321" s="0" t="s">
        <v>3221</v>
      </c>
      <c r="Q321" s="0" t="s">
        <v>4515</v>
      </c>
      <c r="R321" s="0" t="b">
        <v>0</v>
      </c>
      <c r="S321" s="0" t="s">
        <v>4543</v>
      </c>
    </row>
    <row customHeight="1" ht="11.25">
      <c r="A322" s="1104">
        <v>2655</v>
      </c>
      <c r="B322" s="0" t="s">
        <v>116</v>
      </c>
      <c r="C322" s="0">
        <v>30808511</v>
      </c>
      <c r="D322" s="0" t="s">
        <v>3702</v>
      </c>
      <c r="E322" s="0" t="s">
        <v>3702</v>
      </c>
      <c r="F322" s="0" t="s">
        <v>3703</v>
      </c>
      <c r="G322" s="0" t="s">
        <v>3704</v>
      </c>
      <c r="H322" s="0" t="s">
        <v>3705</v>
      </c>
      <c r="I322" s="0" t="s">
        <v>3706</v>
      </c>
      <c r="J322" s="0" t="s">
        <v>3707</v>
      </c>
      <c r="K322" s="0" t="s">
        <v>3708</v>
      </c>
      <c r="L322" s="0" t="s">
        <v>3709</v>
      </c>
      <c r="M322" s="0" t="s">
        <v>3710</v>
      </c>
      <c r="N322" s="0" t="s">
        <v>3711</v>
      </c>
      <c r="O322" s="0" t="s">
        <v>3712</v>
      </c>
      <c r="P322" s="0" t="s">
        <v>153</v>
      </c>
      <c r="Q322" s="0" t="s">
        <v>3711</v>
      </c>
      <c r="R322" s="0" t="b">
        <v>0</v>
      </c>
      <c r="S322" s="0" t="s">
        <v>4543</v>
      </c>
    </row>
    <row customHeight="1" ht="11.25">
      <c r="A323" s="1104">
        <v>2655</v>
      </c>
      <c r="B323" s="0" t="s">
        <v>116</v>
      </c>
      <c r="C323" s="0">
        <v>28977129</v>
      </c>
      <c r="D323" s="0" t="s">
        <v>4516</v>
      </c>
      <c r="E323" s="0" t="s">
        <v>4517</v>
      </c>
      <c r="F323" s="0" t="s">
        <v>3703</v>
      </c>
      <c r="G323" s="0" t="s">
        <v>4518</v>
      </c>
      <c r="H323" s="0" t="s">
        <v>3705</v>
      </c>
      <c r="I323" s="0" t="s">
        <v>3716</v>
      </c>
      <c r="J323" s="0" t="s">
        <v>3707</v>
      </c>
      <c r="K323" s="0" t="s">
        <v>4519</v>
      </c>
      <c r="L323" s="0" t="s">
        <v>4520</v>
      </c>
      <c r="M323" s="0" t="s">
        <v>4521</v>
      </c>
      <c r="N323" s="0" t="s">
        <v>176</v>
      </c>
      <c r="O323" s="0" t="s">
        <v>4522</v>
      </c>
      <c r="P323" s="0" t="s">
        <v>153</v>
      </c>
      <c r="Q323" s="0" t="s">
        <v>176</v>
      </c>
      <c r="R323" s="0" t="b">
        <v>0</v>
      </c>
      <c r="S323" s="0" t="s">
        <v>4543</v>
      </c>
    </row>
    <row customHeight="1" ht="11.25">
      <c r="A324" s="1104">
        <v>2655</v>
      </c>
      <c r="B324" s="0" t="s">
        <v>116</v>
      </c>
      <c r="C324" s="0">
        <v>30829962</v>
      </c>
      <c r="D324" s="0" t="s">
        <v>4523</v>
      </c>
      <c r="E324" s="0" t="s">
        <v>4524</v>
      </c>
      <c r="F324" s="0" t="s">
        <v>3703</v>
      </c>
      <c r="G324" s="0" t="s">
        <v>3178</v>
      </c>
      <c r="H324" s="0" t="s">
        <v>3705</v>
      </c>
      <c r="I324" s="0" t="s">
        <v>4525</v>
      </c>
      <c r="J324" s="0" t="s">
        <v>3707</v>
      </c>
      <c r="K324" s="0" t="s">
        <v>4526</v>
      </c>
      <c r="L324" s="0" t="s">
        <v>4526</v>
      </c>
      <c r="M324" s="0" t="s">
        <v>4527</v>
      </c>
      <c r="N324" s="0" t="s">
        <v>4528</v>
      </c>
      <c r="O324" s="0" t="s">
        <v>4529</v>
      </c>
      <c r="P324" s="0" t="s">
        <v>3334</v>
      </c>
      <c r="Q324" s="0" t="s">
        <v>176</v>
      </c>
      <c r="R324" s="0" t="b">
        <v>0</v>
      </c>
      <c r="S324" s="0" t="s">
        <v>4543</v>
      </c>
    </row>
    <row customHeight="1" ht="11.25">
      <c r="A325" s="1104">
        <v>2655</v>
      </c>
      <c r="B325" s="0" t="s">
        <v>116</v>
      </c>
      <c r="C325" s="0">
        <v>26520873</v>
      </c>
      <c r="D325" s="0" t="s">
        <v>3713</v>
      </c>
      <c r="E325" s="0" t="s">
        <v>3714</v>
      </c>
      <c r="F325" s="0" t="s">
        <v>3703</v>
      </c>
      <c r="G325" s="0" t="s">
        <v>3715</v>
      </c>
      <c r="H325" s="0" t="s">
        <v>3705</v>
      </c>
      <c r="I325" s="0" t="s">
        <v>3716</v>
      </c>
      <c r="J325" s="0" t="s">
        <v>3707</v>
      </c>
      <c r="K325" s="0" t="s">
        <v>3717</v>
      </c>
      <c r="L325" s="0" t="s">
        <v>3718</v>
      </c>
      <c r="M325" s="0" t="s">
        <v>3719</v>
      </c>
      <c r="N325" s="0" t="s">
        <v>3720</v>
      </c>
      <c r="O325" s="0" t="s">
        <v>3721</v>
      </c>
      <c r="P325" s="0" t="s">
        <v>153</v>
      </c>
      <c r="Q325" s="0" t="s">
        <v>3722</v>
      </c>
      <c r="R325" s="0" t="b">
        <v>0</v>
      </c>
      <c r="S325" s="0" t="s">
        <v>4543</v>
      </c>
    </row>
    <row customHeight="1" ht="11.25">
      <c r="A326" s="1104">
        <v>2655</v>
      </c>
      <c r="B326" s="0" t="s">
        <v>116</v>
      </c>
      <c r="C326" s="0">
        <v>30914574</v>
      </c>
      <c r="D326" s="0" t="s">
        <v>4530</v>
      </c>
      <c r="E326" s="0" t="s">
        <v>4531</v>
      </c>
      <c r="F326" s="0" t="s">
        <v>4532</v>
      </c>
      <c r="G326" s="0" t="s">
        <v>4533</v>
      </c>
      <c r="H326" s="0" t="s">
        <v>4534</v>
      </c>
      <c r="I326" s="0" t="s">
        <v>4535</v>
      </c>
      <c r="J326" s="0" t="s">
        <v>4536</v>
      </c>
      <c r="K326" s="0" t="s">
        <v>4537</v>
      </c>
      <c r="L326" s="0" t="s">
        <v>4538</v>
      </c>
      <c r="M326" s="0" t="s">
        <v>4539</v>
      </c>
      <c r="N326" s="0" t="s">
        <v>4540</v>
      </c>
      <c r="O326" s="0" t="s">
        <v>4541</v>
      </c>
      <c r="P326" s="0" t="s">
        <v>4542</v>
      </c>
      <c r="Q326" s="0" t="s">
        <v>176</v>
      </c>
      <c r="R326" s="0" t="b">
        <v>0</v>
      </c>
      <c r="S326" s="0" t="s">
        <v>4543</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94E6E8-715D-C348-B6BC-45484E4154AD}" mc:Ignorable="x14ac xr xr2 xr3">
  <sheetPr>
    <tabColor rgb="FFFFCC99"/>
  </sheetPr>
  <dimension ref="A1:A1"/>
  <sheetViews>
    <sheetView topLeftCell="A1" showGridLines="0" workbookViewId="0">
      <selection activeCell="A1" sqref="A1"/>
    </sheetView>
  </sheetViews>
  <sheetFormatPr defaultColWidth="9.140625" customHeight="1" defaultRowHeight="11.25"/>
  <cols>
    <col min="1" max="1" style="1104" width="9.140625"/>
  </cols>
  <sheetData>
    <row customHeight="1" ht="11.25"/>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527448-3CB8-4638-FC68-9B5A52DE00F8}" mc:Ignorable="x14ac xr xr2 xr3">
  <sheetPr>
    <tabColor rgb="FFFFCC99"/>
  </sheetPr>
  <dimension ref="A1:B97"/>
  <sheetViews>
    <sheetView topLeftCell="A1" showGridLines="0" workbookViewId="0">
      <selection activeCell="A1" sqref="A1"/>
    </sheetView>
  </sheetViews>
  <sheetFormatPr defaultColWidth="9.00390625" customHeight="1" defaultRowHeight="11.25"/>
  <cols>
    <col min="1" max="1" style="1104" width="88.8515625" customWidth="1"/>
    <col min="2" max="2" style="1751" width="24.7109375" customWidth="1"/>
  </cols>
  <sheetData>
    <row customHeight="1" ht="11.25">
      <c r="A1" s="1104" t="s">
        <v>4544</v>
      </c>
    </row>
    <row customHeight="1" ht="11.25">
      <c r="A2" s="1104" t="s">
        <v>4545</v>
      </c>
      <c r="B2" s="0" t="s">
        <v>4546</v>
      </c>
    </row>
    <row customHeight="1" ht="11.25">
      <c r="A3" s="1104" t="s">
        <v>4547</v>
      </c>
    </row>
    <row customHeight="1" ht="11.25">
      <c r="A4" s="1104" t="s">
        <v>3239</v>
      </c>
    </row>
    <row customHeight="1" ht="11.25">
      <c r="A5" s="1104" t="s">
        <v>3166</v>
      </c>
    </row>
    <row customHeight="1" ht="11.25">
      <c r="A6" s="1104" t="s">
        <v>141</v>
      </c>
    </row>
    <row customHeight="1" ht="11.25">
      <c r="A7" s="1104" t="s">
        <v>4548</v>
      </c>
    </row>
    <row customHeight="1" ht="11.25">
      <c r="A8" s="1104" t="s">
        <v>4549</v>
      </c>
    </row>
    <row customHeight="1" ht="11.25">
      <c r="A9" s="1104" t="s">
        <v>4550</v>
      </c>
    </row>
    <row customHeight="1" ht="11.25">
      <c r="A10" s="1104" t="s">
        <v>4551</v>
      </c>
    </row>
    <row customHeight="1" ht="11.25">
      <c r="A11" s="1104" t="s">
        <v>4552</v>
      </c>
    </row>
    <row customHeight="1" ht="11.25">
      <c r="A12" s="1104" t="s">
        <v>4553</v>
      </c>
    </row>
    <row customHeight="1" ht="11.25">
      <c r="A13" s="1104" t="s">
        <v>4554</v>
      </c>
    </row>
    <row customHeight="1" ht="11.25">
      <c r="A14" s="1104" t="s">
        <v>4555</v>
      </c>
    </row>
    <row customHeight="1" ht="11.25">
      <c r="A15" s="1104" t="s">
        <v>4556</v>
      </c>
    </row>
    <row customHeight="1" ht="11.25">
      <c r="A16" s="1104" t="s">
        <v>4557</v>
      </c>
    </row>
    <row customHeight="1" ht="11.25">
      <c r="A17" s="1104" t="s">
        <v>4558</v>
      </c>
    </row>
    <row customHeight="1" ht="11.25">
      <c r="A18" s="1104" t="s">
        <v>4559</v>
      </c>
    </row>
    <row customHeight="1" ht="11.25">
      <c r="A19" s="1104" t="s">
        <v>4560</v>
      </c>
    </row>
    <row customHeight="1" ht="11.25">
      <c r="A20" s="1104" t="s">
        <v>4561</v>
      </c>
    </row>
    <row customHeight="1" ht="11.25">
      <c r="A21" s="1104" t="s">
        <v>4562</v>
      </c>
    </row>
    <row customHeight="1" ht="11.25">
      <c r="A22" s="1104" t="s">
        <v>4563</v>
      </c>
    </row>
    <row customHeight="1" ht="11.25">
      <c r="A23" s="1104" t="s">
        <v>4564</v>
      </c>
    </row>
    <row customHeight="1" ht="11.25">
      <c r="A24" s="1104" t="s">
        <v>4565</v>
      </c>
    </row>
    <row customHeight="1" ht="11.25">
      <c r="A25" s="1104" t="s">
        <v>4566</v>
      </c>
    </row>
    <row customHeight="1" ht="11.25">
      <c r="A26" s="1104" t="s">
        <v>4567</v>
      </c>
    </row>
    <row customHeight="1" ht="11.25">
      <c r="A27" s="1104" t="s">
        <v>4568</v>
      </c>
    </row>
    <row customHeight="1" ht="11.25">
      <c r="A28" s="1104" t="s">
        <v>4569</v>
      </c>
    </row>
    <row customHeight="1" ht="11.25">
      <c r="A29" s="1104" t="s">
        <v>4570</v>
      </c>
    </row>
    <row customHeight="1" ht="11.25">
      <c r="A30" s="1104" t="s">
        <v>4571</v>
      </c>
    </row>
    <row customHeight="1" ht="11.25">
      <c r="A31" s="1104" t="s">
        <v>4572</v>
      </c>
    </row>
    <row customHeight="1" ht="11.25">
      <c r="A32" s="1104" t="s">
        <v>4573</v>
      </c>
    </row>
    <row customHeight="1" ht="11.25">
      <c r="A33" s="1104" t="s">
        <v>4574</v>
      </c>
    </row>
    <row customHeight="1" ht="11.25">
      <c r="A34" s="1104" t="s">
        <v>4575</v>
      </c>
    </row>
    <row customHeight="1" ht="11.25">
      <c r="A35" s="1104" t="s">
        <v>4576</v>
      </c>
    </row>
    <row customHeight="1" ht="11.25">
      <c r="A36" s="1104" t="s">
        <v>4577</v>
      </c>
    </row>
    <row customHeight="1" ht="11.25">
      <c r="A37" s="1104" t="s">
        <v>4578</v>
      </c>
    </row>
    <row customHeight="1" ht="11.25">
      <c r="A38" s="1104" t="s">
        <v>4579</v>
      </c>
    </row>
    <row customHeight="1" ht="11.25">
      <c r="A39" s="1104" t="s">
        <v>4580</v>
      </c>
    </row>
    <row customHeight="1" ht="11.25">
      <c r="A40" s="1104" t="s">
        <v>4581</v>
      </c>
    </row>
    <row customHeight="1" ht="11.25">
      <c r="A41" s="1104" t="s">
        <v>4582</v>
      </c>
    </row>
    <row customHeight="1" ht="11.25">
      <c r="A42" s="1104" t="s">
        <v>4583</v>
      </c>
    </row>
    <row customHeight="1" ht="11.25">
      <c r="A43" s="1104" t="s">
        <v>4584</v>
      </c>
    </row>
    <row customHeight="1" ht="11.25">
      <c r="A44" s="1104" t="s">
        <v>4585</v>
      </c>
    </row>
    <row customHeight="1" ht="11.25">
      <c r="A45" s="1104" t="s">
        <v>4586</v>
      </c>
    </row>
    <row customHeight="1" ht="11.25">
      <c r="A46" s="1104" t="s">
        <v>4587</v>
      </c>
    </row>
    <row customHeight="1" ht="11.25">
      <c r="A47" s="1104" t="s">
        <v>4588</v>
      </c>
    </row>
    <row customHeight="1" ht="11.25">
      <c r="A48" s="1104" t="s">
        <v>4589</v>
      </c>
    </row>
    <row customHeight="1" ht="11.25">
      <c r="A49" s="1104" t="s">
        <v>4590</v>
      </c>
    </row>
    <row customHeight="1" ht="11.25">
      <c r="A50" s="1104" t="s">
        <v>4591</v>
      </c>
    </row>
    <row customHeight="1" ht="11.25">
      <c r="A51" s="1104" t="s">
        <v>4592</v>
      </c>
    </row>
    <row customHeight="1" ht="11.25">
      <c r="A52" s="1104" t="s">
        <v>4593</v>
      </c>
    </row>
    <row customHeight="1" ht="11.25">
      <c r="A53" s="1104" t="s">
        <v>4594</v>
      </c>
    </row>
    <row customHeight="1" ht="11.25">
      <c r="A54" s="1104" t="s">
        <v>4595</v>
      </c>
    </row>
    <row customHeight="1" ht="11.25">
      <c r="A55" s="1104" t="s">
        <v>4596</v>
      </c>
    </row>
    <row customHeight="1" ht="11.25">
      <c r="A56" s="1104" t="s">
        <v>4597</v>
      </c>
    </row>
    <row customHeight="1" ht="11.25">
      <c r="A57" s="1104" t="s">
        <v>3707</v>
      </c>
    </row>
    <row customHeight="1" ht="11.25">
      <c r="A58" s="1104" t="s">
        <v>4598</v>
      </c>
    </row>
    <row customHeight="1" ht="11.25">
      <c r="A59" s="1104" t="s">
        <v>4599</v>
      </c>
    </row>
    <row customHeight="1" ht="11.25">
      <c r="A60" s="1104" t="s">
        <v>4600</v>
      </c>
    </row>
    <row customHeight="1" ht="11.25">
      <c r="A61" s="1104" t="s">
        <v>4601</v>
      </c>
    </row>
    <row customHeight="1" ht="11.25">
      <c r="A62" s="1104" t="s">
        <v>4602</v>
      </c>
    </row>
    <row customHeight="1" ht="11.25">
      <c r="A63" s="1104" t="s">
        <v>4603</v>
      </c>
    </row>
    <row customHeight="1" ht="11.25">
      <c r="A64" s="1104" t="s">
        <v>4604</v>
      </c>
    </row>
    <row customHeight="1" ht="11.25">
      <c r="A65" s="1104" t="s">
        <v>4605</v>
      </c>
    </row>
    <row customHeight="1" ht="11.25">
      <c r="A66" s="1104" t="s">
        <v>3973</v>
      </c>
    </row>
    <row customHeight="1" ht="11.25">
      <c r="A67" s="1104" t="s">
        <v>4606</v>
      </c>
    </row>
    <row customHeight="1" ht="11.25">
      <c r="A68" s="1104" t="s">
        <v>4607</v>
      </c>
    </row>
    <row customHeight="1" ht="11.25">
      <c r="A69" s="1104" t="s">
        <v>4608</v>
      </c>
    </row>
    <row customHeight="1" ht="11.25">
      <c r="A70" s="1104" t="s">
        <v>4609</v>
      </c>
    </row>
    <row customHeight="1" ht="11.25">
      <c r="A71" s="1104" t="s">
        <v>3297</v>
      </c>
    </row>
    <row customHeight="1" ht="11.25">
      <c r="A72" s="1104" t="s">
        <v>4610</v>
      </c>
    </row>
    <row customHeight="1" ht="11.25">
      <c r="A73" s="1104" t="s">
        <v>4611</v>
      </c>
    </row>
    <row customHeight="1" ht="11.25">
      <c r="A74" s="1104" t="s">
        <v>3308</v>
      </c>
    </row>
    <row customHeight="1" ht="11.25">
      <c r="A75" s="1104" t="s">
        <v>4612</v>
      </c>
    </row>
    <row customHeight="1" ht="11.25">
      <c r="A76" s="1104" t="s">
        <v>4613</v>
      </c>
    </row>
    <row customHeight="1" ht="11.25">
      <c r="A77" s="1104" t="s">
        <v>4614</v>
      </c>
    </row>
    <row customHeight="1" ht="11.25">
      <c r="A78" s="1104" t="s">
        <v>4615</v>
      </c>
    </row>
    <row customHeight="1" ht="11.25">
      <c r="A79" s="1104" t="s">
        <v>4616</v>
      </c>
    </row>
    <row customHeight="1" ht="11.25">
      <c r="A80" s="1104" t="s">
        <v>4617</v>
      </c>
    </row>
    <row customHeight="1" ht="11.25">
      <c r="A81" s="1104" t="s">
        <v>4618</v>
      </c>
    </row>
    <row customHeight="1" ht="11.25">
      <c r="A82" s="1104" t="s">
        <v>4619</v>
      </c>
    </row>
    <row customHeight="1" ht="11.25">
      <c r="A83" s="1104" t="s">
        <v>4620</v>
      </c>
    </row>
    <row customHeight="1" ht="11.25">
      <c r="A84" s="1104" t="s">
        <v>4621</v>
      </c>
    </row>
    <row customHeight="1" ht="11.25">
      <c r="A85" s="1104" t="s">
        <v>4536</v>
      </c>
    </row>
    <row customHeight="1" ht="11.25">
      <c r="A86" s="1104" t="s">
        <v>3728</v>
      </c>
    </row>
    <row customHeight="1" ht="11.25">
      <c r="A87" s="1104" t="s">
        <v>4622</v>
      </c>
    </row>
    <row customHeight="1" ht="11.25">
      <c r="A88" s="1104" t="s">
        <v>3941</v>
      </c>
    </row>
    <row customHeight="1" ht="11.25">
      <c r="A89" s="1104" t="s">
        <v>4623</v>
      </c>
    </row>
    <row customHeight="1" ht="11.25">
      <c r="A90" s="1104" t="s">
        <v>4624</v>
      </c>
    </row>
    <row customHeight="1" ht="11.25">
      <c r="A91" s="1104" t="s">
        <v>4625</v>
      </c>
    </row>
    <row customHeight="1" ht="11.25">
      <c r="A92" s="1104" t="s">
        <v>4626</v>
      </c>
    </row>
    <row customHeight="1" ht="11.25">
      <c r="A93" s="1104" t="s">
        <v>3777</v>
      </c>
    </row>
    <row customHeight="1" ht="11.25">
      <c r="A94" s="1104" t="s">
        <v>4627</v>
      </c>
    </row>
    <row customHeight="1" ht="11.25">
      <c r="A95" s="1104" t="s">
        <v>4628</v>
      </c>
    </row>
    <row customHeight="1" ht="11.25">
      <c r="A96" s="1104" t="s">
        <v>4629</v>
      </c>
    </row>
    <row customHeight="1" ht="11.25">
      <c r="A97" s="1104" t="s">
        <v>4630</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B663E3-8B88-89A6-5F98-320A6EC51B08}" mc:Ignorable="x14ac xr xr2 xr3">
  <sheetPr>
    <tabColor rgb="FFFFCC99"/>
  </sheetPr>
  <dimension ref="A1:A8"/>
  <sheetViews>
    <sheetView topLeftCell="A1" workbookViewId="0">
      <selection activeCell="A1" sqref="A1"/>
    </sheetView>
  </sheetViews>
  <sheetFormatPr defaultColWidth="8.8515625" customHeight="1" defaultRowHeight="15"/>
  <sheetData>
    <row customHeight="1" ht="15">
      <c r="A1" s="0" t="s">
        <v>4631</v>
      </c>
    </row>
    <row customHeight="1" ht="15">
      <c r="A2" s="0" t="s">
        <v>4632</v>
      </c>
    </row>
    <row customHeight="1" ht="15">
      <c r="A3" s="0" t="s">
        <v>4633</v>
      </c>
    </row>
    <row customHeight="1" ht="15">
      <c r="A4" s="0" t="s">
        <v>4634</v>
      </c>
    </row>
    <row customHeight="1" ht="15">
      <c r="A5" s="0" t="s">
        <v>4635</v>
      </c>
    </row>
    <row customHeight="1" ht="15">
      <c r="A6" s="0" t="s">
        <v>4636</v>
      </c>
    </row>
    <row customHeight="1" ht="15">
      <c r="A7" s="0" t="s">
        <v>4637</v>
      </c>
    </row>
    <row customHeight="1" ht="15">
      <c r="A8" s="0" t="s">
        <v>4638</v>
      </c>
    </row>
  </sheetData>
  <sheetProtection sort="0" autoFilter="0" insertRows="0" insertColumns="1" deleteRows="0" deleteColum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DD28E8-A0F8-62DD-B428-88F02A7795B7}"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4639</v>
      </c>
    </row>
    <row customHeight="1" ht="15">
      <c r="A2" s="0" t="s">
        <v>3110</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463</vt:i4>
      </vt:variant>
    </vt:vector>
  </HeadingPairs>
  <TitlesOfParts>
    <vt:vector size="505"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Лист1</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REESTR_TARIFF</vt:lpstr>
      <vt:lpstr>DICTIONARIES</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fas_region_id</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HVSTN_LOAD_1</vt:lpstr>
      <vt:lpstr>HVSTN_LOAD_2</vt:lpstr>
      <vt:lpstr>HVSTN_pIns_comm</vt:lpstr>
      <vt:lpstr>inn</vt:lpstr>
      <vt:lpstr>InsB_GeneralInfo_tariff</vt:lpstr>
      <vt:lpstr>InvestmentSources_is_one_block</vt:lpstr>
      <vt:lpstr>isOrgDeclare</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json_preload_Scenarios_NDS_common</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org_reg_codes</vt:lpstr>
      <vt:lpstr>org_reg_values</vt:lpstr>
      <vt:lpstr>org_reg_мфдгуы</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pf_codes</vt:lpstr>
      <vt:lpstr>pf_codes_values</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wsAmortization_preload</vt:lpstr>
      <vt:lpstr>wsAmortization_preload_coms</vt:lpstr>
      <vt:lpstr>wsBalancePr_preload</vt:lpstr>
      <vt:lpstr>wsBalancePr_preload_coms</vt:lpstr>
      <vt:lpstr>wsBalanceTr_preload</vt:lpstr>
      <vt:lpstr>wsBalanceTr_preload_coms</vt:lpstr>
      <vt:lpstr>wsBaseLevelMSA_preload</vt:lpstr>
      <vt:lpstr>wsBaseLevelMSA_preload_coms</vt:lpstr>
      <vt:lpstr>wsCalculation46_preload</vt:lpstr>
      <vt:lpstr>wsCalculation46_preload_coms</vt:lpstr>
      <vt:lpstr>wsCalculation59_preload</vt:lpstr>
      <vt:lpstr>wsCalculation59_preload_coms</vt:lpstr>
      <vt:lpstr>wsCalculationMSA_preload</vt:lpstr>
      <vt:lpstr>wsCalculationMSA_preload_coms</vt:lpstr>
      <vt:lpstr>wsCorrFact_preload</vt:lpstr>
      <vt:lpstr>wsDPR_preload</vt:lpstr>
      <vt:lpstr>wsEnergyResources_preload</vt:lpstr>
      <vt:lpstr>wsEnergyResources_preload_coms</vt:lpstr>
      <vt:lpstr>wsFuel_preload</vt:lpstr>
      <vt:lpstr>wsFuel_preload_coms</vt:lpstr>
      <vt:lpstr>wsGeneralInfo_preload</vt:lpstr>
      <vt:lpstr>wsHVSTN_preload</vt:lpstr>
      <vt:lpstr>wsHVSTN_preload_coms</vt:lpstr>
      <vt:lpstr>wsIPSources_preload</vt:lpstr>
      <vt:lpstr>wsIPSources_preload_coms</vt:lpstr>
      <vt:lpstr>wsObjectList_preload</vt:lpstr>
      <vt:lpstr>wsOperating51_preload</vt:lpstr>
      <vt:lpstr>wsOperating51_preload_coms</vt:lpstr>
      <vt:lpstr>wsOperating52_preload</vt:lpstr>
      <vt:lpstr>wsOperating52_preload_coms</vt:lpstr>
      <vt:lpstr>wsRent_preload</vt:lpstr>
      <vt:lpstr>wsRent_preload_coms</vt:lpstr>
      <vt:lpstr>wsResources_preload</vt:lpstr>
      <vt:lpstr>wsResources_preload_coms</vt:lpstr>
      <vt:lpstr>wsSavingsCorr_preload</vt:lpstr>
      <vt:lpstr>wsSavingsCorr_preload_coms</vt:lpstr>
      <vt:lpstr>wsScenarios_preload</vt:lpstr>
      <vt:lpstr>wsScenariosMSA_preload</vt:lpstr>
      <vt:lpstr>wsServicePurchase_preload</vt:lpstr>
      <vt:lpstr>wsServicePurchase_preload_coms</vt:lpstr>
      <vt:lpstr>wsTaxes_preload</vt:lpstr>
      <vt:lpstr>wsTaxes_preload_coms</vt:lpstr>
      <vt:lpstr>wsTerritoryList_preload</vt:lpstr>
      <vt:lpstr>wsTM_preload</vt:lpstr>
      <vt:lpstr>wsUECalculation_preload</vt:lpstr>
      <vt:lpstr>wsUECalculation_preload_coms</vt:lpstr>
      <vt:lpstr>wsUncontrolled_preload</vt:lpstr>
      <vt:lpstr>wsUncontrolled_preload_coms</vt:lpstr>
      <vt:lpstr>wsUnitCostsMSA_preload</vt:lpstr>
      <vt:lpstr>wsUnitCostsMSA_preload_coms</vt:lpstr>
      <vt:lpstr>wsWageFund_preload</vt:lpstr>
      <vt:lpstr>wsWageFund_preload_coms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Ildar Sagdiev</cp:lastModifiedBy>
  <cp:lastPrinted>2026-09-01T17:26:52Z</cp:lastPrinted>
  <dcterms:created xsi:type="dcterms:W3CDTF">2004-05-21T07:18:45Z</dcterms:created>
  <dcterms:modified xsi:type="dcterms:W3CDTF">2026-09-22T16:49:44Z</dcterms:modified>
</cp:coreProperties>
</file>

<file path=docProps/custom.xml><?xml version="1.0" encoding="utf-8"?>
<Properties xmlns="http://schemas.openxmlformats.org/officeDocument/2006/custom-properties" xmlns:vt="http://schemas.openxmlformats.org/officeDocument/2006/docPropsVTypes"/>
</file>